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activeTab="1"/>
  </bookViews>
  <sheets>
    <sheet name="MESSAGE" sheetId="1" r:id="rId1"/>
    <sheet name="plantilla new" sheetId="2" r:id="rId2"/>
    <sheet name="paao admin" sheetId="3" r:id="rId3"/>
    <sheet name="plantilla" sheetId="4" r:id="rId4"/>
    <sheet name="LBPF No. 2" sheetId="5" r:id="rId5"/>
    <sheet name="assessor plantilla" sheetId="6" r:id="rId6"/>
    <sheet name="LBPF No. 2 (2)" sheetId="7" r:id="rId7"/>
    <sheet name="gen revision" sheetId="8" r:id="rId8"/>
    <sheet name="LBPF No. 2 (3)" sheetId="9" r:id="rId9"/>
    <sheet name="LBPF No. 2 (4)" sheetId="10" r:id="rId10"/>
    <sheet name="plantilla (2)" sheetId="11" r:id="rId11"/>
    <sheet name="paao" sheetId="12" r:id="rId12"/>
    <sheet name="LBPF No. 4" sheetId="13" r:id="rId13"/>
    <sheet name="LBPF No. 2 (5)" sheetId="14" r:id="rId14"/>
    <sheet name="PLANTILLA (3)" sheetId="15" r:id="rId15"/>
    <sheet name="PAAO (2)" sheetId="16" r:id="rId16"/>
    <sheet name="PROJECT MONITORING" sheetId="17" r:id="rId17"/>
    <sheet name="PAMANA, RCSP &amp; OTHERS" sheetId="18" r:id="rId18"/>
    <sheet name="SIPA " sheetId="19" r:id="rId19"/>
    <sheet name="Heritage" sheetId="20" r:id="rId20"/>
    <sheet name="Mainstreaming CBMS in Brgy. Dev" sheetId="21" r:id="rId21"/>
    <sheet name="INDIGENOUS" sheetId="22" r:id="rId22"/>
    <sheet name="BUB ,PAMANA, ETC." sheetId="23" r:id="rId23"/>
    <sheet name="Compre Data Collection &amp; Update" sheetId="24" r:id="rId24"/>
    <sheet name="SCIHA" sheetId="25" r:id="rId25"/>
    <sheet name="HOUSEHOLD PROFILING" sheetId="26" r:id="rId26"/>
    <sheet name="CBMS" sheetId="27" r:id="rId27"/>
    <sheet name="BUB " sheetId="28" r:id="rId28"/>
    <sheet name="PAMANA PROGRAM" sheetId="29" r:id="rId29"/>
    <sheet name="plantilla (4)" sheetId="30" r:id="rId30"/>
    <sheet name="paao (3)" sheetId="31" r:id="rId31"/>
    <sheet name="plantilla (5)" sheetId="32" r:id="rId32"/>
    <sheet name="LBPF No. 2 " sheetId="33" r:id="rId33"/>
    <sheet name="PLANTILLA NEW (2)" sheetId="34" r:id="rId34"/>
    <sheet name="PAAO NEW" sheetId="35" r:id="rId35"/>
    <sheet name="LBPF No. 2 (6)" sheetId="36" r:id="rId36"/>
    <sheet name="PLANTILLA (6)" sheetId="37" r:id="rId37"/>
    <sheet name="PAAO (4)" sheetId="38" r:id="rId38"/>
    <sheet name="arta" sheetId="39" r:id="rId39"/>
    <sheet name="sacapraise" sheetId="40" r:id="rId40"/>
    <sheet name="plantilla (7)" sheetId="41" r:id="rId41"/>
    <sheet name="LBPF No. 2 (7)" sheetId="42" r:id="rId42"/>
    <sheet name="LBPF No. 2 (8)" sheetId="43" r:id="rId43"/>
    <sheet name="LBPF No. 2 (9)" sheetId="44" r:id="rId44"/>
    <sheet name="LBPF No.3" sheetId="45" r:id="rId45"/>
    <sheet name="LBPF No. 2 (10)" sheetId="46" r:id="rId46"/>
    <sheet name="LBPF No. 2 (11)" sheetId="47" r:id="rId47"/>
    <sheet name="plantilla (8)" sheetId="48" r:id="rId48"/>
    <sheet name="PAAOE NEW HAZARD" sheetId="49" r:id="rId49"/>
    <sheet name="summary " sheetId="50" r:id="rId50"/>
    <sheet name="Adolescent" sheetId="51" r:id="rId51"/>
    <sheet name="ANTI-HUMAN RABIES" sheetId="52" r:id="rId52"/>
    <sheet name="ANTI-TB Program" sheetId="53" r:id="rId53"/>
    <sheet name="CBHS" sheetId="54" r:id="rId54"/>
    <sheet name="CBR" sheetId="55" r:id="rId55"/>
    <sheet name="ANTI-SMOKING" sheetId="56" r:id="rId56"/>
    <sheet name="Contraceptive Self Reliance" sheetId="57" r:id="rId57"/>
    <sheet name="DENGUE" sheetId="58" r:id="rId58"/>
    <sheet name="DENTAL HEALTH" sheetId="59" r:id="rId59"/>
    <sheet name="FAMILY PLANNING" sheetId="60" r:id="rId60"/>
    <sheet name="HIS" sheetId="61" r:id="rId61"/>
    <sheet name="LEPROSY " sheetId="62" r:id="rId62"/>
    <sheet name="MATERNAL &amp; CHILD HEALTH CARE" sheetId="63" r:id="rId63"/>
    <sheet name="Mental Health" sheetId="64" r:id="rId64"/>
    <sheet name="IMMUNIZATION" sheetId="65" r:id="rId65"/>
    <sheet name="NEWBORN SCREENING" sheetId="66" r:id="rId66"/>
    <sheet name="NUTRITION PROGRAM" sheetId="67" r:id="rId67"/>
    <sheet name="Rep&amp;Maint-Investment Property" sheetId="68" r:id="rId68"/>
    <sheet name="STD-HIV" sheetId="69" r:id="rId69"/>
    <sheet name="LIFESTYLE DISEASES" sheetId="70" r:id="rId70"/>
    <sheet name="VOLUNTARY BLOOD DONATION" sheetId="71" r:id="rId71"/>
    <sheet name="ZOD" sheetId="72" r:id="rId72"/>
    <sheet name="GENFUND 2022 FINAL" sheetId="73" r:id="rId73"/>
    <sheet name="hosp2022" sheetId="74" r:id="rId74"/>
    <sheet name="cwd2022" sheetId="75" r:id="rId75"/>
    <sheet name="pmsd2022" sheetId="76" r:id="rId76"/>
    <sheet name="pttd2022" sheetId="77" r:id="rId77"/>
    <sheet name="LBPF No. 2(3312)" sheetId="78" r:id="rId78"/>
    <sheet name="MMT" sheetId="79" r:id="rId79"/>
    <sheet name="GARBAGE COLLECTION" sheetId="80" r:id="rId80"/>
    <sheet name="ECO CENTER" sheetId="81" r:id="rId81"/>
    <sheet name="IEC" sheetId="82" r:id="rId82"/>
    <sheet name="CITY LANES" sheetId="83" r:id="rId83"/>
    <sheet name="BANTAY DAGAT" sheetId="84" r:id="rId84"/>
    <sheet name="CRM" sheetId="85" r:id="rId85"/>
    <sheet name="MARINE PROTECTED" sheetId="86" r:id="rId86"/>
    <sheet name="MKNP" sheetId="87" r:id="rId87"/>
    <sheet name="NNNP" sheetId="88" r:id="rId88"/>
    <sheet name="BAGO RIVER" sheetId="89" r:id="rId89"/>
    <sheet name="law enforcement" sheetId="90" r:id="rId90"/>
    <sheet name="beautification" sheetId="91" r:id="rId91"/>
    <sheet name="Sheet3" sheetId="92" r:id="rId92"/>
    <sheet name="PAAOE (2021)" sheetId="93" r:id="rId93"/>
    <sheet name="CEMO" sheetId="94" r:id="rId94"/>
    <sheet name="MMT (2)" sheetId="95" r:id="rId95"/>
    <sheet name="garbage collection (2)" sheetId="96" r:id="rId96"/>
    <sheet name="CITY LANES (2)" sheetId="97" r:id="rId97"/>
    <sheet name="eco - center" sheetId="98" r:id="rId98"/>
    <sheet name="IEC (2)" sheetId="99" r:id="rId99"/>
    <sheet name="bantay dagat (2)" sheetId="100" r:id="rId100"/>
    <sheet name="MPA" sheetId="101" r:id="rId101"/>
    <sheet name="CRM " sheetId="102" r:id="rId102"/>
    <sheet name="nnnp (2)" sheetId="103" r:id="rId103"/>
    <sheet name="mknp (2)" sheetId="104" r:id="rId104"/>
    <sheet name="BAGO RIVER (2)" sheetId="105" r:id="rId105"/>
    <sheet name="ENVT'L. LAW ENFORCEMENT" sheetId="106" r:id="rId106"/>
    <sheet name="Beautification (2)" sheetId="107" r:id="rId107"/>
    <sheet name="DEVFUND2022" sheetId="108" r:id="rId108"/>
    <sheet name="BY SECTOR" sheetId="109" r:id="rId109"/>
    <sheet name="LBPF No. 2 (12)" sheetId="110" r:id="rId110"/>
    <sheet name="animal disease" sheetId="111" r:id="rId111"/>
    <sheet name="artificial insemination" sheetId="112" r:id="rId112"/>
    <sheet name="dispersal of large animals" sheetId="113" r:id="rId113"/>
    <sheet name="dispersal &amp; upg of small animal" sheetId="114" r:id="rId114"/>
    <sheet name="technical&amp;market support " sheetId="115" r:id="rId115"/>
    <sheet name="high value commcl crops fruits" sheetId="116" r:id="rId116"/>
    <sheet name="vegetable production" sheetId="117" r:id="rId117"/>
    <sheet name="organic agri devt" sheetId="118" r:id="rId118"/>
    <sheet name="agri center &amp; demo area" sheetId="119" r:id="rId119"/>
    <sheet name="abaca industry devt" sheetId="120" r:id="rId120"/>
    <sheet name="bamboo production" sheetId="121" r:id="rId121"/>
    <sheet name="cutflower industry" sheetId="122" r:id="rId122"/>
    <sheet name="hvcc cacao coffee peanut" sheetId="123" r:id="rId123"/>
    <sheet name="rabies eradication " sheetId="124" r:id="rId124"/>
    <sheet name="RICE PRODUCTION" sheetId="125" r:id="rId125"/>
    <sheet name="free range chicken" sheetId="126" r:id="rId126"/>
    <sheet name="mushroom" sheetId="127" r:id="rId127"/>
    <sheet name="duck &amp; turkey" sheetId="128" r:id="rId128"/>
    <sheet name="CDRRMO - FINAL 2022 - 9-28-21" sheetId="129" r:id="rId129"/>
    <sheet name="CEO - FINAL" sheetId="130" r:id="rId130"/>
    <sheet name="CMO-plantilla" sheetId="131" r:id="rId131"/>
    <sheet name="CMO-PAAO - FINAL 9-22-21" sheetId="132" r:id="rId132"/>
    <sheet name="CSWDO-EDITED FINAL" sheetId="133" r:id="rId133"/>
    <sheet name="CEO-STREETLIGHTING - FINAL 9-3" sheetId="134" r:id="rId134"/>
    <sheet name="GSD-plantilla " sheetId="135" r:id="rId135"/>
    <sheet name="PAAOE" sheetId="136" r:id="rId136"/>
    <sheet name="COMPARATIVE " sheetId="137" r:id="rId137"/>
    <sheet name="HOS-plantilla - 9-1-21" sheetId="138" r:id="rId138"/>
    <sheet name="HOSPITAL-PAAOE- FINAL" sheetId="139" r:id="rId139"/>
    <sheet name="HOSPITAL - COMPARATIVE" sheetId="140" r:id="rId140"/>
    <sheet name="CEO-OBO-FINAL" sheetId="141" r:id="rId141"/>
    <sheet name="CAWA" sheetId="142" r:id="rId142"/>
    <sheet name="SCCCADAC" sheetId="143" r:id="rId143"/>
    <sheet name="SCCYA" sheetId="144" r:id="rId144"/>
    <sheet name="PESO" sheetId="145" r:id="rId145"/>
    <sheet name="SPORTS" sheetId="146" r:id="rId146"/>
    <sheet name="TOURISM" sheetId="147" r:id="rId147"/>
    <sheet name="SCHOLARSHIP PROG. FOR STUDENTS" sheetId="148" r:id="rId148"/>
    <sheet name="SCHOLARSHIP PROG. FOR teachers" sheetId="149" r:id="rId149"/>
    <sheet name="FIN. ASSIST. GRADUATE SCHOLAR" sheetId="150" r:id="rId150"/>
    <sheet name="SCIHA (2)" sheetId="151" r:id="rId151"/>
    <sheet name="PIO" sheetId="152" r:id="rId152"/>
    <sheet name="CLDO" sheetId="153" r:id="rId153"/>
    <sheet name="ABC FEDERATION" sheetId="154" r:id="rId154"/>
    <sheet name="ABC FEDERATION - brgy. TANOD" sheetId="155" r:id="rId155"/>
    <sheet name="ABC- KATARUNGANG PAMBARANGAY" sheetId="156" r:id="rId156"/>
    <sheet name="CCC - ALGERS" sheetId="157" r:id="rId157"/>
    <sheet name="INTERNAL AUDIT SERVICE" sheetId="158" r:id="rId158"/>
    <sheet name="SCC APPRAISAL COMMITTEE" sheetId="159" r:id="rId159"/>
    <sheet name="BPLO" sheetId="160" r:id="rId160"/>
    <sheet name="PLEB" sheetId="161" r:id="rId161"/>
    <sheet name="BAC" sheetId="162" r:id="rId162"/>
    <sheet name="ADHOC" sheetId="163" r:id="rId163"/>
    <sheet name="CODI" sheetId="164" r:id="rId164"/>
    <sheet name="PEACE AND ORDER FUND" sheetId="165" r:id="rId165"/>
    <sheet name="ICTC" sheetId="166" r:id="rId166"/>
    <sheet name="TASK FORCE RIGHT OF WAY" sheetId="167" r:id="rId167"/>
    <sheet name="LET" sheetId="168" r:id="rId168"/>
    <sheet name="PPMO" sheetId="169" r:id="rId169"/>
    <sheet name="TRAFFIC MANAGEMENT AUTHORITY" sheetId="170" r:id="rId170"/>
    <sheet name="I 4 J - 2022" sheetId="171" r:id="rId171"/>
    <sheet name="NEGOSYO CENTER - SCCIPC" sheetId="172" r:id="rId172"/>
    <sheet name="ANTI-COVID19 PROGRAM" sheetId="173" r:id="rId173"/>
    <sheet name="Sheet1 (2)" sheetId="174" r:id="rId174"/>
    <sheet name="OSCA - PST " sheetId="175" r:id="rId175"/>
    <sheet name="OPERATION OF GUIDANCE CENTER " sheetId="176" r:id="rId176"/>
    <sheet name="IMPLEMENTATION OF MDG FACES" sheetId="177" r:id="rId177"/>
    <sheet name=" 4 P'S - FINAL" sheetId="178" r:id="rId178"/>
    <sheet name="CIACAT - VAWC - FINAL" sheetId="179" r:id="rId179"/>
    <sheet name="OPERATION OF THE CURFEW CENTER" sheetId="180" r:id="rId180"/>
    <sheet name="NUTRITION COUNCIL" sheetId="181" r:id="rId181"/>
    <sheet name="COUNTRY PROGRAM FOR CHILDREN " sheetId="182" r:id="rId182"/>
    <sheet name="OFFICE OF PWD" sheetId="183" r:id="rId183"/>
    <sheet name="OPERATION OF GAD COUNCIL" sheetId="184" r:id="rId184"/>
    <sheet name="OPERATION OF LCPC - SSS" sheetId="185" r:id="rId185"/>
    <sheet name="mandana's - garcia" sheetId="186" r:id="rId186"/>
    <sheet name="PLAza - FINAL-8-31-21" sheetId="187" r:id="rId187"/>
    <sheet name="SPECIAL PURPOSE - FINAL 2022" sheetId="188" r:id="rId188"/>
  </sheets>
  <externalReferences>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s>
  <definedNames>
    <definedName name="\0" localSheetId="177">' 4 P''S - FINAL'!#REF!</definedName>
    <definedName name="\0" localSheetId="119">'abaca industry devt'!#REF!</definedName>
    <definedName name="\0" localSheetId="153">'ABC FEDERATION'!#REF!</definedName>
    <definedName name="\0" localSheetId="154">'ABC FEDERATION - brgy. TANOD'!#REF!</definedName>
    <definedName name="\0" localSheetId="155">'ABC- KATARUNGANG PAMBARANGAY'!#REF!</definedName>
    <definedName name="\0" localSheetId="162">ADHOC!#REF!</definedName>
    <definedName name="\0" localSheetId="50">Adolescent!#REF!</definedName>
    <definedName name="\0" localSheetId="118">'agri center &amp; demo area'!#REF!</definedName>
    <definedName name="\0" localSheetId="110">'animal disease'!#REF!</definedName>
    <definedName name="\0" localSheetId="172">'ANTI-COVID19 PROGRAM'!#REF!</definedName>
    <definedName name="\0" localSheetId="51">'ANTI-HUMAN RABIES'!#REF!</definedName>
    <definedName name="\0" localSheetId="55">'ANTI-SMOKING'!#REF!</definedName>
    <definedName name="\0" localSheetId="52">'ANTI-TB Program'!#REF!</definedName>
    <definedName name="\0" localSheetId="38">arta!#REF!</definedName>
    <definedName name="\0" localSheetId="111">'artificial insemination'!#REF!</definedName>
    <definedName name="\0" localSheetId="5">'assessor plantilla'!#REF!</definedName>
    <definedName name="\0" localSheetId="161">BAC!#REF!</definedName>
    <definedName name="\0" localSheetId="88">'BAGO RIVER'!#REF!</definedName>
    <definedName name="\0" localSheetId="120">'bamboo production'!#REF!</definedName>
    <definedName name="\0" localSheetId="83">'BANTAY DAGAT'!#REF!</definedName>
    <definedName name="\0" localSheetId="90">beautification!#REF!</definedName>
    <definedName name="\0" localSheetId="159">BPLO!#REF!</definedName>
    <definedName name="\0" localSheetId="27">'BUB '!#REF!</definedName>
    <definedName name="\0" localSheetId="22">'BUB ,PAMANA, ETC.'!#REF!</definedName>
    <definedName name="\0" localSheetId="141">CAWA!#REF!</definedName>
    <definedName name="\0" localSheetId="53">CBHS!#REF!</definedName>
    <definedName name="\0" localSheetId="26">CBMS!#REF!</definedName>
    <definedName name="\0" localSheetId="54">CBR!#REF!</definedName>
    <definedName name="\0" localSheetId="156">'CCC - ALGERS'!#REF!</definedName>
    <definedName name="\0" localSheetId="128">'CDRRMO - FINAL 2022 - 9-28-21'!#REF!</definedName>
    <definedName name="\0" localSheetId="129">'CEO - FINAL'!#REF!</definedName>
    <definedName name="\0" localSheetId="140">'CEO-OBO-FINAL'!#REF!</definedName>
    <definedName name="\0" localSheetId="133">'CEO-STREETLIGHTING - FINAL 9-3'!#REF!</definedName>
    <definedName name="\0" localSheetId="178">'CIACAT - VAWC - FINAL'!#REF!</definedName>
    <definedName name="\0" localSheetId="82">'CITY LANES'!#REF!</definedName>
    <definedName name="\0" localSheetId="152">CLDO!#REF!</definedName>
    <definedName name="\0" localSheetId="131">'CMO-PAAO - FINAL 9-22-21'!#REF!</definedName>
    <definedName name="\0" localSheetId="163">CODI!#REF!</definedName>
    <definedName name="\0" localSheetId="23">'Compre Data Collection &amp; Update'!#REF!</definedName>
    <definedName name="\0" localSheetId="56">'Contraceptive Self Reliance'!#REF!</definedName>
    <definedName name="\0" localSheetId="181">'COUNTRY PROGRAM FOR CHILDREN '!#REF!</definedName>
    <definedName name="\0" localSheetId="84">CRM!#REF!</definedName>
    <definedName name="\0" localSheetId="132">'CSWDO-EDITED FINAL'!#REF!</definedName>
    <definedName name="\0" localSheetId="121">'cutflower industry'!#REF!</definedName>
    <definedName name="\0" localSheetId="74">'cwd2022'!#REF!</definedName>
    <definedName name="\0" localSheetId="57">DENGUE!#REF!</definedName>
    <definedName name="\0" localSheetId="58">'DENTAL HEALTH'!#REF!</definedName>
    <definedName name="\0" localSheetId="113">'dispersal &amp; upg of small animal'!#REF!</definedName>
    <definedName name="\0" localSheetId="112">'dispersal of large animals'!#REF!</definedName>
    <definedName name="\0" localSheetId="127">'duck &amp; turkey'!#REF!</definedName>
    <definedName name="\0" localSheetId="80">'ECO CENTER'!#REF!</definedName>
    <definedName name="\0" localSheetId="59">'FAMILY PLANNING'!#REF!</definedName>
    <definedName name="\0" localSheetId="149">'FIN. ASSIST. GRADUATE SCHOLAR'!#REF!</definedName>
    <definedName name="\0" localSheetId="125">'free range chicken'!#REF!</definedName>
    <definedName name="\0" localSheetId="79">'GARBAGE COLLECTION'!#REF!</definedName>
    <definedName name="\0" localSheetId="7">'gen revision'!#REF!</definedName>
    <definedName name="\0" localSheetId="72">'GENFUND 2022 FINAL'!#REF!</definedName>
    <definedName name="\0" localSheetId="19">Heritage!#REF!</definedName>
    <definedName name="\0" localSheetId="115">'high value commcl crops fruits'!#REF!</definedName>
    <definedName name="\0" localSheetId="60">HIS!#REF!</definedName>
    <definedName name="\0" localSheetId="73">hosp2022!#REF!</definedName>
    <definedName name="\0" localSheetId="138">'HOSPITAL-PAAOE- FINAL'!#REF!</definedName>
    <definedName name="\0" localSheetId="25">'HOUSEHOLD PROFILING'!#REF!</definedName>
    <definedName name="\0" localSheetId="122">'hvcc cacao coffee peanut'!#REF!</definedName>
    <definedName name="\0" localSheetId="170">'I 4 J - 2022'!#REF!</definedName>
    <definedName name="\0" localSheetId="165">ICTC!#REF!</definedName>
    <definedName name="\0" localSheetId="81">IEC!#REF!</definedName>
    <definedName name="\0" localSheetId="64">IMMUNIZATION!#REF!</definedName>
    <definedName name="\0" localSheetId="176">'IMPLEMENTATION OF MDG FACES'!#REF!</definedName>
    <definedName name="\0" localSheetId="21">INDIGENOUS!#REF!</definedName>
    <definedName name="\0" localSheetId="157">'INTERNAL AUDIT SERVICE'!#REF!</definedName>
    <definedName name="\0" localSheetId="89">'law enforcement'!#REF!</definedName>
    <definedName name="\0" localSheetId="4">'LBPF No. 2'!#REF!</definedName>
    <definedName name="\0" localSheetId="32">'LBPF No. 2 '!#REF!</definedName>
    <definedName name="\0" localSheetId="45">'LBPF No. 2 (10)'!#REF!</definedName>
    <definedName name="\0" localSheetId="46">'LBPF No. 2 (11)'!#REF!</definedName>
    <definedName name="\0" localSheetId="109">'LBPF No. 2 (12)'!#REF!</definedName>
    <definedName name="\0" localSheetId="6">'LBPF No. 2 (2)'!#REF!</definedName>
    <definedName name="\0" localSheetId="8">'LBPF No. 2 (3)'!#REF!</definedName>
    <definedName name="\0" localSheetId="9">'LBPF No. 2 (4)'!#REF!</definedName>
    <definedName name="\0" localSheetId="13">'LBPF No. 2 (5)'!#REF!</definedName>
    <definedName name="\0" localSheetId="35">'LBPF No. 2 (6)'!#REF!</definedName>
    <definedName name="\0" localSheetId="41">'LBPF No. 2 (7)'!#REF!</definedName>
    <definedName name="\0" localSheetId="42">'LBPF No. 2 (8)'!#REF!</definedName>
    <definedName name="\0" localSheetId="43">'LBPF No. 2 (9)'!#REF!</definedName>
    <definedName name="\0" localSheetId="77">'LBPF No. 2(3312)'!#REF!</definedName>
    <definedName name="\0" localSheetId="12">'LBPF No. 4'!#REF!</definedName>
    <definedName name="\0" localSheetId="44">'LBPF No.3'!#REF!</definedName>
    <definedName name="\0" localSheetId="61">'LEPROSY '!#REF!</definedName>
    <definedName name="\0" localSheetId="167">LET!#REF!</definedName>
    <definedName name="\0" localSheetId="69">'LIFESTYLE DISEASES'!#REF!</definedName>
    <definedName name="\0" localSheetId="20">'Mainstreaming CBMS in Brgy. Dev'!#REF!</definedName>
    <definedName name="\0" localSheetId="185">'mandana''s - garcia'!#REF!</definedName>
    <definedName name="\0" localSheetId="85">'MARINE PROTECTED'!#REF!</definedName>
    <definedName name="\0" localSheetId="62">'MATERNAL &amp; CHILD HEALTH CARE'!#REF!</definedName>
    <definedName name="\0" localSheetId="63">'Mental Health'!#REF!</definedName>
    <definedName name="\0" localSheetId="86">MKNP!#REF!</definedName>
    <definedName name="\0" localSheetId="78">MMT!#REF!</definedName>
    <definedName name="\0" localSheetId="126">mushroom!#REF!</definedName>
    <definedName name="\0" localSheetId="171">'NEGOSYO CENTER - SCCIPC'!#REF!</definedName>
    <definedName name="\0" localSheetId="65">'NEWBORN SCREENING'!#REF!</definedName>
    <definedName name="\0" localSheetId="87">NNNP!#REF!</definedName>
    <definedName name="\0" localSheetId="180">'NUTRITION COUNCIL'!#REF!</definedName>
    <definedName name="\0" localSheetId="66">'NUTRITION PROGRAM'!#REF!</definedName>
    <definedName name="\0" localSheetId="182">'OFFICE OF PWD'!#REF!</definedName>
    <definedName name="\0" localSheetId="183">'OPERATION OF GAD COUNCIL'!#REF!</definedName>
    <definedName name="\0" localSheetId="175">'OPERATION OF GUIDANCE CENTER '!#REF!</definedName>
    <definedName name="\0" localSheetId="184">'OPERATION OF LCPC - SSS'!#REF!</definedName>
    <definedName name="\0" localSheetId="179">'OPERATION OF THE CURFEW CENTER'!#REF!</definedName>
    <definedName name="\0" localSheetId="117">'organic agri devt'!#REF!</definedName>
    <definedName name="\0" localSheetId="174">'OSCA - PST '!#REF!</definedName>
    <definedName name="\0" localSheetId="11">paao!#REF!</definedName>
    <definedName name="\0" localSheetId="15">'PAAO (2)'!#REF!</definedName>
    <definedName name="\0" localSheetId="30">'paao (3)'!#REF!</definedName>
    <definedName name="\0" localSheetId="37">'PAAO (4)'!#REF!</definedName>
    <definedName name="\0" localSheetId="2">'paao admin'!#REF!</definedName>
    <definedName name="\0" localSheetId="34">'PAAO NEW'!#REF!</definedName>
    <definedName name="\0" localSheetId="135">PAAOE!#REF!</definedName>
    <definedName name="\0" localSheetId="92">'PAAOE (2021)'!#REF!</definedName>
    <definedName name="\0" localSheetId="48">'PAAOE NEW HAZARD'!#REF!</definedName>
    <definedName name="\0" localSheetId="28">'PAMANA PROGRAM'!#REF!</definedName>
    <definedName name="\0" localSheetId="17">'PAMANA, RCSP &amp; OTHERS'!#REF!</definedName>
    <definedName name="\0" localSheetId="164">'PEACE AND ORDER FUND'!#REF!</definedName>
    <definedName name="\0" localSheetId="144">PESO!#REF!</definedName>
    <definedName name="\0" localSheetId="151">PIO!#REF!</definedName>
    <definedName name="\0" localSheetId="3">plantilla!#REF!</definedName>
    <definedName name="\0" localSheetId="10">'plantilla (2)'!#REF!</definedName>
    <definedName name="\0" localSheetId="14">'PLANTILLA (3)'!#REF!</definedName>
    <definedName name="\0" localSheetId="29">'plantilla (4)'!#REF!</definedName>
    <definedName name="\0" localSheetId="31">'plantilla (5)'!#REF!</definedName>
    <definedName name="\0" localSheetId="36">'PLANTILLA (6)'!#REF!</definedName>
    <definedName name="\0" localSheetId="40">'plantilla (7)'!#REF!</definedName>
    <definedName name="\0" localSheetId="47">'plantilla (8)'!#REF!</definedName>
    <definedName name="\0" localSheetId="1">'plantilla new'!#REF!</definedName>
    <definedName name="\0" localSheetId="33">'PLANTILLA NEW (2)'!#REF!</definedName>
    <definedName name="\0" localSheetId="186">'PLAza - FINAL-8-31-21'!#REF!</definedName>
    <definedName name="\0" localSheetId="160">PLEB!#REF!</definedName>
    <definedName name="\0" localSheetId="75">pmsd2022!#REF!</definedName>
    <definedName name="\0" localSheetId="168">PPMO!#REF!</definedName>
    <definedName name="\0" localSheetId="16">'PROJECT MONITORING'!#REF!</definedName>
    <definedName name="\0" localSheetId="76">pttd2022!#REF!</definedName>
    <definedName name="\0" localSheetId="123">'rabies eradication '!#REF!</definedName>
    <definedName name="\0" localSheetId="67">'Rep&amp;Maint-Investment Property'!#REF!</definedName>
    <definedName name="\0" localSheetId="124">'RICE PRODUCTION'!#REF!</definedName>
    <definedName name="\0" localSheetId="39">sacapraise!#REF!</definedName>
    <definedName name="\0" localSheetId="158">'SCC APPRAISAL COMMITTEE'!#REF!</definedName>
    <definedName name="\0" localSheetId="142">SCCCADAC!#REF!</definedName>
    <definedName name="\0" localSheetId="143">SCCYA!#REF!</definedName>
    <definedName name="\0" localSheetId="147">'SCHOLARSHIP PROG. FOR STUDENTS'!#REF!</definedName>
    <definedName name="\0" localSheetId="148">'SCHOLARSHIP PROG. FOR teachers'!#REF!</definedName>
    <definedName name="\0" localSheetId="24">SCIHA!#REF!</definedName>
    <definedName name="\0" localSheetId="150">'SCIHA (2)'!#REF!</definedName>
    <definedName name="\0" localSheetId="18">'SIPA '!#REF!</definedName>
    <definedName name="\0" localSheetId="187">'SPECIAL PURPOSE - FINAL 2022'!#REF!</definedName>
    <definedName name="\0" localSheetId="145">SPORTS!#REF!</definedName>
    <definedName name="\0" localSheetId="68">'STD-HIV'!#REF!</definedName>
    <definedName name="\0" localSheetId="49">'summary '!#REF!</definedName>
    <definedName name="\0" localSheetId="166">'TASK FORCE RIGHT OF WAY'!#REF!</definedName>
    <definedName name="\0" localSheetId="114">'technical&amp;market support '!#REF!</definedName>
    <definedName name="\0" localSheetId="146">TOURISM!#REF!</definedName>
    <definedName name="\0" localSheetId="169">'TRAFFIC MANAGEMENT AUTHORITY'!#REF!</definedName>
    <definedName name="\0" localSheetId="116">'vegetable production'!#REF!</definedName>
    <definedName name="\0" localSheetId="70">'VOLUNTARY BLOOD DONATION'!#REF!</definedName>
    <definedName name="\0" localSheetId="71">ZOD!#REF!</definedName>
    <definedName name="\0">'[1]HOS-plantilla'!#REF!</definedName>
    <definedName name="\a" localSheetId="177">' 4 P''S - FINAL'!#REF!</definedName>
    <definedName name="\a" localSheetId="119">'abaca industry devt'!#REF!</definedName>
    <definedName name="\a" localSheetId="153">'ABC FEDERATION'!#REF!</definedName>
    <definedName name="\a" localSheetId="154">'ABC FEDERATION - brgy. TANOD'!#REF!</definedName>
    <definedName name="\a" localSheetId="155">'ABC- KATARUNGANG PAMBARANGAY'!#REF!</definedName>
    <definedName name="\a" localSheetId="162">ADHOC!#REF!</definedName>
    <definedName name="\a" localSheetId="50">Adolescent!#REF!</definedName>
    <definedName name="\a" localSheetId="118">'agri center &amp; demo area'!#REF!</definedName>
    <definedName name="\a" localSheetId="110">'animal disease'!#REF!</definedName>
    <definedName name="\a" localSheetId="172">'ANTI-COVID19 PROGRAM'!#REF!</definedName>
    <definedName name="\a" localSheetId="51">'ANTI-HUMAN RABIES'!#REF!</definedName>
    <definedName name="\a" localSheetId="55">'ANTI-SMOKING'!#REF!</definedName>
    <definedName name="\a" localSheetId="52">'ANTI-TB Program'!#REF!</definedName>
    <definedName name="\a" localSheetId="38">arta!#REF!</definedName>
    <definedName name="\a" localSheetId="111">'artificial insemination'!#REF!</definedName>
    <definedName name="\a" localSheetId="5">'assessor plantilla'!#REF!</definedName>
    <definedName name="\a" localSheetId="161">BAC!#REF!</definedName>
    <definedName name="\a" localSheetId="88">'BAGO RIVER'!#REF!</definedName>
    <definedName name="\a" localSheetId="120">'bamboo production'!#REF!</definedName>
    <definedName name="\a" localSheetId="83">'BANTAY DAGAT'!#REF!</definedName>
    <definedName name="\a" localSheetId="90">beautification!#REF!</definedName>
    <definedName name="\a" localSheetId="159">BPLO!#REF!</definedName>
    <definedName name="\a" localSheetId="27">'BUB '!#REF!</definedName>
    <definedName name="\a" localSheetId="22">'BUB ,PAMANA, ETC.'!#REF!</definedName>
    <definedName name="\a" localSheetId="141">CAWA!#REF!</definedName>
    <definedName name="\a" localSheetId="53">CBHS!#REF!</definedName>
    <definedName name="\a" localSheetId="26">CBMS!#REF!</definedName>
    <definedName name="\a" localSheetId="54">CBR!#REF!</definedName>
    <definedName name="\a" localSheetId="156">'CCC - ALGERS'!#REF!</definedName>
    <definedName name="\a" localSheetId="128">'CDRRMO - FINAL 2022 - 9-28-21'!#REF!</definedName>
    <definedName name="\a" localSheetId="129">'CEO - FINAL'!#REF!</definedName>
    <definedName name="\a" localSheetId="140">'CEO-OBO-FINAL'!#REF!</definedName>
    <definedName name="\a" localSheetId="133">'CEO-STREETLIGHTING - FINAL 9-3'!#REF!</definedName>
    <definedName name="\a" localSheetId="178">'CIACAT - VAWC - FINAL'!#REF!</definedName>
    <definedName name="\a" localSheetId="82">'CITY LANES'!#REF!</definedName>
    <definedName name="\a" localSheetId="152">CLDO!#REF!</definedName>
    <definedName name="\a" localSheetId="131">'CMO-PAAO - FINAL 9-22-21'!#REF!</definedName>
    <definedName name="\a" localSheetId="163">CODI!#REF!</definedName>
    <definedName name="\a" localSheetId="23">'Compre Data Collection &amp; Update'!#REF!</definedName>
    <definedName name="\a" localSheetId="56">'Contraceptive Self Reliance'!#REF!</definedName>
    <definedName name="\a" localSheetId="181">'COUNTRY PROGRAM FOR CHILDREN '!#REF!</definedName>
    <definedName name="\a" localSheetId="84">CRM!#REF!</definedName>
    <definedName name="\a" localSheetId="132">'CSWDO-EDITED FINAL'!#REF!</definedName>
    <definedName name="\a" localSheetId="121">'cutflower industry'!#REF!</definedName>
    <definedName name="\a" localSheetId="74">'cwd2022'!#REF!</definedName>
    <definedName name="\a" localSheetId="57">DENGUE!#REF!</definedName>
    <definedName name="\a" localSheetId="58">'DENTAL HEALTH'!#REF!</definedName>
    <definedName name="\a" localSheetId="113">'dispersal &amp; upg of small animal'!#REF!</definedName>
    <definedName name="\a" localSheetId="112">'dispersal of large animals'!#REF!</definedName>
    <definedName name="\a" localSheetId="127">'duck &amp; turkey'!#REF!</definedName>
    <definedName name="\a" localSheetId="80">'ECO CENTER'!#REF!</definedName>
    <definedName name="\a" localSheetId="59">'FAMILY PLANNING'!#REF!</definedName>
    <definedName name="\a" localSheetId="149">'FIN. ASSIST. GRADUATE SCHOLAR'!#REF!</definedName>
    <definedName name="\a" localSheetId="125">'free range chicken'!#REF!</definedName>
    <definedName name="\a" localSheetId="79">'GARBAGE COLLECTION'!#REF!</definedName>
    <definedName name="\a" localSheetId="7">'gen revision'!#REF!</definedName>
    <definedName name="\a" localSheetId="72">'GENFUND 2022 FINAL'!#REF!</definedName>
    <definedName name="\a" localSheetId="19">Heritage!#REF!</definedName>
    <definedName name="\a" localSheetId="115">'high value commcl crops fruits'!#REF!</definedName>
    <definedName name="\a" localSheetId="60">HIS!#REF!</definedName>
    <definedName name="\a" localSheetId="73">hosp2022!#REF!</definedName>
    <definedName name="\a" localSheetId="138">'HOSPITAL-PAAOE- FINAL'!#REF!</definedName>
    <definedName name="\a" localSheetId="25">'HOUSEHOLD PROFILING'!#REF!</definedName>
    <definedName name="\a" localSheetId="122">'hvcc cacao coffee peanut'!#REF!</definedName>
    <definedName name="\a" localSheetId="170">'I 4 J - 2022'!#REF!</definedName>
    <definedName name="\a" localSheetId="165">ICTC!#REF!</definedName>
    <definedName name="\a" localSheetId="81">IEC!#REF!</definedName>
    <definedName name="\a" localSheetId="64">IMMUNIZATION!#REF!</definedName>
    <definedName name="\a" localSheetId="176">'IMPLEMENTATION OF MDG FACES'!#REF!</definedName>
    <definedName name="\a" localSheetId="21">INDIGENOUS!#REF!</definedName>
    <definedName name="\a" localSheetId="157">'INTERNAL AUDIT SERVICE'!#REF!</definedName>
    <definedName name="\a" localSheetId="89">'law enforcement'!#REF!</definedName>
    <definedName name="\a" localSheetId="4">'LBPF No. 2'!#REF!</definedName>
    <definedName name="\a" localSheetId="32">'LBPF No. 2 '!#REF!</definedName>
    <definedName name="\a" localSheetId="45">'LBPF No. 2 (10)'!#REF!</definedName>
    <definedName name="\a" localSheetId="46">'LBPF No. 2 (11)'!#REF!</definedName>
    <definedName name="\a" localSheetId="109">'LBPF No. 2 (12)'!#REF!</definedName>
    <definedName name="\a" localSheetId="6">'LBPF No. 2 (2)'!#REF!</definedName>
    <definedName name="\a" localSheetId="8">'LBPF No. 2 (3)'!#REF!</definedName>
    <definedName name="\a" localSheetId="9">'LBPF No. 2 (4)'!#REF!</definedName>
    <definedName name="\a" localSheetId="13">'LBPF No. 2 (5)'!#REF!</definedName>
    <definedName name="\a" localSheetId="35">'LBPF No. 2 (6)'!#REF!</definedName>
    <definedName name="\a" localSheetId="41">'LBPF No. 2 (7)'!#REF!</definedName>
    <definedName name="\a" localSheetId="42">'LBPF No. 2 (8)'!#REF!</definedName>
    <definedName name="\a" localSheetId="43">'LBPF No. 2 (9)'!#REF!</definedName>
    <definedName name="\a" localSheetId="77">'LBPF No. 2(3312)'!#REF!</definedName>
    <definedName name="\a" localSheetId="12">'LBPF No. 4'!#REF!</definedName>
    <definedName name="\a" localSheetId="44">'LBPF No.3'!#REF!</definedName>
    <definedName name="\a" localSheetId="61">'LEPROSY '!#REF!</definedName>
    <definedName name="\a" localSheetId="167">LET!#REF!</definedName>
    <definedName name="\a" localSheetId="69">'LIFESTYLE DISEASES'!#REF!</definedName>
    <definedName name="\a" localSheetId="20">'Mainstreaming CBMS in Brgy. Dev'!#REF!</definedName>
    <definedName name="\a" localSheetId="185">'mandana''s - garcia'!#REF!</definedName>
    <definedName name="\a" localSheetId="85">'MARINE PROTECTED'!#REF!</definedName>
    <definedName name="\a" localSheetId="62">'MATERNAL &amp; CHILD HEALTH CARE'!#REF!</definedName>
    <definedName name="\a" localSheetId="63">'Mental Health'!#REF!</definedName>
    <definedName name="\a" localSheetId="86">MKNP!#REF!</definedName>
    <definedName name="\a" localSheetId="78">MMT!#REF!</definedName>
    <definedName name="\a" localSheetId="126">mushroom!#REF!</definedName>
    <definedName name="\a" localSheetId="171">'NEGOSYO CENTER - SCCIPC'!#REF!</definedName>
    <definedName name="\a" localSheetId="65">'NEWBORN SCREENING'!#REF!</definedName>
    <definedName name="\a" localSheetId="87">NNNP!#REF!</definedName>
    <definedName name="\a" localSheetId="180">'NUTRITION COUNCIL'!#REF!</definedName>
    <definedName name="\a" localSheetId="66">'NUTRITION PROGRAM'!#REF!</definedName>
    <definedName name="\a" localSheetId="182">'OFFICE OF PWD'!#REF!</definedName>
    <definedName name="\a" localSheetId="183">'OPERATION OF GAD COUNCIL'!#REF!</definedName>
    <definedName name="\a" localSheetId="175">'OPERATION OF GUIDANCE CENTER '!#REF!</definedName>
    <definedName name="\a" localSheetId="184">'OPERATION OF LCPC - SSS'!#REF!</definedName>
    <definedName name="\a" localSheetId="179">'OPERATION OF THE CURFEW CENTER'!#REF!</definedName>
    <definedName name="\a" localSheetId="117">'organic agri devt'!#REF!</definedName>
    <definedName name="\a" localSheetId="174">'OSCA - PST '!#REF!</definedName>
    <definedName name="\a" localSheetId="11">paao!#REF!</definedName>
    <definedName name="\a" localSheetId="15">'PAAO (2)'!#REF!</definedName>
    <definedName name="\a" localSheetId="30">'paao (3)'!#REF!</definedName>
    <definedName name="\a" localSheetId="37">'PAAO (4)'!#REF!</definedName>
    <definedName name="\a" localSheetId="2">'paao admin'!#REF!</definedName>
    <definedName name="\a" localSheetId="34">'PAAO NEW'!#REF!</definedName>
    <definedName name="\a" localSheetId="135">PAAOE!#REF!</definedName>
    <definedName name="\a" localSheetId="92">'PAAOE (2021)'!#REF!</definedName>
    <definedName name="\a" localSheetId="48">'PAAOE NEW HAZARD'!#REF!</definedName>
    <definedName name="\a" localSheetId="28">'PAMANA PROGRAM'!#REF!</definedName>
    <definedName name="\a" localSheetId="17">'PAMANA, RCSP &amp; OTHERS'!#REF!</definedName>
    <definedName name="\a" localSheetId="164">'PEACE AND ORDER FUND'!#REF!</definedName>
    <definedName name="\a" localSheetId="144">PESO!#REF!</definedName>
    <definedName name="\a" localSheetId="151">PIO!#REF!</definedName>
    <definedName name="\a" localSheetId="3">plantilla!#REF!</definedName>
    <definedName name="\a" localSheetId="10">'plantilla (2)'!#REF!</definedName>
    <definedName name="\a" localSheetId="14">'PLANTILLA (3)'!#REF!</definedName>
    <definedName name="\a" localSheetId="29">'plantilla (4)'!#REF!</definedName>
    <definedName name="\a" localSheetId="31">'plantilla (5)'!#REF!</definedName>
    <definedName name="\a" localSheetId="36">'PLANTILLA (6)'!#REF!</definedName>
    <definedName name="\a" localSheetId="40">'plantilla (7)'!#REF!</definedName>
    <definedName name="\a" localSheetId="47">'plantilla (8)'!#REF!</definedName>
    <definedName name="\a" localSheetId="1">'plantilla new'!#REF!</definedName>
    <definedName name="\a" localSheetId="33">'PLANTILLA NEW (2)'!#REF!</definedName>
    <definedName name="\a" localSheetId="186">'PLAza - FINAL-8-31-21'!#REF!</definedName>
    <definedName name="\a" localSheetId="160">PLEB!#REF!</definedName>
    <definedName name="\a" localSheetId="75">pmsd2022!#REF!</definedName>
    <definedName name="\a" localSheetId="168">PPMO!#REF!</definedName>
    <definedName name="\a" localSheetId="16">'PROJECT MONITORING'!#REF!</definedName>
    <definedName name="\a" localSheetId="76">pttd2022!#REF!</definedName>
    <definedName name="\a" localSheetId="123">'rabies eradication '!#REF!</definedName>
    <definedName name="\a" localSheetId="67">'Rep&amp;Maint-Investment Property'!#REF!</definedName>
    <definedName name="\a" localSheetId="124">'RICE PRODUCTION'!#REF!</definedName>
    <definedName name="\a" localSheetId="39">sacapraise!#REF!</definedName>
    <definedName name="\a" localSheetId="158">'SCC APPRAISAL COMMITTEE'!#REF!</definedName>
    <definedName name="\a" localSheetId="142">SCCCADAC!#REF!</definedName>
    <definedName name="\a" localSheetId="143">SCCYA!#REF!</definedName>
    <definedName name="\a" localSheetId="147">'SCHOLARSHIP PROG. FOR STUDENTS'!#REF!</definedName>
    <definedName name="\a" localSheetId="148">'SCHOLARSHIP PROG. FOR teachers'!#REF!</definedName>
    <definedName name="\a" localSheetId="24">SCIHA!#REF!</definedName>
    <definedName name="\a" localSheetId="150">'SCIHA (2)'!#REF!</definedName>
    <definedName name="\a" localSheetId="18">'SIPA '!#REF!</definedName>
    <definedName name="\a" localSheetId="187">'SPECIAL PURPOSE - FINAL 2022'!#REF!</definedName>
    <definedName name="\a" localSheetId="145">SPORTS!#REF!</definedName>
    <definedName name="\a" localSheetId="68">'STD-HIV'!#REF!</definedName>
    <definedName name="\a" localSheetId="49">'summary '!#REF!</definedName>
    <definedName name="\a" localSheetId="166">'TASK FORCE RIGHT OF WAY'!#REF!</definedName>
    <definedName name="\a" localSheetId="114">'technical&amp;market support '!#REF!</definedName>
    <definedName name="\a" localSheetId="146">TOURISM!#REF!</definedName>
    <definedName name="\a" localSheetId="169">'TRAFFIC MANAGEMENT AUTHORITY'!#REF!</definedName>
    <definedName name="\a" localSheetId="116">'vegetable production'!#REF!</definedName>
    <definedName name="\a" localSheetId="70">'VOLUNTARY BLOOD DONATION'!#REF!</definedName>
    <definedName name="\a" localSheetId="71">ZOD!#REF!</definedName>
    <definedName name="\a">'[1]HOS-plantilla'!#REF!</definedName>
    <definedName name="_Regression_Int" localSheetId="177" hidden="1">1</definedName>
    <definedName name="_Regression_Int" localSheetId="119" hidden="1">1</definedName>
    <definedName name="_Regression_Int" localSheetId="153" hidden="1">1</definedName>
    <definedName name="_Regression_Int" localSheetId="154" hidden="1">1</definedName>
    <definedName name="_Regression_Int" localSheetId="155" hidden="1">1</definedName>
    <definedName name="_Regression_Int" localSheetId="162" hidden="1">1</definedName>
    <definedName name="_Regression_Int" localSheetId="50" hidden="1">1</definedName>
    <definedName name="_Regression_Int" localSheetId="118" hidden="1">1</definedName>
    <definedName name="_Regression_Int" localSheetId="110" hidden="1">1</definedName>
    <definedName name="_Regression_Int" localSheetId="172" hidden="1">1</definedName>
    <definedName name="_Regression_Int" localSheetId="51" hidden="1">1</definedName>
    <definedName name="_Regression_Int" localSheetId="55" hidden="1">1</definedName>
    <definedName name="_Regression_Int" localSheetId="52" hidden="1">1</definedName>
    <definedName name="_Regression_Int" localSheetId="38" hidden="1">1</definedName>
    <definedName name="_Regression_Int" localSheetId="111" hidden="1">1</definedName>
    <definedName name="_Regression_Int" localSheetId="5" hidden="1">1</definedName>
    <definedName name="_Regression_Int" localSheetId="161" hidden="1">1</definedName>
    <definedName name="_Regression_Int" localSheetId="88" hidden="1">1</definedName>
    <definedName name="_Regression_Int" localSheetId="120" hidden="1">1</definedName>
    <definedName name="_Regression_Int" localSheetId="83" hidden="1">1</definedName>
    <definedName name="_Regression_Int" localSheetId="90" hidden="1">1</definedName>
    <definedName name="_Regression_Int" localSheetId="159" hidden="1">1</definedName>
    <definedName name="_Regression_Int" localSheetId="27" hidden="1">1</definedName>
    <definedName name="_Regression_Int" localSheetId="22" hidden="1">1</definedName>
    <definedName name="_Regression_Int" localSheetId="141" hidden="1">1</definedName>
    <definedName name="_Regression_Int" localSheetId="53" hidden="1">1</definedName>
    <definedName name="_Regression_Int" localSheetId="26" hidden="1">1</definedName>
    <definedName name="_Regression_Int" localSheetId="54" hidden="1">1</definedName>
    <definedName name="_Regression_Int" localSheetId="156" hidden="1">1</definedName>
    <definedName name="_Regression_Int" localSheetId="128" hidden="1">1</definedName>
    <definedName name="_Regression_Int" localSheetId="129" hidden="1">1</definedName>
    <definedName name="_Regression_Int" localSheetId="140" hidden="1">1</definedName>
    <definedName name="_Regression_Int" localSheetId="133" hidden="1">1</definedName>
    <definedName name="_Regression_Int" localSheetId="178" hidden="1">1</definedName>
    <definedName name="_Regression_Int" localSheetId="82" hidden="1">1</definedName>
    <definedName name="_Regression_Int" localSheetId="152" hidden="1">1</definedName>
    <definedName name="_Regression_Int" localSheetId="131" hidden="1">1</definedName>
    <definedName name="_Regression_Int" localSheetId="130" hidden="1">1</definedName>
    <definedName name="_Regression_Int" localSheetId="163" hidden="1">1</definedName>
    <definedName name="_Regression_Int" localSheetId="23" hidden="1">1</definedName>
    <definedName name="_Regression_Int" localSheetId="56" hidden="1">1</definedName>
    <definedName name="_Regression_Int" localSheetId="181" hidden="1">1</definedName>
    <definedName name="_Regression_Int" localSheetId="84" hidden="1">1</definedName>
    <definedName name="_Regression_Int" localSheetId="132" hidden="1">1</definedName>
    <definedName name="_Regression_Int" localSheetId="121" hidden="1">1</definedName>
    <definedName name="_Regression_Int" localSheetId="74" hidden="1">1</definedName>
    <definedName name="_Regression_Int" localSheetId="57" hidden="1">1</definedName>
    <definedName name="_Regression_Int" localSheetId="58" hidden="1">1</definedName>
    <definedName name="_Regression_Int" localSheetId="113" hidden="1">1</definedName>
    <definedName name="_Regression_Int" localSheetId="112" hidden="1">1</definedName>
    <definedName name="_Regression_Int" localSheetId="127" hidden="1">1</definedName>
    <definedName name="_Regression_Int" localSheetId="80" hidden="1">1</definedName>
    <definedName name="_Regression_Int" localSheetId="59" hidden="1">1</definedName>
    <definedName name="_Regression_Int" localSheetId="149" hidden="1">1</definedName>
    <definedName name="_Regression_Int" localSheetId="125" hidden="1">1</definedName>
    <definedName name="_Regression_Int" localSheetId="79" hidden="1">1</definedName>
    <definedName name="_Regression_Int" localSheetId="7" hidden="1">1</definedName>
    <definedName name="_Regression_Int" localSheetId="72" hidden="1">1</definedName>
    <definedName name="_Regression_Int" localSheetId="134" hidden="1">1</definedName>
    <definedName name="_Regression_Int" localSheetId="19" hidden="1">1</definedName>
    <definedName name="_Regression_Int" localSheetId="115" hidden="1">1</definedName>
    <definedName name="_Regression_Int" localSheetId="60" hidden="1">1</definedName>
    <definedName name="_Regression_Int" localSheetId="73" hidden="1">1</definedName>
    <definedName name="_Regression_Int" localSheetId="138" hidden="1">1</definedName>
    <definedName name="_Regression_Int" localSheetId="137" hidden="1">1</definedName>
    <definedName name="_Regression_Int" localSheetId="25" hidden="1">1</definedName>
    <definedName name="_Regression_Int" localSheetId="122" hidden="1">1</definedName>
    <definedName name="_Regression_Int" localSheetId="170" hidden="1">1</definedName>
    <definedName name="_Regression_Int" localSheetId="165" hidden="1">1</definedName>
    <definedName name="_Regression_Int" localSheetId="81" hidden="1">1</definedName>
    <definedName name="_Regression_Int" localSheetId="64" hidden="1">1</definedName>
    <definedName name="_Regression_Int" localSheetId="176" hidden="1">1</definedName>
    <definedName name="_Regression_Int" localSheetId="21" hidden="1">1</definedName>
    <definedName name="_Regression_Int" localSheetId="157" hidden="1">1</definedName>
    <definedName name="_Regression_Int" localSheetId="89" hidden="1">1</definedName>
    <definedName name="_Regression_Int" localSheetId="4" hidden="1">1</definedName>
    <definedName name="_Regression_Int" localSheetId="32" hidden="1">1</definedName>
    <definedName name="_Regression_Int" localSheetId="45" hidden="1">1</definedName>
    <definedName name="_Regression_Int" localSheetId="46" hidden="1">1</definedName>
    <definedName name="_Regression_Int" localSheetId="109" hidden="1">1</definedName>
    <definedName name="_Regression_Int" localSheetId="6" hidden="1">1</definedName>
    <definedName name="_Regression_Int" localSheetId="8" hidden="1">1</definedName>
    <definedName name="_Regression_Int" localSheetId="9" hidden="1">1</definedName>
    <definedName name="_Regression_Int" localSheetId="13" hidden="1">1</definedName>
    <definedName name="_Regression_Int" localSheetId="35" hidden="1">1</definedName>
    <definedName name="_Regression_Int" localSheetId="41" hidden="1">1</definedName>
    <definedName name="_Regression_Int" localSheetId="42" hidden="1">1</definedName>
    <definedName name="_Regression_Int" localSheetId="43" hidden="1">1</definedName>
    <definedName name="_Regression_Int" localSheetId="77" hidden="1">1</definedName>
    <definedName name="_Regression_Int" localSheetId="12" hidden="1">1</definedName>
    <definedName name="_Regression_Int" localSheetId="44" hidden="1">1</definedName>
    <definedName name="_Regression_Int" localSheetId="61" hidden="1">1</definedName>
    <definedName name="_Regression_Int" localSheetId="167" hidden="1">1</definedName>
    <definedName name="_Regression_Int" localSheetId="69" hidden="1">1</definedName>
    <definedName name="_Regression_Int" localSheetId="20" hidden="1">1</definedName>
    <definedName name="_Regression_Int" localSheetId="185" hidden="1">1</definedName>
    <definedName name="_Regression_Int" localSheetId="85" hidden="1">1</definedName>
    <definedName name="_Regression_Int" localSheetId="62" hidden="1">1</definedName>
    <definedName name="_Regression_Int" localSheetId="63" hidden="1">1</definedName>
    <definedName name="_Regression_Int" localSheetId="86" hidden="1">1</definedName>
    <definedName name="_Regression_Int" localSheetId="78" hidden="1">1</definedName>
    <definedName name="_Regression_Int" localSheetId="126" hidden="1">1</definedName>
    <definedName name="_Regression_Int" localSheetId="171" hidden="1">1</definedName>
    <definedName name="_Regression_Int" localSheetId="65" hidden="1">1</definedName>
    <definedName name="_Regression_Int" localSheetId="87" hidden="1">1</definedName>
    <definedName name="_Regression_Int" localSheetId="180" hidden="1">1</definedName>
    <definedName name="_Regression_Int" localSheetId="66" hidden="1">1</definedName>
    <definedName name="_Regression_Int" localSheetId="182" hidden="1">1</definedName>
    <definedName name="_Regression_Int" localSheetId="183" hidden="1">1</definedName>
    <definedName name="_Regression_Int" localSheetId="175" hidden="1">1</definedName>
    <definedName name="_Regression_Int" localSheetId="184" hidden="1">1</definedName>
    <definedName name="_Regression_Int" localSheetId="179" hidden="1">1</definedName>
    <definedName name="_Regression_Int" localSheetId="117" hidden="1">1</definedName>
    <definedName name="_Regression_Int" localSheetId="174" hidden="1">1</definedName>
    <definedName name="_Regression_Int" localSheetId="11" hidden="1">1</definedName>
    <definedName name="_Regression_Int" localSheetId="15" hidden="1">1</definedName>
    <definedName name="_Regression_Int" localSheetId="30" hidden="1">1</definedName>
    <definedName name="_Regression_Int" localSheetId="37" hidden="1">1</definedName>
    <definedName name="_Regression_Int" localSheetId="2" hidden="1">1</definedName>
    <definedName name="_Regression_Int" localSheetId="34" hidden="1">1</definedName>
    <definedName name="_Regression_Int" localSheetId="135" hidden="1">1</definedName>
    <definedName name="_Regression_Int" localSheetId="92" hidden="1">1</definedName>
    <definedName name="_Regression_Int" localSheetId="48" hidden="1">1</definedName>
    <definedName name="_Regression_Int" localSheetId="28" hidden="1">1</definedName>
    <definedName name="_Regression_Int" localSheetId="17" hidden="1">1</definedName>
    <definedName name="_Regression_Int" localSheetId="164" hidden="1">1</definedName>
    <definedName name="_Regression_Int" localSheetId="144" hidden="1">1</definedName>
    <definedName name="_Regression_Int" localSheetId="151" hidden="1">1</definedName>
    <definedName name="_Regression_Int" localSheetId="3" hidden="1">1</definedName>
    <definedName name="_Regression_Int" localSheetId="10" hidden="1">1</definedName>
    <definedName name="_Regression_Int" localSheetId="14" hidden="1">1</definedName>
    <definedName name="_Regression_Int" localSheetId="29" hidden="1">1</definedName>
    <definedName name="_Regression_Int" localSheetId="31" hidden="1">1</definedName>
    <definedName name="_Regression_Int" localSheetId="36" hidden="1">1</definedName>
    <definedName name="_Regression_Int" localSheetId="40" hidden="1">1</definedName>
    <definedName name="_Regression_Int" localSheetId="47" hidden="1">1</definedName>
    <definedName name="_Regression_Int" localSheetId="1" hidden="1">1</definedName>
    <definedName name="_Regression_Int" localSheetId="33" hidden="1">1</definedName>
    <definedName name="_Regression_Int" localSheetId="186" hidden="1">1</definedName>
    <definedName name="_Regression_Int" localSheetId="160" hidden="1">1</definedName>
    <definedName name="_Regression_Int" localSheetId="75" hidden="1">1</definedName>
    <definedName name="_Regression_Int" localSheetId="168" hidden="1">1</definedName>
    <definedName name="_Regression_Int" localSheetId="16" hidden="1">1</definedName>
    <definedName name="_Regression_Int" localSheetId="76" hidden="1">1</definedName>
    <definedName name="_Regression_Int" localSheetId="123" hidden="1">1</definedName>
    <definedName name="_Regression_Int" localSheetId="67" hidden="1">1</definedName>
    <definedName name="_Regression_Int" localSheetId="124" hidden="1">1</definedName>
    <definedName name="_Regression_Int" localSheetId="39" hidden="1">1</definedName>
    <definedName name="_Regression_Int" localSheetId="158" hidden="1">1</definedName>
    <definedName name="_Regression_Int" localSheetId="142" hidden="1">1</definedName>
    <definedName name="_Regression_Int" localSheetId="143" hidden="1">1</definedName>
    <definedName name="_Regression_Int" localSheetId="147" hidden="1">1</definedName>
    <definedName name="_Regression_Int" localSheetId="148" hidden="1">1</definedName>
    <definedName name="_Regression_Int" localSheetId="24" hidden="1">1</definedName>
    <definedName name="_Regression_Int" localSheetId="150" hidden="1">1</definedName>
    <definedName name="_Regression_Int" localSheetId="18" hidden="1">1</definedName>
    <definedName name="_Regression_Int" localSheetId="187" hidden="1">1</definedName>
    <definedName name="_Regression_Int" localSheetId="145" hidden="1">1</definedName>
    <definedName name="_Regression_Int" localSheetId="68" hidden="1">1</definedName>
    <definedName name="_Regression_Int" localSheetId="49" hidden="1">1</definedName>
    <definedName name="_Regression_Int" localSheetId="166" hidden="1">1</definedName>
    <definedName name="_Regression_Int" localSheetId="114" hidden="1">1</definedName>
    <definedName name="_Regression_Int" localSheetId="146" hidden="1">1</definedName>
    <definedName name="_Regression_Int" localSheetId="169" hidden="1">1</definedName>
    <definedName name="_Regression_Int" localSheetId="116" hidden="1">1</definedName>
    <definedName name="_Regression_Int" localSheetId="70" hidden="1">1</definedName>
    <definedName name="_Regression_Int" localSheetId="71" hidden="1">1</definedName>
    <definedName name="BJMP" localSheetId="46">'[1]HOS-plantilla'!#REF!</definedName>
    <definedName name="BJMP" localSheetId="9">'[1]HOS-plantilla'!#REF!</definedName>
    <definedName name="BJMP" localSheetId="35">'[1]HOS-plantilla'!#REF!</definedName>
    <definedName name="BJMP" localSheetId="42">'[1]HOS-plantilla'!#REF!</definedName>
    <definedName name="BJMP" localSheetId="43">'[1]HOS-plantilla'!#REF!</definedName>
    <definedName name="BJMP">'[1]HOS-plantilla'!#REF!</definedName>
    <definedName name="COPY">'[1]HOS-plantilla'!#REF!</definedName>
    <definedName name="LBPFNO3">'[1]HOS-plantilla'!#REF!</definedName>
    <definedName name="MENNU3">'[1]HOS-plantilla'!#REF!</definedName>
    <definedName name="MENU" localSheetId="177">' 4 P''S - FINAL'!#REF!</definedName>
    <definedName name="MENU" localSheetId="119">'abaca industry devt'!#REF!</definedName>
    <definedName name="MENU" localSheetId="153">'ABC FEDERATION'!#REF!</definedName>
    <definedName name="MENU" localSheetId="154">'ABC FEDERATION - brgy. TANOD'!#REF!</definedName>
    <definedName name="MENU" localSheetId="155">'ABC- KATARUNGANG PAMBARANGAY'!#REF!</definedName>
    <definedName name="MENU" localSheetId="162">ADHOC!#REF!</definedName>
    <definedName name="MENU" localSheetId="50">Adolescent!#REF!</definedName>
    <definedName name="MENU" localSheetId="118">'agri center &amp; demo area'!#REF!</definedName>
    <definedName name="MENU" localSheetId="110">'animal disease'!#REF!</definedName>
    <definedName name="MENU" localSheetId="172">'ANTI-COVID19 PROGRAM'!#REF!</definedName>
    <definedName name="MENU" localSheetId="51">'ANTI-HUMAN RABIES'!#REF!</definedName>
    <definedName name="MENU" localSheetId="55">'ANTI-SMOKING'!#REF!</definedName>
    <definedName name="MENU" localSheetId="52">'ANTI-TB Program'!#REF!</definedName>
    <definedName name="MENU" localSheetId="38">arta!#REF!</definedName>
    <definedName name="MENU" localSheetId="111">'artificial insemination'!#REF!</definedName>
    <definedName name="MENU" localSheetId="5">'assessor plantilla'!#REF!</definedName>
    <definedName name="MENU" localSheetId="161">BAC!#REF!</definedName>
    <definedName name="MENU" localSheetId="88">'BAGO RIVER'!#REF!</definedName>
    <definedName name="MENU" localSheetId="120">'bamboo production'!#REF!</definedName>
    <definedName name="MENU" localSheetId="83">'BANTAY DAGAT'!#REF!</definedName>
    <definedName name="MENU" localSheetId="90">beautification!#REF!</definedName>
    <definedName name="MENU" localSheetId="159">BPLO!#REF!</definedName>
    <definedName name="MENU" localSheetId="27">'BUB '!#REF!</definedName>
    <definedName name="MENU" localSheetId="22">'BUB ,PAMANA, ETC.'!#REF!</definedName>
    <definedName name="MENU" localSheetId="141">CAWA!#REF!</definedName>
    <definedName name="MENU" localSheetId="53">CBHS!#REF!</definedName>
    <definedName name="MENU" localSheetId="26">CBMS!#REF!</definedName>
    <definedName name="MENU" localSheetId="54">CBR!#REF!</definedName>
    <definedName name="MENU" localSheetId="156">'CCC - ALGERS'!#REF!</definedName>
    <definedName name="MENU" localSheetId="128">'CDRRMO - FINAL 2022 - 9-28-21'!#REF!</definedName>
    <definedName name="MENU" localSheetId="129">'CEO - FINAL'!#REF!</definedName>
    <definedName name="MENU" localSheetId="140">'CEO-OBO-FINAL'!#REF!</definedName>
    <definedName name="MENU" localSheetId="133">'CEO-STREETLIGHTING - FINAL 9-3'!#REF!</definedName>
    <definedName name="MENU" localSheetId="178">'CIACAT - VAWC - FINAL'!#REF!</definedName>
    <definedName name="MENU" localSheetId="82">'CITY LANES'!#REF!</definedName>
    <definedName name="MENU" localSheetId="152">CLDO!#REF!</definedName>
    <definedName name="MENU" localSheetId="131">'CMO-PAAO - FINAL 9-22-21'!#REF!</definedName>
    <definedName name="MENU" localSheetId="163">CODI!#REF!</definedName>
    <definedName name="MENU" localSheetId="23">'Compre Data Collection &amp; Update'!#REF!</definedName>
    <definedName name="MENU" localSheetId="56">'Contraceptive Self Reliance'!#REF!</definedName>
    <definedName name="MENU" localSheetId="181">'COUNTRY PROGRAM FOR CHILDREN '!#REF!</definedName>
    <definedName name="MENU" localSheetId="84">CRM!#REF!</definedName>
    <definedName name="MENU" localSheetId="132">'CSWDO-EDITED FINAL'!#REF!</definedName>
    <definedName name="MENU" localSheetId="121">'cutflower industry'!#REF!</definedName>
    <definedName name="MENU" localSheetId="74">'cwd2022'!#REF!</definedName>
    <definedName name="MENU" localSheetId="57">DENGUE!#REF!</definedName>
    <definedName name="MENU" localSheetId="58">'DENTAL HEALTH'!#REF!</definedName>
    <definedName name="MENU" localSheetId="113">'dispersal &amp; upg of small animal'!#REF!</definedName>
    <definedName name="MENU" localSheetId="112">'dispersal of large animals'!#REF!</definedName>
    <definedName name="MENU" localSheetId="127">'duck &amp; turkey'!#REF!</definedName>
    <definedName name="MENU" localSheetId="80">'ECO CENTER'!#REF!</definedName>
    <definedName name="MENU" localSheetId="59">'FAMILY PLANNING'!#REF!</definedName>
    <definedName name="MENU" localSheetId="149">'FIN. ASSIST. GRADUATE SCHOLAR'!#REF!</definedName>
    <definedName name="MENU" localSheetId="125">'free range chicken'!#REF!</definedName>
    <definedName name="MENU" localSheetId="79">'GARBAGE COLLECTION'!#REF!</definedName>
    <definedName name="MENU" localSheetId="7">'gen revision'!#REF!</definedName>
    <definedName name="MENU" localSheetId="72">'GENFUND 2022 FINAL'!#REF!</definedName>
    <definedName name="MENU" localSheetId="19">Heritage!#REF!</definedName>
    <definedName name="MENU" localSheetId="115">'high value commcl crops fruits'!#REF!</definedName>
    <definedName name="MENU" localSheetId="60">HIS!#REF!</definedName>
    <definedName name="MENU" localSheetId="73">hosp2022!#REF!</definedName>
    <definedName name="MENU" localSheetId="138">'HOSPITAL-PAAOE- FINAL'!#REF!</definedName>
    <definedName name="MENU" localSheetId="25">'HOUSEHOLD PROFILING'!#REF!</definedName>
    <definedName name="MENU" localSheetId="122">'hvcc cacao coffee peanut'!#REF!</definedName>
    <definedName name="MENU" localSheetId="170">'I 4 J - 2022'!#REF!</definedName>
    <definedName name="MENU" localSheetId="165">ICTC!#REF!</definedName>
    <definedName name="MENU" localSheetId="81">IEC!#REF!</definedName>
    <definedName name="MENU" localSheetId="64">IMMUNIZATION!#REF!</definedName>
    <definedName name="MENU" localSheetId="176">'IMPLEMENTATION OF MDG FACES'!#REF!</definedName>
    <definedName name="MENU" localSheetId="21">INDIGENOUS!#REF!</definedName>
    <definedName name="MENU" localSheetId="157">'INTERNAL AUDIT SERVICE'!#REF!</definedName>
    <definedName name="MENU" localSheetId="89">'law enforcement'!#REF!</definedName>
    <definedName name="MENU" localSheetId="4">'LBPF No. 2'!#REF!</definedName>
    <definedName name="MENU" localSheetId="32">'LBPF No. 2 '!#REF!</definedName>
    <definedName name="MENU" localSheetId="45">'LBPF No. 2 (10)'!#REF!</definedName>
    <definedName name="MENU" localSheetId="46">'LBPF No. 2 (11)'!#REF!</definedName>
    <definedName name="MENU" localSheetId="109">'LBPF No. 2 (12)'!#REF!</definedName>
    <definedName name="MENU" localSheetId="6">'LBPF No. 2 (2)'!#REF!</definedName>
    <definedName name="MENU" localSheetId="8">'LBPF No. 2 (3)'!#REF!</definedName>
    <definedName name="MENU" localSheetId="9">'LBPF No. 2 (4)'!#REF!</definedName>
    <definedName name="MENU" localSheetId="13">'LBPF No. 2 (5)'!#REF!</definedName>
    <definedName name="MENU" localSheetId="35">'LBPF No. 2 (6)'!#REF!</definedName>
    <definedName name="MENU" localSheetId="41">'LBPF No. 2 (7)'!#REF!</definedName>
    <definedName name="MENU" localSheetId="42">'LBPF No. 2 (8)'!#REF!</definedName>
    <definedName name="MENU" localSheetId="43">'LBPF No. 2 (9)'!#REF!</definedName>
    <definedName name="MENU" localSheetId="77">'LBPF No. 2(3312)'!#REF!</definedName>
    <definedName name="MENU" localSheetId="12">'LBPF No. 4'!#REF!</definedName>
    <definedName name="MENU" localSheetId="44">'LBPF No.3'!#REF!</definedName>
    <definedName name="MENU" localSheetId="61">'LEPROSY '!#REF!</definedName>
    <definedName name="MENU" localSheetId="167">LET!#REF!</definedName>
    <definedName name="MENU" localSheetId="69">'LIFESTYLE DISEASES'!#REF!</definedName>
    <definedName name="MENU" localSheetId="20">'Mainstreaming CBMS in Brgy. Dev'!#REF!</definedName>
    <definedName name="MENU" localSheetId="185">'mandana''s - garcia'!#REF!</definedName>
    <definedName name="MENU" localSheetId="85">'MARINE PROTECTED'!#REF!</definedName>
    <definedName name="MENU" localSheetId="62">'MATERNAL &amp; CHILD HEALTH CARE'!#REF!</definedName>
    <definedName name="MENU" localSheetId="63">'Mental Health'!#REF!</definedName>
    <definedName name="MENU" localSheetId="86">MKNP!#REF!</definedName>
    <definedName name="MENU" localSheetId="78">MMT!#REF!</definedName>
    <definedName name="MENU" localSheetId="126">mushroom!#REF!</definedName>
    <definedName name="MENU" localSheetId="171">'NEGOSYO CENTER - SCCIPC'!#REF!</definedName>
    <definedName name="MENU" localSheetId="65">'NEWBORN SCREENING'!#REF!</definedName>
    <definedName name="MENU" localSheetId="87">NNNP!#REF!</definedName>
    <definedName name="MENU" localSheetId="180">'NUTRITION COUNCIL'!#REF!</definedName>
    <definedName name="MENU" localSheetId="66">'NUTRITION PROGRAM'!#REF!</definedName>
    <definedName name="MENU" localSheetId="182">'OFFICE OF PWD'!#REF!</definedName>
    <definedName name="MENU" localSheetId="183">'OPERATION OF GAD COUNCIL'!#REF!</definedName>
    <definedName name="MENU" localSheetId="175">'OPERATION OF GUIDANCE CENTER '!#REF!</definedName>
    <definedName name="MENU" localSheetId="184">'OPERATION OF LCPC - SSS'!#REF!</definedName>
    <definedName name="MENU" localSheetId="179">'OPERATION OF THE CURFEW CENTER'!#REF!</definedName>
    <definedName name="MENU" localSheetId="117">'organic agri devt'!#REF!</definedName>
    <definedName name="MENU" localSheetId="174">'OSCA - PST '!#REF!</definedName>
    <definedName name="MENU" localSheetId="11">paao!#REF!</definedName>
    <definedName name="MENU" localSheetId="15">'PAAO (2)'!#REF!</definedName>
    <definedName name="MENU" localSheetId="30">'paao (3)'!#REF!</definedName>
    <definedName name="MENU" localSheetId="37">'PAAO (4)'!#REF!</definedName>
    <definedName name="MENU" localSheetId="2">'paao admin'!#REF!</definedName>
    <definedName name="MENU" localSheetId="34">'PAAO NEW'!#REF!</definedName>
    <definedName name="MENU" localSheetId="135">PAAOE!#REF!</definedName>
    <definedName name="MENU" localSheetId="92">'PAAOE (2021)'!#REF!</definedName>
    <definedName name="MENU" localSheetId="48">'PAAOE NEW HAZARD'!#REF!</definedName>
    <definedName name="MENU" localSheetId="28">'PAMANA PROGRAM'!#REF!</definedName>
    <definedName name="MENU" localSheetId="17">'PAMANA, RCSP &amp; OTHERS'!#REF!</definedName>
    <definedName name="MENU" localSheetId="164">'PEACE AND ORDER FUND'!#REF!</definedName>
    <definedName name="MENU" localSheetId="144">PESO!#REF!</definedName>
    <definedName name="MENU" localSheetId="151">PIO!#REF!</definedName>
    <definedName name="MENU" localSheetId="3">plantilla!#REF!</definedName>
    <definedName name="MENU" localSheetId="10">'plantilla (2)'!#REF!</definedName>
    <definedName name="MENU" localSheetId="14">'PLANTILLA (3)'!#REF!</definedName>
    <definedName name="MENU" localSheetId="29">'plantilla (4)'!#REF!</definedName>
    <definedName name="MENU" localSheetId="31">'plantilla (5)'!#REF!</definedName>
    <definedName name="MENU" localSheetId="36">'PLANTILLA (6)'!#REF!</definedName>
    <definedName name="MENU" localSheetId="40">'plantilla (7)'!#REF!</definedName>
    <definedName name="MENU" localSheetId="47">'plantilla (8)'!#REF!</definedName>
    <definedName name="MENU" localSheetId="1">'plantilla new'!#REF!</definedName>
    <definedName name="MENU" localSheetId="33">'PLANTILLA NEW (2)'!#REF!</definedName>
    <definedName name="MENU" localSheetId="186">'PLAza - FINAL-8-31-21'!#REF!</definedName>
    <definedName name="MENU" localSheetId="160">PLEB!#REF!</definedName>
    <definedName name="MENU" localSheetId="75">pmsd2022!#REF!</definedName>
    <definedName name="MENU" localSheetId="168">PPMO!#REF!</definedName>
    <definedName name="MENU" localSheetId="16">'PROJECT MONITORING'!#REF!</definedName>
    <definedName name="MENU" localSheetId="76">pttd2022!#REF!</definedName>
    <definedName name="MENU" localSheetId="123">'rabies eradication '!#REF!</definedName>
    <definedName name="MENU" localSheetId="67">'Rep&amp;Maint-Investment Property'!#REF!</definedName>
    <definedName name="MENU" localSheetId="124">'RICE PRODUCTION'!#REF!</definedName>
    <definedName name="MENU" localSheetId="39">sacapraise!#REF!</definedName>
    <definedName name="MENU" localSheetId="158">'SCC APPRAISAL COMMITTEE'!#REF!</definedName>
    <definedName name="MENU" localSheetId="142">SCCCADAC!#REF!</definedName>
    <definedName name="MENU" localSheetId="143">SCCYA!#REF!</definedName>
    <definedName name="MENU" localSheetId="147">'SCHOLARSHIP PROG. FOR STUDENTS'!#REF!</definedName>
    <definedName name="MENU" localSheetId="148">'SCHOLARSHIP PROG. FOR teachers'!#REF!</definedName>
    <definedName name="MENU" localSheetId="24">SCIHA!#REF!</definedName>
    <definedName name="MENU" localSheetId="150">'SCIHA (2)'!#REF!</definedName>
    <definedName name="MENU" localSheetId="18">'SIPA '!#REF!</definedName>
    <definedName name="MENU" localSheetId="187">'SPECIAL PURPOSE - FINAL 2022'!#REF!</definedName>
    <definedName name="MENU" localSheetId="145">SPORTS!#REF!</definedName>
    <definedName name="MENU" localSheetId="68">'STD-HIV'!#REF!</definedName>
    <definedName name="MENU" localSheetId="49">'summary '!#REF!</definedName>
    <definedName name="MENU" localSheetId="166">'TASK FORCE RIGHT OF WAY'!#REF!</definedName>
    <definedName name="MENU" localSheetId="114">'technical&amp;market support '!#REF!</definedName>
    <definedName name="MENU" localSheetId="146">TOURISM!#REF!</definedName>
    <definedName name="MENU" localSheetId="169">'TRAFFIC MANAGEMENT AUTHORITY'!#REF!</definedName>
    <definedName name="MENU" localSheetId="116">'vegetable production'!#REF!</definedName>
    <definedName name="MENU" localSheetId="70">'VOLUNTARY BLOOD DONATION'!#REF!</definedName>
    <definedName name="MENU" localSheetId="71">ZOD!#REF!</definedName>
    <definedName name="MENU">'[1]HOS-plantilla'!#REF!</definedName>
    <definedName name="MENU1" localSheetId="177">' 4 P''S - FINAL'!#REF!</definedName>
    <definedName name="MENU1" localSheetId="119">'abaca industry devt'!#REF!</definedName>
    <definedName name="MENU1" localSheetId="153">'ABC FEDERATION'!#REF!</definedName>
    <definedName name="MENU1" localSheetId="154">'ABC FEDERATION - brgy. TANOD'!#REF!</definedName>
    <definedName name="MENU1" localSheetId="155">'ABC- KATARUNGANG PAMBARANGAY'!#REF!</definedName>
    <definedName name="MENU1" localSheetId="162">ADHOC!#REF!</definedName>
    <definedName name="MENU1" localSheetId="50">Adolescent!#REF!</definedName>
    <definedName name="MENU1" localSheetId="118">'agri center &amp; demo area'!#REF!</definedName>
    <definedName name="MENU1" localSheetId="110">'animal disease'!#REF!</definedName>
    <definedName name="MENU1" localSheetId="172">'ANTI-COVID19 PROGRAM'!#REF!</definedName>
    <definedName name="MENU1" localSheetId="51">'ANTI-HUMAN RABIES'!#REF!</definedName>
    <definedName name="MENU1" localSheetId="55">'ANTI-SMOKING'!#REF!</definedName>
    <definedName name="MENU1" localSheetId="52">'ANTI-TB Program'!#REF!</definedName>
    <definedName name="MENU1" localSheetId="38">arta!#REF!</definedName>
    <definedName name="MENU1" localSheetId="111">'artificial insemination'!#REF!</definedName>
    <definedName name="MENU1" localSheetId="5">'assessor plantilla'!#REF!</definedName>
    <definedName name="MENU1" localSheetId="161">BAC!#REF!</definedName>
    <definedName name="MENU1" localSheetId="88">'BAGO RIVER'!#REF!</definedName>
    <definedName name="MENU1" localSheetId="120">'bamboo production'!#REF!</definedName>
    <definedName name="MENU1" localSheetId="83">'BANTAY DAGAT'!#REF!</definedName>
    <definedName name="MENU1" localSheetId="90">beautification!#REF!</definedName>
    <definedName name="MENU1" localSheetId="159">BPLO!#REF!</definedName>
    <definedName name="MENU1" localSheetId="27">'BUB '!#REF!</definedName>
    <definedName name="MENU1" localSheetId="22">'BUB ,PAMANA, ETC.'!#REF!</definedName>
    <definedName name="MENU1" localSheetId="141">CAWA!#REF!</definedName>
    <definedName name="MENU1" localSheetId="53">CBHS!#REF!</definedName>
    <definedName name="MENU1" localSheetId="26">CBMS!#REF!</definedName>
    <definedName name="MENU1" localSheetId="54">CBR!#REF!</definedName>
    <definedName name="MENU1" localSheetId="156">'CCC - ALGERS'!#REF!</definedName>
    <definedName name="MENU1" localSheetId="128">'CDRRMO - FINAL 2022 - 9-28-21'!#REF!</definedName>
    <definedName name="MENU1" localSheetId="129">'CEO - FINAL'!#REF!</definedName>
    <definedName name="MENU1" localSheetId="140">'CEO-OBO-FINAL'!#REF!</definedName>
    <definedName name="MENU1" localSheetId="133">'CEO-STREETLIGHTING - FINAL 9-3'!#REF!</definedName>
    <definedName name="MENU1" localSheetId="178">'CIACAT - VAWC - FINAL'!#REF!</definedName>
    <definedName name="MENU1" localSheetId="82">'CITY LANES'!#REF!</definedName>
    <definedName name="MENU1" localSheetId="152">CLDO!#REF!</definedName>
    <definedName name="MENU1" localSheetId="131">'CMO-PAAO - FINAL 9-22-21'!#REF!</definedName>
    <definedName name="MENU1" localSheetId="163">CODI!#REF!</definedName>
    <definedName name="MENU1" localSheetId="23">'Compre Data Collection &amp; Update'!#REF!</definedName>
    <definedName name="MENU1" localSheetId="56">'Contraceptive Self Reliance'!#REF!</definedName>
    <definedName name="MENU1" localSheetId="181">'COUNTRY PROGRAM FOR CHILDREN '!#REF!</definedName>
    <definedName name="MENU1" localSheetId="84">CRM!#REF!</definedName>
    <definedName name="MENU1" localSheetId="132">'CSWDO-EDITED FINAL'!#REF!</definedName>
    <definedName name="MENU1" localSheetId="121">'cutflower industry'!#REF!</definedName>
    <definedName name="MENU1" localSheetId="74">'cwd2022'!#REF!</definedName>
    <definedName name="MENU1" localSheetId="57">DENGUE!#REF!</definedName>
    <definedName name="MENU1" localSheetId="58">'DENTAL HEALTH'!#REF!</definedName>
    <definedName name="MENU1" localSheetId="113">'dispersal &amp; upg of small animal'!#REF!</definedName>
    <definedName name="MENU1" localSheetId="112">'dispersal of large animals'!#REF!</definedName>
    <definedName name="MENU1" localSheetId="127">'duck &amp; turkey'!#REF!</definedName>
    <definedName name="MENU1" localSheetId="80">'ECO CENTER'!#REF!</definedName>
    <definedName name="MENU1" localSheetId="59">'FAMILY PLANNING'!#REF!</definedName>
    <definedName name="MENU1" localSheetId="149">'FIN. ASSIST. GRADUATE SCHOLAR'!#REF!</definedName>
    <definedName name="MENU1" localSheetId="125">'free range chicken'!#REF!</definedName>
    <definedName name="MENU1" localSheetId="79">'GARBAGE COLLECTION'!#REF!</definedName>
    <definedName name="MENU1" localSheetId="7">'gen revision'!#REF!</definedName>
    <definedName name="MENU1" localSheetId="72">'GENFUND 2022 FINAL'!#REF!</definedName>
    <definedName name="MENU1" localSheetId="134">'[1]HOS-plantilla'!#REF!</definedName>
    <definedName name="MENU1" localSheetId="19">Heritage!#REF!</definedName>
    <definedName name="MENU1" localSheetId="115">'high value commcl crops fruits'!#REF!</definedName>
    <definedName name="MENU1" localSheetId="60">HIS!#REF!</definedName>
    <definedName name="MENU1" localSheetId="73">hosp2022!#REF!</definedName>
    <definedName name="MENU1" localSheetId="138">'HOSPITAL-PAAOE- FINAL'!#REF!</definedName>
    <definedName name="MENU1" localSheetId="137">'[1]HOS-plantilla'!#REF!</definedName>
    <definedName name="MENU1" localSheetId="25">'HOUSEHOLD PROFILING'!#REF!</definedName>
    <definedName name="MENU1" localSheetId="122">'hvcc cacao coffee peanut'!#REF!</definedName>
    <definedName name="MENU1" localSheetId="170">'I 4 J - 2022'!#REF!</definedName>
    <definedName name="MENU1" localSheetId="165">ICTC!#REF!</definedName>
    <definedName name="MENU1" localSheetId="81">IEC!#REF!</definedName>
    <definedName name="MENU1" localSheetId="64">IMMUNIZATION!#REF!</definedName>
    <definedName name="MENU1" localSheetId="176">'IMPLEMENTATION OF MDG FACES'!#REF!</definedName>
    <definedName name="MENU1" localSheetId="21">INDIGENOUS!#REF!</definedName>
    <definedName name="MENU1" localSheetId="157">'INTERNAL AUDIT SERVICE'!#REF!</definedName>
    <definedName name="MENU1" localSheetId="89">'law enforcement'!#REF!</definedName>
    <definedName name="MENU1" localSheetId="4">'LBPF No. 2'!#REF!</definedName>
    <definedName name="MENU1" localSheetId="32">'LBPF No. 2 '!#REF!</definedName>
    <definedName name="MENU1" localSheetId="45">'LBPF No. 2 (10)'!#REF!</definedName>
    <definedName name="MENU1" localSheetId="46">'LBPF No. 2 (11)'!#REF!</definedName>
    <definedName name="MENU1" localSheetId="109">'LBPF No. 2 (12)'!#REF!</definedName>
    <definedName name="MENU1" localSheetId="6">'LBPF No. 2 (2)'!#REF!</definedName>
    <definedName name="MENU1" localSheetId="8">'LBPF No. 2 (3)'!#REF!</definedName>
    <definedName name="MENU1" localSheetId="9">'LBPF No. 2 (4)'!#REF!</definedName>
    <definedName name="MENU1" localSheetId="13">'LBPF No. 2 (5)'!#REF!</definedName>
    <definedName name="MENU1" localSheetId="35">'LBPF No. 2 (6)'!#REF!</definedName>
    <definedName name="MENU1" localSheetId="41">'LBPF No. 2 (7)'!#REF!</definedName>
    <definedName name="MENU1" localSheetId="42">'LBPF No. 2 (8)'!#REF!</definedName>
    <definedName name="MENU1" localSheetId="43">'LBPF No. 2 (9)'!#REF!</definedName>
    <definedName name="MENU1" localSheetId="77">'LBPF No. 2(3312)'!#REF!</definedName>
    <definedName name="MENU1" localSheetId="12">'LBPF No. 4'!#REF!</definedName>
    <definedName name="MENU1" localSheetId="44">'LBPF No.3'!#REF!</definedName>
    <definedName name="MENU1" localSheetId="61">'LEPROSY '!#REF!</definedName>
    <definedName name="MENU1" localSheetId="167">LET!#REF!</definedName>
    <definedName name="MENU1" localSheetId="69">'LIFESTYLE DISEASES'!#REF!</definedName>
    <definedName name="MENU1" localSheetId="20">'Mainstreaming CBMS in Brgy. Dev'!#REF!</definedName>
    <definedName name="MENU1" localSheetId="185">'mandana''s - garcia'!#REF!</definedName>
    <definedName name="MENU1" localSheetId="85">'MARINE PROTECTED'!#REF!</definedName>
    <definedName name="MENU1" localSheetId="62">'MATERNAL &amp; CHILD HEALTH CARE'!#REF!</definedName>
    <definedName name="MENU1" localSheetId="63">'Mental Health'!#REF!</definedName>
    <definedName name="MENU1" localSheetId="86">MKNP!#REF!</definedName>
    <definedName name="MENU1" localSheetId="78">MMT!#REF!</definedName>
    <definedName name="MENU1" localSheetId="126">mushroom!#REF!</definedName>
    <definedName name="MENU1" localSheetId="171">'NEGOSYO CENTER - SCCIPC'!#REF!</definedName>
    <definedName name="MENU1" localSheetId="65">'NEWBORN SCREENING'!#REF!</definedName>
    <definedName name="MENU1" localSheetId="87">NNNP!#REF!</definedName>
    <definedName name="MENU1" localSheetId="180">'NUTRITION COUNCIL'!#REF!</definedName>
    <definedName name="MENU1" localSheetId="66">'NUTRITION PROGRAM'!#REF!</definedName>
    <definedName name="MENU1" localSheetId="182">'OFFICE OF PWD'!#REF!</definedName>
    <definedName name="MENU1" localSheetId="183">'OPERATION OF GAD COUNCIL'!#REF!</definedName>
    <definedName name="MENU1" localSheetId="175">'OPERATION OF GUIDANCE CENTER '!#REF!</definedName>
    <definedName name="MENU1" localSheetId="184">'OPERATION OF LCPC - SSS'!#REF!</definedName>
    <definedName name="MENU1" localSheetId="179">'OPERATION OF THE CURFEW CENTER'!#REF!</definedName>
    <definedName name="MENU1" localSheetId="117">'organic agri devt'!#REF!</definedName>
    <definedName name="MENU1" localSheetId="174">'OSCA - PST '!#REF!</definedName>
    <definedName name="MENU1" localSheetId="11">paao!#REF!</definedName>
    <definedName name="MENU1" localSheetId="15">'PAAO (2)'!#REF!</definedName>
    <definedName name="MENU1" localSheetId="30">'paao (3)'!#REF!</definedName>
    <definedName name="MENU1" localSheetId="37">'PAAO (4)'!#REF!</definedName>
    <definedName name="MENU1" localSheetId="2">'paao admin'!#REF!</definedName>
    <definedName name="MENU1" localSheetId="34">'PAAO NEW'!#REF!</definedName>
    <definedName name="MENU1" localSheetId="135">PAAOE!#REF!</definedName>
    <definedName name="MENU1" localSheetId="92">'PAAOE (2021)'!#REF!</definedName>
    <definedName name="MENU1" localSheetId="48">'PAAOE NEW HAZARD'!#REF!</definedName>
    <definedName name="MENU1" localSheetId="28">'PAMANA PROGRAM'!#REF!</definedName>
    <definedName name="MENU1" localSheetId="17">'PAMANA, RCSP &amp; OTHERS'!#REF!</definedName>
    <definedName name="MENU1" localSheetId="164">'PEACE AND ORDER FUND'!#REF!</definedName>
    <definedName name="MENU1" localSheetId="144">PESO!#REF!</definedName>
    <definedName name="MENU1" localSheetId="151">PIO!#REF!</definedName>
    <definedName name="MENU1" localSheetId="3">plantilla!#REF!</definedName>
    <definedName name="MENU1" localSheetId="10">'plantilla (2)'!#REF!</definedName>
    <definedName name="MENU1" localSheetId="14">'PLANTILLA (3)'!#REF!</definedName>
    <definedName name="MENU1" localSheetId="29">'plantilla (4)'!#REF!</definedName>
    <definedName name="MENU1" localSheetId="31">'plantilla (5)'!#REF!</definedName>
    <definedName name="MENU1" localSheetId="36">'PLANTILLA (6)'!#REF!</definedName>
    <definedName name="MENU1" localSheetId="40">'plantilla (7)'!#REF!</definedName>
    <definedName name="MENU1" localSheetId="47">'plantilla (8)'!#REF!</definedName>
    <definedName name="MENU1" localSheetId="1">'plantilla new'!#REF!</definedName>
    <definedName name="MENU1" localSheetId="33">'PLANTILLA NEW (2)'!#REF!</definedName>
    <definedName name="MENU1" localSheetId="186">'PLAza - FINAL-8-31-21'!#REF!</definedName>
    <definedName name="MENU1" localSheetId="160">PLEB!#REF!</definedName>
    <definedName name="MENU1" localSheetId="75">pmsd2022!#REF!</definedName>
    <definedName name="MENU1" localSheetId="168">PPMO!#REF!</definedName>
    <definedName name="MENU1" localSheetId="16">'PROJECT MONITORING'!#REF!</definedName>
    <definedName name="MENU1" localSheetId="76">pttd2022!#REF!</definedName>
    <definedName name="MENU1" localSheetId="123">'rabies eradication '!#REF!</definedName>
    <definedName name="MENU1" localSheetId="67">'Rep&amp;Maint-Investment Property'!#REF!</definedName>
    <definedName name="MENU1" localSheetId="124">'RICE PRODUCTION'!#REF!</definedName>
    <definedName name="MENU1" localSheetId="39">sacapraise!#REF!</definedName>
    <definedName name="MENU1" localSheetId="158">'SCC APPRAISAL COMMITTEE'!#REF!</definedName>
    <definedName name="MENU1" localSheetId="142">SCCCADAC!#REF!</definedName>
    <definedName name="MENU1" localSheetId="143">SCCYA!#REF!</definedName>
    <definedName name="MENU1" localSheetId="147">'SCHOLARSHIP PROG. FOR STUDENTS'!#REF!</definedName>
    <definedName name="MENU1" localSheetId="148">'SCHOLARSHIP PROG. FOR teachers'!#REF!</definedName>
    <definedName name="MENU1" localSheetId="24">SCIHA!#REF!</definedName>
    <definedName name="MENU1" localSheetId="150">'SCIHA (2)'!#REF!</definedName>
    <definedName name="MENU1" localSheetId="18">'SIPA '!#REF!</definedName>
    <definedName name="MENU1" localSheetId="187">'SPECIAL PURPOSE - FINAL 2022'!#REF!</definedName>
    <definedName name="MENU1" localSheetId="145">SPORTS!#REF!</definedName>
    <definedName name="MENU1" localSheetId="68">'STD-HIV'!#REF!</definedName>
    <definedName name="MENU1" localSheetId="49">'summary '!#REF!</definedName>
    <definedName name="MENU1" localSheetId="166">'TASK FORCE RIGHT OF WAY'!#REF!</definedName>
    <definedName name="MENU1" localSheetId="114">'technical&amp;market support '!#REF!</definedName>
    <definedName name="MENU1" localSheetId="146">TOURISM!#REF!</definedName>
    <definedName name="MENU1" localSheetId="169">'TRAFFIC MANAGEMENT AUTHORITY'!#REF!</definedName>
    <definedName name="MENU1" localSheetId="116">'vegetable production'!#REF!</definedName>
    <definedName name="MENU1" localSheetId="70">'VOLUNTARY BLOOD DONATION'!#REF!</definedName>
    <definedName name="MENU1" localSheetId="71">ZOD!#REF!</definedName>
    <definedName name="MENU1">'[1]HOS-plantilla'!#REF!</definedName>
    <definedName name="MENU2" localSheetId="177">' 4 P''S - FINAL'!#REF!</definedName>
    <definedName name="MENU2" localSheetId="119">'abaca industry devt'!#REF!</definedName>
    <definedName name="MENU2" localSheetId="153">'ABC FEDERATION'!#REF!</definedName>
    <definedName name="MENU2" localSheetId="154">'ABC FEDERATION - brgy. TANOD'!#REF!</definedName>
    <definedName name="MENU2" localSheetId="155">'ABC- KATARUNGANG PAMBARANGAY'!#REF!</definedName>
    <definedName name="MENU2" localSheetId="162">ADHOC!#REF!</definedName>
    <definedName name="MENU2" localSheetId="50">Adolescent!#REF!</definedName>
    <definedName name="MENU2" localSheetId="118">'agri center &amp; demo area'!#REF!</definedName>
    <definedName name="MENU2" localSheetId="110">'animal disease'!#REF!</definedName>
    <definedName name="MENU2" localSheetId="172">'ANTI-COVID19 PROGRAM'!#REF!</definedName>
    <definedName name="MENU2" localSheetId="51">'ANTI-HUMAN RABIES'!#REF!</definedName>
    <definedName name="MENU2" localSheetId="55">'ANTI-SMOKING'!#REF!</definedName>
    <definedName name="MENU2" localSheetId="52">'ANTI-TB Program'!#REF!</definedName>
    <definedName name="MENU2" localSheetId="38">arta!#REF!</definedName>
    <definedName name="MENU2" localSheetId="111">'artificial insemination'!#REF!</definedName>
    <definedName name="MENU2" localSheetId="5">'assessor plantilla'!#REF!</definedName>
    <definedName name="MENU2" localSheetId="161">BAC!#REF!</definedName>
    <definedName name="MENU2" localSheetId="88">'BAGO RIVER'!#REF!</definedName>
    <definedName name="MENU2" localSheetId="120">'bamboo production'!#REF!</definedName>
    <definedName name="MENU2" localSheetId="83">'BANTAY DAGAT'!#REF!</definedName>
    <definedName name="MENU2" localSheetId="90">beautification!#REF!</definedName>
    <definedName name="MENU2" localSheetId="159">BPLO!#REF!</definedName>
    <definedName name="MENU2" localSheetId="27">'BUB '!#REF!</definedName>
    <definedName name="MENU2" localSheetId="22">'BUB ,PAMANA, ETC.'!#REF!</definedName>
    <definedName name="MENU2" localSheetId="141">CAWA!#REF!</definedName>
    <definedName name="MENU2" localSheetId="53">CBHS!#REF!</definedName>
    <definedName name="MENU2" localSheetId="26">CBMS!#REF!</definedName>
    <definedName name="MENU2" localSheetId="54">CBR!#REF!</definedName>
    <definedName name="MENU2" localSheetId="156">'CCC - ALGERS'!#REF!</definedName>
    <definedName name="MENU2" localSheetId="128">'CDRRMO - FINAL 2022 - 9-28-21'!#REF!</definedName>
    <definedName name="MENU2" localSheetId="129">'CEO - FINAL'!#REF!</definedName>
    <definedName name="MENU2" localSheetId="140">'CEO-OBO-FINAL'!#REF!</definedName>
    <definedName name="MENU2" localSheetId="133">'CEO-STREETLIGHTING - FINAL 9-3'!#REF!</definedName>
    <definedName name="MENU2" localSheetId="178">'CIACAT - VAWC - FINAL'!#REF!</definedName>
    <definedName name="MENU2" localSheetId="82">'CITY LANES'!#REF!</definedName>
    <definedName name="MENU2" localSheetId="152">CLDO!#REF!</definedName>
    <definedName name="MENU2" localSheetId="131">'CMO-PAAO - FINAL 9-22-21'!#REF!</definedName>
    <definedName name="MENU2" localSheetId="163">CODI!#REF!</definedName>
    <definedName name="MENU2" localSheetId="23">'Compre Data Collection &amp; Update'!#REF!</definedName>
    <definedName name="MENU2" localSheetId="56">'Contraceptive Self Reliance'!#REF!</definedName>
    <definedName name="MENU2" localSheetId="181">'COUNTRY PROGRAM FOR CHILDREN '!#REF!</definedName>
    <definedName name="MENU2" localSheetId="84">CRM!#REF!</definedName>
    <definedName name="MENU2" localSheetId="132">'CSWDO-EDITED FINAL'!#REF!</definedName>
    <definedName name="MENU2" localSheetId="121">'cutflower industry'!#REF!</definedName>
    <definedName name="MENU2" localSheetId="74">'cwd2022'!#REF!</definedName>
    <definedName name="MENU2" localSheetId="57">DENGUE!#REF!</definedName>
    <definedName name="MENU2" localSheetId="58">'DENTAL HEALTH'!#REF!</definedName>
    <definedName name="MENU2" localSheetId="113">'dispersal &amp; upg of small animal'!#REF!</definedName>
    <definedName name="MENU2" localSheetId="112">'dispersal of large animals'!#REF!</definedName>
    <definedName name="MENU2" localSheetId="127">'duck &amp; turkey'!#REF!</definedName>
    <definedName name="MENU2" localSheetId="80">'ECO CENTER'!#REF!</definedName>
    <definedName name="MENU2" localSheetId="59">'FAMILY PLANNING'!#REF!</definedName>
    <definedName name="MENU2" localSheetId="149">'FIN. ASSIST. GRADUATE SCHOLAR'!#REF!</definedName>
    <definedName name="MENU2" localSheetId="125">'free range chicken'!#REF!</definedName>
    <definedName name="MENU2" localSheetId="79">'GARBAGE COLLECTION'!#REF!</definedName>
    <definedName name="MENU2" localSheetId="7">'gen revision'!#REF!</definedName>
    <definedName name="MENU2" localSheetId="72">'GENFUND 2022 FINAL'!#REF!</definedName>
    <definedName name="MENU2" localSheetId="134">'[1]HOS-plantilla'!#REF!</definedName>
    <definedName name="MENU2" localSheetId="19">Heritage!#REF!</definedName>
    <definedName name="MENU2" localSheetId="115">'high value commcl crops fruits'!#REF!</definedName>
    <definedName name="MENU2" localSheetId="60">HIS!#REF!</definedName>
    <definedName name="MENU2" localSheetId="73">hosp2022!#REF!</definedName>
    <definedName name="MENU2" localSheetId="138">'HOSPITAL-PAAOE- FINAL'!#REF!</definedName>
    <definedName name="MENU2" localSheetId="137">'[1]HOS-plantilla'!#REF!</definedName>
    <definedName name="MENU2" localSheetId="25">'HOUSEHOLD PROFILING'!#REF!</definedName>
    <definedName name="MENU2" localSheetId="122">'hvcc cacao coffee peanut'!#REF!</definedName>
    <definedName name="MENU2" localSheetId="170">'I 4 J - 2022'!#REF!</definedName>
    <definedName name="MENU2" localSheetId="165">ICTC!#REF!</definedName>
    <definedName name="MENU2" localSheetId="81">IEC!#REF!</definedName>
    <definedName name="MENU2" localSheetId="64">IMMUNIZATION!#REF!</definedName>
    <definedName name="MENU2" localSheetId="176">'IMPLEMENTATION OF MDG FACES'!#REF!</definedName>
    <definedName name="MENU2" localSheetId="21">INDIGENOUS!#REF!</definedName>
    <definedName name="MENU2" localSheetId="157">'INTERNAL AUDIT SERVICE'!#REF!</definedName>
    <definedName name="MENU2" localSheetId="89">'law enforcement'!#REF!</definedName>
    <definedName name="MENU2" localSheetId="4">'LBPF No. 2'!#REF!</definedName>
    <definedName name="MENU2" localSheetId="32">'LBPF No. 2 '!#REF!</definedName>
    <definedName name="MENU2" localSheetId="45">'LBPF No. 2 (10)'!#REF!</definedName>
    <definedName name="MENU2" localSheetId="46">'LBPF No. 2 (11)'!#REF!</definedName>
    <definedName name="MENU2" localSheetId="109">'LBPF No. 2 (12)'!#REF!</definedName>
    <definedName name="MENU2" localSheetId="6">'LBPF No. 2 (2)'!#REF!</definedName>
    <definedName name="MENU2" localSheetId="8">'LBPF No. 2 (3)'!#REF!</definedName>
    <definedName name="MENU2" localSheetId="9">'LBPF No. 2 (4)'!#REF!</definedName>
    <definedName name="MENU2" localSheetId="13">'LBPF No. 2 (5)'!#REF!</definedName>
    <definedName name="MENU2" localSheetId="35">'LBPF No. 2 (6)'!#REF!</definedName>
    <definedName name="MENU2" localSheetId="41">'LBPF No. 2 (7)'!#REF!</definedName>
    <definedName name="MENU2" localSheetId="42">'LBPF No. 2 (8)'!#REF!</definedName>
    <definedName name="MENU2" localSheetId="43">'LBPF No. 2 (9)'!#REF!</definedName>
    <definedName name="MENU2" localSheetId="77">'LBPF No. 2(3312)'!#REF!</definedName>
    <definedName name="MENU2" localSheetId="12">'LBPF No. 4'!#REF!</definedName>
    <definedName name="MENU2" localSheetId="44">'LBPF No.3'!#REF!</definedName>
    <definedName name="MENU2" localSheetId="61">'LEPROSY '!#REF!</definedName>
    <definedName name="MENU2" localSheetId="167">LET!#REF!</definedName>
    <definedName name="MENU2" localSheetId="69">'LIFESTYLE DISEASES'!#REF!</definedName>
    <definedName name="MENU2" localSheetId="20">'Mainstreaming CBMS in Brgy. Dev'!#REF!</definedName>
    <definedName name="MENU2" localSheetId="185">'mandana''s - garcia'!#REF!</definedName>
    <definedName name="MENU2" localSheetId="85">'MARINE PROTECTED'!#REF!</definedName>
    <definedName name="MENU2" localSheetId="62">'MATERNAL &amp; CHILD HEALTH CARE'!#REF!</definedName>
    <definedName name="MENU2" localSheetId="63">'Mental Health'!#REF!</definedName>
    <definedName name="MENU2" localSheetId="86">MKNP!#REF!</definedName>
    <definedName name="MENU2" localSheetId="78">MMT!#REF!</definedName>
    <definedName name="MENU2" localSheetId="126">mushroom!#REF!</definedName>
    <definedName name="MENU2" localSheetId="171">'NEGOSYO CENTER - SCCIPC'!#REF!</definedName>
    <definedName name="MENU2" localSheetId="65">'NEWBORN SCREENING'!#REF!</definedName>
    <definedName name="MENU2" localSheetId="87">NNNP!#REF!</definedName>
    <definedName name="MENU2" localSheetId="180">'NUTRITION COUNCIL'!#REF!</definedName>
    <definedName name="MENU2" localSheetId="66">'NUTRITION PROGRAM'!#REF!</definedName>
    <definedName name="MENU2" localSheetId="182">'OFFICE OF PWD'!#REF!</definedName>
    <definedName name="MENU2" localSheetId="183">'OPERATION OF GAD COUNCIL'!#REF!</definedName>
    <definedName name="MENU2" localSheetId="175">'OPERATION OF GUIDANCE CENTER '!#REF!</definedName>
    <definedName name="MENU2" localSheetId="184">'OPERATION OF LCPC - SSS'!#REF!</definedName>
    <definedName name="MENU2" localSheetId="179">'OPERATION OF THE CURFEW CENTER'!#REF!</definedName>
    <definedName name="MENU2" localSheetId="117">'organic agri devt'!#REF!</definedName>
    <definedName name="MENU2" localSheetId="174">'OSCA - PST '!#REF!</definedName>
    <definedName name="MENU2" localSheetId="11">paao!#REF!</definedName>
    <definedName name="MENU2" localSheetId="15">'PAAO (2)'!#REF!</definedName>
    <definedName name="MENU2" localSheetId="30">'paao (3)'!#REF!</definedName>
    <definedName name="MENU2" localSheetId="37">'PAAO (4)'!#REF!</definedName>
    <definedName name="MENU2" localSheetId="2">'paao admin'!#REF!</definedName>
    <definedName name="MENU2" localSheetId="34">'PAAO NEW'!#REF!</definedName>
    <definedName name="MENU2" localSheetId="135">PAAOE!#REF!</definedName>
    <definedName name="MENU2" localSheetId="92">'PAAOE (2021)'!#REF!</definedName>
    <definedName name="MENU2" localSheetId="48">'PAAOE NEW HAZARD'!#REF!</definedName>
    <definedName name="MENU2" localSheetId="28">'PAMANA PROGRAM'!#REF!</definedName>
    <definedName name="MENU2" localSheetId="17">'PAMANA, RCSP &amp; OTHERS'!#REF!</definedName>
    <definedName name="MENU2" localSheetId="164">'PEACE AND ORDER FUND'!#REF!</definedName>
    <definedName name="MENU2" localSheetId="144">PESO!#REF!</definedName>
    <definedName name="MENU2" localSheetId="151">PIO!#REF!</definedName>
    <definedName name="MENU2" localSheetId="3">plantilla!#REF!</definedName>
    <definedName name="MENU2" localSheetId="10">'plantilla (2)'!#REF!</definedName>
    <definedName name="MENU2" localSheetId="14">'PLANTILLA (3)'!#REF!</definedName>
    <definedName name="MENU2" localSheetId="29">'plantilla (4)'!#REF!</definedName>
    <definedName name="MENU2" localSheetId="31">'plantilla (5)'!#REF!</definedName>
    <definedName name="MENU2" localSheetId="36">'PLANTILLA (6)'!#REF!</definedName>
    <definedName name="MENU2" localSheetId="40">'plantilla (7)'!#REF!</definedName>
    <definedName name="MENU2" localSheetId="47">'plantilla (8)'!#REF!</definedName>
    <definedName name="MENU2" localSheetId="1">'plantilla new'!#REF!</definedName>
    <definedName name="MENU2" localSheetId="33">'PLANTILLA NEW (2)'!#REF!</definedName>
    <definedName name="MENU2" localSheetId="186">'PLAza - FINAL-8-31-21'!#REF!</definedName>
    <definedName name="MENU2" localSheetId="160">PLEB!#REF!</definedName>
    <definedName name="MENU2" localSheetId="75">pmsd2022!#REF!</definedName>
    <definedName name="MENU2" localSheetId="168">PPMO!#REF!</definedName>
    <definedName name="MENU2" localSheetId="16">'PROJECT MONITORING'!#REF!</definedName>
    <definedName name="MENU2" localSheetId="76">pttd2022!#REF!</definedName>
    <definedName name="MENU2" localSheetId="123">'rabies eradication '!#REF!</definedName>
    <definedName name="MENU2" localSheetId="67">'Rep&amp;Maint-Investment Property'!#REF!</definedName>
    <definedName name="MENU2" localSheetId="124">'RICE PRODUCTION'!#REF!</definedName>
    <definedName name="MENU2" localSheetId="39">sacapraise!#REF!</definedName>
    <definedName name="MENU2" localSheetId="158">'SCC APPRAISAL COMMITTEE'!#REF!</definedName>
    <definedName name="MENU2" localSheetId="142">SCCCADAC!#REF!</definedName>
    <definedName name="MENU2" localSheetId="143">SCCYA!#REF!</definedName>
    <definedName name="MENU2" localSheetId="147">'SCHOLARSHIP PROG. FOR STUDENTS'!#REF!</definedName>
    <definedName name="MENU2" localSheetId="148">'SCHOLARSHIP PROG. FOR teachers'!#REF!</definedName>
    <definedName name="MENU2" localSheetId="24">SCIHA!#REF!</definedName>
    <definedName name="MENU2" localSheetId="150">'SCIHA (2)'!#REF!</definedName>
    <definedName name="MENU2" localSheetId="18">'SIPA '!#REF!</definedName>
    <definedName name="MENU2" localSheetId="187">'SPECIAL PURPOSE - FINAL 2022'!#REF!</definedName>
    <definedName name="MENU2" localSheetId="145">SPORTS!#REF!</definedName>
    <definedName name="MENU2" localSheetId="68">'STD-HIV'!#REF!</definedName>
    <definedName name="MENU2" localSheetId="49">'summary '!#REF!</definedName>
    <definedName name="MENU2" localSheetId="166">'TASK FORCE RIGHT OF WAY'!#REF!</definedName>
    <definedName name="MENU2" localSheetId="114">'technical&amp;market support '!#REF!</definedName>
    <definedName name="MENU2" localSheetId="146">TOURISM!#REF!</definedName>
    <definedName name="MENU2" localSheetId="169">'TRAFFIC MANAGEMENT AUTHORITY'!#REF!</definedName>
    <definedName name="MENU2" localSheetId="116">'vegetable production'!#REF!</definedName>
    <definedName name="MENU2" localSheetId="70">'VOLUNTARY BLOOD DONATION'!#REF!</definedName>
    <definedName name="MENU2" localSheetId="71">ZOD!#REF!</definedName>
    <definedName name="MENU2">'[1]HOS-plantilla'!#REF!</definedName>
    <definedName name="MENU3" localSheetId="177">' 4 P''S - FINAL'!#REF!</definedName>
    <definedName name="MENU3" localSheetId="119">'abaca industry devt'!#REF!</definedName>
    <definedName name="MENU3" localSheetId="153">'ABC FEDERATION'!#REF!</definedName>
    <definedName name="MENU3" localSheetId="154">'ABC FEDERATION - brgy. TANOD'!#REF!</definedName>
    <definedName name="MENU3" localSheetId="155">'ABC- KATARUNGANG PAMBARANGAY'!#REF!</definedName>
    <definedName name="MENU3" localSheetId="162">ADHOC!#REF!</definedName>
    <definedName name="MENU3" localSheetId="50">Adolescent!#REF!</definedName>
    <definedName name="MENU3" localSheetId="118">'agri center &amp; demo area'!#REF!</definedName>
    <definedName name="MENU3" localSheetId="110">'animal disease'!#REF!</definedName>
    <definedName name="MENU3" localSheetId="172">'ANTI-COVID19 PROGRAM'!#REF!</definedName>
    <definedName name="MENU3" localSheetId="51">'ANTI-HUMAN RABIES'!#REF!</definedName>
    <definedName name="MENU3" localSheetId="55">'ANTI-SMOKING'!#REF!</definedName>
    <definedName name="MENU3" localSheetId="52">'ANTI-TB Program'!#REF!</definedName>
    <definedName name="MENU3" localSheetId="38">arta!#REF!</definedName>
    <definedName name="MENU3" localSheetId="111">'artificial insemination'!#REF!</definedName>
    <definedName name="MENU3" localSheetId="5">'assessor plantilla'!#REF!</definedName>
    <definedName name="MENU3" localSheetId="161">BAC!#REF!</definedName>
    <definedName name="MENU3" localSheetId="88">'BAGO RIVER'!#REF!</definedName>
    <definedName name="MENU3" localSheetId="120">'bamboo production'!#REF!</definedName>
    <definedName name="MENU3" localSheetId="83">'BANTAY DAGAT'!#REF!</definedName>
    <definedName name="MENU3" localSheetId="90">beautification!#REF!</definedName>
    <definedName name="MENU3" localSheetId="159">BPLO!#REF!</definedName>
    <definedName name="MENU3" localSheetId="27">'BUB '!#REF!</definedName>
    <definedName name="MENU3" localSheetId="22">'BUB ,PAMANA, ETC.'!#REF!</definedName>
    <definedName name="MENU3" localSheetId="141">CAWA!#REF!</definedName>
    <definedName name="MENU3" localSheetId="53">CBHS!#REF!</definedName>
    <definedName name="MENU3" localSheetId="26">CBMS!#REF!</definedName>
    <definedName name="MENU3" localSheetId="54">CBR!#REF!</definedName>
    <definedName name="MENU3" localSheetId="156">'CCC - ALGERS'!#REF!</definedName>
    <definedName name="MENU3" localSheetId="128">'CDRRMO - FINAL 2022 - 9-28-21'!#REF!</definedName>
    <definedName name="MENU3" localSheetId="129">'CEO - FINAL'!#REF!</definedName>
    <definedName name="MENU3" localSheetId="140">'CEO-OBO-FINAL'!#REF!</definedName>
    <definedName name="MENU3" localSheetId="133">'CEO-STREETLIGHTING - FINAL 9-3'!#REF!</definedName>
    <definedName name="MENU3" localSheetId="178">'CIACAT - VAWC - FINAL'!#REF!</definedName>
    <definedName name="MENU3" localSheetId="82">'CITY LANES'!#REF!</definedName>
    <definedName name="MENU3" localSheetId="152">CLDO!#REF!</definedName>
    <definedName name="MENU3" localSheetId="131">'CMO-PAAO - FINAL 9-22-21'!#REF!</definedName>
    <definedName name="MENU3" localSheetId="163">CODI!#REF!</definedName>
    <definedName name="MENU3" localSheetId="23">'Compre Data Collection &amp; Update'!#REF!</definedName>
    <definedName name="MENU3" localSheetId="56">'Contraceptive Self Reliance'!#REF!</definedName>
    <definedName name="MENU3" localSheetId="181">'COUNTRY PROGRAM FOR CHILDREN '!#REF!</definedName>
    <definedName name="MENU3" localSheetId="84">CRM!#REF!</definedName>
    <definedName name="MENU3" localSheetId="132">'CSWDO-EDITED FINAL'!#REF!</definedName>
    <definedName name="MENU3" localSheetId="121">'cutflower industry'!#REF!</definedName>
    <definedName name="MENU3" localSheetId="74">'cwd2022'!#REF!</definedName>
    <definedName name="MENU3" localSheetId="57">DENGUE!#REF!</definedName>
    <definedName name="MENU3" localSheetId="58">'DENTAL HEALTH'!#REF!</definedName>
    <definedName name="MENU3" localSheetId="113">'dispersal &amp; upg of small animal'!#REF!</definedName>
    <definedName name="MENU3" localSheetId="112">'dispersal of large animals'!#REF!</definedName>
    <definedName name="MENU3" localSheetId="127">'duck &amp; turkey'!#REF!</definedName>
    <definedName name="MENU3" localSheetId="80">'ECO CENTER'!#REF!</definedName>
    <definedName name="MENU3" localSheetId="59">'FAMILY PLANNING'!#REF!</definedName>
    <definedName name="MENU3" localSheetId="149">'FIN. ASSIST. GRADUATE SCHOLAR'!#REF!</definedName>
    <definedName name="MENU3" localSheetId="125">'free range chicken'!#REF!</definedName>
    <definedName name="MENU3" localSheetId="79">'GARBAGE COLLECTION'!#REF!</definedName>
    <definedName name="MENU3" localSheetId="7">'gen revision'!#REF!</definedName>
    <definedName name="MENU3" localSheetId="72">'GENFUND 2022 FINAL'!#REF!</definedName>
    <definedName name="MENU3" localSheetId="134">'[1]HOS-plantilla'!#REF!</definedName>
    <definedName name="MENU3" localSheetId="19">Heritage!#REF!</definedName>
    <definedName name="MENU3" localSheetId="115">'high value commcl crops fruits'!#REF!</definedName>
    <definedName name="MENU3" localSheetId="60">HIS!#REF!</definedName>
    <definedName name="MENU3" localSheetId="73">hosp2022!#REF!</definedName>
    <definedName name="MENU3" localSheetId="138">'HOSPITAL-PAAOE- FINAL'!#REF!</definedName>
    <definedName name="MENU3" localSheetId="137">'[1]HOS-plantilla'!#REF!</definedName>
    <definedName name="MENU3" localSheetId="25">'HOUSEHOLD PROFILING'!#REF!</definedName>
    <definedName name="MENU3" localSheetId="122">'hvcc cacao coffee peanut'!#REF!</definedName>
    <definedName name="MENU3" localSheetId="170">'I 4 J - 2022'!#REF!</definedName>
    <definedName name="MENU3" localSheetId="165">ICTC!#REF!</definedName>
    <definedName name="MENU3" localSheetId="81">IEC!#REF!</definedName>
    <definedName name="MENU3" localSheetId="64">IMMUNIZATION!#REF!</definedName>
    <definedName name="MENU3" localSheetId="176">'IMPLEMENTATION OF MDG FACES'!#REF!</definedName>
    <definedName name="MENU3" localSheetId="21">INDIGENOUS!#REF!</definedName>
    <definedName name="MENU3" localSheetId="157">'INTERNAL AUDIT SERVICE'!#REF!</definedName>
    <definedName name="MENU3" localSheetId="89">'law enforcement'!#REF!</definedName>
    <definedName name="MENU3" localSheetId="4">'LBPF No. 2'!#REF!</definedName>
    <definedName name="MENU3" localSheetId="32">'LBPF No. 2 '!#REF!</definedName>
    <definedName name="MENU3" localSheetId="45">'LBPF No. 2 (10)'!#REF!</definedName>
    <definedName name="MENU3" localSheetId="46">'LBPF No. 2 (11)'!#REF!</definedName>
    <definedName name="MENU3" localSheetId="109">'LBPF No. 2 (12)'!#REF!</definedName>
    <definedName name="MENU3" localSheetId="6">'LBPF No. 2 (2)'!#REF!</definedName>
    <definedName name="MENU3" localSheetId="8">'LBPF No. 2 (3)'!#REF!</definedName>
    <definedName name="MENU3" localSheetId="9">'LBPF No. 2 (4)'!#REF!</definedName>
    <definedName name="MENU3" localSheetId="13">'LBPF No. 2 (5)'!#REF!</definedName>
    <definedName name="MENU3" localSheetId="35">'LBPF No. 2 (6)'!#REF!</definedName>
    <definedName name="MENU3" localSheetId="41">'LBPF No. 2 (7)'!#REF!</definedName>
    <definedName name="MENU3" localSheetId="42">'LBPF No. 2 (8)'!#REF!</definedName>
    <definedName name="MENU3" localSheetId="43">'LBPF No. 2 (9)'!#REF!</definedName>
    <definedName name="MENU3" localSheetId="77">'LBPF No. 2(3312)'!#REF!</definedName>
    <definedName name="MENU3" localSheetId="12">'LBPF No. 4'!#REF!</definedName>
    <definedName name="MENU3" localSheetId="44">'LBPF No.3'!#REF!</definedName>
    <definedName name="MENU3" localSheetId="61">'LEPROSY '!#REF!</definedName>
    <definedName name="MENU3" localSheetId="167">LET!#REF!</definedName>
    <definedName name="MENU3" localSheetId="69">'LIFESTYLE DISEASES'!#REF!</definedName>
    <definedName name="MENU3" localSheetId="20">'Mainstreaming CBMS in Brgy. Dev'!#REF!</definedName>
    <definedName name="MENU3" localSheetId="185">'mandana''s - garcia'!#REF!</definedName>
    <definedName name="MENU3" localSheetId="85">'MARINE PROTECTED'!#REF!</definedName>
    <definedName name="MENU3" localSheetId="62">'MATERNAL &amp; CHILD HEALTH CARE'!#REF!</definedName>
    <definedName name="MENU3" localSheetId="63">'Mental Health'!#REF!</definedName>
    <definedName name="MENU3" localSheetId="86">MKNP!#REF!</definedName>
    <definedName name="MENU3" localSheetId="78">MMT!#REF!</definedName>
    <definedName name="MENU3" localSheetId="126">mushroom!#REF!</definedName>
    <definedName name="MENU3" localSheetId="171">'NEGOSYO CENTER - SCCIPC'!#REF!</definedName>
    <definedName name="MENU3" localSheetId="65">'NEWBORN SCREENING'!#REF!</definedName>
    <definedName name="MENU3" localSheetId="87">NNNP!#REF!</definedName>
    <definedName name="MENU3" localSheetId="180">'NUTRITION COUNCIL'!#REF!</definedName>
    <definedName name="MENU3" localSheetId="66">'NUTRITION PROGRAM'!#REF!</definedName>
    <definedName name="MENU3" localSheetId="182">'OFFICE OF PWD'!#REF!</definedName>
    <definedName name="MENU3" localSheetId="183">'OPERATION OF GAD COUNCIL'!#REF!</definedName>
    <definedName name="MENU3" localSheetId="175">'OPERATION OF GUIDANCE CENTER '!#REF!</definedName>
    <definedName name="MENU3" localSheetId="184">'OPERATION OF LCPC - SSS'!#REF!</definedName>
    <definedName name="MENU3" localSheetId="179">'OPERATION OF THE CURFEW CENTER'!#REF!</definedName>
    <definedName name="MENU3" localSheetId="117">'organic agri devt'!#REF!</definedName>
    <definedName name="MENU3" localSheetId="174">'OSCA - PST '!#REF!</definedName>
    <definedName name="MENU3" localSheetId="11">paao!#REF!</definedName>
    <definedName name="MENU3" localSheetId="15">'PAAO (2)'!#REF!</definedName>
    <definedName name="MENU3" localSheetId="30">'paao (3)'!#REF!</definedName>
    <definedName name="MENU3" localSheetId="37">'PAAO (4)'!#REF!</definedName>
    <definedName name="MENU3" localSheetId="2">'paao admin'!#REF!</definedName>
    <definedName name="MENU3" localSheetId="34">'PAAO NEW'!#REF!</definedName>
    <definedName name="MENU3" localSheetId="135">PAAOE!#REF!</definedName>
    <definedName name="MENU3" localSheetId="92">'PAAOE (2021)'!#REF!</definedName>
    <definedName name="MENU3" localSheetId="48">'PAAOE NEW HAZARD'!#REF!</definedName>
    <definedName name="MENU3" localSheetId="28">'PAMANA PROGRAM'!#REF!</definedName>
    <definedName name="MENU3" localSheetId="17">'PAMANA, RCSP &amp; OTHERS'!#REF!</definedName>
    <definedName name="MENU3" localSheetId="164">'PEACE AND ORDER FUND'!#REF!</definedName>
    <definedName name="MENU3" localSheetId="144">PESO!#REF!</definedName>
    <definedName name="MENU3" localSheetId="151">PIO!#REF!</definedName>
    <definedName name="MENU3" localSheetId="3">plantilla!#REF!</definedName>
    <definedName name="MENU3" localSheetId="10">'plantilla (2)'!#REF!</definedName>
    <definedName name="MENU3" localSheetId="14">'PLANTILLA (3)'!#REF!</definedName>
    <definedName name="MENU3" localSheetId="29">'plantilla (4)'!#REF!</definedName>
    <definedName name="MENU3" localSheetId="31">'plantilla (5)'!#REF!</definedName>
    <definedName name="MENU3" localSheetId="36">'PLANTILLA (6)'!#REF!</definedName>
    <definedName name="MENU3" localSheetId="40">'plantilla (7)'!#REF!</definedName>
    <definedName name="MENU3" localSheetId="47">'plantilla (8)'!#REF!</definedName>
    <definedName name="MENU3" localSheetId="1">'plantilla new'!#REF!</definedName>
    <definedName name="MENU3" localSheetId="33">'PLANTILLA NEW (2)'!#REF!</definedName>
    <definedName name="MENU3" localSheetId="186">'PLAza - FINAL-8-31-21'!#REF!</definedName>
    <definedName name="MENU3" localSheetId="160">PLEB!#REF!</definedName>
    <definedName name="MENU3" localSheetId="75">pmsd2022!#REF!</definedName>
    <definedName name="MENU3" localSheetId="168">PPMO!#REF!</definedName>
    <definedName name="MENU3" localSheetId="16">'PROJECT MONITORING'!#REF!</definedName>
    <definedName name="MENU3" localSheetId="76">pttd2022!#REF!</definedName>
    <definedName name="MENU3" localSheetId="123">'rabies eradication '!#REF!</definedName>
    <definedName name="MENU3" localSheetId="67">'Rep&amp;Maint-Investment Property'!#REF!</definedName>
    <definedName name="MENU3" localSheetId="124">'RICE PRODUCTION'!#REF!</definedName>
    <definedName name="MENU3" localSheetId="39">sacapraise!#REF!</definedName>
    <definedName name="MENU3" localSheetId="158">'SCC APPRAISAL COMMITTEE'!#REF!</definedName>
    <definedName name="MENU3" localSheetId="142">SCCCADAC!#REF!</definedName>
    <definedName name="MENU3" localSheetId="143">SCCYA!#REF!</definedName>
    <definedName name="MENU3" localSheetId="147">'SCHOLARSHIP PROG. FOR STUDENTS'!#REF!</definedName>
    <definedName name="MENU3" localSheetId="148">'SCHOLARSHIP PROG. FOR teachers'!#REF!</definedName>
    <definedName name="MENU3" localSheetId="24">SCIHA!#REF!</definedName>
    <definedName name="MENU3" localSheetId="150">'SCIHA (2)'!#REF!</definedName>
    <definedName name="MENU3" localSheetId="18">'SIPA '!#REF!</definedName>
    <definedName name="MENU3" localSheetId="187">'SPECIAL PURPOSE - FINAL 2022'!#REF!</definedName>
    <definedName name="MENU3" localSheetId="145">SPORTS!#REF!</definedName>
    <definedName name="MENU3" localSheetId="68">'STD-HIV'!#REF!</definedName>
    <definedName name="MENU3" localSheetId="49">'summary '!#REF!</definedName>
    <definedName name="MENU3" localSheetId="166">'TASK FORCE RIGHT OF WAY'!#REF!</definedName>
    <definedName name="MENU3" localSheetId="114">'technical&amp;market support '!#REF!</definedName>
    <definedName name="MENU3" localSheetId="146">TOURISM!#REF!</definedName>
    <definedName name="MENU3" localSheetId="169">'TRAFFIC MANAGEMENT AUTHORITY'!#REF!</definedName>
    <definedName name="MENU3" localSheetId="116">'vegetable production'!#REF!</definedName>
    <definedName name="MENU3" localSheetId="70">'VOLUNTARY BLOOD DONATION'!#REF!</definedName>
    <definedName name="MENU3" localSheetId="71">ZOD!#REF!</definedName>
    <definedName name="MENU3">'[1]HOS-plantilla'!#REF!</definedName>
    <definedName name="MENU4" localSheetId="177">' 4 P''S - FINAL'!#REF!</definedName>
    <definedName name="MENU4" localSheetId="119">'abaca industry devt'!#REF!</definedName>
    <definedName name="MENU4" localSheetId="153">'ABC FEDERATION'!#REF!</definedName>
    <definedName name="MENU4" localSheetId="154">'ABC FEDERATION - brgy. TANOD'!#REF!</definedName>
    <definedName name="MENU4" localSheetId="155">'ABC- KATARUNGANG PAMBARANGAY'!#REF!</definedName>
    <definedName name="MENU4" localSheetId="162">ADHOC!#REF!</definedName>
    <definedName name="MENU4" localSheetId="50">Adolescent!#REF!</definedName>
    <definedName name="MENU4" localSheetId="118">'agri center &amp; demo area'!#REF!</definedName>
    <definedName name="MENU4" localSheetId="110">'animal disease'!#REF!</definedName>
    <definedName name="MENU4" localSheetId="172">'ANTI-COVID19 PROGRAM'!#REF!</definedName>
    <definedName name="MENU4" localSheetId="51">'ANTI-HUMAN RABIES'!#REF!</definedName>
    <definedName name="MENU4" localSheetId="55">'ANTI-SMOKING'!#REF!</definedName>
    <definedName name="MENU4" localSheetId="52">'ANTI-TB Program'!#REF!</definedName>
    <definedName name="MENU4" localSheetId="38">arta!#REF!</definedName>
    <definedName name="MENU4" localSheetId="111">'artificial insemination'!#REF!</definedName>
    <definedName name="MENU4" localSheetId="5">'assessor plantilla'!#REF!</definedName>
    <definedName name="MENU4" localSheetId="161">BAC!#REF!</definedName>
    <definedName name="MENU4" localSheetId="88">'BAGO RIVER'!#REF!</definedName>
    <definedName name="MENU4" localSheetId="120">'bamboo production'!#REF!</definedName>
    <definedName name="MENU4" localSheetId="83">'BANTAY DAGAT'!#REF!</definedName>
    <definedName name="MENU4" localSheetId="90">beautification!#REF!</definedName>
    <definedName name="MENU4" localSheetId="159">BPLO!#REF!</definedName>
    <definedName name="MENU4" localSheetId="27">'BUB '!#REF!</definedName>
    <definedName name="MENU4" localSheetId="22">'BUB ,PAMANA, ETC.'!#REF!</definedName>
    <definedName name="MENU4" localSheetId="141">CAWA!#REF!</definedName>
    <definedName name="MENU4" localSheetId="53">CBHS!#REF!</definedName>
    <definedName name="MENU4" localSheetId="26">CBMS!#REF!</definedName>
    <definedName name="MENU4" localSheetId="54">CBR!#REF!</definedName>
    <definedName name="MENU4" localSheetId="156">'CCC - ALGERS'!#REF!</definedName>
    <definedName name="MENU4" localSheetId="128">'CDRRMO - FINAL 2022 - 9-28-21'!#REF!</definedName>
    <definedName name="MENU4" localSheetId="129">'CEO - FINAL'!#REF!</definedName>
    <definedName name="MENU4" localSheetId="140">'CEO-OBO-FINAL'!#REF!</definedName>
    <definedName name="MENU4" localSheetId="133">'CEO-STREETLIGHTING - FINAL 9-3'!#REF!</definedName>
    <definedName name="MENU4" localSheetId="178">'CIACAT - VAWC - FINAL'!#REF!</definedName>
    <definedName name="MENU4" localSheetId="82">'CITY LANES'!#REF!</definedName>
    <definedName name="MENU4" localSheetId="152">CLDO!#REF!</definedName>
    <definedName name="MENU4" localSheetId="131">'CMO-PAAO - FINAL 9-22-21'!#REF!</definedName>
    <definedName name="MENU4" localSheetId="163">CODI!#REF!</definedName>
    <definedName name="MENU4" localSheetId="23">'Compre Data Collection &amp; Update'!#REF!</definedName>
    <definedName name="MENU4" localSheetId="56">'Contraceptive Self Reliance'!#REF!</definedName>
    <definedName name="MENU4" localSheetId="181">'COUNTRY PROGRAM FOR CHILDREN '!#REF!</definedName>
    <definedName name="MENU4" localSheetId="84">CRM!#REF!</definedName>
    <definedName name="MENU4" localSheetId="132">'CSWDO-EDITED FINAL'!#REF!</definedName>
    <definedName name="MENU4" localSheetId="121">'cutflower industry'!#REF!</definedName>
    <definedName name="MENU4" localSheetId="74">'cwd2022'!#REF!</definedName>
    <definedName name="MENU4" localSheetId="57">DENGUE!#REF!</definedName>
    <definedName name="MENU4" localSheetId="58">'DENTAL HEALTH'!#REF!</definedName>
    <definedName name="MENU4" localSheetId="113">'dispersal &amp; upg of small animal'!#REF!</definedName>
    <definedName name="MENU4" localSheetId="112">'dispersal of large animals'!#REF!</definedName>
    <definedName name="MENU4" localSheetId="127">'duck &amp; turkey'!#REF!</definedName>
    <definedName name="MENU4" localSheetId="80">'ECO CENTER'!#REF!</definedName>
    <definedName name="MENU4" localSheetId="59">'FAMILY PLANNING'!#REF!</definedName>
    <definedName name="MENU4" localSheetId="149">'FIN. ASSIST. GRADUATE SCHOLAR'!#REF!</definedName>
    <definedName name="MENU4" localSheetId="125">'free range chicken'!#REF!</definedName>
    <definedName name="MENU4" localSheetId="79">'GARBAGE COLLECTION'!#REF!</definedName>
    <definedName name="MENU4" localSheetId="7">'gen revision'!#REF!</definedName>
    <definedName name="MENU4" localSheetId="72">'GENFUND 2022 FINAL'!#REF!</definedName>
    <definedName name="MENU4" localSheetId="134">'[1]HOS-plantilla'!#REF!</definedName>
    <definedName name="MENU4" localSheetId="19">Heritage!#REF!</definedName>
    <definedName name="MENU4" localSheetId="115">'high value commcl crops fruits'!#REF!</definedName>
    <definedName name="MENU4" localSheetId="60">HIS!#REF!</definedName>
    <definedName name="MENU4" localSheetId="73">hosp2022!#REF!</definedName>
    <definedName name="MENU4" localSheetId="138">'HOSPITAL-PAAOE- FINAL'!#REF!</definedName>
    <definedName name="MENU4" localSheetId="137">'[1]HOS-plantilla'!#REF!</definedName>
    <definedName name="MENU4" localSheetId="25">'HOUSEHOLD PROFILING'!#REF!</definedName>
    <definedName name="MENU4" localSheetId="122">'hvcc cacao coffee peanut'!#REF!</definedName>
    <definedName name="MENU4" localSheetId="170">'I 4 J - 2022'!#REF!</definedName>
    <definedName name="MENU4" localSheetId="165">ICTC!#REF!</definedName>
    <definedName name="MENU4" localSheetId="81">IEC!#REF!</definedName>
    <definedName name="MENU4" localSheetId="64">IMMUNIZATION!#REF!</definedName>
    <definedName name="MENU4" localSheetId="176">'IMPLEMENTATION OF MDG FACES'!#REF!</definedName>
    <definedName name="MENU4" localSheetId="21">INDIGENOUS!#REF!</definedName>
    <definedName name="MENU4" localSheetId="157">'INTERNAL AUDIT SERVICE'!#REF!</definedName>
    <definedName name="MENU4" localSheetId="89">'law enforcement'!#REF!</definedName>
    <definedName name="MENU4" localSheetId="4">'LBPF No. 2'!#REF!</definedName>
    <definedName name="MENU4" localSheetId="32">'LBPF No. 2 '!#REF!</definedName>
    <definedName name="MENU4" localSheetId="45">'LBPF No. 2 (10)'!#REF!</definedName>
    <definedName name="MENU4" localSheetId="46">'LBPF No. 2 (11)'!#REF!</definedName>
    <definedName name="MENU4" localSheetId="109">'LBPF No. 2 (12)'!#REF!</definedName>
    <definedName name="MENU4" localSheetId="6">'LBPF No. 2 (2)'!#REF!</definedName>
    <definedName name="MENU4" localSheetId="8">'LBPF No. 2 (3)'!#REF!</definedName>
    <definedName name="MENU4" localSheetId="9">'LBPF No. 2 (4)'!#REF!</definedName>
    <definedName name="MENU4" localSheetId="13">'LBPF No. 2 (5)'!#REF!</definedName>
    <definedName name="MENU4" localSheetId="35">'LBPF No. 2 (6)'!#REF!</definedName>
    <definedName name="MENU4" localSheetId="41">'LBPF No. 2 (7)'!#REF!</definedName>
    <definedName name="MENU4" localSheetId="42">'LBPF No. 2 (8)'!#REF!</definedName>
    <definedName name="MENU4" localSheetId="43">'LBPF No. 2 (9)'!#REF!</definedName>
    <definedName name="MENU4" localSheetId="77">'LBPF No. 2(3312)'!#REF!</definedName>
    <definedName name="MENU4" localSheetId="12">'LBPF No. 4'!#REF!</definedName>
    <definedName name="MENU4" localSheetId="44">'LBPF No.3'!#REF!</definedName>
    <definedName name="MENU4" localSheetId="61">'LEPROSY '!#REF!</definedName>
    <definedName name="MENU4" localSheetId="167">LET!#REF!</definedName>
    <definedName name="MENU4" localSheetId="69">'LIFESTYLE DISEASES'!#REF!</definedName>
    <definedName name="MENU4" localSheetId="20">'Mainstreaming CBMS in Brgy. Dev'!#REF!</definedName>
    <definedName name="MENU4" localSheetId="185">'mandana''s - garcia'!#REF!</definedName>
    <definedName name="MENU4" localSheetId="85">'MARINE PROTECTED'!#REF!</definedName>
    <definedName name="MENU4" localSheetId="62">'MATERNAL &amp; CHILD HEALTH CARE'!#REF!</definedName>
    <definedName name="MENU4" localSheetId="63">'Mental Health'!#REF!</definedName>
    <definedName name="MENU4" localSheetId="86">MKNP!#REF!</definedName>
    <definedName name="MENU4" localSheetId="78">MMT!#REF!</definedName>
    <definedName name="MENU4" localSheetId="126">mushroom!#REF!</definedName>
    <definedName name="MENU4" localSheetId="171">'NEGOSYO CENTER - SCCIPC'!#REF!</definedName>
    <definedName name="MENU4" localSheetId="65">'NEWBORN SCREENING'!#REF!</definedName>
    <definedName name="MENU4" localSheetId="87">NNNP!#REF!</definedName>
    <definedName name="MENU4" localSheetId="180">'NUTRITION COUNCIL'!#REF!</definedName>
    <definedName name="MENU4" localSheetId="66">'NUTRITION PROGRAM'!#REF!</definedName>
    <definedName name="MENU4" localSheetId="182">'OFFICE OF PWD'!#REF!</definedName>
    <definedName name="MENU4" localSheetId="183">'OPERATION OF GAD COUNCIL'!#REF!</definedName>
    <definedName name="MENU4" localSheetId="175">'OPERATION OF GUIDANCE CENTER '!#REF!</definedName>
    <definedName name="MENU4" localSheetId="184">'OPERATION OF LCPC - SSS'!#REF!</definedName>
    <definedName name="MENU4" localSheetId="179">'OPERATION OF THE CURFEW CENTER'!#REF!</definedName>
    <definedName name="MENU4" localSheetId="117">'organic agri devt'!#REF!</definedName>
    <definedName name="MENU4" localSheetId="174">'OSCA - PST '!#REF!</definedName>
    <definedName name="MENU4" localSheetId="11">paao!#REF!</definedName>
    <definedName name="MENU4" localSheetId="15">'PAAO (2)'!#REF!</definedName>
    <definedName name="MENU4" localSheetId="30">'paao (3)'!#REF!</definedName>
    <definedName name="MENU4" localSheetId="37">'PAAO (4)'!#REF!</definedName>
    <definedName name="MENU4" localSheetId="2">'paao admin'!#REF!</definedName>
    <definedName name="MENU4" localSheetId="34">'PAAO NEW'!#REF!</definedName>
    <definedName name="MENU4" localSheetId="135">PAAOE!#REF!</definedName>
    <definedName name="MENU4" localSheetId="92">'PAAOE (2021)'!#REF!</definedName>
    <definedName name="MENU4" localSheetId="48">'PAAOE NEW HAZARD'!#REF!</definedName>
    <definedName name="MENU4" localSheetId="28">'PAMANA PROGRAM'!#REF!</definedName>
    <definedName name="MENU4" localSheetId="17">'PAMANA, RCSP &amp; OTHERS'!#REF!</definedName>
    <definedName name="MENU4" localSheetId="164">'PEACE AND ORDER FUND'!#REF!</definedName>
    <definedName name="MENU4" localSheetId="144">PESO!#REF!</definedName>
    <definedName name="MENU4" localSheetId="151">PIO!#REF!</definedName>
    <definedName name="MENU4" localSheetId="3">plantilla!#REF!</definedName>
    <definedName name="MENU4" localSheetId="10">'plantilla (2)'!#REF!</definedName>
    <definedName name="MENU4" localSheetId="14">'PLANTILLA (3)'!#REF!</definedName>
    <definedName name="MENU4" localSheetId="29">'plantilla (4)'!#REF!</definedName>
    <definedName name="MENU4" localSheetId="31">'plantilla (5)'!#REF!</definedName>
    <definedName name="MENU4" localSheetId="36">'PLANTILLA (6)'!#REF!</definedName>
    <definedName name="MENU4" localSheetId="40">'plantilla (7)'!#REF!</definedName>
    <definedName name="MENU4" localSheetId="47">'plantilla (8)'!#REF!</definedName>
    <definedName name="MENU4" localSheetId="1">'plantilla new'!#REF!</definedName>
    <definedName name="MENU4" localSheetId="33">'PLANTILLA NEW (2)'!#REF!</definedName>
    <definedName name="MENU4" localSheetId="186">'PLAza - FINAL-8-31-21'!#REF!</definedName>
    <definedName name="MENU4" localSheetId="160">PLEB!#REF!</definedName>
    <definedName name="MENU4" localSheetId="75">pmsd2022!#REF!</definedName>
    <definedName name="MENU4" localSheetId="168">PPMO!#REF!</definedName>
    <definedName name="MENU4" localSheetId="16">'PROJECT MONITORING'!#REF!</definedName>
    <definedName name="MENU4" localSheetId="76">pttd2022!#REF!</definedName>
    <definedName name="MENU4" localSheetId="123">'rabies eradication '!#REF!</definedName>
    <definedName name="MENU4" localSheetId="67">'Rep&amp;Maint-Investment Property'!#REF!</definedName>
    <definedName name="MENU4" localSheetId="124">'RICE PRODUCTION'!#REF!</definedName>
    <definedName name="MENU4" localSheetId="39">sacapraise!#REF!</definedName>
    <definedName name="MENU4" localSheetId="158">'SCC APPRAISAL COMMITTEE'!#REF!</definedName>
    <definedName name="MENU4" localSheetId="142">SCCCADAC!#REF!</definedName>
    <definedName name="MENU4" localSheetId="143">SCCYA!#REF!</definedName>
    <definedName name="MENU4" localSheetId="147">'SCHOLARSHIP PROG. FOR STUDENTS'!#REF!</definedName>
    <definedName name="MENU4" localSheetId="148">'SCHOLARSHIP PROG. FOR teachers'!#REF!</definedName>
    <definedName name="MENU4" localSheetId="24">SCIHA!#REF!</definedName>
    <definedName name="MENU4" localSheetId="150">'SCIHA (2)'!#REF!</definedName>
    <definedName name="MENU4" localSheetId="18">'SIPA '!#REF!</definedName>
    <definedName name="MENU4" localSheetId="187">'SPECIAL PURPOSE - FINAL 2022'!#REF!</definedName>
    <definedName name="MENU4" localSheetId="145">SPORTS!#REF!</definedName>
    <definedName name="MENU4" localSheetId="68">'STD-HIV'!#REF!</definedName>
    <definedName name="MENU4" localSheetId="49">'summary '!#REF!</definedName>
    <definedName name="MENU4" localSheetId="166">'TASK FORCE RIGHT OF WAY'!#REF!</definedName>
    <definedName name="MENU4" localSheetId="114">'technical&amp;market support '!#REF!</definedName>
    <definedName name="MENU4" localSheetId="146">TOURISM!#REF!</definedName>
    <definedName name="MENU4" localSheetId="169">'TRAFFIC MANAGEMENT AUTHORITY'!#REF!</definedName>
    <definedName name="MENU4" localSheetId="116">'vegetable production'!#REF!</definedName>
    <definedName name="MENU4" localSheetId="70">'VOLUNTARY BLOOD DONATION'!#REF!</definedName>
    <definedName name="MENU4" localSheetId="71">ZOD!#REF!</definedName>
    <definedName name="MENU4">'[1]HOS-plantilla'!#REF!</definedName>
    <definedName name="MENU5" localSheetId="177">' 4 P''S - FINAL'!#REF!</definedName>
    <definedName name="MENU5" localSheetId="119">'abaca industry devt'!#REF!</definedName>
    <definedName name="MENU5" localSheetId="153">'ABC FEDERATION'!#REF!</definedName>
    <definedName name="MENU5" localSheetId="154">'ABC FEDERATION - brgy. TANOD'!#REF!</definedName>
    <definedName name="MENU5" localSheetId="155">'ABC- KATARUNGANG PAMBARANGAY'!#REF!</definedName>
    <definedName name="MENU5" localSheetId="162">ADHOC!#REF!</definedName>
    <definedName name="MENU5" localSheetId="50">Adolescent!#REF!</definedName>
    <definedName name="MENU5" localSheetId="118">'agri center &amp; demo area'!#REF!</definedName>
    <definedName name="MENU5" localSheetId="110">'animal disease'!#REF!</definedName>
    <definedName name="MENU5" localSheetId="172">'ANTI-COVID19 PROGRAM'!#REF!</definedName>
    <definedName name="MENU5" localSheetId="51">'ANTI-HUMAN RABIES'!#REF!</definedName>
    <definedName name="MENU5" localSheetId="55">'ANTI-SMOKING'!#REF!</definedName>
    <definedName name="MENU5" localSheetId="52">'ANTI-TB Program'!#REF!</definedName>
    <definedName name="MENU5" localSheetId="38">arta!#REF!</definedName>
    <definedName name="MENU5" localSheetId="111">'artificial insemination'!#REF!</definedName>
    <definedName name="MENU5" localSheetId="5">'assessor plantilla'!#REF!</definedName>
    <definedName name="MENU5" localSheetId="161">BAC!#REF!</definedName>
    <definedName name="MENU5" localSheetId="88">'BAGO RIVER'!#REF!</definedName>
    <definedName name="MENU5" localSheetId="120">'bamboo production'!#REF!</definedName>
    <definedName name="MENU5" localSheetId="83">'BANTAY DAGAT'!#REF!</definedName>
    <definedName name="MENU5" localSheetId="90">beautification!#REF!</definedName>
    <definedName name="MENU5" localSheetId="159">BPLO!#REF!</definedName>
    <definedName name="MENU5" localSheetId="27">'BUB '!#REF!</definedName>
    <definedName name="MENU5" localSheetId="22">'BUB ,PAMANA, ETC.'!#REF!</definedName>
    <definedName name="MENU5" localSheetId="141">CAWA!#REF!</definedName>
    <definedName name="MENU5" localSheetId="53">CBHS!#REF!</definedName>
    <definedName name="MENU5" localSheetId="26">CBMS!#REF!</definedName>
    <definedName name="MENU5" localSheetId="54">CBR!#REF!</definedName>
    <definedName name="MENU5" localSheetId="156">'CCC - ALGERS'!#REF!</definedName>
    <definedName name="MENU5" localSheetId="128">'CDRRMO - FINAL 2022 - 9-28-21'!#REF!</definedName>
    <definedName name="MENU5" localSheetId="129">'CEO - FINAL'!#REF!</definedName>
    <definedName name="MENU5" localSheetId="140">'CEO-OBO-FINAL'!#REF!</definedName>
    <definedName name="MENU5" localSheetId="133">'CEO-STREETLIGHTING - FINAL 9-3'!#REF!</definedName>
    <definedName name="MENU5" localSheetId="178">'CIACAT - VAWC - FINAL'!#REF!</definedName>
    <definedName name="MENU5" localSheetId="82">'CITY LANES'!#REF!</definedName>
    <definedName name="MENU5" localSheetId="152">CLDO!#REF!</definedName>
    <definedName name="MENU5" localSheetId="131">'CMO-PAAO - FINAL 9-22-21'!#REF!</definedName>
    <definedName name="MENU5" localSheetId="163">CODI!#REF!</definedName>
    <definedName name="MENU5" localSheetId="23">'Compre Data Collection &amp; Update'!#REF!</definedName>
    <definedName name="MENU5" localSheetId="56">'Contraceptive Self Reliance'!#REF!</definedName>
    <definedName name="MENU5" localSheetId="181">'COUNTRY PROGRAM FOR CHILDREN '!#REF!</definedName>
    <definedName name="MENU5" localSheetId="84">CRM!#REF!</definedName>
    <definedName name="MENU5" localSheetId="132">'CSWDO-EDITED FINAL'!#REF!</definedName>
    <definedName name="MENU5" localSheetId="121">'cutflower industry'!#REF!</definedName>
    <definedName name="MENU5" localSheetId="74">'cwd2022'!#REF!</definedName>
    <definedName name="MENU5" localSheetId="57">DENGUE!#REF!</definedName>
    <definedName name="MENU5" localSheetId="58">'DENTAL HEALTH'!#REF!</definedName>
    <definedName name="MENU5" localSheetId="113">'dispersal &amp; upg of small animal'!#REF!</definedName>
    <definedName name="MENU5" localSheetId="112">'dispersal of large animals'!#REF!</definedName>
    <definedName name="MENU5" localSheetId="127">'duck &amp; turkey'!#REF!</definedName>
    <definedName name="MENU5" localSheetId="80">'ECO CENTER'!#REF!</definedName>
    <definedName name="MENU5" localSheetId="59">'FAMILY PLANNING'!#REF!</definedName>
    <definedName name="MENU5" localSheetId="149">'FIN. ASSIST. GRADUATE SCHOLAR'!#REF!</definedName>
    <definedName name="MENU5" localSheetId="125">'free range chicken'!#REF!</definedName>
    <definedName name="MENU5" localSheetId="79">'GARBAGE COLLECTION'!#REF!</definedName>
    <definedName name="MENU5" localSheetId="7">'gen revision'!#REF!</definedName>
    <definedName name="MENU5" localSheetId="72">'GENFUND 2022 FINAL'!#REF!</definedName>
    <definedName name="MENU5" localSheetId="134">'[1]HOS-plantilla'!#REF!</definedName>
    <definedName name="MENU5" localSheetId="19">Heritage!#REF!</definedName>
    <definedName name="MENU5" localSheetId="115">'high value commcl crops fruits'!#REF!</definedName>
    <definedName name="MENU5" localSheetId="60">HIS!#REF!</definedName>
    <definedName name="MENU5" localSheetId="73">hosp2022!#REF!</definedName>
    <definedName name="MENU5" localSheetId="138">'HOSPITAL-PAAOE- FINAL'!#REF!</definedName>
    <definedName name="MENU5" localSheetId="137">'[1]HOS-plantilla'!#REF!</definedName>
    <definedName name="MENU5" localSheetId="25">'HOUSEHOLD PROFILING'!#REF!</definedName>
    <definedName name="MENU5" localSheetId="122">'hvcc cacao coffee peanut'!#REF!</definedName>
    <definedName name="MENU5" localSheetId="170">'I 4 J - 2022'!#REF!</definedName>
    <definedName name="MENU5" localSheetId="165">ICTC!#REF!</definedName>
    <definedName name="MENU5" localSheetId="81">IEC!#REF!</definedName>
    <definedName name="MENU5" localSheetId="64">IMMUNIZATION!#REF!</definedName>
    <definedName name="MENU5" localSheetId="176">'IMPLEMENTATION OF MDG FACES'!#REF!</definedName>
    <definedName name="MENU5" localSheetId="21">INDIGENOUS!#REF!</definedName>
    <definedName name="MENU5" localSheetId="157">'INTERNAL AUDIT SERVICE'!#REF!</definedName>
    <definedName name="MENU5" localSheetId="89">'law enforcement'!#REF!</definedName>
    <definedName name="MENU5" localSheetId="4">'LBPF No. 2'!#REF!</definedName>
    <definedName name="MENU5" localSheetId="32">'LBPF No. 2 '!#REF!</definedName>
    <definedName name="MENU5" localSheetId="45">'LBPF No. 2 (10)'!#REF!</definedName>
    <definedName name="MENU5" localSheetId="46">'LBPF No. 2 (11)'!#REF!</definedName>
    <definedName name="MENU5" localSheetId="109">'LBPF No. 2 (12)'!#REF!</definedName>
    <definedName name="MENU5" localSheetId="6">'LBPF No. 2 (2)'!#REF!</definedName>
    <definedName name="MENU5" localSheetId="8">'LBPF No. 2 (3)'!#REF!</definedName>
    <definedName name="MENU5" localSheetId="9">'LBPF No. 2 (4)'!#REF!</definedName>
    <definedName name="MENU5" localSheetId="13">'LBPF No. 2 (5)'!#REF!</definedName>
    <definedName name="MENU5" localSheetId="35">'LBPF No. 2 (6)'!#REF!</definedName>
    <definedName name="MENU5" localSheetId="41">'LBPF No. 2 (7)'!#REF!</definedName>
    <definedName name="MENU5" localSheetId="42">'LBPF No. 2 (8)'!#REF!</definedName>
    <definedName name="MENU5" localSheetId="43">'LBPF No. 2 (9)'!#REF!</definedName>
    <definedName name="MENU5" localSheetId="77">'LBPF No. 2(3312)'!#REF!</definedName>
    <definedName name="MENU5" localSheetId="12">'LBPF No. 4'!#REF!</definedName>
    <definedName name="MENU5" localSheetId="44">'LBPF No.3'!#REF!</definedName>
    <definedName name="MENU5" localSheetId="61">'LEPROSY '!#REF!</definedName>
    <definedName name="MENU5" localSheetId="167">LET!#REF!</definedName>
    <definedName name="MENU5" localSheetId="69">'LIFESTYLE DISEASES'!#REF!</definedName>
    <definedName name="MENU5" localSheetId="20">'Mainstreaming CBMS in Brgy. Dev'!#REF!</definedName>
    <definedName name="MENU5" localSheetId="185">'mandana''s - garcia'!#REF!</definedName>
    <definedName name="MENU5" localSheetId="85">'MARINE PROTECTED'!#REF!</definedName>
    <definedName name="MENU5" localSheetId="62">'MATERNAL &amp; CHILD HEALTH CARE'!#REF!</definedName>
    <definedName name="MENU5" localSheetId="63">'Mental Health'!#REF!</definedName>
    <definedName name="MENU5" localSheetId="86">MKNP!#REF!</definedName>
    <definedName name="MENU5" localSheetId="78">MMT!#REF!</definedName>
    <definedName name="MENU5" localSheetId="126">mushroom!#REF!</definedName>
    <definedName name="MENU5" localSheetId="171">'NEGOSYO CENTER - SCCIPC'!#REF!</definedName>
    <definedName name="MENU5" localSheetId="65">'NEWBORN SCREENING'!#REF!</definedName>
    <definedName name="MENU5" localSheetId="87">NNNP!#REF!</definedName>
    <definedName name="MENU5" localSheetId="180">'NUTRITION COUNCIL'!#REF!</definedName>
    <definedName name="MENU5" localSheetId="66">'NUTRITION PROGRAM'!#REF!</definedName>
    <definedName name="MENU5" localSheetId="182">'OFFICE OF PWD'!#REF!</definedName>
    <definedName name="MENU5" localSheetId="183">'OPERATION OF GAD COUNCIL'!#REF!</definedName>
    <definedName name="MENU5" localSheetId="175">'OPERATION OF GUIDANCE CENTER '!#REF!</definedName>
    <definedName name="MENU5" localSheetId="184">'OPERATION OF LCPC - SSS'!#REF!</definedName>
    <definedName name="MENU5" localSheetId="179">'OPERATION OF THE CURFEW CENTER'!#REF!</definedName>
    <definedName name="MENU5" localSheetId="117">'organic agri devt'!#REF!</definedName>
    <definedName name="MENU5" localSheetId="174">'OSCA - PST '!#REF!</definedName>
    <definedName name="MENU5" localSheetId="11">paao!#REF!</definedName>
    <definedName name="MENU5" localSheetId="15">'PAAO (2)'!#REF!</definedName>
    <definedName name="MENU5" localSheetId="30">'paao (3)'!#REF!</definedName>
    <definedName name="MENU5" localSheetId="37">'PAAO (4)'!#REF!</definedName>
    <definedName name="MENU5" localSheetId="2">'paao admin'!#REF!</definedName>
    <definedName name="MENU5" localSheetId="34">'PAAO NEW'!#REF!</definedName>
    <definedName name="MENU5" localSheetId="135">PAAOE!#REF!</definedName>
    <definedName name="MENU5" localSheetId="92">'PAAOE (2021)'!#REF!</definedName>
    <definedName name="MENU5" localSheetId="48">'PAAOE NEW HAZARD'!#REF!</definedName>
    <definedName name="MENU5" localSheetId="28">'PAMANA PROGRAM'!#REF!</definedName>
    <definedName name="MENU5" localSheetId="17">'PAMANA, RCSP &amp; OTHERS'!#REF!</definedName>
    <definedName name="MENU5" localSheetId="164">'PEACE AND ORDER FUND'!#REF!</definedName>
    <definedName name="MENU5" localSheetId="144">PESO!#REF!</definedName>
    <definedName name="MENU5" localSheetId="151">PIO!#REF!</definedName>
    <definedName name="MENU5" localSheetId="3">plantilla!#REF!</definedName>
    <definedName name="MENU5" localSheetId="10">'plantilla (2)'!#REF!</definedName>
    <definedName name="MENU5" localSheetId="14">'PLANTILLA (3)'!#REF!</definedName>
    <definedName name="MENU5" localSheetId="29">'plantilla (4)'!#REF!</definedName>
    <definedName name="MENU5" localSheetId="31">'plantilla (5)'!#REF!</definedName>
    <definedName name="MENU5" localSheetId="36">'PLANTILLA (6)'!#REF!</definedName>
    <definedName name="MENU5" localSheetId="40">'plantilla (7)'!#REF!</definedName>
    <definedName name="MENU5" localSheetId="47">'plantilla (8)'!#REF!</definedName>
    <definedName name="MENU5" localSheetId="1">'plantilla new'!#REF!</definedName>
    <definedName name="MENU5" localSheetId="33">'PLANTILLA NEW (2)'!#REF!</definedName>
    <definedName name="MENU5" localSheetId="186">'PLAza - FINAL-8-31-21'!#REF!</definedName>
    <definedName name="MENU5" localSheetId="160">PLEB!#REF!</definedName>
    <definedName name="MENU5" localSheetId="75">pmsd2022!#REF!</definedName>
    <definedName name="MENU5" localSheetId="168">PPMO!#REF!</definedName>
    <definedName name="MENU5" localSheetId="16">'PROJECT MONITORING'!#REF!</definedName>
    <definedName name="MENU5" localSheetId="76">pttd2022!#REF!</definedName>
    <definedName name="MENU5" localSheetId="123">'rabies eradication '!#REF!</definedName>
    <definedName name="MENU5" localSheetId="67">'Rep&amp;Maint-Investment Property'!#REF!</definedName>
    <definedName name="MENU5" localSheetId="124">'RICE PRODUCTION'!#REF!</definedName>
    <definedName name="MENU5" localSheetId="39">sacapraise!#REF!</definedName>
    <definedName name="MENU5" localSheetId="158">'SCC APPRAISAL COMMITTEE'!#REF!</definedName>
    <definedName name="MENU5" localSheetId="142">SCCCADAC!#REF!</definedName>
    <definedName name="MENU5" localSheetId="143">SCCYA!#REF!</definedName>
    <definedName name="MENU5" localSheetId="147">'SCHOLARSHIP PROG. FOR STUDENTS'!#REF!</definedName>
    <definedName name="MENU5" localSheetId="148">'SCHOLARSHIP PROG. FOR teachers'!#REF!</definedName>
    <definedName name="MENU5" localSheetId="24">SCIHA!#REF!</definedName>
    <definedName name="MENU5" localSheetId="150">'SCIHA (2)'!#REF!</definedName>
    <definedName name="MENU5" localSheetId="18">'SIPA '!#REF!</definedName>
    <definedName name="MENU5" localSheetId="187">'SPECIAL PURPOSE - FINAL 2022'!#REF!</definedName>
    <definedName name="MENU5" localSheetId="145">SPORTS!#REF!</definedName>
    <definedName name="MENU5" localSheetId="68">'STD-HIV'!#REF!</definedName>
    <definedName name="MENU5" localSheetId="49">'summary '!#REF!</definedName>
    <definedName name="MENU5" localSheetId="166">'TASK FORCE RIGHT OF WAY'!#REF!</definedName>
    <definedName name="MENU5" localSheetId="114">'technical&amp;market support '!#REF!</definedName>
    <definedName name="MENU5" localSheetId="146">TOURISM!#REF!</definedName>
    <definedName name="MENU5" localSheetId="169">'TRAFFIC MANAGEMENT AUTHORITY'!#REF!</definedName>
    <definedName name="MENU5" localSheetId="116">'vegetable production'!#REF!</definedName>
    <definedName name="MENU5" localSheetId="70">'VOLUNTARY BLOOD DONATION'!#REF!</definedName>
    <definedName name="MENU5" localSheetId="71">ZOD!#REF!</definedName>
    <definedName name="MENU5">'[1]HOS-plantilla'!#REF!</definedName>
    <definedName name="MENU6" localSheetId="177">' 4 P''S - FINAL'!#REF!</definedName>
    <definedName name="MENU6" localSheetId="119">'abaca industry devt'!#REF!</definedName>
    <definedName name="MENU6" localSheetId="153">'ABC FEDERATION'!#REF!</definedName>
    <definedName name="MENU6" localSheetId="154">'ABC FEDERATION - brgy. TANOD'!#REF!</definedName>
    <definedName name="MENU6" localSheetId="155">'ABC- KATARUNGANG PAMBARANGAY'!#REF!</definedName>
    <definedName name="MENU6" localSheetId="162">ADHOC!#REF!</definedName>
    <definedName name="MENU6" localSheetId="50">Adolescent!#REF!</definedName>
    <definedName name="MENU6" localSheetId="118">'agri center &amp; demo area'!#REF!</definedName>
    <definedName name="MENU6" localSheetId="110">'animal disease'!#REF!</definedName>
    <definedName name="MENU6" localSheetId="172">'ANTI-COVID19 PROGRAM'!#REF!</definedName>
    <definedName name="MENU6" localSheetId="51">'ANTI-HUMAN RABIES'!#REF!</definedName>
    <definedName name="MENU6" localSheetId="55">'ANTI-SMOKING'!#REF!</definedName>
    <definedName name="MENU6" localSheetId="52">'ANTI-TB Program'!#REF!</definedName>
    <definedName name="MENU6" localSheetId="38">arta!#REF!</definedName>
    <definedName name="MENU6" localSheetId="111">'artificial insemination'!#REF!</definedName>
    <definedName name="MENU6" localSheetId="5">'assessor plantilla'!#REF!</definedName>
    <definedName name="MENU6" localSheetId="161">BAC!#REF!</definedName>
    <definedName name="MENU6" localSheetId="88">'BAGO RIVER'!#REF!</definedName>
    <definedName name="MENU6" localSheetId="120">'bamboo production'!#REF!</definedName>
    <definedName name="MENU6" localSheetId="83">'BANTAY DAGAT'!#REF!</definedName>
    <definedName name="MENU6" localSheetId="90">beautification!#REF!</definedName>
    <definedName name="MENU6" localSheetId="159">BPLO!#REF!</definedName>
    <definedName name="MENU6" localSheetId="27">'BUB '!#REF!</definedName>
    <definedName name="MENU6" localSheetId="22">'BUB ,PAMANA, ETC.'!#REF!</definedName>
    <definedName name="MENU6" localSheetId="141">CAWA!#REF!</definedName>
    <definedName name="MENU6" localSheetId="53">CBHS!#REF!</definedName>
    <definedName name="MENU6" localSheetId="26">CBMS!#REF!</definedName>
    <definedName name="MENU6" localSheetId="54">CBR!#REF!</definedName>
    <definedName name="MENU6" localSheetId="156">'CCC - ALGERS'!#REF!</definedName>
    <definedName name="MENU6" localSheetId="128">'CDRRMO - FINAL 2022 - 9-28-21'!#REF!</definedName>
    <definedName name="MENU6" localSheetId="129">'CEO - FINAL'!#REF!</definedName>
    <definedName name="MENU6" localSheetId="140">'CEO-OBO-FINAL'!#REF!</definedName>
    <definedName name="MENU6" localSheetId="133">'CEO-STREETLIGHTING - FINAL 9-3'!#REF!</definedName>
    <definedName name="MENU6" localSheetId="178">'CIACAT - VAWC - FINAL'!#REF!</definedName>
    <definedName name="MENU6" localSheetId="82">'CITY LANES'!#REF!</definedName>
    <definedName name="MENU6" localSheetId="152">CLDO!#REF!</definedName>
    <definedName name="MENU6" localSheetId="131">'CMO-PAAO - FINAL 9-22-21'!#REF!</definedName>
    <definedName name="MENU6" localSheetId="163">CODI!#REF!</definedName>
    <definedName name="MENU6" localSheetId="23">'Compre Data Collection &amp; Update'!#REF!</definedName>
    <definedName name="MENU6" localSheetId="56">'Contraceptive Self Reliance'!#REF!</definedName>
    <definedName name="MENU6" localSheetId="181">'COUNTRY PROGRAM FOR CHILDREN '!#REF!</definedName>
    <definedName name="MENU6" localSheetId="84">CRM!#REF!</definedName>
    <definedName name="MENU6" localSheetId="132">'CSWDO-EDITED FINAL'!#REF!</definedName>
    <definedName name="MENU6" localSheetId="121">'cutflower industry'!#REF!</definedName>
    <definedName name="MENU6" localSheetId="74">'cwd2022'!#REF!</definedName>
    <definedName name="MENU6" localSheetId="57">DENGUE!#REF!</definedName>
    <definedName name="MENU6" localSheetId="58">'DENTAL HEALTH'!#REF!</definedName>
    <definedName name="MENU6" localSheetId="113">'dispersal &amp; upg of small animal'!#REF!</definedName>
    <definedName name="MENU6" localSheetId="112">'dispersal of large animals'!#REF!</definedName>
    <definedName name="MENU6" localSheetId="127">'duck &amp; turkey'!#REF!</definedName>
    <definedName name="MENU6" localSheetId="80">'ECO CENTER'!#REF!</definedName>
    <definedName name="MENU6" localSheetId="59">'FAMILY PLANNING'!#REF!</definedName>
    <definedName name="MENU6" localSheetId="149">'FIN. ASSIST. GRADUATE SCHOLAR'!#REF!</definedName>
    <definedName name="MENU6" localSheetId="125">'free range chicken'!#REF!</definedName>
    <definedName name="MENU6" localSheetId="79">'GARBAGE COLLECTION'!#REF!</definedName>
    <definedName name="MENU6" localSheetId="7">'gen revision'!#REF!</definedName>
    <definedName name="MENU6" localSheetId="72">'GENFUND 2022 FINAL'!#REF!</definedName>
    <definedName name="MENU6" localSheetId="134">'[1]HOS-plantilla'!#REF!</definedName>
    <definedName name="MENU6" localSheetId="19">Heritage!#REF!</definedName>
    <definedName name="MENU6" localSheetId="115">'high value commcl crops fruits'!#REF!</definedName>
    <definedName name="MENU6" localSheetId="60">HIS!#REF!</definedName>
    <definedName name="MENU6" localSheetId="73">hosp2022!#REF!</definedName>
    <definedName name="MENU6" localSheetId="138">'HOSPITAL-PAAOE- FINAL'!#REF!</definedName>
    <definedName name="MENU6" localSheetId="137">'[1]HOS-plantilla'!#REF!</definedName>
    <definedName name="MENU6" localSheetId="25">'HOUSEHOLD PROFILING'!#REF!</definedName>
    <definedName name="MENU6" localSheetId="122">'hvcc cacao coffee peanut'!#REF!</definedName>
    <definedName name="MENU6" localSheetId="170">'I 4 J - 2022'!#REF!</definedName>
    <definedName name="MENU6" localSheetId="165">ICTC!#REF!</definedName>
    <definedName name="MENU6" localSheetId="81">IEC!#REF!</definedName>
    <definedName name="MENU6" localSheetId="64">IMMUNIZATION!#REF!</definedName>
    <definedName name="MENU6" localSheetId="176">'IMPLEMENTATION OF MDG FACES'!#REF!</definedName>
    <definedName name="MENU6" localSheetId="21">INDIGENOUS!#REF!</definedName>
    <definedName name="MENU6" localSheetId="157">'INTERNAL AUDIT SERVICE'!#REF!</definedName>
    <definedName name="MENU6" localSheetId="89">'law enforcement'!#REF!</definedName>
    <definedName name="MENU6" localSheetId="4">'LBPF No. 2'!#REF!</definedName>
    <definedName name="MENU6" localSheetId="32">'LBPF No. 2 '!#REF!</definedName>
    <definedName name="MENU6" localSheetId="45">'LBPF No. 2 (10)'!#REF!</definedName>
    <definedName name="MENU6" localSheetId="46">'LBPF No. 2 (11)'!#REF!</definedName>
    <definedName name="MENU6" localSheetId="109">'LBPF No. 2 (12)'!#REF!</definedName>
    <definedName name="MENU6" localSheetId="6">'LBPF No. 2 (2)'!#REF!</definedName>
    <definedName name="MENU6" localSheetId="8">'LBPF No. 2 (3)'!#REF!</definedName>
    <definedName name="MENU6" localSheetId="9">'LBPF No. 2 (4)'!#REF!</definedName>
    <definedName name="MENU6" localSheetId="13">'LBPF No. 2 (5)'!#REF!</definedName>
    <definedName name="MENU6" localSheetId="35">'LBPF No. 2 (6)'!#REF!</definedName>
    <definedName name="MENU6" localSheetId="41">'LBPF No. 2 (7)'!#REF!</definedName>
    <definedName name="MENU6" localSheetId="42">'LBPF No. 2 (8)'!#REF!</definedName>
    <definedName name="MENU6" localSheetId="43">'LBPF No. 2 (9)'!#REF!</definedName>
    <definedName name="MENU6" localSheetId="77">'LBPF No. 2(3312)'!#REF!</definedName>
    <definedName name="MENU6" localSheetId="12">'LBPF No. 4'!#REF!</definedName>
    <definedName name="MENU6" localSheetId="44">'LBPF No.3'!#REF!</definedName>
    <definedName name="MENU6" localSheetId="61">'LEPROSY '!#REF!</definedName>
    <definedName name="MENU6" localSheetId="167">LET!#REF!</definedName>
    <definedName name="MENU6" localSheetId="69">'LIFESTYLE DISEASES'!#REF!</definedName>
    <definedName name="MENU6" localSheetId="20">'Mainstreaming CBMS in Brgy. Dev'!#REF!</definedName>
    <definedName name="MENU6" localSheetId="185">'mandana''s - garcia'!#REF!</definedName>
    <definedName name="MENU6" localSheetId="85">'MARINE PROTECTED'!#REF!</definedName>
    <definedName name="MENU6" localSheetId="62">'MATERNAL &amp; CHILD HEALTH CARE'!#REF!</definedName>
    <definedName name="MENU6" localSheetId="63">'Mental Health'!#REF!</definedName>
    <definedName name="MENU6" localSheetId="86">MKNP!#REF!</definedName>
    <definedName name="MENU6" localSheetId="78">MMT!#REF!</definedName>
    <definedName name="MENU6" localSheetId="126">mushroom!#REF!</definedName>
    <definedName name="MENU6" localSheetId="171">'NEGOSYO CENTER - SCCIPC'!#REF!</definedName>
    <definedName name="MENU6" localSheetId="65">'NEWBORN SCREENING'!#REF!</definedName>
    <definedName name="MENU6" localSheetId="87">NNNP!#REF!</definedName>
    <definedName name="MENU6" localSheetId="180">'NUTRITION COUNCIL'!#REF!</definedName>
    <definedName name="MENU6" localSheetId="66">'NUTRITION PROGRAM'!#REF!</definedName>
    <definedName name="MENU6" localSheetId="182">'OFFICE OF PWD'!#REF!</definedName>
    <definedName name="MENU6" localSheetId="183">'OPERATION OF GAD COUNCIL'!#REF!</definedName>
    <definedName name="MENU6" localSheetId="175">'OPERATION OF GUIDANCE CENTER '!#REF!</definedName>
    <definedName name="MENU6" localSheetId="184">'OPERATION OF LCPC - SSS'!#REF!</definedName>
    <definedName name="MENU6" localSheetId="179">'OPERATION OF THE CURFEW CENTER'!#REF!</definedName>
    <definedName name="MENU6" localSheetId="117">'organic agri devt'!#REF!</definedName>
    <definedName name="MENU6" localSheetId="174">'OSCA - PST '!#REF!</definedName>
    <definedName name="MENU6" localSheetId="11">paao!#REF!</definedName>
    <definedName name="MENU6" localSheetId="15">'PAAO (2)'!#REF!</definedName>
    <definedName name="MENU6" localSheetId="30">'paao (3)'!#REF!</definedName>
    <definedName name="MENU6" localSheetId="37">'PAAO (4)'!#REF!</definedName>
    <definedName name="MENU6" localSheetId="2">'paao admin'!#REF!</definedName>
    <definedName name="MENU6" localSheetId="34">'PAAO NEW'!#REF!</definedName>
    <definedName name="MENU6" localSheetId="135">PAAOE!#REF!</definedName>
    <definedName name="MENU6" localSheetId="92">'PAAOE (2021)'!#REF!</definedName>
    <definedName name="MENU6" localSheetId="48">'PAAOE NEW HAZARD'!#REF!</definedName>
    <definedName name="MENU6" localSheetId="28">'PAMANA PROGRAM'!#REF!</definedName>
    <definedName name="MENU6" localSheetId="17">'PAMANA, RCSP &amp; OTHERS'!#REF!</definedName>
    <definedName name="MENU6" localSheetId="164">'PEACE AND ORDER FUND'!#REF!</definedName>
    <definedName name="MENU6" localSheetId="144">PESO!#REF!</definedName>
    <definedName name="MENU6" localSheetId="151">PIO!#REF!</definedName>
    <definedName name="MENU6" localSheetId="3">plantilla!#REF!</definedName>
    <definedName name="MENU6" localSheetId="10">'plantilla (2)'!#REF!</definedName>
    <definedName name="MENU6" localSheetId="14">'PLANTILLA (3)'!#REF!</definedName>
    <definedName name="MENU6" localSheetId="29">'plantilla (4)'!#REF!</definedName>
    <definedName name="MENU6" localSheetId="31">'plantilla (5)'!#REF!</definedName>
    <definedName name="MENU6" localSheetId="36">'PLANTILLA (6)'!#REF!</definedName>
    <definedName name="MENU6" localSheetId="40">'plantilla (7)'!#REF!</definedName>
    <definedName name="MENU6" localSheetId="47">'plantilla (8)'!#REF!</definedName>
    <definedName name="MENU6" localSheetId="1">'plantilla new'!#REF!</definedName>
    <definedName name="MENU6" localSheetId="33">'PLANTILLA NEW (2)'!#REF!</definedName>
    <definedName name="MENU6" localSheetId="186">'PLAza - FINAL-8-31-21'!#REF!</definedName>
    <definedName name="MENU6" localSheetId="160">PLEB!#REF!</definedName>
    <definedName name="MENU6" localSheetId="75">pmsd2022!#REF!</definedName>
    <definedName name="MENU6" localSheetId="168">PPMO!#REF!</definedName>
    <definedName name="MENU6" localSheetId="16">'PROJECT MONITORING'!#REF!</definedName>
    <definedName name="MENU6" localSheetId="76">pttd2022!#REF!</definedName>
    <definedName name="MENU6" localSheetId="123">'rabies eradication '!#REF!</definedName>
    <definedName name="MENU6" localSheetId="67">'Rep&amp;Maint-Investment Property'!#REF!</definedName>
    <definedName name="MENU6" localSheetId="124">'RICE PRODUCTION'!#REF!</definedName>
    <definedName name="MENU6" localSheetId="39">sacapraise!#REF!</definedName>
    <definedName name="MENU6" localSheetId="158">'SCC APPRAISAL COMMITTEE'!#REF!</definedName>
    <definedName name="MENU6" localSheetId="142">SCCCADAC!#REF!</definedName>
    <definedName name="MENU6" localSheetId="143">SCCYA!#REF!</definedName>
    <definedName name="MENU6" localSheetId="147">'SCHOLARSHIP PROG. FOR STUDENTS'!#REF!</definedName>
    <definedName name="MENU6" localSheetId="148">'SCHOLARSHIP PROG. FOR teachers'!#REF!</definedName>
    <definedName name="MENU6" localSheetId="24">SCIHA!#REF!</definedName>
    <definedName name="MENU6" localSheetId="150">'SCIHA (2)'!#REF!</definedName>
    <definedName name="MENU6" localSheetId="18">'SIPA '!#REF!</definedName>
    <definedName name="MENU6" localSheetId="187">'SPECIAL PURPOSE - FINAL 2022'!#REF!</definedName>
    <definedName name="MENU6" localSheetId="145">SPORTS!#REF!</definedName>
    <definedName name="MENU6" localSheetId="68">'STD-HIV'!#REF!</definedName>
    <definedName name="MENU6" localSheetId="49">'summary '!#REF!</definedName>
    <definedName name="MENU6" localSheetId="166">'TASK FORCE RIGHT OF WAY'!#REF!</definedName>
    <definedName name="MENU6" localSheetId="114">'technical&amp;market support '!#REF!</definedName>
    <definedName name="MENU6" localSheetId="146">TOURISM!#REF!</definedName>
    <definedName name="MENU6" localSheetId="169">'TRAFFIC MANAGEMENT AUTHORITY'!#REF!</definedName>
    <definedName name="MENU6" localSheetId="116">'vegetable production'!#REF!</definedName>
    <definedName name="MENU6" localSheetId="70">'VOLUNTARY BLOOD DONATION'!#REF!</definedName>
    <definedName name="MENU6" localSheetId="71">ZOD!#REF!</definedName>
    <definedName name="MENU6">'[1]HOS-plantilla'!#REF!</definedName>
    <definedName name="mp" localSheetId="127">'[1]HOS-plantilla'!#REF!</definedName>
    <definedName name="mp">'[1]HOS-plantilla'!#REF!</definedName>
    <definedName name="mushroom" localSheetId="127">'[1]HOS-plantilla'!#REF!</definedName>
    <definedName name="mushroom">'[1]HOS-plantilla'!#REF!</definedName>
    <definedName name="PAGE_1" localSheetId="177">' 4 P''S - FINAL'!#REF!</definedName>
    <definedName name="PAGE_1" localSheetId="119">'abaca industry devt'!#REF!</definedName>
    <definedName name="PAGE_1" localSheetId="153">'ABC FEDERATION'!#REF!</definedName>
    <definedName name="PAGE_1" localSheetId="154">'ABC FEDERATION - brgy. TANOD'!#REF!</definedName>
    <definedName name="PAGE_1" localSheetId="155">'ABC- KATARUNGANG PAMBARANGAY'!#REF!</definedName>
    <definedName name="PAGE_1" localSheetId="162">ADHOC!#REF!</definedName>
    <definedName name="PAGE_1" localSheetId="50">Adolescent!#REF!</definedName>
    <definedName name="PAGE_1" localSheetId="118">'agri center &amp; demo area'!#REF!</definedName>
    <definedName name="PAGE_1" localSheetId="110">'animal disease'!#REF!</definedName>
    <definedName name="PAGE_1" localSheetId="172">'ANTI-COVID19 PROGRAM'!#REF!</definedName>
    <definedName name="PAGE_1" localSheetId="51">'ANTI-HUMAN RABIES'!#REF!</definedName>
    <definedName name="PAGE_1" localSheetId="55">'ANTI-SMOKING'!#REF!</definedName>
    <definedName name="PAGE_1" localSheetId="52">'ANTI-TB Program'!#REF!</definedName>
    <definedName name="PAGE_1" localSheetId="38">arta!#REF!</definedName>
    <definedName name="PAGE_1" localSheetId="111">'artificial insemination'!#REF!</definedName>
    <definedName name="PAGE_1" localSheetId="5">'assessor plantilla'!$A$2:$K$40</definedName>
    <definedName name="PAGE_1" localSheetId="161">BAC!#REF!</definedName>
    <definedName name="PAGE_1" localSheetId="88">'BAGO RIVER'!#REF!</definedName>
    <definedName name="PAGE_1" localSheetId="120">'bamboo production'!#REF!</definedName>
    <definedName name="PAGE_1" localSheetId="83">'BANTAY DAGAT'!#REF!</definedName>
    <definedName name="PAGE_1" localSheetId="90">beautification!#REF!</definedName>
    <definedName name="PAGE_1" localSheetId="159">BPLO!#REF!</definedName>
    <definedName name="PAGE_1" localSheetId="27">'BUB '!#REF!</definedName>
    <definedName name="PAGE_1" localSheetId="22">'BUB ,PAMANA, ETC.'!#REF!</definedName>
    <definedName name="PAGE_1" localSheetId="141">CAWA!#REF!</definedName>
    <definedName name="PAGE_1" localSheetId="53">CBHS!#REF!</definedName>
    <definedName name="PAGE_1" localSheetId="26">CBMS!#REF!</definedName>
    <definedName name="PAGE_1" localSheetId="54">CBR!#REF!</definedName>
    <definedName name="PAGE_1" localSheetId="156">'CCC - ALGERS'!#REF!</definedName>
    <definedName name="PAGE_1" localSheetId="128">'CDRRMO - FINAL 2022 - 9-28-21'!#REF!</definedName>
    <definedName name="PAGE_1" localSheetId="129">'CEO - FINAL'!#REF!</definedName>
    <definedName name="PAGE_1" localSheetId="140">'CEO-OBO-FINAL'!#REF!</definedName>
    <definedName name="PAGE_1" localSheetId="133">'CEO-STREETLIGHTING - FINAL 9-3'!#REF!</definedName>
    <definedName name="PAGE_1" localSheetId="178">'CIACAT - VAWC - FINAL'!#REF!</definedName>
    <definedName name="PAGE_1" localSheetId="82">'CITY LANES'!#REF!</definedName>
    <definedName name="PAGE_1" localSheetId="152">CLDO!#REF!</definedName>
    <definedName name="PAGE_1" localSheetId="131">'CMO-PAAO - FINAL 9-22-21'!#REF!</definedName>
    <definedName name="PAGE_1" localSheetId="163">CODI!#REF!</definedName>
    <definedName name="PAGE_1" localSheetId="23">'Compre Data Collection &amp; Update'!#REF!</definedName>
    <definedName name="PAGE_1" localSheetId="56">'Contraceptive Self Reliance'!#REF!</definedName>
    <definedName name="PAGE_1" localSheetId="181">'COUNTRY PROGRAM FOR CHILDREN '!#REF!</definedName>
    <definedName name="PAGE_1" localSheetId="84">CRM!#REF!</definedName>
    <definedName name="PAGE_1" localSheetId="132">'CSWDO-EDITED FINAL'!#REF!</definedName>
    <definedName name="PAGE_1" localSheetId="121">'cutflower industry'!#REF!</definedName>
    <definedName name="PAGE_1" localSheetId="74">'cwd2022'!#REF!</definedName>
    <definedName name="PAGE_1" localSheetId="57">DENGUE!#REF!</definedName>
    <definedName name="PAGE_1" localSheetId="58">'DENTAL HEALTH'!#REF!</definedName>
    <definedName name="PAGE_1" localSheetId="113">'dispersal &amp; upg of small animal'!#REF!</definedName>
    <definedName name="PAGE_1" localSheetId="112">'dispersal of large animals'!#REF!</definedName>
    <definedName name="PAGE_1" localSheetId="127">'duck &amp; turkey'!#REF!</definedName>
    <definedName name="PAGE_1" localSheetId="80">'ECO CENTER'!#REF!</definedName>
    <definedName name="PAGE_1" localSheetId="59">'FAMILY PLANNING'!#REF!</definedName>
    <definedName name="PAGE_1" localSheetId="149">'FIN. ASSIST. GRADUATE SCHOLAR'!#REF!</definedName>
    <definedName name="PAGE_1" localSheetId="125">'free range chicken'!#REF!</definedName>
    <definedName name="PAGE_1" localSheetId="79">'GARBAGE COLLECTION'!#REF!</definedName>
    <definedName name="PAGE_1" localSheetId="7">'gen revision'!#REF!</definedName>
    <definedName name="PAGE_1" localSheetId="72">'GENFUND 2022 FINAL'!#REF!</definedName>
    <definedName name="PAGE_1" localSheetId="19">Heritage!#REF!</definedName>
    <definedName name="PAGE_1" localSheetId="115">'high value commcl crops fruits'!#REF!</definedName>
    <definedName name="PAGE_1" localSheetId="60">HIS!#REF!</definedName>
    <definedName name="PAGE_1" localSheetId="73">hosp2022!#REF!</definedName>
    <definedName name="PAGE_1" localSheetId="138">'HOSPITAL-PAAOE- FINAL'!#REF!</definedName>
    <definedName name="PAGE_1" localSheetId="25">'HOUSEHOLD PROFILING'!#REF!</definedName>
    <definedName name="PAGE_1" localSheetId="122">'hvcc cacao coffee peanut'!#REF!</definedName>
    <definedName name="PAGE_1" localSheetId="170">'I 4 J - 2022'!#REF!</definedName>
    <definedName name="PAGE_1" localSheetId="165">ICTC!#REF!</definedName>
    <definedName name="PAGE_1" localSheetId="81">IEC!#REF!</definedName>
    <definedName name="PAGE_1" localSheetId="64">IMMUNIZATION!#REF!</definedName>
    <definedName name="PAGE_1" localSheetId="176">'IMPLEMENTATION OF MDG FACES'!#REF!</definedName>
    <definedName name="PAGE_1" localSheetId="21">INDIGENOUS!#REF!</definedName>
    <definedName name="PAGE_1" localSheetId="157">'INTERNAL AUDIT SERVICE'!#REF!</definedName>
    <definedName name="PAGE_1" localSheetId="89">'law enforcement'!#REF!</definedName>
    <definedName name="PAGE_1" localSheetId="4">'LBPF No. 2'!#REF!</definedName>
    <definedName name="PAGE_1" localSheetId="32">'LBPF No. 2 '!#REF!</definedName>
    <definedName name="PAGE_1" localSheetId="45">'LBPF No. 2 (10)'!#REF!</definedName>
    <definedName name="PAGE_1" localSheetId="46">'LBPF No. 2 (11)'!#REF!</definedName>
    <definedName name="PAGE_1" localSheetId="109">'LBPF No. 2 (12)'!#REF!</definedName>
    <definedName name="PAGE_1" localSheetId="6">'LBPF No. 2 (2)'!#REF!</definedName>
    <definedName name="PAGE_1" localSheetId="8">'LBPF No. 2 (3)'!#REF!</definedName>
    <definedName name="PAGE_1" localSheetId="9">'LBPF No. 2 (4)'!#REF!</definedName>
    <definedName name="PAGE_1" localSheetId="13">'LBPF No. 2 (5)'!#REF!</definedName>
    <definedName name="PAGE_1" localSheetId="35">'LBPF No. 2 (6)'!#REF!</definedName>
    <definedName name="PAGE_1" localSheetId="41">'LBPF No. 2 (7)'!#REF!</definedName>
    <definedName name="PAGE_1" localSheetId="42">'LBPF No. 2 (8)'!#REF!</definedName>
    <definedName name="PAGE_1" localSheetId="43">'LBPF No. 2 (9)'!#REF!</definedName>
    <definedName name="PAGE_1" localSheetId="77">'LBPF No. 2(3312)'!#REF!</definedName>
    <definedName name="PAGE_1" localSheetId="12">'LBPF No. 4'!$A$2:$M$56</definedName>
    <definedName name="PAGE_1" localSheetId="44">'LBPF No.3'!$A$2:$M$31</definedName>
    <definedName name="PAGE_1" localSheetId="61">'LEPROSY '!#REF!</definedName>
    <definedName name="PAGE_1" localSheetId="167">LET!#REF!</definedName>
    <definedName name="PAGE_1" localSheetId="69">'LIFESTYLE DISEASES'!#REF!</definedName>
    <definedName name="PAGE_1" localSheetId="20">'Mainstreaming CBMS in Brgy. Dev'!#REF!</definedName>
    <definedName name="PAGE_1" localSheetId="185">'mandana''s - garcia'!#REF!</definedName>
    <definedName name="PAGE_1" localSheetId="85">'MARINE PROTECTED'!#REF!</definedName>
    <definedName name="PAGE_1" localSheetId="62">'MATERNAL &amp; CHILD HEALTH CARE'!#REF!</definedName>
    <definedName name="PAGE_1" localSheetId="63">'Mental Health'!#REF!</definedName>
    <definedName name="PAGE_1" localSheetId="86">MKNP!#REF!</definedName>
    <definedName name="PAGE_1" localSheetId="78">MMT!#REF!</definedName>
    <definedName name="PAGE_1" localSheetId="126">mushroom!#REF!</definedName>
    <definedName name="PAGE_1" localSheetId="171">'NEGOSYO CENTER - SCCIPC'!#REF!</definedName>
    <definedName name="PAGE_1" localSheetId="65">'NEWBORN SCREENING'!#REF!</definedName>
    <definedName name="PAGE_1" localSheetId="87">NNNP!#REF!</definedName>
    <definedName name="PAGE_1" localSheetId="180">'NUTRITION COUNCIL'!#REF!</definedName>
    <definedName name="PAGE_1" localSheetId="66">'NUTRITION PROGRAM'!#REF!</definedName>
    <definedName name="PAGE_1" localSheetId="182">'OFFICE OF PWD'!#REF!</definedName>
    <definedName name="PAGE_1" localSheetId="183">'OPERATION OF GAD COUNCIL'!#REF!</definedName>
    <definedName name="PAGE_1" localSheetId="175">'OPERATION OF GUIDANCE CENTER '!#REF!</definedName>
    <definedName name="PAGE_1" localSheetId="184">'OPERATION OF LCPC - SSS'!#REF!</definedName>
    <definedName name="PAGE_1" localSheetId="179">'OPERATION OF THE CURFEW CENTER'!#REF!</definedName>
    <definedName name="PAGE_1" localSheetId="117">'organic agri devt'!#REF!</definedName>
    <definedName name="PAGE_1" localSheetId="174">'OSCA - PST '!#REF!</definedName>
    <definedName name="PAGE_1" localSheetId="11">paao!#REF!</definedName>
    <definedName name="PAGE_1" localSheetId="15">'PAAO (2)'!#REF!</definedName>
    <definedName name="PAGE_1" localSheetId="30">'paao (3)'!#REF!</definedName>
    <definedName name="PAGE_1" localSheetId="37">'PAAO (4)'!#REF!</definedName>
    <definedName name="PAGE_1" localSheetId="2">'paao admin'!#REF!</definedName>
    <definedName name="PAGE_1" localSheetId="34">'PAAO NEW'!#REF!</definedName>
    <definedName name="PAGE_1" localSheetId="135">PAAOE!#REF!</definedName>
    <definedName name="PAGE_1" localSheetId="92">'PAAOE (2021)'!#REF!</definedName>
    <definedName name="PAGE_1" localSheetId="48">'PAAOE NEW HAZARD'!#REF!</definedName>
    <definedName name="PAGE_1" localSheetId="28">'PAMANA PROGRAM'!#REF!</definedName>
    <definedName name="PAGE_1" localSheetId="17">'PAMANA, RCSP &amp; OTHERS'!#REF!</definedName>
    <definedName name="PAGE_1" localSheetId="164">'PEACE AND ORDER FUND'!#REF!</definedName>
    <definedName name="PAGE_1" localSheetId="144">PESO!#REF!</definedName>
    <definedName name="PAGE_1" localSheetId="151">PIO!#REF!</definedName>
    <definedName name="PAGE_1" localSheetId="3">plantilla!$A$2:$M$70</definedName>
    <definedName name="PAGE_1" localSheetId="10">'plantilla (2)'!$A$2:$M$46</definedName>
    <definedName name="PAGE_1" localSheetId="14">'PLANTILLA (3)'!$A$2:$K$64</definedName>
    <definedName name="PAGE_1" localSheetId="29">'plantilla (4)'!$A$2:$K$111</definedName>
    <definedName name="PAGE_1" localSheetId="31">'plantilla (5)'!$A$2:$M$96</definedName>
    <definedName name="PAGE_1" localSheetId="36">'PLANTILLA (6)'!$A$2:$L$53</definedName>
    <definedName name="PAGE_1" localSheetId="40">'plantilla (7)'!$A$2:$K$48</definedName>
    <definedName name="PAGE_1" localSheetId="47">'plantilla (8)'!$A$2:$M$117</definedName>
    <definedName name="PAGE_1" localSheetId="1">'plantilla new'!$A$2:$K$52</definedName>
    <definedName name="PAGE_1" localSheetId="33">'PLANTILLA NEW (2)'!$A$2:$K$26</definedName>
    <definedName name="PAGE_1" localSheetId="186">'PLAza - FINAL-8-31-21'!#REF!</definedName>
    <definedName name="PAGE_1" localSheetId="160">PLEB!#REF!</definedName>
    <definedName name="PAGE_1" localSheetId="75">pmsd2022!#REF!</definedName>
    <definedName name="PAGE_1" localSheetId="168">PPMO!#REF!</definedName>
    <definedName name="PAGE_1" localSheetId="16">'PROJECT MONITORING'!#REF!</definedName>
    <definedName name="PAGE_1" localSheetId="76">pttd2022!#REF!</definedName>
    <definedName name="PAGE_1" localSheetId="123">'rabies eradication '!#REF!</definedName>
    <definedName name="PAGE_1" localSheetId="67">'Rep&amp;Maint-Investment Property'!#REF!</definedName>
    <definedName name="PAGE_1" localSheetId="124">'RICE PRODUCTION'!#REF!</definedName>
    <definedName name="PAGE_1" localSheetId="39">sacapraise!#REF!</definedName>
    <definedName name="PAGE_1" localSheetId="158">'SCC APPRAISAL COMMITTEE'!#REF!</definedName>
    <definedName name="PAGE_1" localSheetId="142">SCCCADAC!#REF!</definedName>
    <definedName name="PAGE_1" localSheetId="143">SCCYA!#REF!</definedName>
    <definedName name="PAGE_1" localSheetId="147">'SCHOLARSHIP PROG. FOR STUDENTS'!#REF!</definedName>
    <definedName name="PAGE_1" localSheetId="148">'SCHOLARSHIP PROG. FOR teachers'!#REF!</definedName>
    <definedName name="PAGE_1" localSheetId="24">SCIHA!#REF!</definedName>
    <definedName name="PAGE_1" localSheetId="150">'SCIHA (2)'!#REF!</definedName>
    <definedName name="PAGE_1" localSheetId="18">'SIPA '!#REF!</definedName>
    <definedName name="PAGE_1" localSheetId="187">'SPECIAL PURPOSE - FINAL 2022'!#REF!</definedName>
    <definedName name="PAGE_1" localSheetId="145">SPORTS!#REF!</definedName>
    <definedName name="PAGE_1" localSheetId="68">'STD-HIV'!#REF!</definedName>
    <definedName name="PAGE_1" localSheetId="49">'summary '!#REF!</definedName>
    <definedName name="PAGE_1" localSheetId="166">'TASK FORCE RIGHT OF WAY'!#REF!</definedName>
    <definedName name="PAGE_1" localSheetId="114">'technical&amp;market support '!#REF!</definedName>
    <definedName name="PAGE_1" localSheetId="146">TOURISM!#REF!</definedName>
    <definedName name="PAGE_1" localSheetId="169">'TRAFFIC MANAGEMENT AUTHORITY'!#REF!</definedName>
    <definedName name="PAGE_1" localSheetId="116">'vegetable production'!#REF!</definedName>
    <definedName name="PAGE_1" localSheetId="70">'VOLUNTARY BLOOD DONATION'!#REF!</definedName>
    <definedName name="PAGE_1" localSheetId="71">ZOD!#REF!</definedName>
    <definedName name="PAGE_1">#N/A</definedName>
    <definedName name="PAGE_2">#N/A</definedName>
    <definedName name="PAGE_2.1" localSheetId="177">#N/A</definedName>
    <definedName name="PAGE_2.1" localSheetId="119">#N/A</definedName>
    <definedName name="PAGE_2.1" localSheetId="153">#N/A</definedName>
    <definedName name="PAGE_2.1" localSheetId="154">#N/A</definedName>
    <definedName name="PAGE_2.1" localSheetId="155">#N/A</definedName>
    <definedName name="PAGE_2.1" localSheetId="162">#N/A</definedName>
    <definedName name="PAGE_2.1" localSheetId="50">#N/A</definedName>
    <definedName name="PAGE_2.1" localSheetId="118">#N/A</definedName>
    <definedName name="PAGE_2.1" localSheetId="110">#N/A</definedName>
    <definedName name="PAGE_2.1" localSheetId="172">#N/A</definedName>
    <definedName name="PAGE_2.1" localSheetId="51">#N/A</definedName>
    <definedName name="PAGE_2.1" localSheetId="55">#N/A</definedName>
    <definedName name="PAGE_2.1" localSheetId="52">#N/A</definedName>
    <definedName name="PAGE_2.1" localSheetId="38">#N/A</definedName>
    <definedName name="PAGE_2.1" localSheetId="111">#N/A</definedName>
    <definedName name="PAGE_2.1" localSheetId="5">#N/A</definedName>
    <definedName name="PAGE_2.1" localSheetId="161">#N/A</definedName>
    <definedName name="PAGE_2.1" localSheetId="88">#N/A</definedName>
    <definedName name="PAGE_2.1" localSheetId="120">#N/A</definedName>
    <definedName name="PAGE_2.1" localSheetId="83">#N/A</definedName>
    <definedName name="PAGE_2.1" localSheetId="90">#N/A</definedName>
    <definedName name="PAGE_2.1" localSheetId="159">#N/A</definedName>
    <definedName name="PAGE_2.1" localSheetId="27">#N/A</definedName>
    <definedName name="PAGE_2.1" localSheetId="22">#N/A</definedName>
    <definedName name="PAGE_2.1" localSheetId="141">#N/A</definedName>
    <definedName name="PAGE_2.1" localSheetId="53">#N/A</definedName>
    <definedName name="PAGE_2.1" localSheetId="26">#N/A</definedName>
    <definedName name="PAGE_2.1" localSheetId="54">#N/A</definedName>
    <definedName name="PAGE_2.1" localSheetId="156">#N/A</definedName>
    <definedName name="PAGE_2.1" localSheetId="128">#N/A</definedName>
    <definedName name="PAGE_2.1" localSheetId="129">#N/A</definedName>
    <definedName name="PAGE_2.1" localSheetId="140">#N/A</definedName>
    <definedName name="PAGE_2.1" localSheetId="133">#N/A</definedName>
    <definedName name="PAGE_2.1" localSheetId="178">#N/A</definedName>
    <definedName name="PAGE_2.1" localSheetId="82">#N/A</definedName>
    <definedName name="PAGE_2.1" localSheetId="152">#N/A</definedName>
    <definedName name="PAGE_2.1" localSheetId="131">#N/A</definedName>
    <definedName name="PAGE_2.1" localSheetId="163">#N/A</definedName>
    <definedName name="PAGE_2.1" localSheetId="23">#N/A</definedName>
    <definedName name="PAGE_2.1" localSheetId="56">#N/A</definedName>
    <definedName name="PAGE_2.1" localSheetId="181">#N/A</definedName>
    <definedName name="PAGE_2.1" localSheetId="84">#N/A</definedName>
    <definedName name="PAGE_2.1" localSheetId="132">#N/A</definedName>
    <definedName name="PAGE_2.1" localSheetId="121">#N/A</definedName>
    <definedName name="PAGE_2.1" localSheetId="74">#N/A</definedName>
    <definedName name="PAGE_2.1" localSheetId="57">#N/A</definedName>
    <definedName name="PAGE_2.1" localSheetId="58">#N/A</definedName>
    <definedName name="PAGE_2.1" localSheetId="113">#N/A</definedName>
    <definedName name="PAGE_2.1" localSheetId="112">#N/A</definedName>
    <definedName name="PAGE_2.1" localSheetId="127">#N/A</definedName>
    <definedName name="PAGE_2.1" localSheetId="80">#N/A</definedName>
    <definedName name="PAGE_2.1" localSheetId="59">#N/A</definedName>
    <definedName name="PAGE_2.1" localSheetId="149">#N/A</definedName>
    <definedName name="PAGE_2.1" localSheetId="125">#N/A</definedName>
    <definedName name="PAGE_2.1" localSheetId="79">#N/A</definedName>
    <definedName name="PAGE_2.1" localSheetId="7">#N/A</definedName>
    <definedName name="PAGE_2.1" localSheetId="72">#N/A</definedName>
    <definedName name="PAGE_2.1" localSheetId="134">'[1]HOS-plantilla'!#REF!</definedName>
    <definedName name="PAGE_2.1" localSheetId="19">#N/A</definedName>
    <definedName name="PAGE_2.1" localSheetId="115">#N/A</definedName>
    <definedName name="PAGE_2.1" localSheetId="60">#N/A</definedName>
    <definedName name="PAGE_2.1" localSheetId="73">#N/A</definedName>
    <definedName name="PAGE_2.1" localSheetId="138">#N/A</definedName>
    <definedName name="PAGE_2.1" localSheetId="137">'[1]HOS-plantilla'!#REF!</definedName>
    <definedName name="PAGE_2.1" localSheetId="25">#N/A</definedName>
    <definedName name="PAGE_2.1" localSheetId="122">#N/A</definedName>
    <definedName name="PAGE_2.1" localSheetId="170">#N/A</definedName>
    <definedName name="PAGE_2.1" localSheetId="165">#N/A</definedName>
    <definedName name="PAGE_2.1" localSheetId="81">#N/A</definedName>
    <definedName name="PAGE_2.1" localSheetId="64">#N/A</definedName>
    <definedName name="PAGE_2.1" localSheetId="176">#N/A</definedName>
    <definedName name="PAGE_2.1" localSheetId="21">#N/A</definedName>
    <definedName name="PAGE_2.1" localSheetId="157">#N/A</definedName>
    <definedName name="PAGE_2.1" localSheetId="89">#N/A</definedName>
    <definedName name="PAGE_2.1" localSheetId="4">#N/A</definedName>
    <definedName name="PAGE_2.1" localSheetId="32">#N/A</definedName>
    <definedName name="PAGE_2.1" localSheetId="45">#N/A</definedName>
    <definedName name="PAGE_2.1" localSheetId="46">#N/A</definedName>
    <definedName name="PAGE_2.1" localSheetId="109">#N/A</definedName>
    <definedName name="PAGE_2.1" localSheetId="6">#N/A</definedName>
    <definedName name="PAGE_2.1" localSheetId="8">#N/A</definedName>
    <definedName name="PAGE_2.1" localSheetId="9">#N/A</definedName>
    <definedName name="PAGE_2.1" localSheetId="13">#N/A</definedName>
    <definedName name="PAGE_2.1" localSheetId="35">#N/A</definedName>
    <definedName name="PAGE_2.1" localSheetId="41">#N/A</definedName>
    <definedName name="PAGE_2.1" localSheetId="42">#N/A</definedName>
    <definedName name="PAGE_2.1" localSheetId="43">#N/A</definedName>
    <definedName name="PAGE_2.1" localSheetId="77">#N/A</definedName>
    <definedName name="PAGE_2.1" localSheetId="12">#N/A</definedName>
    <definedName name="PAGE_2.1" localSheetId="44">#N/A</definedName>
    <definedName name="PAGE_2.1" localSheetId="61">#N/A</definedName>
    <definedName name="PAGE_2.1" localSheetId="167">#N/A</definedName>
    <definedName name="PAGE_2.1" localSheetId="69">#N/A</definedName>
    <definedName name="PAGE_2.1" localSheetId="20">#N/A</definedName>
    <definedName name="PAGE_2.1" localSheetId="185">#N/A</definedName>
    <definedName name="PAGE_2.1" localSheetId="85">#N/A</definedName>
    <definedName name="PAGE_2.1" localSheetId="62">#N/A</definedName>
    <definedName name="PAGE_2.1" localSheetId="63">#N/A</definedName>
    <definedName name="PAGE_2.1" localSheetId="86">#N/A</definedName>
    <definedName name="PAGE_2.1" localSheetId="78">#N/A</definedName>
    <definedName name="PAGE_2.1" localSheetId="126">#N/A</definedName>
    <definedName name="PAGE_2.1" localSheetId="171">#N/A</definedName>
    <definedName name="PAGE_2.1" localSheetId="65">#N/A</definedName>
    <definedName name="PAGE_2.1" localSheetId="87">#N/A</definedName>
    <definedName name="PAGE_2.1" localSheetId="180">#N/A</definedName>
    <definedName name="PAGE_2.1" localSheetId="66">#N/A</definedName>
    <definedName name="PAGE_2.1" localSheetId="182">#N/A</definedName>
    <definedName name="PAGE_2.1" localSheetId="183">#N/A</definedName>
    <definedName name="PAGE_2.1" localSheetId="175">#N/A</definedName>
    <definedName name="PAGE_2.1" localSheetId="184">#N/A</definedName>
    <definedName name="PAGE_2.1" localSheetId="179">#N/A</definedName>
    <definedName name="PAGE_2.1" localSheetId="117">#N/A</definedName>
    <definedName name="PAGE_2.1" localSheetId="174">#N/A</definedName>
    <definedName name="PAGE_2.1" localSheetId="11">#N/A</definedName>
    <definedName name="PAGE_2.1" localSheetId="15">#N/A</definedName>
    <definedName name="PAGE_2.1" localSheetId="30">#N/A</definedName>
    <definedName name="PAGE_2.1" localSheetId="37">#N/A</definedName>
    <definedName name="PAGE_2.1" localSheetId="2">#N/A</definedName>
    <definedName name="PAGE_2.1" localSheetId="34">#N/A</definedName>
    <definedName name="PAGE_2.1" localSheetId="135">#N/A</definedName>
    <definedName name="PAGE_2.1" localSheetId="92">#N/A</definedName>
    <definedName name="PAGE_2.1" localSheetId="48">#N/A</definedName>
    <definedName name="PAGE_2.1" localSheetId="28">#N/A</definedName>
    <definedName name="PAGE_2.1" localSheetId="17">#N/A</definedName>
    <definedName name="PAGE_2.1" localSheetId="164">#N/A</definedName>
    <definedName name="PAGE_2.1" localSheetId="144">#N/A</definedName>
    <definedName name="PAGE_2.1" localSheetId="151">#N/A</definedName>
    <definedName name="PAGE_2.1" localSheetId="3">#N/A</definedName>
    <definedName name="PAGE_2.1" localSheetId="10">#N/A</definedName>
    <definedName name="PAGE_2.1" localSheetId="14">#N/A</definedName>
    <definedName name="PAGE_2.1" localSheetId="29">#N/A</definedName>
    <definedName name="PAGE_2.1" localSheetId="31">#N/A</definedName>
    <definedName name="PAGE_2.1" localSheetId="36">#N/A</definedName>
    <definedName name="PAGE_2.1" localSheetId="40">#N/A</definedName>
    <definedName name="PAGE_2.1" localSheetId="47">#N/A</definedName>
    <definedName name="PAGE_2.1" localSheetId="1">#N/A</definedName>
    <definedName name="PAGE_2.1" localSheetId="33">#N/A</definedName>
    <definedName name="PAGE_2.1" localSheetId="186">#N/A</definedName>
    <definedName name="PAGE_2.1" localSheetId="160">#N/A</definedName>
    <definedName name="PAGE_2.1" localSheetId="75">#N/A</definedName>
    <definedName name="PAGE_2.1" localSheetId="168">#N/A</definedName>
    <definedName name="PAGE_2.1" localSheetId="16">#N/A</definedName>
    <definedName name="PAGE_2.1" localSheetId="76">#N/A</definedName>
    <definedName name="PAGE_2.1" localSheetId="123">#N/A</definedName>
    <definedName name="PAGE_2.1" localSheetId="67">#N/A</definedName>
    <definedName name="PAGE_2.1" localSheetId="124">#N/A</definedName>
    <definedName name="PAGE_2.1" localSheetId="39">#N/A</definedName>
    <definedName name="PAGE_2.1" localSheetId="158">#N/A</definedName>
    <definedName name="PAGE_2.1" localSheetId="142">#N/A</definedName>
    <definedName name="PAGE_2.1" localSheetId="143">#N/A</definedName>
    <definedName name="PAGE_2.1" localSheetId="147">#N/A</definedName>
    <definedName name="PAGE_2.1" localSheetId="148">#N/A</definedName>
    <definedName name="PAGE_2.1" localSheetId="24">#N/A</definedName>
    <definedName name="PAGE_2.1" localSheetId="150">#N/A</definedName>
    <definedName name="PAGE_2.1" localSheetId="18">#N/A</definedName>
    <definedName name="PAGE_2.1" localSheetId="187">#N/A</definedName>
    <definedName name="PAGE_2.1" localSheetId="145">#N/A</definedName>
    <definedName name="PAGE_2.1" localSheetId="68">#N/A</definedName>
    <definedName name="PAGE_2.1" localSheetId="49">#N/A</definedName>
    <definedName name="PAGE_2.1" localSheetId="166">#N/A</definedName>
    <definedName name="PAGE_2.1" localSheetId="114">#N/A</definedName>
    <definedName name="PAGE_2.1" localSheetId="146">#N/A</definedName>
    <definedName name="PAGE_2.1" localSheetId="169">#N/A</definedName>
    <definedName name="PAGE_2.1" localSheetId="116">#N/A</definedName>
    <definedName name="PAGE_2.1" localSheetId="70">#N/A</definedName>
    <definedName name="PAGE_2.1" localSheetId="71">#N/A</definedName>
    <definedName name="PAGE_2.1">'[1]HOS-plantilla'!#REF!</definedName>
    <definedName name="PAGE_2.2" localSheetId="177">#N/A</definedName>
    <definedName name="PAGE_2.2" localSheetId="119">#N/A</definedName>
    <definedName name="PAGE_2.2" localSheetId="153">#N/A</definedName>
    <definedName name="PAGE_2.2" localSheetId="154">#N/A</definedName>
    <definedName name="PAGE_2.2" localSheetId="155">#N/A</definedName>
    <definedName name="PAGE_2.2" localSheetId="162">#N/A</definedName>
    <definedName name="PAGE_2.2" localSheetId="50">#N/A</definedName>
    <definedName name="PAGE_2.2" localSheetId="118">#N/A</definedName>
    <definedName name="PAGE_2.2" localSheetId="110">#N/A</definedName>
    <definedName name="PAGE_2.2" localSheetId="172">#N/A</definedName>
    <definedName name="PAGE_2.2" localSheetId="51">#N/A</definedName>
    <definedName name="PAGE_2.2" localSheetId="55">#N/A</definedName>
    <definedName name="PAGE_2.2" localSheetId="52">#N/A</definedName>
    <definedName name="PAGE_2.2" localSheetId="38">#N/A</definedName>
    <definedName name="PAGE_2.2" localSheetId="111">#N/A</definedName>
    <definedName name="PAGE_2.2" localSheetId="5">#N/A</definedName>
    <definedName name="PAGE_2.2" localSheetId="161">#N/A</definedName>
    <definedName name="PAGE_2.2" localSheetId="88">#N/A</definedName>
    <definedName name="PAGE_2.2" localSheetId="120">#N/A</definedName>
    <definedName name="PAGE_2.2" localSheetId="83">#N/A</definedName>
    <definedName name="PAGE_2.2" localSheetId="90">#N/A</definedName>
    <definedName name="PAGE_2.2" localSheetId="159">#N/A</definedName>
    <definedName name="PAGE_2.2" localSheetId="27">#N/A</definedName>
    <definedName name="PAGE_2.2" localSheetId="22">#N/A</definedName>
    <definedName name="PAGE_2.2" localSheetId="141">#N/A</definedName>
    <definedName name="PAGE_2.2" localSheetId="53">#N/A</definedName>
    <definedName name="PAGE_2.2" localSheetId="26">#N/A</definedName>
    <definedName name="PAGE_2.2" localSheetId="54">#N/A</definedName>
    <definedName name="PAGE_2.2" localSheetId="156">#N/A</definedName>
    <definedName name="PAGE_2.2" localSheetId="128">#N/A</definedName>
    <definedName name="PAGE_2.2" localSheetId="129">#N/A</definedName>
    <definedName name="PAGE_2.2" localSheetId="140">#N/A</definedName>
    <definedName name="PAGE_2.2" localSheetId="133">#N/A</definedName>
    <definedName name="PAGE_2.2" localSheetId="178">#N/A</definedName>
    <definedName name="PAGE_2.2" localSheetId="82">#N/A</definedName>
    <definedName name="PAGE_2.2" localSheetId="152">#N/A</definedName>
    <definedName name="PAGE_2.2" localSheetId="131">#N/A</definedName>
    <definedName name="PAGE_2.2" localSheetId="163">#N/A</definedName>
    <definedName name="PAGE_2.2" localSheetId="23">#N/A</definedName>
    <definedName name="PAGE_2.2" localSheetId="56">#N/A</definedName>
    <definedName name="PAGE_2.2" localSheetId="181">#N/A</definedName>
    <definedName name="PAGE_2.2" localSheetId="84">#N/A</definedName>
    <definedName name="PAGE_2.2" localSheetId="132">#N/A</definedName>
    <definedName name="PAGE_2.2" localSheetId="121">#N/A</definedName>
    <definedName name="PAGE_2.2" localSheetId="74">#N/A</definedName>
    <definedName name="PAGE_2.2" localSheetId="57">#N/A</definedName>
    <definedName name="PAGE_2.2" localSheetId="58">#N/A</definedName>
    <definedName name="PAGE_2.2" localSheetId="113">#N/A</definedName>
    <definedName name="PAGE_2.2" localSheetId="112">#N/A</definedName>
    <definedName name="PAGE_2.2" localSheetId="127">#N/A</definedName>
    <definedName name="PAGE_2.2" localSheetId="80">#N/A</definedName>
    <definedName name="PAGE_2.2" localSheetId="59">#N/A</definedName>
    <definedName name="PAGE_2.2" localSheetId="149">#N/A</definedName>
    <definedName name="PAGE_2.2" localSheetId="125">#N/A</definedName>
    <definedName name="PAGE_2.2" localSheetId="79">#N/A</definedName>
    <definedName name="PAGE_2.2" localSheetId="7">#N/A</definedName>
    <definedName name="PAGE_2.2" localSheetId="72">#N/A</definedName>
    <definedName name="PAGE_2.2" localSheetId="134">'[1]HOS-plantilla'!#REF!</definedName>
    <definedName name="PAGE_2.2" localSheetId="19">#N/A</definedName>
    <definedName name="PAGE_2.2" localSheetId="115">#N/A</definedName>
    <definedName name="PAGE_2.2" localSheetId="60">#N/A</definedName>
    <definedName name="PAGE_2.2" localSheetId="73">#N/A</definedName>
    <definedName name="PAGE_2.2" localSheetId="138">#N/A</definedName>
    <definedName name="PAGE_2.2" localSheetId="137">'[1]HOS-plantilla'!#REF!</definedName>
    <definedName name="PAGE_2.2" localSheetId="25">#N/A</definedName>
    <definedName name="PAGE_2.2" localSheetId="122">#N/A</definedName>
    <definedName name="PAGE_2.2" localSheetId="170">#N/A</definedName>
    <definedName name="PAGE_2.2" localSheetId="165">#N/A</definedName>
    <definedName name="PAGE_2.2" localSheetId="81">#N/A</definedName>
    <definedName name="PAGE_2.2" localSheetId="64">#N/A</definedName>
    <definedName name="PAGE_2.2" localSheetId="176">#N/A</definedName>
    <definedName name="PAGE_2.2" localSheetId="21">#N/A</definedName>
    <definedName name="PAGE_2.2" localSheetId="157">#N/A</definedName>
    <definedName name="PAGE_2.2" localSheetId="89">#N/A</definedName>
    <definedName name="PAGE_2.2" localSheetId="4">#N/A</definedName>
    <definedName name="PAGE_2.2" localSheetId="32">#N/A</definedName>
    <definedName name="PAGE_2.2" localSheetId="45">#N/A</definedName>
    <definedName name="PAGE_2.2" localSheetId="46">#N/A</definedName>
    <definedName name="PAGE_2.2" localSheetId="109">#N/A</definedName>
    <definedName name="PAGE_2.2" localSheetId="6">#N/A</definedName>
    <definedName name="PAGE_2.2" localSheetId="8">#N/A</definedName>
    <definedName name="PAGE_2.2" localSheetId="9">#N/A</definedName>
    <definedName name="PAGE_2.2" localSheetId="13">#N/A</definedName>
    <definedName name="PAGE_2.2" localSheetId="35">#N/A</definedName>
    <definedName name="PAGE_2.2" localSheetId="41">#N/A</definedName>
    <definedName name="PAGE_2.2" localSheetId="42">#N/A</definedName>
    <definedName name="PAGE_2.2" localSheetId="43">#N/A</definedName>
    <definedName name="PAGE_2.2" localSheetId="77">#N/A</definedName>
    <definedName name="PAGE_2.2" localSheetId="12">#N/A</definedName>
    <definedName name="PAGE_2.2" localSheetId="44">#N/A</definedName>
    <definedName name="PAGE_2.2" localSheetId="61">#N/A</definedName>
    <definedName name="PAGE_2.2" localSheetId="167">#N/A</definedName>
    <definedName name="PAGE_2.2" localSheetId="69">#N/A</definedName>
    <definedName name="PAGE_2.2" localSheetId="20">#N/A</definedName>
    <definedName name="PAGE_2.2" localSheetId="185">#N/A</definedName>
    <definedName name="PAGE_2.2" localSheetId="85">#N/A</definedName>
    <definedName name="PAGE_2.2" localSheetId="62">#N/A</definedName>
    <definedName name="PAGE_2.2" localSheetId="63">#N/A</definedName>
    <definedName name="PAGE_2.2" localSheetId="86">#N/A</definedName>
    <definedName name="PAGE_2.2" localSheetId="78">#N/A</definedName>
    <definedName name="PAGE_2.2" localSheetId="126">#N/A</definedName>
    <definedName name="PAGE_2.2" localSheetId="171">#N/A</definedName>
    <definedName name="PAGE_2.2" localSheetId="65">#N/A</definedName>
    <definedName name="PAGE_2.2" localSheetId="87">#N/A</definedName>
    <definedName name="PAGE_2.2" localSheetId="180">#N/A</definedName>
    <definedName name="PAGE_2.2" localSheetId="66">#N/A</definedName>
    <definedName name="PAGE_2.2" localSheetId="182">#N/A</definedName>
    <definedName name="PAGE_2.2" localSheetId="183">#N/A</definedName>
    <definedName name="PAGE_2.2" localSheetId="175">#N/A</definedName>
    <definedName name="PAGE_2.2" localSheetId="184">#N/A</definedName>
    <definedName name="PAGE_2.2" localSheetId="179">#N/A</definedName>
    <definedName name="PAGE_2.2" localSheetId="117">#N/A</definedName>
    <definedName name="PAGE_2.2" localSheetId="174">#N/A</definedName>
    <definedName name="PAGE_2.2" localSheetId="11">#N/A</definedName>
    <definedName name="PAGE_2.2" localSheetId="15">#N/A</definedName>
    <definedName name="PAGE_2.2" localSheetId="30">#N/A</definedName>
    <definedName name="PAGE_2.2" localSheetId="37">#N/A</definedName>
    <definedName name="PAGE_2.2" localSheetId="2">#N/A</definedName>
    <definedName name="PAGE_2.2" localSheetId="34">#N/A</definedName>
    <definedName name="PAGE_2.2" localSheetId="135">#N/A</definedName>
    <definedName name="PAGE_2.2" localSheetId="92">#N/A</definedName>
    <definedName name="PAGE_2.2" localSheetId="48">#N/A</definedName>
    <definedName name="PAGE_2.2" localSheetId="28">#N/A</definedName>
    <definedName name="PAGE_2.2" localSheetId="17">#N/A</definedName>
    <definedName name="PAGE_2.2" localSheetId="164">#N/A</definedName>
    <definedName name="PAGE_2.2" localSheetId="144">#N/A</definedName>
    <definedName name="PAGE_2.2" localSheetId="151">#N/A</definedName>
    <definedName name="PAGE_2.2" localSheetId="3">#N/A</definedName>
    <definedName name="PAGE_2.2" localSheetId="10">#N/A</definedName>
    <definedName name="PAGE_2.2" localSheetId="14">#N/A</definedName>
    <definedName name="PAGE_2.2" localSheetId="29">#N/A</definedName>
    <definedName name="PAGE_2.2" localSheetId="31">#N/A</definedName>
    <definedName name="PAGE_2.2" localSheetId="36">#N/A</definedName>
    <definedName name="PAGE_2.2" localSheetId="40">#N/A</definedName>
    <definedName name="PAGE_2.2" localSheetId="47">#N/A</definedName>
    <definedName name="PAGE_2.2" localSheetId="1">#N/A</definedName>
    <definedName name="PAGE_2.2" localSheetId="33">#N/A</definedName>
    <definedName name="PAGE_2.2" localSheetId="186">#N/A</definedName>
    <definedName name="PAGE_2.2" localSheetId="160">#N/A</definedName>
    <definedName name="PAGE_2.2" localSheetId="75">#N/A</definedName>
    <definedName name="PAGE_2.2" localSheetId="168">#N/A</definedName>
    <definedName name="PAGE_2.2" localSheetId="16">#N/A</definedName>
    <definedName name="PAGE_2.2" localSheetId="76">#N/A</definedName>
    <definedName name="PAGE_2.2" localSheetId="123">#N/A</definedName>
    <definedName name="PAGE_2.2" localSheetId="67">#N/A</definedName>
    <definedName name="PAGE_2.2" localSheetId="124">#N/A</definedName>
    <definedName name="PAGE_2.2" localSheetId="39">#N/A</definedName>
    <definedName name="PAGE_2.2" localSheetId="158">#N/A</definedName>
    <definedName name="PAGE_2.2" localSheetId="142">#N/A</definedName>
    <definedName name="PAGE_2.2" localSheetId="143">#N/A</definedName>
    <definedName name="PAGE_2.2" localSheetId="147">#N/A</definedName>
    <definedName name="PAGE_2.2" localSheetId="148">#N/A</definedName>
    <definedName name="PAGE_2.2" localSheetId="24">#N/A</definedName>
    <definedName name="PAGE_2.2" localSheetId="150">#N/A</definedName>
    <definedName name="PAGE_2.2" localSheetId="18">#N/A</definedName>
    <definedName name="PAGE_2.2" localSheetId="187">#N/A</definedName>
    <definedName name="PAGE_2.2" localSheetId="145">#N/A</definedName>
    <definedName name="PAGE_2.2" localSheetId="68">#N/A</definedName>
    <definedName name="PAGE_2.2" localSheetId="49">#N/A</definedName>
    <definedName name="PAGE_2.2" localSheetId="166">#N/A</definedName>
    <definedName name="PAGE_2.2" localSheetId="114">#N/A</definedName>
    <definedName name="PAGE_2.2" localSheetId="146">#N/A</definedName>
    <definedName name="PAGE_2.2" localSheetId="169">#N/A</definedName>
    <definedName name="PAGE_2.2" localSheetId="116">#N/A</definedName>
    <definedName name="PAGE_2.2" localSheetId="70">#N/A</definedName>
    <definedName name="PAGE_2.2" localSheetId="71">#N/A</definedName>
    <definedName name="PAGE_2.2">'[1]HOS-plantilla'!#REF!</definedName>
    <definedName name="PAGE_3">#N/A</definedName>
    <definedName name="PAGE_4" localSheetId="177">#REF!</definedName>
    <definedName name="PAGE_4" localSheetId="119">#REF!</definedName>
    <definedName name="PAGE_4" localSheetId="153">#REF!</definedName>
    <definedName name="PAGE_4" localSheetId="154">#REF!</definedName>
    <definedName name="PAGE_4" localSheetId="155">#REF!</definedName>
    <definedName name="PAGE_4" localSheetId="162">#REF!</definedName>
    <definedName name="PAGE_4" localSheetId="50">#REF!</definedName>
    <definedName name="PAGE_4" localSheetId="118">#REF!</definedName>
    <definedName name="PAGE_4" localSheetId="110">#REF!</definedName>
    <definedName name="PAGE_4" localSheetId="172">#REF!</definedName>
    <definedName name="PAGE_4" localSheetId="51">#REF!</definedName>
    <definedName name="PAGE_4" localSheetId="55">#REF!</definedName>
    <definedName name="PAGE_4" localSheetId="52">#REF!</definedName>
    <definedName name="PAGE_4" localSheetId="38">#REF!</definedName>
    <definedName name="PAGE_4" localSheetId="111">#REF!</definedName>
    <definedName name="PAGE_4" localSheetId="5">#REF!</definedName>
    <definedName name="PAGE_4" localSheetId="161">#REF!</definedName>
    <definedName name="PAGE_4" localSheetId="88">#REF!</definedName>
    <definedName name="PAGE_4" localSheetId="120">#REF!</definedName>
    <definedName name="PAGE_4" localSheetId="83">#REF!</definedName>
    <definedName name="PAGE_4" localSheetId="90">#REF!</definedName>
    <definedName name="PAGE_4" localSheetId="159">#REF!</definedName>
    <definedName name="PAGE_4" localSheetId="27">#REF!</definedName>
    <definedName name="PAGE_4" localSheetId="22">#REF!</definedName>
    <definedName name="PAGE_4" localSheetId="141">#REF!</definedName>
    <definedName name="PAGE_4" localSheetId="53">#REF!</definedName>
    <definedName name="PAGE_4" localSheetId="26">#REF!</definedName>
    <definedName name="PAGE_4" localSheetId="54">#REF!</definedName>
    <definedName name="PAGE_4" localSheetId="156">#REF!</definedName>
    <definedName name="PAGE_4" localSheetId="128">#REF!</definedName>
    <definedName name="PAGE_4" localSheetId="129">#REF!</definedName>
    <definedName name="PAGE_4" localSheetId="140">#REF!</definedName>
    <definedName name="PAGE_4" localSheetId="133">#REF!</definedName>
    <definedName name="PAGE_4" localSheetId="178">#REF!</definedName>
    <definedName name="PAGE_4" localSheetId="82">#REF!</definedName>
    <definedName name="PAGE_4" localSheetId="152">#REF!</definedName>
    <definedName name="PAGE_4" localSheetId="131">#REF!</definedName>
    <definedName name="PAGE_4" localSheetId="163">#REF!</definedName>
    <definedName name="PAGE_4" localSheetId="23">#REF!</definedName>
    <definedName name="PAGE_4" localSheetId="56">#REF!</definedName>
    <definedName name="PAGE_4" localSheetId="181">#REF!</definedName>
    <definedName name="PAGE_4" localSheetId="84">#REF!</definedName>
    <definedName name="PAGE_4" localSheetId="132">#REF!</definedName>
    <definedName name="PAGE_4" localSheetId="121">#REF!</definedName>
    <definedName name="PAGE_4" localSheetId="74">#REF!</definedName>
    <definedName name="PAGE_4" localSheetId="57">#REF!</definedName>
    <definedName name="PAGE_4" localSheetId="58">#REF!</definedName>
    <definedName name="PAGE_4" localSheetId="113">#REF!</definedName>
    <definedName name="PAGE_4" localSheetId="112">#REF!</definedName>
    <definedName name="PAGE_4" localSheetId="127">#REF!</definedName>
    <definedName name="PAGE_4" localSheetId="80">#REF!</definedName>
    <definedName name="PAGE_4" localSheetId="59">#REF!</definedName>
    <definedName name="PAGE_4" localSheetId="149">#REF!</definedName>
    <definedName name="PAGE_4" localSheetId="125">#REF!</definedName>
    <definedName name="PAGE_4" localSheetId="79">#REF!</definedName>
    <definedName name="PAGE_4" localSheetId="7">#REF!</definedName>
    <definedName name="PAGE_4" localSheetId="72">#REF!</definedName>
    <definedName name="PAGE_4" localSheetId="134">#REF!</definedName>
    <definedName name="PAGE_4" localSheetId="19">#REF!</definedName>
    <definedName name="PAGE_4" localSheetId="115">#REF!</definedName>
    <definedName name="PAGE_4" localSheetId="60">#REF!</definedName>
    <definedName name="PAGE_4" localSheetId="73">#REF!</definedName>
    <definedName name="PAGE_4" localSheetId="138">#REF!</definedName>
    <definedName name="PAGE_4" localSheetId="137">#REF!</definedName>
    <definedName name="PAGE_4" localSheetId="25">#REF!</definedName>
    <definedName name="PAGE_4" localSheetId="122">#REF!</definedName>
    <definedName name="PAGE_4" localSheetId="170">#REF!</definedName>
    <definedName name="PAGE_4" localSheetId="165">#REF!</definedName>
    <definedName name="PAGE_4" localSheetId="81">#REF!</definedName>
    <definedName name="PAGE_4" localSheetId="64">#REF!</definedName>
    <definedName name="PAGE_4" localSheetId="176">#REF!</definedName>
    <definedName name="PAGE_4" localSheetId="21">#REF!</definedName>
    <definedName name="PAGE_4" localSheetId="157">#REF!</definedName>
    <definedName name="PAGE_4" localSheetId="89">#REF!</definedName>
    <definedName name="PAGE_4" localSheetId="32">#REF!</definedName>
    <definedName name="PAGE_4" localSheetId="46">#REF!</definedName>
    <definedName name="PAGE_4" localSheetId="109">#REF!</definedName>
    <definedName name="PAGE_4" localSheetId="8">#REF!</definedName>
    <definedName name="PAGE_4" localSheetId="9">#REF!</definedName>
    <definedName name="PAGE_4" localSheetId="13">#REF!</definedName>
    <definedName name="PAGE_4" localSheetId="35">#REF!</definedName>
    <definedName name="PAGE_4" localSheetId="42">#REF!</definedName>
    <definedName name="PAGE_4" localSheetId="43">#REF!</definedName>
    <definedName name="PAGE_4" localSheetId="77">#REF!</definedName>
    <definedName name="PAGE_4" localSheetId="12">#REF!</definedName>
    <definedName name="PAGE_4" localSheetId="61">#REF!</definedName>
    <definedName name="PAGE_4" localSheetId="167">#REF!</definedName>
    <definedName name="PAGE_4" localSheetId="69">#REF!</definedName>
    <definedName name="PAGE_4" localSheetId="20">#REF!</definedName>
    <definedName name="PAGE_4" localSheetId="185">#REF!</definedName>
    <definedName name="PAGE_4" localSheetId="85">#REF!</definedName>
    <definedName name="PAGE_4" localSheetId="62">#REF!</definedName>
    <definedName name="PAGE_4" localSheetId="63">#REF!</definedName>
    <definedName name="PAGE_4" localSheetId="86">#REF!</definedName>
    <definedName name="PAGE_4" localSheetId="78">#REF!</definedName>
    <definedName name="PAGE_4" localSheetId="126">#REF!</definedName>
    <definedName name="PAGE_4" localSheetId="171">#REF!</definedName>
    <definedName name="PAGE_4" localSheetId="65">#REF!</definedName>
    <definedName name="PAGE_4" localSheetId="87">#REF!</definedName>
    <definedName name="PAGE_4" localSheetId="180">#REF!</definedName>
    <definedName name="PAGE_4" localSheetId="66">#REF!</definedName>
    <definedName name="PAGE_4" localSheetId="182">#REF!</definedName>
    <definedName name="PAGE_4" localSheetId="183">#REF!</definedName>
    <definedName name="PAGE_4" localSheetId="175">#REF!</definedName>
    <definedName name="PAGE_4" localSheetId="184">#REF!</definedName>
    <definedName name="PAGE_4" localSheetId="179">#REF!</definedName>
    <definedName name="PAGE_4" localSheetId="117">#REF!</definedName>
    <definedName name="PAGE_4" localSheetId="174">#REF!</definedName>
    <definedName name="PAGE_4" localSheetId="135">#REF!</definedName>
    <definedName name="PAGE_4" localSheetId="92">#REF!</definedName>
    <definedName name="PAGE_4" localSheetId="48">#REF!</definedName>
    <definedName name="PAGE_4" localSheetId="28">#REF!</definedName>
    <definedName name="PAGE_4" localSheetId="17">#REF!</definedName>
    <definedName name="PAGE_4" localSheetId="164">#REF!</definedName>
    <definedName name="PAGE_4" localSheetId="144">#REF!</definedName>
    <definedName name="PAGE_4" localSheetId="151">#REF!</definedName>
    <definedName name="PAGE_4" localSheetId="10">#REF!</definedName>
    <definedName name="PAGE_4" localSheetId="29">#REF!</definedName>
    <definedName name="PAGE_4" localSheetId="31">#REF!</definedName>
    <definedName name="PAGE_4" localSheetId="47">#REF!</definedName>
    <definedName name="PAGE_4" localSheetId="1">#REF!</definedName>
    <definedName name="PAGE_4" localSheetId="33">#REF!</definedName>
    <definedName name="PAGE_4" localSheetId="186">#REF!</definedName>
    <definedName name="PAGE_4" localSheetId="160">#REF!</definedName>
    <definedName name="PAGE_4" localSheetId="75">#REF!</definedName>
    <definedName name="PAGE_4" localSheetId="168">#REF!</definedName>
    <definedName name="PAGE_4" localSheetId="16">#REF!</definedName>
    <definedName name="PAGE_4" localSheetId="76">#REF!</definedName>
    <definedName name="PAGE_4" localSheetId="123">#REF!</definedName>
    <definedName name="PAGE_4" localSheetId="67">#REF!</definedName>
    <definedName name="PAGE_4" localSheetId="124">#REF!</definedName>
    <definedName name="PAGE_4" localSheetId="39">#REF!</definedName>
    <definedName name="PAGE_4" localSheetId="158">#REF!</definedName>
    <definedName name="PAGE_4" localSheetId="142">#REF!</definedName>
    <definedName name="PAGE_4" localSheetId="143">#REF!</definedName>
    <definedName name="PAGE_4" localSheetId="147">#REF!</definedName>
    <definedName name="PAGE_4" localSheetId="148">#REF!</definedName>
    <definedName name="PAGE_4" localSheetId="24">#REF!</definedName>
    <definedName name="PAGE_4" localSheetId="150">#REF!</definedName>
    <definedName name="PAGE_4" localSheetId="18">#REF!</definedName>
    <definedName name="PAGE_4" localSheetId="187">#REF!</definedName>
    <definedName name="PAGE_4" localSheetId="145">#REF!</definedName>
    <definedName name="PAGE_4" localSheetId="68">#REF!</definedName>
    <definedName name="PAGE_4" localSheetId="49">#REF!</definedName>
    <definedName name="PAGE_4" localSheetId="166">#REF!</definedName>
    <definedName name="PAGE_4" localSheetId="114">#REF!</definedName>
    <definedName name="PAGE_4" localSheetId="146">#REF!</definedName>
    <definedName name="PAGE_4" localSheetId="169">#REF!</definedName>
    <definedName name="PAGE_4" localSheetId="116">#REF!</definedName>
    <definedName name="PAGE_4" localSheetId="70">#REF!</definedName>
    <definedName name="PAGE_4" localSheetId="71">#REF!</definedName>
    <definedName name="PAGE_4">#REF!</definedName>
    <definedName name="_xlnm.Print_Area" localSheetId="72">'GENFUND 2022 FINAL'!$A$1:$F$210</definedName>
    <definedName name="_xlnm.Print_Area" localSheetId="44">'LBPF No.3'!$A$1:$I$31</definedName>
    <definedName name="_xlnm.Print_Area" localSheetId="10">'plantilla (2)'!$A$1:$I$47</definedName>
    <definedName name="_xlnm.Print_Area" localSheetId="14">'PLANTILLA (3)'!$A$7:$R$66</definedName>
    <definedName name="_xlnm.Print_Area" localSheetId="40">'plantilla (7)'!$A$1:$I$48</definedName>
    <definedName name="_xlnm.Print_Area" localSheetId="47">'plantilla (8)'!$A$3:$O$122</definedName>
    <definedName name="_xlnm.Print_Area" localSheetId="1">'plantilla new'!$A$3:$R$53</definedName>
    <definedName name="_xlnm.Print_Area" localSheetId="76">pttd2022!$A$1:$F$65</definedName>
    <definedName name="Print_Area_MI" localSheetId="177">' 4 P''S - FINAL'!#REF!</definedName>
    <definedName name="Print_Area_MI" localSheetId="119">'abaca industry devt'!#REF!</definedName>
    <definedName name="Print_Area_MI" localSheetId="153">'ABC FEDERATION'!#REF!</definedName>
    <definedName name="Print_Area_MI" localSheetId="154">'ABC FEDERATION - brgy. TANOD'!#REF!</definedName>
    <definedName name="Print_Area_MI" localSheetId="155">'ABC- KATARUNGANG PAMBARANGAY'!#REF!</definedName>
    <definedName name="Print_Area_MI" localSheetId="162">ADHOC!#REF!</definedName>
    <definedName name="Print_Area_MI" localSheetId="50">Adolescent!#REF!</definedName>
    <definedName name="Print_Area_MI" localSheetId="118">'agri center &amp; demo area'!#REF!</definedName>
    <definedName name="Print_Area_MI" localSheetId="110">'animal disease'!#REF!</definedName>
    <definedName name="Print_Area_MI" localSheetId="172">'ANTI-COVID19 PROGRAM'!#REF!</definedName>
    <definedName name="Print_Area_MI" localSheetId="51">'ANTI-HUMAN RABIES'!#REF!</definedName>
    <definedName name="Print_Area_MI" localSheetId="55">'ANTI-SMOKING'!#REF!</definedName>
    <definedName name="Print_Area_MI" localSheetId="52">'ANTI-TB Program'!#REF!</definedName>
    <definedName name="Print_Area_MI" localSheetId="38">arta!#REF!</definedName>
    <definedName name="Print_Area_MI" localSheetId="111">'artificial insemination'!#REF!</definedName>
    <definedName name="Print_Area_MI" localSheetId="5">'assessor plantilla'!#REF!</definedName>
    <definedName name="Print_Area_MI" localSheetId="161">BAC!#REF!</definedName>
    <definedName name="Print_Area_MI" localSheetId="88">'BAGO RIVER'!#REF!</definedName>
    <definedName name="Print_Area_MI" localSheetId="120">'bamboo production'!#REF!</definedName>
    <definedName name="Print_Area_MI" localSheetId="83">'BANTAY DAGAT'!#REF!</definedName>
    <definedName name="Print_Area_MI" localSheetId="90">beautification!#REF!</definedName>
    <definedName name="Print_Area_MI" localSheetId="159">BPLO!#REF!</definedName>
    <definedName name="Print_Area_MI" localSheetId="27">'BUB '!#REF!</definedName>
    <definedName name="Print_Area_MI" localSheetId="22">'BUB ,PAMANA, ETC.'!#REF!</definedName>
    <definedName name="Print_Area_MI" localSheetId="141">CAWA!#REF!</definedName>
    <definedName name="Print_Area_MI" localSheetId="53">CBHS!#REF!</definedName>
    <definedName name="Print_Area_MI" localSheetId="26">CBMS!#REF!</definedName>
    <definedName name="Print_Area_MI" localSheetId="54">CBR!#REF!</definedName>
    <definedName name="Print_Area_MI" localSheetId="156">'CCC - ALGERS'!#REF!</definedName>
    <definedName name="Print_Area_MI" localSheetId="128">'CDRRMO - FINAL 2022 - 9-28-21'!#REF!</definedName>
    <definedName name="Print_Area_MI" localSheetId="129">'CEO - FINAL'!#REF!</definedName>
    <definedName name="Print_Area_MI" localSheetId="140">'CEO-OBO-FINAL'!#REF!</definedName>
    <definedName name="Print_Area_MI" localSheetId="133">'CEO-STREETLIGHTING - FINAL 9-3'!#REF!</definedName>
    <definedName name="Print_Area_MI" localSheetId="178">'CIACAT - VAWC - FINAL'!#REF!</definedName>
    <definedName name="Print_Area_MI" localSheetId="82">'CITY LANES'!#REF!</definedName>
    <definedName name="Print_Area_MI" localSheetId="152">CLDO!#REF!</definedName>
    <definedName name="Print_Area_MI" localSheetId="131">'CMO-PAAO - FINAL 9-22-21'!#REF!</definedName>
    <definedName name="Print_Area_MI" localSheetId="130">'CMO-plantilla'!#REF!</definedName>
    <definedName name="Print_Area_MI" localSheetId="163">CODI!#REF!</definedName>
    <definedName name="Print_Area_MI" localSheetId="23">'Compre Data Collection &amp; Update'!#REF!</definedName>
    <definedName name="Print_Area_MI" localSheetId="56">'Contraceptive Self Reliance'!#REF!</definedName>
    <definedName name="Print_Area_MI" localSheetId="181">'COUNTRY PROGRAM FOR CHILDREN '!#REF!</definedName>
    <definedName name="Print_Area_MI" localSheetId="84">CRM!#REF!</definedName>
    <definedName name="Print_Area_MI" localSheetId="132">'CSWDO-EDITED FINAL'!#REF!</definedName>
    <definedName name="Print_Area_MI" localSheetId="121">'cutflower industry'!#REF!</definedName>
    <definedName name="Print_Area_MI" localSheetId="74">'cwd2022'!#REF!</definedName>
    <definedName name="Print_Area_MI" localSheetId="57">DENGUE!#REF!</definedName>
    <definedName name="Print_Area_MI" localSheetId="58">'DENTAL HEALTH'!#REF!</definedName>
    <definedName name="Print_Area_MI" localSheetId="113">'dispersal &amp; upg of small animal'!#REF!</definedName>
    <definedName name="Print_Area_MI" localSheetId="112">'dispersal of large animals'!#REF!</definedName>
    <definedName name="Print_Area_MI" localSheetId="127">'duck &amp; turkey'!#REF!</definedName>
    <definedName name="Print_Area_MI" localSheetId="80">'ECO CENTER'!#REF!</definedName>
    <definedName name="Print_Area_MI" localSheetId="59">'FAMILY PLANNING'!#REF!</definedName>
    <definedName name="Print_Area_MI" localSheetId="149">'FIN. ASSIST. GRADUATE SCHOLAR'!#REF!</definedName>
    <definedName name="Print_Area_MI" localSheetId="125">'free range chicken'!#REF!</definedName>
    <definedName name="Print_Area_MI" localSheetId="79">'GARBAGE COLLECTION'!#REF!</definedName>
    <definedName name="Print_Area_MI" localSheetId="7">'gen revision'!#REF!</definedName>
    <definedName name="Print_Area_MI" localSheetId="72">'GENFUND 2022 FINAL'!#REF!</definedName>
    <definedName name="Print_Area_MI" localSheetId="134">'GSD-plantilla '!#REF!</definedName>
    <definedName name="Print_Area_MI" localSheetId="19">Heritage!#REF!</definedName>
    <definedName name="Print_Area_MI" localSheetId="115">'high value commcl crops fruits'!#REF!</definedName>
    <definedName name="Print_Area_MI" localSheetId="60">HIS!#REF!</definedName>
    <definedName name="Print_Area_MI" localSheetId="73">hosp2022!#REF!</definedName>
    <definedName name="Print_Area_MI" localSheetId="138">'HOSPITAL-PAAOE- FINAL'!#REF!</definedName>
    <definedName name="Print_Area_MI" localSheetId="137">'HOS-plantilla - 9-1-21'!#REF!</definedName>
    <definedName name="Print_Area_MI" localSheetId="25">'HOUSEHOLD PROFILING'!#REF!</definedName>
    <definedName name="Print_Area_MI" localSheetId="122">'hvcc cacao coffee peanut'!#REF!</definedName>
    <definedName name="Print_Area_MI" localSheetId="170">'I 4 J - 2022'!#REF!</definedName>
    <definedName name="Print_Area_MI" localSheetId="165">ICTC!#REF!</definedName>
    <definedName name="Print_Area_MI" localSheetId="81">IEC!#REF!</definedName>
    <definedName name="Print_Area_MI" localSheetId="64">IMMUNIZATION!#REF!</definedName>
    <definedName name="Print_Area_MI" localSheetId="176">'IMPLEMENTATION OF MDG FACES'!#REF!</definedName>
    <definedName name="Print_Area_MI" localSheetId="21">INDIGENOUS!#REF!</definedName>
    <definedName name="Print_Area_MI" localSheetId="157">'INTERNAL AUDIT SERVICE'!#REF!</definedName>
    <definedName name="Print_Area_MI" localSheetId="89">'law enforcement'!#REF!</definedName>
    <definedName name="Print_Area_MI" localSheetId="4">'LBPF No. 2'!#REF!</definedName>
    <definedName name="Print_Area_MI" localSheetId="32">'LBPF No. 2 '!#REF!</definedName>
    <definedName name="Print_Area_MI" localSheetId="45">'LBPF No. 2 (10)'!#REF!</definedName>
    <definedName name="Print_Area_MI" localSheetId="46">'LBPF No. 2 (11)'!#REF!</definedName>
    <definedName name="Print_Area_MI" localSheetId="109">'LBPF No. 2 (12)'!#REF!</definedName>
    <definedName name="Print_Area_MI" localSheetId="6">'LBPF No. 2 (2)'!#REF!</definedName>
    <definedName name="Print_Area_MI" localSheetId="8">'LBPF No. 2 (3)'!#REF!</definedName>
    <definedName name="Print_Area_MI" localSheetId="9">'LBPF No. 2 (4)'!#REF!</definedName>
    <definedName name="Print_Area_MI" localSheetId="13">'LBPF No. 2 (5)'!#REF!</definedName>
    <definedName name="Print_Area_MI" localSheetId="35">'LBPF No. 2 (6)'!#REF!</definedName>
    <definedName name="Print_Area_MI" localSheetId="41">'LBPF No. 2 (7)'!#REF!</definedName>
    <definedName name="Print_Area_MI" localSheetId="42">'LBPF No. 2 (8)'!#REF!</definedName>
    <definedName name="Print_Area_MI" localSheetId="43">'LBPF No. 2 (9)'!#REF!</definedName>
    <definedName name="Print_Area_MI" localSheetId="77">'LBPF No. 2(3312)'!#REF!</definedName>
    <definedName name="Print_Area_MI" localSheetId="12">'LBPF No. 4'!#REF!</definedName>
    <definedName name="Print_Area_MI" localSheetId="44">'LBPF No.3'!#REF!</definedName>
    <definedName name="Print_Area_MI" localSheetId="61">'LEPROSY '!#REF!</definedName>
    <definedName name="Print_Area_MI" localSheetId="167">LET!#REF!</definedName>
    <definedName name="Print_Area_MI" localSheetId="69">'LIFESTYLE DISEASES'!#REF!</definedName>
    <definedName name="Print_Area_MI" localSheetId="20">'Mainstreaming CBMS in Brgy. Dev'!#REF!</definedName>
    <definedName name="Print_Area_MI" localSheetId="185">'mandana''s - garcia'!#REF!</definedName>
    <definedName name="Print_Area_MI" localSheetId="85">'MARINE PROTECTED'!#REF!</definedName>
    <definedName name="Print_Area_MI" localSheetId="62">'MATERNAL &amp; CHILD HEALTH CARE'!#REF!</definedName>
    <definedName name="Print_Area_MI" localSheetId="63">'Mental Health'!#REF!</definedName>
    <definedName name="Print_Area_MI" localSheetId="86">MKNP!#REF!</definedName>
    <definedName name="Print_Area_MI" localSheetId="78">MMT!#REF!</definedName>
    <definedName name="Print_Area_MI" localSheetId="126">mushroom!#REF!</definedName>
    <definedName name="Print_Area_MI" localSheetId="171">'NEGOSYO CENTER - SCCIPC'!#REF!</definedName>
    <definedName name="Print_Area_MI" localSheetId="65">'NEWBORN SCREENING'!#REF!</definedName>
    <definedName name="Print_Area_MI" localSheetId="87">NNNP!#REF!</definedName>
    <definedName name="Print_Area_MI" localSheetId="180">'NUTRITION COUNCIL'!#REF!</definedName>
    <definedName name="Print_Area_MI" localSheetId="66">'NUTRITION PROGRAM'!#REF!</definedName>
    <definedName name="Print_Area_MI" localSheetId="182">'OFFICE OF PWD'!#REF!</definedName>
    <definedName name="Print_Area_MI" localSheetId="183">'OPERATION OF GAD COUNCIL'!#REF!</definedName>
    <definedName name="Print_Area_MI" localSheetId="175">'OPERATION OF GUIDANCE CENTER '!#REF!</definedName>
    <definedName name="Print_Area_MI" localSheetId="184">'OPERATION OF LCPC - SSS'!#REF!</definedName>
    <definedName name="Print_Area_MI" localSheetId="179">'OPERATION OF THE CURFEW CENTER'!#REF!</definedName>
    <definedName name="Print_Area_MI" localSheetId="117">'organic agri devt'!#REF!</definedName>
    <definedName name="Print_Area_MI" localSheetId="174">'OSCA - PST '!#REF!</definedName>
    <definedName name="Print_Area_MI" localSheetId="11">paao!#REF!</definedName>
    <definedName name="Print_Area_MI" localSheetId="15">'PAAO (2)'!#REF!</definedName>
    <definedName name="Print_Area_MI" localSheetId="30">'paao (3)'!#REF!</definedName>
    <definedName name="Print_Area_MI" localSheetId="37">'PAAO (4)'!#REF!</definedName>
    <definedName name="Print_Area_MI" localSheetId="2">'paao admin'!#REF!</definedName>
    <definedName name="Print_Area_MI" localSheetId="34">'PAAO NEW'!#REF!</definedName>
    <definedName name="Print_Area_MI" localSheetId="135">PAAOE!#REF!</definedName>
    <definedName name="Print_Area_MI" localSheetId="92">'PAAOE (2021)'!#REF!</definedName>
    <definedName name="Print_Area_MI" localSheetId="48">'PAAOE NEW HAZARD'!#REF!</definedName>
    <definedName name="Print_Area_MI" localSheetId="28">'PAMANA PROGRAM'!#REF!</definedName>
    <definedName name="Print_Area_MI" localSheetId="17">'PAMANA, RCSP &amp; OTHERS'!#REF!</definedName>
    <definedName name="Print_Area_MI" localSheetId="164">'PEACE AND ORDER FUND'!#REF!</definedName>
    <definedName name="Print_Area_MI" localSheetId="144">PESO!#REF!</definedName>
    <definedName name="Print_Area_MI" localSheetId="151">PIO!#REF!</definedName>
    <definedName name="Print_Area_MI" localSheetId="3">plantilla!#REF!</definedName>
    <definedName name="Print_Area_MI" localSheetId="10">'plantilla (2)'!#REF!</definedName>
    <definedName name="Print_Area_MI" localSheetId="14">'PLANTILLA (3)'!#REF!</definedName>
    <definedName name="Print_Area_MI" localSheetId="29">'plantilla (4)'!#REF!</definedName>
    <definedName name="Print_Area_MI" localSheetId="31">'plantilla (5)'!#REF!</definedName>
    <definedName name="Print_Area_MI" localSheetId="36">'PLANTILLA (6)'!#REF!</definedName>
    <definedName name="Print_Area_MI" localSheetId="40">'plantilla (7)'!#REF!</definedName>
    <definedName name="Print_Area_MI" localSheetId="47">'plantilla (8)'!#REF!</definedName>
    <definedName name="Print_Area_MI" localSheetId="1">'plantilla new'!#REF!</definedName>
    <definedName name="Print_Area_MI" localSheetId="33">'PLANTILLA NEW (2)'!#REF!</definedName>
    <definedName name="Print_Area_MI" localSheetId="186">'PLAza - FINAL-8-31-21'!#REF!</definedName>
    <definedName name="Print_Area_MI" localSheetId="160">PLEB!#REF!</definedName>
    <definedName name="Print_Area_MI" localSheetId="75">pmsd2022!#REF!</definedName>
    <definedName name="Print_Area_MI" localSheetId="168">PPMO!#REF!</definedName>
    <definedName name="Print_Area_MI" localSheetId="16">'PROJECT MONITORING'!#REF!</definedName>
    <definedName name="Print_Area_MI" localSheetId="76">pttd2022!#REF!</definedName>
    <definedName name="Print_Area_MI" localSheetId="123">'rabies eradication '!#REF!</definedName>
    <definedName name="Print_Area_MI" localSheetId="67">'Rep&amp;Maint-Investment Property'!#REF!</definedName>
    <definedName name="Print_Area_MI" localSheetId="124">'RICE PRODUCTION'!#REF!</definedName>
    <definedName name="Print_Area_MI" localSheetId="39">sacapraise!#REF!</definedName>
    <definedName name="Print_Area_MI" localSheetId="158">'SCC APPRAISAL COMMITTEE'!#REF!</definedName>
    <definedName name="Print_Area_MI" localSheetId="142">SCCCADAC!#REF!</definedName>
    <definedName name="Print_Area_MI" localSheetId="143">SCCYA!#REF!</definedName>
    <definedName name="Print_Area_MI" localSheetId="147">'SCHOLARSHIP PROG. FOR STUDENTS'!#REF!</definedName>
    <definedName name="Print_Area_MI" localSheetId="148">'SCHOLARSHIP PROG. FOR teachers'!#REF!</definedName>
    <definedName name="Print_Area_MI" localSheetId="24">SCIHA!#REF!</definedName>
    <definedName name="Print_Area_MI" localSheetId="150">'SCIHA (2)'!#REF!</definedName>
    <definedName name="Print_Area_MI" localSheetId="18">'SIPA '!#REF!</definedName>
    <definedName name="Print_Area_MI" localSheetId="187">'SPECIAL PURPOSE - FINAL 2022'!#REF!</definedName>
    <definedName name="Print_Area_MI" localSheetId="145">SPORTS!#REF!</definedName>
    <definedName name="Print_Area_MI" localSheetId="68">'STD-HIV'!#REF!</definedName>
    <definedName name="Print_Area_MI" localSheetId="49">'summary '!#REF!</definedName>
    <definedName name="Print_Area_MI" localSheetId="166">'TASK FORCE RIGHT OF WAY'!#REF!</definedName>
    <definedName name="Print_Area_MI" localSheetId="114">'technical&amp;market support '!#REF!</definedName>
    <definedName name="Print_Area_MI" localSheetId="146">TOURISM!#REF!</definedName>
    <definedName name="Print_Area_MI" localSheetId="169">'TRAFFIC MANAGEMENT AUTHORITY'!#REF!</definedName>
    <definedName name="Print_Area_MI" localSheetId="116">'vegetable production'!#REF!</definedName>
    <definedName name="Print_Area_MI" localSheetId="70">'VOLUNTARY BLOOD DONATION'!#REF!</definedName>
    <definedName name="Print_Area_MI" localSheetId="71">ZOD!#REF!</definedName>
    <definedName name="rangecomparative" localSheetId="127">'[1]HOS-plantilla'!#REF!</definedName>
    <definedName name="rangecomparative">'[1]HOS-plantilla'!#REF!</definedName>
    <definedName name="turkey">'[1]HOS-plantilla'!#REF!</definedName>
    <definedName name="W">'[1]HOS-plantilla'!#REF!</definedName>
    <definedName name="Z_3F80ECEE_C6F1_4B42_A2F6_145AE632EAA5_.wvu.PrintArea" localSheetId="177" hidden="1">' 4 P''S - FINAL'!$A$1:$H$28</definedName>
    <definedName name="Z_3F80ECEE_C6F1_4B42_A2F6_145AE632EAA5_.wvu.PrintArea" localSheetId="119" hidden="1">'abaca industry devt'!$A$1:$H$17</definedName>
    <definedName name="Z_3F80ECEE_C6F1_4B42_A2F6_145AE632EAA5_.wvu.PrintArea" localSheetId="153" hidden="1">'ABC FEDERATION'!$A$1:$H$31</definedName>
    <definedName name="Z_3F80ECEE_C6F1_4B42_A2F6_145AE632EAA5_.wvu.PrintArea" localSheetId="154" hidden="1">'ABC FEDERATION - brgy. TANOD'!$A$1:$H$25</definedName>
    <definedName name="Z_3F80ECEE_C6F1_4B42_A2F6_145AE632EAA5_.wvu.PrintArea" localSheetId="155" hidden="1">'ABC- KATARUNGANG PAMBARANGAY'!$A$1:$H$24</definedName>
    <definedName name="Z_3F80ECEE_C6F1_4B42_A2F6_145AE632EAA5_.wvu.PrintArea" localSheetId="162" hidden="1">ADHOC!$A$1:$H$24</definedName>
    <definedName name="Z_3F80ECEE_C6F1_4B42_A2F6_145AE632EAA5_.wvu.PrintArea" localSheetId="50" hidden="1">Adolescent!$A$1:$H$26</definedName>
    <definedName name="Z_3F80ECEE_C6F1_4B42_A2F6_145AE632EAA5_.wvu.PrintArea" localSheetId="118" hidden="1">'agri center &amp; demo area'!$A$1:$H$17</definedName>
    <definedName name="Z_3F80ECEE_C6F1_4B42_A2F6_145AE632EAA5_.wvu.PrintArea" localSheetId="110" hidden="1">'animal disease'!$A$1:$H$22</definedName>
    <definedName name="Z_3F80ECEE_C6F1_4B42_A2F6_145AE632EAA5_.wvu.PrintArea" localSheetId="172" hidden="1">'ANTI-COVID19 PROGRAM'!$A$1:$H$25</definedName>
    <definedName name="Z_3F80ECEE_C6F1_4B42_A2F6_145AE632EAA5_.wvu.PrintArea" localSheetId="51" hidden="1">'ANTI-HUMAN RABIES'!$A$1:$H$24</definedName>
    <definedName name="Z_3F80ECEE_C6F1_4B42_A2F6_145AE632EAA5_.wvu.PrintArea" localSheetId="55" hidden="1">'ANTI-SMOKING'!$A$1:$H$26</definedName>
    <definedName name="Z_3F80ECEE_C6F1_4B42_A2F6_145AE632EAA5_.wvu.PrintArea" localSheetId="52" hidden="1">'ANTI-TB Program'!$A$1:$H$27</definedName>
    <definedName name="Z_3F80ECEE_C6F1_4B42_A2F6_145AE632EAA5_.wvu.PrintArea" localSheetId="38" hidden="1">arta!$A$1:$H$23</definedName>
    <definedName name="Z_3F80ECEE_C6F1_4B42_A2F6_145AE632EAA5_.wvu.PrintArea" localSheetId="111" hidden="1">'artificial insemination'!$A$1:$H$21</definedName>
    <definedName name="Z_3F80ECEE_C6F1_4B42_A2F6_145AE632EAA5_.wvu.PrintArea" localSheetId="5" hidden="1">'assessor plantilla'!$A$1:$K$41</definedName>
    <definedName name="Z_3F80ECEE_C6F1_4B42_A2F6_145AE632EAA5_.wvu.PrintArea" localSheetId="161" hidden="1">BAC!$A$1:$H$34</definedName>
    <definedName name="Z_3F80ECEE_C6F1_4B42_A2F6_145AE632EAA5_.wvu.PrintArea" localSheetId="88" hidden="1">'BAGO RIVER'!#REF!</definedName>
    <definedName name="Z_3F80ECEE_C6F1_4B42_A2F6_145AE632EAA5_.wvu.PrintArea" localSheetId="120" hidden="1">'bamboo production'!$A$1:$H$17</definedName>
    <definedName name="Z_3F80ECEE_C6F1_4B42_A2F6_145AE632EAA5_.wvu.PrintArea" localSheetId="83" hidden="1">'BANTAY DAGAT'!#REF!</definedName>
    <definedName name="Z_3F80ECEE_C6F1_4B42_A2F6_145AE632EAA5_.wvu.PrintArea" localSheetId="90" hidden="1">beautification!#REF!</definedName>
    <definedName name="Z_3F80ECEE_C6F1_4B42_A2F6_145AE632EAA5_.wvu.PrintArea" localSheetId="159" hidden="1">BPLO!$A$1:$H$34</definedName>
    <definedName name="Z_3F80ECEE_C6F1_4B42_A2F6_145AE632EAA5_.wvu.PrintArea" localSheetId="27" hidden="1">'BUB '!$A$1:$H$23</definedName>
    <definedName name="Z_3F80ECEE_C6F1_4B42_A2F6_145AE632EAA5_.wvu.PrintArea" localSheetId="22" hidden="1">'BUB ,PAMANA, ETC.'!$A$1:$H$23</definedName>
    <definedName name="Z_3F80ECEE_C6F1_4B42_A2F6_145AE632EAA5_.wvu.PrintArea" localSheetId="141" hidden="1">CAWA!$A$1:$H$32</definedName>
    <definedName name="Z_3F80ECEE_C6F1_4B42_A2F6_145AE632EAA5_.wvu.PrintArea" localSheetId="53" hidden="1">CBHS!$A$1:$H$26</definedName>
    <definedName name="Z_3F80ECEE_C6F1_4B42_A2F6_145AE632EAA5_.wvu.PrintArea" localSheetId="26" hidden="1">CBMS!$A$1:$H$21</definedName>
    <definedName name="Z_3F80ECEE_C6F1_4B42_A2F6_145AE632EAA5_.wvu.PrintArea" localSheetId="54" hidden="1">CBR!$A$1:$H$29</definedName>
    <definedName name="Z_3F80ECEE_C6F1_4B42_A2F6_145AE632EAA5_.wvu.PrintArea" localSheetId="156" hidden="1">'CCC - ALGERS'!$A$1:$H$36</definedName>
    <definedName name="Z_3F80ECEE_C6F1_4B42_A2F6_145AE632EAA5_.wvu.PrintArea" localSheetId="128" hidden="1">'CDRRMO - FINAL 2022 - 9-28-21'!$A$1:$H$63</definedName>
    <definedName name="Z_3F80ECEE_C6F1_4B42_A2F6_145AE632EAA5_.wvu.PrintArea" localSheetId="129" hidden="1">'CEO - FINAL'!$A$1:$H$113</definedName>
    <definedName name="Z_3F80ECEE_C6F1_4B42_A2F6_145AE632EAA5_.wvu.PrintArea" localSheetId="140" hidden="1">'CEO-OBO-FINAL'!$A$1:$H$30</definedName>
    <definedName name="Z_3F80ECEE_C6F1_4B42_A2F6_145AE632EAA5_.wvu.PrintArea" localSheetId="133" hidden="1">'CEO-STREETLIGHTING - FINAL 9-3'!$A$1:$H$33</definedName>
    <definedName name="Z_3F80ECEE_C6F1_4B42_A2F6_145AE632EAA5_.wvu.PrintArea" localSheetId="178" hidden="1">'CIACAT - VAWC - FINAL'!$A$1:$H$26</definedName>
    <definedName name="Z_3F80ECEE_C6F1_4B42_A2F6_145AE632EAA5_.wvu.PrintArea" localSheetId="82" hidden="1">'CITY LANES'!#REF!</definedName>
    <definedName name="Z_3F80ECEE_C6F1_4B42_A2F6_145AE632EAA5_.wvu.PrintArea" localSheetId="152" hidden="1">CLDO!$A$1:$H$36</definedName>
    <definedName name="Z_3F80ECEE_C6F1_4B42_A2F6_145AE632EAA5_.wvu.PrintArea" localSheetId="131" hidden="1">'CMO-PAAO - FINAL 9-22-21'!$A$1:$H$148</definedName>
    <definedName name="Z_3F80ECEE_C6F1_4B42_A2F6_145AE632EAA5_.wvu.PrintArea" localSheetId="163" hidden="1">CODI!$A$1:$H$26</definedName>
    <definedName name="Z_3F80ECEE_C6F1_4B42_A2F6_145AE632EAA5_.wvu.PrintArea" localSheetId="23" hidden="1">'Compre Data Collection &amp; Update'!$A$1:$H$23</definedName>
    <definedName name="Z_3F80ECEE_C6F1_4B42_A2F6_145AE632EAA5_.wvu.PrintArea" localSheetId="56" hidden="1">'Contraceptive Self Reliance'!$A$1:$H$27</definedName>
    <definedName name="Z_3F80ECEE_C6F1_4B42_A2F6_145AE632EAA5_.wvu.PrintArea" localSheetId="181" hidden="1">'COUNTRY PROGRAM FOR CHILDREN '!$A$1:$H$36</definedName>
    <definedName name="Z_3F80ECEE_C6F1_4B42_A2F6_145AE632EAA5_.wvu.PrintArea" localSheetId="84" hidden="1">CRM!#REF!</definedName>
    <definedName name="Z_3F80ECEE_C6F1_4B42_A2F6_145AE632EAA5_.wvu.PrintArea" localSheetId="132" hidden="1">'CSWDO-EDITED FINAL'!$A$1:$H$68</definedName>
    <definedName name="Z_3F80ECEE_C6F1_4B42_A2F6_145AE632EAA5_.wvu.PrintArea" localSheetId="121" hidden="1">'cutflower industry'!$A$1:$H$17</definedName>
    <definedName name="Z_3F80ECEE_C6F1_4B42_A2F6_145AE632EAA5_.wvu.PrintArea" localSheetId="74" hidden="1">'cwd2022'!$A$1:$F$69</definedName>
    <definedName name="Z_3F80ECEE_C6F1_4B42_A2F6_145AE632EAA5_.wvu.PrintArea" localSheetId="57" hidden="1">DENGUE!$A$1:$H$29</definedName>
    <definedName name="Z_3F80ECEE_C6F1_4B42_A2F6_145AE632EAA5_.wvu.PrintArea" localSheetId="58" hidden="1">'DENTAL HEALTH'!$A$1:$H$27</definedName>
    <definedName name="Z_3F80ECEE_C6F1_4B42_A2F6_145AE632EAA5_.wvu.PrintArea" localSheetId="113" hidden="1">'dispersal &amp; upg of small animal'!$A$1:$H$18</definedName>
    <definedName name="Z_3F80ECEE_C6F1_4B42_A2F6_145AE632EAA5_.wvu.PrintArea" localSheetId="112" hidden="1">'dispersal of large animals'!$A$1:$H$18</definedName>
    <definedName name="Z_3F80ECEE_C6F1_4B42_A2F6_145AE632EAA5_.wvu.PrintArea" localSheetId="127" hidden="1">'duck &amp; turkey'!$A$1:$H$15</definedName>
    <definedName name="Z_3F80ECEE_C6F1_4B42_A2F6_145AE632EAA5_.wvu.PrintArea" localSheetId="80" hidden="1">'ECO CENTER'!#REF!</definedName>
    <definedName name="Z_3F80ECEE_C6F1_4B42_A2F6_145AE632EAA5_.wvu.PrintArea" localSheetId="59" hidden="1">'FAMILY PLANNING'!$A$1:$H$28</definedName>
    <definedName name="Z_3F80ECEE_C6F1_4B42_A2F6_145AE632EAA5_.wvu.PrintArea" localSheetId="149" hidden="1">'FIN. ASSIST. GRADUATE SCHOLAR'!$A$1:$H$23</definedName>
    <definedName name="Z_3F80ECEE_C6F1_4B42_A2F6_145AE632EAA5_.wvu.PrintArea" localSheetId="125" hidden="1">'free range chicken'!$A$1:$H$16</definedName>
    <definedName name="Z_3F80ECEE_C6F1_4B42_A2F6_145AE632EAA5_.wvu.PrintArea" localSheetId="79" hidden="1">'GARBAGE COLLECTION'!#REF!</definedName>
    <definedName name="Z_3F80ECEE_C6F1_4B42_A2F6_145AE632EAA5_.wvu.PrintArea" localSheetId="7" hidden="1">'gen revision'!$A$1:$H$25</definedName>
    <definedName name="Z_3F80ECEE_C6F1_4B42_A2F6_145AE632EAA5_.wvu.PrintArea" localSheetId="72" hidden="1">'GENFUND 2022 FINAL'!$A$1:$F$206</definedName>
    <definedName name="Z_3F80ECEE_C6F1_4B42_A2F6_145AE632EAA5_.wvu.PrintArea" localSheetId="19" hidden="1">Heritage!$A$1:$H$21</definedName>
    <definedName name="Z_3F80ECEE_C6F1_4B42_A2F6_145AE632EAA5_.wvu.PrintArea" localSheetId="115" hidden="1">'high value commcl crops fruits'!$A$1:$H$17</definedName>
    <definedName name="Z_3F80ECEE_C6F1_4B42_A2F6_145AE632EAA5_.wvu.PrintArea" localSheetId="60" hidden="1">HIS!$A$1:$H$24</definedName>
    <definedName name="Z_3F80ECEE_C6F1_4B42_A2F6_145AE632EAA5_.wvu.PrintArea" localSheetId="73" hidden="1">hosp2022!$A$1:$F$99</definedName>
    <definedName name="Z_3F80ECEE_C6F1_4B42_A2F6_145AE632EAA5_.wvu.PrintArea" localSheetId="138" hidden="1">'HOSPITAL-PAAOE- FINAL'!$A$1:$H$115</definedName>
    <definedName name="Z_3F80ECEE_C6F1_4B42_A2F6_145AE632EAA5_.wvu.PrintArea" localSheetId="25" hidden="1">'HOUSEHOLD PROFILING'!$A$1:$H$21</definedName>
    <definedName name="Z_3F80ECEE_C6F1_4B42_A2F6_145AE632EAA5_.wvu.PrintArea" localSheetId="122" hidden="1">'hvcc cacao coffee peanut'!$A$1:$H$17</definedName>
    <definedName name="Z_3F80ECEE_C6F1_4B42_A2F6_145AE632EAA5_.wvu.PrintArea" localSheetId="170" hidden="1">'I 4 J - 2022'!$A$1:$H$33</definedName>
    <definedName name="Z_3F80ECEE_C6F1_4B42_A2F6_145AE632EAA5_.wvu.PrintArea" localSheetId="165" hidden="1">ICTC!$A$1:$H$41</definedName>
    <definedName name="Z_3F80ECEE_C6F1_4B42_A2F6_145AE632EAA5_.wvu.PrintArea" localSheetId="81" hidden="1">IEC!#REF!</definedName>
    <definedName name="Z_3F80ECEE_C6F1_4B42_A2F6_145AE632EAA5_.wvu.PrintArea" localSheetId="64" hidden="1">IMMUNIZATION!$A$1:$H$23</definedName>
    <definedName name="Z_3F80ECEE_C6F1_4B42_A2F6_145AE632EAA5_.wvu.PrintArea" localSheetId="176" hidden="1">'IMPLEMENTATION OF MDG FACES'!$A$1:$H$24</definedName>
    <definedName name="Z_3F80ECEE_C6F1_4B42_A2F6_145AE632EAA5_.wvu.PrintArea" localSheetId="21" hidden="1">INDIGENOUS!$A$1:$H$21</definedName>
    <definedName name="Z_3F80ECEE_C6F1_4B42_A2F6_145AE632EAA5_.wvu.PrintArea" localSheetId="157" hidden="1">'INTERNAL AUDIT SERVICE'!$A$1:$H$27</definedName>
    <definedName name="Z_3F80ECEE_C6F1_4B42_A2F6_145AE632EAA5_.wvu.PrintArea" localSheetId="89" hidden="1">'law enforcement'!#REF!</definedName>
    <definedName name="Z_3F80ECEE_C6F1_4B42_A2F6_145AE632EAA5_.wvu.PrintArea" localSheetId="4" hidden="1">'LBPF No. 2'!$A$1:$H$61</definedName>
    <definedName name="Z_3F80ECEE_C6F1_4B42_A2F6_145AE632EAA5_.wvu.PrintArea" localSheetId="32" hidden="1">'LBPF No. 2 '!$A$1:$H$82</definedName>
    <definedName name="Z_3F80ECEE_C6F1_4B42_A2F6_145AE632EAA5_.wvu.PrintArea" localSheetId="45" hidden="1">'LBPF No. 2 (10)'!$A$1:$H$53</definedName>
    <definedName name="Z_3F80ECEE_C6F1_4B42_A2F6_145AE632EAA5_.wvu.PrintArea" localSheetId="46" hidden="1">'LBPF No. 2 (11)'!$A$1:$H$33</definedName>
    <definedName name="Z_3F80ECEE_C6F1_4B42_A2F6_145AE632EAA5_.wvu.PrintArea" localSheetId="109" hidden="1">'LBPF No. 2 (12)'!$A$1:$H$61</definedName>
    <definedName name="Z_3F80ECEE_C6F1_4B42_A2F6_145AE632EAA5_.wvu.PrintArea" localSheetId="6" hidden="1">'LBPF No. 2 (2)'!$A$1:$H$61</definedName>
    <definedName name="Z_3F80ECEE_C6F1_4B42_A2F6_145AE632EAA5_.wvu.PrintArea" localSheetId="8" hidden="1">'LBPF No. 2 (3)'!$A$1:$H$41</definedName>
    <definedName name="Z_3F80ECEE_C6F1_4B42_A2F6_145AE632EAA5_.wvu.PrintArea" localSheetId="9" hidden="1">'LBPF No. 2 (4)'!$A$1:$H$40</definedName>
    <definedName name="Z_3F80ECEE_C6F1_4B42_A2F6_145AE632EAA5_.wvu.PrintArea" localSheetId="13" hidden="1">'LBPF No. 2 (5)'!$A$1:$H$34</definedName>
    <definedName name="Z_3F80ECEE_C6F1_4B42_A2F6_145AE632EAA5_.wvu.PrintArea" localSheetId="35" hidden="1">'LBPF No. 2 (6)'!$A$1:$H$31</definedName>
    <definedName name="Z_3F80ECEE_C6F1_4B42_A2F6_145AE632EAA5_.wvu.PrintArea" localSheetId="41" hidden="1">'LBPF No. 2 (7)'!$A$1:$H$61</definedName>
    <definedName name="Z_3F80ECEE_C6F1_4B42_A2F6_145AE632EAA5_.wvu.PrintArea" localSheetId="42" hidden="1">'LBPF No. 2 (8)'!$A$1:$H$45</definedName>
    <definedName name="Z_3F80ECEE_C6F1_4B42_A2F6_145AE632EAA5_.wvu.PrintArea" localSheetId="43" hidden="1">'LBPF No. 2 (9)'!$A$1:$H$31</definedName>
    <definedName name="Z_3F80ECEE_C6F1_4B42_A2F6_145AE632EAA5_.wvu.PrintArea" localSheetId="77" hidden="1">'LBPF No. 2(3312)'!#REF!</definedName>
    <definedName name="Z_3F80ECEE_C6F1_4B42_A2F6_145AE632EAA5_.wvu.PrintArea" localSheetId="12" hidden="1">'LBPF No. 4'!$A$1:$M$57</definedName>
    <definedName name="Z_3F80ECEE_C6F1_4B42_A2F6_145AE632EAA5_.wvu.PrintArea" localSheetId="44" hidden="1">'LBPF No.3'!$A$1:$M$31</definedName>
    <definedName name="Z_3F80ECEE_C6F1_4B42_A2F6_145AE632EAA5_.wvu.PrintArea" localSheetId="61" hidden="1">'LEPROSY '!$A$1:$H$26</definedName>
    <definedName name="Z_3F80ECEE_C6F1_4B42_A2F6_145AE632EAA5_.wvu.PrintArea" localSheetId="167" hidden="1">LET!$A$1:$H$30</definedName>
    <definedName name="Z_3F80ECEE_C6F1_4B42_A2F6_145AE632EAA5_.wvu.PrintArea" localSheetId="69" hidden="1">'LIFESTYLE DISEASES'!$A$1:$H$26</definedName>
    <definedName name="Z_3F80ECEE_C6F1_4B42_A2F6_145AE632EAA5_.wvu.PrintArea" localSheetId="20" hidden="1">'Mainstreaming CBMS in Brgy. Dev'!$A$1:$H$23</definedName>
    <definedName name="Z_3F80ECEE_C6F1_4B42_A2F6_145AE632EAA5_.wvu.PrintArea" localSheetId="185" hidden="1">'mandana''s - garcia'!$A$1:$H$29</definedName>
    <definedName name="Z_3F80ECEE_C6F1_4B42_A2F6_145AE632EAA5_.wvu.PrintArea" localSheetId="85" hidden="1">'MARINE PROTECTED'!#REF!</definedName>
    <definedName name="Z_3F80ECEE_C6F1_4B42_A2F6_145AE632EAA5_.wvu.PrintArea" localSheetId="62" hidden="1">'MATERNAL &amp; CHILD HEALTH CARE'!$A$1:$H$27</definedName>
    <definedName name="Z_3F80ECEE_C6F1_4B42_A2F6_145AE632EAA5_.wvu.PrintArea" localSheetId="63" hidden="1">'Mental Health'!$A$1:$H$27</definedName>
    <definedName name="Z_3F80ECEE_C6F1_4B42_A2F6_145AE632EAA5_.wvu.PrintArea" localSheetId="86" hidden="1">MKNP!#REF!</definedName>
    <definedName name="Z_3F80ECEE_C6F1_4B42_A2F6_145AE632EAA5_.wvu.PrintArea" localSheetId="78" hidden="1">MMT!$A$3:$H$3</definedName>
    <definedName name="Z_3F80ECEE_C6F1_4B42_A2F6_145AE632EAA5_.wvu.PrintArea" localSheetId="126" hidden="1">mushroom!$A$1:$H$15</definedName>
    <definedName name="Z_3F80ECEE_C6F1_4B42_A2F6_145AE632EAA5_.wvu.PrintArea" localSheetId="171" hidden="1">'NEGOSYO CENTER - SCCIPC'!$A$1:$H$34</definedName>
    <definedName name="Z_3F80ECEE_C6F1_4B42_A2F6_145AE632EAA5_.wvu.PrintArea" localSheetId="65" hidden="1">'NEWBORN SCREENING'!$A$1:$H$26</definedName>
    <definedName name="Z_3F80ECEE_C6F1_4B42_A2F6_145AE632EAA5_.wvu.PrintArea" localSheetId="87" hidden="1">NNNP!#REF!</definedName>
    <definedName name="Z_3F80ECEE_C6F1_4B42_A2F6_145AE632EAA5_.wvu.PrintArea" localSheetId="180" hidden="1">'NUTRITION COUNCIL'!$A$1:$H$30</definedName>
    <definedName name="Z_3F80ECEE_C6F1_4B42_A2F6_145AE632EAA5_.wvu.PrintArea" localSheetId="66" hidden="1">'NUTRITION PROGRAM'!$A$1:$H$24</definedName>
    <definedName name="Z_3F80ECEE_C6F1_4B42_A2F6_145AE632EAA5_.wvu.PrintArea" localSheetId="182" hidden="1">'OFFICE OF PWD'!$A$1:$H$35</definedName>
    <definedName name="Z_3F80ECEE_C6F1_4B42_A2F6_145AE632EAA5_.wvu.PrintArea" localSheetId="183" hidden="1">'OPERATION OF GAD COUNCIL'!$A$1:$H$28</definedName>
    <definedName name="Z_3F80ECEE_C6F1_4B42_A2F6_145AE632EAA5_.wvu.PrintArea" localSheetId="175" hidden="1">'OPERATION OF GUIDANCE CENTER '!$A$1:$H$27</definedName>
    <definedName name="Z_3F80ECEE_C6F1_4B42_A2F6_145AE632EAA5_.wvu.PrintArea" localSheetId="184" hidden="1">'OPERATION OF LCPC - SSS'!$A$1:$H$26</definedName>
    <definedName name="Z_3F80ECEE_C6F1_4B42_A2F6_145AE632EAA5_.wvu.PrintArea" localSheetId="179" hidden="1">'OPERATION OF THE CURFEW CENTER'!$A$1:$H$27</definedName>
    <definedName name="Z_3F80ECEE_C6F1_4B42_A2F6_145AE632EAA5_.wvu.PrintArea" localSheetId="117" hidden="1">'organic agri devt'!$A$1:$H$17</definedName>
    <definedName name="Z_3F80ECEE_C6F1_4B42_A2F6_145AE632EAA5_.wvu.PrintArea" localSheetId="174" hidden="1">'OSCA - PST '!$A$1:$H$36</definedName>
    <definedName name="Z_3F80ECEE_C6F1_4B42_A2F6_145AE632EAA5_.wvu.PrintArea" localSheetId="11" hidden="1">paao!$A$1:$H$61</definedName>
    <definedName name="Z_3F80ECEE_C6F1_4B42_A2F6_145AE632EAA5_.wvu.PrintArea" localSheetId="15" hidden="1">'PAAO (2)'!$A$1:$H$62</definedName>
    <definedName name="Z_3F80ECEE_C6F1_4B42_A2F6_145AE632EAA5_.wvu.PrintArea" localSheetId="30" hidden="1">'paao (3)'!$A$1:$H$64</definedName>
    <definedName name="Z_3F80ECEE_C6F1_4B42_A2F6_145AE632EAA5_.wvu.PrintArea" localSheetId="37" hidden="1">'PAAO (4)'!$A$1:$H$63</definedName>
    <definedName name="Z_3F80ECEE_C6F1_4B42_A2F6_145AE632EAA5_.wvu.PrintArea" localSheetId="2" hidden="1">'paao admin'!$A$1:$H$63</definedName>
    <definedName name="Z_3F80ECEE_C6F1_4B42_A2F6_145AE632EAA5_.wvu.PrintArea" localSheetId="34" hidden="1">'PAAO NEW'!$A$1:$H$59</definedName>
    <definedName name="Z_3F80ECEE_C6F1_4B42_A2F6_145AE632EAA5_.wvu.PrintArea" localSheetId="135" hidden="1">PAAOE!$A$1:$H$90</definedName>
    <definedName name="Z_3F80ECEE_C6F1_4B42_A2F6_145AE632EAA5_.wvu.PrintArea" localSheetId="92" hidden="1">'PAAOE (2021)'!$A$2:$H$121</definedName>
    <definedName name="Z_3F80ECEE_C6F1_4B42_A2F6_145AE632EAA5_.wvu.PrintArea" localSheetId="48" hidden="1">'PAAOE NEW HAZARD'!$A$1:$H$74</definedName>
    <definedName name="Z_3F80ECEE_C6F1_4B42_A2F6_145AE632EAA5_.wvu.PrintArea" localSheetId="28" hidden="1">'PAMANA PROGRAM'!$A$1:$H$23</definedName>
    <definedName name="Z_3F80ECEE_C6F1_4B42_A2F6_145AE632EAA5_.wvu.PrintArea" localSheetId="17" hidden="1">'PAMANA, RCSP &amp; OTHERS'!$A$1:$H$23</definedName>
    <definedName name="Z_3F80ECEE_C6F1_4B42_A2F6_145AE632EAA5_.wvu.PrintArea" localSheetId="164" hidden="1">'PEACE AND ORDER FUND'!$A$1:$H$31</definedName>
    <definedName name="Z_3F80ECEE_C6F1_4B42_A2F6_145AE632EAA5_.wvu.PrintArea" localSheetId="144" hidden="1">PESO!$A$1:$H$38</definedName>
    <definedName name="Z_3F80ECEE_C6F1_4B42_A2F6_145AE632EAA5_.wvu.PrintArea" localSheetId="151" hidden="1">PIO!$A$1:$H$32</definedName>
    <definedName name="Z_3F80ECEE_C6F1_4B42_A2F6_145AE632EAA5_.wvu.PrintArea" localSheetId="3" hidden="1">plantilla!$A$1:$M$70</definedName>
    <definedName name="Z_3F80ECEE_C6F1_4B42_A2F6_145AE632EAA5_.wvu.PrintArea" localSheetId="10" hidden="1">'plantilla (2)'!$A$1:$M$47</definedName>
    <definedName name="Z_3F80ECEE_C6F1_4B42_A2F6_145AE632EAA5_.wvu.PrintArea" localSheetId="14" hidden="1">'PLANTILLA (3)'!$A$1:$K$64</definedName>
    <definedName name="Z_3F80ECEE_C6F1_4B42_A2F6_145AE632EAA5_.wvu.PrintArea" localSheetId="29" hidden="1">'plantilla (4)'!$A$1:$K$115</definedName>
    <definedName name="Z_3F80ECEE_C6F1_4B42_A2F6_145AE632EAA5_.wvu.PrintArea" localSheetId="31" hidden="1">'plantilla (5)'!$A$1:$M$96</definedName>
    <definedName name="Z_3F80ECEE_C6F1_4B42_A2F6_145AE632EAA5_.wvu.PrintArea" localSheetId="36" hidden="1">'PLANTILLA (6)'!$A$1:$L$54</definedName>
    <definedName name="Z_3F80ECEE_C6F1_4B42_A2F6_145AE632EAA5_.wvu.PrintArea" localSheetId="40" hidden="1">'plantilla (7)'!$A$1:$K$48</definedName>
    <definedName name="Z_3F80ECEE_C6F1_4B42_A2F6_145AE632EAA5_.wvu.PrintArea" localSheetId="47" hidden="1">'plantilla (8)'!$A$1:$M$118</definedName>
    <definedName name="Z_3F80ECEE_C6F1_4B42_A2F6_145AE632EAA5_.wvu.PrintArea" localSheetId="1" hidden="1">'plantilla new'!$A$1:$K$53</definedName>
    <definedName name="Z_3F80ECEE_C6F1_4B42_A2F6_145AE632EAA5_.wvu.PrintArea" localSheetId="33" hidden="1">'PLANTILLA NEW (2)'!$A$1:$K$26</definedName>
    <definedName name="Z_3F80ECEE_C6F1_4B42_A2F6_145AE632EAA5_.wvu.PrintArea" localSheetId="186" hidden="1">'PLAza - FINAL-8-31-21'!$A$1:$H$52</definedName>
    <definedName name="Z_3F80ECEE_C6F1_4B42_A2F6_145AE632EAA5_.wvu.PrintArea" localSheetId="160" hidden="1">PLEB!$A$1:$H$26</definedName>
    <definedName name="Z_3F80ECEE_C6F1_4B42_A2F6_145AE632EAA5_.wvu.PrintArea" localSheetId="75" hidden="1">pmsd2022!$A$1:$F$63</definedName>
    <definedName name="Z_3F80ECEE_C6F1_4B42_A2F6_145AE632EAA5_.wvu.PrintArea" localSheetId="168" hidden="1">PPMO!$A$1:$H$39</definedName>
    <definedName name="Z_3F80ECEE_C6F1_4B42_A2F6_145AE632EAA5_.wvu.PrintArea" localSheetId="16" hidden="1">'PROJECT MONITORING'!$A$1:$H$23</definedName>
    <definedName name="Z_3F80ECEE_C6F1_4B42_A2F6_145AE632EAA5_.wvu.PrintArea" localSheetId="76" hidden="1">pttd2022!$A$1:$F$60</definedName>
    <definedName name="Z_3F80ECEE_C6F1_4B42_A2F6_145AE632EAA5_.wvu.PrintArea" localSheetId="123" hidden="1">'rabies eradication '!$A$1:$H$17</definedName>
    <definedName name="Z_3F80ECEE_C6F1_4B42_A2F6_145AE632EAA5_.wvu.PrintArea" localSheetId="67" hidden="1">'Rep&amp;Maint-Investment Property'!$A$1:$H$24</definedName>
    <definedName name="Z_3F80ECEE_C6F1_4B42_A2F6_145AE632EAA5_.wvu.PrintArea" localSheetId="124" hidden="1">'RICE PRODUCTION'!$A$1:$H$16</definedName>
    <definedName name="Z_3F80ECEE_C6F1_4B42_A2F6_145AE632EAA5_.wvu.PrintArea" localSheetId="39" hidden="1">sacapraise!$A$1:$H$24</definedName>
    <definedName name="Z_3F80ECEE_C6F1_4B42_A2F6_145AE632EAA5_.wvu.PrintArea" localSheetId="158" hidden="1">'SCC APPRAISAL COMMITTEE'!$A$1:$H$26</definedName>
    <definedName name="Z_3F80ECEE_C6F1_4B42_A2F6_145AE632EAA5_.wvu.PrintArea" localSheetId="142" hidden="1">SCCCADAC!$A$1:$H$32</definedName>
    <definedName name="Z_3F80ECEE_C6F1_4B42_A2F6_145AE632EAA5_.wvu.PrintArea" localSheetId="143" hidden="1">SCCYA!$A$1:$H$34</definedName>
    <definedName name="Z_3F80ECEE_C6F1_4B42_A2F6_145AE632EAA5_.wvu.PrintArea" localSheetId="147" hidden="1">'SCHOLARSHIP PROG. FOR STUDENTS'!$A$1:$H$29</definedName>
    <definedName name="Z_3F80ECEE_C6F1_4B42_A2F6_145AE632EAA5_.wvu.PrintArea" localSheetId="148" hidden="1">'SCHOLARSHIP PROG. FOR teachers'!$A$1:$H$23</definedName>
    <definedName name="Z_3F80ECEE_C6F1_4B42_A2F6_145AE632EAA5_.wvu.PrintArea" localSheetId="24" hidden="1">SCIHA!$A$1:$H$23</definedName>
    <definedName name="Z_3F80ECEE_C6F1_4B42_A2F6_145AE632EAA5_.wvu.PrintArea" localSheetId="150" hidden="1">'SCIHA (2)'!$A$1:$H$30</definedName>
    <definedName name="Z_3F80ECEE_C6F1_4B42_A2F6_145AE632EAA5_.wvu.PrintArea" localSheetId="18" hidden="1">'SIPA '!$A$1:$H$22</definedName>
    <definedName name="Z_3F80ECEE_C6F1_4B42_A2F6_145AE632EAA5_.wvu.PrintArea" localSheetId="187" hidden="1">'SPECIAL PURPOSE - FINAL 2022'!$C$1:$K$33</definedName>
    <definedName name="Z_3F80ECEE_C6F1_4B42_A2F6_145AE632EAA5_.wvu.PrintArea" localSheetId="145" hidden="1">SPORTS!$A$1:$H$32</definedName>
    <definedName name="Z_3F80ECEE_C6F1_4B42_A2F6_145AE632EAA5_.wvu.PrintArea" localSheetId="68" hidden="1">'STD-HIV'!$A$1:$H$29</definedName>
    <definedName name="Z_3F80ECEE_C6F1_4B42_A2F6_145AE632EAA5_.wvu.PrintArea" localSheetId="49" hidden="1">'summary '!$A$1:$C$24</definedName>
    <definedName name="Z_3F80ECEE_C6F1_4B42_A2F6_145AE632EAA5_.wvu.PrintArea" localSheetId="166" hidden="1">'TASK FORCE RIGHT OF WAY'!$A$1:$H$26</definedName>
    <definedName name="Z_3F80ECEE_C6F1_4B42_A2F6_145AE632EAA5_.wvu.PrintArea" localSheetId="114" hidden="1">'technical&amp;market support '!$A$1:$H$16</definedName>
    <definedName name="Z_3F80ECEE_C6F1_4B42_A2F6_145AE632EAA5_.wvu.PrintArea" localSheetId="146" hidden="1">TOURISM!$A$1:$H$37</definedName>
    <definedName name="Z_3F80ECEE_C6F1_4B42_A2F6_145AE632EAA5_.wvu.PrintArea" localSheetId="169" hidden="1">'TRAFFIC MANAGEMENT AUTHORITY'!$A$1:$H$28</definedName>
    <definedName name="Z_3F80ECEE_C6F1_4B42_A2F6_145AE632EAA5_.wvu.PrintArea" localSheetId="116" hidden="1">'vegetable production'!$A$1:$H$17</definedName>
    <definedName name="Z_3F80ECEE_C6F1_4B42_A2F6_145AE632EAA5_.wvu.PrintArea" localSheetId="70" hidden="1">'VOLUNTARY BLOOD DONATION'!$A$1:$H$24</definedName>
    <definedName name="Z_3F80ECEE_C6F1_4B42_A2F6_145AE632EAA5_.wvu.PrintArea" localSheetId="71" hidden="1">ZOD!$A$1:$H$27</definedName>
    <definedName name="Z_3F80ECEE_C6F1_4B42_A2F6_145AE632EAA5_.wvu.Rows" localSheetId="130" hidden="1">'CMO-plantilla'!#REF!</definedName>
  </definedNames>
  <calcPr calcId="152511"/>
</workbook>
</file>

<file path=xl/calcChain.xml><?xml version="1.0" encoding="utf-8"?>
<calcChain xmlns="http://schemas.openxmlformats.org/spreadsheetml/2006/main">
  <c r="Q11" i="188" l="1"/>
  <c r="Q25" i="188" s="1"/>
  <c r="Q12" i="188"/>
  <c r="Q13" i="188"/>
  <c r="R13" i="188"/>
  <c r="Q14" i="188"/>
  <c r="K15" i="188"/>
  <c r="Q15" i="188"/>
  <c r="Q16" i="188"/>
  <c r="Q17" i="188"/>
  <c r="R17" i="188"/>
  <c r="G18" i="188"/>
  <c r="G15" i="188" s="1"/>
  <c r="G32" i="188" s="1"/>
  <c r="H18" i="188"/>
  <c r="H15" i="188" s="1"/>
  <c r="I18" i="188"/>
  <c r="J18" i="188"/>
  <c r="G20" i="188"/>
  <c r="H20" i="188"/>
  <c r="I20" i="188"/>
  <c r="J20" i="188"/>
  <c r="H23" i="188"/>
  <c r="J23" i="188"/>
  <c r="J15" i="188" s="1"/>
  <c r="G24" i="188"/>
  <c r="I24" i="188"/>
  <c r="J24" i="188"/>
  <c r="K24" i="188"/>
  <c r="R25" i="188"/>
  <c r="H28" i="188"/>
  <c r="H24" i="188" s="1"/>
  <c r="G29" i="188"/>
  <c r="H29" i="188"/>
  <c r="J29" i="188"/>
  <c r="K29" i="188"/>
  <c r="I30" i="188"/>
  <c r="I31" i="188"/>
  <c r="I29" i="188" s="1"/>
  <c r="K32" i="188"/>
  <c r="H32" i="188" l="1"/>
  <c r="J32" i="188"/>
  <c r="I23" i="188"/>
  <c r="I15" i="188" s="1"/>
  <c r="I32" i="188" s="1"/>
  <c r="D18" i="187"/>
  <c r="E18" i="187"/>
  <c r="E16" i="187" s="1"/>
  <c r="G18" i="187"/>
  <c r="G16" i="187" s="1"/>
  <c r="H18" i="187"/>
  <c r="I18" i="187"/>
  <c r="D20" i="187"/>
  <c r="E20" i="187"/>
  <c r="G20" i="187"/>
  <c r="F20" i="187" s="1"/>
  <c r="H20" i="187"/>
  <c r="D21" i="187"/>
  <c r="D16" i="187" s="1"/>
  <c r="E21" i="187"/>
  <c r="F21" i="187"/>
  <c r="G21" i="187"/>
  <c r="H21" i="187"/>
  <c r="D22" i="187"/>
  <c r="E22" i="187"/>
  <c r="G22" i="187"/>
  <c r="F22" i="187" s="1"/>
  <c r="H22" i="187"/>
  <c r="I22" i="187"/>
  <c r="D23" i="187"/>
  <c r="E23" i="187"/>
  <c r="G23" i="187"/>
  <c r="F23" i="187" s="1"/>
  <c r="H23" i="187"/>
  <c r="D24" i="187"/>
  <c r="E24" i="187"/>
  <c r="F24" i="187"/>
  <c r="G24" i="187"/>
  <c r="H24" i="187"/>
  <c r="I24" i="187" s="1"/>
  <c r="D26" i="187"/>
  <c r="E26" i="187"/>
  <c r="F26" i="187"/>
  <c r="G26" i="187"/>
  <c r="I26" i="187"/>
  <c r="J26" i="187"/>
  <c r="D27" i="187"/>
  <c r="E27" i="187"/>
  <c r="F27" i="187"/>
  <c r="G27" i="187"/>
  <c r="H27" i="187"/>
  <c r="D28" i="187"/>
  <c r="E28" i="187"/>
  <c r="G28" i="187"/>
  <c r="F28" i="187" s="1"/>
  <c r="I28" i="187"/>
  <c r="D29" i="187"/>
  <c r="E29" i="187"/>
  <c r="F29" i="187"/>
  <c r="G29" i="187"/>
  <c r="H29" i="187"/>
  <c r="D31" i="187"/>
  <c r="E31" i="187"/>
  <c r="F31" i="187"/>
  <c r="G31" i="187"/>
  <c r="D32" i="187"/>
  <c r="E32" i="187"/>
  <c r="F32" i="187"/>
  <c r="G32" i="187"/>
  <c r="H32" i="187"/>
  <c r="D33" i="187"/>
  <c r="E33" i="187"/>
  <c r="G33" i="187"/>
  <c r="F33" i="187" s="1"/>
  <c r="E34" i="187"/>
  <c r="F34" i="187"/>
  <c r="G34" i="187"/>
  <c r="D36" i="187"/>
  <c r="E36" i="187"/>
  <c r="F36" i="187"/>
  <c r="G36" i="187"/>
  <c r="H36" i="187"/>
  <c r="D37" i="187"/>
  <c r="F37" i="187"/>
  <c r="D39" i="187"/>
  <c r="D38" i="187" s="1"/>
  <c r="E39" i="187"/>
  <c r="F39" i="187"/>
  <c r="G39" i="187"/>
  <c r="H39" i="187"/>
  <c r="H38" i="187" s="1"/>
  <c r="D40" i="187"/>
  <c r="E40" i="187"/>
  <c r="E38" i="187" s="1"/>
  <c r="G40" i="187"/>
  <c r="F40" i="187" s="1"/>
  <c r="H40" i="187"/>
  <c r="D41" i="187"/>
  <c r="E41" i="187"/>
  <c r="F41" i="187"/>
  <c r="G41" i="187"/>
  <c r="H41" i="187"/>
  <c r="D42" i="187"/>
  <c r="E42" i="187"/>
  <c r="G42" i="187"/>
  <c r="F42" i="187" s="1"/>
  <c r="H42" i="187"/>
  <c r="D43" i="187"/>
  <c r="E43" i="187"/>
  <c r="F43" i="187"/>
  <c r="G43" i="187"/>
  <c r="H43" i="187"/>
  <c r="D44" i="187"/>
  <c r="E44" i="187"/>
  <c r="G44" i="187"/>
  <c r="F44" i="187" s="1"/>
  <c r="H44" i="187"/>
  <c r="D45" i="187"/>
  <c r="E45" i="187"/>
  <c r="F45" i="187"/>
  <c r="G45" i="187"/>
  <c r="H45" i="187"/>
  <c r="D46" i="187"/>
  <c r="E46" i="187"/>
  <c r="G46" i="187"/>
  <c r="F46" i="187" s="1"/>
  <c r="H46" i="187"/>
  <c r="H16" i="187" l="1"/>
  <c r="E47" i="187"/>
  <c r="I29" i="187"/>
  <c r="D47" i="187"/>
  <c r="F38" i="187"/>
  <c r="H47" i="187"/>
  <c r="F18" i="187"/>
  <c r="F16" i="187" s="1"/>
  <c r="G38" i="187"/>
  <c r="G47" i="187" s="1"/>
  <c r="D17" i="186"/>
  <c r="E17" i="186"/>
  <c r="F17" i="186"/>
  <c r="G17" i="186"/>
  <c r="H17" i="186"/>
  <c r="D23" i="186"/>
  <c r="E23" i="186"/>
  <c r="F23" i="186"/>
  <c r="G23" i="186"/>
  <c r="H23" i="186"/>
  <c r="H17" i="185"/>
  <c r="D18" i="185"/>
  <c r="D17" i="185" s="1"/>
  <c r="E18" i="185"/>
  <c r="E17" i="185" s="1"/>
  <c r="G18" i="185"/>
  <c r="G17" i="185" s="1"/>
  <c r="D19" i="185"/>
  <c r="E19" i="185"/>
  <c r="G19" i="185"/>
  <c r="G22" i="185" s="1"/>
  <c r="D20" i="185"/>
  <c r="D22" i="185" s="1"/>
  <c r="E20" i="185"/>
  <c r="G20" i="185"/>
  <c r="F20" i="185" s="1"/>
  <c r="D21" i="185"/>
  <c r="E21" i="185"/>
  <c r="G21" i="185"/>
  <c r="F21" i="185" s="1"/>
  <c r="E22" i="185"/>
  <c r="H22" i="185"/>
  <c r="D17" i="184"/>
  <c r="E17" i="184"/>
  <c r="G17" i="184"/>
  <c r="H17" i="184"/>
  <c r="D18" i="184"/>
  <c r="E18" i="184"/>
  <c r="F18" i="184"/>
  <c r="F17" i="184" s="1"/>
  <c r="G18" i="184"/>
  <c r="D19" i="184"/>
  <c r="E19" i="184"/>
  <c r="F19" i="184"/>
  <c r="G19" i="184"/>
  <c r="D20" i="184"/>
  <c r="E20" i="184"/>
  <c r="F20" i="184"/>
  <c r="G20" i="184"/>
  <c r="D22" i="184"/>
  <c r="E22" i="184"/>
  <c r="F22" i="184"/>
  <c r="G22" i="184"/>
  <c r="D23" i="184"/>
  <c r="E23" i="184"/>
  <c r="F23" i="184"/>
  <c r="G23" i="184"/>
  <c r="H23" i="184"/>
  <c r="H16" i="183"/>
  <c r="D17" i="183"/>
  <c r="E17" i="183"/>
  <c r="E16" i="183" s="1"/>
  <c r="G17" i="183"/>
  <c r="G29" i="183" s="1"/>
  <c r="D18" i="183"/>
  <c r="E18" i="183"/>
  <c r="G18" i="183"/>
  <c r="F18" i="183" s="1"/>
  <c r="D19" i="183"/>
  <c r="E19" i="183"/>
  <c r="G19" i="183"/>
  <c r="F19" i="183" s="1"/>
  <c r="D20" i="183"/>
  <c r="E20" i="183"/>
  <c r="G20" i="183"/>
  <c r="F20" i="183" s="1"/>
  <c r="D21" i="183"/>
  <c r="E21" i="183"/>
  <c r="G21" i="183"/>
  <c r="F21" i="183" s="1"/>
  <c r="D22" i="183"/>
  <c r="E22" i="183"/>
  <c r="G22" i="183"/>
  <c r="F22" i="183" s="1"/>
  <c r="D23" i="183"/>
  <c r="E23" i="183"/>
  <c r="G23" i="183"/>
  <c r="F23" i="183" s="1"/>
  <c r="D24" i="183"/>
  <c r="E24" i="183"/>
  <c r="G24" i="183"/>
  <c r="F24" i="183" s="1"/>
  <c r="D26" i="183"/>
  <c r="E26" i="183"/>
  <c r="G26" i="183"/>
  <c r="F26" i="183" s="1"/>
  <c r="H26" i="183"/>
  <c r="D27" i="183"/>
  <c r="D16" i="183" s="1"/>
  <c r="E27" i="183"/>
  <c r="F27" i="183"/>
  <c r="G27" i="183"/>
  <c r="D28" i="183"/>
  <c r="E28" i="183"/>
  <c r="F28" i="183"/>
  <c r="G28" i="183"/>
  <c r="D29" i="183"/>
  <c r="H29" i="183"/>
  <c r="D18" i="182"/>
  <c r="H18" i="182"/>
  <c r="D19" i="182"/>
  <c r="E19" i="182"/>
  <c r="E18" i="182" s="1"/>
  <c r="G19" i="182"/>
  <c r="G18" i="182" s="1"/>
  <c r="E20" i="182"/>
  <c r="G20" i="182"/>
  <c r="H20" i="182"/>
  <c r="D21" i="182"/>
  <c r="D20" i="182" s="1"/>
  <c r="D32" i="182" s="1"/>
  <c r="E21" i="182"/>
  <c r="F21" i="182"/>
  <c r="F20" i="182" s="1"/>
  <c r="G21" i="182"/>
  <c r="D22" i="182"/>
  <c r="E22" i="182"/>
  <c r="F22" i="182"/>
  <c r="G22" i="182"/>
  <c r="D23" i="182"/>
  <c r="E23" i="182"/>
  <c r="F23" i="182"/>
  <c r="G23" i="182"/>
  <c r="D24" i="182"/>
  <c r="E24" i="182"/>
  <c r="F24" i="182"/>
  <c r="G24" i="182"/>
  <c r="D25" i="182"/>
  <c r="E25" i="182"/>
  <c r="F25" i="182"/>
  <c r="G25" i="182"/>
  <c r="D26" i="182"/>
  <c r="E26" i="182"/>
  <c r="F26" i="182"/>
  <c r="G26" i="182"/>
  <c r="D27" i="182"/>
  <c r="E27" i="182"/>
  <c r="F27" i="182"/>
  <c r="G27" i="182"/>
  <c r="D28" i="182"/>
  <c r="E28" i="182"/>
  <c r="F28" i="182"/>
  <c r="G28" i="182"/>
  <c r="D30" i="182"/>
  <c r="E30" i="182"/>
  <c r="F30" i="182"/>
  <c r="G30" i="182"/>
  <c r="D31" i="182"/>
  <c r="E31" i="182"/>
  <c r="F31" i="182"/>
  <c r="G31" i="182"/>
  <c r="H32" i="182"/>
  <c r="D17" i="181"/>
  <c r="H17" i="181"/>
  <c r="D18" i="181"/>
  <c r="E18" i="181"/>
  <c r="E17" i="181" s="1"/>
  <c r="E26" i="181" s="1"/>
  <c r="G18" i="181"/>
  <c r="G17" i="181" s="1"/>
  <c r="G26" i="181" s="1"/>
  <c r="E19" i="181"/>
  <c r="G19" i="181"/>
  <c r="H19" i="181"/>
  <c r="D20" i="181"/>
  <c r="D19" i="181" s="1"/>
  <c r="D26" i="181" s="1"/>
  <c r="E20" i="181"/>
  <c r="F20" i="181"/>
  <c r="F19" i="181" s="1"/>
  <c r="G20" i="181"/>
  <c r="D21" i="181"/>
  <c r="E21" i="181"/>
  <c r="F21" i="181"/>
  <c r="G21" i="181"/>
  <c r="D22" i="181"/>
  <c r="E22" i="181"/>
  <c r="F22" i="181"/>
  <c r="G22" i="181"/>
  <c r="D23" i="181"/>
  <c r="E23" i="181"/>
  <c r="F23" i="181"/>
  <c r="G23" i="181"/>
  <c r="D24" i="181"/>
  <c r="E24" i="181"/>
  <c r="F24" i="181"/>
  <c r="G24" i="181"/>
  <c r="D25" i="181"/>
  <c r="E25" i="181"/>
  <c r="F25" i="181"/>
  <c r="G25" i="181"/>
  <c r="H26" i="181"/>
  <c r="D16" i="180"/>
  <c r="H16" i="180"/>
  <c r="D17" i="180"/>
  <c r="E17" i="180"/>
  <c r="E16" i="180" s="1"/>
  <c r="G17" i="180"/>
  <c r="G16" i="180" s="1"/>
  <c r="D18" i="180"/>
  <c r="E18" i="180"/>
  <c r="G18" i="180"/>
  <c r="F18" i="180" s="1"/>
  <c r="D19" i="180"/>
  <c r="E19" i="180"/>
  <c r="G19" i="180"/>
  <c r="F19" i="180" s="1"/>
  <c r="D20" i="180"/>
  <c r="E20" i="180"/>
  <c r="G20" i="180"/>
  <c r="F20" i="180" s="1"/>
  <c r="E21" i="180"/>
  <c r="E23" i="180" s="1"/>
  <c r="G21" i="180"/>
  <c r="H21" i="180"/>
  <c r="D22" i="180"/>
  <c r="D21" i="180" s="1"/>
  <c r="D23" i="180" s="1"/>
  <c r="F22" i="180"/>
  <c r="F21" i="180" s="1"/>
  <c r="H23" i="180"/>
  <c r="D16" i="179"/>
  <c r="H16" i="179"/>
  <c r="D17" i="179"/>
  <c r="E17" i="179"/>
  <c r="E16" i="179" s="1"/>
  <c r="G17" i="179"/>
  <c r="G16" i="179" s="1"/>
  <c r="D18" i="179"/>
  <c r="E18" i="179"/>
  <c r="G18" i="179"/>
  <c r="F18" i="179" s="1"/>
  <c r="D19" i="179"/>
  <c r="E19" i="179"/>
  <c r="G19" i="179"/>
  <c r="F19" i="179" s="1"/>
  <c r="D20" i="179"/>
  <c r="E20" i="179"/>
  <c r="G20" i="179"/>
  <c r="F20" i="179" s="1"/>
  <c r="D21" i="179"/>
  <c r="E21" i="179"/>
  <c r="G21" i="179"/>
  <c r="F21" i="179" s="1"/>
  <c r="D22" i="179"/>
  <c r="E22" i="179"/>
  <c r="G22" i="179"/>
  <c r="H22" i="179"/>
  <c r="D17" i="178"/>
  <c r="D24" i="178" s="1"/>
  <c r="H17" i="178"/>
  <c r="H24" i="178" s="1"/>
  <c r="D18" i="178"/>
  <c r="E18" i="178"/>
  <c r="E17" i="178" s="1"/>
  <c r="E24" i="178" s="1"/>
  <c r="G18" i="178"/>
  <c r="G17" i="178" s="1"/>
  <c r="G24" i="178" s="1"/>
  <c r="D19" i="178"/>
  <c r="E19" i="178"/>
  <c r="G19" i="178"/>
  <c r="F19" i="178" s="1"/>
  <c r="D20" i="178"/>
  <c r="E20" i="178"/>
  <c r="G20" i="178"/>
  <c r="F20" i="178" s="1"/>
  <c r="D21" i="178"/>
  <c r="E21" i="178"/>
  <c r="G21" i="178"/>
  <c r="F21" i="178" s="1"/>
  <c r="D22" i="178"/>
  <c r="E22" i="178"/>
  <c r="G22" i="178"/>
  <c r="F22" i="178" s="1"/>
  <c r="D23" i="178"/>
  <c r="E23" i="178"/>
  <c r="G23" i="178"/>
  <c r="F23" i="178" s="1"/>
  <c r="D16" i="177"/>
  <c r="H16" i="177"/>
  <c r="D17" i="177"/>
  <c r="E17" i="177"/>
  <c r="E16" i="177" s="1"/>
  <c r="G17" i="177"/>
  <c r="G16" i="177" s="1"/>
  <c r="D18" i="177"/>
  <c r="E18" i="177"/>
  <c r="G18" i="177"/>
  <c r="F18" i="177" s="1"/>
  <c r="D19" i="177"/>
  <c r="E19" i="177"/>
  <c r="G19" i="177"/>
  <c r="F19" i="177" s="1"/>
  <c r="D20" i="177"/>
  <c r="E20" i="177"/>
  <c r="H20" i="177"/>
  <c r="D16" i="176"/>
  <c r="E16" i="176"/>
  <c r="F16" i="176"/>
  <c r="G16" i="176"/>
  <c r="H16" i="176"/>
  <c r="D17" i="176"/>
  <c r="E17" i="176"/>
  <c r="F17" i="176"/>
  <c r="G17" i="176"/>
  <c r="D18" i="176"/>
  <c r="E18" i="176"/>
  <c r="F18" i="176"/>
  <c r="G18" i="176"/>
  <c r="D19" i="176"/>
  <c r="E19" i="176"/>
  <c r="F19" i="176"/>
  <c r="G19" i="176"/>
  <c r="D20" i="176"/>
  <c r="E20" i="176"/>
  <c r="F20" i="176"/>
  <c r="G20" i="176"/>
  <c r="D21" i="176"/>
  <c r="E21" i="176"/>
  <c r="F21" i="176"/>
  <c r="G21" i="176"/>
  <c r="D22" i="176"/>
  <c r="E22" i="176"/>
  <c r="F22" i="176"/>
  <c r="G22" i="176"/>
  <c r="D23" i="176"/>
  <c r="E23" i="176"/>
  <c r="F23" i="176"/>
  <c r="G23" i="176"/>
  <c r="H23" i="176"/>
  <c r="G16" i="175"/>
  <c r="H16" i="175"/>
  <c r="D18" i="175"/>
  <c r="D16" i="175" s="1"/>
  <c r="E18" i="175"/>
  <c r="E16" i="175" s="1"/>
  <c r="F18" i="175"/>
  <c r="F16" i="175" s="1"/>
  <c r="G18" i="175"/>
  <c r="D20" i="175"/>
  <c r="D19" i="175" s="1"/>
  <c r="D32" i="175" s="1"/>
  <c r="E20" i="175"/>
  <c r="E19" i="175" s="1"/>
  <c r="E32" i="175" s="1"/>
  <c r="G20" i="175"/>
  <c r="G19" i="175" s="1"/>
  <c r="G32" i="175" s="1"/>
  <c r="D21" i="175"/>
  <c r="E21" i="175"/>
  <c r="G21" i="175"/>
  <c r="F21" i="175" s="1"/>
  <c r="D22" i="175"/>
  <c r="E22" i="175"/>
  <c r="G22" i="175"/>
  <c r="F22" i="175" s="1"/>
  <c r="D23" i="175"/>
  <c r="E23" i="175"/>
  <c r="G23" i="175"/>
  <c r="F23" i="175" s="1"/>
  <c r="D24" i="175"/>
  <c r="E24" i="175"/>
  <c r="G24" i="175"/>
  <c r="F24" i="175" s="1"/>
  <c r="D25" i="175"/>
  <c r="E25" i="175"/>
  <c r="G25" i="175"/>
  <c r="F25" i="175" s="1"/>
  <c r="D26" i="175"/>
  <c r="E26" i="175"/>
  <c r="G26" i="175"/>
  <c r="F26" i="175" s="1"/>
  <c r="D28" i="175"/>
  <c r="E28" i="175"/>
  <c r="G28" i="175"/>
  <c r="F28" i="175" s="1"/>
  <c r="H28" i="175"/>
  <c r="H19" i="175" s="1"/>
  <c r="H32" i="175" s="1"/>
  <c r="D29" i="175"/>
  <c r="E29" i="175"/>
  <c r="G29" i="175"/>
  <c r="D30" i="175"/>
  <c r="E30" i="175"/>
  <c r="G30" i="175"/>
  <c r="F30" i="175" s="1"/>
  <c r="D31" i="175"/>
  <c r="E31" i="175"/>
  <c r="G31" i="175"/>
  <c r="F31" i="175" s="1"/>
  <c r="F47" i="187" l="1"/>
  <c r="F19" i="185"/>
  <c r="F18" i="185"/>
  <c r="E29" i="183"/>
  <c r="F17" i="183"/>
  <c r="G16" i="183"/>
  <c r="F32" i="182"/>
  <c r="G32" i="182"/>
  <c r="E32" i="182"/>
  <c r="F19" i="182"/>
  <c r="F18" i="182" s="1"/>
  <c r="F18" i="181"/>
  <c r="F17" i="181" s="1"/>
  <c r="F26" i="181" s="1"/>
  <c r="G23" i="180"/>
  <c r="F17" i="180"/>
  <c r="F16" i="180" s="1"/>
  <c r="F23" i="180" s="1"/>
  <c r="F17" i="179"/>
  <c r="F18" i="178"/>
  <c r="F17" i="178" s="1"/>
  <c r="F24" i="178" s="1"/>
  <c r="G20" i="177"/>
  <c r="F17" i="177"/>
  <c r="F20" i="175"/>
  <c r="F19" i="175" s="1"/>
  <c r="F32" i="175" s="1"/>
  <c r="F17" i="185" l="1"/>
  <c r="F22" i="185"/>
  <c r="F29" i="183"/>
  <c r="F16" i="183"/>
  <c r="F16" i="179"/>
  <c r="F22" i="179"/>
  <c r="F16" i="177"/>
  <c r="F20" i="177"/>
  <c r="D16" i="173" l="1"/>
  <c r="E16" i="173"/>
  <c r="F16" i="173"/>
  <c r="F21" i="173" s="1"/>
  <c r="G16" i="173"/>
  <c r="H16" i="173"/>
  <c r="D19" i="173"/>
  <c r="E19" i="173"/>
  <c r="E21" i="173" s="1"/>
  <c r="F19" i="173"/>
  <c r="G19" i="173"/>
  <c r="G21" i="173" s="1"/>
  <c r="H19" i="173"/>
  <c r="D21" i="173"/>
  <c r="H21" i="173"/>
  <c r="D18" i="172"/>
  <c r="E18" i="172"/>
  <c r="G18" i="172"/>
  <c r="H18" i="172"/>
  <c r="H17" i="172" s="1"/>
  <c r="D19" i="172"/>
  <c r="E19" i="172"/>
  <c r="G19" i="172"/>
  <c r="D20" i="172"/>
  <c r="E20" i="172"/>
  <c r="G20" i="172"/>
  <c r="H20" i="172"/>
  <c r="H30" i="172" s="1"/>
  <c r="D21" i="172"/>
  <c r="E21" i="172"/>
  <c r="G21" i="172"/>
  <c r="H21" i="172"/>
  <c r="D22" i="172"/>
  <c r="E22" i="172"/>
  <c r="F22" i="172" s="1"/>
  <c r="G22" i="172"/>
  <c r="H22" i="172"/>
  <c r="E23" i="172"/>
  <c r="F23" i="172" s="1"/>
  <c r="G23" i="172"/>
  <c r="H23" i="172"/>
  <c r="D24" i="172"/>
  <c r="E24" i="172"/>
  <c r="G24" i="172"/>
  <c r="D26" i="172"/>
  <c r="E26" i="172"/>
  <c r="F26" i="172" s="1"/>
  <c r="G26" i="172"/>
  <c r="H26" i="172"/>
  <c r="F28" i="172"/>
  <c r="G28" i="172"/>
  <c r="D29" i="172"/>
  <c r="E29" i="172"/>
  <c r="F29" i="172"/>
  <c r="G29" i="172"/>
  <c r="H29" i="172"/>
  <c r="D19" i="171"/>
  <c r="E19" i="171"/>
  <c r="G19" i="171"/>
  <c r="H19" i="171"/>
  <c r="H18" i="171" s="1"/>
  <c r="D20" i="171"/>
  <c r="E20" i="171"/>
  <c r="G20" i="171"/>
  <c r="H20" i="171"/>
  <c r="D21" i="171"/>
  <c r="E21" i="171"/>
  <c r="F21" i="171" s="1"/>
  <c r="G21" i="171"/>
  <c r="H21" i="171"/>
  <c r="D22" i="171"/>
  <c r="E22" i="171"/>
  <c r="F22" i="171" s="1"/>
  <c r="G22" i="171"/>
  <c r="H22" i="171"/>
  <c r="D23" i="171"/>
  <c r="E23" i="171"/>
  <c r="G23" i="171"/>
  <c r="H23" i="171"/>
  <c r="D25" i="171"/>
  <c r="E25" i="171"/>
  <c r="G25" i="171"/>
  <c r="H25" i="171"/>
  <c r="D27" i="171"/>
  <c r="E27" i="171"/>
  <c r="F27" i="171" s="1"/>
  <c r="G27" i="171"/>
  <c r="H27" i="171"/>
  <c r="D28" i="171"/>
  <c r="E28" i="171"/>
  <c r="F28" i="171" s="1"/>
  <c r="G28" i="171"/>
  <c r="H28" i="171"/>
  <c r="D29" i="171"/>
  <c r="H29" i="171"/>
  <c r="D18" i="170"/>
  <c r="E18" i="170"/>
  <c r="G18" i="170"/>
  <c r="H18" i="170"/>
  <c r="H17" i="170" s="1"/>
  <c r="D19" i="170"/>
  <c r="E19" i="170"/>
  <c r="G19" i="170"/>
  <c r="F19" i="170" s="1"/>
  <c r="H19" i="170"/>
  <c r="D20" i="170"/>
  <c r="E20" i="170"/>
  <c r="G20" i="170"/>
  <c r="F20" i="170" s="1"/>
  <c r="H20" i="170"/>
  <c r="D22" i="170"/>
  <c r="E22" i="170"/>
  <c r="F22" i="170"/>
  <c r="G22" i="170"/>
  <c r="D23" i="170"/>
  <c r="E23" i="170"/>
  <c r="F23" i="170"/>
  <c r="G23" i="170"/>
  <c r="H23" i="170"/>
  <c r="D24" i="170"/>
  <c r="E24" i="170"/>
  <c r="H24" i="170"/>
  <c r="D18" i="169"/>
  <c r="E18" i="169"/>
  <c r="G18" i="169"/>
  <c r="D19" i="169"/>
  <c r="E19" i="169"/>
  <c r="G19" i="169"/>
  <c r="F19" i="169" s="1"/>
  <c r="D20" i="169"/>
  <c r="E20" i="169"/>
  <c r="G20" i="169"/>
  <c r="D21" i="169"/>
  <c r="E21" i="169"/>
  <c r="G21" i="169"/>
  <c r="D22" i="169"/>
  <c r="E22" i="169"/>
  <c r="G22" i="169"/>
  <c r="F22" i="169" s="1"/>
  <c r="H22" i="169"/>
  <c r="H17" i="169" s="1"/>
  <c r="D23" i="169"/>
  <c r="E23" i="169"/>
  <c r="G23" i="169"/>
  <c r="F23" i="169" s="1"/>
  <c r="H23" i="169"/>
  <c r="D24" i="169"/>
  <c r="E24" i="169"/>
  <c r="F24" i="169"/>
  <c r="G24" i="169"/>
  <c r="H24" i="169"/>
  <c r="D25" i="169"/>
  <c r="E25" i="169"/>
  <c r="F25" i="169" s="1"/>
  <c r="G25" i="169"/>
  <c r="D26" i="169"/>
  <c r="E26" i="169"/>
  <c r="G26" i="169"/>
  <c r="D27" i="169"/>
  <c r="E27" i="169"/>
  <c r="G27" i="169"/>
  <c r="D28" i="169"/>
  <c r="E28" i="169"/>
  <c r="F28" i="169" s="1"/>
  <c r="G28" i="169"/>
  <c r="H28" i="169"/>
  <c r="D29" i="169"/>
  <c r="E29" i="169"/>
  <c r="G29" i="169"/>
  <c r="D30" i="169"/>
  <c r="E30" i="169"/>
  <c r="G30" i="169"/>
  <c r="D31" i="169"/>
  <c r="E31" i="169"/>
  <c r="G31" i="169"/>
  <c r="F31" i="169" s="1"/>
  <c r="D32" i="169"/>
  <c r="E32" i="169"/>
  <c r="G32" i="169"/>
  <c r="F32" i="169" s="1"/>
  <c r="D33" i="169"/>
  <c r="E33" i="169"/>
  <c r="H33" i="169"/>
  <c r="H35" i="169" s="1"/>
  <c r="G34" i="169"/>
  <c r="G33" i="169" s="1"/>
  <c r="H17" i="168"/>
  <c r="D18" i="168"/>
  <c r="D17" i="168" s="1"/>
  <c r="E18" i="168"/>
  <c r="G18" i="168"/>
  <c r="H18" i="168"/>
  <c r="D19" i="168"/>
  <c r="E19" i="168"/>
  <c r="F19" i="168"/>
  <c r="G19" i="168"/>
  <c r="H19" i="168"/>
  <c r="D20" i="168"/>
  <c r="E20" i="168"/>
  <c r="E26" i="168" s="1"/>
  <c r="G20" i="168"/>
  <c r="H20" i="168"/>
  <c r="D21" i="168"/>
  <c r="E21" i="168"/>
  <c r="F21" i="168"/>
  <c r="G21" i="168"/>
  <c r="H21" i="168"/>
  <c r="D22" i="168"/>
  <c r="E22" i="168"/>
  <c r="G22" i="168"/>
  <c r="F22" i="168" s="1"/>
  <c r="D24" i="168"/>
  <c r="F24" i="168"/>
  <c r="H24" i="168"/>
  <c r="D25" i="168"/>
  <c r="E25" i="168"/>
  <c r="F25" i="168"/>
  <c r="G25" i="168"/>
  <c r="H25" i="168"/>
  <c r="G26" i="168"/>
  <c r="H26" i="168"/>
  <c r="D18" i="167"/>
  <c r="E18" i="167"/>
  <c r="G18" i="167"/>
  <c r="H18" i="167"/>
  <c r="H17" i="167" s="1"/>
  <c r="D19" i="167"/>
  <c r="E19" i="167"/>
  <c r="G19" i="167"/>
  <c r="F19" i="167" s="1"/>
  <c r="D20" i="167"/>
  <c r="E20" i="167"/>
  <c r="G20" i="167"/>
  <c r="F20" i="167" s="1"/>
  <c r="H20" i="167"/>
  <c r="D21" i="167"/>
  <c r="E21" i="167"/>
  <c r="G21" i="167"/>
  <c r="F21" i="167" s="1"/>
  <c r="D18" i="166"/>
  <c r="E18" i="166"/>
  <c r="G18" i="166"/>
  <c r="H18" i="166"/>
  <c r="H17" i="166" s="1"/>
  <c r="H37" i="166" s="1"/>
  <c r="D19" i="166"/>
  <c r="E19" i="166"/>
  <c r="G19" i="166"/>
  <c r="F19" i="166" s="1"/>
  <c r="H19" i="166"/>
  <c r="D20" i="166"/>
  <c r="E20" i="166"/>
  <c r="G20" i="166"/>
  <c r="F20" i="166" s="1"/>
  <c r="H20" i="166"/>
  <c r="D22" i="166"/>
  <c r="E22" i="166"/>
  <c r="F22" i="166"/>
  <c r="G22" i="166"/>
  <c r="D23" i="166"/>
  <c r="E23" i="166"/>
  <c r="F23" i="166"/>
  <c r="G23" i="166"/>
  <c r="D24" i="166"/>
  <c r="E24" i="166"/>
  <c r="F24" i="166"/>
  <c r="G24" i="166"/>
  <c r="H24" i="166"/>
  <c r="D25" i="166"/>
  <c r="E25" i="166"/>
  <c r="G25" i="166"/>
  <c r="D26" i="166"/>
  <c r="E26" i="166"/>
  <c r="G26" i="166"/>
  <c r="F26" i="166" s="1"/>
  <c r="H26" i="166"/>
  <c r="E27" i="166"/>
  <c r="G27" i="166"/>
  <c r="F27" i="166" s="1"/>
  <c r="H27" i="166"/>
  <c r="D28" i="166"/>
  <c r="E28" i="166"/>
  <c r="G28" i="166"/>
  <c r="F28" i="166" s="1"/>
  <c r="H28" i="166"/>
  <c r="D30" i="166"/>
  <c r="E30" i="166"/>
  <c r="G30" i="166"/>
  <c r="F30" i="166" s="1"/>
  <c r="H30" i="166"/>
  <c r="D32" i="166"/>
  <c r="E32" i="166"/>
  <c r="F32" i="166"/>
  <c r="G32" i="166"/>
  <c r="D33" i="166"/>
  <c r="E33" i="166"/>
  <c r="F33" i="166"/>
  <c r="G33" i="166"/>
  <c r="D34" i="166"/>
  <c r="E34" i="166"/>
  <c r="F34" i="166"/>
  <c r="G34" i="166"/>
  <c r="H34" i="166"/>
  <c r="E35" i="166"/>
  <c r="G35" i="166"/>
  <c r="H35" i="166"/>
  <c r="D36" i="166"/>
  <c r="D35" i="166" s="1"/>
  <c r="F36" i="166"/>
  <c r="F35" i="166" s="1"/>
  <c r="H17" i="165"/>
  <c r="D18" i="165"/>
  <c r="E18" i="165"/>
  <c r="G18" i="165"/>
  <c r="D19" i="165"/>
  <c r="E19" i="165"/>
  <c r="G19" i="165"/>
  <c r="D20" i="165"/>
  <c r="E20" i="165"/>
  <c r="G20" i="165"/>
  <c r="D21" i="165"/>
  <c r="E21" i="165"/>
  <c r="G21" i="165"/>
  <c r="F21" i="165" s="1"/>
  <c r="D22" i="165"/>
  <c r="E22" i="165"/>
  <c r="G22" i="165"/>
  <c r="F22" i="165" s="1"/>
  <c r="D23" i="165"/>
  <c r="E23" i="165"/>
  <c r="G23" i="165"/>
  <c r="D24" i="165"/>
  <c r="E24" i="165"/>
  <c r="G24" i="165"/>
  <c r="H25" i="165"/>
  <c r="H27" i="165" s="1"/>
  <c r="D26" i="165"/>
  <c r="D25" i="165" s="1"/>
  <c r="E26" i="165"/>
  <c r="E25" i="165" s="1"/>
  <c r="G26" i="165"/>
  <c r="G25" i="165" s="1"/>
  <c r="D17" i="164"/>
  <c r="H17" i="164"/>
  <c r="E18" i="164"/>
  <c r="E17" i="164" s="1"/>
  <c r="F18" i="164"/>
  <c r="G18" i="164"/>
  <c r="G22" i="164" s="1"/>
  <c r="E19" i="164"/>
  <c r="G19" i="164"/>
  <c r="F19" i="164" s="1"/>
  <c r="E20" i="164"/>
  <c r="G20" i="164"/>
  <c r="F20" i="164" s="1"/>
  <c r="E21" i="164"/>
  <c r="E22" i="164" s="1"/>
  <c r="G21" i="164"/>
  <c r="D22" i="164"/>
  <c r="H22" i="164"/>
  <c r="H17" i="163"/>
  <c r="D18" i="163"/>
  <c r="D17" i="163" s="1"/>
  <c r="E18" i="163"/>
  <c r="E17" i="163" s="1"/>
  <c r="G18" i="163"/>
  <c r="G17" i="163" s="1"/>
  <c r="D19" i="163"/>
  <c r="D20" i="163" s="1"/>
  <c r="E19" i="163"/>
  <c r="G19" i="163"/>
  <c r="F19" i="163" s="1"/>
  <c r="E20" i="163"/>
  <c r="G20" i="163"/>
  <c r="H20" i="163"/>
  <c r="D18" i="162"/>
  <c r="E18" i="162"/>
  <c r="G18" i="162"/>
  <c r="H18" i="162"/>
  <c r="H17" i="162" s="1"/>
  <c r="D19" i="162"/>
  <c r="E19" i="162"/>
  <c r="G19" i="162"/>
  <c r="F19" i="162" s="1"/>
  <c r="H19" i="162"/>
  <c r="D20" i="162"/>
  <c r="E20" i="162"/>
  <c r="G20" i="162"/>
  <c r="F20" i="162" s="1"/>
  <c r="H20" i="162"/>
  <c r="D21" i="162"/>
  <c r="E21" i="162"/>
  <c r="G21" i="162"/>
  <c r="F21" i="162" s="1"/>
  <c r="H21" i="162"/>
  <c r="D22" i="162"/>
  <c r="E22" i="162"/>
  <c r="G22" i="162"/>
  <c r="F22" i="162" s="1"/>
  <c r="D23" i="162"/>
  <c r="E23" i="162"/>
  <c r="G23" i="162"/>
  <c r="F23" i="162" s="1"/>
  <c r="H23" i="162"/>
  <c r="D24" i="162"/>
  <c r="E24" i="162"/>
  <c r="G24" i="162"/>
  <c r="F24" i="162" s="1"/>
  <c r="H24" i="162"/>
  <c r="D26" i="162"/>
  <c r="E26" i="162"/>
  <c r="G26" i="162"/>
  <c r="F26" i="162" s="1"/>
  <c r="H26" i="162"/>
  <c r="D28" i="162"/>
  <c r="E28" i="162"/>
  <c r="G28" i="162"/>
  <c r="F28" i="162" s="1"/>
  <c r="H28" i="162"/>
  <c r="D29" i="162"/>
  <c r="E29" i="162"/>
  <c r="G29" i="162"/>
  <c r="F29" i="162" s="1"/>
  <c r="H29" i="162"/>
  <c r="D30" i="162"/>
  <c r="H30" i="162"/>
  <c r="H17" i="161"/>
  <c r="D18" i="161"/>
  <c r="E18" i="161"/>
  <c r="E17" i="161" s="1"/>
  <c r="G18" i="161"/>
  <c r="G17" i="161" s="1"/>
  <c r="D19" i="161"/>
  <c r="E19" i="161"/>
  <c r="G19" i="161"/>
  <c r="F19" i="161" s="1"/>
  <c r="D20" i="161"/>
  <c r="D22" i="161" s="1"/>
  <c r="E20" i="161"/>
  <c r="G20" i="161"/>
  <c r="F20" i="161" s="1"/>
  <c r="D21" i="161"/>
  <c r="E21" i="161"/>
  <c r="G21" i="161"/>
  <c r="F21" i="161" s="1"/>
  <c r="E22" i="161"/>
  <c r="G22" i="161"/>
  <c r="H22" i="161"/>
  <c r="H17" i="160"/>
  <c r="D18" i="160"/>
  <c r="D17" i="160" s="1"/>
  <c r="E18" i="160"/>
  <c r="G18" i="160"/>
  <c r="G17" i="160" s="1"/>
  <c r="D19" i="160"/>
  <c r="E19" i="160"/>
  <c r="E17" i="160" s="1"/>
  <c r="G19" i="160"/>
  <c r="D20" i="160"/>
  <c r="E20" i="160"/>
  <c r="G20" i="160"/>
  <c r="F20" i="160" s="1"/>
  <c r="D21" i="160"/>
  <c r="E21" i="160"/>
  <c r="G21" i="160"/>
  <c r="F21" i="160" s="1"/>
  <c r="D22" i="160"/>
  <c r="E22" i="160"/>
  <c r="G22" i="160"/>
  <c r="F22" i="160" s="1"/>
  <c r="D23" i="160"/>
  <c r="E23" i="160"/>
  <c r="G23" i="160"/>
  <c r="D25" i="160"/>
  <c r="E25" i="160"/>
  <c r="G25" i="160"/>
  <c r="F25" i="160" s="1"/>
  <c r="H25" i="160"/>
  <c r="D27" i="160"/>
  <c r="E27" i="160"/>
  <c r="F27" i="160"/>
  <c r="G27" i="160"/>
  <c r="D28" i="160"/>
  <c r="E28" i="160"/>
  <c r="F28" i="160"/>
  <c r="G28" i="160"/>
  <c r="H28" i="160"/>
  <c r="D29" i="160"/>
  <c r="E29" i="160"/>
  <c r="G29" i="160"/>
  <c r="H29" i="160"/>
  <c r="H30" i="160"/>
  <c r="D17" i="159"/>
  <c r="E17" i="159"/>
  <c r="G18" i="159"/>
  <c r="H18" i="159"/>
  <c r="F19" i="159"/>
  <c r="G19" i="159"/>
  <c r="H19" i="159"/>
  <c r="H17" i="159" s="1"/>
  <c r="G20" i="159"/>
  <c r="F20" i="159" s="1"/>
  <c r="H20" i="159"/>
  <c r="G21" i="159"/>
  <c r="F21" i="159" s="1"/>
  <c r="H21" i="159"/>
  <c r="D22" i="159"/>
  <c r="E22" i="159"/>
  <c r="D18" i="158"/>
  <c r="E18" i="158"/>
  <c r="G18" i="158"/>
  <c r="H18" i="158"/>
  <c r="H17" i="158" s="1"/>
  <c r="D19" i="158"/>
  <c r="E19" i="158"/>
  <c r="G19" i="158"/>
  <c r="F19" i="158" s="1"/>
  <c r="H19" i="158"/>
  <c r="D20" i="158"/>
  <c r="E20" i="158"/>
  <c r="F20" i="158"/>
  <c r="G20" i="158"/>
  <c r="H20" i="158"/>
  <c r="D21" i="158"/>
  <c r="E21" i="158"/>
  <c r="G21" i="158"/>
  <c r="H21" i="158"/>
  <c r="D22" i="158"/>
  <c r="E22" i="158"/>
  <c r="G22" i="158"/>
  <c r="H22" i="158"/>
  <c r="H17" i="157"/>
  <c r="D18" i="157"/>
  <c r="E18" i="157"/>
  <c r="G18" i="157"/>
  <c r="D19" i="157"/>
  <c r="E19" i="157"/>
  <c r="G19" i="157"/>
  <c r="F19" i="157" s="1"/>
  <c r="D20" i="157"/>
  <c r="E20" i="157"/>
  <c r="G20" i="157"/>
  <c r="D21" i="157"/>
  <c r="E21" i="157"/>
  <c r="G21" i="157"/>
  <c r="F21" i="157" s="1"/>
  <c r="D22" i="157"/>
  <c r="E22" i="157"/>
  <c r="G22" i="157"/>
  <c r="F22" i="157" s="1"/>
  <c r="D23" i="157"/>
  <c r="E23" i="157"/>
  <c r="G23" i="157"/>
  <c r="F23" i="157" s="1"/>
  <c r="D24" i="157"/>
  <c r="E24" i="157"/>
  <c r="G24" i="157"/>
  <c r="D25" i="157"/>
  <c r="E25" i="157"/>
  <c r="G25" i="157"/>
  <c r="F25" i="157" s="1"/>
  <c r="D26" i="157"/>
  <c r="E26" i="157"/>
  <c r="G26" i="157"/>
  <c r="F26" i="157" s="1"/>
  <c r="E27" i="157"/>
  <c r="F27" i="157" s="1"/>
  <c r="G27" i="157"/>
  <c r="D29" i="157"/>
  <c r="E29" i="157"/>
  <c r="F29" i="157" s="1"/>
  <c r="G29" i="157"/>
  <c r="D30" i="157"/>
  <c r="E30" i="157"/>
  <c r="F30" i="157" s="1"/>
  <c r="G30" i="157"/>
  <c r="D31" i="157"/>
  <c r="E31" i="157"/>
  <c r="F31" i="157" s="1"/>
  <c r="G31" i="157"/>
  <c r="H32" i="157"/>
  <c r="H17" i="156"/>
  <c r="D18" i="156"/>
  <c r="D17" i="156" s="1"/>
  <c r="E18" i="156"/>
  <c r="G18" i="156"/>
  <c r="G20" i="156" s="1"/>
  <c r="D19" i="156"/>
  <c r="E19" i="156"/>
  <c r="G19" i="156"/>
  <c r="F19" i="156" s="1"/>
  <c r="D20" i="156"/>
  <c r="H20" i="156"/>
  <c r="H17" i="155"/>
  <c r="D18" i="155"/>
  <c r="E18" i="155"/>
  <c r="G18" i="155"/>
  <c r="G17" i="155" s="1"/>
  <c r="D19" i="155"/>
  <c r="D17" i="155" s="1"/>
  <c r="E19" i="155"/>
  <c r="G19" i="155"/>
  <c r="F19" i="155" s="1"/>
  <c r="D20" i="155"/>
  <c r="E20" i="155"/>
  <c r="G20" i="155"/>
  <c r="D21" i="155"/>
  <c r="G21" i="155"/>
  <c r="H21" i="155"/>
  <c r="D18" i="154"/>
  <c r="E18" i="154"/>
  <c r="G18" i="154"/>
  <c r="H18" i="154"/>
  <c r="H17" i="154" s="1"/>
  <c r="H27" i="154" s="1"/>
  <c r="D19" i="154"/>
  <c r="E19" i="154"/>
  <c r="G19" i="154"/>
  <c r="F19" i="154" s="1"/>
  <c r="H19" i="154"/>
  <c r="D20" i="154"/>
  <c r="E20" i="154"/>
  <c r="G20" i="154"/>
  <c r="F20" i="154" s="1"/>
  <c r="H20" i="154"/>
  <c r="D21" i="154"/>
  <c r="E21" i="154"/>
  <c r="F21" i="154"/>
  <c r="G21" i="154"/>
  <c r="H21" i="154"/>
  <c r="D22" i="154"/>
  <c r="E22" i="154"/>
  <c r="F22" i="154" s="1"/>
  <c r="G22" i="154"/>
  <c r="H22" i="154"/>
  <c r="D23" i="154"/>
  <c r="E23" i="154"/>
  <c r="G23" i="154"/>
  <c r="H23" i="154"/>
  <c r="D25" i="154"/>
  <c r="E25" i="154"/>
  <c r="G25" i="154"/>
  <c r="H25" i="154"/>
  <c r="D26" i="154"/>
  <c r="E26" i="154"/>
  <c r="G26" i="154"/>
  <c r="F26" i="154" s="1"/>
  <c r="H26" i="154"/>
  <c r="D18" i="153"/>
  <c r="E18" i="153"/>
  <c r="G18" i="153"/>
  <c r="H18" i="153"/>
  <c r="H17" i="153" s="1"/>
  <c r="H32" i="153" s="1"/>
  <c r="D19" i="153"/>
  <c r="E19" i="153"/>
  <c r="G19" i="153"/>
  <c r="F19" i="153" s="1"/>
  <c r="D20" i="153"/>
  <c r="E20" i="153"/>
  <c r="G20" i="153"/>
  <c r="H20" i="153"/>
  <c r="D21" i="153"/>
  <c r="E21" i="153"/>
  <c r="G21" i="153"/>
  <c r="H21" i="153"/>
  <c r="D22" i="153"/>
  <c r="E22" i="153"/>
  <c r="G22" i="153"/>
  <c r="F22" i="153" s="1"/>
  <c r="H22" i="153"/>
  <c r="D23" i="153"/>
  <c r="E23" i="153"/>
  <c r="G23" i="153"/>
  <c r="F23" i="153" s="1"/>
  <c r="H23" i="153"/>
  <c r="D24" i="153"/>
  <c r="E24" i="153"/>
  <c r="G24" i="153"/>
  <c r="F24" i="153" s="1"/>
  <c r="H24" i="153"/>
  <c r="D25" i="153"/>
  <c r="E25" i="153"/>
  <c r="G25" i="153"/>
  <c r="F25" i="153" s="1"/>
  <c r="H25" i="153"/>
  <c r="D27" i="153"/>
  <c r="E27" i="153"/>
  <c r="G27" i="153"/>
  <c r="F27" i="153" s="1"/>
  <c r="H27" i="153"/>
  <c r="D29" i="153"/>
  <c r="E29" i="153"/>
  <c r="G29" i="153"/>
  <c r="F29" i="153" s="1"/>
  <c r="H29" i="153"/>
  <c r="D30" i="153"/>
  <c r="E30" i="153"/>
  <c r="G30" i="153"/>
  <c r="F30" i="153" s="1"/>
  <c r="H30" i="153"/>
  <c r="D31" i="153"/>
  <c r="E31" i="153"/>
  <c r="G31" i="153"/>
  <c r="F31" i="153" s="1"/>
  <c r="H31" i="153"/>
  <c r="H17" i="152"/>
  <c r="H28" i="152" s="1"/>
  <c r="D18" i="152"/>
  <c r="E18" i="152"/>
  <c r="G18" i="152"/>
  <c r="H18" i="152"/>
  <c r="D19" i="152"/>
  <c r="E19" i="152"/>
  <c r="F19" i="152"/>
  <c r="G19" i="152"/>
  <c r="H19" i="152"/>
  <c r="D20" i="152"/>
  <c r="E20" i="152"/>
  <c r="G20" i="152"/>
  <c r="F20" i="152" s="1"/>
  <c r="H20" i="152"/>
  <c r="D21" i="152"/>
  <c r="E21" i="152"/>
  <c r="F21" i="152"/>
  <c r="G21" i="152"/>
  <c r="H21" i="152"/>
  <c r="D22" i="152"/>
  <c r="E22" i="152"/>
  <c r="G22" i="152"/>
  <c r="H22" i="152"/>
  <c r="D24" i="152"/>
  <c r="E24" i="152"/>
  <c r="F24" i="152"/>
  <c r="G24" i="152"/>
  <c r="H24" i="152"/>
  <c r="D25" i="152"/>
  <c r="E25" i="152"/>
  <c r="G25" i="152"/>
  <c r="F25" i="152" s="1"/>
  <c r="H25" i="152"/>
  <c r="G26" i="152"/>
  <c r="H26" i="152"/>
  <c r="H17" i="151"/>
  <c r="D18" i="151"/>
  <c r="G18" i="151"/>
  <c r="D19" i="151"/>
  <c r="E19" i="151"/>
  <c r="G19" i="151"/>
  <c r="D20" i="151"/>
  <c r="E20" i="151"/>
  <c r="G20" i="151"/>
  <c r="F20" i="151" s="1"/>
  <c r="D21" i="151"/>
  <c r="E21" i="151"/>
  <c r="G21" i="151"/>
  <c r="F21" i="151" s="1"/>
  <c r="D22" i="151"/>
  <c r="E22" i="151"/>
  <c r="G22" i="151"/>
  <c r="F22" i="151" s="1"/>
  <c r="D24" i="151"/>
  <c r="E24" i="151"/>
  <c r="G24" i="151"/>
  <c r="D25" i="151"/>
  <c r="E25" i="151"/>
  <c r="G25" i="151"/>
  <c r="F25" i="151" s="1"/>
  <c r="H26" i="151"/>
  <c r="D17" i="150"/>
  <c r="E17" i="150"/>
  <c r="F17" i="150"/>
  <c r="G17" i="150"/>
  <c r="H17" i="150"/>
  <c r="D19" i="150"/>
  <c r="E19" i="150"/>
  <c r="F19" i="150"/>
  <c r="G19" i="150"/>
  <c r="H19" i="150"/>
  <c r="H17" i="149"/>
  <c r="D18" i="149"/>
  <c r="D17" i="149" s="1"/>
  <c r="E18" i="149"/>
  <c r="G18" i="149"/>
  <c r="G17" i="149" s="1"/>
  <c r="G19" i="149"/>
  <c r="H19" i="149"/>
  <c r="D18" i="148"/>
  <c r="E18" i="148"/>
  <c r="G18" i="148"/>
  <c r="H18" i="148"/>
  <c r="D19" i="148"/>
  <c r="E19" i="148"/>
  <c r="G19" i="148"/>
  <c r="F19" i="148" s="1"/>
  <c r="D20" i="148"/>
  <c r="E20" i="148"/>
  <c r="G20" i="148"/>
  <c r="F20" i="148" s="1"/>
  <c r="H20" i="148"/>
  <c r="H17" i="148" s="1"/>
  <c r="D21" i="148"/>
  <c r="E21" i="148"/>
  <c r="E25" i="148" s="1"/>
  <c r="G21" i="148"/>
  <c r="F21" i="148" s="1"/>
  <c r="H21" i="148"/>
  <c r="G23" i="148"/>
  <c r="F23" i="148" s="1"/>
  <c r="H23" i="148"/>
  <c r="G24" i="148"/>
  <c r="F24" i="148" s="1"/>
  <c r="D18" i="147"/>
  <c r="D33" i="147" s="1"/>
  <c r="E18" i="147"/>
  <c r="G18" i="147"/>
  <c r="H18" i="147"/>
  <c r="D19" i="147"/>
  <c r="D17" i="147" s="1"/>
  <c r="E19" i="147"/>
  <c r="F19" i="147"/>
  <c r="G19" i="147"/>
  <c r="H19" i="147"/>
  <c r="H17" i="147" s="1"/>
  <c r="D20" i="147"/>
  <c r="E20" i="147"/>
  <c r="G20" i="147"/>
  <c r="H20" i="147"/>
  <c r="D21" i="147"/>
  <c r="E21" i="147"/>
  <c r="G21" i="147"/>
  <c r="F21" i="147" s="1"/>
  <c r="H21" i="147"/>
  <c r="D22" i="147"/>
  <c r="E22" i="147"/>
  <c r="G22" i="147"/>
  <c r="F22" i="147" s="1"/>
  <c r="H22" i="147"/>
  <c r="D23" i="147"/>
  <c r="E23" i="147"/>
  <c r="G23" i="147"/>
  <c r="F23" i="147" s="1"/>
  <c r="H23" i="147"/>
  <c r="D24" i="147"/>
  <c r="E24" i="147"/>
  <c r="G24" i="147"/>
  <c r="F24" i="147" s="1"/>
  <c r="H24" i="147"/>
  <c r="D25" i="147"/>
  <c r="E25" i="147"/>
  <c r="F25" i="147"/>
  <c r="G25" i="147"/>
  <c r="H25" i="147"/>
  <c r="D26" i="147"/>
  <c r="E26" i="147"/>
  <c r="G26" i="147"/>
  <c r="G27" i="147"/>
  <c r="F27" i="147" s="1"/>
  <c r="D29" i="147"/>
  <c r="E29" i="147"/>
  <c r="G29" i="147"/>
  <c r="H29" i="147"/>
  <c r="D31" i="147"/>
  <c r="E31" i="147"/>
  <c r="F31" i="147" s="1"/>
  <c r="G31" i="147"/>
  <c r="H31" i="147"/>
  <c r="D32" i="147"/>
  <c r="E32" i="147"/>
  <c r="G32" i="147"/>
  <c r="H32" i="147"/>
  <c r="H33" i="147"/>
  <c r="H17" i="146"/>
  <c r="D18" i="146"/>
  <c r="E18" i="146"/>
  <c r="G18" i="146"/>
  <c r="D19" i="146"/>
  <c r="E19" i="146"/>
  <c r="G19" i="146"/>
  <c r="F19" i="146" s="1"/>
  <c r="D20" i="146"/>
  <c r="E20" i="146"/>
  <c r="G20" i="146"/>
  <c r="F20" i="146" s="1"/>
  <c r="D21" i="146"/>
  <c r="E21" i="146"/>
  <c r="G21" i="146"/>
  <c r="D22" i="146"/>
  <c r="E22" i="146"/>
  <c r="G22" i="146"/>
  <c r="D23" i="146"/>
  <c r="E23" i="146"/>
  <c r="G23" i="146"/>
  <c r="F23" i="146" s="1"/>
  <c r="H23" i="146"/>
  <c r="E24" i="146"/>
  <c r="G24" i="146"/>
  <c r="D25" i="146"/>
  <c r="D17" i="146" s="1"/>
  <c r="E25" i="146"/>
  <c r="G25" i="146"/>
  <c r="F25" i="146" s="1"/>
  <c r="D26" i="146"/>
  <c r="E26" i="146"/>
  <c r="G26" i="146"/>
  <c r="D27" i="146"/>
  <c r="E27" i="146"/>
  <c r="G27" i="146"/>
  <c r="F27" i="146" s="1"/>
  <c r="H28" i="146"/>
  <c r="D18" i="145"/>
  <c r="E18" i="145"/>
  <c r="G18" i="145"/>
  <c r="H18" i="145"/>
  <c r="D19" i="145"/>
  <c r="E19" i="145"/>
  <c r="G19" i="145"/>
  <c r="F19" i="145" s="1"/>
  <c r="H19" i="145"/>
  <c r="H17" i="145" s="1"/>
  <c r="H34" i="145" s="1"/>
  <c r="D20" i="145"/>
  <c r="E20" i="145"/>
  <c r="G20" i="145"/>
  <c r="F20" i="145" s="1"/>
  <c r="H20" i="145"/>
  <c r="D21" i="145"/>
  <c r="E21" i="145"/>
  <c r="F21" i="145"/>
  <c r="G21" i="145"/>
  <c r="H21" i="145"/>
  <c r="D22" i="145"/>
  <c r="E22" i="145"/>
  <c r="G22" i="145"/>
  <c r="H22" i="145"/>
  <c r="D23" i="145"/>
  <c r="E23" i="145"/>
  <c r="G23" i="145"/>
  <c r="F23" i="145" s="1"/>
  <c r="H23" i="145"/>
  <c r="D24" i="145"/>
  <c r="E24" i="145"/>
  <c r="G24" i="145"/>
  <c r="F24" i="145" s="1"/>
  <c r="H24" i="145"/>
  <c r="E25" i="145"/>
  <c r="G25" i="145"/>
  <c r="H25" i="145"/>
  <c r="D26" i="145"/>
  <c r="E26" i="145"/>
  <c r="G26" i="145"/>
  <c r="H26" i="145"/>
  <c r="D28" i="145"/>
  <c r="E28" i="145"/>
  <c r="G28" i="145"/>
  <c r="F28" i="145" s="1"/>
  <c r="H28" i="145"/>
  <c r="D30" i="145"/>
  <c r="E30" i="145"/>
  <c r="G30" i="145"/>
  <c r="F30" i="145" s="1"/>
  <c r="H30" i="145"/>
  <c r="D31" i="145"/>
  <c r="E31" i="145"/>
  <c r="G31" i="145"/>
  <c r="F31" i="145" s="1"/>
  <c r="H31" i="145"/>
  <c r="E32" i="145"/>
  <c r="H32" i="145"/>
  <c r="D33" i="145"/>
  <c r="D32" i="145" s="1"/>
  <c r="E33" i="145"/>
  <c r="G33" i="145"/>
  <c r="G32" i="145" s="1"/>
  <c r="D18" i="144"/>
  <c r="E18" i="144"/>
  <c r="G18" i="144"/>
  <c r="H18" i="144"/>
  <c r="D19" i="144"/>
  <c r="E19" i="144"/>
  <c r="G19" i="144"/>
  <c r="F19" i="144" s="1"/>
  <c r="H19" i="144"/>
  <c r="D20" i="144"/>
  <c r="E20" i="144"/>
  <c r="G20" i="144"/>
  <c r="H20" i="144"/>
  <c r="D21" i="144"/>
  <c r="E21" i="144"/>
  <c r="G21" i="144"/>
  <c r="F21" i="144" s="1"/>
  <c r="H21" i="144"/>
  <c r="H17" i="144" s="1"/>
  <c r="H30" i="144" s="1"/>
  <c r="D22" i="144"/>
  <c r="F22" i="144"/>
  <c r="D23" i="144"/>
  <c r="E23" i="144"/>
  <c r="G23" i="144"/>
  <c r="H23" i="144"/>
  <c r="D24" i="144"/>
  <c r="E24" i="144"/>
  <c r="G24" i="144"/>
  <c r="H24" i="144"/>
  <c r="D25" i="144"/>
  <c r="E25" i="144"/>
  <c r="G25" i="144"/>
  <c r="H25" i="144"/>
  <c r="D26" i="144"/>
  <c r="E26" i="144"/>
  <c r="G26" i="144"/>
  <c r="H26" i="144"/>
  <c r="D27" i="144"/>
  <c r="E27" i="144"/>
  <c r="G27" i="144"/>
  <c r="F27" i="144" s="1"/>
  <c r="H27" i="144"/>
  <c r="D28" i="144"/>
  <c r="E28" i="144"/>
  <c r="H28" i="144"/>
  <c r="D29" i="144"/>
  <c r="F29" i="144"/>
  <c r="F28" i="144" s="1"/>
  <c r="G29" i="144"/>
  <c r="G28" i="144" s="1"/>
  <c r="H17" i="143"/>
  <c r="D18" i="143"/>
  <c r="E18" i="143"/>
  <c r="F18" i="143" s="1"/>
  <c r="G18" i="143"/>
  <c r="H18" i="143"/>
  <c r="D19" i="143"/>
  <c r="E19" i="143"/>
  <c r="G19" i="143"/>
  <c r="F19" i="143" s="1"/>
  <c r="H19" i="143"/>
  <c r="D20" i="143"/>
  <c r="E20" i="143"/>
  <c r="F20" i="143"/>
  <c r="G20" i="143"/>
  <c r="H20" i="143"/>
  <c r="D21" i="143"/>
  <c r="E21" i="143"/>
  <c r="G21" i="143"/>
  <c r="F21" i="143" s="1"/>
  <c r="H21" i="143"/>
  <c r="E22" i="143"/>
  <c r="G22" i="143"/>
  <c r="F22" i="143" s="1"/>
  <c r="G23" i="143"/>
  <c r="F23" i="143" s="1"/>
  <c r="D24" i="143"/>
  <c r="E24" i="143"/>
  <c r="G24" i="143"/>
  <c r="F24" i="143" s="1"/>
  <c r="D25" i="143"/>
  <c r="E25" i="143"/>
  <c r="G25" i="143"/>
  <c r="D26" i="143"/>
  <c r="E26" i="143"/>
  <c r="H26" i="143"/>
  <c r="G27" i="143"/>
  <c r="H28" i="143"/>
  <c r="D18" i="142"/>
  <c r="E18" i="142"/>
  <c r="G18" i="142"/>
  <c r="F18" i="142" s="1"/>
  <c r="H18" i="142"/>
  <c r="H17" i="142" s="1"/>
  <c r="D19" i="142"/>
  <c r="E19" i="142"/>
  <c r="G19" i="142"/>
  <c r="F19" i="142" s="1"/>
  <c r="H19" i="142"/>
  <c r="D20" i="142"/>
  <c r="E20" i="142"/>
  <c r="F20" i="142"/>
  <c r="G20" i="142"/>
  <c r="H20" i="142"/>
  <c r="D21" i="142"/>
  <c r="E21" i="142"/>
  <c r="G21" i="142"/>
  <c r="H21" i="142"/>
  <c r="D22" i="142"/>
  <c r="E22" i="142"/>
  <c r="F22" i="142" s="1"/>
  <c r="G22" i="142"/>
  <c r="H22" i="142"/>
  <c r="D23" i="142"/>
  <c r="E23" i="142"/>
  <c r="G23" i="142"/>
  <c r="H23" i="142"/>
  <c r="D24" i="142"/>
  <c r="E24" i="142"/>
  <c r="F24" i="142"/>
  <c r="G24" i="142"/>
  <c r="D26" i="142"/>
  <c r="E26" i="142"/>
  <c r="F26" i="142"/>
  <c r="G26" i="142"/>
  <c r="H26" i="142"/>
  <c r="H28" i="142" s="1"/>
  <c r="D27" i="142"/>
  <c r="E27" i="142"/>
  <c r="G27" i="142"/>
  <c r="H27" i="142"/>
  <c r="F17" i="143" l="1"/>
  <c r="E17" i="143"/>
  <c r="E28" i="143" s="1"/>
  <c r="D17" i="154"/>
  <c r="D27" i="154" s="1"/>
  <c r="G17" i="167"/>
  <c r="G17" i="168"/>
  <c r="F18" i="168"/>
  <c r="D35" i="169"/>
  <c r="G17" i="169"/>
  <c r="G35" i="169" s="1"/>
  <c r="G17" i="170"/>
  <c r="E18" i="171"/>
  <c r="D17" i="143"/>
  <c r="D28" i="143" s="1"/>
  <c r="E17" i="151"/>
  <c r="E26" i="151"/>
  <c r="G17" i="152"/>
  <c r="G28" i="152" s="1"/>
  <c r="F18" i="152"/>
  <c r="G17" i="153"/>
  <c r="G32" i="153" s="1"/>
  <c r="E17" i="158"/>
  <c r="G17" i="158"/>
  <c r="G23" i="158"/>
  <c r="G30" i="162"/>
  <c r="G17" i="162"/>
  <c r="G17" i="165"/>
  <c r="E37" i="166"/>
  <c r="G17" i="166"/>
  <c r="G37" i="166" s="1"/>
  <c r="E22" i="167"/>
  <c r="E17" i="168"/>
  <c r="F34" i="169"/>
  <c r="F33" i="169" s="1"/>
  <c r="F26" i="169"/>
  <c r="E17" i="169"/>
  <c r="E35" i="169" s="1"/>
  <c r="E17" i="170"/>
  <c r="D30" i="172"/>
  <c r="D17" i="172"/>
  <c r="D28" i="142"/>
  <c r="E17" i="146"/>
  <c r="E17" i="152"/>
  <c r="E28" i="152" s="1"/>
  <c r="E32" i="157"/>
  <c r="D30" i="160"/>
  <c r="D17" i="161"/>
  <c r="F27" i="142"/>
  <c r="G26" i="143"/>
  <c r="G28" i="143" s="1"/>
  <c r="F27" i="143"/>
  <c r="F26" i="143" s="1"/>
  <c r="G17" i="143"/>
  <c r="F20" i="144"/>
  <c r="G17" i="144"/>
  <c r="G30" i="144" s="1"/>
  <c r="F33" i="145"/>
  <c r="F32" i="145" s="1"/>
  <c r="E17" i="145"/>
  <c r="E34" i="145" s="1"/>
  <c r="D28" i="146"/>
  <c r="D17" i="148"/>
  <c r="E17" i="149"/>
  <c r="E19" i="149"/>
  <c r="F22" i="152"/>
  <c r="D17" i="152"/>
  <c r="D28" i="152" s="1"/>
  <c r="E17" i="155"/>
  <c r="E21" i="155"/>
  <c r="F29" i="160"/>
  <c r="G30" i="160"/>
  <c r="F23" i="160"/>
  <c r="F19" i="160"/>
  <c r="E30" i="160"/>
  <c r="F20" i="168"/>
  <c r="F26" i="168" s="1"/>
  <c r="F20" i="171"/>
  <c r="G18" i="171"/>
  <c r="G17" i="147"/>
  <c r="G17" i="148"/>
  <c r="G17" i="151"/>
  <c r="F18" i="151"/>
  <c r="G26" i="151"/>
  <c r="G17" i="154"/>
  <c r="G27" i="154" s="1"/>
  <c r="E17" i="156"/>
  <c r="E20" i="156"/>
  <c r="G17" i="157"/>
  <c r="G22" i="159"/>
  <c r="E17" i="162"/>
  <c r="E28" i="142"/>
  <c r="G28" i="142"/>
  <c r="D17" i="142"/>
  <c r="F25" i="143"/>
  <c r="F26" i="144"/>
  <c r="G17" i="145"/>
  <c r="G34" i="145" s="1"/>
  <c r="F26" i="146"/>
  <c r="F22" i="146"/>
  <c r="G17" i="146"/>
  <c r="F29" i="147"/>
  <c r="F26" i="147"/>
  <c r="E17" i="147"/>
  <c r="F24" i="151"/>
  <c r="F19" i="151"/>
  <c r="D17" i="151"/>
  <c r="D17" i="153"/>
  <c r="D32" i="153" s="1"/>
  <c r="E17" i="154"/>
  <c r="E27" i="154" s="1"/>
  <c r="E17" i="157"/>
  <c r="D17" i="158"/>
  <c r="F18" i="160"/>
  <c r="F18" i="161"/>
  <c r="F24" i="165"/>
  <c r="F20" i="165"/>
  <c r="D17" i="165"/>
  <c r="F25" i="166"/>
  <c r="D17" i="166"/>
  <c r="D26" i="168"/>
  <c r="F30" i="169"/>
  <c r="F21" i="169"/>
  <c r="F25" i="171"/>
  <c r="F23" i="171"/>
  <c r="E30" i="172"/>
  <c r="F21" i="172"/>
  <c r="F20" i="172"/>
  <c r="E17" i="172"/>
  <c r="F23" i="142"/>
  <c r="E17" i="142"/>
  <c r="F25" i="144"/>
  <c r="F24" i="144"/>
  <c r="F23" i="144"/>
  <c r="D17" i="144"/>
  <c r="D30" i="144" s="1"/>
  <c r="E17" i="144"/>
  <c r="E30" i="144" s="1"/>
  <c r="F26" i="145"/>
  <c r="F22" i="145"/>
  <c r="D17" i="145"/>
  <c r="D34" i="145" s="1"/>
  <c r="F21" i="146"/>
  <c r="F32" i="147"/>
  <c r="F20" i="147"/>
  <c r="E17" i="148"/>
  <c r="F21" i="153"/>
  <c r="F20" i="153"/>
  <c r="E17" i="153"/>
  <c r="E32" i="153" s="1"/>
  <c r="F25" i="154"/>
  <c r="F23" i="154"/>
  <c r="F20" i="155"/>
  <c r="F24" i="157"/>
  <c r="F20" i="157"/>
  <c r="D17" i="157"/>
  <c r="F22" i="158"/>
  <c r="D17" i="162"/>
  <c r="G27" i="165"/>
  <c r="F23" i="165"/>
  <c r="F19" i="165"/>
  <c r="E17" i="165"/>
  <c r="E27" i="165" s="1"/>
  <c r="D37" i="166"/>
  <c r="E17" i="166"/>
  <c r="D17" i="167"/>
  <c r="F29" i="169"/>
  <c r="F27" i="169"/>
  <c r="F20" i="169"/>
  <c r="D17" i="169"/>
  <c r="D17" i="170"/>
  <c r="D18" i="171"/>
  <c r="F19" i="172"/>
  <c r="F24" i="172"/>
  <c r="F18" i="172"/>
  <c r="G17" i="172"/>
  <c r="G30" i="172"/>
  <c r="F19" i="171"/>
  <c r="E29" i="171"/>
  <c r="G29" i="171"/>
  <c r="F18" i="170"/>
  <c r="G24" i="170"/>
  <c r="F18" i="169"/>
  <c r="H22" i="167"/>
  <c r="D22" i="167"/>
  <c r="F18" i="167"/>
  <c r="G22" i="167"/>
  <c r="E17" i="167"/>
  <c r="F18" i="166"/>
  <c r="F17" i="166" s="1"/>
  <c r="F37" i="166" s="1"/>
  <c r="D27" i="165"/>
  <c r="F18" i="165"/>
  <c r="F17" i="165" s="1"/>
  <c r="F26" i="165"/>
  <c r="F25" i="165" s="1"/>
  <c r="F21" i="164"/>
  <c r="F17" i="164" s="1"/>
  <c r="G17" i="164"/>
  <c r="F18" i="163"/>
  <c r="E30" i="162"/>
  <c r="F18" i="162"/>
  <c r="F30" i="160"/>
  <c r="G17" i="159"/>
  <c r="H22" i="159"/>
  <c r="F18" i="159"/>
  <c r="E23" i="158"/>
  <c r="F18" i="158"/>
  <c r="H23" i="158"/>
  <c r="D23" i="158"/>
  <c r="F21" i="158"/>
  <c r="G32" i="157"/>
  <c r="F18" i="157"/>
  <c r="D32" i="157"/>
  <c r="F18" i="156"/>
  <c r="G17" i="156"/>
  <c r="F18" i="155"/>
  <c r="F18" i="154"/>
  <c r="F18" i="153"/>
  <c r="F17" i="153" s="1"/>
  <c r="F32" i="153" s="1"/>
  <c r="D26" i="151"/>
  <c r="F18" i="149"/>
  <c r="D19" i="149"/>
  <c r="G25" i="148"/>
  <c r="F18" i="148"/>
  <c r="H25" i="148"/>
  <c r="D25" i="148"/>
  <c r="E33" i="147"/>
  <c r="F18" i="147"/>
  <c r="G33" i="147"/>
  <c r="G28" i="146"/>
  <c r="F18" i="146"/>
  <c r="E28" i="146"/>
  <c r="F18" i="145"/>
  <c r="F17" i="145" s="1"/>
  <c r="F34" i="145" s="1"/>
  <c r="F28" i="143"/>
  <c r="F18" i="144"/>
  <c r="G17" i="142"/>
  <c r="F21" i="142"/>
  <c r="F28" i="142" s="1"/>
  <c r="F17" i="144" l="1"/>
  <c r="F30" i="144" s="1"/>
  <c r="F17" i="154"/>
  <c r="F27" i="154" s="1"/>
  <c r="F27" i="165"/>
  <c r="F17" i="160"/>
  <c r="F17" i="168"/>
  <c r="F17" i="169"/>
  <c r="F35" i="169" s="1"/>
  <c r="F17" i="152"/>
  <c r="F28" i="152" s="1"/>
  <c r="F17" i="161"/>
  <c r="F22" i="161"/>
  <c r="F17" i="151"/>
  <c r="F26" i="151"/>
  <c r="F17" i="172"/>
  <c r="F30" i="172"/>
  <c r="F18" i="171"/>
  <c r="F29" i="171"/>
  <c r="F17" i="170"/>
  <c r="F24" i="170"/>
  <c r="F22" i="167"/>
  <c r="F17" i="167"/>
  <c r="F22" i="164"/>
  <c r="F17" i="163"/>
  <c r="F20" i="163"/>
  <c r="F30" i="162"/>
  <c r="F17" i="162"/>
  <c r="F17" i="159"/>
  <c r="F22" i="159"/>
  <c r="F23" i="158"/>
  <c r="F17" i="158"/>
  <c r="F17" i="157"/>
  <c r="F32" i="157"/>
  <c r="F17" i="156"/>
  <c r="F20" i="156"/>
  <c r="F17" i="155"/>
  <c r="F21" i="155"/>
  <c r="F17" i="149"/>
  <c r="F19" i="149"/>
  <c r="F17" i="148"/>
  <c r="F25" i="148"/>
  <c r="F33" i="147"/>
  <c r="F17" i="147"/>
  <c r="F17" i="146"/>
  <c r="F28" i="146"/>
  <c r="F17" i="142"/>
  <c r="D16" i="141" l="1"/>
  <c r="E16" i="141"/>
  <c r="G16" i="141"/>
  <c r="H16" i="141"/>
  <c r="D17" i="141"/>
  <c r="E17" i="141"/>
  <c r="G17" i="141"/>
  <c r="F17" i="141" s="1"/>
  <c r="H17" i="141"/>
  <c r="D18" i="141"/>
  <c r="E18" i="141"/>
  <c r="G18" i="141"/>
  <c r="G27" i="141" s="1"/>
  <c r="H18" i="141"/>
  <c r="D20" i="141"/>
  <c r="E20" i="141"/>
  <c r="F20" i="141"/>
  <c r="G20" i="141"/>
  <c r="H20" i="141"/>
  <c r="D21" i="141"/>
  <c r="E21" i="141"/>
  <c r="E27" i="141" s="1"/>
  <c r="G21" i="141"/>
  <c r="H21" i="141"/>
  <c r="D22" i="141"/>
  <c r="E22" i="141"/>
  <c r="G22" i="141"/>
  <c r="F22" i="141" s="1"/>
  <c r="H22" i="141"/>
  <c r="D24" i="141"/>
  <c r="E24" i="141"/>
  <c r="G24" i="141"/>
  <c r="F24" i="141" s="1"/>
  <c r="H24" i="141"/>
  <c r="D26" i="141"/>
  <c r="E26" i="141"/>
  <c r="F26" i="141"/>
  <c r="G26" i="141"/>
  <c r="H26" i="141"/>
  <c r="H15" i="141" l="1"/>
  <c r="G15" i="141"/>
  <c r="E15" i="141"/>
  <c r="F21" i="141"/>
  <c r="H27" i="141"/>
  <c r="D15" i="141"/>
  <c r="F16" i="141"/>
  <c r="D27" i="141"/>
  <c r="F18" i="141"/>
  <c r="D10" i="140"/>
  <c r="G10" i="140"/>
  <c r="H10" i="140"/>
  <c r="D11" i="140"/>
  <c r="G11" i="140" s="1"/>
  <c r="H11" i="140"/>
  <c r="D12" i="140"/>
  <c r="G12" i="140" s="1"/>
  <c r="F12" i="140"/>
  <c r="H12" i="140"/>
  <c r="D13" i="140"/>
  <c r="G13" i="140" s="1"/>
  <c r="E13" i="140"/>
  <c r="H13" i="140"/>
  <c r="D15" i="140"/>
  <c r="G15" i="140" s="1"/>
  <c r="E15" i="140"/>
  <c r="H15" i="140"/>
  <c r="D16" i="140"/>
  <c r="G16" i="140" s="1"/>
  <c r="F16" i="140"/>
  <c r="H16" i="140"/>
  <c r="D17" i="140"/>
  <c r="D18" i="140"/>
  <c r="G18" i="140" s="1"/>
  <c r="H18" i="140"/>
  <c r="D19" i="140"/>
  <c r="G19" i="140" s="1"/>
  <c r="H19" i="140"/>
  <c r="D20" i="140"/>
  <c r="G20" i="140"/>
  <c r="D21" i="140"/>
  <c r="G21" i="140" s="1"/>
  <c r="H21" i="140"/>
  <c r="D22" i="140"/>
  <c r="G22" i="140" s="1"/>
  <c r="D24" i="140"/>
  <c r="G24" i="140"/>
  <c r="D26" i="140"/>
  <c r="G26" i="140" s="1"/>
  <c r="D27" i="140"/>
  <c r="G27" i="140"/>
  <c r="H27" i="140"/>
  <c r="D28" i="140"/>
  <c r="E28" i="140"/>
  <c r="G28" i="140"/>
  <c r="H28" i="140"/>
  <c r="D29" i="140"/>
  <c r="G29" i="140" s="1"/>
  <c r="H29" i="140"/>
  <c r="D30" i="140"/>
  <c r="G30" i="140" s="1"/>
  <c r="H30" i="140"/>
  <c r="D31" i="140"/>
  <c r="G31" i="140"/>
  <c r="H31" i="140"/>
  <c r="D32" i="140"/>
  <c r="G32" i="140"/>
  <c r="H32" i="140"/>
  <c r="D33" i="140"/>
  <c r="G33" i="140" s="1"/>
  <c r="D34" i="140"/>
  <c r="G34" i="140"/>
  <c r="D35" i="140"/>
  <c r="E35" i="140"/>
  <c r="G35" i="140"/>
  <c r="D36" i="140"/>
  <c r="G36" i="140" s="1"/>
  <c r="E36" i="140"/>
  <c r="D39" i="140"/>
  <c r="G39" i="140"/>
  <c r="H39" i="140"/>
  <c r="D41" i="140"/>
  <c r="G41" i="140"/>
  <c r="H41" i="140"/>
  <c r="D43" i="140"/>
  <c r="G43" i="140" s="1"/>
  <c r="D45" i="140"/>
  <c r="G45" i="140"/>
  <c r="D47" i="140"/>
  <c r="G47" i="140" s="1"/>
  <c r="D49" i="140"/>
  <c r="G49" i="140"/>
  <c r="D50" i="140"/>
  <c r="G50" i="140" s="1"/>
  <c r="D52" i="140"/>
  <c r="G52" i="140"/>
  <c r="D54" i="140"/>
  <c r="G54" i="140" s="1"/>
  <c r="D55" i="140"/>
  <c r="G55" i="140"/>
  <c r="D56" i="140"/>
  <c r="G56" i="140" s="1"/>
  <c r="D57" i="140"/>
  <c r="G57" i="140"/>
  <c r="D58" i="140"/>
  <c r="F58" i="140"/>
  <c r="G58" i="140"/>
  <c r="D60" i="140"/>
  <c r="G60" i="140" s="1"/>
  <c r="F60" i="140"/>
  <c r="F63" i="140" s="1"/>
  <c r="D61" i="140"/>
  <c r="G61" i="140" s="1"/>
  <c r="E61" i="140"/>
  <c r="E63" i="140" s="1"/>
  <c r="D62" i="140"/>
  <c r="G62" i="140"/>
  <c r="D63" i="140"/>
  <c r="H63" i="140"/>
  <c r="I63" i="140"/>
  <c r="D14" i="139"/>
  <c r="E14" i="139"/>
  <c r="F14" i="139"/>
  <c r="G14" i="139"/>
  <c r="D16" i="139"/>
  <c r="D12" i="139" s="1"/>
  <c r="E16" i="139"/>
  <c r="F16" i="139"/>
  <c r="G16" i="139"/>
  <c r="H16" i="139"/>
  <c r="D17" i="139"/>
  <c r="E17" i="139"/>
  <c r="F17" i="139"/>
  <c r="G17" i="139"/>
  <c r="G12" i="139" s="1"/>
  <c r="D18" i="139"/>
  <c r="E18" i="139"/>
  <c r="F18" i="139"/>
  <c r="G18" i="139"/>
  <c r="D19" i="139"/>
  <c r="E19" i="139"/>
  <c r="F19" i="139"/>
  <c r="G19" i="139"/>
  <c r="H19" i="139"/>
  <c r="D20" i="139"/>
  <c r="E20" i="139"/>
  <c r="F20" i="139"/>
  <c r="G20" i="139"/>
  <c r="H20" i="139"/>
  <c r="D21" i="139"/>
  <c r="E21" i="139"/>
  <c r="F21" i="139" s="1"/>
  <c r="G21" i="139"/>
  <c r="H21" i="139"/>
  <c r="M21" i="139"/>
  <c r="D22" i="139"/>
  <c r="E22" i="139"/>
  <c r="F22" i="139"/>
  <c r="G22" i="139"/>
  <c r="I22" i="139"/>
  <c r="M22" i="139"/>
  <c r="D23" i="139"/>
  <c r="E23" i="139"/>
  <c r="F23" i="139" s="1"/>
  <c r="G23" i="139"/>
  <c r="I23" i="139"/>
  <c r="M23" i="139"/>
  <c r="D24" i="139"/>
  <c r="E24" i="139"/>
  <c r="F24" i="139"/>
  <c r="G24" i="139"/>
  <c r="D25" i="139"/>
  <c r="E25" i="139"/>
  <c r="F25" i="139"/>
  <c r="G25" i="139"/>
  <c r="D26" i="139"/>
  <c r="E26" i="139"/>
  <c r="F26" i="139" s="1"/>
  <c r="G26" i="139"/>
  <c r="H26" i="139"/>
  <c r="D27" i="139"/>
  <c r="E27" i="139"/>
  <c r="F27" i="139"/>
  <c r="G27" i="139"/>
  <c r="D29" i="139"/>
  <c r="E29" i="139"/>
  <c r="F29" i="139"/>
  <c r="G29" i="139"/>
  <c r="D30" i="139"/>
  <c r="E30" i="139"/>
  <c r="F30" i="139"/>
  <c r="G30" i="139"/>
  <c r="H30" i="139"/>
  <c r="D31" i="139"/>
  <c r="E31" i="139"/>
  <c r="F31" i="139"/>
  <c r="G31" i="139"/>
  <c r="H31" i="139"/>
  <c r="I31" i="139"/>
  <c r="D32" i="139"/>
  <c r="E32" i="139"/>
  <c r="F32" i="139"/>
  <c r="G32" i="139"/>
  <c r="H32" i="139"/>
  <c r="F33" i="139"/>
  <c r="D34" i="139"/>
  <c r="E34" i="139"/>
  <c r="F34" i="139" s="1"/>
  <c r="G34" i="139"/>
  <c r="D35" i="139"/>
  <c r="E35" i="139"/>
  <c r="F35" i="139" s="1"/>
  <c r="G35" i="139"/>
  <c r="D36" i="139"/>
  <c r="E36" i="139"/>
  <c r="F36" i="139" s="1"/>
  <c r="G36" i="139"/>
  <c r="D37" i="139"/>
  <c r="E37" i="139"/>
  <c r="F37" i="139" s="1"/>
  <c r="G37" i="139"/>
  <c r="F38" i="139"/>
  <c r="D39" i="139"/>
  <c r="E39" i="139"/>
  <c r="F39" i="139"/>
  <c r="G39" i="139"/>
  <c r="H39" i="139"/>
  <c r="D40" i="139"/>
  <c r="E40" i="139"/>
  <c r="F40" i="139"/>
  <c r="D41" i="139"/>
  <c r="E41" i="139"/>
  <c r="F41" i="139"/>
  <c r="G41" i="139"/>
  <c r="G42" i="139"/>
  <c r="G111" i="139" s="1"/>
  <c r="D43" i="139"/>
  <c r="E43" i="139"/>
  <c r="F43" i="139"/>
  <c r="G43" i="139"/>
  <c r="D44" i="139"/>
  <c r="E44" i="139"/>
  <c r="F44" i="139"/>
  <c r="G44" i="139"/>
  <c r="D45" i="139"/>
  <c r="E45" i="139"/>
  <c r="F45" i="139"/>
  <c r="G45" i="139"/>
  <c r="D46" i="139"/>
  <c r="E46" i="139"/>
  <c r="F46" i="139"/>
  <c r="G46" i="139"/>
  <c r="D48" i="139"/>
  <c r="E48" i="139"/>
  <c r="F48" i="139"/>
  <c r="G48" i="139"/>
  <c r="D49" i="139"/>
  <c r="E49" i="139"/>
  <c r="F49" i="139"/>
  <c r="G49" i="139"/>
  <c r="E50" i="139"/>
  <c r="F50" i="139"/>
  <c r="G50" i="139"/>
  <c r="D51" i="139"/>
  <c r="D42" i="139" s="1"/>
  <c r="D111" i="139" s="1"/>
  <c r="E51" i="139"/>
  <c r="F51" i="139"/>
  <c r="G51" i="139"/>
  <c r="D52" i="139"/>
  <c r="E52" i="139"/>
  <c r="F52" i="139"/>
  <c r="G52" i="139"/>
  <c r="D53" i="139"/>
  <c r="E53" i="139"/>
  <c r="F53" i="139"/>
  <c r="G53" i="139"/>
  <c r="H53" i="139"/>
  <c r="H42" i="139" s="1"/>
  <c r="D67" i="139"/>
  <c r="E67" i="139"/>
  <c r="F67" i="139"/>
  <c r="G67" i="139"/>
  <c r="D68" i="139"/>
  <c r="E68" i="139"/>
  <c r="F68" i="139"/>
  <c r="G68" i="139"/>
  <c r="D70" i="139"/>
  <c r="E70" i="139"/>
  <c r="F70" i="139"/>
  <c r="G70" i="139"/>
  <c r="D72" i="139"/>
  <c r="E72" i="139"/>
  <c r="F72" i="139"/>
  <c r="D73" i="139"/>
  <c r="E73" i="139"/>
  <c r="F73" i="139"/>
  <c r="G73" i="139"/>
  <c r="D74" i="139"/>
  <c r="E74" i="139"/>
  <c r="F74" i="139"/>
  <c r="G74" i="139"/>
  <c r="D75" i="139"/>
  <c r="E75" i="139"/>
  <c r="F75" i="139"/>
  <c r="G75" i="139"/>
  <c r="D76" i="139"/>
  <c r="E76" i="139"/>
  <c r="F76" i="139"/>
  <c r="G76" i="139"/>
  <c r="D77" i="139"/>
  <c r="E77" i="139"/>
  <c r="F77" i="139"/>
  <c r="G77" i="139"/>
  <c r="D78" i="139"/>
  <c r="E78" i="139"/>
  <c r="F78" i="139"/>
  <c r="G78" i="139"/>
  <c r="D79" i="139"/>
  <c r="E79" i="139"/>
  <c r="F79" i="139"/>
  <c r="G79" i="139"/>
  <c r="D80" i="139"/>
  <c r="E80" i="139"/>
  <c r="F80" i="139"/>
  <c r="G80" i="139"/>
  <c r="D81" i="139"/>
  <c r="E81" i="139"/>
  <c r="F81" i="139"/>
  <c r="G81" i="139"/>
  <c r="D82" i="139"/>
  <c r="E82" i="139"/>
  <c r="F82" i="139"/>
  <c r="G82" i="139"/>
  <c r="D84" i="139"/>
  <c r="E84" i="139"/>
  <c r="F84" i="139"/>
  <c r="G84" i="139"/>
  <c r="D86" i="139"/>
  <c r="E86" i="139"/>
  <c r="F86" i="139"/>
  <c r="G86" i="139"/>
  <c r="D88" i="139"/>
  <c r="E88" i="139"/>
  <c r="F88" i="139"/>
  <c r="G88" i="139"/>
  <c r="H88" i="139"/>
  <c r="D90" i="139"/>
  <c r="E90" i="139"/>
  <c r="F90" i="139"/>
  <c r="G90" i="139"/>
  <c r="H90" i="139"/>
  <c r="D92" i="139"/>
  <c r="E92" i="139"/>
  <c r="F92" i="139"/>
  <c r="G92" i="139"/>
  <c r="D94" i="139"/>
  <c r="E94" i="139"/>
  <c r="F94" i="139"/>
  <c r="G94" i="139"/>
  <c r="D95" i="139"/>
  <c r="E95" i="139"/>
  <c r="F95" i="139"/>
  <c r="G95" i="139"/>
  <c r="D97" i="139"/>
  <c r="E97" i="139"/>
  <c r="F97" i="139"/>
  <c r="G97" i="139"/>
  <c r="D99" i="139"/>
  <c r="E99" i="139"/>
  <c r="F99" i="139"/>
  <c r="G99" i="139"/>
  <c r="D100" i="139"/>
  <c r="E100" i="139"/>
  <c r="F100" i="139"/>
  <c r="G100" i="139"/>
  <c r="H100" i="139"/>
  <c r="D101" i="139"/>
  <c r="E101" i="139"/>
  <c r="E42" i="139" s="1"/>
  <c r="G101" i="139"/>
  <c r="D102" i="139"/>
  <c r="E102" i="139"/>
  <c r="F102" i="139" s="1"/>
  <c r="G102" i="139"/>
  <c r="D103" i="139"/>
  <c r="E103" i="139"/>
  <c r="F103" i="139" s="1"/>
  <c r="G103" i="139"/>
  <c r="D105" i="139"/>
  <c r="E105" i="139"/>
  <c r="F105" i="139" s="1"/>
  <c r="G105" i="139"/>
  <c r="D106" i="139"/>
  <c r="E106" i="139"/>
  <c r="F106" i="139" s="1"/>
  <c r="G106" i="139"/>
  <c r="D107" i="139"/>
  <c r="E107" i="139"/>
  <c r="F107" i="139" s="1"/>
  <c r="G107" i="139"/>
  <c r="D108" i="139"/>
  <c r="E108" i="139"/>
  <c r="F108" i="139"/>
  <c r="G108" i="139"/>
  <c r="H108" i="139"/>
  <c r="D110" i="139"/>
  <c r="E110" i="139"/>
  <c r="G110" i="139"/>
  <c r="H14" i="138"/>
  <c r="I14" i="138"/>
  <c r="J14" i="138"/>
  <c r="H16" i="138"/>
  <c r="I16" i="138"/>
  <c r="J16" i="138"/>
  <c r="H17" i="138"/>
  <c r="I17" i="138"/>
  <c r="J17" i="138"/>
  <c r="H18" i="138"/>
  <c r="I18" i="138"/>
  <c r="J18" i="138"/>
  <c r="H19" i="138"/>
  <c r="I19" i="138"/>
  <c r="J19" i="138"/>
  <c r="K19" i="138"/>
  <c r="H20" i="138"/>
  <c r="I20" i="138"/>
  <c r="J20" i="138"/>
  <c r="K20" i="138"/>
  <c r="H21" i="138"/>
  <c r="I21" i="138"/>
  <c r="J21" i="138"/>
  <c r="K21" i="138"/>
  <c r="H22" i="138"/>
  <c r="I22" i="138"/>
  <c r="J22" i="138"/>
  <c r="K22" i="138"/>
  <c r="H23" i="138"/>
  <c r="I23" i="138"/>
  <c r="J23" i="138"/>
  <c r="K23" i="138"/>
  <c r="H24" i="138"/>
  <c r="I24" i="138"/>
  <c r="J24" i="138"/>
  <c r="K24" i="138"/>
  <c r="H25" i="138"/>
  <c r="I25" i="138"/>
  <c r="J25" i="138"/>
  <c r="K25" i="138"/>
  <c r="H26" i="138"/>
  <c r="I26" i="138"/>
  <c r="J26" i="138"/>
  <c r="K26" i="138"/>
  <c r="H27" i="138"/>
  <c r="I27" i="138"/>
  <c r="J27" i="138"/>
  <c r="K27" i="138"/>
  <c r="H28" i="138"/>
  <c r="I28" i="138"/>
  <c r="J28" i="138"/>
  <c r="K28" i="138"/>
  <c r="H29" i="138"/>
  <c r="I29" i="138"/>
  <c r="J29" i="138"/>
  <c r="K29" i="138"/>
  <c r="H30" i="138"/>
  <c r="I30" i="138"/>
  <c r="J30" i="138"/>
  <c r="K30" i="138"/>
  <c r="H31" i="138"/>
  <c r="I31" i="138"/>
  <c r="J31" i="138"/>
  <c r="K31" i="138"/>
  <c r="H32" i="138"/>
  <c r="I32" i="138"/>
  <c r="J32" i="138"/>
  <c r="K32" i="138"/>
  <c r="H33" i="138"/>
  <c r="I33" i="138"/>
  <c r="J33" i="138"/>
  <c r="K33" i="138"/>
  <c r="H34" i="138"/>
  <c r="I34" i="138" s="1"/>
  <c r="J34" i="138"/>
  <c r="K34" i="138"/>
  <c r="I35" i="138"/>
  <c r="J35" i="138"/>
  <c r="K35" i="138"/>
  <c r="I36" i="138"/>
  <c r="J36" i="138"/>
  <c r="K36" i="138" s="1"/>
  <c r="I37" i="138"/>
  <c r="J37" i="138"/>
  <c r="H38" i="138"/>
  <c r="I38" i="138" s="1"/>
  <c r="H39" i="138"/>
  <c r="I39" i="138"/>
  <c r="J39" i="138"/>
  <c r="K39" i="138"/>
  <c r="I40" i="138"/>
  <c r="J40" i="138"/>
  <c r="K40" i="138" s="1"/>
  <c r="H41" i="138"/>
  <c r="I41" i="138"/>
  <c r="J41" i="138"/>
  <c r="K41" i="138" s="1"/>
  <c r="H42" i="138"/>
  <c r="I42" i="138"/>
  <c r="J42" i="138"/>
  <c r="K42" i="138" s="1"/>
  <c r="H43" i="138"/>
  <c r="I43" i="138"/>
  <c r="J43" i="138"/>
  <c r="K43" i="138" s="1"/>
  <c r="H44" i="138"/>
  <c r="I44" i="138"/>
  <c r="J44" i="138"/>
  <c r="K44" i="138" s="1"/>
  <c r="H45" i="138"/>
  <c r="I45" i="138"/>
  <c r="J45" i="138"/>
  <c r="K45" i="138" s="1"/>
  <c r="I46" i="138"/>
  <c r="J46" i="138"/>
  <c r="K46" i="138"/>
  <c r="J47" i="138"/>
  <c r="K47" i="138"/>
  <c r="J48" i="138"/>
  <c r="K48" i="138"/>
  <c r="J49" i="138"/>
  <c r="K49" i="138"/>
  <c r="J50" i="138"/>
  <c r="K50" i="138"/>
  <c r="J51" i="138"/>
  <c r="K51" i="138"/>
  <c r="J52" i="138"/>
  <c r="K52" i="138"/>
  <c r="J53" i="138"/>
  <c r="K53" i="138"/>
  <c r="J54" i="138"/>
  <c r="K54" i="138"/>
  <c r="J55" i="138"/>
  <c r="K55" i="138"/>
  <c r="J56" i="138"/>
  <c r="K56" i="138"/>
  <c r="J57" i="138"/>
  <c r="K57" i="138"/>
  <c r="J58" i="138"/>
  <c r="K58" i="138"/>
  <c r="J59" i="138"/>
  <c r="K59" i="138"/>
  <c r="I60" i="138"/>
  <c r="J60" i="138"/>
  <c r="K60" i="138" s="1"/>
  <c r="J61" i="138"/>
  <c r="K61" i="138"/>
  <c r="J62" i="138"/>
  <c r="K62" i="138" s="1"/>
  <c r="H63" i="138"/>
  <c r="I63" i="138"/>
  <c r="J63" i="138"/>
  <c r="K63" i="138" s="1"/>
  <c r="H64" i="138"/>
  <c r="I64" i="138"/>
  <c r="J64" i="138"/>
  <c r="K64" i="138" s="1"/>
  <c r="H65" i="138"/>
  <c r="I65" i="138"/>
  <c r="J65" i="138"/>
  <c r="K65" i="138" s="1"/>
  <c r="H66" i="138"/>
  <c r="I66" i="138"/>
  <c r="J66" i="138"/>
  <c r="K66" i="138" s="1"/>
  <c r="H67" i="138"/>
  <c r="I67" i="138"/>
  <c r="J67" i="138"/>
  <c r="K67" i="138" s="1"/>
  <c r="H68" i="138"/>
  <c r="I68" i="138"/>
  <c r="J68" i="138"/>
  <c r="K68" i="138" s="1"/>
  <c r="H69" i="138"/>
  <c r="I69" i="138"/>
  <c r="J69" i="138"/>
  <c r="K69" i="138" s="1"/>
  <c r="H70" i="138"/>
  <c r="I70" i="138"/>
  <c r="J70" i="138"/>
  <c r="K70" i="138" s="1"/>
  <c r="H71" i="138"/>
  <c r="I71" i="138"/>
  <c r="J71" i="138"/>
  <c r="K71" i="138" s="1"/>
  <c r="H72" i="138"/>
  <c r="I72" i="138"/>
  <c r="J72" i="138"/>
  <c r="K72" i="138" s="1"/>
  <c r="H73" i="138"/>
  <c r="J73" i="138" s="1"/>
  <c r="K73" i="138" s="1"/>
  <c r="H74" i="138"/>
  <c r="J74" i="138" s="1"/>
  <c r="K74" i="138" s="1"/>
  <c r="I74" i="138"/>
  <c r="H75" i="138"/>
  <c r="I75" i="138"/>
  <c r="J75" i="138"/>
  <c r="K75" i="138" s="1"/>
  <c r="H76" i="138"/>
  <c r="I76" i="138"/>
  <c r="J76" i="138"/>
  <c r="K76" i="138" s="1"/>
  <c r="H77" i="138"/>
  <c r="J77" i="138" s="1"/>
  <c r="K77" i="138" s="1"/>
  <c r="H78" i="138"/>
  <c r="J78" i="138" s="1"/>
  <c r="K78" i="138" s="1"/>
  <c r="I78" i="138"/>
  <c r="H79" i="138"/>
  <c r="I79" i="138"/>
  <c r="J79" i="138"/>
  <c r="K79" i="138" s="1"/>
  <c r="H80" i="138"/>
  <c r="I80" i="138"/>
  <c r="J80" i="138"/>
  <c r="K80" i="138" s="1"/>
  <c r="H81" i="138"/>
  <c r="J81" i="138" s="1"/>
  <c r="K81" i="138" s="1"/>
  <c r="H82" i="138"/>
  <c r="J82" i="138" s="1"/>
  <c r="K82" i="138" s="1"/>
  <c r="I82" i="138"/>
  <c r="H83" i="138"/>
  <c r="I83" i="138"/>
  <c r="J83" i="138"/>
  <c r="K83" i="138" s="1"/>
  <c r="H84" i="138"/>
  <c r="I84" i="138"/>
  <c r="J84" i="138"/>
  <c r="K84" i="138" s="1"/>
  <c r="H85" i="138"/>
  <c r="J85" i="138" s="1"/>
  <c r="K85" i="138" s="1"/>
  <c r="H86" i="138"/>
  <c r="J86" i="138" s="1"/>
  <c r="K86" i="138" s="1"/>
  <c r="I86" i="138"/>
  <c r="H87" i="138"/>
  <c r="I87" i="138"/>
  <c r="J87" i="138"/>
  <c r="K87" i="138" s="1"/>
  <c r="H88" i="138"/>
  <c r="I88" i="138"/>
  <c r="J88" i="138"/>
  <c r="K88" i="138" s="1"/>
  <c r="H89" i="138"/>
  <c r="J89" i="138" s="1"/>
  <c r="K89" i="138" s="1"/>
  <c r="H90" i="138"/>
  <c r="J90" i="138" s="1"/>
  <c r="K90" i="138" s="1"/>
  <c r="I90" i="138"/>
  <c r="H91" i="138"/>
  <c r="I91" i="138"/>
  <c r="J91" i="138"/>
  <c r="K91" i="138" s="1"/>
  <c r="H92" i="138"/>
  <c r="I92" i="138"/>
  <c r="J92" i="138"/>
  <c r="K92" i="138" s="1"/>
  <c r="H93" i="138"/>
  <c r="J93" i="138" s="1"/>
  <c r="K93" i="138" s="1"/>
  <c r="H94" i="138"/>
  <c r="J94" i="138" s="1"/>
  <c r="K94" i="138" s="1"/>
  <c r="I94" i="138"/>
  <c r="H95" i="138"/>
  <c r="I95" i="138"/>
  <c r="J95" i="138"/>
  <c r="K95" i="138" s="1"/>
  <c r="J96" i="138"/>
  <c r="K96" i="138"/>
  <c r="J97" i="138"/>
  <c r="K97" i="138" s="1"/>
  <c r="J98" i="138"/>
  <c r="K98" i="138" s="1"/>
  <c r="J99" i="138"/>
  <c r="K99" i="138" s="1"/>
  <c r="J100" i="138"/>
  <c r="K100" i="138"/>
  <c r="J101" i="138"/>
  <c r="K101" i="138" s="1"/>
  <c r="J102" i="138"/>
  <c r="K102" i="138"/>
  <c r="J103" i="138"/>
  <c r="K103" i="138" s="1"/>
  <c r="J104" i="138"/>
  <c r="K104" i="138"/>
  <c r="J105" i="138"/>
  <c r="K105" i="138" s="1"/>
  <c r="J106" i="138"/>
  <c r="K106" i="138" s="1"/>
  <c r="H107" i="138"/>
  <c r="I107" i="138" s="1"/>
  <c r="J107" i="138"/>
  <c r="K107" i="138"/>
  <c r="H108" i="138"/>
  <c r="I108" i="138" s="1"/>
  <c r="J108" i="138"/>
  <c r="K108" i="138"/>
  <c r="H109" i="138"/>
  <c r="I109" i="138" s="1"/>
  <c r="H110" i="138"/>
  <c r="I110" i="138" s="1"/>
  <c r="J110" i="138"/>
  <c r="K110" i="138" s="1"/>
  <c r="H111" i="138"/>
  <c r="I111" i="138" s="1"/>
  <c r="J111" i="138"/>
  <c r="K111" i="138"/>
  <c r="H112" i="138"/>
  <c r="I112" i="138" s="1"/>
  <c r="J112" i="138"/>
  <c r="K112" i="138"/>
  <c r="H113" i="138"/>
  <c r="I113" i="138" s="1"/>
  <c r="H114" i="138"/>
  <c r="I114" i="138" s="1"/>
  <c r="J114" i="138"/>
  <c r="K114" i="138" s="1"/>
  <c r="H115" i="138"/>
  <c r="I115" i="138" s="1"/>
  <c r="J115" i="138"/>
  <c r="K115" i="138"/>
  <c r="H116" i="138"/>
  <c r="I116" i="138" s="1"/>
  <c r="J116" i="138"/>
  <c r="K116" i="138"/>
  <c r="H117" i="138"/>
  <c r="I117" i="138" s="1"/>
  <c r="H118" i="138"/>
  <c r="I118" i="138" s="1"/>
  <c r="J118" i="138"/>
  <c r="K118" i="138" s="1"/>
  <c r="H119" i="138"/>
  <c r="I119" i="138" s="1"/>
  <c r="J119" i="138"/>
  <c r="K119" i="138"/>
  <c r="H120" i="138"/>
  <c r="I120" i="138" s="1"/>
  <c r="J120" i="138"/>
  <c r="K120" i="138"/>
  <c r="J121" i="138"/>
  <c r="K121" i="138" s="1"/>
  <c r="J122" i="138"/>
  <c r="K122" i="138"/>
  <c r="I123" i="138"/>
  <c r="J123" i="138"/>
  <c r="K123" i="138"/>
  <c r="J124" i="138"/>
  <c r="K124" i="138"/>
  <c r="J125" i="138"/>
  <c r="K125" i="138"/>
  <c r="H126" i="138"/>
  <c r="J126" i="138" s="1"/>
  <c r="I126" i="138"/>
  <c r="K126" i="138"/>
  <c r="H127" i="138"/>
  <c r="J127" i="138" s="1"/>
  <c r="I127" i="138"/>
  <c r="K127" i="138"/>
  <c r="H128" i="138"/>
  <c r="J128" i="138" s="1"/>
  <c r="K128" i="138" s="1"/>
  <c r="H129" i="138"/>
  <c r="J129" i="138" s="1"/>
  <c r="K129" i="138" s="1"/>
  <c r="I129" i="138"/>
  <c r="H130" i="138"/>
  <c r="J130" i="138" s="1"/>
  <c r="I130" i="138"/>
  <c r="K130" i="138"/>
  <c r="H131" i="138"/>
  <c r="J131" i="138" s="1"/>
  <c r="I131" i="138"/>
  <c r="K131" i="138"/>
  <c r="H132" i="138"/>
  <c r="J132" i="138" s="1"/>
  <c r="K132" i="138" s="1"/>
  <c r="H133" i="138"/>
  <c r="J133" i="138" s="1"/>
  <c r="K133" i="138" s="1"/>
  <c r="I133" i="138"/>
  <c r="H134" i="138"/>
  <c r="J134" i="138" s="1"/>
  <c r="I134" i="138"/>
  <c r="K134" i="138"/>
  <c r="H135" i="138"/>
  <c r="J135" i="138" s="1"/>
  <c r="I135" i="138"/>
  <c r="K135" i="138"/>
  <c r="H136" i="138"/>
  <c r="J136" i="138" s="1"/>
  <c r="K136" i="138" s="1"/>
  <c r="H137" i="138"/>
  <c r="J137" i="138" s="1"/>
  <c r="K137" i="138" s="1"/>
  <c r="I137" i="138"/>
  <c r="H138" i="138"/>
  <c r="J138" i="138" s="1"/>
  <c r="I138" i="138"/>
  <c r="K138" i="138"/>
  <c r="H139" i="138"/>
  <c r="J139" i="138" s="1"/>
  <c r="I139" i="138"/>
  <c r="K139" i="138"/>
  <c r="H140" i="138"/>
  <c r="J140" i="138" s="1"/>
  <c r="K140" i="138" s="1"/>
  <c r="H141" i="138"/>
  <c r="H142" i="138"/>
  <c r="H143" i="138"/>
  <c r="J144" i="138"/>
  <c r="K144" i="138" s="1"/>
  <c r="J145" i="138"/>
  <c r="K145" i="138"/>
  <c r="J146" i="138"/>
  <c r="K146" i="138" s="1"/>
  <c r="J147" i="138"/>
  <c r="K147" i="138"/>
  <c r="J148" i="138"/>
  <c r="K148" i="138" s="1"/>
  <c r="J149" i="138"/>
  <c r="K149" i="138"/>
  <c r="J150" i="138"/>
  <c r="K150" i="138" s="1"/>
  <c r="J151" i="138"/>
  <c r="K151" i="138"/>
  <c r="J152" i="138"/>
  <c r="K152" i="138" s="1"/>
  <c r="J153" i="138"/>
  <c r="K153" i="138"/>
  <c r="J154" i="138"/>
  <c r="K154" i="138" s="1"/>
  <c r="H155" i="138"/>
  <c r="I155" i="138"/>
  <c r="J155" i="138"/>
  <c r="K155" i="138" s="1"/>
  <c r="H156" i="138"/>
  <c r="I156" i="138"/>
  <c r="J156" i="138"/>
  <c r="K156" i="138" s="1"/>
  <c r="H157" i="138"/>
  <c r="I157" i="138"/>
  <c r="J157" i="138"/>
  <c r="K157" i="138" s="1"/>
  <c r="H158" i="138"/>
  <c r="I158" i="138"/>
  <c r="J158" i="138"/>
  <c r="K158" i="138" s="1"/>
  <c r="H159" i="138"/>
  <c r="I159" i="138"/>
  <c r="J159" i="138"/>
  <c r="K159" i="138" s="1"/>
  <c r="J160" i="138"/>
  <c r="K160" i="138"/>
  <c r="J161" i="138"/>
  <c r="K161" i="138" s="1"/>
  <c r="H162" i="138"/>
  <c r="I162" i="138"/>
  <c r="J162" i="138"/>
  <c r="K162" i="138" s="1"/>
  <c r="H163" i="138"/>
  <c r="I163" i="138"/>
  <c r="J163" i="138"/>
  <c r="K163" i="138" s="1"/>
  <c r="H164" i="138"/>
  <c r="I164" i="138"/>
  <c r="J164" i="138"/>
  <c r="K164" i="138" s="1"/>
  <c r="H165" i="138"/>
  <c r="I165" i="138"/>
  <c r="J165" i="138"/>
  <c r="K165" i="138" s="1"/>
  <c r="J166" i="138"/>
  <c r="K166" i="138"/>
  <c r="J167" i="138"/>
  <c r="K167" i="138" s="1"/>
  <c r="J168" i="138"/>
  <c r="K168" i="138"/>
  <c r="J169" i="138"/>
  <c r="K169" i="138" s="1"/>
  <c r="H170" i="138"/>
  <c r="I170" i="138"/>
  <c r="J170" i="138"/>
  <c r="K170" i="138" s="1"/>
  <c r="H171" i="138"/>
  <c r="I171" i="138"/>
  <c r="J171" i="138"/>
  <c r="K171" i="138" s="1"/>
  <c r="H172" i="138"/>
  <c r="I172" i="138"/>
  <c r="J172" i="138"/>
  <c r="K172" i="138" s="1"/>
  <c r="I173" i="138"/>
  <c r="J173" i="138"/>
  <c r="K173" i="138"/>
  <c r="H174" i="138"/>
  <c r="I174" i="138"/>
  <c r="J174" i="138"/>
  <c r="K174" i="138" s="1"/>
  <c r="H175" i="138"/>
  <c r="I175" i="138" s="1"/>
  <c r="J175" i="138"/>
  <c r="K175" i="138" s="1"/>
  <c r="H176" i="138"/>
  <c r="I176" i="138" s="1"/>
  <c r="J176" i="138"/>
  <c r="K176" i="138"/>
  <c r="J177" i="138"/>
  <c r="K177" i="138" s="1"/>
  <c r="J178" i="138"/>
  <c r="K178" i="138" s="1"/>
  <c r="H179" i="138"/>
  <c r="I179" i="138" s="1"/>
  <c r="J179" i="138"/>
  <c r="K179" i="138" s="1"/>
  <c r="H180" i="138"/>
  <c r="I180" i="138" s="1"/>
  <c r="J180" i="138"/>
  <c r="K180" i="138" s="1"/>
  <c r="H181" i="138"/>
  <c r="I181" i="138" s="1"/>
  <c r="J181" i="138"/>
  <c r="K181" i="138"/>
  <c r="H182" i="138"/>
  <c r="I182" i="138" s="1"/>
  <c r="H183" i="138"/>
  <c r="I183" i="138" s="1"/>
  <c r="J184" i="138"/>
  <c r="K184" i="138" s="1"/>
  <c r="J185" i="138"/>
  <c r="K185" i="138" s="1"/>
  <c r="H186" i="138"/>
  <c r="I186" i="138" s="1"/>
  <c r="H187" i="138"/>
  <c r="I187" i="138" s="1"/>
  <c r="H188" i="138"/>
  <c r="I188" i="138" s="1"/>
  <c r="H189" i="138"/>
  <c r="I189" i="138" s="1"/>
  <c r="J189" i="138"/>
  <c r="K189" i="138" s="1"/>
  <c r="J190" i="138"/>
  <c r="K190" i="138" s="1"/>
  <c r="J191" i="138"/>
  <c r="K191" i="138"/>
  <c r="H192" i="138"/>
  <c r="I192" i="138" s="1"/>
  <c r="J193" i="138"/>
  <c r="K193" i="138" s="1"/>
  <c r="J194" i="138"/>
  <c r="K194" i="138" s="1"/>
  <c r="J195" i="138"/>
  <c r="K195" i="138" s="1"/>
  <c r="J196" i="138"/>
  <c r="K196" i="138" s="1"/>
  <c r="J197" i="138"/>
  <c r="K197" i="138" s="1"/>
  <c r="J198" i="138"/>
  <c r="K198" i="138"/>
  <c r="J199" i="138"/>
  <c r="K199" i="138" s="1"/>
  <c r="J200" i="138"/>
  <c r="K200" i="138"/>
  <c r="J201" i="138"/>
  <c r="K201" i="138" s="1"/>
  <c r="J202" i="138"/>
  <c r="K202" i="138" s="1"/>
  <c r="J203" i="138"/>
  <c r="K203" i="138" s="1"/>
  <c r="J204" i="138"/>
  <c r="K204" i="138" s="1"/>
  <c r="J205" i="138"/>
  <c r="K205" i="138" s="1"/>
  <c r="H206" i="138"/>
  <c r="I206" i="138"/>
  <c r="J206" i="138"/>
  <c r="K206" i="138" s="1"/>
  <c r="J207" i="138"/>
  <c r="K207" i="138"/>
  <c r="J208" i="138"/>
  <c r="K208" i="138" s="1"/>
  <c r="H209" i="138"/>
  <c r="J209" i="138" s="1"/>
  <c r="K209" i="138" s="1"/>
  <c r="H210" i="138"/>
  <c r="I210" i="138" s="1"/>
  <c r="H211" i="138"/>
  <c r="I211" i="138"/>
  <c r="J211" i="138"/>
  <c r="K211" i="138" s="1"/>
  <c r="J212" i="138"/>
  <c r="K212" i="138"/>
  <c r="H213" i="138"/>
  <c r="I213" i="138" s="1"/>
  <c r="H214" i="138"/>
  <c r="I214" i="138" s="1"/>
  <c r="J214" i="138"/>
  <c r="K214" i="138" s="1"/>
  <c r="J215" i="138"/>
  <c r="K215" i="138" s="1"/>
  <c r="H216" i="138"/>
  <c r="I216" i="138"/>
  <c r="J216" i="138"/>
  <c r="K216" i="138" s="1"/>
  <c r="H217" i="138"/>
  <c r="I217" i="138"/>
  <c r="J217" i="138"/>
  <c r="K217" i="138" s="1"/>
  <c r="J218" i="138"/>
  <c r="K218" i="138" s="1"/>
  <c r="H219" i="138"/>
  <c r="I219" i="138" s="1"/>
  <c r="J219" i="138"/>
  <c r="K219" i="138" s="1"/>
  <c r="H220" i="138"/>
  <c r="I220" i="138" s="1"/>
  <c r="J220" i="138"/>
  <c r="K220" i="138"/>
  <c r="H221" i="138"/>
  <c r="I221" i="138" s="1"/>
  <c r="J222" i="138"/>
  <c r="K222" i="138" s="1"/>
  <c r="H223" i="138"/>
  <c r="J223" i="138" s="1"/>
  <c r="K223" i="138" s="1"/>
  <c r="J224" i="138"/>
  <c r="K224" i="138" s="1"/>
  <c r="H225" i="138"/>
  <c r="I225" i="138" s="1"/>
  <c r="J225" i="138"/>
  <c r="K225" i="138"/>
  <c r="H226" i="138"/>
  <c r="I226" i="138" s="1"/>
  <c r="J227" i="138"/>
  <c r="K227" i="138" s="1"/>
  <c r="J228" i="138"/>
  <c r="K228" i="138" s="1"/>
  <c r="H229" i="138"/>
  <c r="I229" i="138" s="1"/>
  <c r="J229" i="138"/>
  <c r="K229" i="138" s="1"/>
  <c r="J230" i="138"/>
  <c r="K230" i="138" s="1"/>
  <c r="J231" i="138"/>
  <c r="K231" i="138"/>
  <c r="H232" i="138"/>
  <c r="I232" i="138" s="1"/>
  <c r="J233" i="138"/>
  <c r="K233" i="138" s="1"/>
  <c r="H234" i="138"/>
  <c r="I234" i="138" s="1"/>
  <c r="H235" i="138"/>
  <c r="I235" i="138" s="1"/>
  <c r="H236" i="138"/>
  <c r="I236" i="138"/>
  <c r="J236" i="138"/>
  <c r="K236" i="138" s="1"/>
  <c r="J237" i="138"/>
  <c r="K237" i="138"/>
  <c r="J238" i="138"/>
  <c r="K238" i="138" s="1"/>
  <c r="J239" i="138"/>
  <c r="K239" i="138" s="1"/>
  <c r="J240" i="138"/>
  <c r="K240" i="138" s="1"/>
  <c r="J241" i="138"/>
  <c r="K241" i="138" s="1"/>
  <c r="J242" i="138"/>
  <c r="K242" i="138" s="1"/>
  <c r="J243" i="138"/>
  <c r="K243" i="138"/>
  <c r="J244" i="138"/>
  <c r="K244" i="138" s="1"/>
  <c r="J245" i="138"/>
  <c r="K245" i="138"/>
  <c r="J246" i="138"/>
  <c r="K246" i="138" s="1"/>
  <c r="J247" i="138"/>
  <c r="K247" i="138" s="1"/>
  <c r="J248" i="138"/>
  <c r="K248" i="138" s="1"/>
  <c r="H249" i="138"/>
  <c r="I249" i="138" s="1"/>
  <c r="H250" i="138"/>
  <c r="I250" i="138"/>
  <c r="J250" i="138"/>
  <c r="K250" i="138" s="1"/>
  <c r="H251" i="138"/>
  <c r="I251" i="138"/>
  <c r="J251" i="138"/>
  <c r="K251" i="138" s="1"/>
  <c r="J252" i="138"/>
  <c r="K252" i="138" s="1"/>
  <c r="J253" i="138"/>
  <c r="K253" i="138" s="1"/>
  <c r="H254" i="138"/>
  <c r="I254" i="138" s="1"/>
  <c r="J255" i="138"/>
  <c r="K255" i="138"/>
  <c r="J256" i="138"/>
  <c r="K256" i="138" s="1"/>
  <c r="J257" i="138"/>
  <c r="K257" i="138"/>
  <c r="H258" i="138"/>
  <c r="I258" i="138" s="1"/>
  <c r="H259" i="138"/>
  <c r="I259" i="138" s="1"/>
  <c r="J259" i="138"/>
  <c r="K259" i="138" s="1"/>
  <c r="H260" i="138"/>
  <c r="I260" i="138" s="1"/>
  <c r="J260" i="138"/>
  <c r="K260" i="138"/>
  <c r="H261" i="138"/>
  <c r="I261" i="138" s="1"/>
  <c r="H262" i="138"/>
  <c r="I262" i="138" s="1"/>
  <c r="J263" i="138"/>
  <c r="K263" i="138" s="1"/>
  <c r="H264" i="138"/>
  <c r="I264" i="138" s="1"/>
  <c r="H265" i="138"/>
  <c r="I265" i="138"/>
  <c r="J265" i="138"/>
  <c r="K265" i="138" s="1"/>
  <c r="H266" i="138"/>
  <c r="I266" i="138"/>
  <c r="J266" i="138"/>
  <c r="K266" i="138" s="1"/>
  <c r="H267" i="138"/>
  <c r="I267" i="138" s="1"/>
  <c r="H268" i="138"/>
  <c r="I268" i="138" s="1"/>
  <c r="H269" i="138"/>
  <c r="I269" i="138" s="1"/>
  <c r="H270" i="138"/>
  <c r="I270" i="138" s="1"/>
  <c r="J271" i="138"/>
  <c r="K271" i="138" s="1"/>
  <c r="J272" i="138"/>
  <c r="K272" i="138"/>
  <c r="H273" i="138"/>
  <c r="I273" i="138" s="1"/>
  <c r="H274" i="138"/>
  <c r="I274" i="138" s="1"/>
  <c r="J275" i="138"/>
  <c r="K275" i="138" s="1"/>
  <c r="F277" i="138"/>
  <c r="H277" i="138"/>
  <c r="H14" i="139" s="1"/>
  <c r="H293" i="138"/>
  <c r="H483" i="138" s="1"/>
  <c r="I293" i="138"/>
  <c r="I298" i="138"/>
  <c r="H300" i="138"/>
  <c r="I300" i="138"/>
  <c r="H305" i="138"/>
  <c r="I305" i="138"/>
  <c r="H315" i="138"/>
  <c r="I315" i="138"/>
  <c r="H324" i="138"/>
  <c r="I324" i="138"/>
  <c r="H332" i="138"/>
  <c r="I332" i="138"/>
  <c r="I338" i="138"/>
  <c r="H340" i="138"/>
  <c r="I340" i="138"/>
  <c r="I343" i="138"/>
  <c r="I346" i="138"/>
  <c r="I348" i="138"/>
  <c r="H351" i="138"/>
  <c r="I351" i="138"/>
  <c r="I354" i="138"/>
  <c r="I356" i="138"/>
  <c r="H358" i="138"/>
  <c r="I358" i="138"/>
  <c r="I362" i="138"/>
  <c r="H364" i="138"/>
  <c r="I364" i="138"/>
  <c r="H367" i="138"/>
  <c r="I367" i="138"/>
  <c r="H370" i="138"/>
  <c r="I370" i="138"/>
  <c r="I372" i="138"/>
  <c r="I374" i="138"/>
  <c r="I377" i="138"/>
  <c r="I379" i="138"/>
  <c r="I381" i="138"/>
  <c r="I384" i="138"/>
  <c r="I386" i="138"/>
  <c r="I388" i="138"/>
  <c r="I391" i="138"/>
  <c r="I394" i="138"/>
  <c r="H396" i="138"/>
  <c r="I396" i="138"/>
  <c r="H398" i="138"/>
  <c r="I398" i="138"/>
  <c r="J398" i="138"/>
  <c r="H401" i="138"/>
  <c r="I401" i="138"/>
  <c r="I403" i="138"/>
  <c r="I405" i="138"/>
  <c r="I407" i="138"/>
  <c r="I410" i="138"/>
  <c r="I412" i="138"/>
  <c r="H414" i="138"/>
  <c r="I414" i="138"/>
  <c r="I416" i="138"/>
  <c r="I418" i="138"/>
  <c r="H420" i="138"/>
  <c r="I420" i="138"/>
  <c r="H422" i="138"/>
  <c r="I422" i="138"/>
  <c r="H425" i="138"/>
  <c r="I425" i="138"/>
  <c r="I426" i="138"/>
  <c r="H428" i="138"/>
  <c r="I428" i="138"/>
  <c r="I431" i="138"/>
  <c r="I433" i="138"/>
  <c r="I434" i="138"/>
  <c r="I436" i="138"/>
  <c r="H460" i="138"/>
  <c r="I460" i="138"/>
  <c r="F15" i="141" l="1"/>
  <c r="F27" i="141"/>
  <c r="H25" i="139"/>
  <c r="I25" i="139" s="1"/>
  <c r="H29" i="139"/>
  <c r="I29" i="139" s="1"/>
  <c r="I14" i="139"/>
  <c r="H27" i="139"/>
  <c r="I27" i="139" s="1"/>
  <c r="K29" i="139"/>
  <c r="J274" i="138"/>
  <c r="K274" i="138" s="1"/>
  <c r="J273" i="138"/>
  <c r="K273" i="138" s="1"/>
  <c r="J270" i="138"/>
  <c r="K270" i="138" s="1"/>
  <c r="J269" i="138"/>
  <c r="K269" i="138" s="1"/>
  <c r="J268" i="138"/>
  <c r="K268" i="138" s="1"/>
  <c r="J267" i="138"/>
  <c r="K267" i="138" s="1"/>
  <c r="J234" i="138"/>
  <c r="K234" i="138" s="1"/>
  <c r="J264" i="138"/>
  <c r="K264" i="138" s="1"/>
  <c r="J261" i="138"/>
  <c r="K261" i="138" s="1"/>
  <c r="J254" i="138"/>
  <c r="K254" i="138" s="1"/>
  <c r="J249" i="138"/>
  <c r="K249" i="138" s="1"/>
  <c r="J235" i="138"/>
  <c r="K235" i="138" s="1"/>
  <c r="J232" i="138"/>
  <c r="K232" i="138" s="1"/>
  <c r="J226" i="138"/>
  <c r="K226" i="138" s="1"/>
  <c r="I223" i="138"/>
  <c r="J221" i="138"/>
  <c r="K221" i="138" s="1"/>
  <c r="J210" i="138"/>
  <c r="K210" i="138" s="1"/>
  <c r="I209" i="138"/>
  <c r="J192" i="138"/>
  <c r="K192" i="138" s="1"/>
  <c r="J187" i="138"/>
  <c r="K187" i="138" s="1"/>
  <c r="J182" i="138"/>
  <c r="K182" i="138" s="1"/>
  <c r="J143" i="138"/>
  <c r="K143" i="138" s="1"/>
  <c r="I143" i="138"/>
  <c r="J262" i="138"/>
  <c r="K262" i="138" s="1"/>
  <c r="J258" i="138"/>
  <c r="K258" i="138" s="1"/>
  <c r="J213" i="138"/>
  <c r="K213" i="138" s="1"/>
  <c r="J188" i="138"/>
  <c r="K188" i="138" s="1"/>
  <c r="J183" i="138"/>
  <c r="K183" i="138" s="1"/>
  <c r="J142" i="138"/>
  <c r="K142" i="138" s="1"/>
  <c r="I142" i="138"/>
  <c r="J141" i="138"/>
  <c r="K141" i="138" s="1"/>
  <c r="I141" i="138"/>
  <c r="J186" i="138"/>
  <c r="K186" i="138" s="1"/>
  <c r="I140" i="138"/>
  <c r="I136" i="138"/>
  <c r="I132" i="138"/>
  <c r="I128" i="138"/>
  <c r="J117" i="138"/>
  <c r="K117" i="138" s="1"/>
  <c r="J113" i="138"/>
  <c r="K113" i="138" s="1"/>
  <c r="J109" i="138"/>
  <c r="K109" i="138" s="1"/>
  <c r="K279" i="138" s="1"/>
  <c r="K280" i="138" s="1"/>
  <c r="I93" i="138"/>
  <c r="I89" i="138"/>
  <c r="I85" i="138"/>
  <c r="I81" i="138"/>
  <c r="I77" i="138"/>
  <c r="I73" i="138"/>
  <c r="F12" i="139"/>
  <c r="G63" i="140"/>
  <c r="E111" i="139"/>
  <c r="F42" i="139"/>
  <c r="F111" i="139" s="1"/>
  <c r="J38" i="138"/>
  <c r="E12" i="139"/>
  <c r="F101" i="139"/>
  <c r="D10" i="137"/>
  <c r="G10" i="137"/>
  <c r="D11" i="137"/>
  <c r="G11" i="137" s="1"/>
  <c r="D12" i="137"/>
  <c r="G12" i="137"/>
  <c r="D13" i="137"/>
  <c r="G13" i="137" s="1"/>
  <c r="D15" i="137"/>
  <c r="G15" i="137"/>
  <c r="D17" i="137"/>
  <c r="G17" i="137" s="1"/>
  <c r="D19" i="137"/>
  <c r="G19" i="137"/>
  <c r="D21" i="137"/>
  <c r="G21" i="137" s="1"/>
  <c r="D22" i="137"/>
  <c r="G22" i="137"/>
  <c r="D23" i="137"/>
  <c r="G23" i="137" s="1"/>
  <c r="D24" i="137"/>
  <c r="E24" i="137"/>
  <c r="E47" i="137" s="1"/>
  <c r="G24" i="137"/>
  <c r="D25" i="137"/>
  <c r="G25" i="137" s="1"/>
  <c r="D27" i="137"/>
  <c r="G27" i="137"/>
  <c r="D29" i="137"/>
  <c r="G29" i="137" s="1"/>
  <c r="D31" i="137"/>
  <c r="G31" i="137"/>
  <c r="D32" i="137"/>
  <c r="G32" i="137" s="1"/>
  <c r="D33" i="137"/>
  <c r="G33" i="137"/>
  <c r="D34" i="137"/>
  <c r="G34" i="137" s="1"/>
  <c r="D35" i="137"/>
  <c r="G35" i="137"/>
  <c r="D44" i="137"/>
  <c r="G44" i="137" s="1"/>
  <c r="D46" i="137"/>
  <c r="G46" i="137"/>
  <c r="F47" i="137"/>
  <c r="H47" i="137"/>
  <c r="I47" i="137"/>
  <c r="D15" i="136"/>
  <c r="E15" i="136"/>
  <c r="E13" i="136" s="1"/>
  <c r="G15" i="136"/>
  <c r="G13" i="136" s="1"/>
  <c r="H15" i="136"/>
  <c r="I15" i="136"/>
  <c r="D17" i="136"/>
  <c r="E17" i="136"/>
  <c r="G17" i="136"/>
  <c r="F17" i="136" s="1"/>
  <c r="H17" i="136"/>
  <c r="D18" i="136"/>
  <c r="E18" i="136"/>
  <c r="F18" i="136"/>
  <c r="G18" i="136"/>
  <c r="D19" i="136"/>
  <c r="E19" i="136"/>
  <c r="F19" i="136"/>
  <c r="G19" i="136"/>
  <c r="D20" i="136"/>
  <c r="E20" i="136"/>
  <c r="F20" i="136"/>
  <c r="G20" i="136"/>
  <c r="H20" i="136"/>
  <c r="D21" i="136"/>
  <c r="E21" i="136"/>
  <c r="F21" i="136" s="1"/>
  <c r="G21" i="136"/>
  <c r="D22" i="136"/>
  <c r="E22" i="136"/>
  <c r="F22" i="136" s="1"/>
  <c r="G22" i="136"/>
  <c r="H22" i="136"/>
  <c r="H24" i="136" s="1"/>
  <c r="I22" i="136"/>
  <c r="D23" i="136"/>
  <c r="E23" i="136"/>
  <c r="G23" i="136"/>
  <c r="F23" i="136" s="1"/>
  <c r="H23" i="136"/>
  <c r="D24" i="136"/>
  <c r="E24" i="136"/>
  <c r="F24" i="136"/>
  <c r="G24" i="136"/>
  <c r="D26" i="136"/>
  <c r="D13" i="136" s="1"/>
  <c r="E26" i="136"/>
  <c r="G26" i="136"/>
  <c r="F26" i="136" s="1"/>
  <c r="I26" i="136"/>
  <c r="J26" i="136"/>
  <c r="D27" i="136"/>
  <c r="E27" i="136"/>
  <c r="F27" i="136"/>
  <c r="G27" i="136"/>
  <c r="H27" i="136"/>
  <c r="D28" i="136"/>
  <c r="E28" i="136"/>
  <c r="F28" i="136" s="1"/>
  <c r="G28" i="136"/>
  <c r="H28" i="136"/>
  <c r="I28" i="136"/>
  <c r="D29" i="136"/>
  <c r="E29" i="136"/>
  <c r="G29" i="136"/>
  <c r="F29" i="136" s="1"/>
  <c r="H29" i="136"/>
  <c r="D31" i="136"/>
  <c r="E31" i="136"/>
  <c r="F31" i="136"/>
  <c r="G31" i="136"/>
  <c r="D32" i="136"/>
  <c r="E32" i="136"/>
  <c r="F32" i="136"/>
  <c r="G32" i="136"/>
  <c r="H32" i="136"/>
  <c r="D33" i="136"/>
  <c r="E33" i="136"/>
  <c r="F33" i="136" s="1"/>
  <c r="G33" i="136"/>
  <c r="D34" i="136"/>
  <c r="E34" i="136"/>
  <c r="F34" i="136" s="1"/>
  <c r="G34" i="136"/>
  <c r="D36" i="136"/>
  <c r="E36" i="136"/>
  <c r="F36" i="136" s="1"/>
  <c r="G36" i="136"/>
  <c r="H36" i="136"/>
  <c r="D37" i="136"/>
  <c r="F37" i="136"/>
  <c r="H38" i="136"/>
  <c r="D39" i="136"/>
  <c r="D38" i="136" s="1"/>
  <c r="E39" i="136"/>
  <c r="E38" i="136" s="1"/>
  <c r="E86" i="136" s="1"/>
  <c r="F39" i="136"/>
  <c r="G39" i="136"/>
  <c r="D40" i="136"/>
  <c r="E40" i="136"/>
  <c r="F40" i="136"/>
  <c r="G40" i="136"/>
  <c r="D41" i="136"/>
  <c r="E41" i="136"/>
  <c r="F41" i="136"/>
  <c r="G41" i="136"/>
  <c r="D42" i="136"/>
  <c r="E42" i="136"/>
  <c r="F42" i="136"/>
  <c r="G42" i="136"/>
  <c r="D44" i="136"/>
  <c r="E44" i="136"/>
  <c r="F44" i="136"/>
  <c r="G44" i="136"/>
  <c r="D45" i="136"/>
  <c r="E45" i="136"/>
  <c r="F45" i="136"/>
  <c r="G45" i="136"/>
  <c r="D47" i="136"/>
  <c r="E47" i="136"/>
  <c r="F47" i="136"/>
  <c r="G47" i="136"/>
  <c r="D49" i="136"/>
  <c r="E49" i="136"/>
  <c r="F49" i="136"/>
  <c r="G49" i="136"/>
  <c r="D50" i="136"/>
  <c r="E50" i="136"/>
  <c r="F50" i="136"/>
  <c r="G50" i="136"/>
  <c r="D51" i="136"/>
  <c r="E51" i="136"/>
  <c r="F51" i="136"/>
  <c r="G51" i="136"/>
  <c r="D52" i="136"/>
  <c r="E52" i="136"/>
  <c r="F52" i="136"/>
  <c r="G52" i="136"/>
  <c r="D53" i="136"/>
  <c r="E53" i="136"/>
  <c r="F53" i="136"/>
  <c r="G53" i="136"/>
  <c r="D70" i="136"/>
  <c r="E70" i="136"/>
  <c r="F70" i="136"/>
  <c r="G70" i="136"/>
  <c r="D72" i="136"/>
  <c r="E72" i="136"/>
  <c r="F72" i="136"/>
  <c r="G72" i="136"/>
  <c r="D74" i="136"/>
  <c r="E74" i="136"/>
  <c r="F74" i="136"/>
  <c r="G74" i="136"/>
  <c r="D75" i="136"/>
  <c r="E75" i="136"/>
  <c r="F75" i="136"/>
  <c r="G75" i="136"/>
  <c r="D76" i="136"/>
  <c r="G76" i="136"/>
  <c r="F76" i="136" s="1"/>
  <c r="D77" i="136"/>
  <c r="E77" i="136"/>
  <c r="G77" i="136"/>
  <c r="F77" i="136" s="1"/>
  <c r="D78" i="136"/>
  <c r="E78" i="136"/>
  <c r="G78" i="136"/>
  <c r="F78" i="136" s="1"/>
  <c r="D80" i="136"/>
  <c r="E80" i="136"/>
  <c r="G80" i="136"/>
  <c r="F80" i="136" s="1"/>
  <c r="D82" i="136"/>
  <c r="E82" i="136"/>
  <c r="G82" i="136"/>
  <c r="F82" i="136" s="1"/>
  <c r="E83" i="136"/>
  <c r="F83" i="136"/>
  <c r="G83" i="136"/>
  <c r="H83" i="136"/>
  <c r="D84" i="136"/>
  <c r="D85" i="136"/>
  <c r="D83" i="136" s="1"/>
  <c r="D86" i="136" s="1"/>
  <c r="H14" i="135"/>
  <c r="I14" i="135"/>
  <c r="H18" i="135"/>
  <c r="I18" i="135"/>
  <c r="I20" i="135"/>
  <c r="H21" i="135"/>
  <c r="I21" i="135"/>
  <c r="H22" i="135"/>
  <c r="I22" i="135"/>
  <c r="H23" i="135"/>
  <c r="I23" i="135"/>
  <c r="H24" i="135"/>
  <c r="I24" i="135"/>
  <c r="H26" i="135"/>
  <c r="I26" i="135"/>
  <c r="H27" i="135"/>
  <c r="I27" i="135"/>
  <c r="I29" i="135"/>
  <c r="H30" i="135"/>
  <c r="I30" i="135"/>
  <c r="H31" i="135"/>
  <c r="I31" i="135"/>
  <c r="H32" i="135"/>
  <c r="I32" i="135"/>
  <c r="H33" i="135"/>
  <c r="I33" i="135"/>
  <c r="H36" i="135"/>
  <c r="I36" i="135"/>
  <c r="H37" i="135"/>
  <c r="I37" i="135"/>
  <c r="H38" i="135"/>
  <c r="I38" i="135"/>
  <c r="H39" i="135"/>
  <c r="I39" i="135"/>
  <c r="H40" i="135"/>
  <c r="I40" i="135"/>
  <c r="H41" i="135"/>
  <c r="I41" i="135"/>
  <c r="H42" i="135"/>
  <c r="I42" i="135"/>
  <c r="H43" i="135"/>
  <c r="I43" i="135"/>
  <c r="H44" i="135"/>
  <c r="I44" i="135"/>
  <c r="H46" i="135"/>
  <c r="I46" i="135"/>
  <c r="H47" i="135"/>
  <c r="I47" i="135"/>
  <c r="H48" i="135"/>
  <c r="I48" i="135"/>
  <c r="F50" i="135"/>
  <c r="H50" i="135"/>
  <c r="I50" i="135"/>
  <c r="I64" i="135"/>
  <c r="H70" i="135"/>
  <c r="I70" i="135"/>
  <c r="H80" i="135"/>
  <c r="I80" i="135"/>
  <c r="I86" i="135"/>
  <c r="H88" i="135"/>
  <c r="I88" i="135"/>
  <c r="H93" i="135"/>
  <c r="I93" i="135"/>
  <c r="H102" i="135"/>
  <c r="I102" i="135"/>
  <c r="H111" i="135"/>
  <c r="I111" i="135"/>
  <c r="I117" i="135"/>
  <c r="I119" i="135"/>
  <c r="I121" i="135"/>
  <c r="K122" i="135"/>
  <c r="H128" i="135"/>
  <c r="I128" i="135"/>
  <c r="I133" i="135"/>
  <c r="H135" i="135"/>
  <c r="I135" i="135"/>
  <c r="H138" i="135"/>
  <c r="I138" i="135"/>
  <c r="I141" i="135"/>
  <c r="H143" i="135"/>
  <c r="I143" i="135"/>
  <c r="H146" i="135"/>
  <c r="I146" i="135"/>
  <c r="I149" i="135"/>
  <c r="H152" i="135"/>
  <c r="I152" i="135"/>
  <c r="I156" i="135"/>
  <c r="I158" i="135"/>
  <c r="I159" i="135"/>
  <c r="H162" i="135"/>
  <c r="I162" i="135"/>
  <c r="I165" i="135"/>
  <c r="H167" i="135"/>
  <c r="I167" i="135"/>
  <c r="I169" i="135"/>
  <c r="I172" i="135"/>
  <c r="H174" i="135"/>
  <c r="I174" i="135"/>
  <c r="I177" i="135"/>
  <c r="I179" i="135"/>
  <c r="I181" i="135"/>
  <c r="H183" i="135"/>
  <c r="I183" i="135"/>
  <c r="I185" i="135"/>
  <c r="I187" i="135"/>
  <c r="I190" i="135"/>
  <c r="H194" i="135"/>
  <c r="I194" i="135"/>
  <c r="H199" i="135"/>
  <c r="I277" i="138" l="1"/>
  <c r="I32" i="139"/>
  <c r="H12" i="139"/>
  <c r="H13" i="136"/>
  <c r="H86" i="136" s="1"/>
  <c r="I24" i="136"/>
  <c r="I29" i="136" s="1"/>
  <c r="F15" i="136"/>
  <c r="F13" i="136" s="1"/>
  <c r="G38" i="136"/>
  <c r="G86" i="136" s="1"/>
  <c r="F38" i="136"/>
  <c r="F86" i="136" s="1"/>
  <c r="G47" i="137"/>
  <c r="D47" i="137"/>
  <c r="C16" i="134"/>
  <c r="D16" i="134"/>
  <c r="E16" i="134"/>
  <c r="G16" i="134"/>
  <c r="H16" i="134"/>
  <c r="D18" i="134"/>
  <c r="E18" i="134"/>
  <c r="G18" i="134"/>
  <c r="F18" i="134" s="1"/>
  <c r="H18" i="134"/>
  <c r="C19" i="134"/>
  <c r="D19" i="134"/>
  <c r="E19" i="134"/>
  <c r="G19" i="134"/>
  <c r="F19" i="134" s="1"/>
  <c r="H19" i="134"/>
  <c r="D20" i="134"/>
  <c r="E20" i="134"/>
  <c r="G20" i="134"/>
  <c r="F20" i="134" s="1"/>
  <c r="H20" i="134"/>
  <c r="D21" i="134"/>
  <c r="E21" i="134"/>
  <c r="G21" i="134"/>
  <c r="F21" i="134" s="1"/>
  <c r="D22" i="134"/>
  <c r="E22" i="134"/>
  <c r="G22" i="134"/>
  <c r="F22" i="134" s="1"/>
  <c r="H22" i="134"/>
  <c r="D23" i="134"/>
  <c r="E23" i="134"/>
  <c r="G23" i="134"/>
  <c r="F23" i="134" s="1"/>
  <c r="H23" i="134"/>
  <c r="D24" i="134"/>
  <c r="E24" i="134"/>
  <c r="G24" i="134"/>
  <c r="F24" i="134" s="1"/>
  <c r="H24" i="134"/>
  <c r="C25" i="134"/>
  <c r="D25" i="134"/>
  <c r="E25" i="134"/>
  <c r="G25" i="134"/>
  <c r="H25" i="134"/>
  <c r="D26" i="134"/>
  <c r="E26" i="134"/>
  <c r="F26" i="134"/>
  <c r="G26" i="134"/>
  <c r="H26" i="134"/>
  <c r="D15" i="134" l="1"/>
  <c r="D28" i="134" s="1"/>
  <c r="G15" i="134"/>
  <c r="G28" i="134" s="1"/>
  <c r="F25" i="134"/>
  <c r="H15" i="134"/>
  <c r="H28" i="134" s="1"/>
  <c r="E15" i="134"/>
  <c r="E28" i="134" s="1"/>
  <c r="F16" i="134"/>
  <c r="F15" i="134" s="1"/>
  <c r="F28" i="134" s="1"/>
  <c r="I111" i="139"/>
  <c r="H111" i="139"/>
  <c r="D14" i="133"/>
  <c r="E14" i="133"/>
  <c r="G14" i="133"/>
  <c r="H14" i="133"/>
  <c r="D16" i="133"/>
  <c r="E16" i="133"/>
  <c r="F16" i="133"/>
  <c r="G16" i="133"/>
  <c r="H16" i="133"/>
  <c r="D17" i="133"/>
  <c r="E17" i="133"/>
  <c r="G17" i="133"/>
  <c r="H17" i="133"/>
  <c r="D18" i="133"/>
  <c r="E18" i="133"/>
  <c r="G18" i="133"/>
  <c r="H18" i="133"/>
  <c r="D19" i="133"/>
  <c r="E19" i="133"/>
  <c r="G19" i="133"/>
  <c r="H19" i="133"/>
  <c r="D20" i="133"/>
  <c r="E20" i="133"/>
  <c r="F20" i="133" s="1"/>
  <c r="G20" i="133"/>
  <c r="D21" i="133"/>
  <c r="E21" i="133"/>
  <c r="G21" i="133"/>
  <c r="D22" i="133"/>
  <c r="E22" i="133"/>
  <c r="F22" i="133" s="1"/>
  <c r="G22" i="133"/>
  <c r="I22" i="133"/>
  <c r="D23" i="133"/>
  <c r="E23" i="133"/>
  <c r="G23" i="133"/>
  <c r="D24" i="133"/>
  <c r="E24" i="133"/>
  <c r="G24" i="133"/>
  <c r="H24" i="133"/>
  <c r="D25" i="133"/>
  <c r="E25" i="133"/>
  <c r="G25" i="133"/>
  <c r="D27" i="133"/>
  <c r="E27" i="133"/>
  <c r="F27" i="133" s="1"/>
  <c r="G27" i="133"/>
  <c r="I27" i="133"/>
  <c r="D28" i="133"/>
  <c r="E28" i="133"/>
  <c r="G28" i="133"/>
  <c r="H28" i="133"/>
  <c r="H30" i="133" s="1"/>
  <c r="D29" i="133"/>
  <c r="E29" i="133"/>
  <c r="G29" i="133"/>
  <c r="H29" i="133"/>
  <c r="I29" i="133" s="1"/>
  <c r="D30" i="133"/>
  <c r="E30" i="133"/>
  <c r="G30" i="133"/>
  <c r="D32" i="133"/>
  <c r="E32" i="133"/>
  <c r="G32" i="133"/>
  <c r="D33" i="133"/>
  <c r="E33" i="133"/>
  <c r="G33" i="133"/>
  <c r="H33" i="133"/>
  <c r="D34" i="133"/>
  <c r="E34" i="133"/>
  <c r="F34" i="133" s="1"/>
  <c r="D35" i="133"/>
  <c r="E35" i="133"/>
  <c r="F35" i="133" s="1"/>
  <c r="D37" i="133"/>
  <c r="E37" i="133"/>
  <c r="G37" i="133"/>
  <c r="H37" i="133"/>
  <c r="D38" i="133"/>
  <c r="F38" i="133"/>
  <c r="H39" i="133"/>
  <c r="D40" i="133"/>
  <c r="E40" i="133"/>
  <c r="G40" i="133"/>
  <c r="D41" i="133"/>
  <c r="E41" i="133"/>
  <c r="G41" i="133"/>
  <c r="D42" i="133"/>
  <c r="E42" i="133"/>
  <c r="G42" i="133"/>
  <c r="F42" i="133" s="1"/>
  <c r="D44" i="133"/>
  <c r="E44" i="133"/>
  <c r="G44" i="133"/>
  <c r="D45" i="133"/>
  <c r="E45" i="133"/>
  <c r="G45" i="133"/>
  <c r="F45" i="133" s="1"/>
  <c r="D46" i="133"/>
  <c r="E46" i="133"/>
  <c r="G46" i="133"/>
  <c r="D47" i="133"/>
  <c r="E47" i="133"/>
  <c r="G47" i="133"/>
  <c r="F47" i="133" s="1"/>
  <c r="D48" i="133"/>
  <c r="E48" i="133"/>
  <c r="G48" i="133"/>
  <c r="D49" i="133"/>
  <c r="E49" i="133"/>
  <c r="G49" i="133"/>
  <c r="F49" i="133" s="1"/>
  <c r="D50" i="133"/>
  <c r="E50" i="133"/>
  <c r="G50" i="133"/>
  <c r="D52" i="133"/>
  <c r="E52" i="133"/>
  <c r="G52" i="133"/>
  <c r="F52" i="133" s="1"/>
  <c r="D54" i="133"/>
  <c r="E54" i="133"/>
  <c r="G54" i="133"/>
  <c r="D56" i="133"/>
  <c r="E56" i="133"/>
  <c r="G56" i="133"/>
  <c r="F56" i="133" s="1"/>
  <c r="D58" i="133"/>
  <c r="E58" i="133"/>
  <c r="G58" i="133"/>
  <c r="D59" i="133"/>
  <c r="E59" i="133"/>
  <c r="G59" i="133"/>
  <c r="F59" i="133" s="1"/>
  <c r="D60" i="133"/>
  <c r="E60" i="133"/>
  <c r="G60" i="133"/>
  <c r="D61" i="133"/>
  <c r="E61" i="133"/>
  <c r="G61" i="133"/>
  <c r="F61" i="133" s="1"/>
  <c r="D62" i="133"/>
  <c r="E62" i="133"/>
  <c r="H62" i="133"/>
  <c r="G63" i="133"/>
  <c r="F63" i="133" s="1"/>
  <c r="F62" i="133" s="1"/>
  <c r="G64" i="133"/>
  <c r="F64" i="133" s="1"/>
  <c r="F58" i="133" l="1"/>
  <c r="F50" i="133"/>
  <c r="F46" i="133"/>
  <c r="F41" i="133"/>
  <c r="F21" i="133"/>
  <c r="G39" i="133"/>
  <c r="F60" i="133"/>
  <c r="F54" i="133"/>
  <c r="F48" i="133"/>
  <c r="F44" i="133"/>
  <c r="F25" i="133"/>
  <c r="F33" i="133"/>
  <c r="F29" i="133"/>
  <c r="F28" i="133"/>
  <c r="F24" i="133"/>
  <c r="F19" i="133"/>
  <c r="F18" i="133"/>
  <c r="F40" i="133"/>
  <c r="F37" i="133"/>
  <c r="E39" i="133"/>
  <c r="F32" i="133"/>
  <c r="F30" i="133"/>
  <c r="F17" i="133"/>
  <c r="D12" i="133"/>
  <c r="D65" i="133" s="1"/>
  <c r="D39" i="133"/>
  <c r="E12" i="133"/>
  <c r="G12" i="133"/>
  <c r="F23" i="133"/>
  <c r="H25" i="133"/>
  <c r="I25" i="133" s="1"/>
  <c r="F14" i="133"/>
  <c r="G62" i="133"/>
  <c r="G65" i="133" s="1"/>
  <c r="J27" i="133"/>
  <c r="I14" i="133"/>
  <c r="H23" i="133"/>
  <c r="I23" i="133" s="1"/>
  <c r="D12" i="132"/>
  <c r="E12" i="132"/>
  <c r="G12" i="132"/>
  <c r="D14" i="132"/>
  <c r="E14" i="132"/>
  <c r="F14" i="132"/>
  <c r="F12" i="132" s="1"/>
  <c r="G14" i="132"/>
  <c r="D16" i="132"/>
  <c r="E16" i="132"/>
  <c r="F16" i="132"/>
  <c r="G16" i="132"/>
  <c r="H16" i="132"/>
  <c r="D17" i="132"/>
  <c r="E17" i="132"/>
  <c r="F17" i="132"/>
  <c r="G17" i="132"/>
  <c r="D18" i="132"/>
  <c r="E18" i="132"/>
  <c r="F18" i="132"/>
  <c r="G18" i="132"/>
  <c r="D19" i="132"/>
  <c r="E19" i="132"/>
  <c r="F19" i="132"/>
  <c r="G19" i="132"/>
  <c r="H19" i="132"/>
  <c r="D20" i="132"/>
  <c r="E20" i="132"/>
  <c r="F20" i="132"/>
  <c r="G20" i="132"/>
  <c r="D21" i="132"/>
  <c r="E21" i="132"/>
  <c r="F21" i="132"/>
  <c r="G21" i="132"/>
  <c r="D22" i="132"/>
  <c r="E22" i="132"/>
  <c r="F22" i="132"/>
  <c r="G22" i="132"/>
  <c r="H22" i="132"/>
  <c r="D23" i="132"/>
  <c r="E23" i="132"/>
  <c r="F23" i="132"/>
  <c r="G23" i="132"/>
  <c r="D25" i="132"/>
  <c r="E25" i="132"/>
  <c r="F25" i="132"/>
  <c r="G25" i="132"/>
  <c r="H25" i="132"/>
  <c r="I25" i="132"/>
  <c r="D26" i="132"/>
  <c r="E26" i="132"/>
  <c r="F26" i="132"/>
  <c r="G26" i="132"/>
  <c r="H26" i="132"/>
  <c r="D27" i="132"/>
  <c r="E27" i="132"/>
  <c r="F27" i="132"/>
  <c r="G27" i="132"/>
  <c r="H27" i="132"/>
  <c r="I27" i="132"/>
  <c r="D28" i="132"/>
  <c r="E28" i="132"/>
  <c r="F28" i="132"/>
  <c r="G28" i="132"/>
  <c r="H28" i="132"/>
  <c r="D30" i="132"/>
  <c r="E30" i="132"/>
  <c r="F30" i="132"/>
  <c r="G30" i="132"/>
  <c r="D31" i="132"/>
  <c r="E31" i="132"/>
  <c r="F31" i="132"/>
  <c r="G31" i="132"/>
  <c r="H31" i="132"/>
  <c r="D32" i="132"/>
  <c r="E32" i="132"/>
  <c r="F32" i="132"/>
  <c r="G32" i="132"/>
  <c r="D33" i="132"/>
  <c r="E33" i="132"/>
  <c r="F33" i="132"/>
  <c r="G33" i="132"/>
  <c r="F34" i="132"/>
  <c r="G34" i="132"/>
  <c r="D36" i="132"/>
  <c r="F36" i="132"/>
  <c r="G36" i="132"/>
  <c r="H36" i="132"/>
  <c r="D38" i="132"/>
  <c r="F38" i="132"/>
  <c r="G38" i="132"/>
  <c r="D39" i="132"/>
  <c r="F39" i="132"/>
  <c r="D40" i="132"/>
  <c r="E40" i="132"/>
  <c r="G40" i="132"/>
  <c r="H40" i="132"/>
  <c r="D41" i="132"/>
  <c r="E41" i="132"/>
  <c r="F41" i="132"/>
  <c r="G41" i="132"/>
  <c r="D42" i="132"/>
  <c r="E42" i="132"/>
  <c r="F42" i="132"/>
  <c r="G42" i="132"/>
  <c r="D43" i="132"/>
  <c r="E43" i="132"/>
  <c r="F43" i="132"/>
  <c r="G43" i="132"/>
  <c r="D44" i="132"/>
  <c r="E44" i="132"/>
  <c r="F44" i="132"/>
  <c r="G44" i="132"/>
  <c r="D46" i="132"/>
  <c r="E46" i="132"/>
  <c r="F46" i="132"/>
  <c r="G46" i="132"/>
  <c r="D47" i="132"/>
  <c r="F47" i="132"/>
  <c r="D48" i="132"/>
  <c r="E48" i="132"/>
  <c r="F48" i="132"/>
  <c r="F40" i="132" s="1"/>
  <c r="G48" i="132"/>
  <c r="D49" i="132"/>
  <c r="E49" i="132"/>
  <c r="F49" i="132"/>
  <c r="G49" i="132"/>
  <c r="D50" i="132"/>
  <c r="E50" i="132"/>
  <c r="F50" i="132"/>
  <c r="G50" i="132"/>
  <c r="D51" i="132"/>
  <c r="E51" i="132"/>
  <c r="F51" i="132"/>
  <c r="G51" i="132"/>
  <c r="D52" i="132"/>
  <c r="E52" i="132"/>
  <c r="F52" i="132"/>
  <c r="G52" i="132"/>
  <c r="D53" i="132"/>
  <c r="E53" i="132"/>
  <c r="F53" i="132"/>
  <c r="G53" i="132"/>
  <c r="D54" i="132"/>
  <c r="E54" i="132"/>
  <c r="F54" i="132"/>
  <c r="G54" i="132"/>
  <c r="D56" i="132"/>
  <c r="E56" i="132"/>
  <c r="F56" i="132"/>
  <c r="G56" i="132"/>
  <c r="D58" i="132"/>
  <c r="E58" i="132"/>
  <c r="F58" i="132"/>
  <c r="G58" i="132"/>
  <c r="D60" i="132"/>
  <c r="E60" i="132"/>
  <c r="F60" i="132"/>
  <c r="G60" i="132"/>
  <c r="D62" i="132"/>
  <c r="E62" i="132"/>
  <c r="F62" i="132"/>
  <c r="G62" i="132"/>
  <c r="D64" i="132"/>
  <c r="E64" i="132"/>
  <c r="F64" i="132"/>
  <c r="G64" i="132"/>
  <c r="D65" i="132"/>
  <c r="E65" i="132"/>
  <c r="F65" i="132"/>
  <c r="G65" i="132"/>
  <c r="D66" i="132"/>
  <c r="E66" i="132"/>
  <c r="F66" i="132"/>
  <c r="G66" i="132"/>
  <c r="D67" i="132"/>
  <c r="E67" i="132"/>
  <c r="F67" i="132"/>
  <c r="G67" i="132"/>
  <c r="D69" i="132"/>
  <c r="E69" i="132"/>
  <c r="F69" i="132"/>
  <c r="G69" i="132"/>
  <c r="D71" i="132"/>
  <c r="E71" i="132"/>
  <c r="F71" i="132"/>
  <c r="G71" i="132"/>
  <c r="D73" i="132"/>
  <c r="E73" i="132"/>
  <c r="F73" i="132"/>
  <c r="G73" i="132"/>
  <c r="D75" i="132"/>
  <c r="E75" i="132"/>
  <c r="F75" i="132"/>
  <c r="G75" i="132"/>
  <c r="D76" i="132"/>
  <c r="E76" i="132"/>
  <c r="F76" i="132"/>
  <c r="G76" i="132"/>
  <c r="D78" i="132"/>
  <c r="E78" i="132"/>
  <c r="F78" i="132"/>
  <c r="G78" i="132"/>
  <c r="D93" i="132"/>
  <c r="E93" i="132"/>
  <c r="F93" i="132"/>
  <c r="G93" i="132"/>
  <c r="D94" i="132"/>
  <c r="E94" i="132"/>
  <c r="F94" i="132"/>
  <c r="G94" i="132"/>
  <c r="D95" i="132"/>
  <c r="E95" i="132"/>
  <c r="F95" i="132"/>
  <c r="D98" i="132"/>
  <c r="E98" i="132"/>
  <c r="F98" i="132"/>
  <c r="G98" i="132"/>
  <c r="D100" i="132"/>
  <c r="E100" i="132"/>
  <c r="F100" i="132"/>
  <c r="G100" i="132"/>
  <c r="D102" i="132"/>
  <c r="E102" i="132"/>
  <c r="F102" i="132"/>
  <c r="G102" i="132"/>
  <c r="E104" i="132"/>
  <c r="F104" i="132"/>
  <c r="G104" i="132"/>
  <c r="D107" i="132"/>
  <c r="E107" i="132"/>
  <c r="F107" i="132"/>
  <c r="G107" i="132"/>
  <c r="D108" i="132"/>
  <c r="E108" i="132"/>
  <c r="F108" i="132"/>
  <c r="G108" i="132"/>
  <c r="D109" i="132"/>
  <c r="E109" i="132"/>
  <c r="F109" i="132"/>
  <c r="G109" i="132"/>
  <c r="D111" i="132"/>
  <c r="E111" i="132"/>
  <c r="F111" i="132"/>
  <c r="G111" i="132"/>
  <c r="D112" i="132"/>
  <c r="E112" i="132"/>
  <c r="F112" i="132"/>
  <c r="G112" i="132"/>
  <c r="E113" i="132"/>
  <c r="F113" i="132"/>
  <c r="G113" i="132"/>
  <c r="D115" i="132"/>
  <c r="E115" i="132"/>
  <c r="F115" i="132"/>
  <c r="G115" i="132"/>
  <c r="D116" i="132"/>
  <c r="E116" i="132"/>
  <c r="F116" i="132"/>
  <c r="G116" i="132"/>
  <c r="D117" i="132"/>
  <c r="E117" i="132"/>
  <c r="F117" i="132"/>
  <c r="G117" i="132"/>
  <c r="D119" i="132"/>
  <c r="E119" i="132"/>
  <c r="F119" i="132"/>
  <c r="G119" i="132"/>
  <c r="D120" i="132"/>
  <c r="E120" i="132"/>
  <c r="F120" i="132"/>
  <c r="G120" i="132"/>
  <c r="E122" i="132"/>
  <c r="F122" i="132"/>
  <c r="G122" i="132"/>
  <c r="D124" i="132"/>
  <c r="E124" i="132"/>
  <c r="F124" i="132"/>
  <c r="G124" i="132"/>
  <c r="D125" i="132"/>
  <c r="E125" i="132"/>
  <c r="F125" i="132"/>
  <c r="G125" i="132"/>
  <c r="D126" i="132"/>
  <c r="E126" i="132"/>
  <c r="F126" i="132"/>
  <c r="G126" i="132"/>
  <c r="D127" i="132"/>
  <c r="E127" i="132"/>
  <c r="F127" i="132"/>
  <c r="G127" i="132"/>
  <c r="D128" i="132"/>
  <c r="E128" i="132"/>
  <c r="F128" i="132"/>
  <c r="G128" i="132"/>
  <c r="D130" i="132"/>
  <c r="E130" i="132"/>
  <c r="F130" i="132"/>
  <c r="G130" i="132"/>
  <c r="D132" i="132"/>
  <c r="E132" i="132"/>
  <c r="F132" i="132"/>
  <c r="G132" i="132"/>
  <c r="D133" i="132"/>
  <c r="E133" i="132"/>
  <c r="F133" i="132"/>
  <c r="G133" i="132"/>
  <c r="D135" i="132"/>
  <c r="E135" i="132"/>
  <c r="F135" i="132"/>
  <c r="G135" i="132"/>
  <c r="D136" i="132"/>
  <c r="E136" i="132"/>
  <c r="F136" i="132"/>
  <c r="G136" i="132"/>
  <c r="D137" i="132"/>
  <c r="D146" i="132" s="1"/>
  <c r="I146" i="132" s="1"/>
  <c r="E137" i="132"/>
  <c r="H137" i="132"/>
  <c r="D138" i="132"/>
  <c r="E138" i="132"/>
  <c r="G138" i="132"/>
  <c r="G137" i="132" s="1"/>
  <c r="F139" i="132"/>
  <c r="D140" i="132"/>
  <c r="F140" i="132"/>
  <c r="F141" i="132"/>
  <c r="D144" i="132"/>
  <c r="F144" i="132"/>
  <c r="D145" i="132"/>
  <c r="F145" i="132"/>
  <c r="E146" i="132"/>
  <c r="H17" i="131"/>
  <c r="I17" i="131"/>
  <c r="K17" i="131"/>
  <c r="K18" i="131"/>
  <c r="K19" i="131"/>
  <c r="H20" i="131"/>
  <c r="I20" i="131"/>
  <c r="K20" i="131"/>
  <c r="L20" i="131"/>
  <c r="H21" i="131"/>
  <c r="I21" i="131"/>
  <c r="K21" i="131"/>
  <c r="L21" i="131"/>
  <c r="H22" i="131"/>
  <c r="I22" i="131"/>
  <c r="K22" i="131"/>
  <c r="L22" i="131"/>
  <c r="H23" i="131"/>
  <c r="I23" i="131"/>
  <c r="K23" i="131"/>
  <c r="L23" i="131"/>
  <c r="H24" i="131"/>
  <c r="I24" i="131" s="1"/>
  <c r="K24" i="131"/>
  <c r="L24" i="131" s="1"/>
  <c r="H25" i="131"/>
  <c r="I25" i="131" s="1"/>
  <c r="K25" i="131"/>
  <c r="L25" i="131" s="1"/>
  <c r="H26" i="131"/>
  <c r="I26" i="131" s="1"/>
  <c r="K26" i="131"/>
  <c r="L26" i="131"/>
  <c r="H27" i="131"/>
  <c r="I27" i="131" s="1"/>
  <c r="K27" i="131"/>
  <c r="L27" i="131"/>
  <c r="H28" i="131"/>
  <c r="H29" i="131"/>
  <c r="I29" i="131" s="1"/>
  <c r="K29" i="131"/>
  <c r="L29" i="131" s="1"/>
  <c r="H30" i="131"/>
  <c r="I30" i="131" s="1"/>
  <c r="K30" i="131"/>
  <c r="L30" i="131"/>
  <c r="H31" i="131"/>
  <c r="I31" i="131" s="1"/>
  <c r="K31" i="131"/>
  <c r="L31" i="131"/>
  <c r="H32" i="131"/>
  <c r="H33" i="131"/>
  <c r="I33" i="131" s="1"/>
  <c r="H34" i="131"/>
  <c r="I34" i="131" s="1"/>
  <c r="K34" i="131"/>
  <c r="L34" i="131"/>
  <c r="H35" i="131"/>
  <c r="I35" i="131" s="1"/>
  <c r="K35" i="131"/>
  <c r="L35" i="131"/>
  <c r="H36" i="131"/>
  <c r="H37" i="131"/>
  <c r="I37" i="131" s="1"/>
  <c r="K37" i="131"/>
  <c r="L37" i="131" s="1"/>
  <c r="H38" i="131"/>
  <c r="I38" i="131" s="1"/>
  <c r="K38" i="131"/>
  <c r="L38" i="131" s="1"/>
  <c r="H39" i="131"/>
  <c r="I39" i="131" s="1"/>
  <c r="K39" i="131"/>
  <c r="L39" i="131"/>
  <c r="H40" i="131"/>
  <c r="H41" i="131"/>
  <c r="I41" i="131" s="1"/>
  <c r="K41" i="131"/>
  <c r="L41" i="131" s="1"/>
  <c r="H42" i="131"/>
  <c r="I42" i="131" s="1"/>
  <c r="K42" i="131"/>
  <c r="L42" i="131"/>
  <c r="H43" i="131"/>
  <c r="I43" i="131" s="1"/>
  <c r="K43" i="131"/>
  <c r="L43" i="131"/>
  <c r="H44" i="131"/>
  <c r="H45" i="131"/>
  <c r="I45" i="131" s="1"/>
  <c r="K45" i="131"/>
  <c r="L45" i="131" s="1"/>
  <c r="H46" i="131"/>
  <c r="I46" i="131" s="1"/>
  <c r="K46" i="131"/>
  <c r="L46" i="131"/>
  <c r="H47" i="131"/>
  <c r="I47" i="131" s="1"/>
  <c r="K47" i="131"/>
  <c r="L47" i="131"/>
  <c r="K48" i="131"/>
  <c r="L48" i="131" s="1"/>
  <c r="K49" i="131"/>
  <c r="L49" i="131"/>
  <c r="H50" i="131"/>
  <c r="I50" i="131" s="1"/>
  <c r="K50" i="131"/>
  <c r="L50" i="131" s="1"/>
  <c r="H51" i="131"/>
  <c r="I51" i="131" s="1"/>
  <c r="K51" i="131"/>
  <c r="L51" i="131"/>
  <c r="K52" i="131"/>
  <c r="L52" i="131" s="1"/>
  <c r="K53" i="131"/>
  <c r="L53" i="131"/>
  <c r="K54" i="131"/>
  <c r="L54" i="131" s="1"/>
  <c r="K55" i="131"/>
  <c r="L55" i="131"/>
  <c r="K56" i="131"/>
  <c r="L56" i="131" s="1"/>
  <c r="K57" i="131"/>
  <c r="L57" i="131"/>
  <c r="K58" i="131"/>
  <c r="L58" i="131" s="1"/>
  <c r="K59" i="131"/>
  <c r="L59" i="131"/>
  <c r="K60" i="131"/>
  <c r="L60" i="131" s="1"/>
  <c r="K61" i="131"/>
  <c r="L61" i="131"/>
  <c r="K62" i="131"/>
  <c r="L62" i="131" s="1"/>
  <c r="K63" i="131"/>
  <c r="L63" i="131"/>
  <c r="K64" i="131"/>
  <c r="L64" i="131" s="1"/>
  <c r="H65" i="131"/>
  <c r="I65" i="131"/>
  <c r="K65" i="131"/>
  <c r="L65" i="131" s="1"/>
  <c r="K66" i="131"/>
  <c r="L66" i="131"/>
  <c r="K67" i="131"/>
  <c r="L67" i="131" s="1"/>
  <c r="H68" i="131"/>
  <c r="I68" i="131"/>
  <c r="K68" i="131"/>
  <c r="L68" i="131" s="1"/>
  <c r="H69" i="131"/>
  <c r="I69" i="131"/>
  <c r="K69" i="131"/>
  <c r="L69" i="131" s="1"/>
  <c r="H70" i="131"/>
  <c r="I70" i="131"/>
  <c r="K70" i="131"/>
  <c r="L70" i="131" s="1"/>
  <c r="H71" i="131"/>
  <c r="I71" i="131"/>
  <c r="K71" i="131"/>
  <c r="L71" i="131" s="1"/>
  <c r="H72" i="131"/>
  <c r="I72" i="131"/>
  <c r="K72" i="131"/>
  <c r="L72" i="131" s="1"/>
  <c r="H73" i="131"/>
  <c r="I73" i="131"/>
  <c r="K73" i="131"/>
  <c r="L73" i="131" s="1"/>
  <c r="H74" i="131"/>
  <c r="I74" i="131"/>
  <c r="K74" i="131"/>
  <c r="L74" i="131" s="1"/>
  <c r="H75" i="131"/>
  <c r="I75" i="131"/>
  <c r="K75" i="131"/>
  <c r="L75" i="131" s="1"/>
  <c r="H76" i="131"/>
  <c r="I76" i="131"/>
  <c r="K76" i="131"/>
  <c r="L76" i="131" s="1"/>
  <c r="K77" i="131"/>
  <c r="L77" i="131"/>
  <c r="H78" i="131"/>
  <c r="I78" i="131" s="1"/>
  <c r="K78" i="131"/>
  <c r="L78" i="131" s="1"/>
  <c r="K79" i="131"/>
  <c r="L79" i="131" s="1"/>
  <c r="H80" i="131"/>
  <c r="K80" i="131" s="1"/>
  <c r="L80" i="131" s="1"/>
  <c r="H81" i="131"/>
  <c r="I81" i="131"/>
  <c r="K81" i="131"/>
  <c r="L81" i="131" s="1"/>
  <c r="H82" i="131"/>
  <c r="I82" i="131"/>
  <c r="K82" i="131"/>
  <c r="L82" i="131" s="1"/>
  <c r="H83" i="131"/>
  <c r="H84" i="131"/>
  <c r="K84" i="131" s="1"/>
  <c r="L84" i="131" s="1"/>
  <c r="I84" i="131"/>
  <c r="H85" i="131"/>
  <c r="I85" i="131"/>
  <c r="K85" i="131"/>
  <c r="L85" i="131" s="1"/>
  <c r="H86" i="131"/>
  <c r="I86" i="131"/>
  <c r="K86" i="131"/>
  <c r="L86" i="131" s="1"/>
  <c r="H87" i="131"/>
  <c r="H88" i="131"/>
  <c r="K88" i="131" s="1"/>
  <c r="L88" i="131" s="1"/>
  <c r="I88" i="131"/>
  <c r="H89" i="131"/>
  <c r="I89" i="131"/>
  <c r="K89" i="131"/>
  <c r="L89" i="131" s="1"/>
  <c r="H90" i="131"/>
  <c r="I90" i="131"/>
  <c r="K90" i="131"/>
  <c r="L90" i="131" s="1"/>
  <c r="H91" i="131"/>
  <c r="H92" i="131"/>
  <c r="K92" i="131" s="1"/>
  <c r="L92" i="131" s="1"/>
  <c r="I92" i="131"/>
  <c r="H93" i="131"/>
  <c r="I93" i="131"/>
  <c r="K93" i="131"/>
  <c r="L93" i="131" s="1"/>
  <c r="H94" i="131"/>
  <c r="I94" i="131"/>
  <c r="K94" i="131"/>
  <c r="L94" i="131" s="1"/>
  <c r="H95" i="131"/>
  <c r="H96" i="131"/>
  <c r="K96" i="131" s="1"/>
  <c r="L96" i="131" s="1"/>
  <c r="H97" i="131"/>
  <c r="I97" i="131"/>
  <c r="K97" i="131"/>
  <c r="L97" i="131" s="1"/>
  <c r="K98" i="131"/>
  <c r="L98" i="131"/>
  <c r="H99" i="131"/>
  <c r="I99" i="131" s="1"/>
  <c r="K99" i="131"/>
  <c r="L99" i="131" s="1"/>
  <c r="H100" i="131"/>
  <c r="I100" i="131" s="1"/>
  <c r="K100" i="131"/>
  <c r="L100" i="131"/>
  <c r="H101" i="131"/>
  <c r="I101" i="131" s="1"/>
  <c r="K101" i="131"/>
  <c r="L101" i="131"/>
  <c r="H102" i="131"/>
  <c r="H103" i="131"/>
  <c r="I103" i="131" s="1"/>
  <c r="K104" i="131"/>
  <c r="L104" i="131" s="1"/>
  <c r="H105" i="131"/>
  <c r="K105" i="131" s="1"/>
  <c r="L105" i="131" s="1"/>
  <c r="I105" i="131"/>
  <c r="H106" i="131"/>
  <c r="I106" i="131"/>
  <c r="K106" i="131"/>
  <c r="L106" i="131" s="1"/>
  <c r="H107" i="131"/>
  <c r="I107" i="131"/>
  <c r="K107" i="131"/>
  <c r="L107" i="131" s="1"/>
  <c r="H108" i="131"/>
  <c r="H109" i="131"/>
  <c r="K109" i="131" s="1"/>
  <c r="L109" i="131" s="1"/>
  <c r="H110" i="131"/>
  <c r="I110" i="131"/>
  <c r="K110" i="131"/>
  <c r="L110" i="131" s="1"/>
  <c r="H111" i="131"/>
  <c r="I111" i="131"/>
  <c r="K111" i="131"/>
  <c r="L111" i="131" s="1"/>
  <c r="H112" i="131"/>
  <c r="H113" i="131"/>
  <c r="K113" i="131" s="1"/>
  <c r="L113" i="131" s="1"/>
  <c r="I113" i="131"/>
  <c r="H114" i="131"/>
  <c r="I114" i="131"/>
  <c r="K114" i="131"/>
  <c r="L114" i="131" s="1"/>
  <c r="H115" i="131"/>
  <c r="I115" i="131"/>
  <c r="K115" i="131"/>
  <c r="L115" i="131" s="1"/>
  <c r="H116" i="131"/>
  <c r="I116" i="131"/>
  <c r="K116" i="131"/>
  <c r="L116" i="131" s="1"/>
  <c r="K117" i="131"/>
  <c r="L117" i="131"/>
  <c r="K118" i="131"/>
  <c r="L118" i="131" s="1"/>
  <c r="K119" i="131"/>
  <c r="L119" i="131"/>
  <c r="K120" i="131"/>
  <c r="L120" i="131" s="1"/>
  <c r="K121" i="131"/>
  <c r="L121" i="131"/>
  <c r="K122" i="131"/>
  <c r="L122" i="131" s="1"/>
  <c r="K123" i="131"/>
  <c r="L123" i="131"/>
  <c r="K124" i="131"/>
  <c r="L124" i="131" s="1"/>
  <c r="K125" i="131"/>
  <c r="L125" i="131"/>
  <c r="K126" i="131"/>
  <c r="L126" i="131" s="1"/>
  <c r="K127" i="131"/>
  <c r="L127" i="131"/>
  <c r="K128" i="131"/>
  <c r="L128" i="131" s="1"/>
  <c r="K129" i="131"/>
  <c r="L129" i="131"/>
  <c r="H130" i="131"/>
  <c r="H131" i="131"/>
  <c r="H132" i="131"/>
  <c r="H133" i="131"/>
  <c r="H134" i="131"/>
  <c r="H135" i="131"/>
  <c r="K136" i="131"/>
  <c r="L136" i="131" s="1"/>
  <c r="K137" i="131"/>
  <c r="L137" i="131"/>
  <c r="H138" i="131"/>
  <c r="H139" i="131"/>
  <c r="K140" i="131"/>
  <c r="L140" i="131" s="1"/>
  <c r="K141" i="131"/>
  <c r="L141" i="131"/>
  <c r="H142" i="131"/>
  <c r="H143" i="131"/>
  <c r="H144" i="131"/>
  <c r="H145" i="131"/>
  <c r="H146" i="131"/>
  <c r="K147" i="131"/>
  <c r="L147" i="131" s="1"/>
  <c r="K148" i="131"/>
  <c r="L148" i="131"/>
  <c r="H149" i="131"/>
  <c r="H150" i="131"/>
  <c r="H151" i="131"/>
  <c r="H152" i="131"/>
  <c r="H153" i="131"/>
  <c r="H154" i="131"/>
  <c r="H155" i="131"/>
  <c r="H156" i="131"/>
  <c r="H157" i="131"/>
  <c r="H158" i="131"/>
  <c r="H159" i="131"/>
  <c r="K160" i="131"/>
  <c r="L160" i="131" s="1"/>
  <c r="K161" i="131"/>
  <c r="L161" i="131"/>
  <c r="K162" i="131"/>
  <c r="L162" i="131" s="1"/>
  <c r="K163" i="131"/>
  <c r="L163" i="131"/>
  <c r="H164" i="131"/>
  <c r="K165" i="131"/>
  <c r="L165" i="131" s="1"/>
  <c r="K166" i="131"/>
  <c r="L166" i="131"/>
  <c r="K167" i="131"/>
  <c r="L167" i="131" s="1"/>
  <c r="I168" i="131"/>
  <c r="K168" i="131"/>
  <c r="L168" i="131"/>
  <c r="K169" i="131"/>
  <c r="L169" i="131"/>
  <c r="I170" i="131"/>
  <c r="K170" i="131"/>
  <c r="L170" i="131" s="1"/>
  <c r="I171" i="131"/>
  <c r="K171" i="131"/>
  <c r="L171" i="131"/>
  <c r="K172" i="131"/>
  <c r="L172" i="131"/>
  <c r="K173" i="131"/>
  <c r="L173" i="131"/>
  <c r="K174" i="131"/>
  <c r="L174" i="131"/>
  <c r="K175" i="131"/>
  <c r="L175" i="131"/>
  <c r="K176" i="131"/>
  <c r="L176" i="131"/>
  <c r="K177" i="131"/>
  <c r="L177" i="131"/>
  <c r="K178" i="131"/>
  <c r="L178" i="131"/>
  <c r="K179" i="131"/>
  <c r="L179" i="131"/>
  <c r="K180" i="131"/>
  <c r="L180" i="131"/>
  <c r="K181" i="131"/>
  <c r="L181" i="131"/>
  <c r="I182" i="131"/>
  <c r="K182" i="131"/>
  <c r="L182" i="131" s="1"/>
  <c r="I183" i="131"/>
  <c r="K183" i="131"/>
  <c r="L183" i="131"/>
  <c r="I184" i="131"/>
  <c r="K184" i="131"/>
  <c r="L184" i="131" s="1"/>
  <c r="I185" i="131"/>
  <c r="K185" i="131"/>
  <c r="L185" i="131" s="1"/>
  <c r="I186" i="131"/>
  <c r="K186" i="131"/>
  <c r="L186" i="131"/>
  <c r="K187" i="131"/>
  <c r="L187" i="131" s="1"/>
  <c r="K188" i="131"/>
  <c r="L188" i="131"/>
  <c r="H189" i="131"/>
  <c r="I189" i="131" s="1"/>
  <c r="K190" i="131"/>
  <c r="L190" i="131" s="1"/>
  <c r="K191" i="131"/>
  <c r="L191" i="131" s="1"/>
  <c r="H192" i="131"/>
  <c r="I192" i="131" s="1"/>
  <c r="K192" i="131"/>
  <c r="L192" i="131"/>
  <c r="H193" i="131"/>
  <c r="I193" i="131" s="1"/>
  <c r="K193" i="131"/>
  <c r="L193" i="131"/>
  <c r="H194" i="131"/>
  <c r="I194" i="131" s="1"/>
  <c r="K195" i="131"/>
  <c r="L195" i="131" s="1"/>
  <c r="K196" i="131"/>
  <c r="L196" i="131" s="1"/>
  <c r="H197" i="131"/>
  <c r="I197" i="131" s="1"/>
  <c r="K197" i="131"/>
  <c r="L197" i="131"/>
  <c r="H198" i="131"/>
  <c r="I198" i="131" s="1"/>
  <c r="K198" i="131"/>
  <c r="L198" i="131"/>
  <c r="H199" i="131"/>
  <c r="I199" i="131" s="1"/>
  <c r="H200" i="131"/>
  <c r="K200" i="131" s="1"/>
  <c r="L200" i="131" s="1"/>
  <c r="I200" i="131"/>
  <c r="H201" i="131"/>
  <c r="K201" i="131" s="1"/>
  <c r="L201" i="131" s="1"/>
  <c r="I201" i="131"/>
  <c r="H202" i="131"/>
  <c r="K202" i="131" s="1"/>
  <c r="L202" i="131" s="1"/>
  <c r="I202" i="131"/>
  <c r="H203" i="131"/>
  <c r="K203" i="131" s="1"/>
  <c r="L203" i="131" s="1"/>
  <c r="I203" i="131"/>
  <c r="H204" i="131"/>
  <c r="K204" i="131" s="1"/>
  <c r="L204" i="131" s="1"/>
  <c r="I204" i="131"/>
  <c r="K205" i="131"/>
  <c r="L205" i="131"/>
  <c r="K206" i="131"/>
  <c r="L206" i="131"/>
  <c r="H207" i="131"/>
  <c r="K207" i="131" s="1"/>
  <c r="L207" i="131" s="1"/>
  <c r="I207" i="131"/>
  <c r="H208" i="131"/>
  <c r="K208" i="131" s="1"/>
  <c r="L208" i="131" s="1"/>
  <c r="I208" i="131"/>
  <c r="H209" i="131"/>
  <c r="K209" i="131" s="1"/>
  <c r="L209" i="131" s="1"/>
  <c r="I209" i="131"/>
  <c r="H210" i="131"/>
  <c r="K210" i="131" s="1"/>
  <c r="L210" i="131" s="1"/>
  <c r="I210" i="131"/>
  <c r="H211" i="131"/>
  <c r="K211" i="131" s="1"/>
  <c r="L211" i="131" s="1"/>
  <c r="I211" i="131"/>
  <c r="H212" i="131"/>
  <c r="K212" i="131" s="1"/>
  <c r="L212" i="131" s="1"/>
  <c r="I212" i="131"/>
  <c r="H213" i="131"/>
  <c r="K213" i="131" s="1"/>
  <c r="L213" i="131" s="1"/>
  <c r="I213" i="131"/>
  <c r="H214" i="131"/>
  <c r="K214" i="131" s="1"/>
  <c r="L214" i="131" s="1"/>
  <c r="I214" i="131"/>
  <c r="H215" i="131"/>
  <c r="K215" i="131" s="1"/>
  <c r="L215" i="131" s="1"/>
  <c r="I215" i="131"/>
  <c r="K216" i="131"/>
  <c r="L216" i="131"/>
  <c r="K217" i="131"/>
  <c r="L217" i="131"/>
  <c r="H218" i="131"/>
  <c r="K218" i="131" s="1"/>
  <c r="L218" i="131" s="1"/>
  <c r="I218" i="131"/>
  <c r="H219" i="131"/>
  <c r="K219" i="131" s="1"/>
  <c r="L219" i="131" s="1"/>
  <c r="I219" i="131"/>
  <c r="H220" i="131"/>
  <c r="K220" i="131" s="1"/>
  <c r="L220" i="131" s="1"/>
  <c r="I220" i="131"/>
  <c r="H221" i="131"/>
  <c r="K221" i="131" s="1"/>
  <c r="L221" i="131" s="1"/>
  <c r="I221" i="131"/>
  <c r="K222" i="131"/>
  <c r="L222" i="131"/>
  <c r="K223" i="131"/>
  <c r="L223" i="131"/>
  <c r="K224" i="131"/>
  <c r="L224" i="131"/>
  <c r="K225" i="131"/>
  <c r="L225" i="131"/>
  <c r="K226" i="131"/>
  <c r="L226" i="131"/>
  <c r="K227" i="131"/>
  <c r="L227" i="131"/>
  <c r="K228" i="131"/>
  <c r="L228" i="131"/>
  <c r="K229" i="131"/>
  <c r="L229" i="131"/>
  <c r="K230" i="131"/>
  <c r="L230" i="131"/>
  <c r="K231" i="131"/>
  <c r="L231" i="131"/>
  <c r="K232" i="131"/>
  <c r="L232" i="131"/>
  <c r="K233" i="131"/>
  <c r="L233" i="131"/>
  <c r="H234" i="131"/>
  <c r="K234" i="131" s="1"/>
  <c r="L234" i="131" s="1"/>
  <c r="I234" i="131"/>
  <c r="H235" i="131"/>
  <c r="K235" i="131" s="1"/>
  <c r="L235" i="131" s="1"/>
  <c r="I235" i="131"/>
  <c r="K236" i="131"/>
  <c r="L236" i="131"/>
  <c r="K237" i="131"/>
  <c r="L237" i="131"/>
  <c r="H238" i="131"/>
  <c r="K238" i="131" s="1"/>
  <c r="L238" i="131" s="1"/>
  <c r="I238" i="131"/>
  <c r="H239" i="131"/>
  <c r="K239" i="131" s="1"/>
  <c r="L239" i="131" s="1"/>
  <c r="I239" i="131"/>
  <c r="H240" i="131"/>
  <c r="K240" i="131" s="1"/>
  <c r="L240" i="131" s="1"/>
  <c r="I240" i="131"/>
  <c r="H241" i="131"/>
  <c r="K241" i="131" s="1"/>
  <c r="L241" i="131" s="1"/>
  <c r="I241" i="131"/>
  <c r="K242" i="131"/>
  <c r="L242" i="131"/>
  <c r="K243" i="131"/>
  <c r="L243" i="131"/>
  <c r="H244" i="131"/>
  <c r="K244" i="131" s="1"/>
  <c r="L244" i="131" s="1"/>
  <c r="I244" i="131"/>
  <c r="H245" i="131"/>
  <c r="K245" i="131" s="1"/>
  <c r="L245" i="131" s="1"/>
  <c r="I245" i="131"/>
  <c r="H246" i="131"/>
  <c r="K246" i="131" s="1"/>
  <c r="L246" i="131" s="1"/>
  <c r="I246" i="131"/>
  <c r="K247" i="131"/>
  <c r="L247" i="131"/>
  <c r="K248" i="131"/>
  <c r="L248" i="131"/>
  <c r="K249" i="131"/>
  <c r="L249" i="131"/>
  <c r="H250" i="131"/>
  <c r="I250" i="131"/>
  <c r="K250" i="131"/>
  <c r="L250" i="131"/>
  <c r="H251" i="131"/>
  <c r="I251" i="131"/>
  <c r="K251" i="131"/>
  <c r="L251" i="131"/>
  <c r="H252" i="131"/>
  <c r="I252" i="131" s="1"/>
  <c r="K252" i="131"/>
  <c r="L252" i="131"/>
  <c r="H253" i="131"/>
  <c r="I253" i="131" s="1"/>
  <c r="K253" i="131"/>
  <c r="L253" i="131"/>
  <c r="H254" i="131"/>
  <c r="I254" i="131" s="1"/>
  <c r="K254" i="131"/>
  <c r="L254" i="131"/>
  <c r="H255" i="131"/>
  <c r="I255" i="131" s="1"/>
  <c r="K255" i="131"/>
  <c r="L255" i="131"/>
  <c r="H256" i="131"/>
  <c r="I256" i="131" s="1"/>
  <c r="K256" i="131"/>
  <c r="L256" i="131"/>
  <c r="H257" i="131"/>
  <c r="I257" i="131" s="1"/>
  <c r="K257" i="131"/>
  <c r="L257" i="131"/>
  <c r="H258" i="131"/>
  <c r="I258" i="131" s="1"/>
  <c r="K258" i="131"/>
  <c r="L258" i="131"/>
  <c r="H259" i="131"/>
  <c r="I259" i="131" s="1"/>
  <c r="K259" i="131"/>
  <c r="L259" i="131"/>
  <c r="H260" i="131"/>
  <c r="I260" i="131" s="1"/>
  <c r="K260" i="131"/>
  <c r="L260" i="131"/>
  <c r="H261" i="131"/>
  <c r="I261" i="131" s="1"/>
  <c r="K261" i="131"/>
  <c r="L261" i="131"/>
  <c r="K262" i="131"/>
  <c r="L262" i="131" s="1"/>
  <c r="K263" i="131"/>
  <c r="L263" i="131"/>
  <c r="H264" i="131"/>
  <c r="I264" i="131" s="1"/>
  <c r="K264" i="131"/>
  <c r="L264" i="131"/>
  <c r="H265" i="131"/>
  <c r="I265" i="131" s="1"/>
  <c r="K265" i="131"/>
  <c r="L265" i="131"/>
  <c r="H266" i="131"/>
  <c r="I266" i="131" s="1"/>
  <c r="K266" i="131"/>
  <c r="L266" i="131"/>
  <c r="K267" i="131"/>
  <c r="L267" i="131" s="1"/>
  <c r="K268" i="131"/>
  <c r="L268" i="131"/>
  <c r="H269" i="131"/>
  <c r="I269" i="131" s="1"/>
  <c r="K269" i="131"/>
  <c r="L269" i="131"/>
  <c r="H270" i="131"/>
  <c r="I270" i="131" s="1"/>
  <c r="K270" i="131"/>
  <c r="L270" i="131"/>
  <c r="H271" i="131"/>
  <c r="I271" i="131" s="1"/>
  <c r="K271" i="131"/>
  <c r="L271" i="131"/>
  <c r="H272" i="131"/>
  <c r="I272" i="131" s="1"/>
  <c r="K272" i="131"/>
  <c r="L272" i="131"/>
  <c r="K273" i="131"/>
  <c r="L273" i="131" s="1"/>
  <c r="K274" i="131"/>
  <c r="L274" i="131"/>
  <c r="K275" i="131"/>
  <c r="L275" i="131" s="1"/>
  <c r="K276" i="131"/>
  <c r="L276" i="131"/>
  <c r="K277" i="131"/>
  <c r="L277" i="131" s="1"/>
  <c r="K278" i="131"/>
  <c r="L278" i="131"/>
  <c r="K279" i="131"/>
  <c r="L279" i="131" s="1"/>
  <c r="K280" i="131"/>
  <c r="L280" i="131"/>
  <c r="K281" i="131"/>
  <c r="L281" i="131" s="1"/>
  <c r="K282" i="131"/>
  <c r="L282" i="131"/>
  <c r="K283" i="131"/>
  <c r="L283" i="131" s="1"/>
  <c r="K284" i="131"/>
  <c r="L284" i="131"/>
  <c r="K285" i="131"/>
  <c r="L285" i="131" s="1"/>
  <c r="K286" i="131"/>
  <c r="L286" i="131"/>
  <c r="K287" i="131"/>
  <c r="L287" i="131" s="1"/>
  <c r="H288" i="131"/>
  <c r="K288" i="131" s="1"/>
  <c r="L288" i="131" s="1"/>
  <c r="I288" i="131"/>
  <c r="H289" i="131"/>
  <c r="K289" i="131" s="1"/>
  <c r="L289" i="131" s="1"/>
  <c r="I289" i="131"/>
  <c r="H290" i="131"/>
  <c r="K290" i="131" s="1"/>
  <c r="L290" i="131" s="1"/>
  <c r="I290" i="131"/>
  <c r="H291" i="131"/>
  <c r="K291" i="131" s="1"/>
  <c r="L291" i="131" s="1"/>
  <c r="I291" i="131"/>
  <c r="H292" i="131"/>
  <c r="K292" i="131" s="1"/>
  <c r="L292" i="131" s="1"/>
  <c r="I292" i="131"/>
  <c r="H293" i="131"/>
  <c r="K293" i="131" s="1"/>
  <c r="L293" i="131" s="1"/>
  <c r="I293" i="131"/>
  <c r="H294" i="131"/>
  <c r="K294" i="131" s="1"/>
  <c r="L294" i="131" s="1"/>
  <c r="I294" i="131"/>
  <c r="K295" i="131"/>
  <c r="L295" i="131"/>
  <c r="H296" i="131"/>
  <c r="I296" i="131" s="1"/>
  <c r="K296" i="131"/>
  <c r="L296" i="131"/>
  <c r="H297" i="131"/>
  <c r="I297" i="131" s="1"/>
  <c r="K297" i="131"/>
  <c r="L297" i="131"/>
  <c r="K298" i="131"/>
  <c r="L298" i="131" s="1"/>
  <c r="H299" i="131"/>
  <c r="K299" i="131" s="1"/>
  <c r="L299" i="131" s="1"/>
  <c r="I299" i="131"/>
  <c r="H300" i="131"/>
  <c r="K300" i="131" s="1"/>
  <c r="L300" i="131" s="1"/>
  <c r="I300" i="131"/>
  <c r="H301" i="131"/>
  <c r="K301" i="131" s="1"/>
  <c r="L301" i="131" s="1"/>
  <c r="I301" i="131"/>
  <c r="H302" i="131"/>
  <c r="K302" i="131" s="1"/>
  <c r="L302" i="131" s="1"/>
  <c r="I302" i="131"/>
  <c r="H303" i="131"/>
  <c r="K303" i="131" s="1"/>
  <c r="L303" i="131" s="1"/>
  <c r="I303" i="131"/>
  <c r="H304" i="131"/>
  <c r="K304" i="131" s="1"/>
  <c r="L304" i="131" s="1"/>
  <c r="I304" i="131"/>
  <c r="H305" i="131"/>
  <c r="K305" i="131" s="1"/>
  <c r="L305" i="131" s="1"/>
  <c r="I305" i="131"/>
  <c r="K306" i="131"/>
  <c r="L306" i="131"/>
  <c r="K307" i="131"/>
  <c r="L307" i="131" s="1"/>
  <c r="K308" i="131"/>
  <c r="L308" i="131"/>
  <c r="H309" i="131"/>
  <c r="I309" i="131" s="1"/>
  <c r="K309" i="131"/>
  <c r="L309" i="131"/>
  <c r="H310" i="131"/>
  <c r="I310" i="131" s="1"/>
  <c r="K310" i="131"/>
  <c r="L310" i="131"/>
  <c r="K311" i="131"/>
  <c r="L311" i="131" s="1"/>
  <c r="K312" i="131"/>
  <c r="L312" i="131"/>
  <c r="I313" i="131"/>
  <c r="K313" i="131"/>
  <c r="L313" i="131"/>
  <c r="H314" i="131"/>
  <c r="I314" i="131" s="1"/>
  <c r="H315" i="131"/>
  <c r="I315" i="131" s="1"/>
  <c r="H316" i="131"/>
  <c r="I316" i="131" s="1"/>
  <c r="H317" i="131"/>
  <c r="I317" i="131" s="1"/>
  <c r="H318" i="131"/>
  <c r="I318" i="131" s="1"/>
  <c r="H319" i="131"/>
  <c r="I319" i="131" s="1"/>
  <c r="H320" i="131"/>
  <c r="I320" i="131" s="1"/>
  <c r="K321" i="131"/>
  <c r="L321" i="131" s="1"/>
  <c r="K322" i="131"/>
  <c r="L322" i="131"/>
  <c r="H323" i="131"/>
  <c r="I323" i="131" s="1"/>
  <c r="H324" i="131"/>
  <c r="I324" i="131" s="1"/>
  <c r="F326" i="131"/>
  <c r="H338" i="131"/>
  <c r="I338" i="131"/>
  <c r="H344" i="131"/>
  <c r="I344" i="131"/>
  <c r="H354" i="131"/>
  <c r="I354" i="131"/>
  <c r="I360" i="131"/>
  <c r="I362" i="131"/>
  <c r="H367" i="131"/>
  <c r="I367" i="131"/>
  <c r="H376" i="131"/>
  <c r="I376" i="131"/>
  <c r="H385" i="131"/>
  <c r="I385" i="131"/>
  <c r="I393" i="131"/>
  <c r="I399" i="131"/>
  <c r="H401" i="131"/>
  <c r="I401" i="131"/>
  <c r="H403" i="131"/>
  <c r="I403" i="131"/>
  <c r="I407" i="131"/>
  <c r="H409" i="131"/>
  <c r="I409" i="131"/>
  <c r="I411" i="131"/>
  <c r="I415" i="131"/>
  <c r="I417" i="131"/>
  <c r="I419" i="131"/>
  <c r="I423" i="131"/>
  <c r="H425" i="131"/>
  <c r="I425" i="131"/>
  <c r="I427" i="131"/>
  <c r="I430" i="131"/>
  <c r="I432" i="131"/>
  <c r="H434" i="131"/>
  <c r="I434" i="131"/>
  <c r="I437" i="131"/>
  <c r="I440" i="131"/>
  <c r="H441" i="131"/>
  <c r="I441" i="131"/>
  <c r="H444" i="131"/>
  <c r="H531" i="131" s="1"/>
  <c r="I444" i="131"/>
  <c r="I447" i="131"/>
  <c r="I449" i="131"/>
  <c r="H451" i="131"/>
  <c r="I451" i="131"/>
  <c r="I454" i="131"/>
  <c r="I456" i="131"/>
  <c r="I457" i="131"/>
  <c r="I460" i="131"/>
  <c r="I462" i="131"/>
  <c r="I464" i="131"/>
  <c r="H465" i="131"/>
  <c r="I465" i="131"/>
  <c r="I466" i="131"/>
  <c r="I469" i="131"/>
  <c r="I471" i="131"/>
  <c r="H473" i="131"/>
  <c r="I473" i="131"/>
  <c r="I474" i="131"/>
  <c r="I477" i="131"/>
  <c r="I480" i="131"/>
  <c r="H481" i="131"/>
  <c r="I481" i="131"/>
  <c r="I482" i="131"/>
  <c r="I483" i="131"/>
  <c r="I486" i="131"/>
  <c r="I488" i="131"/>
  <c r="I490" i="131"/>
  <c r="H511" i="131"/>
  <c r="I511" i="131"/>
  <c r="F39" i="133" l="1"/>
  <c r="F138" i="132"/>
  <c r="F137" i="132" s="1"/>
  <c r="E65" i="133"/>
  <c r="F12" i="133"/>
  <c r="F65" i="133" s="1"/>
  <c r="I30" i="133"/>
  <c r="H12" i="133"/>
  <c r="H65" i="133" s="1"/>
  <c r="I143" i="131"/>
  <c r="K143" i="131"/>
  <c r="L143" i="131" s="1"/>
  <c r="I134" i="131"/>
  <c r="K134" i="131"/>
  <c r="L134" i="131" s="1"/>
  <c r="I132" i="131"/>
  <c r="K132" i="131"/>
  <c r="L132" i="131" s="1"/>
  <c r="I112" i="131"/>
  <c r="K112" i="131"/>
  <c r="L112" i="131" s="1"/>
  <c r="I83" i="131"/>
  <c r="K83" i="131"/>
  <c r="L83" i="131" s="1"/>
  <c r="I164" i="131"/>
  <c r="K164" i="131"/>
  <c r="L164" i="131" s="1"/>
  <c r="I159" i="131"/>
  <c r="K159" i="131"/>
  <c r="L159" i="131" s="1"/>
  <c r="I157" i="131"/>
  <c r="K157" i="131"/>
  <c r="L157" i="131" s="1"/>
  <c r="I155" i="131"/>
  <c r="K155" i="131"/>
  <c r="L155" i="131" s="1"/>
  <c r="I153" i="131"/>
  <c r="K153" i="131"/>
  <c r="L153" i="131" s="1"/>
  <c r="I151" i="131"/>
  <c r="K151" i="131"/>
  <c r="L151" i="131" s="1"/>
  <c r="I149" i="131"/>
  <c r="K149" i="131"/>
  <c r="L149" i="131" s="1"/>
  <c r="I138" i="131"/>
  <c r="K138" i="131"/>
  <c r="L138" i="131" s="1"/>
  <c r="I108" i="131"/>
  <c r="K108" i="131"/>
  <c r="L108" i="131" s="1"/>
  <c r="I102" i="131"/>
  <c r="K102" i="131"/>
  <c r="L102" i="131" s="1"/>
  <c r="I95" i="131"/>
  <c r="K95" i="131"/>
  <c r="L95" i="131" s="1"/>
  <c r="I32" i="131"/>
  <c r="K32" i="131"/>
  <c r="L32" i="131" s="1"/>
  <c r="F146" i="132"/>
  <c r="K324" i="131"/>
  <c r="L324" i="131" s="1"/>
  <c r="K323" i="131"/>
  <c r="L323" i="131" s="1"/>
  <c r="K320" i="131"/>
  <c r="L320" i="131" s="1"/>
  <c r="K319" i="131"/>
  <c r="L319" i="131" s="1"/>
  <c r="K318" i="131"/>
  <c r="L318" i="131" s="1"/>
  <c r="K317" i="131"/>
  <c r="L317" i="131" s="1"/>
  <c r="K316" i="131"/>
  <c r="L316" i="131" s="1"/>
  <c r="K315" i="131"/>
  <c r="L315" i="131" s="1"/>
  <c r="K314" i="131"/>
  <c r="L314" i="131" s="1"/>
  <c r="I146" i="131"/>
  <c r="K146" i="131"/>
  <c r="L146" i="131" s="1"/>
  <c r="I144" i="131"/>
  <c r="K144" i="131"/>
  <c r="L144" i="131" s="1"/>
  <c r="I142" i="131"/>
  <c r="K142" i="131"/>
  <c r="L142" i="131" s="1"/>
  <c r="I135" i="131"/>
  <c r="K135" i="131"/>
  <c r="L135" i="131" s="1"/>
  <c r="I133" i="131"/>
  <c r="K133" i="131"/>
  <c r="L133" i="131" s="1"/>
  <c r="I131" i="131"/>
  <c r="K131" i="131"/>
  <c r="L131" i="131" s="1"/>
  <c r="I91" i="131"/>
  <c r="K91" i="131"/>
  <c r="L91" i="131" s="1"/>
  <c r="I44" i="131"/>
  <c r="K44" i="131"/>
  <c r="L44" i="131" s="1"/>
  <c r="I28" i="131"/>
  <c r="I326" i="131" s="1"/>
  <c r="K28" i="131"/>
  <c r="L28" i="131" s="1"/>
  <c r="I145" i="131"/>
  <c r="K145" i="131"/>
  <c r="L145" i="131" s="1"/>
  <c r="I130" i="131"/>
  <c r="K130" i="131"/>
  <c r="L130" i="131" s="1"/>
  <c r="I36" i="131"/>
  <c r="K36" i="131"/>
  <c r="L36" i="131" s="1"/>
  <c r="H326" i="131"/>
  <c r="H14" i="132" s="1"/>
  <c r="K199" i="131"/>
  <c r="L199" i="131" s="1"/>
  <c r="K194" i="131"/>
  <c r="L194" i="131" s="1"/>
  <c r="K189" i="131"/>
  <c r="L189" i="131" s="1"/>
  <c r="I158" i="131"/>
  <c r="K158" i="131"/>
  <c r="L158" i="131" s="1"/>
  <c r="I156" i="131"/>
  <c r="K156" i="131"/>
  <c r="L156" i="131" s="1"/>
  <c r="I154" i="131"/>
  <c r="K154" i="131"/>
  <c r="L154" i="131" s="1"/>
  <c r="I152" i="131"/>
  <c r="K152" i="131"/>
  <c r="L152" i="131" s="1"/>
  <c r="I150" i="131"/>
  <c r="K150" i="131"/>
  <c r="L150" i="131" s="1"/>
  <c r="I139" i="131"/>
  <c r="K139" i="131"/>
  <c r="L139" i="131" s="1"/>
  <c r="I109" i="131"/>
  <c r="K103" i="131"/>
  <c r="L103" i="131" s="1"/>
  <c r="I96" i="131"/>
  <c r="I87" i="131"/>
  <c r="K87" i="131"/>
  <c r="L87" i="131" s="1"/>
  <c r="I80" i="131"/>
  <c r="I40" i="131"/>
  <c r="K40" i="131"/>
  <c r="L40" i="131" s="1"/>
  <c r="K33" i="131"/>
  <c r="L33" i="131" s="1"/>
  <c r="G146" i="132"/>
  <c r="D18" i="130"/>
  <c r="E18" i="130"/>
  <c r="G18" i="130"/>
  <c r="H18" i="130"/>
  <c r="D20" i="130"/>
  <c r="E20" i="130"/>
  <c r="F20" i="130" s="1"/>
  <c r="G20" i="130"/>
  <c r="H20" i="130"/>
  <c r="D21" i="130"/>
  <c r="E21" i="130"/>
  <c r="F21" i="130" s="1"/>
  <c r="G21" i="130"/>
  <c r="D22" i="130"/>
  <c r="E22" i="130"/>
  <c r="G22" i="130"/>
  <c r="D23" i="130"/>
  <c r="E23" i="130"/>
  <c r="G23" i="130"/>
  <c r="H23" i="130"/>
  <c r="D24" i="130"/>
  <c r="E24" i="130"/>
  <c r="G24" i="130"/>
  <c r="D25" i="130"/>
  <c r="E25" i="130"/>
  <c r="G25" i="130"/>
  <c r="H25" i="130"/>
  <c r="H27" i="130" s="1"/>
  <c r="I27" i="130" s="1"/>
  <c r="D26" i="130"/>
  <c r="E26" i="130"/>
  <c r="G26" i="130"/>
  <c r="H26" i="130"/>
  <c r="D27" i="130"/>
  <c r="E27" i="130"/>
  <c r="G27" i="130"/>
  <c r="D29" i="130"/>
  <c r="E29" i="130"/>
  <c r="G29" i="130"/>
  <c r="H29" i="130"/>
  <c r="I29" i="130" s="1"/>
  <c r="D30" i="130"/>
  <c r="E30" i="130"/>
  <c r="G30" i="130"/>
  <c r="H30" i="130"/>
  <c r="H32" i="130" s="1"/>
  <c r="D31" i="130"/>
  <c r="E31" i="130"/>
  <c r="G31" i="130"/>
  <c r="I31" i="130"/>
  <c r="D32" i="130"/>
  <c r="E32" i="130"/>
  <c r="F32" i="130" s="1"/>
  <c r="G32" i="130"/>
  <c r="D34" i="130"/>
  <c r="E34" i="130"/>
  <c r="G34" i="130"/>
  <c r="D35" i="130"/>
  <c r="E35" i="130"/>
  <c r="G35" i="130"/>
  <c r="H35" i="130"/>
  <c r="D36" i="130"/>
  <c r="E36" i="130"/>
  <c r="G36" i="130"/>
  <c r="D37" i="130"/>
  <c r="E37" i="130"/>
  <c r="G37" i="130"/>
  <c r="F37" i="130" s="1"/>
  <c r="D39" i="130"/>
  <c r="E39" i="130"/>
  <c r="G39" i="130"/>
  <c r="H39" i="130"/>
  <c r="D40" i="130"/>
  <c r="F40" i="130"/>
  <c r="D42" i="130"/>
  <c r="E42" i="130"/>
  <c r="G42" i="130"/>
  <c r="D43" i="130"/>
  <c r="E43" i="130"/>
  <c r="G43" i="130"/>
  <c r="D44" i="130"/>
  <c r="E44" i="130"/>
  <c r="G44" i="130"/>
  <c r="H44" i="130"/>
  <c r="D46" i="130"/>
  <c r="E46" i="130"/>
  <c r="F46" i="130" s="1"/>
  <c r="G46" i="130"/>
  <c r="H46" i="130"/>
  <c r="D47" i="130"/>
  <c r="E47" i="130"/>
  <c r="G47" i="130"/>
  <c r="H47" i="130"/>
  <c r="D48" i="130"/>
  <c r="E48" i="130"/>
  <c r="G48" i="130"/>
  <c r="D49" i="130"/>
  <c r="E49" i="130"/>
  <c r="G49" i="130"/>
  <c r="H49" i="130"/>
  <c r="D51" i="130"/>
  <c r="E51" i="130"/>
  <c r="G51" i="130"/>
  <c r="H51" i="130"/>
  <c r="D52" i="130"/>
  <c r="E52" i="130"/>
  <c r="G52" i="130"/>
  <c r="H52" i="130"/>
  <c r="D53" i="130"/>
  <c r="E53" i="130"/>
  <c r="G53" i="130"/>
  <c r="H53" i="130"/>
  <c r="D54" i="130"/>
  <c r="E54" i="130"/>
  <c r="G54" i="130"/>
  <c r="H54" i="130"/>
  <c r="D55" i="130"/>
  <c r="E55" i="130"/>
  <c r="G55" i="130"/>
  <c r="H55" i="130"/>
  <c r="D56" i="130"/>
  <c r="E56" i="130"/>
  <c r="G56" i="130"/>
  <c r="H56" i="130"/>
  <c r="D58" i="130"/>
  <c r="E58" i="130"/>
  <c r="G58" i="130"/>
  <c r="H58" i="130"/>
  <c r="D60" i="130"/>
  <c r="E60" i="130"/>
  <c r="G60" i="130"/>
  <c r="H60" i="130"/>
  <c r="D78" i="130"/>
  <c r="E78" i="130"/>
  <c r="G78" i="130"/>
  <c r="H78" i="130"/>
  <c r="D80" i="130"/>
  <c r="E80" i="130"/>
  <c r="G80" i="130"/>
  <c r="H80" i="130"/>
  <c r="D82" i="130"/>
  <c r="E82" i="130"/>
  <c r="F82" i="130" s="1"/>
  <c r="G82" i="130"/>
  <c r="H82" i="130"/>
  <c r="D84" i="130"/>
  <c r="E84" i="130"/>
  <c r="G84" i="130"/>
  <c r="H84" i="130"/>
  <c r="D86" i="130"/>
  <c r="E86" i="130"/>
  <c r="G86" i="130"/>
  <c r="H86" i="130"/>
  <c r="D88" i="130"/>
  <c r="E88" i="130"/>
  <c r="G88" i="130"/>
  <c r="H88" i="130"/>
  <c r="D90" i="130"/>
  <c r="E90" i="130"/>
  <c r="F90" i="130" s="1"/>
  <c r="G90" i="130"/>
  <c r="H90" i="130"/>
  <c r="D92" i="130"/>
  <c r="E92" i="130"/>
  <c r="G92" i="130"/>
  <c r="H92" i="130"/>
  <c r="D94" i="130"/>
  <c r="E94" i="130"/>
  <c r="G94" i="130"/>
  <c r="H94" i="130"/>
  <c r="D96" i="130"/>
  <c r="E96" i="130"/>
  <c r="G96" i="130"/>
  <c r="H96" i="130"/>
  <c r="D98" i="130"/>
  <c r="E98" i="130"/>
  <c r="G98" i="130"/>
  <c r="H98" i="130"/>
  <c r="D100" i="130"/>
  <c r="E100" i="130"/>
  <c r="G100" i="130"/>
  <c r="H100" i="130"/>
  <c r="D101" i="130"/>
  <c r="E101" i="130"/>
  <c r="G101" i="130"/>
  <c r="H101" i="130"/>
  <c r="D102" i="130"/>
  <c r="E102" i="130"/>
  <c r="G102" i="130"/>
  <c r="H102" i="130"/>
  <c r="D103" i="130"/>
  <c r="E103" i="130"/>
  <c r="G103" i="130"/>
  <c r="H103" i="130"/>
  <c r="D105" i="130"/>
  <c r="E105" i="130"/>
  <c r="G105" i="130"/>
  <c r="H105" i="130"/>
  <c r="D107" i="130"/>
  <c r="E107" i="130"/>
  <c r="G107" i="130"/>
  <c r="H107" i="130"/>
  <c r="H108" i="130"/>
  <c r="D109" i="130"/>
  <c r="D108" i="130" s="1"/>
  <c r="E109" i="130"/>
  <c r="E108" i="130" s="1"/>
  <c r="G109" i="130"/>
  <c r="G110" i="130"/>
  <c r="F110" i="130" s="1"/>
  <c r="G108" i="130" l="1"/>
  <c r="F58" i="130"/>
  <c r="F56" i="130"/>
  <c r="F53" i="130"/>
  <c r="F52" i="130"/>
  <c r="F36" i="130"/>
  <c r="F24" i="130"/>
  <c r="F103" i="130"/>
  <c r="F27" i="130"/>
  <c r="F88" i="130"/>
  <c r="F34" i="130"/>
  <c r="F31" i="130"/>
  <c r="F30" i="130"/>
  <c r="F29" i="130"/>
  <c r="F22" i="130"/>
  <c r="F102" i="130"/>
  <c r="F101" i="130"/>
  <c r="F100" i="130"/>
  <c r="F98" i="130"/>
  <c r="H41" i="130"/>
  <c r="F26" i="130"/>
  <c r="F25" i="130"/>
  <c r="F51" i="130"/>
  <c r="F49" i="130"/>
  <c r="E41" i="130"/>
  <c r="F44" i="130"/>
  <c r="F39" i="130"/>
  <c r="E16" i="130"/>
  <c r="F109" i="130"/>
  <c r="F108" i="130" s="1"/>
  <c r="F96" i="130"/>
  <c r="F94" i="130"/>
  <c r="F92" i="130"/>
  <c r="D41" i="130"/>
  <c r="F23" i="130"/>
  <c r="D16" i="130"/>
  <c r="F86" i="130"/>
  <c r="F84" i="130"/>
  <c r="F80" i="130"/>
  <c r="F78" i="130"/>
  <c r="F60" i="130"/>
  <c r="G41" i="130"/>
  <c r="F35" i="130"/>
  <c r="F107" i="130"/>
  <c r="F105" i="130"/>
  <c r="F55" i="130"/>
  <c r="F54" i="130"/>
  <c r="F48" i="130"/>
  <c r="F43" i="130"/>
  <c r="G16" i="130"/>
  <c r="L326" i="131"/>
  <c r="L327" i="131" s="1"/>
  <c r="J25" i="132"/>
  <c r="H21" i="132"/>
  <c r="I14" i="132"/>
  <c r="H16" i="130"/>
  <c r="F18" i="130"/>
  <c r="F47" i="130"/>
  <c r="I25" i="130"/>
  <c r="I18" i="130"/>
  <c r="I32" i="130" s="1"/>
  <c r="F42" i="130"/>
  <c r="J29" i="130"/>
  <c r="D16" i="129"/>
  <c r="E16" i="129"/>
  <c r="F16" i="129"/>
  <c r="G16" i="129"/>
  <c r="H18" i="129"/>
  <c r="H24" i="129" s="1"/>
  <c r="I24" i="129" s="1"/>
  <c r="H20" i="129"/>
  <c r="H23" i="129"/>
  <c r="H25" i="129"/>
  <c r="I28" i="129"/>
  <c r="H29" i="129"/>
  <c r="H30" i="129"/>
  <c r="I30" i="129" s="1"/>
  <c r="H31" i="129"/>
  <c r="H34" i="129"/>
  <c r="H37" i="129"/>
  <c r="D38" i="129"/>
  <c r="E40" i="129"/>
  <c r="G40" i="129"/>
  <c r="H40" i="129"/>
  <c r="D41" i="129"/>
  <c r="D42" i="129"/>
  <c r="D43" i="129"/>
  <c r="D44" i="129"/>
  <c r="D45" i="129"/>
  <c r="D46" i="129"/>
  <c r="D47" i="129"/>
  <c r="D48" i="129"/>
  <c r="D49" i="129"/>
  <c r="D50" i="129"/>
  <c r="D51" i="129"/>
  <c r="D52" i="129"/>
  <c r="D53" i="129"/>
  <c r="D54" i="129"/>
  <c r="D55" i="129"/>
  <c r="D73" i="129"/>
  <c r="D74" i="129"/>
  <c r="F74" i="129"/>
  <c r="F40" i="129" s="1"/>
  <c r="D76" i="129"/>
  <c r="F76" i="129"/>
  <c r="D78" i="129"/>
  <c r="F78" i="129"/>
  <c r="D80" i="129"/>
  <c r="F80" i="129"/>
  <c r="D82" i="129"/>
  <c r="F82" i="129"/>
  <c r="D84" i="129"/>
  <c r="F84" i="129"/>
  <c r="D86" i="129"/>
  <c r="F86" i="129"/>
  <c r="D88" i="129"/>
  <c r="F88" i="129"/>
  <c r="D90" i="129"/>
  <c r="F90" i="129"/>
  <c r="D92" i="129"/>
  <c r="F92" i="129"/>
  <c r="D94" i="129"/>
  <c r="F94" i="129"/>
  <c r="D95" i="129"/>
  <c r="F95" i="129"/>
  <c r="D97" i="129"/>
  <c r="F97" i="129"/>
  <c r="D98" i="129"/>
  <c r="F98" i="129"/>
  <c r="D99" i="129"/>
  <c r="F99" i="129"/>
  <c r="E100" i="129"/>
  <c r="G100" i="129"/>
  <c r="G115" i="129" s="1"/>
  <c r="H100" i="129"/>
  <c r="D101" i="129"/>
  <c r="F101" i="129"/>
  <c r="F100" i="129" s="1"/>
  <c r="F115" i="129" s="1"/>
  <c r="D103" i="129"/>
  <c r="F103" i="129"/>
  <c r="D105" i="129"/>
  <c r="F105" i="129"/>
  <c r="D106" i="129"/>
  <c r="F106" i="129"/>
  <c r="D107" i="129"/>
  <c r="F107" i="129"/>
  <c r="D108" i="129"/>
  <c r="F108" i="129"/>
  <c r="D109" i="129"/>
  <c r="F109" i="129"/>
  <c r="D110" i="129"/>
  <c r="F110" i="129"/>
  <c r="F111" i="129"/>
  <c r="F112" i="129"/>
  <c r="D114" i="129"/>
  <c r="F114" i="129"/>
  <c r="E115" i="129"/>
  <c r="I115" i="129"/>
  <c r="F16" i="130" l="1"/>
  <c r="G111" i="130"/>
  <c r="D111" i="130"/>
  <c r="E111" i="130"/>
  <c r="H111" i="130"/>
  <c r="H23" i="132"/>
  <c r="I23" i="132" s="1"/>
  <c r="I21" i="132"/>
  <c r="H12" i="132"/>
  <c r="H146" i="132" s="1"/>
  <c r="F41" i="130"/>
  <c r="D100" i="129"/>
  <c r="D40" i="129"/>
  <c r="J28" i="129"/>
  <c r="I18" i="129"/>
  <c r="H26" i="129"/>
  <c r="I26" i="129" s="1"/>
  <c r="D14" i="128"/>
  <c r="E14" i="128"/>
  <c r="E21" i="128" s="1"/>
  <c r="G14" i="128"/>
  <c r="H14" i="128"/>
  <c r="F15" i="128"/>
  <c r="F16" i="128"/>
  <c r="F14" i="128" s="1"/>
  <c r="F21" i="128" s="1"/>
  <c r="D21" i="128"/>
  <c r="G21" i="128"/>
  <c r="H21" i="128"/>
  <c r="D14" i="127"/>
  <c r="D20" i="127" s="1"/>
  <c r="E14" i="127"/>
  <c r="E20" i="127" s="1"/>
  <c r="F14" i="127"/>
  <c r="F20" i="127" s="1"/>
  <c r="G14" i="127"/>
  <c r="F15" i="127"/>
  <c r="H15" i="127"/>
  <c r="H14" i="127" s="1"/>
  <c r="H20" i="127" s="1"/>
  <c r="F16" i="127"/>
  <c r="H16" i="127"/>
  <c r="F17" i="127"/>
  <c r="H17" i="127"/>
  <c r="G20" i="127"/>
  <c r="D14" i="126"/>
  <c r="E14" i="126"/>
  <c r="G14" i="126"/>
  <c r="H14" i="126"/>
  <c r="F15" i="126"/>
  <c r="F21" i="126" s="1"/>
  <c r="F16" i="126"/>
  <c r="F14" i="126" s="1"/>
  <c r="F17" i="126"/>
  <c r="H17" i="126"/>
  <c r="F18" i="126"/>
  <c r="D21" i="126"/>
  <c r="E21" i="126"/>
  <c r="G21" i="126"/>
  <c r="H21" i="126"/>
  <c r="D14" i="125"/>
  <c r="E14" i="125"/>
  <c r="G14" i="125"/>
  <c r="H14" i="125"/>
  <c r="F15" i="125"/>
  <c r="F16" i="125"/>
  <c r="F14" i="125" s="1"/>
  <c r="F24" i="125" s="1"/>
  <c r="H16" i="125"/>
  <c r="F17" i="125"/>
  <c r="D24" i="125"/>
  <c r="E24" i="125"/>
  <c r="G24" i="125"/>
  <c r="H24" i="125"/>
  <c r="D14" i="124"/>
  <c r="E14" i="124"/>
  <c r="E27" i="124" s="1"/>
  <c r="F14" i="124"/>
  <c r="F27" i="124" s="1"/>
  <c r="G14" i="124"/>
  <c r="H14" i="124"/>
  <c r="F15" i="124"/>
  <c r="F16" i="124"/>
  <c r="F17" i="124"/>
  <c r="F18" i="124"/>
  <c r="F19" i="124"/>
  <c r="D27" i="124"/>
  <c r="G27" i="124"/>
  <c r="H27" i="124"/>
  <c r="D14" i="123"/>
  <c r="E14" i="123"/>
  <c r="F14" i="123"/>
  <c r="G14" i="123"/>
  <c r="G29" i="123" s="1"/>
  <c r="H14" i="123"/>
  <c r="F15" i="123"/>
  <c r="F16" i="123"/>
  <c r="G16" i="123"/>
  <c r="H16" i="123"/>
  <c r="F17" i="123"/>
  <c r="D29" i="123"/>
  <c r="E29" i="123"/>
  <c r="F29" i="123"/>
  <c r="H29" i="123"/>
  <c r="D14" i="122"/>
  <c r="E14" i="122"/>
  <c r="E29" i="122" s="1"/>
  <c r="F14" i="122"/>
  <c r="F29" i="122" s="1"/>
  <c r="G14" i="122"/>
  <c r="F15" i="122"/>
  <c r="F16" i="122"/>
  <c r="H16" i="122"/>
  <c r="F17" i="122"/>
  <c r="H17" i="122"/>
  <c r="H14" i="122" s="1"/>
  <c r="H29" i="122" s="1"/>
  <c r="D29" i="122"/>
  <c r="G29" i="122"/>
  <c r="D14" i="121"/>
  <c r="E14" i="121"/>
  <c r="E29" i="121" s="1"/>
  <c r="G14" i="121"/>
  <c r="F15" i="121"/>
  <c r="F16" i="121"/>
  <c r="F14" i="121" s="1"/>
  <c r="F29" i="121" s="1"/>
  <c r="H16" i="121"/>
  <c r="F17" i="121"/>
  <c r="H17" i="121"/>
  <c r="H14" i="121" s="1"/>
  <c r="H29" i="121" s="1"/>
  <c r="D29" i="121"/>
  <c r="G29" i="121"/>
  <c r="D14" i="120"/>
  <c r="E14" i="120"/>
  <c r="E29" i="120" s="1"/>
  <c r="G14" i="120"/>
  <c r="G29" i="120" s="1"/>
  <c r="F15" i="120"/>
  <c r="F14" i="120" s="1"/>
  <c r="F29" i="120" s="1"/>
  <c r="F16" i="120"/>
  <c r="H16" i="120"/>
  <c r="H14" i="120" s="1"/>
  <c r="H29" i="120" s="1"/>
  <c r="F17" i="120"/>
  <c r="D29" i="120"/>
  <c r="D14" i="119"/>
  <c r="D29" i="119" s="1"/>
  <c r="E14" i="119"/>
  <c r="G14" i="119"/>
  <c r="H14" i="119"/>
  <c r="H29" i="119" s="1"/>
  <c r="F15" i="119"/>
  <c r="F16" i="119"/>
  <c r="F14" i="119" s="1"/>
  <c r="F29" i="119" s="1"/>
  <c r="H16" i="119"/>
  <c r="F17" i="119"/>
  <c r="E29" i="119"/>
  <c r="G29" i="119"/>
  <c r="D14" i="118"/>
  <c r="E14" i="118"/>
  <c r="G14" i="118"/>
  <c r="H14" i="118"/>
  <c r="F15" i="118"/>
  <c r="F16" i="118"/>
  <c r="F14" i="118" s="1"/>
  <c r="F30" i="118" s="1"/>
  <c r="F17" i="118"/>
  <c r="F18" i="118"/>
  <c r="D30" i="118"/>
  <c r="E30" i="118"/>
  <c r="G30" i="118"/>
  <c r="H30" i="118"/>
  <c r="D14" i="117"/>
  <c r="D29" i="117" s="1"/>
  <c r="E14" i="117"/>
  <c r="G14" i="117"/>
  <c r="H14" i="117"/>
  <c r="F15" i="117"/>
  <c r="F16" i="117"/>
  <c r="F14" i="117" s="1"/>
  <c r="F29" i="117" s="1"/>
  <c r="F17" i="117"/>
  <c r="E29" i="117"/>
  <c r="G29" i="117"/>
  <c r="H29" i="117"/>
  <c r="D14" i="116"/>
  <c r="E14" i="116"/>
  <c r="G14" i="116"/>
  <c r="H14" i="116"/>
  <c r="F15" i="116"/>
  <c r="F16" i="116"/>
  <c r="F14" i="116" s="1"/>
  <c r="F29" i="116" s="1"/>
  <c r="F17" i="116"/>
  <c r="D29" i="116"/>
  <c r="E29" i="116"/>
  <c r="G29" i="116"/>
  <c r="H29" i="116"/>
  <c r="D14" i="115"/>
  <c r="E14" i="115"/>
  <c r="F14" i="115"/>
  <c r="G14" i="115"/>
  <c r="H14" i="115"/>
  <c r="F15" i="115"/>
  <c r="F16" i="115"/>
  <c r="F17" i="115"/>
  <c r="D21" i="115"/>
  <c r="E21" i="115"/>
  <c r="F21" i="115"/>
  <c r="G21" i="115"/>
  <c r="H21" i="115"/>
  <c r="D14" i="114"/>
  <c r="E14" i="114"/>
  <c r="H14" i="114"/>
  <c r="G15" i="114"/>
  <c r="F15" i="114" s="1"/>
  <c r="G16" i="114"/>
  <c r="F16" i="114" s="1"/>
  <c r="F17" i="114"/>
  <c r="D27" i="114"/>
  <c r="E27" i="114"/>
  <c r="H27" i="114"/>
  <c r="E14" i="113"/>
  <c r="H14" i="113"/>
  <c r="G15" i="113"/>
  <c r="G14" i="113" s="1"/>
  <c r="G26" i="113" s="1"/>
  <c r="D16" i="113"/>
  <c r="D14" i="113" s="1"/>
  <c r="D26" i="113" s="1"/>
  <c r="F16" i="113"/>
  <c r="D17" i="113"/>
  <c r="F17" i="113"/>
  <c r="D18" i="113"/>
  <c r="E18" i="113"/>
  <c r="F18" i="113" s="1"/>
  <c r="F14" i="113" s="1"/>
  <c r="F26" i="113" s="1"/>
  <c r="D19" i="113"/>
  <c r="F19" i="113"/>
  <c r="F20" i="113"/>
  <c r="E26" i="113"/>
  <c r="H26" i="113"/>
  <c r="D14" i="112"/>
  <c r="D26" i="112" s="1"/>
  <c r="E14" i="112"/>
  <c r="F14" i="112"/>
  <c r="G14" i="112"/>
  <c r="H14" i="112"/>
  <c r="D15" i="112"/>
  <c r="F15" i="112"/>
  <c r="D16" i="112"/>
  <c r="F16" i="112"/>
  <c r="F17" i="112"/>
  <c r="E26" i="112"/>
  <c r="F26" i="112"/>
  <c r="G26" i="112"/>
  <c r="H26" i="112"/>
  <c r="H14" i="111"/>
  <c r="D15" i="111"/>
  <c r="D14" i="111" s="1"/>
  <c r="D26" i="111" s="1"/>
  <c r="E15" i="111"/>
  <c r="F15" i="111" s="1"/>
  <c r="F14" i="111" s="1"/>
  <c r="F26" i="111" s="1"/>
  <c r="D16" i="111"/>
  <c r="F16" i="111"/>
  <c r="D17" i="111"/>
  <c r="E17" i="111"/>
  <c r="F17" i="111"/>
  <c r="G18" i="111"/>
  <c r="G14" i="111" s="1"/>
  <c r="G26" i="111" s="1"/>
  <c r="H26" i="111"/>
  <c r="F111" i="130" l="1"/>
  <c r="D115" i="129"/>
  <c r="I31" i="129"/>
  <c r="H16" i="129"/>
  <c r="H115" i="129" s="1"/>
  <c r="F14" i="114"/>
  <c r="F27" i="114" s="1"/>
  <c r="G14" i="114"/>
  <c r="G27" i="114" s="1"/>
  <c r="E14" i="111"/>
  <c r="E26" i="111" s="1"/>
  <c r="J119" i="129" l="1"/>
  <c r="D10" i="110"/>
  <c r="E10" i="110"/>
  <c r="E68" i="110" s="1"/>
  <c r="F12" i="110"/>
  <c r="F14" i="110"/>
  <c r="F10" i="110" s="1"/>
  <c r="F68" i="110" s="1"/>
  <c r="F15" i="110"/>
  <c r="H15" i="110"/>
  <c r="H10" i="110" s="1"/>
  <c r="H68" i="110" s="1"/>
  <c r="F16" i="110"/>
  <c r="H16" i="110"/>
  <c r="F17" i="110"/>
  <c r="F18" i="110"/>
  <c r="H18" i="110"/>
  <c r="F19" i="110"/>
  <c r="G19" i="110"/>
  <c r="G10" i="110" s="1"/>
  <c r="G68" i="110" s="1"/>
  <c r="H19" i="110"/>
  <c r="F20" i="110"/>
  <c r="F21" i="110"/>
  <c r="H21" i="110"/>
  <c r="F22" i="110"/>
  <c r="F23" i="110"/>
  <c r="H23" i="110"/>
  <c r="F25" i="110"/>
  <c r="F26" i="110"/>
  <c r="F27" i="110"/>
  <c r="F28" i="110"/>
  <c r="G30" i="110"/>
  <c r="F31" i="110"/>
  <c r="F32" i="110"/>
  <c r="F33" i="110"/>
  <c r="G35" i="110"/>
  <c r="D37" i="110"/>
  <c r="E37" i="110"/>
  <c r="G37" i="110"/>
  <c r="H37" i="110"/>
  <c r="F38" i="110"/>
  <c r="F39" i="110"/>
  <c r="F37" i="110" s="1"/>
  <c r="F40" i="110"/>
  <c r="F42" i="110"/>
  <c r="F43" i="110"/>
  <c r="F44" i="110"/>
  <c r="F45" i="110"/>
  <c r="F46" i="110"/>
  <c r="F47" i="110"/>
  <c r="F48" i="110"/>
  <c r="F49" i="110"/>
  <c r="F50" i="110"/>
  <c r="F51" i="110"/>
  <c r="F52" i="110"/>
  <c r="F54" i="110"/>
  <c r="F56" i="110"/>
  <c r="F58" i="110"/>
  <c r="F60" i="110"/>
  <c r="F61" i="110"/>
  <c r="F62" i="110"/>
  <c r="F64" i="110"/>
  <c r="F66" i="110"/>
  <c r="D68" i="110"/>
  <c r="F14" i="109" l="1"/>
  <c r="F18" i="109"/>
  <c r="F31" i="109" s="1"/>
  <c r="F22" i="109"/>
  <c r="F24" i="109"/>
  <c r="F28" i="109"/>
  <c r="F30" i="109"/>
  <c r="D31" i="109"/>
  <c r="D43" i="109" s="1"/>
  <c r="E31" i="109"/>
  <c r="E43" i="109" s="1"/>
  <c r="G31" i="109"/>
  <c r="H31" i="109"/>
  <c r="F33" i="109"/>
  <c r="F42" i="109" s="1"/>
  <c r="F34" i="109"/>
  <c r="F37" i="109"/>
  <c r="F39" i="109"/>
  <c r="F40" i="109"/>
  <c r="F41" i="109"/>
  <c r="D42" i="109"/>
  <c r="E42" i="109"/>
  <c r="G42" i="109"/>
  <c r="H42" i="109"/>
  <c r="H43" i="109" s="1"/>
  <c r="K37" i="109" s="1"/>
  <c r="G43" i="109"/>
  <c r="D13" i="108"/>
  <c r="E13" i="108"/>
  <c r="G13" i="108"/>
  <c r="H13" i="108"/>
  <c r="F14" i="108"/>
  <c r="F13" i="108" s="1"/>
  <c r="F15" i="108"/>
  <c r="F16" i="108"/>
  <c r="F23" i="108"/>
  <c r="F24" i="108"/>
  <c r="F25" i="108"/>
  <c r="F26" i="108"/>
  <c r="F27" i="108"/>
  <c r="F33" i="108"/>
  <c r="D37" i="108"/>
  <c r="E37" i="108"/>
  <c r="F37" i="108"/>
  <c r="G37" i="108"/>
  <c r="H37" i="108"/>
  <c r="F38" i="108"/>
  <c r="D39" i="108"/>
  <c r="E39" i="108"/>
  <c r="G39" i="108"/>
  <c r="H39" i="108"/>
  <c r="F40" i="108"/>
  <c r="F39" i="108" s="1"/>
  <c r="D41" i="108"/>
  <c r="E41" i="108"/>
  <c r="F41" i="108"/>
  <c r="G41" i="108"/>
  <c r="G43" i="108" s="1"/>
  <c r="H41" i="108"/>
  <c r="F42" i="108"/>
  <c r="D43" i="108"/>
  <c r="E43" i="108"/>
  <c r="H43" i="108"/>
  <c r="F43" i="109" l="1"/>
  <c r="F43" i="108"/>
  <c r="H12" i="107" l="1"/>
  <c r="I12" i="107" s="1"/>
  <c r="H13" i="107"/>
  <c r="J13" i="107" s="1"/>
  <c r="I13" i="107"/>
  <c r="H14" i="107"/>
  <c r="I14" i="107" s="1"/>
  <c r="H15" i="107"/>
  <c r="I15" i="107"/>
  <c r="J15" i="107" s="1"/>
  <c r="H16" i="107"/>
  <c r="I16" i="107"/>
  <c r="J16" i="107"/>
  <c r="H17" i="107"/>
  <c r="D18" i="107"/>
  <c r="E18" i="107"/>
  <c r="F18" i="107"/>
  <c r="G18" i="107"/>
  <c r="H18" i="107"/>
  <c r="H12" i="106"/>
  <c r="I12" i="106"/>
  <c r="J12" i="106"/>
  <c r="H13" i="106"/>
  <c r="J13" i="106" s="1"/>
  <c r="H14" i="106"/>
  <c r="J14" i="106" s="1"/>
  <c r="I14" i="106"/>
  <c r="I15" i="106" s="1"/>
  <c r="D15" i="106"/>
  <c r="E15" i="106"/>
  <c r="F15" i="106"/>
  <c r="G15" i="106"/>
  <c r="H12" i="105"/>
  <c r="J12" i="105"/>
  <c r="H13" i="105"/>
  <c r="I13" i="105" s="1"/>
  <c r="D14" i="105"/>
  <c r="E14" i="105"/>
  <c r="F14" i="105"/>
  <c r="G14" i="105"/>
  <c r="H14" i="105"/>
  <c r="H12" i="104"/>
  <c r="J12" i="104"/>
  <c r="H13" i="104"/>
  <c r="J13" i="104" s="1"/>
  <c r="J15" i="104" s="1"/>
  <c r="I13" i="104"/>
  <c r="I15" i="104" s="1"/>
  <c r="H14" i="104"/>
  <c r="J14" i="104" s="1"/>
  <c r="D15" i="104"/>
  <c r="E15" i="104"/>
  <c r="F15" i="104"/>
  <c r="G15" i="104"/>
  <c r="H12" i="103"/>
  <c r="H19" i="103" s="1"/>
  <c r="J12" i="103"/>
  <c r="H13" i="103"/>
  <c r="J13" i="103" s="1"/>
  <c r="H14" i="103"/>
  <c r="I14" i="103"/>
  <c r="J14" i="103"/>
  <c r="H15" i="103"/>
  <c r="I15" i="103"/>
  <c r="J15" i="103"/>
  <c r="H17" i="103"/>
  <c r="I17" i="103" s="1"/>
  <c r="H18" i="103"/>
  <c r="J18" i="103"/>
  <c r="D19" i="103"/>
  <c r="E19" i="103"/>
  <c r="F19" i="103"/>
  <c r="G19" i="103"/>
  <c r="H12" i="102"/>
  <c r="I12" i="102"/>
  <c r="J12" i="102"/>
  <c r="J14" i="102" s="1"/>
  <c r="H13" i="102"/>
  <c r="J13" i="102" s="1"/>
  <c r="D14" i="102"/>
  <c r="E14" i="102"/>
  <c r="F14" i="102"/>
  <c r="G14" i="102"/>
  <c r="H14" i="102"/>
  <c r="I14" i="102"/>
  <c r="H12" i="101"/>
  <c r="J12" i="101"/>
  <c r="H13" i="101"/>
  <c r="I13" i="101" s="1"/>
  <c r="I16" i="101" s="1"/>
  <c r="H14" i="101"/>
  <c r="J14" i="101"/>
  <c r="H15" i="101"/>
  <c r="J15" i="101"/>
  <c r="D16" i="101"/>
  <c r="E16" i="101"/>
  <c r="F16" i="101"/>
  <c r="G16" i="101"/>
  <c r="H12" i="100"/>
  <c r="J12" i="100"/>
  <c r="H13" i="100"/>
  <c r="J13" i="100" s="1"/>
  <c r="I13" i="100"/>
  <c r="H14" i="100"/>
  <c r="J14" i="100" s="1"/>
  <c r="H15" i="100"/>
  <c r="I15" i="100"/>
  <c r="J15" i="100"/>
  <c r="D16" i="100"/>
  <c r="E16" i="100"/>
  <c r="F16" i="100"/>
  <c r="G16" i="100"/>
  <c r="I16" i="100"/>
  <c r="H12" i="99"/>
  <c r="J12" i="99"/>
  <c r="H13" i="99"/>
  <c r="J13" i="99" s="1"/>
  <c r="H14" i="99"/>
  <c r="I14" i="99"/>
  <c r="J14" i="99"/>
  <c r="H15" i="99"/>
  <c r="J15" i="99" s="1"/>
  <c r="H17" i="99"/>
  <c r="J17" i="99"/>
  <c r="H18" i="99"/>
  <c r="I18" i="99" s="1"/>
  <c r="J18" i="99" s="1"/>
  <c r="D19" i="99"/>
  <c r="E19" i="99"/>
  <c r="F19" i="99"/>
  <c r="G19" i="99"/>
  <c r="H19" i="99"/>
  <c r="H12" i="98"/>
  <c r="J12" i="98" s="1"/>
  <c r="J17" i="98" s="1"/>
  <c r="H13" i="98"/>
  <c r="J13" i="98" s="1"/>
  <c r="I13" i="98"/>
  <c r="I17" i="98" s="1"/>
  <c r="H14" i="98"/>
  <c r="J14" i="98"/>
  <c r="H15" i="98"/>
  <c r="J15" i="98" s="1"/>
  <c r="H16" i="98"/>
  <c r="J16" i="98"/>
  <c r="D17" i="98"/>
  <c r="E17" i="98"/>
  <c r="F17" i="98"/>
  <c r="G17" i="98"/>
  <c r="H12" i="97"/>
  <c r="H15" i="97" s="1"/>
  <c r="J12" i="97"/>
  <c r="H13" i="97"/>
  <c r="J13" i="97" s="1"/>
  <c r="J15" i="97" s="1"/>
  <c r="I13" i="97"/>
  <c r="H14" i="97"/>
  <c r="J14" i="97"/>
  <c r="D15" i="97"/>
  <c r="E15" i="97"/>
  <c r="F15" i="97"/>
  <c r="G15" i="97"/>
  <c r="I15" i="97"/>
  <c r="G12" i="96"/>
  <c r="H12" i="96"/>
  <c r="I12" i="96"/>
  <c r="I18" i="96" s="1"/>
  <c r="G13" i="96"/>
  <c r="I13" i="96" s="1"/>
  <c r="H13" i="96"/>
  <c r="G14" i="96"/>
  <c r="I14" i="96" s="1"/>
  <c r="H14" i="96"/>
  <c r="G16" i="96"/>
  <c r="H16" i="96"/>
  <c r="I16" i="96"/>
  <c r="H17" i="96"/>
  <c r="I17" i="96"/>
  <c r="C18" i="96"/>
  <c r="D18" i="96"/>
  <c r="E18" i="96"/>
  <c r="F18" i="96"/>
  <c r="G18" i="96"/>
  <c r="H18" i="96"/>
  <c r="H12" i="95"/>
  <c r="J12" i="95"/>
  <c r="H13" i="95"/>
  <c r="J13" i="95" s="1"/>
  <c r="H14" i="95"/>
  <c r="J14" i="95"/>
  <c r="H15" i="95"/>
  <c r="J15" i="95" s="1"/>
  <c r="H16" i="95"/>
  <c r="J16" i="95"/>
  <c r="H17" i="95"/>
  <c r="J17" i="95" s="1"/>
  <c r="H18" i="95"/>
  <c r="J18" i="95"/>
  <c r="D19" i="95"/>
  <c r="E19" i="95"/>
  <c r="F19" i="95"/>
  <c r="G19" i="95"/>
  <c r="H19" i="95"/>
  <c r="I19" i="95"/>
  <c r="H12" i="94"/>
  <c r="I12" i="94"/>
  <c r="J12" i="94"/>
  <c r="H13" i="94"/>
  <c r="I13" i="94"/>
  <c r="J13" i="94"/>
  <c r="H14" i="94"/>
  <c r="J14" i="94" s="1"/>
  <c r="I14" i="94"/>
  <c r="H15" i="94"/>
  <c r="J15" i="94" s="1"/>
  <c r="I15" i="94"/>
  <c r="H16" i="94"/>
  <c r="I16" i="94"/>
  <c r="J16" i="94"/>
  <c r="H17" i="94"/>
  <c r="I17" i="94"/>
  <c r="J17" i="94"/>
  <c r="H18" i="94"/>
  <c r="J18" i="94" s="1"/>
  <c r="I18" i="94"/>
  <c r="H19" i="94"/>
  <c r="J19" i="94" s="1"/>
  <c r="I19" i="94"/>
  <c r="H20" i="94"/>
  <c r="I20" i="94"/>
  <c r="J20" i="94"/>
  <c r="H21" i="94"/>
  <c r="H22" i="94"/>
  <c r="I22" i="94"/>
  <c r="J22" i="94"/>
  <c r="H23" i="94"/>
  <c r="I23" i="94"/>
  <c r="J23" i="94"/>
  <c r="H24" i="94"/>
  <c r="J24" i="94" s="1"/>
  <c r="I24" i="94"/>
  <c r="J25" i="94"/>
  <c r="H26" i="94"/>
  <c r="J26" i="94" s="1"/>
  <c r="I26" i="94"/>
  <c r="H27" i="94"/>
  <c r="J27" i="94" s="1"/>
  <c r="I27" i="94"/>
  <c r="J28" i="94"/>
  <c r="H29" i="94"/>
  <c r="J29" i="94" s="1"/>
  <c r="I29" i="94"/>
  <c r="H30" i="94"/>
  <c r="I30" i="94"/>
  <c r="J30" i="94"/>
  <c r="H31" i="94"/>
  <c r="I31" i="94"/>
  <c r="J31" i="94"/>
  <c r="D32" i="94"/>
  <c r="E32" i="94"/>
  <c r="G32" i="94"/>
  <c r="I32" i="94"/>
  <c r="D14" i="93"/>
  <c r="E14" i="93"/>
  <c r="F16" i="93"/>
  <c r="F18" i="93"/>
  <c r="F19" i="93"/>
  <c r="H19" i="93"/>
  <c r="F20" i="93"/>
  <c r="H20" i="93"/>
  <c r="F21" i="93"/>
  <c r="F22" i="93"/>
  <c r="H22" i="93"/>
  <c r="F24" i="93"/>
  <c r="H24" i="93"/>
  <c r="F26" i="93"/>
  <c r="F27" i="93"/>
  <c r="F28" i="93"/>
  <c r="F29" i="93"/>
  <c r="G31" i="93"/>
  <c r="G14" i="93" s="1"/>
  <c r="F32" i="93"/>
  <c r="F33" i="93"/>
  <c r="F34" i="93"/>
  <c r="F36" i="93"/>
  <c r="G37" i="93"/>
  <c r="D38" i="93"/>
  <c r="D83" i="93" s="1"/>
  <c r="E38" i="93"/>
  <c r="G38" i="93"/>
  <c r="H38" i="93"/>
  <c r="F39" i="93"/>
  <c r="F40" i="93"/>
  <c r="F41" i="93"/>
  <c r="F42" i="93"/>
  <c r="F43" i="93"/>
  <c r="F44" i="93"/>
  <c r="F45" i="93"/>
  <c r="F46" i="93"/>
  <c r="F47" i="93"/>
  <c r="F48" i="93"/>
  <c r="F49" i="93"/>
  <c r="F50" i="93"/>
  <c r="F51" i="93"/>
  <c r="F53" i="93"/>
  <c r="F55" i="93"/>
  <c r="F57" i="93"/>
  <c r="F75" i="93"/>
  <c r="F38" i="93" s="1"/>
  <c r="F77" i="93"/>
  <c r="D79" i="93"/>
  <c r="E79" i="93"/>
  <c r="F79" i="93"/>
  <c r="H79" i="93"/>
  <c r="G80" i="93"/>
  <c r="G81" i="93"/>
  <c r="G82" i="93"/>
  <c r="E83" i="93"/>
  <c r="I18" i="107" l="1"/>
  <c r="J12" i="107"/>
  <c r="J14" i="107"/>
  <c r="J15" i="106"/>
  <c r="H15" i="106"/>
  <c r="J13" i="105"/>
  <c r="J14" i="105" s="1"/>
  <c r="I14" i="105"/>
  <c r="H15" i="104"/>
  <c r="I19" i="103"/>
  <c r="J17" i="103"/>
  <c r="J19" i="103" s="1"/>
  <c r="H16" i="101"/>
  <c r="J13" i="101"/>
  <c r="J16" i="101" s="1"/>
  <c r="J16" i="100"/>
  <c r="H16" i="100"/>
  <c r="J19" i="99"/>
  <c r="I19" i="99"/>
  <c r="H17" i="98"/>
  <c r="J19" i="95"/>
  <c r="J32" i="94"/>
  <c r="H32" i="94"/>
  <c r="F14" i="93"/>
  <c r="H14" i="93"/>
  <c r="H83" i="93" s="1"/>
  <c r="G79" i="93"/>
  <c r="G83" i="93"/>
  <c r="F83" i="93"/>
  <c r="E15" i="91"/>
  <c r="F15" i="91"/>
  <c r="F29" i="91" s="1"/>
  <c r="G15" i="91"/>
  <c r="F16" i="91"/>
  <c r="F17" i="91"/>
  <c r="F18" i="91"/>
  <c r="F20" i="91"/>
  <c r="F21" i="91"/>
  <c r="D24" i="91"/>
  <c r="D15" i="91" s="1"/>
  <c r="E24" i="91"/>
  <c r="F24" i="91"/>
  <c r="G24" i="91"/>
  <c r="H24" i="91"/>
  <c r="H15" i="91" s="1"/>
  <c r="H29" i="91" s="1"/>
  <c r="D29" i="91"/>
  <c r="E29" i="91"/>
  <c r="G29" i="91"/>
  <c r="D15" i="90"/>
  <c r="E15" i="90"/>
  <c r="F15" i="90"/>
  <c r="H15" i="90"/>
  <c r="F16" i="90"/>
  <c r="G16" i="90"/>
  <c r="G29" i="90" s="1"/>
  <c r="F17" i="90"/>
  <c r="G17" i="90"/>
  <c r="F18" i="90"/>
  <c r="D29" i="90"/>
  <c r="E29" i="90"/>
  <c r="F29" i="90"/>
  <c r="H29" i="90"/>
  <c r="D15" i="89"/>
  <c r="E15" i="89"/>
  <c r="F15" i="89"/>
  <c r="G15" i="89"/>
  <c r="H15" i="89"/>
  <c r="F16" i="89"/>
  <c r="F17" i="89"/>
  <c r="D29" i="89"/>
  <c r="E29" i="89"/>
  <c r="F29" i="89"/>
  <c r="G29" i="89"/>
  <c r="H29" i="89"/>
  <c r="D15" i="88"/>
  <c r="E15" i="88"/>
  <c r="G15" i="88"/>
  <c r="H15" i="88"/>
  <c r="F16" i="88"/>
  <c r="F29" i="88" s="1"/>
  <c r="F17" i="88"/>
  <c r="F15" i="88" s="1"/>
  <c r="F18" i="88"/>
  <c r="F20" i="88"/>
  <c r="F22" i="88"/>
  <c r="F23" i="88"/>
  <c r="D24" i="88"/>
  <c r="E24" i="88"/>
  <c r="F24" i="88"/>
  <c r="G24" i="88"/>
  <c r="G29" i="88" s="1"/>
  <c r="H24" i="88"/>
  <c r="G25" i="88"/>
  <c r="D29" i="88"/>
  <c r="E29" i="88"/>
  <c r="H29" i="88"/>
  <c r="D15" i="87"/>
  <c r="E15" i="87"/>
  <c r="F15" i="87"/>
  <c r="G15" i="87"/>
  <c r="H15" i="87"/>
  <c r="F16" i="87"/>
  <c r="F17" i="87"/>
  <c r="F18" i="87"/>
  <c r="D29" i="87"/>
  <c r="E29" i="87"/>
  <c r="F29" i="87"/>
  <c r="G29" i="87"/>
  <c r="H29" i="87"/>
  <c r="D15" i="86"/>
  <c r="E15" i="86"/>
  <c r="G15" i="86"/>
  <c r="H15" i="86"/>
  <c r="F16" i="86"/>
  <c r="F29" i="86" s="1"/>
  <c r="F17" i="86"/>
  <c r="F15" i="86" s="1"/>
  <c r="F18" i="86"/>
  <c r="F20" i="86"/>
  <c r="D29" i="86"/>
  <c r="E29" i="86"/>
  <c r="G29" i="86"/>
  <c r="H29" i="86"/>
  <c r="D15" i="85"/>
  <c r="E15" i="85"/>
  <c r="F15" i="85"/>
  <c r="F26" i="85" s="1"/>
  <c r="G15" i="85"/>
  <c r="H15" i="85"/>
  <c r="F16" i="85"/>
  <c r="F17" i="85"/>
  <c r="D26" i="85"/>
  <c r="E26" i="85"/>
  <c r="G26" i="85"/>
  <c r="H26" i="85"/>
  <c r="D15" i="84"/>
  <c r="G15" i="84"/>
  <c r="H15" i="84"/>
  <c r="H28" i="84" s="1"/>
  <c r="E16" i="84"/>
  <c r="E15" i="84" s="1"/>
  <c r="E28" i="84" s="1"/>
  <c r="F16" i="84"/>
  <c r="F15" i="84" s="1"/>
  <c r="F28" i="84" s="1"/>
  <c r="E17" i="84"/>
  <c r="F17" i="84"/>
  <c r="E19" i="84"/>
  <c r="F19" i="84"/>
  <c r="E20" i="84"/>
  <c r="F20" i="84"/>
  <c r="D22" i="84"/>
  <c r="E22" i="84"/>
  <c r="F22" i="84"/>
  <c r="H22" i="84"/>
  <c r="G23" i="84"/>
  <c r="G22" i="84" s="1"/>
  <c r="G28" i="84" s="1"/>
  <c r="G24" i="84"/>
  <c r="D28" i="84"/>
  <c r="D15" i="83"/>
  <c r="H15" i="83"/>
  <c r="E16" i="83"/>
  <c r="E29" i="83" s="1"/>
  <c r="F16" i="83"/>
  <c r="E17" i="83"/>
  <c r="G17" i="83"/>
  <c r="F17" i="83" s="1"/>
  <c r="F18" i="83"/>
  <c r="D29" i="83"/>
  <c r="G29" i="83"/>
  <c r="H29" i="83"/>
  <c r="D15" i="82"/>
  <c r="G15" i="82"/>
  <c r="H15" i="82"/>
  <c r="E16" i="82"/>
  <c r="E15" i="82" s="1"/>
  <c r="F16" i="82"/>
  <c r="D18" i="82"/>
  <c r="E18" i="82"/>
  <c r="F18" i="82" s="1"/>
  <c r="F20" i="82"/>
  <c r="E22" i="82"/>
  <c r="F22" i="82"/>
  <c r="F23" i="82"/>
  <c r="D27" i="82"/>
  <c r="G27" i="82"/>
  <c r="H27" i="82"/>
  <c r="D15" i="81"/>
  <c r="E15" i="81"/>
  <c r="H15" i="81"/>
  <c r="F16" i="81"/>
  <c r="F17" i="81"/>
  <c r="F29" i="81" s="1"/>
  <c r="G17" i="81"/>
  <c r="G15" i="81" s="1"/>
  <c r="F19" i="81"/>
  <c r="F20" i="81"/>
  <c r="F21" i="81"/>
  <c r="D29" i="81"/>
  <c r="E29" i="81"/>
  <c r="G29" i="81"/>
  <c r="H29" i="81"/>
  <c r="D15" i="80"/>
  <c r="E15" i="80"/>
  <c r="F15" i="80"/>
  <c r="G15" i="80"/>
  <c r="H15" i="80"/>
  <c r="F16" i="80"/>
  <c r="F17" i="80"/>
  <c r="F19" i="80"/>
  <c r="F21" i="80"/>
  <c r="F22" i="80"/>
  <c r="D26" i="80"/>
  <c r="E26" i="80"/>
  <c r="F26" i="80"/>
  <c r="G26" i="80"/>
  <c r="H26" i="80"/>
  <c r="D15" i="79"/>
  <c r="E15" i="79"/>
  <c r="G15" i="79"/>
  <c r="H15" i="79"/>
  <c r="F16" i="79"/>
  <c r="F15" i="79" s="1"/>
  <c r="F18" i="79"/>
  <c r="F22" i="79"/>
  <c r="D29" i="79"/>
  <c r="E29" i="79"/>
  <c r="G29" i="79"/>
  <c r="H29" i="79"/>
  <c r="J18" i="107" l="1"/>
  <c r="G15" i="90"/>
  <c r="F29" i="83"/>
  <c r="F15" i="83"/>
  <c r="E15" i="83"/>
  <c r="G15" i="83"/>
  <c r="F15" i="82"/>
  <c r="F27" i="82"/>
  <c r="E27" i="82"/>
  <c r="F15" i="81"/>
  <c r="F29" i="79"/>
  <c r="F12" i="78" l="1"/>
  <c r="H14" i="78"/>
  <c r="J14" i="78"/>
  <c r="H15" i="78"/>
  <c r="J15" i="78"/>
  <c r="H16" i="78"/>
  <c r="H17" i="78"/>
  <c r="H19" i="78"/>
  <c r="I19" i="78" s="1"/>
  <c r="H21" i="78"/>
  <c r="J21" i="78"/>
  <c r="G23" i="78"/>
  <c r="H23" i="78"/>
  <c r="G25" i="78"/>
  <c r="H25" i="78"/>
  <c r="J25" i="78"/>
  <c r="F28" i="78"/>
  <c r="J12" i="78" l="1"/>
  <c r="J28" i="78" s="1"/>
  <c r="H12" i="78"/>
  <c r="H28" i="78" s="1"/>
  <c r="G12" i="78"/>
  <c r="G28" i="78" s="1"/>
  <c r="I25" i="78"/>
  <c r="I12" i="78" s="1"/>
  <c r="I28" i="78" s="1"/>
  <c r="C7" i="77"/>
  <c r="D7" i="77"/>
  <c r="D55" i="77" s="1"/>
  <c r="E7" i="77"/>
  <c r="E55" i="77" s="1"/>
  <c r="F9" i="77"/>
  <c r="F7" i="77" s="1"/>
  <c r="F11" i="77"/>
  <c r="F12" i="77"/>
  <c r="F13" i="77"/>
  <c r="F14" i="77"/>
  <c r="F15" i="77"/>
  <c r="F17" i="77"/>
  <c r="F18" i="77"/>
  <c r="F19" i="77"/>
  <c r="F20" i="77"/>
  <c r="F22" i="77"/>
  <c r="F23" i="77"/>
  <c r="F24" i="77"/>
  <c r="F25" i="77"/>
  <c r="C26" i="77"/>
  <c r="C55" i="77" s="1"/>
  <c r="D26" i="77"/>
  <c r="E26" i="77"/>
  <c r="F27" i="77"/>
  <c r="F26" i="77" s="1"/>
  <c r="F28" i="77"/>
  <c r="F29" i="77"/>
  <c r="F30" i="77"/>
  <c r="F31" i="77"/>
  <c r="F32" i="77"/>
  <c r="F33" i="77"/>
  <c r="F34" i="77"/>
  <c r="F35" i="77"/>
  <c r="F36" i="77"/>
  <c r="F37" i="77"/>
  <c r="F38" i="77"/>
  <c r="F39" i="77"/>
  <c r="F40" i="77"/>
  <c r="F41" i="77"/>
  <c r="F43" i="77"/>
  <c r="F44" i="77"/>
  <c r="F45" i="77"/>
  <c r="F47" i="77"/>
  <c r="F48" i="77"/>
  <c r="F49" i="77"/>
  <c r="C50" i="77"/>
  <c r="D50" i="77"/>
  <c r="E50" i="77"/>
  <c r="F50" i="77"/>
  <c r="F51" i="77"/>
  <c r="F52" i="77"/>
  <c r="F53" i="77"/>
  <c r="E54" i="77"/>
  <c r="C7" i="76"/>
  <c r="D7" i="76"/>
  <c r="E7" i="76"/>
  <c r="E58" i="76" s="1"/>
  <c r="F8" i="76"/>
  <c r="F10" i="76"/>
  <c r="F11" i="76"/>
  <c r="F7" i="76" s="1"/>
  <c r="F58" i="76" s="1"/>
  <c r="F12" i="76"/>
  <c r="F13" i="76"/>
  <c r="F14" i="76"/>
  <c r="F15" i="76"/>
  <c r="F16" i="76"/>
  <c r="F17" i="76"/>
  <c r="F19" i="76"/>
  <c r="F20" i="76"/>
  <c r="F21" i="76"/>
  <c r="F22" i="76"/>
  <c r="F24" i="76"/>
  <c r="F25" i="76"/>
  <c r="F26" i="76"/>
  <c r="F27" i="76"/>
  <c r="F28" i="76"/>
  <c r="C29" i="76"/>
  <c r="C58" i="76" s="1"/>
  <c r="D29" i="76"/>
  <c r="E29" i="76"/>
  <c r="F30" i="76"/>
  <c r="F29" i="76" s="1"/>
  <c r="F31" i="76"/>
  <c r="F32" i="76"/>
  <c r="F33" i="76"/>
  <c r="F34" i="76"/>
  <c r="F35" i="76"/>
  <c r="F36" i="76"/>
  <c r="F37" i="76"/>
  <c r="F38" i="76"/>
  <c r="F39" i="76"/>
  <c r="F40" i="76"/>
  <c r="F41" i="76"/>
  <c r="F43" i="76"/>
  <c r="F44" i="76"/>
  <c r="F46" i="76"/>
  <c r="F47" i="76"/>
  <c r="F48" i="76"/>
  <c r="F50" i="76"/>
  <c r="F51" i="76"/>
  <c r="F53" i="76"/>
  <c r="F54" i="76"/>
  <c r="C55" i="76"/>
  <c r="D55" i="76"/>
  <c r="E55" i="76"/>
  <c r="F55" i="76"/>
  <c r="F56" i="76"/>
  <c r="F57" i="76"/>
  <c r="D58" i="76"/>
  <c r="C7" i="75"/>
  <c r="D7" i="75"/>
  <c r="E7" i="75"/>
  <c r="F7" i="75"/>
  <c r="F9" i="75"/>
  <c r="F11" i="75"/>
  <c r="F12" i="75"/>
  <c r="F13" i="75"/>
  <c r="F14" i="75"/>
  <c r="F15" i="75"/>
  <c r="F16" i="75"/>
  <c r="F17" i="75"/>
  <c r="F18" i="75"/>
  <c r="F20" i="75"/>
  <c r="F21" i="75"/>
  <c r="F22" i="75"/>
  <c r="F23" i="75"/>
  <c r="F25" i="75"/>
  <c r="F26" i="75"/>
  <c r="F27" i="75"/>
  <c r="F28" i="75"/>
  <c r="F29" i="75"/>
  <c r="C30" i="75"/>
  <c r="D30" i="75"/>
  <c r="E30" i="75"/>
  <c r="F30" i="75"/>
  <c r="F64" i="75" s="1"/>
  <c r="F31" i="75"/>
  <c r="F32" i="75"/>
  <c r="F33" i="75"/>
  <c r="F34" i="75"/>
  <c r="F35" i="75"/>
  <c r="F36" i="75"/>
  <c r="F37" i="75"/>
  <c r="F38" i="75"/>
  <c r="F39" i="75"/>
  <c r="F40" i="75"/>
  <c r="F41" i="75"/>
  <c r="F42" i="75"/>
  <c r="F43" i="75"/>
  <c r="F44" i="75"/>
  <c r="F45" i="75"/>
  <c r="F46" i="75"/>
  <c r="F47" i="75"/>
  <c r="F48" i="75"/>
  <c r="F50" i="75"/>
  <c r="F52" i="75"/>
  <c r="F54" i="75"/>
  <c r="F55" i="75"/>
  <c r="F56" i="75"/>
  <c r="F58" i="75"/>
  <c r="F59" i="75"/>
  <c r="F60" i="75"/>
  <c r="F61" i="75"/>
  <c r="C62" i="75"/>
  <c r="D62" i="75"/>
  <c r="E62" i="75"/>
  <c r="F62" i="75"/>
  <c r="F63" i="75"/>
  <c r="C64" i="75"/>
  <c r="D64" i="75"/>
  <c r="E64" i="75"/>
  <c r="C7" i="74"/>
  <c r="D7" i="74"/>
  <c r="E7" i="74"/>
  <c r="F9" i="74"/>
  <c r="F7" i="74" s="1"/>
  <c r="F94" i="74" s="1"/>
  <c r="F11" i="74"/>
  <c r="F12" i="74"/>
  <c r="F13" i="74"/>
  <c r="F14" i="74"/>
  <c r="F15" i="74"/>
  <c r="F16" i="74"/>
  <c r="F17" i="74"/>
  <c r="F18" i="74"/>
  <c r="F19" i="74"/>
  <c r="F20" i="74"/>
  <c r="F21" i="74"/>
  <c r="F22" i="74"/>
  <c r="F24" i="74"/>
  <c r="F25" i="74"/>
  <c r="F26" i="74"/>
  <c r="F27" i="74"/>
  <c r="F29" i="74"/>
  <c r="F30" i="74"/>
  <c r="F31" i="74"/>
  <c r="F32" i="74"/>
  <c r="F33" i="74"/>
  <c r="F34" i="74"/>
  <c r="F35" i="74"/>
  <c r="C36" i="74"/>
  <c r="D36" i="74"/>
  <c r="E36" i="74"/>
  <c r="F37" i="74"/>
  <c r="F36" i="74" s="1"/>
  <c r="F38" i="74"/>
  <c r="F39" i="74"/>
  <c r="F40" i="74"/>
  <c r="F41" i="74"/>
  <c r="F42" i="74"/>
  <c r="F43" i="74"/>
  <c r="F44" i="74"/>
  <c r="F45" i="74"/>
  <c r="F46" i="74"/>
  <c r="F47" i="74"/>
  <c r="F48" i="74"/>
  <c r="F50" i="74"/>
  <c r="F59" i="74"/>
  <c r="F60" i="74"/>
  <c r="F61" i="74"/>
  <c r="F62" i="74"/>
  <c r="F63" i="74"/>
  <c r="F64" i="74"/>
  <c r="F65" i="74"/>
  <c r="F66" i="74"/>
  <c r="F67" i="74"/>
  <c r="F68" i="74"/>
  <c r="F69" i="74"/>
  <c r="F70" i="74"/>
  <c r="F72" i="74"/>
  <c r="F74" i="74"/>
  <c r="F76" i="74"/>
  <c r="F78" i="74"/>
  <c r="F80" i="74"/>
  <c r="F82" i="74"/>
  <c r="F83" i="74"/>
  <c r="F84" i="74"/>
  <c r="F85" i="74"/>
  <c r="F86" i="74"/>
  <c r="F87" i="74"/>
  <c r="F88" i="74"/>
  <c r="F89" i="74"/>
  <c r="F90" i="74"/>
  <c r="F91" i="74"/>
  <c r="C92" i="74"/>
  <c r="D92" i="74"/>
  <c r="E92" i="74"/>
  <c r="E94" i="74" s="1"/>
  <c r="F93" i="74"/>
  <c r="F92" i="74" s="1"/>
  <c r="C94" i="74"/>
  <c r="D94" i="74"/>
  <c r="F55" i="77" l="1"/>
  <c r="C7" i="73"/>
  <c r="D7" i="73"/>
  <c r="E7" i="73"/>
  <c r="F9" i="73"/>
  <c r="F7" i="73" s="1"/>
  <c r="F10" i="73"/>
  <c r="F12" i="73"/>
  <c r="F13" i="73"/>
  <c r="F14" i="73"/>
  <c r="F15" i="73"/>
  <c r="F16" i="73"/>
  <c r="F17" i="73"/>
  <c r="F18" i="73"/>
  <c r="F19" i="73"/>
  <c r="F20" i="73"/>
  <c r="F21" i="73"/>
  <c r="F22" i="73"/>
  <c r="F23" i="73"/>
  <c r="F24" i="73"/>
  <c r="F25" i="73"/>
  <c r="F26" i="73"/>
  <c r="F27" i="73"/>
  <c r="F29" i="73"/>
  <c r="F30" i="73"/>
  <c r="F31" i="73"/>
  <c r="F32" i="73"/>
  <c r="F33" i="73"/>
  <c r="F35" i="73"/>
  <c r="F36" i="73"/>
  <c r="F37" i="73"/>
  <c r="F38" i="73"/>
  <c r="F39" i="73"/>
  <c r="F40" i="73"/>
  <c r="F41" i="73"/>
  <c r="C42" i="73"/>
  <c r="C202" i="73" s="1"/>
  <c r="D42" i="73"/>
  <c r="E42" i="73"/>
  <c r="F43" i="73"/>
  <c r="F42" i="73" s="1"/>
  <c r="F44" i="73"/>
  <c r="F45" i="73"/>
  <c r="F46" i="73"/>
  <c r="F47" i="73"/>
  <c r="F48" i="73"/>
  <c r="F49" i="73"/>
  <c r="F50" i="73"/>
  <c r="F61" i="73"/>
  <c r="F62" i="73"/>
  <c r="F63" i="73"/>
  <c r="F64" i="73"/>
  <c r="F65" i="73"/>
  <c r="F66" i="73"/>
  <c r="F67" i="73"/>
  <c r="F68" i="73"/>
  <c r="F69" i="73"/>
  <c r="F70" i="73"/>
  <c r="F71" i="73"/>
  <c r="F72" i="73"/>
  <c r="F73" i="73"/>
  <c r="F74" i="73"/>
  <c r="F75" i="73"/>
  <c r="F76" i="73"/>
  <c r="F77" i="73"/>
  <c r="F78" i="73"/>
  <c r="F79" i="73"/>
  <c r="F80" i="73"/>
  <c r="F81" i="73"/>
  <c r="F82" i="73"/>
  <c r="F83" i="73"/>
  <c r="F84" i="73"/>
  <c r="F85" i="73"/>
  <c r="F86" i="73"/>
  <c r="F87" i="73"/>
  <c r="F88" i="73"/>
  <c r="F89" i="73"/>
  <c r="F90" i="73"/>
  <c r="F91" i="73"/>
  <c r="F92" i="73"/>
  <c r="F93" i="73"/>
  <c r="F94" i="73"/>
  <c r="F96" i="73"/>
  <c r="F98" i="73"/>
  <c r="F99" i="73"/>
  <c r="F100" i="73"/>
  <c r="F101" i="73"/>
  <c r="F102" i="73"/>
  <c r="F103" i="73"/>
  <c r="F104" i="73"/>
  <c r="F105" i="73"/>
  <c r="F106" i="73"/>
  <c r="F107" i="73"/>
  <c r="F108" i="73"/>
  <c r="F109" i="73"/>
  <c r="F110" i="73"/>
  <c r="F111" i="73"/>
  <c r="F112" i="73"/>
  <c r="F113" i="73"/>
  <c r="F121" i="73"/>
  <c r="F123" i="73"/>
  <c r="F124" i="73"/>
  <c r="F125" i="73"/>
  <c r="F126" i="73"/>
  <c r="F127" i="73"/>
  <c r="F128" i="73"/>
  <c r="F129" i="73"/>
  <c r="F130" i="73"/>
  <c r="F131" i="73"/>
  <c r="F132" i="73"/>
  <c r="F133" i="73"/>
  <c r="F134" i="73"/>
  <c r="F135" i="73"/>
  <c r="F136" i="73"/>
  <c r="F137" i="73"/>
  <c r="F138" i="73"/>
  <c r="F139" i="73"/>
  <c r="F140" i="73"/>
  <c r="F141" i="73"/>
  <c r="F142" i="73"/>
  <c r="F143" i="73"/>
  <c r="F144" i="73"/>
  <c r="F145" i="73"/>
  <c r="F146" i="73"/>
  <c r="F147" i="73"/>
  <c r="F148" i="73"/>
  <c r="F149" i="73"/>
  <c r="F150" i="73"/>
  <c r="F151" i="73"/>
  <c r="F152" i="73"/>
  <c r="F153" i="73"/>
  <c r="F154" i="73"/>
  <c r="F155" i="73"/>
  <c r="F156" i="73"/>
  <c r="F157" i="73"/>
  <c r="F158" i="73"/>
  <c r="F160" i="73"/>
  <c r="F161" i="73"/>
  <c r="F162" i="73"/>
  <c r="F163" i="73"/>
  <c r="F164" i="73"/>
  <c r="F165" i="73"/>
  <c r="F166" i="73"/>
  <c r="F167" i="73"/>
  <c r="F168" i="73"/>
  <c r="F169" i="73"/>
  <c r="F170" i="73"/>
  <c r="C177" i="73"/>
  <c r="D177" i="73"/>
  <c r="D202" i="73" s="1"/>
  <c r="E177" i="73"/>
  <c r="F178" i="73"/>
  <c r="F177" i="73" s="1"/>
  <c r="F179" i="73"/>
  <c r="F180" i="73"/>
  <c r="F181" i="73"/>
  <c r="F182" i="73"/>
  <c r="F183" i="73"/>
  <c r="F184" i="73"/>
  <c r="F185" i="73"/>
  <c r="F186" i="73"/>
  <c r="F187" i="73"/>
  <c r="F188" i="73"/>
  <c r="F189" i="73"/>
  <c r="F190" i="73"/>
  <c r="F191" i="73"/>
  <c r="F192" i="73"/>
  <c r="F193" i="73"/>
  <c r="F194" i="73"/>
  <c r="F195" i="73"/>
  <c r="F196" i="73"/>
  <c r="C197" i="73"/>
  <c r="D197" i="73"/>
  <c r="E197" i="73"/>
  <c r="F198" i="73"/>
  <c r="F197" i="73" s="1"/>
  <c r="F199" i="73"/>
  <c r="F200" i="73"/>
  <c r="F201" i="73"/>
  <c r="E202" i="73"/>
  <c r="F202" i="73" l="1"/>
  <c r="D16" i="72"/>
  <c r="E16" i="72"/>
  <c r="E31" i="72" s="1"/>
  <c r="G16" i="72"/>
  <c r="H16" i="72"/>
  <c r="F17" i="72"/>
  <c r="F18" i="72"/>
  <c r="F16" i="72" s="1"/>
  <c r="F31" i="72" s="1"/>
  <c r="F19" i="72"/>
  <c r="F20" i="72"/>
  <c r="F21" i="72"/>
  <c r="D31" i="72"/>
  <c r="G31" i="72"/>
  <c r="H31" i="72"/>
  <c r="C35" i="50" s="1"/>
  <c r="D16" i="71"/>
  <c r="D28" i="71" s="1"/>
  <c r="E16" i="71"/>
  <c r="E28" i="71" s="1"/>
  <c r="G16" i="71"/>
  <c r="H16" i="71"/>
  <c r="H28" i="71" s="1"/>
  <c r="C34" i="50" s="1"/>
  <c r="F17" i="71"/>
  <c r="F18" i="71"/>
  <c r="F16" i="71" s="1"/>
  <c r="F28" i="71" s="1"/>
  <c r="F19" i="71"/>
  <c r="F20" i="71"/>
  <c r="F21" i="71"/>
  <c r="F22" i="71"/>
  <c r="G28" i="71"/>
  <c r="D16" i="70"/>
  <c r="E16" i="70"/>
  <c r="E30" i="70" s="1"/>
  <c r="G16" i="70"/>
  <c r="H16" i="70"/>
  <c r="F17" i="70"/>
  <c r="F18" i="70"/>
  <c r="F16" i="70" s="1"/>
  <c r="F30" i="70" s="1"/>
  <c r="F19" i="70"/>
  <c r="F20" i="70"/>
  <c r="F21" i="70"/>
  <c r="D30" i="70"/>
  <c r="G30" i="70"/>
  <c r="H30" i="70"/>
  <c r="C33" i="50" s="1"/>
  <c r="D16" i="69"/>
  <c r="E16" i="69"/>
  <c r="G16" i="69"/>
  <c r="H16" i="69"/>
  <c r="F17" i="69"/>
  <c r="F18" i="69"/>
  <c r="F16" i="69" s="1"/>
  <c r="F33" i="69" s="1"/>
  <c r="F19" i="69"/>
  <c r="F20" i="69"/>
  <c r="D33" i="69"/>
  <c r="E33" i="69"/>
  <c r="G33" i="69"/>
  <c r="H33" i="69"/>
  <c r="C32" i="50" s="1"/>
  <c r="E16" i="68"/>
  <c r="E31" i="68" s="1"/>
  <c r="G16" i="68"/>
  <c r="H16" i="68"/>
  <c r="H31" i="68" s="1"/>
  <c r="C14" i="50" s="1"/>
  <c r="D17" i="68"/>
  <c r="D16" i="68" s="1"/>
  <c r="D31" i="68" s="1"/>
  <c r="F17" i="68"/>
  <c r="D18" i="68"/>
  <c r="F18" i="68"/>
  <c r="D19" i="68"/>
  <c r="F19" i="68"/>
  <c r="F16" i="68" s="1"/>
  <c r="F31" i="68" s="1"/>
  <c r="D20" i="68"/>
  <c r="F20" i="68"/>
  <c r="D21" i="68"/>
  <c r="F21" i="68"/>
  <c r="G31" i="68"/>
  <c r="E16" i="67"/>
  <c r="E28" i="67" s="1"/>
  <c r="G16" i="67"/>
  <c r="H16" i="67"/>
  <c r="H28" i="67" s="1"/>
  <c r="C31" i="50" s="1"/>
  <c r="D17" i="67"/>
  <c r="D16" i="67" s="1"/>
  <c r="D28" i="67" s="1"/>
  <c r="F17" i="67"/>
  <c r="F16" i="67" s="1"/>
  <c r="F28" i="67" s="1"/>
  <c r="G28" i="67"/>
  <c r="E16" i="66"/>
  <c r="E30" i="66" s="1"/>
  <c r="G16" i="66"/>
  <c r="H16" i="66"/>
  <c r="H30" i="66" s="1"/>
  <c r="C30" i="50" s="1"/>
  <c r="D17" i="66"/>
  <c r="D16" i="66" s="1"/>
  <c r="D30" i="66" s="1"/>
  <c r="F17" i="66"/>
  <c r="F16" i="66" s="1"/>
  <c r="F30" i="66" s="1"/>
  <c r="D18" i="66"/>
  <c r="F18" i="66"/>
  <c r="D19" i="66"/>
  <c r="F19" i="66"/>
  <c r="D20" i="66"/>
  <c r="F20" i="66"/>
  <c r="D21" i="66"/>
  <c r="F21" i="66"/>
  <c r="G30" i="66"/>
  <c r="E16" i="65"/>
  <c r="E29" i="65" s="1"/>
  <c r="G16" i="65"/>
  <c r="H16" i="65"/>
  <c r="D17" i="65"/>
  <c r="D16" i="65" s="1"/>
  <c r="D29" i="65" s="1"/>
  <c r="F17" i="65"/>
  <c r="F16" i="65" s="1"/>
  <c r="F29" i="65" s="1"/>
  <c r="D18" i="65"/>
  <c r="F18" i="65"/>
  <c r="D19" i="65"/>
  <c r="F19" i="65"/>
  <c r="D20" i="65"/>
  <c r="F20" i="65"/>
  <c r="D21" i="65"/>
  <c r="F21" i="65"/>
  <c r="D23" i="65"/>
  <c r="F23" i="65"/>
  <c r="D24" i="65"/>
  <c r="F24" i="65"/>
  <c r="G29" i="65"/>
  <c r="H29" i="65"/>
  <c r="C24" i="50" s="1"/>
  <c r="D16" i="64"/>
  <c r="E16" i="64"/>
  <c r="G16" i="64"/>
  <c r="H16" i="64"/>
  <c r="D17" i="64"/>
  <c r="F17" i="64"/>
  <c r="F16" i="64" s="1"/>
  <c r="F31" i="64" s="1"/>
  <c r="F18" i="64"/>
  <c r="D31" i="64"/>
  <c r="E31" i="64"/>
  <c r="G31" i="64"/>
  <c r="H31" i="64"/>
  <c r="E16" i="63"/>
  <c r="G16" i="63"/>
  <c r="H16" i="63"/>
  <c r="D17" i="63"/>
  <c r="D16" i="63" s="1"/>
  <c r="D31" i="63" s="1"/>
  <c r="F17" i="63"/>
  <c r="F16" i="63" s="1"/>
  <c r="F31" i="63" s="1"/>
  <c r="D18" i="63"/>
  <c r="F18" i="63"/>
  <c r="D19" i="63"/>
  <c r="F19" i="63"/>
  <c r="D20" i="63"/>
  <c r="F20" i="63"/>
  <c r="E31" i="63"/>
  <c r="G31" i="63"/>
  <c r="H31" i="63"/>
  <c r="E16" i="62"/>
  <c r="G16" i="62"/>
  <c r="H16" i="62"/>
  <c r="D17" i="62"/>
  <c r="D16" i="62" s="1"/>
  <c r="D30" i="62" s="1"/>
  <c r="F17" i="62"/>
  <c r="F16" i="62" s="1"/>
  <c r="F30" i="62" s="1"/>
  <c r="D18" i="62"/>
  <c r="F18" i="62"/>
  <c r="D19" i="62"/>
  <c r="F19" i="62"/>
  <c r="D20" i="62"/>
  <c r="F20" i="62"/>
  <c r="E30" i="62"/>
  <c r="G30" i="62"/>
  <c r="H30" i="62"/>
  <c r="C27" i="50" s="1"/>
  <c r="E16" i="61"/>
  <c r="E28" i="61" s="1"/>
  <c r="G16" i="61"/>
  <c r="H16" i="61"/>
  <c r="H28" i="61" s="1"/>
  <c r="C26" i="50" s="1"/>
  <c r="D17" i="61"/>
  <c r="D16" i="61" s="1"/>
  <c r="D28" i="61" s="1"/>
  <c r="F17" i="61"/>
  <c r="F16" i="61" s="1"/>
  <c r="F28" i="61" s="1"/>
  <c r="D18" i="61"/>
  <c r="F18" i="61"/>
  <c r="D19" i="61"/>
  <c r="F19" i="61"/>
  <c r="G28" i="61"/>
  <c r="E16" i="60"/>
  <c r="E32" i="60" s="1"/>
  <c r="G16" i="60"/>
  <c r="H16" i="60"/>
  <c r="H32" i="60" s="1"/>
  <c r="C25" i="50" s="1"/>
  <c r="D17" i="60"/>
  <c r="D16" i="60" s="1"/>
  <c r="D32" i="60" s="1"/>
  <c r="F17" i="60"/>
  <c r="F16" i="60" s="1"/>
  <c r="F32" i="60" s="1"/>
  <c r="G32" i="60"/>
  <c r="E16" i="59"/>
  <c r="E31" i="59" s="1"/>
  <c r="G16" i="59"/>
  <c r="H16" i="59"/>
  <c r="H31" i="59" s="1"/>
  <c r="C23" i="50" s="1"/>
  <c r="D17" i="59"/>
  <c r="D16" i="59" s="1"/>
  <c r="D31" i="59" s="1"/>
  <c r="F17" i="59"/>
  <c r="F16" i="59" s="1"/>
  <c r="F31" i="59" s="1"/>
  <c r="G31" i="59"/>
  <c r="E16" i="58"/>
  <c r="E33" i="58" s="1"/>
  <c r="G16" i="58"/>
  <c r="H16" i="58"/>
  <c r="H33" i="58" s="1"/>
  <c r="C22" i="50" s="1"/>
  <c r="D17" i="58"/>
  <c r="D16" i="58" s="1"/>
  <c r="D33" i="58" s="1"/>
  <c r="F17" i="58"/>
  <c r="F16" i="58" s="1"/>
  <c r="F33" i="58" s="1"/>
  <c r="D18" i="58"/>
  <c r="F18" i="58"/>
  <c r="D19" i="58"/>
  <c r="F19" i="58"/>
  <c r="G33" i="58"/>
  <c r="D16" i="57"/>
  <c r="D31" i="57" s="1"/>
  <c r="E16" i="57"/>
  <c r="G16" i="57"/>
  <c r="H16" i="57"/>
  <c r="H31" i="57" s="1"/>
  <c r="C21" i="50" s="1"/>
  <c r="D17" i="57"/>
  <c r="F17" i="57"/>
  <c r="F16" i="57" s="1"/>
  <c r="F31" i="57" s="1"/>
  <c r="D18" i="57"/>
  <c r="F18" i="57"/>
  <c r="E31" i="57"/>
  <c r="G31" i="57"/>
  <c r="E16" i="56"/>
  <c r="G16" i="56"/>
  <c r="H16" i="56"/>
  <c r="D17" i="56"/>
  <c r="D16" i="56" s="1"/>
  <c r="D30" i="56" s="1"/>
  <c r="F17" i="56"/>
  <c r="F16" i="56" s="1"/>
  <c r="F30" i="56" s="1"/>
  <c r="D18" i="56"/>
  <c r="F18" i="56"/>
  <c r="D19" i="56"/>
  <c r="F19" i="56"/>
  <c r="D20" i="56"/>
  <c r="F20" i="56"/>
  <c r="D21" i="56"/>
  <c r="F21" i="56"/>
  <c r="E30" i="56"/>
  <c r="G30" i="56"/>
  <c r="H30" i="56"/>
  <c r="E16" i="55"/>
  <c r="E33" i="55" s="1"/>
  <c r="G16" i="55"/>
  <c r="H16" i="55"/>
  <c r="H33" i="55" s="1"/>
  <c r="C19" i="50" s="1"/>
  <c r="D17" i="55"/>
  <c r="D16" i="55" s="1"/>
  <c r="D33" i="55" s="1"/>
  <c r="F17" i="55"/>
  <c r="F16" i="55" s="1"/>
  <c r="F33" i="55" s="1"/>
  <c r="D18" i="55"/>
  <c r="F18" i="55"/>
  <c r="D19" i="55"/>
  <c r="F19" i="55"/>
  <c r="G33" i="55"/>
  <c r="E15" i="54"/>
  <c r="E30" i="54" s="1"/>
  <c r="G15" i="54"/>
  <c r="H15" i="54"/>
  <c r="D16" i="54"/>
  <c r="D15" i="54" s="1"/>
  <c r="F16" i="54"/>
  <c r="F15" i="54" s="1"/>
  <c r="F30" i="54" s="1"/>
  <c r="E19" i="54"/>
  <c r="F19" i="54"/>
  <c r="G19" i="54"/>
  <c r="G30" i="54" s="1"/>
  <c r="H19" i="54"/>
  <c r="D20" i="54"/>
  <c r="D19" i="54" s="1"/>
  <c r="F20" i="54"/>
  <c r="D21" i="54"/>
  <c r="F21" i="54"/>
  <c r="D22" i="54"/>
  <c r="F22" i="54"/>
  <c r="H30" i="54"/>
  <c r="E16" i="53"/>
  <c r="E31" i="53" s="1"/>
  <c r="G16" i="53"/>
  <c r="H16" i="53"/>
  <c r="D17" i="53"/>
  <c r="D16" i="53" s="1"/>
  <c r="F17" i="53"/>
  <c r="F16" i="53" s="1"/>
  <c r="F31" i="53" s="1"/>
  <c r="G31" i="53"/>
  <c r="H31" i="53"/>
  <c r="E16" i="52"/>
  <c r="E28" i="52" s="1"/>
  <c r="G16" i="52"/>
  <c r="H16" i="52"/>
  <c r="D17" i="52"/>
  <c r="D16" i="52" s="1"/>
  <c r="D28" i="52" s="1"/>
  <c r="F17" i="52"/>
  <c r="F16" i="52" s="1"/>
  <c r="F28" i="52" s="1"/>
  <c r="D18" i="52"/>
  <c r="F18" i="52"/>
  <c r="K19" i="52"/>
  <c r="K21" i="52"/>
  <c r="G28" i="52"/>
  <c r="H28" i="52"/>
  <c r="C16" i="50" s="1"/>
  <c r="D16" i="51"/>
  <c r="D30" i="51" s="1"/>
  <c r="E16" i="51"/>
  <c r="E30" i="51" s="1"/>
  <c r="G16" i="51"/>
  <c r="H16" i="51"/>
  <c r="H30" i="51" s="1"/>
  <c r="C15" i="50" s="1"/>
  <c r="F17" i="51"/>
  <c r="F16" i="51" s="1"/>
  <c r="F30" i="51" s="1"/>
  <c r="F18" i="51"/>
  <c r="F19" i="51"/>
  <c r="F20" i="51"/>
  <c r="F21" i="51"/>
  <c r="G30" i="51"/>
  <c r="C13" i="50"/>
  <c r="C17" i="50"/>
  <c r="C18" i="50"/>
  <c r="C20" i="50"/>
  <c r="C28" i="50"/>
  <c r="C29" i="50"/>
  <c r="D30" i="54" l="1"/>
  <c r="C36" i="50"/>
  <c r="D12" i="49" l="1"/>
  <c r="E12" i="49"/>
  <c r="G12" i="49"/>
  <c r="F14" i="49"/>
  <c r="F12" i="49" s="1"/>
  <c r="F72" i="49" s="1"/>
  <c r="H14" i="49"/>
  <c r="I14" i="49"/>
  <c r="J14" i="49"/>
  <c r="F16" i="49"/>
  <c r="H16" i="49"/>
  <c r="I16" i="49"/>
  <c r="F17" i="49"/>
  <c r="H17" i="49"/>
  <c r="I17" i="49"/>
  <c r="F18" i="49"/>
  <c r="H18" i="49"/>
  <c r="I18" i="49"/>
  <c r="F19" i="49"/>
  <c r="H19" i="49"/>
  <c r="I19" i="49"/>
  <c r="F20" i="49"/>
  <c r="H20" i="49"/>
  <c r="I20" i="49"/>
  <c r="F21" i="49"/>
  <c r="H21" i="49"/>
  <c r="I21" i="49"/>
  <c r="F22" i="49"/>
  <c r="H22" i="49"/>
  <c r="J22" i="49" s="1"/>
  <c r="I22" i="49"/>
  <c r="F23" i="49"/>
  <c r="I23" i="49"/>
  <c r="J23" i="49"/>
  <c r="F24" i="49"/>
  <c r="F25" i="49"/>
  <c r="H25" i="49"/>
  <c r="J25" i="49" s="1"/>
  <c r="M32" i="49" s="1"/>
  <c r="I25" i="49"/>
  <c r="F26" i="49"/>
  <c r="H26" i="49"/>
  <c r="I26" i="49"/>
  <c r="F27" i="49"/>
  <c r="H27" i="49"/>
  <c r="J27" i="49" s="1"/>
  <c r="M37" i="49" s="1"/>
  <c r="I27" i="49"/>
  <c r="F29" i="49"/>
  <c r="H29" i="49"/>
  <c r="J29" i="49" s="1"/>
  <c r="M33" i="49" s="1"/>
  <c r="I29" i="49"/>
  <c r="F30" i="49"/>
  <c r="H30" i="49"/>
  <c r="I30" i="49"/>
  <c r="K30" i="49"/>
  <c r="F31" i="49"/>
  <c r="H31" i="49"/>
  <c r="J31" i="49" s="1"/>
  <c r="M34" i="49" s="1"/>
  <c r="I31" i="49"/>
  <c r="M31" i="49"/>
  <c r="F32" i="49"/>
  <c r="H32" i="49"/>
  <c r="I32" i="49"/>
  <c r="F34" i="49"/>
  <c r="I34" i="49"/>
  <c r="F35" i="49"/>
  <c r="M35" i="49"/>
  <c r="F36" i="49"/>
  <c r="I36" i="49"/>
  <c r="F37" i="49"/>
  <c r="K37" i="49"/>
  <c r="F39" i="49"/>
  <c r="H39" i="49"/>
  <c r="I39" i="49"/>
  <c r="F40" i="49"/>
  <c r="F41" i="49"/>
  <c r="D42" i="49"/>
  <c r="D72" i="49" s="1"/>
  <c r="E42" i="49"/>
  <c r="E72" i="49" s="1"/>
  <c r="G42" i="49"/>
  <c r="H42" i="49"/>
  <c r="F43" i="49"/>
  <c r="F42" i="49" s="1"/>
  <c r="F44" i="49"/>
  <c r="F45" i="49"/>
  <c r="F46" i="49"/>
  <c r="F47" i="49"/>
  <c r="F48" i="49"/>
  <c r="F49" i="49"/>
  <c r="F50" i="49"/>
  <c r="F51" i="49"/>
  <c r="F52" i="49"/>
  <c r="F53" i="49"/>
  <c r="F54" i="49"/>
  <c r="I54" i="49"/>
  <c r="F55" i="49"/>
  <c r="F56" i="49"/>
  <c r="I56" i="49"/>
  <c r="F58" i="49"/>
  <c r="K58" i="49"/>
  <c r="K59" i="49"/>
  <c r="K60" i="49" s="1"/>
  <c r="M59" i="49"/>
  <c r="F60" i="49"/>
  <c r="F62" i="49"/>
  <c r="F64" i="49"/>
  <c r="K65" i="49"/>
  <c r="F66" i="49"/>
  <c r="F67" i="49"/>
  <c r="F68" i="49"/>
  <c r="J69" i="49"/>
  <c r="F71" i="49"/>
  <c r="G72" i="49"/>
  <c r="F13" i="48"/>
  <c r="H13" i="48"/>
  <c r="L13" i="48" s="1"/>
  <c r="K13" i="48"/>
  <c r="P13" i="48"/>
  <c r="R13" i="48" s="1"/>
  <c r="S13" i="48" s="1"/>
  <c r="Q13" i="48"/>
  <c r="H16" i="48"/>
  <c r="I16" i="48" s="1"/>
  <c r="K16" i="48"/>
  <c r="L16" i="48"/>
  <c r="M16" i="48" s="1"/>
  <c r="P16" i="48"/>
  <c r="Q16" i="48" s="1"/>
  <c r="F17" i="48"/>
  <c r="H17" i="48"/>
  <c r="I17" i="48" s="1"/>
  <c r="K17" i="48"/>
  <c r="P17" i="48" s="1"/>
  <c r="L17" i="48"/>
  <c r="M17" i="48" s="1"/>
  <c r="H18" i="48"/>
  <c r="I18" i="48" s="1"/>
  <c r="K18" i="48"/>
  <c r="P18" i="48"/>
  <c r="R18" i="48" s="1"/>
  <c r="S18" i="48" s="1"/>
  <c r="F20" i="48"/>
  <c r="H20" i="48"/>
  <c r="I20" i="48" s="1"/>
  <c r="K20" i="48"/>
  <c r="L20" i="48"/>
  <c r="N20" i="48" s="1"/>
  <c r="O20" i="48" s="1"/>
  <c r="P20" i="48"/>
  <c r="R20" i="48" s="1"/>
  <c r="S20" i="48" s="1"/>
  <c r="F21" i="48"/>
  <c r="H21" i="48"/>
  <c r="I21" i="48" s="1"/>
  <c r="K21" i="48"/>
  <c r="L21" i="48"/>
  <c r="N21" i="48" s="1"/>
  <c r="O21" i="48" s="1"/>
  <c r="P21" i="48"/>
  <c r="R21" i="48" s="1"/>
  <c r="S21" i="48" s="1"/>
  <c r="H22" i="48"/>
  <c r="L22" i="48" s="1"/>
  <c r="K22" i="48"/>
  <c r="P22" i="48"/>
  <c r="Q22" i="48"/>
  <c r="R22" i="48"/>
  <c r="S22" i="48" s="1"/>
  <c r="F24" i="48"/>
  <c r="H24" i="48"/>
  <c r="L24" i="48" s="1"/>
  <c r="K24" i="48"/>
  <c r="P24" i="48"/>
  <c r="R24" i="48" s="1"/>
  <c r="S24" i="48" s="1"/>
  <c r="Q24" i="48"/>
  <c r="F26" i="48"/>
  <c r="H26" i="48"/>
  <c r="L26" i="48" s="1"/>
  <c r="K26" i="48"/>
  <c r="P26" i="48"/>
  <c r="R26" i="48" s="1"/>
  <c r="S26" i="48" s="1"/>
  <c r="Q26" i="48"/>
  <c r="F27" i="48"/>
  <c r="H27" i="48"/>
  <c r="L27" i="48" s="1"/>
  <c r="K27" i="48"/>
  <c r="P27" i="48"/>
  <c r="R27" i="48" s="1"/>
  <c r="S27" i="48" s="1"/>
  <c r="Q27" i="48"/>
  <c r="F28" i="48"/>
  <c r="H28" i="48"/>
  <c r="L28" i="48" s="1"/>
  <c r="K28" i="48"/>
  <c r="P28" i="48"/>
  <c r="R28" i="48" s="1"/>
  <c r="S28" i="48" s="1"/>
  <c r="Q28" i="48"/>
  <c r="H29" i="48"/>
  <c r="L29" i="48" s="1"/>
  <c r="I29" i="48"/>
  <c r="K29" i="48"/>
  <c r="P29" i="48"/>
  <c r="Q29" i="48"/>
  <c r="R29" i="48"/>
  <c r="S29" i="48" s="1"/>
  <c r="F30" i="48"/>
  <c r="H30" i="48"/>
  <c r="L30" i="48" s="1"/>
  <c r="I30" i="48"/>
  <c r="K30" i="48"/>
  <c r="P30" i="48" s="1"/>
  <c r="H31" i="48"/>
  <c r="I31" i="48"/>
  <c r="K31" i="48"/>
  <c r="P31" i="48" s="1"/>
  <c r="L31" i="48"/>
  <c r="M31" i="48" s="1"/>
  <c r="N31" i="48"/>
  <c r="O31" i="48"/>
  <c r="F34" i="48"/>
  <c r="H34" i="48"/>
  <c r="I34" i="48"/>
  <c r="K34" i="48"/>
  <c r="P34" i="48" s="1"/>
  <c r="L34" i="48"/>
  <c r="M34" i="48" s="1"/>
  <c r="N34" i="48"/>
  <c r="O34" i="48"/>
  <c r="F35" i="48"/>
  <c r="H35" i="48"/>
  <c r="I35" i="48" s="1"/>
  <c r="K35" i="48"/>
  <c r="P35" i="48" s="1"/>
  <c r="L35" i="48"/>
  <c r="M35" i="48" s="1"/>
  <c r="F36" i="48"/>
  <c r="H36" i="48"/>
  <c r="I36" i="48" s="1"/>
  <c r="K36" i="48"/>
  <c r="P36" i="48" s="1"/>
  <c r="L36" i="48"/>
  <c r="M36" i="48" s="1"/>
  <c r="F37" i="48"/>
  <c r="H37" i="48"/>
  <c r="I37" i="48" s="1"/>
  <c r="K37" i="48"/>
  <c r="L37" i="48"/>
  <c r="N37" i="48" s="1"/>
  <c r="O37" i="48" s="1"/>
  <c r="P37" i="48"/>
  <c r="R37" i="48" s="1"/>
  <c r="S37" i="48" s="1"/>
  <c r="Q37" i="48"/>
  <c r="F38" i="48"/>
  <c r="H38" i="48"/>
  <c r="I38" i="48" s="1"/>
  <c r="K38" i="48"/>
  <c r="P38" i="48"/>
  <c r="R38" i="48" s="1"/>
  <c r="S38" i="48" s="1"/>
  <c r="F39" i="48"/>
  <c r="H39" i="48"/>
  <c r="I39" i="48" s="1"/>
  <c r="K39" i="48"/>
  <c r="P39" i="48"/>
  <c r="R39" i="48" s="1"/>
  <c r="S39" i="48"/>
  <c r="F40" i="48"/>
  <c r="H40" i="48"/>
  <c r="K40" i="48"/>
  <c r="L40" i="48"/>
  <c r="N40" i="48" s="1"/>
  <c r="O40" i="48" s="1"/>
  <c r="M40" i="48"/>
  <c r="P40" i="48"/>
  <c r="R40" i="48" s="1"/>
  <c r="Q40" i="48"/>
  <c r="S40" i="48"/>
  <c r="F41" i="48"/>
  <c r="H41" i="48"/>
  <c r="K41" i="48"/>
  <c r="L41" i="48"/>
  <c r="N41" i="48" s="1"/>
  <c r="O41" i="48" s="1"/>
  <c r="P41" i="48"/>
  <c r="R41" i="48" s="1"/>
  <c r="S41" i="48" s="1"/>
  <c r="Q41" i="48"/>
  <c r="F42" i="48"/>
  <c r="H42" i="48"/>
  <c r="I42" i="48" s="1"/>
  <c r="K42" i="48"/>
  <c r="P42" i="48"/>
  <c r="R42" i="48" s="1"/>
  <c r="S42" i="48" s="1"/>
  <c r="F43" i="48"/>
  <c r="H43" i="48"/>
  <c r="I43" i="48" s="1"/>
  <c r="K43" i="48"/>
  <c r="P43" i="48"/>
  <c r="R43" i="48" s="1"/>
  <c r="S43" i="48"/>
  <c r="F44" i="48"/>
  <c r="H44" i="48"/>
  <c r="K44" i="48"/>
  <c r="L44" i="48"/>
  <c r="N44" i="48" s="1"/>
  <c r="O44" i="48" s="1"/>
  <c r="M44" i="48"/>
  <c r="P44" i="48"/>
  <c r="R44" i="48" s="1"/>
  <c r="Q44" i="48"/>
  <c r="S44" i="48"/>
  <c r="F46" i="48"/>
  <c r="H46" i="48"/>
  <c r="K46" i="48"/>
  <c r="L46" i="48"/>
  <c r="N46" i="48" s="1"/>
  <c r="O46" i="48" s="1"/>
  <c r="P46" i="48"/>
  <c r="R46" i="48" s="1"/>
  <c r="S46" i="48" s="1"/>
  <c r="Q46" i="48"/>
  <c r="F47" i="48"/>
  <c r="H47" i="48"/>
  <c r="I47" i="48" s="1"/>
  <c r="K47" i="48"/>
  <c r="P47" i="48"/>
  <c r="R47" i="48" s="1"/>
  <c r="S47" i="48" s="1"/>
  <c r="F48" i="48"/>
  <c r="H48" i="48"/>
  <c r="I48" i="48" s="1"/>
  <c r="K48" i="48"/>
  <c r="P48" i="48"/>
  <c r="R48" i="48" s="1"/>
  <c r="S48" i="48"/>
  <c r="F49" i="48"/>
  <c r="H49" i="48"/>
  <c r="K49" i="48"/>
  <c r="L49" i="48"/>
  <c r="N49" i="48" s="1"/>
  <c r="O49" i="48" s="1"/>
  <c r="M49" i="48"/>
  <c r="P49" i="48"/>
  <c r="R49" i="48" s="1"/>
  <c r="Q49" i="48"/>
  <c r="S49" i="48"/>
  <c r="F50" i="48"/>
  <c r="H50" i="48"/>
  <c r="K50" i="48"/>
  <c r="L50" i="48"/>
  <c r="N50" i="48" s="1"/>
  <c r="O50" i="48" s="1"/>
  <c r="P50" i="48"/>
  <c r="R50" i="48" s="1"/>
  <c r="S50" i="48" s="1"/>
  <c r="Q50" i="48"/>
  <c r="F51" i="48"/>
  <c r="H51" i="48"/>
  <c r="I51" i="48" s="1"/>
  <c r="K51" i="48"/>
  <c r="P51" i="48"/>
  <c r="R51" i="48" s="1"/>
  <c r="S51" i="48" s="1"/>
  <c r="F52" i="48"/>
  <c r="H52" i="48"/>
  <c r="I52" i="48" s="1"/>
  <c r="K52" i="48"/>
  <c r="P52" i="48"/>
  <c r="R52" i="48" s="1"/>
  <c r="S52" i="48"/>
  <c r="F53" i="48"/>
  <c r="H53" i="48"/>
  <c r="K53" i="48"/>
  <c r="L53" i="48"/>
  <c r="N53" i="48" s="1"/>
  <c r="O53" i="48" s="1"/>
  <c r="M53" i="48"/>
  <c r="P53" i="48"/>
  <c r="R53" i="48" s="1"/>
  <c r="Q53" i="48"/>
  <c r="S53" i="48"/>
  <c r="F54" i="48"/>
  <c r="H54" i="48"/>
  <c r="K54" i="48"/>
  <c r="L54" i="48"/>
  <c r="P54" i="48"/>
  <c r="R54" i="48" s="1"/>
  <c r="S54" i="48" s="1"/>
  <c r="Q54" i="48"/>
  <c r="F55" i="48"/>
  <c r="H55" i="48"/>
  <c r="I55" i="48" s="1"/>
  <c r="K55" i="48"/>
  <c r="P55" i="48" s="1"/>
  <c r="F56" i="48"/>
  <c r="H56" i="48"/>
  <c r="K56" i="48"/>
  <c r="P56" i="48"/>
  <c r="Q56" i="48" s="1"/>
  <c r="R56" i="48"/>
  <c r="S56" i="48"/>
  <c r="F57" i="48"/>
  <c r="H57" i="48"/>
  <c r="I57" i="48"/>
  <c r="K57" i="48"/>
  <c r="P57" i="48" s="1"/>
  <c r="Q57" i="48" s="1"/>
  <c r="L57" i="48"/>
  <c r="M57" i="48" s="1"/>
  <c r="N57" i="48"/>
  <c r="O57" i="48" s="1"/>
  <c r="R57" i="48"/>
  <c r="S57" i="48"/>
  <c r="F58" i="48"/>
  <c r="H58" i="48"/>
  <c r="I58" i="48"/>
  <c r="K58" i="48"/>
  <c r="P58" i="48" s="1"/>
  <c r="Q58" i="48" s="1"/>
  <c r="L58" i="48"/>
  <c r="M58" i="48" s="1"/>
  <c r="N58" i="48"/>
  <c r="O58" i="48"/>
  <c r="R58" i="48"/>
  <c r="S58" i="48" s="1"/>
  <c r="F59" i="48"/>
  <c r="H59" i="48"/>
  <c r="I59" i="48"/>
  <c r="K59" i="48"/>
  <c r="P59" i="48" s="1"/>
  <c r="Q59" i="48" s="1"/>
  <c r="L59" i="48"/>
  <c r="M59" i="48" s="1"/>
  <c r="N59" i="48"/>
  <c r="O59" i="48"/>
  <c r="R59" i="48"/>
  <c r="S59" i="48" s="1"/>
  <c r="F60" i="48"/>
  <c r="H60" i="48"/>
  <c r="I60" i="48"/>
  <c r="K60" i="48"/>
  <c r="P60" i="48" s="1"/>
  <c r="Q60" i="48" s="1"/>
  <c r="L60" i="48"/>
  <c r="M60" i="48" s="1"/>
  <c r="N60" i="48"/>
  <c r="O60" i="48"/>
  <c r="R60" i="48"/>
  <c r="S60" i="48"/>
  <c r="H61" i="48"/>
  <c r="I61" i="48" s="1"/>
  <c r="K61" i="48"/>
  <c r="P61" i="48" s="1"/>
  <c r="L61" i="48"/>
  <c r="F62" i="48"/>
  <c r="H62" i="48"/>
  <c r="I62" i="48" s="1"/>
  <c r="K62" i="48"/>
  <c r="L62" i="48"/>
  <c r="N62" i="48" s="1"/>
  <c r="O62" i="48" s="1"/>
  <c r="P62" i="48"/>
  <c r="R62" i="48" s="1"/>
  <c r="S62" i="48" s="1"/>
  <c r="Q62" i="48"/>
  <c r="F63" i="48"/>
  <c r="H63" i="48"/>
  <c r="I63" i="48" s="1"/>
  <c r="K63" i="48"/>
  <c r="P63" i="48"/>
  <c r="R63" i="48" s="1"/>
  <c r="S63" i="48" s="1"/>
  <c r="F64" i="48"/>
  <c r="H64" i="48"/>
  <c r="I64" i="48" s="1"/>
  <c r="K64" i="48"/>
  <c r="P64" i="48"/>
  <c r="R64" i="48" s="1"/>
  <c r="Q64" i="48"/>
  <c r="S64" i="48"/>
  <c r="F65" i="48"/>
  <c r="H65" i="48"/>
  <c r="K65" i="48"/>
  <c r="L65" i="48"/>
  <c r="N65" i="48" s="1"/>
  <c r="O65" i="48" s="1"/>
  <c r="M65" i="48"/>
  <c r="P65" i="48"/>
  <c r="R65" i="48" s="1"/>
  <c r="Q65" i="48"/>
  <c r="S65" i="48"/>
  <c r="F66" i="48"/>
  <c r="H66" i="48"/>
  <c r="I66" i="48" s="1"/>
  <c r="K66" i="48"/>
  <c r="L66" i="48"/>
  <c r="N66" i="48" s="1"/>
  <c r="O66" i="48" s="1"/>
  <c r="P66" i="48"/>
  <c r="R66" i="48" s="1"/>
  <c r="S66" i="48" s="1"/>
  <c r="Q66" i="48"/>
  <c r="F67" i="48"/>
  <c r="H67" i="48"/>
  <c r="I67" i="48" s="1"/>
  <c r="K67" i="48"/>
  <c r="P67" i="48"/>
  <c r="R67" i="48" s="1"/>
  <c r="S67" i="48" s="1"/>
  <c r="F68" i="48"/>
  <c r="H68" i="48"/>
  <c r="I68" i="48" s="1"/>
  <c r="K68" i="48"/>
  <c r="P68" i="48"/>
  <c r="R68" i="48" s="1"/>
  <c r="Q68" i="48"/>
  <c r="S68" i="48"/>
  <c r="F69" i="48"/>
  <c r="H69" i="48"/>
  <c r="K69" i="48"/>
  <c r="L69" i="48"/>
  <c r="N69" i="48" s="1"/>
  <c r="O69" i="48" s="1"/>
  <c r="M69" i="48"/>
  <c r="P69" i="48"/>
  <c r="R69" i="48" s="1"/>
  <c r="Q69" i="48"/>
  <c r="S69" i="48"/>
  <c r="F70" i="48"/>
  <c r="H70" i="48"/>
  <c r="I70" i="48" s="1"/>
  <c r="K70" i="48"/>
  <c r="L70" i="48"/>
  <c r="N70" i="48" s="1"/>
  <c r="O70" i="48" s="1"/>
  <c r="P70" i="48"/>
  <c r="R70" i="48" s="1"/>
  <c r="S70" i="48" s="1"/>
  <c r="Q70" i="48"/>
  <c r="F71" i="48"/>
  <c r="H71" i="48"/>
  <c r="I71" i="48" s="1"/>
  <c r="K71" i="48"/>
  <c r="P71" i="48"/>
  <c r="R71" i="48" s="1"/>
  <c r="S71" i="48" s="1"/>
  <c r="F72" i="48"/>
  <c r="H72" i="48"/>
  <c r="I72" i="48" s="1"/>
  <c r="K72" i="48"/>
  <c r="P72" i="48"/>
  <c r="R72" i="48" s="1"/>
  <c r="Q72" i="48"/>
  <c r="S72" i="48"/>
  <c r="F73" i="48"/>
  <c r="H73" i="48"/>
  <c r="K73" i="48"/>
  <c r="L73" i="48"/>
  <c r="N73" i="48" s="1"/>
  <c r="O73" i="48" s="1"/>
  <c r="M73" i="48"/>
  <c r="P73" i="48"/>
  <c r="R73" i="48" s="1"/>
  <c r="Q73" i="48"/>
  <c r="S73" i="48"/>
  <c r="F74" i="48"/>
  <c r="H74" i="48"/>
  <c r="I74" i="48" s="1"/>
  <c r="K74" i="48"/>
  <c r="L74" i="48"/>
  <c r="N74" i="48" s="1"/>
  <c r="O74" i="48" s="1"/>
  <c r="P74" i="48"/>
  <c r="R74" i="48" s="1"/>
  <c r="S74" i="48" s="1"/>
  <c r="Q74" i="48"/>
  <c r="F75" i="48"/>
  <c r="H75" i="48"/>
  <c r="I75" i="48" s="1"/>
  <c r="K75" i="48"/>
  <c r="P75" i="48"/>
  <c r="R75" i="48" s="1"/>
  <c r="S75" i="48" s="1"/>
  <c r="F76" i="48"/>
  <c r="H76" i="48"/>
  <c r="I76" i="48" s="1"/>
  <c r="K76" i="48"/>
  <c r="P76" i="48"/>
  <c r="Q76" i="48"/>
  <c r="R76" i="48"/>
  <c r="S76" i="48" s="1"/>
  <c r="F77" i="48"/>
  <c r="H77" i="48"/>
  <c r="L77" i="48" s="1"/>
  <c r="K77" i="48"/>
  <c r="P77" i="48"/>
  <c r="Q77" i="48"/>
  <c r="R77" i="48"/>
  <c r="S77" i="48" s="1"/>
  <c r="H78" i="48"/>
  <c r="L78" i="48" s="1"/>
  <c r="I78" i="48"/>
  <c r="K78" i="48"/>
  <c r="P78" i="48" s="1"/>
  <c r="F80" i="48"/>
  <c r="H80" i="48"/>
  <c r="L80" i="48" s="1"/>
  <c r="I80" i="48"/>
  <c r="K80" i="48"/>
  <c r="P80" i="48" s="1"/>
  <c r="F81" i="48"/>
  <c r="H81" i="48"/>
  <c r="L81" i="48" s="1"/>
  <c r="I81" i="48"/>
  <c r="K81" i="48"/>
  <c r="P81" i="48" s="1"/>
  <c r="F82" i="48"/>
  <c r="H82" i="48"/>
  <c r="L82" i="48" s="1"/>
  <c r="I82" i="48"/>
  <c r="K82" i="48"/>
  <c r="P82" i="48" s="1"/>
  <c r="F83" i="48"/>
  <c r="H83" i="48"/>
  <c r="L83" i="48" s="1"/>
  <c r="I83" i="48"/>
  <c r="K83" i="48"/>
  <c r="P83" i="48" s="1"/>
  <c r="F84" i="48"/>
  <c r="H84" i="48"/>
  <c r="L84" i="48" s="1"/>
  <c r="I84" i="48"/>
  <c r="K84" i="48"/>
  <c r="P84" i="48" s="1"/>
  <c r="F85" i="48"/>
  <c r="H85" i="48"/>
  <c r="L85" i="48" s="1"/>
  <c r="I85" i="48"/>
  <c r="K85" i="48"/>
  <c r="P85" i="48" s="1"/>
  <c r="F86" i="48"/>
  <c r="H86" i="48"/>
  <c r="L86" i="48" s="1"/>
  <c r="I86" i="48"/>
  <c r="K86" i="48"/>
  <c r="P86" i="48" s="1"/>
  <c r="F87" i="48"/>
  <c r="H87" i="48"/>
  <c r="L87" i="48" s="1"/>
  <c r="I87" i="48"/>
  <c r="K87" i="48"/>
  <c r="P87" i="48" s="1"/>
  <c r="F88" i="48"/>
  <c r="H88" i="48"/>
  <c r="I88" i="48" s="1"/>
  <c r="K88" i="48"/>
  <c r="P88" i="48" s="1"/>
  <c r="H89" i="48"/>
  <c r="I89" i="48"/>
  <c r="K89" i="48"/>
  <c r="L89" i="48"/>
  <c r="P89" i="48"/>
  <c r="F91" i="48"/>
  <c r="I91" i="48" s="1"/>
  <c r="H91" i="48"/>
  <c r="K91" i="48"/>
  <c r="L91" i="48"/>
  <c r="P91" i="48"/>
  <c r="F92" i="48"/>
  <c r="I92" i="48" s="1"/>
  <c r="H92" i="48"/>
  <c r="K92" i="48"/>
  <c r="P92" i="48" s="1"/>
  <c r="L92" i="48"/>
  <c r="F94" i="48"/>
  <c r="I94" i="48" s="1"/>
  <c r="H94" i="48"/>
  <c r="K94" i="48"/>
  <c r="P94" i="48" s="1"/>
  <c r="L94" i="48"/>
  <c r="F95" i="48"/>
  <c r="I95" i="48" s="1"/>
  <c r="H95" i="48"/>
  <c r="K95" i="48"/>
  <c r="L95" i="48"/>
  <c r="P95" i="48"/>
  <c r="F96" i="48"/>
  <c r="I96" i="48" s="1"/>
  <c r="H96" i="48"/>
  <c r="K96" i="48"/>
  <c r="L96" i="48"/>
  <c r="P96" i="48"/>
  <c r="H97" i="48"/>
  <c r="I97" i="48" s="1"/>
  <c r="K97" i="48"/>
  <c r="L97" i="48"/>
  <c r="N97" i="48" s="1"/>
  <c r="O97" i="48" s="1"/>
  <c r="P97" i="48"/>
  <c r="R97" i="48" s="1"/>
  <c r="S97" i="48" s="1"/>
  <c r="Q97" i="48"/>
  <c r="F99" i="48"/>
  <c r="H99" i="48"/>
  <c r="K99" i="48"/>
  <c r="P99" i="48"/>
  <c r="R99" i="48" s="1"/>
  <c r="Q99" i="48"/>
  <c r="S99" i="48"/>
  <c r="F100" i="48"/>
  <c r="H100" i="48"/>
  <c r="K100" i="48"/>
  <c r="L100" i="48"/>
  <c r="N100" i="48" s="1"/>
  <c r="O100" i="48"/>
  <c r="P100" i="48"/>
  <c r="R100" i="48" s="1"/>
  <c r="Q100" i="48"/>
  <c r="S100" i="48"/>
  <c r="F102" i="48"/>
  <c r="H102" i="48"/>
  <c r="I102" i="48" s="1"/>
  <c r="K102" i="48"/>
  <c r="K114" i="48" s="1"/>
  <c r="L102" i="48"/>
  <c r="N102" i="48" s="1"/>
  <c r="O102" i="48" s="1"/>
  <c r="P102" i="48"/>
  <c r="R102" i="48" s="1"/>
  <c r="S102" i="48" s="1"/>
  <c r="F103" i="48"/>
  <c r="H103" i="48"/>
  <c r="I103" i="48" s="1"/>
  <c r="K103" i="48"/>
  <c r="P103" i="48"/>
  <c r="R103" i="48" s="1"/>
  <c r="S103" i="48" s="1"/>
  <c r="F105" i="48"/>
  <c r="H105" i="48"/>
  <c r="K105" i="48"/>
  <c r="P105" i="48"/>
  <c r="R105" i="48" s="1"/>
  <c r="Q105" i="48"/>
  <c r="S105" i="48"/>
  <c r="U105" i="48"/>
  <c r="F106" i="48"/>
  <c r="H106" i="48"/>
  <c r="I106" i="48"/>
  <c r="K106" i="48"/>
  <c r="L106" i="48"/>
  <c r="M106" i="48" s="1"/>
  <c r="N106" i="48"/>
  <c r="O106" i="48"/>
  <c r="P106" i="48"/>
  <c r="Q106" i="48" s="1"/>
  <c r="F107" i="48"/>
  <c r="I107" i="48" s="1"/>
  <c r="H107" i="48"/>
  <c r="K107" i="48"/>
  <c r="L107" i="48"/>
  <c r="M107" i="48" s="1"/>
  <c r="P107" i="48"/>
  <c r="Q107" i="48" s="1"/>
  <c r="R107" i="48"/>
  <c r="S107" i="48" s="1"/>
  <c r="F108" i="48"/>
  <c r="H108" i="48"/>
  <c r="I108" i="48"/>
  <c r="K108" i="48"/>
  <c r="L108" i="48"/>
  <c r="M108" i="48" s="1"/>
  <c r="N108" i="48"/>
  <c r="O108" i="48"/>
  <c r="P108" i="48"/>
  <c r="Q108" i="48" s="1"/>
  <c r="F109" i="48"/>
  <c r="H109" i="48"/>
  <c r="I109" i="48" s="1"/>
  <c r="K109" i="48"/>
  <c r="L109" i="48"/>
  <c r="M109" i="48" s="1"/>
  <c r="P109" i="48"/>
  <c r="Q109" i="48" s="1"/>
  <c r="F110" i="48"/>
  <c r="H110" i="48"/>
  <c r="I110" i="48" s="1"/>
  <c r="K110" i="48"/>
  <c r="L110" i="48"/>
  <c r="M110" i="48" s="1"/>
  <c r="P110" i="48"/>
  <c r="Q110" i="48" s="1"/>
  <c r="H111" i="48"/>
  <c r="L111" i="48" s="1"/>
  <c r="K111" i="48"/>
  <c r="P111" i="48"/>
  <c r="Q111" i="48"/>
  <c r="R111" i="48"/>
  <c r="S111" i="48" s="1"/>
  <c r="H112" i="48"/>
  <c r="L112" i="48" s="1"/>
  <c r="I112" i="48"/>
  <c r="K112" i="48"/>
  <c r="P112" i="48" s="1"/>
  <c r="F113" i="48"/>
  <c r="H113" i="48"/>
  <c r="L113" i="48" s="1"/>
  <c r="I113" i="48"/>
  <c r="K113" i="48"/>
  <c r="P113" i="48" s="1"/>
  <c r="B114" i="48"/>
  <c r="H114" i="48"/>
  <c r="N117" i="48"/>
  <c r="R117" i="48"/>
  <c r="N118" i="48"/>
  <c r="O118" i="48" s="1"/>
  <c r="R118" i="48"/>
  <c r="S118" i="48"/>
  <c r="N119" i="48"/>
  <c r="B121"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186" i="48"/>
  <c r="D187" i="48"/>
  <c r="D188" i="48"/>
  <c r="D189" i="48"/>
  <c r="D190" i="48"/>
  <c r="D191" i="48"/>
  <c r="D192" i="48"/>
  <c r="D193" i="48"/>
  <c r="D194" i="48"/>
  <c r="D195" i="48"/>
  <c r="D196" i="48"/>
  <c r="D197" i="48"/>
  <c r="D198" i="48"/>
  <c r="D199" i="48"/>
  <c r="D200" i="48"/>
  <c r="D201" i="48"/>
  <c r="D202" i="48"/>
  <c r="D203" i="48"/>
  <c r="D204" i="48"/>
  <c r="D205" i="48"/>
  <c r="D206" i="48"/>
  <c r="D207" i="48"/>
  <c r="D208" i="48"/>
  <c r="D209" i="48"/>
  <c r="D210" i="48"/>
  <c r="D211" i="48"/>
  <c r="D212" i="48"/>
  <c r="D213" i="48"/>
  <c r="D214" i="48"/>
  <c r="D215" i="48"/>
  <c r="D216" i="48"/>
  <c r="D217" i="48"/>
  <c r="D218" i="48"/>
  <c r="D219" i="48"/>
  <c r="D220" i="48"/>
  <c r="D221" i="48"/>
  <c r="D222" i="48"/>
  <c r="D223" i="48"/>
  <c r="D224" i="48"/>
  <c r="D225" i="48"/>
  <c r="D226" i="48"/>
  <c r="D227" i="48"/>
  <c r="D228" i="48"/>
  <c r="D229" i="48"/>
  <c r="D230" i="48"/>
  <c r="D231" i="48"/>
  <c r="D232" i="48"/>
  <c r="D233" i="48"/>
  <c r="D234" i="48"/>
  <c r="D235" i="48"/>
  <c r="D236" i="48"/>
  <c r="D237" i="48"/>
  <c r="D238" i="48"/>
  <c r="D239" i="48"/>
  <c r="D240" i="48"/>
  <c r="D241" i="48"/>
  <c r="D242" i="48"/>
  <c r="D243" i="48"/>
  <c r="D244" i="48"/>
  <c r="D245" i="48"/>
  <c r="D246" i="48"/>
  <c r="D247" i="48"/>
  <c r="D248" i="48"/>
  <c r="D249" i="48"/>
  <c r="D250" i="48"/>
  <c r="D251" i="48"/>
  <c r="D252" i="48"/>
  <c r="D253" i="48"/>
  <c r="D254" i="48"/>
  <c r="D255" i="48"/>
  <c r="D256" i="48"/>
  <c r="D257" i="48"/>
  <c r="D258" i="48"/>
  <c r="D259" i="48"/>
  <c r="D260" i="48"/>
  <c r="D261" i="48"/>
  <c r="D262" i="48"/>
  <c r="D263" i="48"/>
  <c r="D264" i="48"/>
  <c r="D265" i="48"/>
  <c r="D266" i="48"/>
  <c r="D267" i="48"/>
  <c r="D268" i="48"/>
  <c r="D269" i="48"/>
  <c r="D270" i="48"/>
  <c r="D271" i="48"/>
  <c r="D272" i="48"/>
  <c r="D273" i="48"/>
  <c r="D274" i="48"/>
  <c r="D275" i="48"/>
  <c r="D276" i="48"/>
  <c r="D277" i="48"/>
  <c r="D278" i="48"/>
  <c r="D279" i="48"/>
  <c r="D280" i="48"/>
  <c r="D281" i="48"/>
  <c r="D282" i="48"/>
  <c r="D283" i="48"/>
  <c r="D284" i="48"/>
  <c r="D285" i="48"/>
  <c r="D286" i="48"/>
  <c r="D287" i="48"/>
  <c r="D288" i="48"/>
  <c r="D289" i="48"/>
  <c r="D290" i="48"/>
  <c r="D291" i="48"/>
  <c r="D292" i="48"/>
  <c r="D293" i="48"/>
  <c r="D294" i="48"/>
  <c r="D295" i="48"/>
  <c r="D296" i="48"/>
  <c r="D297" i="48"/>
  <c r="D298" i="48"/>
  <c r="D299" i="48"/>
  <c r="D300" i="48"/>
  <c r="D301" i="48"/>
  <c r="D302" i="48"/>
  <c r="D303" i="48"/>
  <c r="D304" i="48"/>
  <c r="D305" i="48"/>
  <c r="D306" i="48"/>
  <c r="D307" i="48"/>
  <c r="D308" i="48"/>
  <c r="D309" i="48"/>
  <c r="D310" i="48"/>
  <c r="D311" i="48"/>
  <c r="D312" i="48"/>
  <c r="D313" i="48"/>
  <c r="D314" i="48"/>
  <c r="D315" i="48"/>
  <c r="D316" i="48"/>
  <c r="D317" i="48"/>
  <c r="D318" i="48"/>
  <c r="D319" i="48"/>
  <c r="D320" i="48"/>
  <c r="D321" i="48"/>
  <c r="D322" i="48"/>
  <c r="D323" i="48"/>
  <c r="D324" i="48"/>
  <c r="D325" i="48"/>
  <c r="D326" i="48"/>
  <c r="D327" i="48"/>
  <c r="D328" i="48"/>
  <c r="D329" i="48"/>
  <c r="D330" i="48"/>
  <c r="D331" i="48"/>
  <c r="D332" i="48"/>
  <c r="D333" i="48"/>
  <c r="D334" i="48"/>
  <c r="D335" i="48"/>
  <c r="D336" i="48"/>
  <c r="D337" i="48"/>
  <c r="D338" i="48"/>
  <c r="D339" i="48"/>
  <c r="D340" i="48"/>
  <c r="D341" i="48"/>
  <c r="D342" i="48"/>
  <c r="D343" i="48"/>
  <c r="D344" i="48"/>
  <c r="D345" i="48"/>
  <c r="D346" i="48"/>
  <c r="D347" i="48"/>
  <c r="D348" i="48"/>
  <c r="D349" i="48"/>
  <c r="D350" i="48"/>
  <c r="D351" i="48"/>
  <c r="D352" i="48"/>
  <c r="D353" i="48"/>
  <c r="D354" i="48"/>
  <c r="D355" i="48"/>
  <c r="D356" i="48"/>
  <c r="D357" i="48"/>
  <c r="D358" i="48"/>
  <c r="D359" i="48"/>
  <c r="D360" i="48"/>
  <c r="D361" i="48"/>
  <c r="D362" i="48"/>
  <c r="D363" i="48"/>
  <c r="D364" i="48"/>
  <c r="D365" i="48"/>
  <c r="I12" i="49" l="1"/>
  <c r="L22" i="49"/>
  <c r="M36" i="49"/>
  <c r="M39" i="49"/>
  <c r="H35" i="49" s="1"/>
  <c r="I35" i="49" s="1"/>
  <c r="H12" i="49"/>
  <c r="H72" i="49" s="1"/>
  <c r="M111" i="48"/>
  <c r="N111" i="48"/>
  <c r="O111" i="48" s="1"/>
  <c r="R113" i="48"/>
  <c r="S113" i="48" s="1"/>
  <c r="Q113" i="48"/>
  <c r="R112" i="48"/>
  <c r="S112" i="48" s="1"/>
  <c r="Q112" i="48"/>
  <c r="N113" i="48"/>
  <c r="O113" i="48" s="1"/>
  <c r="M113" i="48"/>
  <c r="M112" i="48"/>
  <c r="N112" i="48"/>
  <c r="O112" i="48" s="1"/>
  <c r="R94" i="48"/>
  <c r="S94" i="48" s="1"/>
  <c r="Q94" i="48"/>
  <c r="R92" i="48"/>
  <c r="S92" i="48" s="1"/>
  <c r="Q92" i="48"/>
  <c r="P114" i="48"/>
  <c r="F114" i="48"/>
  <c r="R110" i="48"/>
  <c r="S110" i="48" s="1"/>
  <c r="N110" i="48"/>
  <c r="O110" i="48" s="1"/>
  <c r="R109" i="48"/>
  <c r="S109" i="48" s="1"/>
  <c r="N109" i="48"/>
  <c r="O109" i="48" s="1"/>
  <c r="R108" i="48"/>
  <c r="S108" i="48" s="1"/>
  <c r="R106" i="48"/>
  <c r="S106" i="48" s="1"/>
  <c r="Q103" i="48"/>
  <c r="L103" i="48"/>
  <c r="M102" i="48"/>
  <c r="I100" i="48"/>
  <c r="N96" i="48"/>
  <c r="O96" i="48" s="1"/>
  <c r="M96" i="48"/>
  <c r="N89" i="48"/>
  <c r="O89" i="48" s="1"/>
  <c r="M89" i="48"/>
  <c r="M81" i="48"/>
  <c r="N81" i="48"/>
  <c r="O81" i="48" s="1"/>
  <c r="M80" i="48"/>
  <c r="N80" i="48"/>
  <c r="O80" i="48" s="1"/>
  <c r="M78" i="48"/>
  <c r="N78" i="48"/>
  <c r="O78" i="48" s="1"/>
  <c r="R61" i="48"/>
  <c r="S61" i="48" s="1"/>
  <c r="Q61" i="48"/>
  <c r="I111" i="48"/>
  <c r="N107" i="48"/>
  <c r="O107" i="48" s="1"/>
  <c r="I105" i="48"/>
  <c r="Q102" i="48"/>
  <c r="M100" i="48"/>
  <c r="I99" i="48"/>
  <c r="M97" i="48"/>
  <c r="R95" i="48"/>
  <c r="S95" i="48" s="1"/>
  <c r="Q95" i="48"/>
  <c r="N92" i="48"/>
  <c r="O92" i="48" s="1"/>
  <c r="M92" i="48"/>
  <c r="M87" i="48"/>
  <c r="N87" i="48"/>
  <c r="O87" i="48" s="1"/>
  <c r="Q86" i="48"/>
  <c r="R86" i="48"/>
  <c r="S86" i="48" s="1"/>
  <c r="M85" i="48"/>
  <c r="N85" i="48"/>
  <c r="O85" i="48" s="1"/>
  <c r="Q84" i="48"/>
  <c r="R84" i="48"/>
  <c r="S84" i="48" s="1"/>
  <c r="M83" i="48"/>
  <c r="N83" i="48"/>
  <c r="O83" i="48" s="1"/>
  <c r="Q82" i="48"/>
  <c r="R82" i="48"/>
  <c r="S82" i="48" s="1"/>
  <c r="M77" i="48"/>
  <c r="N77" i="48"/>
  <c r="O77" i="48" s="1"/>
  <c r="R55" i="48"/>
  <c r="S55" i="48" s="1"/>
  <c r="Q55" i="48"/>
  <c r="R96" i="48"/>
  <c r="S96" i="48" s="1"/>
  <c r="Q96" i="48"/>
  <c r="N94" i="48"/>
  <c r="O94" i="48" s="1"/>
  <c r="M94" i="48"/>
  <c r="R91" i="48"/>
  <c r="S91" i="48" s="1"/>
  <c r="Q91" i="48"/>
  <c r="Q88" i="48"/>
  <c r="R88" i="48"/>
  <c r="S88" i="48" s="1"/>
  <c r="Q81" i="48"/>
  <c r="R81" i="48"/>
  <c r="S81" i="48" s="1"/>
  <c r="Q80" i="48"/>
  <c r="R80" i="48"/>
  <c r="S80" i="48" s="1"/>
  <c r="Q78" i="48"/>
  <c r="R78" i="48"/>
  <c r="S78" i="48" s="1"/>
  <c r="L105" i="48"/>
  <c r="L99" i="48"/>
  <c r="N95" i="48"/>
  <c r="O95" i="48" s="1"/>
  <c r="M95" i="48"/>
  <c r="N91" i="48"/>
  <c r="O91" i="48" s="1"/>
  <c r="M91" i="48"/>
  <c r="R89" i="48"/>
  <c r="S89" i="48" s="1"/>
  <c r="Q89" i="48"/>
  <c r="Q87" i="48"/>
  <c r="R87" i="48"/>
  <c r="S87" i="48" s="1"/>
  <c r="M86" i="48"/>
  <c r="N86" i="48"/>
  <c r="O86" i="48" s="1"/>
  <c r="Q85" i="48"/>
  <c r="R85" i="48"/>
  <c r="S85" i="48" s="1"/>
  <c r="M84" i="48"/>
  <c r="N84" i="48"/>
  <c r="O84" i="48" s="1"/>
  <c r="Q83" i="48"/>
  <c r="R83" i="48"/>
  <c r="S83" i="48" s="1"/>
  <c r="M82" i="48"/>
  <c r="N82" i="48"/>
  <c r="O82" i="48" s="1"/>
  <c r="L88" i="48"/>
  <c r="Q75" i="48"/>
  <c r="L75" i="48"/>
  <c r="M74" i="48"/>
  <c r="I73" i="48"/>
  <c r="Q71" i="48"/>
  <c r="L71" i="48"/>
  <c r="M70" i="48"/>
  <c r="I69" i="48"/>
  <c r="Q67" i="48"/>
  <c r="L67" i="48"/>
  <c r="M66" i="48"/>
  <c r="I65" i="48"/>
  <c r="Q63" i="48"/>
  <c r="L63" i="48"/>
  <c r="M62" i="48"/>
  <c r="N61" i="48"/>
  <c r="O61" i="48" s="1"/>
  <c r="M61" i="48"/>
  <c r="I77" i="48"/>
  <c r="I56" i="48"/>
  <c r="L56" i="48"/>
  <c r="N54" i="48"/>
  <c r="O54" i="48" s="1"/>
  <c r="M54" i="48"/>
  <c r="L76" i="48"/>
  <c r="L72" i="48"/>
  <c r="L68" i="48"/>
  <c r="L64" i="48"/>
  <c r="L55" i="48"/>
  <c r="I53" i="48"/>
  <c r="Q51" i="48"/>
  <c r="L51" i="48"/>
  <c r="M50" i="48"/>
  <c r="I49" i="48"/>
  <c r="Q47" i="48"/>
  <c r="L47" i="48"/>
  <c r="M46" i="48"/>
  <c r="I44" i="48"/>
  <c r="Q42" i="48"/>
  <c r="L42" i="48"/>
  <c r="M41" i="48"/>
  <c r="I40" i="48"/>
  <c r="Q38" i="48"/>
  <c r="L38" i="48"/>
  <c r="M37" i="48"/>
  <c r="Q36" i="48"/>
  <c r="R36" i="48"/>
  <c r="S36" i="48" s="1"/>
  <c r="Q31" i="48"/>
  <c r="R31" i="48"/>
  <c r="S31" i="48" s="1"/>
  <c r="M29" i="48"/>
  <c r="N29" i="48"/>
  <c r="O29" i="48" s="1"/>
  <c r="M28" i="48"/>
  <c r="N28" i="48"/>
  <c r="O28" i="48" s="1"/>
  <c r="Q17" i="48"/>
  <c r="R17" i="48"/>
  <c r="S17" i="48" s="1"/>
  <c r="Q34" i="48"/>
  <c r="R34" i="48"/>
  <c r="S34" i="48" s="1"/>
  <c r="M30" i="48"/>
  <c r="N30" i="48"/>
  <c r="O30" i="48" s="1"/>
  <c r="M27" i="48"/>
  <c r="N27" i="48"/>
  <c r="O27" i="48" s="1"/>
  <c r="M22" i="48"/>
  <c r="N22" i="48"/>
  <c r="O22" i="48" s="1"/>
  <c r="Q35" i="48"/>
  <c r="R35" i="48"/>
  <c r="S35" i="48" s="1"/>
  <c r="M26" i="48"/>
  <c r="N26" i="48"/>
  <c r="O26" i="48" s="1"/>
  <c r="M13" i="48"/>
  <c r="N13" i="48"/>
  <c r="O13" i="48" s="1"/>
  <c r="I54" i="48"/>
  <c r="Q52" i="48"/>
  <c r="L52" i="48"/>
  <c r="I50" i="48"/>
  <c r="Q48" i="48"/>
  <c r="L48" i="48"/>
  <c r="I46" i="48"/>
  <c r="Q43" i="48"/>
  <c r="L43" i="48"/>
  <c r="I41" i="48"/>
  <c r="Q39" i="48"/>
  <c r="L39" i="48"/>
  <c r="Q30" i="48"/>
  <c r="R30" i="48"/>
  <c r="S30" i="48" s="1"/>
  <c r="M24" i="48"/>
  <c r="N24" i="48"/>
  <c r="O24" i="48" s="1"/>
  <c r="I28" i="48"/>
  <c r="I27" i="48"/>
  <c r="I26" i="48"/>
  <c r="I24" i="48"/>
  <c r="I22" i="48"/>
  <c r="Q21" i="48"/>
  <c r="M21" i="48"/>
  <c r="Q20" i="48"/>
  <c r="M20" i="48"/>
  <c r="Q18" i="48"/>
  <c r="L18" i="48"/>
  <c r="I13" i="48"/>
  <c r="I114" i="48" s="1"/>
  <c r="N36" i="48"/>
  <c r="O36" i="48" s="1"/>
  <c r="N35" i="48"/>
  <c r="O35" i="48" s="1"/>
  <c r="N17" i="48"/>
  <c r="O17" i="48" s="1"/>
  <c r="R16" i="48"/>
  <c r="S16" i="48" s="1"/>
  <c r="S120" i="48" s="1"/>
  <c r="S122" i="48" s="1"/>
  <c r="N16" i="48"/>
  <c r="O16" i="48" s="1"/>
  <c r="N39" i="48" l="1"/>
  <c r="O39" i="48" s="1"/>
  <c r="M39" i="48"/>
  <c r="N48" i="48"/>
  <c r="O48" i="48" s="1"/>
  <c r="M48" i="48"/>
  <c r="N43" i="48"/>
  <c r="O43" i="48" s="1"/>
  <c r="M43" i="48"/>
  <c r="Q114" i="48"/>
  <c r="Q116" i="48" s="1"/>
  <c r="N72" i="48"/>
  <c r="O72" i="48" s="1"/>
  <c r="M72" i="48"/>
  <c r="N56" i="48"/>
  <c r="O56" i="48" s="1"/>
  <c r="M56" i="48"/>
  <c r="M88" i="48"/>
  <c r="N88" i="48"/>
  <c r="O88" i="48" s="1"/>
  <c r="N105" i="48"/>
  <c r="O105" i="48" s="1"/>
  <c r="M105" i="48"/>
  <c r="N103" i="48"/>
  <c r="O103" i="48" s="1"/>
  <c r="M103" i="48"/>
  <c r="N55" i="48"/>
  <c r="O55" i="48" s="1"/>
  <c r="M55" i="48"/>
  <c r="M76" i="48"/>
  <c r="N76" i="48"/>
  <c r="O76" i="48" s="1"/>
  <c r="R114" i="48"/>
  <c r="P115" i="48"/>
  <c r="R115" i="48" s="1"/>
  <c r="N18" i="48"/>
  <c r="O18" i="48" s="1"/>
  <c r="O120" i="48" s="1"/>
  <c r="O122" i="48" s="1"/>
  <c r="M18" i="48"/>
  <c r="L114" i="48"/>
  <c r="N114" i="48" s="1"/>
  <c r="N115" i="48" s="1"/>
  <c r="N52" i="48"/>
  <c r="O52" i="48" s="1"/>
  <c r="M52" i="48"/>
  <c r="N38" i="48"/>
  <c r="O38" i="48" s="1"/>
  <c r="M38" i="48"/>
  <c r="N42" i="48"/>
  <c r="O42" i="48" s="1"/>
  <c r="M42" i="48"/>
  <c r="N47" i="48"/>
  <c r="O47" i="48" s="1"/>
  <c r="M47" i="48"/>
  <c r="N51" i="48"/>
  <c r="O51" i="48" s="1"/>
  <c r="M51" i="48"/>
  <c r="N64" i="48"/>
  <c r="O64" i="48" s="1"/>
  <c r="M64" i="48"/>
  <c r="N63" i="48"/>
  <c r="O63" i="48" s="1"/>
  <c r="M63" i="48"/>
  <c r="N67" i="48"/>
  <c r="O67" i="48" s="1"/>
  <c r="M67" i="48"/>
  <c r="N71" i="48"/>
  <c r="O71" i="48" s="1"/>
  <c r="M71" i="48"/>
  <c r="N75" i="48"/>
  <c r="O75" i="48" s="1"/>
  <c r="M75" i="48"/>
  <c r="N68" i="48"/>
  <c r="O68" i="48" s="1"/>
  <c r="M68" i="48"/>
  <c r="M114" i="48" s="1"/>
  <c r="M116" i="48" s="1"/>
  <c r="N99" i="48"/>
  <c r="O99" i="48" s="1"/>
  <c r="M99" i="48"/>
  <c r="O125" i="48" l="1"/>
  <c r="P122" i="48"/>
  <c r="U122" i="48"/>
  <c r="U116" i="48"/>
  <c r="E13" i="47" l="1"/>
  <c r="G13" i="47"/>
  <c r="D15" i="47"/>
  <c r="D13" i="47" s="1"/>
  <c r="F15" i="47"/>
  <c r="F29" i="47" s="1"/>
  <c r="D16" i="47"/>
  <c r="F16" i="47"/>
  <c r="D17" i="47"/>
  <c r="F17" i="47"/>
  <c r="D19" i="47"/>
  <c r="F19" i="47"/>
  <c r="D20" i="47"/>
  <c r="F20" i="47"/>
  <c r="D21" i="47"/>
  <c r="F21" i="47"/>
  <c r="D22" i="47"/>
  <c r="F22" i="47"/>
  <c r="D23" i="47"/>
  <c r="F23" i="47"/>
  <c r="J23" i="47"/>
  <c r="D25" i="47"/>
  <c r="F25" i="47"/>
  <c r="D27" i="47"/>
  <c r="F27" i="47"/>
  <c r="D28" i="47"/>
  <c r="F28" i="47"/>
  <c r="M28" i="47"/>
  <c r="M30" i="47" s="1"/>
  <c r="M31" i="47" s="1"/>
  <c r="H23" i="47" s="1"/>
  <c r="D29" i="47"/>
  <c r="E29" i="47"/>
  <c r="G29" i="47"/>
  <c r="M29" i="47"/>
  <c r="H13" i="47" l="1"/>
  <c r="H29" i="47"/>
  <c r="F13" i="47"/>
  <c r="D13" i="46"/>
  <c r="E13" i="46"/>
  <c r="G13" i="46"/>
  <c r="F15" i="46"/>
  <c r="F13" i="46" s="1"/>
  <c r="H15" i="46"/>
  <c r="I15" i="46"/>
  <c r="J15" i="46"/>
  <c r="F17" i="46"/>
  <c r="H17" i="46"/>
  <c r="I17" i="46"/>
  <c r="F18" i="46"/>
  <c r="H18" i="46"/>
  <c r="I18" i="46"/>
  <c r="F19" i="46"/>
  <c r="H19" i="46"/>
  <c r="J19" i="46" s="1"/>
  <c r="N27" i="46" s="1"/>
  <c r="I19" i="46"/>
  <c r="F20" i="46"/>
  <c r="H20" i="46"/>
  <c r="I20" i="46"/>
  <c r="F21" i="46"/>
  <c r="H21" i="46"/>
  <c r="I21" i="46"/>
  <c r="J21" i="46"/>
  <c r="N30" i="46" s="1"/>
  <c r="F23" i="46"/>
  <c r="H23" i="46"/>
  <c r="I23" i="46"/>
  <c r="J23" i="46"/>
  <c r="N28" i="46" s="1"/>
  <c r="F24" i="46"/>
  <c r="H24" i="46"/>
  <c r="I24" i="46"/>
  <c r="F25" i="46"/>
  <c r="H25" i="46"/>
  <c r="I25" i="46"/>
  <c r="J25" i="46"/>
  <c r="F26" i="46"/>
  <c r="H26" i="46"/>
  <c r="I26" i="46"/>
  <c r="N26" i="46"/>
  <c r="F28" i="46"/>
  <c r="F29" i="46"/>
  <c r="N29" i="46"/>
  <c r="F30" i="46"/>
  <c r="I30" i="46"/>
  <c r="F31" i="46"/>
  <c r="F33" i="46"/>
  <c r="H33" i="46"/>
  <c r="I33" i="46"/>
  <c r="F34" i="46"/>
  <c r="D35" i="46"/>
  <c r="E35" i="46"/>
  <c r="G35" i="46"/>
  <c r="G49" i="46" s="1"/>
  <c r="H35" i="46"/>
  <c r="F37" i="46"/>
  <c r="F38" i="46"/>
  <c r="F35" i="46" s="1"/>
  <c r="F39" i="46"/>
  <c r="F41" i="46"/>
  <c r="F42" i="46"/>
  <c r="F43" i="46"/>
  <c r="F44" i="46"/>
  <c r="K44" i="46"/>
  <c r="F45" i="46"/>
  <c r="K45" i="46"/>
  <c r="K47" i="46" s="1"/>
  <c r="F47" i="46"/>
  <c r="F48" i="46"/>
  <c r="D49" i="46"/>
  <c r="E49" i="46"/>
  <c r="H19" i="45"/>
  <c r="L19" i="45" s="1"/>
  <c r="M19" i="45" s="1"/>
  <c r="M21" i="45" s="1"/>
  <c r="M23" i="45" s="1"/>
  <c r="I19" i="45"/>
  <c r="I29" i="45" s="1"/>
  <c r="K19" i="45"/>
  <c r="N19" i="45" s="1"/>
  <c r="H20" i="45"/>
  <c r="L20" i="45" s="1"/>
  <c r="M20" i="45" s="1"/>
  <c r="I20" i="45"/>
  <c r="K20" i="45"/>
  <c r="N20" i="45" s="1"/>
  <c r="F29" i="45"/>
  <c r="H29" i="45"/>
  <c r="I13" i="46" l="1"/>
  <c r="H13" i="46"/>
  <c r="H49" i="46" s="1"/>
  <c r="F49" i="46"/>
  <c r="N32" i="46"/>
  <c r="H29" i="46" s="1"/>
  <c r="I29" i="46" s="1"/>
  <c r="J29" i="46"/>
  <c r="O20" i="45"/>
  <c r="Q20" i="45"/>
  <c r="Q19" i="45"/>
  <c r="O19" i="45"/>
  <c r="O21" i="45" s="1"/>
  <c r="O23" i="45" s="1"/>
  <c r="P23" i="45" s="1"/>
  <c r="K29" i="45"/>
  <c r="D17" i="44" l="1"/>
  <c r="E17" i="44"/>
  <c r="E27" i="44" s="1"/>
  <c r="G17" i="44"/>
  <c r="G15" i="44" s="1"/>
  <c r="M17" i="44"/>
  <c r="M20" i="44" s="1"/>
  <c r="M21" i="44" s="1"/>
  <c r="H23" i="44" s="1"/>
  <c r="D18" i="44"/>
  <c r="D27" i="44" s="1"/>
  <c r="E18" i="44"/>
  <c r="G18" i="44"/>
  <c r="F18" i="44" s="1"/>
  <c r="M18" i="44"/>
  <c r="D19" i="44"/>
  <c r="E19" i="44"/>
  <c r="G19" i="44"/>
  <c r="F19" i="44" s="1"/>
  <c r="D20" i="44"/>
  <c r="E20" i="44"/>
  <c r="G20" i="44"/>
  <c r="F20" i="44" s="1"/>
  <c r="D21" i="44"/>
  <c r="E21" i="44"/>
  <c r="F21" i="44"/>
  <c r="G21" i="44"/>
  <c r="D22" i="44"/>
  <c r="E22" i="44"/>
  <c r="G22" i="44"/>
  <c r="F22" i="44" s="1"/>
  <c r="D23" i="44"/>
  <c r="E23" i="44"/>
  <c r="G23" i="44"/>
  <c r="F23" i="44" s="1"/>
  <c r="D25" i="44"/>
  <c r="E25" i="44"/>
  <c r="G25" i="44"/>
  <c r="F25" i="44" s="1"/>
  <c r="D15" i="44" l="1"/>
  <c r="H15" i="44"/>
  <c r="H27" i="44"/>
  <c r="G27" i="44"/>
  <c r="E15" i="44"/>
  <c r="F17" i="44"/>
  <c r="D14" i="43"/>
  <c r="E14" i="43"/>
  <c r="G14" i="43"/>
  <c r="H14" i="43"/>
  <c r="F16" i="43"/>
  <c r="F17" i="43"/>
  <c r="F18" i="43"/>
  <c r="F20" i="43"/>
  <c r="F21" i="43"/>
  <c r="F22" i="43"/>
  <c r="F23" i="43"/>
  <c r="F24" i="43"/>
  <c r="F25" i="43"/>
  <c r="F26" i="43"/>
  <c r="F27" i="43"/>
  <c r="F28" i="43"/>
  <c r="L28" i="43"/>
  <c r="F30" i="43"/>
  <c r="F32" i="43"/>
  <c r="M33" i="43"/>
  <c r="F34" i="43"/>
  <c r="M34" i="43"/>
  <c r="M35" i="43"/>
  <c r="F36" i="43"/>
  <c r="M36" i="43"/>
  <c r="F37" i="43"/>
  <c r="K37" i="43"/>
  <c r="M37" i="43"/>
  <c r="M38" i="43" s="1"/>
  <c r="M41" i="43" s="1"/>
  <c r="F39" i="43"/>
  <c r="D41" i="43"/>
  <c r="E41" i="43"/>
  <c r="G41" i="43"/>
  <c r="H41" i="43"/>
  <c r="F15" i="44" l="1"/>
  <c r="F27" i="44"/>
  <c r="F41" i="43"/>
  <c r="F14" i="43"/>
  <c r="D12" i="42"/>
  <c r="E12" i="42"/>
  <c r="G12" i="42"/>
  <c r="G57" i="42" s="1"/>
  <c r="F14" i="42"/>
  <c r="F12" i="42" s="1"/>
  <c r="F57" i="42" s="1"/>
  <c r="H14" i="42"/>
  <c r="I14" i="42"/>
  <c r="F16" i="42"/>
  <c r="H16" i="42"/>
  <c r="I16" i="42"/>
  <c r="F17" i="42"/>
  <c r="H17" i="42"/>
  <c r="I17" i="42"/>
  <c r="F18" i="42"/>
  <c r="H18" i="42"/>
  <c r="I18" i="42"/>
  <c r="F19" i="42"/>
  <c r="H19" i="42"/>
  <c r="I19" i="42"/>
  <c r="F20" i="42"/>
  <c r="H20" i="42"/>
  <c r="J20" i="42" s="1"/>
  <c r="N26" i="42" s="1"/>
  <c r="I20" i="42"/>
  <c r="F21" i="42"/>
  <c r="H21" i="42"/>
  <c r="I21" i="42"/>
  <c r="F22" i="42"/>
  <c r="I22" i="42"/>
  <c r="F24" i="42"/>
  <c r="I24" i="42"/>
  <c r="F25" i="42"/>
  <c r="H25" i="42"/>
  <c r="I25" i="42"/>
  <c r="F26" i="42"/>
  <c r="H26" i="42"/>
  <c r="J26" i="42" s="1"/>
  <c r="I26" i="42"/>
  <c r="F27" i="42"/>
  <c r="H27" i="42"/>
  <c r="I27" i="42"/>
  <c r="F29" i="42"/>
  <c r="I29" i="42"/>
  <c r="F30" i="42"/>
  <c r="F31" i="42"/>
  <c r="I31" i="42"/>
  <c r="F32" i="42"/>
  <c r="F33" i="42"/>
  <c r="H33" i="42"/>
  <c r="I33" i="42"/>
  <c r="F34" i="42"/>
  <c r="D35" i="42"/>
  <c r="D57" i="42" s="1"/>
  <c r="E35" i="42"/>
  <c r="E57" i="42" s="1"/>
  <c r="G35" i="42"/>
  <c r="F36" i="42"/>
  <c r="F35" i="42" s="1"/>
  <c r="F37" i="42"/>
  <c r="N37" i="42"/>
  <c r="F38" i="42"/>
  <c r="N38" i="42"/>
  <c r="N39" i="42" s="1"/>
  <c r="F40" i="42"/>
  <c r="F41" i="42"/>
  <c r="F42" i="42"/>
  <c r="F43" i="42"/>
  <c r="F44" i="42"/>
  <c r="F45" i="42"/>
  <c r="M45" i="42"/>
  <c r="H46" i="42" s="1"/>
  <c r="H35" i="42" s="1"/>
  <c r="F46" i="42"/>
  <c r="F48" i="42"/>
  <c r="F50" i="42"/>
  <c r="F52" i="42"/>
  <c r="F54" i="42"/>
  <c r="F55" i="42"/>
  <c r="F56" i="42"/>
  <c r="H13" i="41"/>
  <c r="I13" i="41" s="1"/>
  <c r="K13" i="41"/>
  <c r="O13" i="41" s="1"/>
  <c r="H15" i="41"/>
  <c r="I15" i="41" s="1"/>
  <c r="K15" i="41"/>
  <c r="O15" i="41" s="1"/>
  <c r="H16" i="41"/>
  <c r="I16" i="41" s="1"/>
  <c r="K16" i="41"/>
  <c r="O16" i="41" s="1"/>
  <c r="H18" i="41"/>
  <c r="I18" i="41" s="1"/>
  <c r="K18" i="41"/>
  <c r="O18" i="41" s="1"/>
  <c r="H19" i="41"/>
  <c r="I19" i="41" s="1"/>
  <c r="K19" i="41"/>
  <c r="O19" i="41" s="1"/>
  <c r="H20" i="41"/>
  <c r="I20" i="41" s="1"/>
  <c r="K20" i="41"/>
  <c r="O20" i="41" s="1"/>
  <c r="H22" i="41"/>
  <c r="I22" i="41" s="1"/>
  <c r="K22" i="41"/>
  <c r="O22" i="41" s="1"/>
  <c r="H23" i="41"/>
  <c r="I23" i="41" s="1"/>
  <c r="K23" i="41"/>
  <c r="O23" i="41" s="1"/>
  <c r="H25" i="41"/>
  <c r="I25" i="41" s="1"/>
  <c r="K25" i="41"/>
  <c r="O25" i="41" s="1"/>
  <c r="H27" i="41"/>
  <c r="I27" i="41" s="1"/>
  <c r="K27" i="41"/>
  <c r="O27" i="41" s="1"/>
  <c r="H29" i="41"/>
  <c r="I29" i="41" s="1"/>
  <c r="K29" i="41"/>
  <c r="O29" i="41" s="1"/>
  <c r="H30" i="41"/>
  <c r="I30" i="41" s="1"/>
  <c r="K30" i="41"/>
  <c r="O30" i="41" s="1"/>
  <c r="H31" i="41"/>
  <c r="I31" i="41" s="1"/>
  <c r="K31" i="41"/>
  <c r="O31" i="41" s="1"/>
  <c r="H32" i="41"/>
  <c r="I32" i="41" s="1"/>
  <c r="K32" i="41"/>
  <c r="O32" i="41" s="1"/>
  <c r="H33" i="41"/>
  <c r="I33" i="41" s="1"/>
  <c r="K33" i="41"/>
  <c r="O33" i="41" s="1"/>
  <c r="H35" i="41"/>
  <c r="I35" i="41" s="1"/>
  <c r="K35" i="41"/>
  <c r="O35" i="41" s="1"/>
  <c r="H37" i="41"/>
  <c r="I37" i="41" s="1"/>
  <c r="K37" i="41"/>
  <c r="O37" i="41" s="1"/>
  <c r="H38" i="41"/>
  <c r="I38" i="41" s="1"/>
  <c r="K38" i="41"/>
  <c r="O38" i="41" s="1"/>
  <c r="H41" i="41"/>
  <c r="I41" i="41" s="1"/>
  <c r="K41" i="41"/>
  <c r="O41" i="41" s="1"/>
  <c r="H42" i="41"/>
  <c r="I42" i="41" s="1"/>
  <c r="K42" i="41"/>
  <c r="O42" i="41" s="1"/>
  <c r="H43" i="41"/>
  <c r="I43" i="41" s="1"/>
  <c r="K43" i="41"/>
  <c r="O43" i="41" s="1"/>
  <c r="H45" i="41"/>
  <c r="I45" i="41" s="1"/>
  <c r="K45" i="41"/>
  <c r="O45" i="41" s="1"/>
  <c r="F47" i="41"/>
  <c r="N40" i="42" l="1"/>
  <c r="H24" i="42"/>
  <c r="J24" i="42" s="1"/>
  <c r="N28" i="42" s="1"/>
  <c r="H22" i="42"/>
  <c r="J22" i="42" s="1"/>
  <c r="J14" i="42"/>
  <c r="P43" i="41"/>
  <c r="R43" i="41"/>
  <c r="P37" i="41"/>
  <c r="P33" i="41"/>
  <c r="P31" i="41"/>
  <c r="P25" i="41"/>
  <c r="R25" i="41"/>
  <c r="I47" i="41"/>
  <c r="P45" i="41"/>
  <c r="P42" i="41"/>
  <c r="R42" i="41"/>
  <c r="P38" i="41"/>
  <c r="P35" i="41"/>
  <c r="R35" i="41"/>
  <c r="P32" i="41"/>
  <c r="P30" i="41"/>
  <c r="R30" i="41"/>
  <c r="P27" i="41"/>
  <c r="P23" i="41"/>
  <c r="R23" i="41"/>
  <c r="P20" i="41"/>
  <c r="P18" i="41"/>
  <c r="R18" i="41"/>
  <c r="P15" i="41"/>
  <c r="P41" i="41"/>
  <c r="R41" i="41"/>
  <c r="P29" i="41"/>
  <c r="P22" i="41"/>
  <c r="P19" i="41"/>
  <c r="R19" i="41"/>
  <c r="P16" i="41"/>
  <c r="R16" i="41"/>
  <c r="P13" i="41"/>
  <c r="R13" i="41"/>
  <c r="K47" i="41"/>
  <c r="L45" i="41"/>
  <c r="M45" i="41" s="1"/>
  <c r="L43" i="41"/>
  <c r="M43" i="41" s="1"/>
  <c r="L42" i="41"/>
  <c r="M42" i="41" s="1"/>
  <c r="L41" i="41"/>
  <c r="M41" i="41" s="1"/>
  <c r="L38" i="41"/>
  <c r="M38" i="41" s="1"/>
  <c r="L37" i="41"/>
  <c r="M37" i="41" s="1"/>
  <c r="L35" i="41"/>
  <c r="M35" i="41" s="1"/>
  <c r="L33" i="41"/>
  <c r="M33" i="41" s="1"/>
  <c r="L32" i="41"/>
  <c r="M32" i="41" s="1"/>
  <c r="L31" i="41"/>
  <c r="M31" i="41" s="1"/>
  <c r="L30" i="41"/>
  <c r="M30" i="41" s="1"/>
  <c r="L29" i="41"/>
  <c r="M29" i="41" s="1"/>
  <c r="L27" i="41"/>
  <c r="M27" i="41" s="1"/>
  <c r="L25" i="41"/>
  <c r="M25" i="41" s="1"/>
  <c r="L23" i="41"/>
  <c r="M23" i="41" s="1"/>
  <c r="L22" i="41"/>
  <c r="M22" i="41" s="1"/>
  <c r="L20" i="41"/>
  <c r="M20" i="41" s="1"/>
  <c r="L19" i="41"/>
  <c r="M19" i="41" s="1"/>
  <c r="L18" i="41"/>
  <c r="M18" i="41" s="1"/>
  <c r="L16" i="41"/>
  <c r="M16" i="41" s="1"/>
  <c r="L15" i="41"/>
  <c r="M15" i="41" s="1"/>
  <c r="L13" i="41"/>
  <c r="M13" i="41" s="1"/>
  <c r="H47" i="41"/>
  <c r="N25" i="42" l="1"/>
  <c r="J30" i="42"/>
  <c r="N27" i="42"/>
  <c r="N29" i="42"/>
  <c r="R29" i="41"/>
  <c r="R15" i="41"/>
  <c r="R27" i="41"/>
  <c r="R32" i="41"/>
  <c r="R38" i="41"/>
  <c r="R45" i="41"/>
  <c r="M47" i="41"/>
  <c r="M49" i="41" s="1"/>
  <c r="P47" i="41"/>
  <c r="P49" i="41" s="1"/>
  <c r="R31" i="41"/>
  <c r="R37" i="41"/>
  <c r="R22" i="41"/>
  <c r="R33" i="41"/>
  <c r="R20" i="41"/>
  <c r="N31" i="42" l="1"/>
  <c r="H30" i="42" s="1"/>
  <c r="D14" i="40"/>
  <c r="E14" i="40"/>
  <c r="E28" i="40" s="1"/>
  <c r="G14" i="40"/>
  <c r="H14" i="40"/>
  <c r="F15" i="40"/>
  <c r="F14" i="40" s="1"/>
  <c r="F28" i="40" s="1"/>
  <c r="F16" i="40"/>
  <c r="F17" i="40"/>
  <c r="F18" i="40"/>
  <c r="F19" i="40"/>
  <c r="D28" i="40"/>
  <c r="G28" i="40"/>
  <c r="H28" i="40"/>
  <c r="E13" i="39"/>
  <c r="G13" i="39"/>
  <c r="G27" i="39" s="1"/>
  <c r="H13" i="39"/>
  <c r="D14" i="39"/>
  <c r="F14" i="39"/>
  <c r="F13" i="39" s="1"/>
  <c r="F27" i="39" s="1"/>
  <c r="D15" i="39"/>
  <c r="D13" i="39" s="1"/>
  <c r="D27" i="39" s="1"/>
  <c r="F15" i="39"/>
  <c r="F16" i="39"/>
  <c r="F17" i="39"/>
  <c r="E27" i="39"/>
  <c r="H27" i="39"/>
  <c r="D12" i="38"/>
  <c r="E12" i="38"/>
  <c r="G12" i="38"/>
  <c r="F14" i="38"/>
  <c r="H14" i="38"/>
  <c r="I14" i="38"/>
  <c r="J14" i="38"/>
  <c r="F16" i="38"/>
  <c r="F12" i="38" s="1"/>
  <c r="F59" i="38" s="1"/>
  <c r="H16" i="38"/>
  <c r="I16" i="38"/>
  <c r="F17" i="38"/>
  <c r="H17" i="38"/>
  <c r="I17" i="38"/>
  <c r="F18" i="38"/>
  <c r="H18" i="38"/>
  <c r="I18" i="38"/>
  <c r="F19" i="38"/>
  <c r="H19" i="38"/>
  <c r="I19" i="38"/>
  <c r="F20" i="38"/>
  <c r="F21" i="38"/>
  <c r="H21" i="38"/>
  <c r="I21" i="38"/>
  <c r="J21" i="38"/>
  <c r="N27" i="38" s="1"/>
  <c r="F22" i="38"/>
  <c r="H22" i="38"/>
  <c r="I22" i="38"/>
  <c r="F23" i="38"/>
  <c r="H23" i="38"/>
  <c r="I23" i="38"/>
  <c r="J23" i="38"/>
  <c r="N28" i="38" s="1"/>
  <c r="K24" i="38"/>
  <c r="F25" i="38"/>
  <c r="H25" i="38"/>
  <c r="I25" i="38"/>
  <c r="J25" i="38"/>
  <c r="N29" i="38" s="1"/>
  <c r="F26" i="38"/>
  <c r="H26" i="38"/>
  <c r="I26" i="38"/>
  <c r="N26" i="38"/>
  <c r="N31" i="38" s="1"/>
  <c r="F27" i="38"/>
  <c r="H27" i="38"/>
  <c r="I27" i="38"/>
  <c r="J27" i="38"/>
  <c r="F28" i="38"/>
  <c r="H28" i="38"/>
  <c r="I28" i="38"/>
  <c r="F30" i="38"/>
  <c r="N30" i="38"/>
  <c r="F31" i="38"/>
  <c r="J31" i="38"/>
  <c r="F32" i="38"/>
  <c r="F33" i="38"/>
  <c r="F34" i="38"/>
  <c r="H34" i="38"/>
  <c r="I34" i="38"/>
  <c r="F35" i="38"/>
  <c r="D36" i="38"/>
  <c r="D59" i="38" s="1"/>
  <c r="E36" i="38"/>
  <c r="G36" i="38"/>
  <c r="G59" i="38" s="1"/>
  <c r="H36" i="38"/>
  <c r="F37" i="38"/>
  <c r="F38" i="38"/>
  <c r="F36" i="38" s="1"/>
  <c r="F40" i="38"/>
  <c r="F41" i="38"/>
  <c r="F43" i="38"/>
  <c r="F44" i="38"/>
  <c r="F45" i="38"/>
  <c r="L45" i="38"/>
  <c r="F46" i="38"/>
  <c r="L46" i="38"/>
  <c r="M46" i="38"/>
  <c r="N46" i="38"/>
  <c r="N48" i="38" s="1"/>
  <c r="F47" i="38"/>
  <c r="F48" i="38"/>
  <c r="L48" i="38"/>
  <c r="L47" i="38" s="1"/>
  <c r="F49" i="38"/>
  <c r="F51" i="38"/>
  <c r="F53" i="38"/>
  <c r="F55" i="38"/>
  <c r="F56" i="38"/>
  <c r="C57" i="38"/>
  <c r="D57" i="38"/>
  <c r="E57" i="38"/>
  <c r="F57" i="38"/>
  <c r="G57" i="38"/>
  <c r="H57" i="38"/>
  <c r="F58" i="38"/>
  <c r="E59" i="38"/>
  <c r="H14" i="37"/>
  <c r="I14" i="37" s="1"/>
  <c r="L14" i="37"/>
  <c r="P14" i="37" s="1"/>
  <c r="Q14" i="37" s="1"/>
  <c r="M14" i="37"/>
  <c r="N14" i="37" s="1"/>
  <c r="H17" i="37"/>
  <c r="I17" i="37" s="1"/>
  <c r="L17" i="37"/>
  <c r="P17" i="37" s="1"/>
  <c r="Q17" i="37" s="1"/>
  <c r="M17" i="37"/>
  <c r="N17" i="37" s="1"/>
  <c r="H19" i="37"/>
  <c r="I19" i="37" s="1"/>
  <c r="L19" i="37"/>
  <c r="P19" i="37" s="1"/>
  <c r="Q19" i="37" s="1"/>
  <c r="M19" i="37"/>
  <c r="N19" i="37" s="1"/>
  <c r="H21" i="37"/>
  <c r="I21" i="37" s="1"/>
  <c r="L21" i="37"/>
  <c r="P21" i="37" s="1"/>
  <c r="Q21" i="37" s="1"/>
  <c r="M21" i="37"/>
  <c r="N21" i="37" s="1"/>
  <c r="H23" i="37"/>
  <c r="I23" i="37" s="1"/>
  <c r="L23" i="37"/>
  <c r="P23" i="37" s="1"/>
  <c r="Q23" i="37" s="1"/>
  <c r="M23" i="37"/>
  <c r="N23" i="37" s="1"/>
  <c r="H24" i="37"/>
  <c r="I24" i="37" s="1"/>
  <c r="L24" i="37"/>
  <c r="P24" i="37" s="1"/>
  <c r="Q24" i="37" s="1"/>
  <c r="M24" i="37"/>
  <c r="N24" i="37" s="1"/>
  <c r="H25" i="37"/>
  <c r="I25" i="37" s="1"/>
  <c r="L25" i="37"/>
  <c r="P25" i="37" s="1"/>
  <c r="Q25" i="37" s="1"/>
  <c r="M25" i="37"/>
  <c r="N25" i="37" s="1"/>
  <c r="H28" i="37"/>
  <c r="I28" i="37" s="1"/>
  <c r="L28" i="37"/>
  <c r="P28" i="37" s="1"/>
  <c r="Q28" i="37" s="1"/>
  <c r="M28" i="37"/>
  <c r="N28" i="37" s="1"/>
  <c r="H29" i="37"/>
  <c r="I29" i="37" s="1"/>
  <c r="L29" i="37"/>
  <c r="P29" i="37" s="1"/>
  <c r="Q29" i="37" s="1"/>
  <c r="M29" i="37"/>
  <c r="N29" i="37" s="1"/>
  <c r="H30" i="37"/>
  <c r="I30" i="37" s="1"/>
  <c r="L30" i="37"/>
  <c r="P30" i="37" s="1"/>
  <c r="Q30" i="37" s="1"/>
  <c r="H32" i="37"/>
  <c r="I32" i="37" s="1"/>
  <c r="L32" i="37"/>
  <c r="P32" i="37" s="1"/>
  <c r="Q32" i="37" s="1"/>
  <c r="H33" i="37"/>
  <c r="I33" i="37" s="1"/>
  <c r="L33" i="37"/>
  <c r="P33" i="37" s="1"/>
  <c r="Q33" i="37" s="1"/>
  <c r="H34" i="37"/>
  <c r="M34" i="37" s="1"/>
  <c r="N34" i="37" s="1"/>
  <c r="L34" i="37"/>
  <c r="P34" i="37" s="1"/>
  <c r="Q34" i="37" s="1"/>
  <c r="H35" i="37"/>
  <c r="I35" i="37" s="1"/>
  <c r="L35" i="37"/>
  <c r="P35" i="37" s="1"/>
  <c r="Q35" i="37" s="1"/>
  <c r="H38" i="37"/>
  <c r="I38" i="37" s="1"/>
  <c r="L38" i="37"/>
  <c r="P38" i="37" s="1"/>
  <c r="Q38" i="37" s="1"/>
  <c r="H39" i="37"/>
  <c r="I39" i="37" s="1"/>
  <c r="L39" i="37"/>
  <c r="P39" i="37" s="1"/>
  <c r="Q39" i="37" s="1"/>
  <c r="H40" i="37"/>
  <c r="M40" i="37" s="1"/>
  <c r="N40" i="37" s="1"/>
  <c r="L40" i="37"/>
  <c r="P40" i="37" s="1"/>
  <c r="Q40" i="37" s="1"/>
  <c r="H42" i="37"/>
  <c r="I42" i="37" s="1"/>
  <c r="L42" i="37"/>
  <c r="P42" i="37" s="1"/>
  <c r="Q42" i="37" s="1"/>
  <c r="H43" i="37"/>
  <c r="I43" i="37" s="1"/>
  <c r="L43" i="37"/>
  <c r="P43" i="37" s="1"/>
  <c r="Q43" i="37" s="1"/>
  <c r="H44" i="37"/>
  <c r="I44" i="37" s="1"/>
  <c r="L44" i="37"/>
  <c r="P44" i="37" s="1"/>
  <c r="Q44" i="37" s="1"/>
  <c r="H45" i="37"/>
  <c r="I45" i="37" s="1"/>
  <c r="L45" i="37"/>
  <c r="P45" i="37" s="1"/>
  <c r="Q45" i="37" s="1"/>
  <c r="H46" i="37"/>
  <c r="I46" i="37" s="1"/>
  <c r="L46" i="37"/>
  <c r="P46" i="37" s="1"/>
  <c r="Q46" i="37" s="1"/>
  <c r="F48" i="37"/>
  <c r="L48" i="37"/>
  <c r="I30" i="42" l="1"/>
  <c r="I12" i="42" s="1"/>
  <c r="H12" i="42"/>
  <c r="H57" i="42" s="1"/>
  <c r="H31" i="38"/>
  <c r="H12" i="38" s="1"/>
  <c r="H59" i="38" s="1"/>
  <c r="I31" i="38"/>
  <c r="I12" i="38"/>
  <c r="Q48" i="37"/>
  <c r="Q50" i="37" s="1"/>
  <c r="M45" i="37"/>
  <c r="N45" i="37" s="1"/>
  <c r="M43" i="37"/>
  <c r="N43" i="37" s="1"/>
  <c r="M39" i="37"/>
  <c r="N39" i="37" s="1"/>
  <c r="M42" i="37"/>
  <c r="N42" i="37" s="1"/>
  <c r="M38" i="37"/>
  <c r="N38" i="37" s="1"/>
  <c r="M30" i="37"/>
  <c r="N30" i="37" s="1"/>
  <c r="N48" i="37" s="1"/>
  <c r="N50" i="37" s="1"/>
  <c r="J46" i="37"/>
  <c r="J45" i="37"/>
  <c r="J44" i="37"/>
  <c r="J43" i="37"/>
  <c r="J42" i="37"/>
  <c r="J40" i="37"/>
  <c r="J39" i="37"/>
  <c r="J38" i="37"/>
  <c r="J35" i="37"/>
  <c r="J34" i="37"/>
  <c r="J33" i="37"/>
  <c r="J32" i="37"/>
  <c r="J30" i="37"/>
  <c r="J29" i="37"/>
  <c r="J28" i="37"/>
  <c r="J25" i="37"/>
  <c r="J24" i="37"/>
  <c r="J23" i="37"/>
  <c r="J21" i="37"/>
  <c r="J19" i="37"/>
  <c r="J17" i="37"/>
  <c r="J14" i="37"/>
  <c r="J48" i="37" s="1"/>
  <c r="M46" i="37"/>
  <c r="N46" i="37" s="1"/>
  <c r="M44" i="37"/>
  <c r="N44" i="37" s="1"/>
  <c r="M35" i="37"/>
  <c r="N35" i="37" s="1"/>
  <c r="M33" i="37"/>
  <c r="N33" i="37" s="1"/>
  <c r="M32" i="37"/>
  <c r="N32" i="37" s="1"/>
  <c r="H48" i="37"/>
  <c r="I40" i="37"/>
  <c r="I34" i="37"/>
  <c r="I48" i="37" s="1"/>
  <c r="D13" i="36" l="1"/>
  <c r="E13" i="36"/>
  <c r="G13" i="36"/>
  <c r="F15" i="36"/>
  <c r="F16" i="36"/>
  <c r="F17" i="36"/>
  <c r="F19" i="36"/>
  <c r="F20" i="36"/>
  <c r="F21" i="36"/>
  <c r="F22" i="36"/>
  <c r="M23" i="36"/>
  <c r="F24" i="36"/>
  <c r="M24" i="36"/>
  <c r="F26" i="36"/>
  <c r="D27" i="36"/>
  <c r="E27" i="36"/>
  <c r="G27" i="36"/>
  <c r="M25" i="36" l="1"/>
  <c r="M26" i="36" s="1"/>
  <c r="H22" i="36" s="1"/>
  <c r="F13" i="36"/>
  <c r="H13" i="36"/>
  <c r="H27" i="36"/>
  <c r="F27" i="36"/>
  <c r="D13" i="35"/>
  <c r="E13" i="35"/>
  <c r="G13" i="35"/>
  <c r="F15" i="35"/>
  <c r="F13" i="35" s="1"/>
  <c r="H15" i="35"/>
  <c r="I15" i="35"/>
  <c r="I23" i="35" s="1"/>
  <c r="J15" i="35"/>
  <c r="F17" i="35"/>
  <c r="H17" i="35"/>
  <c r="I17" i="35"/>
  <c r="F18" i="35"/>
  <c r="H18" i="35"/>
  <c r="I18" i="35"/>
  <c r="F19" i="35"/>
  <c r="H19" i="35"/>
  <c r="I19" i="35"/>
  <c r="F20" i="35"/>
  <c r="H20" i="35"/>
  <c r="I20" i="35"/>
  <c r="F21" i="35"/>
  <c r="H21" i="35"/>
  <c r="I21" i="35"/>
  <c r="J21" i="35"/>
  <c r="F22" i="35"/>
  <c r="H22" i="35"/>
  <c r="I22" i="35"/>
  <c r="F23" i="35"/>
  <c r="H23" i="35"/>
  <c r="J23" i="35" s="1"/>
  <c r="N31" i="35" s="1"/>
  <c r="F25" i="35"/>
  <c r="H25" i="35"/>
  <c r="J25" i="35" s="1"/>
  <c r="N29" i="35" s="1"/>
  <c r="N33" i="35" s="1"/>
  <c r="H31" i="35" s="1"/>
  <c r="I31" i="35" s="1"/>
  <c r="I25" i="35"/>
  <c r="K25" i="35"/>
  <c r="F26" i="35"/>
  <c r="H26" i="35"/>
  <c r="I26" i="35"/>
  <c r="F27" i="35"/>
  <c r="H27" i="35"/>
  <c r="J27" i="35" s="1"/>
  <c r="N30" i="35" s="1"/>
  <c r="I27" i="35"/>
  <c r="N27" i="35"/>
  <c r="F28" i="35"/>
  <c r="H28" i="35"/>
  <c r="I28" i="35"/>
  <c r="N28" i="35"/>
  <c r="F30" i="35"/>
  <c r="F31" i="35"/>
  <c r="F32" i="35"/>
  <c r="I32" i="35"/>
  <c r="F33" i="35"/>
  <c r="F34" i="35"/>
  <c r="H34" i="35"/>
  <c r="I34" i="35"/>
  <c r="F35" i="35"/>
  <c r="D36" i="35"/>
  <c r="D55" i="35" s="1"/>
  <c r="E36" i="35"/>
  <c r="G36" i="35"/>
  <c r="G55" i="35" s="1"/>
  <c r="H36" i="35"/>
  <c r="F37" i="35"/>
  <c r="F36" i="35" s="1"/>
  <c r="F38" i="35"/>
  <c r="F39" i="35"/>
  <c r="L39" i="35"/>
  <c r="L41" i="35" s="1"/>
  <c r="L40" i="35"/>
  <c r="F41" i="35"/>
  <c r="F42" i="35"/>
  <c r="L42" i="35"/>
  <c r="F43" i="35"/>
  <c r="F44" i="35"/>
  <c r="F45" i="35"/>
  <c r="F47" i="35"/>
  <c r="F49" i="35"/>
  <c r="F50" i="35"/>
  <c r="F51" i="35"/>
  <c r="F52" i="35"/>
  <c r="F54" i="35"/>
  <c r="E55" i="35"/>
  <c r="H14" i="34"/>
  <c r="L14" i="34" s="1"/>
  <c r="M14" i="34" s="1"/>
  <c r="I14" i="34"/>
  <c r="K14" i="34"/>
  <c r="O14" i="34" s="1"/>
  <c r="H16" i="34"/>
  <c r="L16" i="34" s="1"/>
  <c r="M16" i="34" s="1"/>
  <c r="I16" i="34"/>
  <c r="K16" i="34"/>
  <c r="O16" i="34" s="1"/>
  <c r="H17" i="34"/>
  <c r="L17" i="34" s="1"/>
  <c r="M17" i="34" s="1"/>
  <c r="I17" i="34"/>
  <c r="K17" i="34"/>
  <c r="O17" i="34" s="1"/>
  <c r="H18" i="34"/>
  <c r="L18" i="34" s="1"/>
  <c r="M18" i="34" s="1"/>
  <c r="I18" i="34"/>
  <c r="K18" i="34"/>
  <c r="O18" i="34" s="1"/>
  <c r="H20" i="34"/>
  <c r="I20" i="34" s="1"/>
  <c r="K20" i="34"/>
  <c r="O20" i="34" s="1"/>
  <c r="H21" i="34"/>
  <c r="I21" i="34" s="1"/>
  <c r="K21" i="34"/>
  <c r="O21" i="34" s="1"/>
  <c r="H22" i="34"/>
  <c r="I22" i="34" s="1"/>
  <c r="K22" i="34"/>
  <c r="O22" i="34" s="1"/>
  <c r="H23" i="34"/>
  <c r="I23" i="34" s="1"/>
  <c r="K23" i="34"/>
  <c r="O23" i="34" s="1"/>
  <c r="H24" i="34"/>
  <c r="I24" i="34" s="1"/>
  <c r="K24" i="34"/>
  <c r="O24" i="34" s="1"/>
  <c r="F25" i="34"/>
  <c r="I13" i="35" l="1"/>
  <c r="H13" i="35"/>
  <c r="H55" i="35" s="1"/>
  <c r="F55" i="35"/>
  <c r="J32" i="35"/>
  <c r="P24" i="34"/>
  <c r="P22" i="34"/>
  <c r="P20" i="34"/>
  <c r="I25" i="34"/>
  <c r="P17" i="34"/>
  <c r="R17" i="34"/>
  <c r="P23" i="34"/>
  <c r="P21" i="34"/>
  <c r="P18" i="34"/>
  <c r="R18" i="34"/>
  <c r="P14" i="34"/>
  <c r="R14" i="34"/>
  <c r="P16" i="34"/>
  <c r="R16" i="34"/>
  <c r="K25" i="34"/>
  <c r="L24" i="34"/>
  <c r="M24" i="34" s="1"/>
  <c r="L23" i="34"/>
  <c r="M23" i="34" s="1"/>
  <c r="L22" i="34"/>
  <c r="M22" i="34" s="1"/>
  <c r="L21" i="34"/>
  <c r="M21" i="34" s="1"/>
  <c r="L20" i="34"/>
  <c r="M20" i="34" s="1"/>
  <c r="M25" i="34" s="1"/>
  <c r="M27" i="34" s="1"/>
  <c r="H25" i="34"/>
  <c r="R23" i="34" l="1"/>
  <c r="R20" i="34"/>
  <c r="R21" i="34"/>
  <c r="R24" i="34"/>
  <c r="P25" i="34"/>
  <c r="P27" i="34" s="1"/>
  <c r="R22" i="34"/>
  <c r="D13" i="33" l="1"/>
  <c r="E13" i="33"/>
  <c r="G13" i="33"/>
  <c r="F15" i="33"/>
  <c r="F13" i="33" s="1"/>
  <c r="H15" i="33"/>
  <c r="I15" i="33"/>
  <c r="J15" i="33"/>
  <c r="F17" i="33"/>
  <c r="H17" i="33"/>
  <c r="I17" i="33"/>
  <c r="F18" i="33"/>
  <c r="H18" i="33"/>
  <c r="I18" i="33"/>
  <c r="F19" i="33"/>
  <c r="H19" i="33"/>
  <c r="I19" i="33"/>
  <c r="F20" i="33"/>
  <c r="H20" i="33"/>
  <c r="I20" i="33"/>
  <c r="F21" i="33"/>
  <c r="F22" i="33"/>
  <c r="H22" i="33"/>
  <c r="I22" i="33"/>
  <c r="J22" i="33"/>
  <c r="O31" i="33" s="1"/>
  <c r="F23" i="33"/>
  <c r="H23" i="33"/>
  <c r="I23" i="33"/>
  <c r="F24" i="33"/>
  <c r="H24" i="33"/>
  <c r="I24" i="33"/>
  <c r="J24" i="33"/>
  <c r="F26" i="33"/>
  <c r="H26" i="33"/>
  <c r="I26" i="33"/>
  <c r="J26" i="33"/>
  <c r="F27" i="33"/>
  <c r="H27" i="33"/>
  <c r="I27" i="33"/>
  <c r="F28" i="33"/>
  <c r="H28" i="33"/>
  <c r="J28" i="33" s="1"/>
  <c r="O33" i="33" s="1"/>
  <c r="I28" i="33"/>
  <c r="L28" i="33"/>
  <c r="F29" i="33"/>
  <c r="H29" i="33"/>
  <c r="I29" i="33"/>
  <c r="O30" i="33"/>
  <c r="O35" i="33" s="1"/>
  <c r="H32" i="33" s="1"/>
  <c r="I32" i="33" s="1"/>
  <c r="F31" i="33"/>
  <c r="I31" i="33"/>
  <c r="F32" i="33"/>
  <c r="O32" i="33"/>
  <c r="F33" i="33"/>
  <c r="I33" i="33"/>
  <c r="F34" i="33"/>
  <c r="O34" i="33"/>
  <c r="F35" i="33"/>
  <c r="H35" i="33"/>
  <c r="I35" i="33"/>
  <c r="F36" i="33"/>
  <c r="D37" i="33"/>
  <c r="E37" i="33"/>
  <c r="E96" i="33" s="1"/>
  <c r="G37" i="33"/>
  <c r="H37" i="33"/>
  <c r="J37" i="33"/>
  <c r="F38" i="33"/>
  <c r="F37" i="33" s="1"/>
  <c r="F39" i="33"/>
  <c r="M39" i="33"/>
  <c r="F40" i="33"/>
  <c r="I40" i="33"/>
  <c r="M40" i="33"/>
  <c r="F42" i="33"/>
  <c r="M42" i="33"/>
  <c r="M41" i="33" s="1"/>
  <c r="F43" i="33"/>
  <c r="F44" i="33"/>
  <c r="F45" i="33"/>
  <c r="F46" i="33"/>
  <c r="F47" i="33"/>
  <c r="F48" i="33"/>
  <c r="F49" i="33"/>
  <c r="F50" i="33"/>
  <c r="F51" i="33"/>
  <c r="F52" i="33"/>
  <c r="F53" i="33"/>
  <c r="F54" i="33"/>
  <c r="F55" i="33"/>
  <c r="F56" i="33"/>
  <c r="F58" i="33"/>
  <c r="F60" i="33"/>
  <c r="F62" i="33"/>
  <c r="F81" i="33"/>
  <c r="F83" i="33"/>
  <c r="F85" i="33"/>
  <c r="F87" i="33"/>
  <c r="F89" i="33"/>
  <c r="F90" i="33"/>
  <c r="F91" i="33"/>
  <c r="D92" i="33"/>
  <c r="E92" i="33"/>
  <c r="G93" i="33"/>
  <c r="F93" i="33" s="1"/>
  <c r="G94" i="33"/>
  <c r="F94" i="33" s="1"/>
  <c r="F95" i="33"/>
  <c r="D96" i="33"/>
  <c r="H13" i="32"/>
  <c r="I13" i="32" s="1"/>
  <c r="K13" i="32"/>
  <c r="O13" i="32" s="1"/>
  <c r="H14" i="32"/>
  <c r="I14" i="32" s="1"/>
  <c r="K14" i="32"/>
  <c r="O14" i="32" s="1"/>
  <c r="I16" i="32"/>
  <c r="K16" i="32"/>
  <c r="L16" i="32"/>
  <c r="M16" i="32" s="1"/>
  <c r="O16" i="32"/>
  <c r="P16" i="32" s="1"/>
  <c r="R16" i="32"/>
  <c r="H17" i="32"/>
  <c r="I17" i="32"/>
  <c r="K17" i="32"/>
  <c r="O17" i="32" s="1"/>
  <c r="L17" i="32"/>
  <c r="M17" i="32" s="1"/>
  <c r="I19" i="32"/>
  <c r="K19" i="32"/>
  <c r="O19" i="32" s="1"/>
  <c r="L19" i="32"/>
  <c r="M19" i="32"/>
  <c r="H20" i="32"/>
  <c r="L20" i="32" s="1"/>
  <c r="M20" i="32" s="1"/>
  <c r="K20" i="32"/>
  <c r="O20" i="32" s="1"/>
  <c r="H21" i="32"/>
  <c r="L21" i="32" s="1"/>
  <c r="M21" i="32" s="1"/>
  <c r="K21" i="32"/>
  <c r="O21" i="32" s="1"/>
  <c r="H22" i="32"/>
  <c r="L22" i="32" s="1"/>
  <c r="M22" i="32" s="1"/>
  <c r="K22" i="32"/>
  <c r="O22" i="32" s="1"/>
  <c r="H23" i="32"/>
  <c r="L23" i="32" s="1"/>
  <c r="M23" i="32" s="1"/>
  <c r="K23" i="32"/>
  <c r="O23" i="32" s="1"/>
  <c r="H24" i="32"/>
  <c r="L24" i="32" s="1"/>
  <c r="M24" i="32" s="1"/>
  <c r="K24" i="32"/>
  <c r="O24" i="32" s="1"/>
  <c r="H25" i="32"/>
  <c r="L25" i="32" s="1"/>
  <c r="M25" i="32" s="1"/>
  <c r="K25" i="32"/>
  <c r="O25" i="32" s="1"/>
  <c r="H26" i="32"/>
  <c r="L26" i="32" s="1"/>
  <c r="M26" i="32" s="1"/>
  <c r="K26" i="32"/>
  <c r="O26" i="32" s="1"/>
  <c r="H27" i="32"/>
  <c r="L27" i="32" s="1"/>
  <c r="M27" i="32" s="1"/>
  <c r="K27" i="32"/>
  <c r="O27" i="32" s="1"/>
  <c r="H28" i="32"/>
  <c r="L28" i="32" s="1"/>
  <c r="M28" i="32" s="1"/>
  <c r="K28" i="32"/>
  <c r="O28" i="32" s="1"/>
  <c r="H29" i="32"/>
  <c r="L29" i="32" s="1"/>
  <c r="M29" i="32" s="1"/>
  <c r="K29" i="32"/>
  <c r="O29" i="32" s="1"/>
  <c r="H31" i="32"/>
  <c r="L31" i="32" s="1"/>
  <c r="M31" i="32" s="1"/>
  <c r="K31" i="32"/>
  <c r="O31" i="32" s="1"/>
  <c r="I32" i="32"/>
  <c r="K32" i="32"/>
  <c r="L32" i="32"/>
  <c r="M32" i="32" s="1"/>
  <c r="O32" i="32"/>
  <c r="P32" i="32" s="1"/>
  <c r="R32" i="32"/>
  <c r="H33" i="32"/>
  <c r="I33" i="32"/>
  <c r="K33" i="32"/>
  <c r="L33" i="32"/>
  <c r="M33" i="32" s="1"/>
  <c r="O33" i="32"/>
  <c r="P33" i="32" s="1"/>
  <c r="R33" i="32"/>
  <c r="H34" i="32"/>
  <c r="I34" i="32"/>
  <c r="K34" i="32"/>
  <c r="L34" i="32"/>
  <c r="M34" i="32" s="1"/>
  <c r="O34" i="32"/>
  <c r="P34" i="32" s="1"/>
  <c r="R34" i="32"/>
  <c r="H35" i="32"/>
  <c r="I35" i="32"/>
  <c r="K35" i="32"/>
  <c r="L35" i="32"/>
  <c r="M35" i="32" s="1"/>
  <c r="O35" i="32"/>
  <c r="P35" i="32" s="1"/>
  <c r="R35" i="32"/>
  <c r="H37" i="32"/>
  <c r="I37" i="32"/>
  <c r="K37" i="32"/>
  <c r="L37" i="32"/>
  <c r="M37" i="32" s="1"/>
  <c r="O37" i="32"/>
  <c r="P37" i="32" s="1"/>
  <c r="R37" i="32"/>
  <c r="I38" i="32"/>
  <c r="K38" i="32"/>
  <c r="O38" i="32" s="1"/>
  <c r="L38" i="32"/>
  <c r="M38" i="32"/>
  <c r="H39" i="32"/>
  <c r="I39" i="32" s="1"/>
  <c r="K39" i="32"/>
  <c r="O39" i="32" s="1"/>
  <c r="H40" i="32"/>
  <c r="I40" i="32" s="1"/>
  <c r="K40" i="32"/>
  <c r="O40" i="32" s="1"/>
  <c r="H41" i="32"/>
  <c r="I41" i="32" s="1"/>
  <c r="K41" i="32"/>
  <c r="O41" i="32" s="1"/>
  <c r="H43" i="32"/>
  <c r="I43" i="32" s="1"/>
  <c r="K43" i="32"/>
  <c r="O43" i="32" s="1"/>
  <c r="I44" i="32"/>
  <c r="K44" i="32"/>
  <c r="L44" i="32"/>
  <c r="M44" i="32" s="1"/>
  <c r="O44" i="32"/>
  <c r="P44" i="32" s="1"/>
  <c r="R44" i="32"/>
  <c r="H45" i="32"/>
  <c r="I45" i="32"/>
  <c r="K45" i="32"/>
  <c r="L45" i="32"/>
  <c r="M45" i="32" s="1"/>
  <c r="O45" i="32"/>
  <c r="P45" i="32" s="1"/>
  <c r="R45" i="32"/>
  <c r="H46" i="32"/>
  <c r="I46" i="32"/>
  <c r="K46" i="32"/>
  <c r="L46" i="32"/>
  <c r="M46" i="32" s="1"/>
  <c r="O46" i="32"/>
  <c r="P46" i="32" s="1"/>
  <c r="R46" i="32"/>
  <c r="H47" i="32"/>
  <c r="I47" i="32"/>
  <c r="K47" i="32"/>
  <c r="L47" i="32"/>
  <c r="M47" i="32" s="1"/>
  <c r="O47" i="32"/>
  <c r="P47" i="32" s="1"/>
  <c r="R47" i="32"/>
  <c r="H48" i="32"/>
  <c r="I48" i="32"/>
  <c r="K48" i="32"/>
  <c r="L48" i="32"/>
  <c r="M48" i="32" s="1"/>
  <c r="O48" i="32"/>
  <c r="P48" i="32" s="1"/>
  <c r="R48" i="32"/>
  <c r="H49" i="32"/>
  <c r="I49" i="32"/>
  <c r="K49" i="32"/>
  <c r="L49" i="32"/>
  <c r="M49" i="32" s="1"/>
  <c r="O49" i="32"/>
  <c r="P49" i="32" s="1"/>
  <c r="R49" i="32"/>
  <c r="H51" i="32"/>
  <c r="I51" i="32"/>
  <c r="K51" i="32"/>
  <c r="L51" i="32"/>
  <c r="M51" i="32" s="1"/>
  <c r="O51" i="32"/>
  <c r="P51" i="32" s="1"/>
  <c r="R51" i="32"/>
  <c r="H54" i="32"/>
  <c r="I54" i="32"/>
  <c r="K54" i="32"/>
  <c r="L54" i="32"/>
  <c r="M54" i="32" s="1"/>
  <c r="O54" i="32"/>
  <c r="P54" i="32" s="1"/>
  <c r="R54" i="32"/>
  <c r="H55" i="32"/>
  <c r="I55" i="32"/>
  <c r="K55" i="32"/>
  <c r="O55" i="32" s="1"/>
  <c r="L55" i="32"/>
  <c r="M55" i="32" s="1"/>
  <c r="H56" i="32"/>
  <c r="I56" i="32"/>
  <c r="K56" i="32"/>
  <c r="O56" i="32" s="1"/>
  <c r="L56" i="32"/>
  <c r="M56" i="32" s="1"/>
  <c r="I57" i="32"/>
  <c r="K57" i="32"/>
  <c r="O57" i="32" s="1"/>
  <c r="L57" i="32"/>
  <c r="M57" i="32"/>
  <c r="H58" i="32"/>
  <c r="L58" i="32" s="1"/>
  <c r="M58" i="32" s="1"/>
  <c r="K58" i="32"/>
  <c r="O58" i="32" s="1"/>
  <c r="H59" i="32"/>
  <c r="L59" i="32" s="1"/>
  <c r="M59" i="32" s="1"/>
  <c r="K59" i="32"/>
  <c r="O59" i="32" s="1"/>
  <c r="H61" i="32"/>
  <c r="L61" i="32" s="1"/>
  <c r="M61" i="32" s="1"/>
  <c r="K61" i="32"/>
  <c r="O61" i="32" s="1"/>
  <c r="I63" i="32"/>
  <c r="K63" i="32"/>
  <c r="L63" i="32"/>
  <c r="M63" i="32" s="1"/>
  <c r="O63" i="32"/>
  <c r="R63" i="32" s="1"/>
  <c r="H64" i="32"/>
  <c r="I64" i="32"/>
  <c r="K64" i="32"/>
  <c r="L64" i="32"/>
  <c r="M64" i="32" s="1"/>
  <c r="O64" i="32"/>
  <c r="R64" i="32" s="1"/>
  <c r="H65" i="32"/>
  <c r="I65" i="32"/>
  <c r="K65" i="32"/>
  <c r="L65" i="32"/>
  <c r="M65" i="32" s="1"/>
  <c r="O65" i="32"/>
  <c r="R65" i="32" s="1"/>
  <c r="H66" i="32"/>
  <c r="I66" i="32"/>
  <c r="K66" i="32"/>
  <c r="L66" i="32"/>
  <c r="M66" i="32" s="1"/>
  <c r="O66" i="32"/>
  <c r="R66" i="32" s="1"/>
  <c r="H67" i="32"/>
  <c r="I67" i="32"/>
  <c r="K67" i="32"/>
  <c r="L67" i="32"/>
  <c r="M67" i="32" s="1"/>
  <c r="O67" i="32"/>
  <c r="R67" i="32" s="1"/>
  <c r="H68" i="32"/>
  <c r="I68" i="32"/>
  <c r="K68" i="32"/>
  <c r="L68" i="32"/>
  <c r="M68" i="32" s="1"/>
  <c r="O68" i="32"/>
  <c r="R68" i="32" s="1"/>
  <c r="H69" i="32"/>
  <c r="I69" i="32"/>
  <c r="K69" i="32"/>
  <c r="L69" i="32"/>
  <c r="M69" i="32" s="1"/>
  <c r="O69" i="32"/>
  <c r="R69" i="32" s="1"/>
  <c r="H70" i="32"/>
  <c r="I70" i="32"/>
  <c r="K70" i="32"/>
  <c r="L70" i="32"/>
  <c r="M70" i="32" s="1"/>
  <c r="O70" i="32"/>
  <c r="R70" i="32" s="1"/>
  <c r="H71" i="32"/>
  <c r="L71" i="32" s="1"/>
  <c r="M71" i="32" s="1"/>
  <c r="I71" i="32"/>
  <c r="K71" i="32"/>
  <c r="O71" i="32"/>
  <c r="H72" i="32"/>
  <c r="L72" i="32" s="1"/>
  <c r="M72" i="32" s="1"/>
  <c r="K72" i="32"/>
  <c r="O72" i="32"/>
  <c r="R72" i="32" s="1"/>
  <c r="H74" i="32"/>
  <c r="L74" i="32" s="1"/>
  <c r="M74" i="32" s="1"/>
  <c r="K74" i="32"/>
  <c r="O74" i="32"/>
  <c r="R74" i="32" s="1"/>
  <c r="H75" i="32"/>
  <c r="L75" i="32" s="1"/>
  <c r="M75" i="32" s="1"/>
  <c r="K75" i="32"/>
  <c r="O75" i="32"/>
  <c r="H76" i="32"/>
  <c r="L76" i="32" s="1"/>
  <c r="M76" i="32" s="1"/>
  <c r="K76" i="32"/>
  <c r="O76" i="32" s="1"/>
  <c r="H77" i="32"/>
  <c r="L77" i="32" s="1"/>
  <c r="M77" i="32" s="1"/>
  <c r="K77" i="32"/>
  <c r="O77" i="32" s="1"/>
  <c r="H78" i="32"/>
  <c r="L78" i="32" s="1"/>
  <c r="M78" i="32" s="1"/>
  <c r="K78" i="32"/>
  <c r="K95" i="32" s="1"/>
  <c r="H79" i="32"/>
  <c r="L79" i="32" s="1"/>
  <c r="M79" i="32" s="1"/>
  <c r="K79" i="32"/>
  <c r="O79" i="32" s="1"/>
  <c r="H81" i="32"/>
  <c r="L81" i="32" s="1"/>
  <c r="M81" i="32" s="1"/>
  <c r="K81" i="32"/>
  <c r="O81" i="32" s="1"/>
  <c r="H82" i="32"/>
  <c r="L82" i="32" s="1"/>
  <c r="M82" i="32" s="1"/>
  <c r="K82" i="32"/>
  <c r="O82" i="32" s="1"/>
  <c r="H84" i="32"/>
  <c r="L84" i="32" s="1"/>
  <c r="M84" i="32" s="1"/>
  <c r="K84" i="32"/>
  <c r="O84" i="32" s="1"/>
  <c r="H85" i="32"/>
  <c r="L85" i="32" s="1"/>
  <c r="M85" i="32" s="1"/>
  <c r="K85" i="32"/>
  <c r="O85" i="32" s="1"/>
  <c r="H86" i="32"/>
  <c r="L86" i="32" s="1"/>
  <c r="M86" i="32" s="1"/>
  <c r="K86" i="32"/>
  <c r="O86" i="32" s="1"/>
  <c r="H88" i="32"/>
  <c r="L88" i="32" s="1"/>
  <c r="M88" i="32" s="1"/>
  <c r="K88" i="32"/>
  <c r="O88" i="32" s="1"/>
  <c r="H89" i="32"/>
  <c r="L89" i="32" s="1"/>
  <c r="M89" i="32" s="1"/>
  <c r="K89" i="32"/>
  <c r="O89" i="32" s="1"/>
  <c r="H90" i="32"/>
  <c r="L90" i="32" s="1"/>
  <c r="M90" i="32" s="1"/>
  <c r="K90" i="32"/>
  <c r="O90" i="32" s="1"/>
  <c r="H91" i="32"/>
  <c r="L91" i="32" s="1"/>
  <c r="M91" i="32" s="1"/>
  <c r="K91" i="32"/>
  <c r="O91" i="32" s="1"/>
  <c r="H92" i="32"/>
  <c r="L92" i="32" s="1"/>
  <c r="M92" i="32" s="1"/>
  <c r="K92" i="32"/>
  <c r="O92" i="32" s="1"/>
  <c r="H93" i="32"/>
  <c r="L93" i="32" s="1"/>
  <c r="M93" i="32" s="1"/>
  <c r="K93" i="32"/>
  <c r="O93" i="32" s="1"/>
  <c r="H94" i="32"/>
  <c r="L94" i="32" s="1"/>
  <c r="M94" i="32" s="1"/>
  <c r="K94" i="32"/>
  <c r="O94" i="32" s="1"/>
  <c r="F95" i="32"/>
  <c r="R100" i="32"/>
  <c r="F92" i="33" l="1"/>
  <c r="I13" i="33"/>
  <c r="F96" i="33"/>
  <c r="J32" i="33"/>
  <c r="H13" i="33"/>
  <c r="G92" i="33"/>
  <c r="G96" i="33" s="1"/>
  <c r="P59" i="32"/>
  <c r="R59" i="32"/>
  <c r="P28" i="32"/>
  <c r="R28" i="32"/>
  <c r="P24" i="32"/>
  <c r="R24" i="32"/>
  <c r="P20" i="32"/>
  <c r="R20" i="32"/>
  <c r="P56" i="32"/>
  <c r="R56" i="32"/>
  <c r="P55" i="32"/>
  <c r="R55" i="32"/>
  <c r="P41" i="32"/>
  <c r="P39" i="32"/>
  <c r="P13" i="32"/>
  <c r="R94" i="32"/>
  <c r="P94" i="32"/>
  <c r="R92" i="32"/>
  <c r="P92" i="32"/>
  <c r="R90" i="32"/>
  <c r="P90" i="32"/>
  <c r="R88" i="32"/>
  <c r="P88" i="32"/>
  <c r="R85" i="32"/>
  <c r="P85" i="32"/>
  <c r="R82" i="32"/>
  <c r="P82" i="32"/>
  <c r="R77" i="32"/>
  <c r="P77" i="32"/>
  <c r="R75" i="32"/>
  <c r="P61" i="32"/>
  <c r="R61" i="32"/>
  <c r="P58" i="32"/>
  <c r="R58" i="32"/>
  <c r="P57" i="32"/>
  <c r="R57" i="32"/>
  <c r="P29" i="32"/>
  <c r="R29" i="32"/>
  <c r="P27" i="32"/>
  <c r="R27" i="32"/>
  <c r="P25" i="32"/>
  <c r="R25" i="32"/>
  <c r="P23" i="32"/>
  <c r="R23" i="32"/>
  <c r="P21" i="32"/>
  <c r="R21" i="32"/>
  <c r="R71" i="32"/>
  <c r="P43" i="32"/>
  <c r="P40" i="32"/>
  <c r="P17" i="32"/>
  <c r="R17" i="32"/>
  <c r="P14" i="32"/>
  <c r="R14" i="32"/>
  <c r="R93" i="32"/>
  <c r="P93" i="32"/>
  <c r="P26" i="32"/>
  <c r="R26" i="32"/>
  <c r="P19" i="32"/>
  <c r="R19" i="32"/>
  <c r="R89" i="32"/>
  <c r="P89" i="32"/>
  <c r="R81" i="32"/>
  <c r="P81" i="32"/>
  <c r="R91" i="32"/>
  <c r="P91" i="32"/>
  <c r="R86" i="32"/>
  <c r="P86" i="32"/>
  <c r="R84" i="32"/>
  <c r="P84" i="32"/>
  <c r="R76" i="32"/>
  <c r="P76" i="32"/>
  <c r="P31" i="32"/>
  <c r="R31" i="32"/>
  <c r="P22" i="32"/>
  <c r="R22" i="32"/>
  <c r="P38" i="32"/>
  <c r="R38" i="32"/>
  <c r="R79" i="32"/>
  <c r="P79" i="32"/>
  <c r="P75" i="32"/>
  <c r="P74" i="32"/>
  <c r="P72" i="32"/>
  <c r="P71" i="32"/>
  <c r="P70" i="32"/>
  <c r="P69" i="32"/>
  <c r="P68" i="32"/>
  <c r="P67" i="32"/>
  <c r="P66" i="32"/>
  <c r="P65" i="32"/>
  <c r="P64" i="32"/>
  <c r="P63" i="32"/>
  <c r="I61" i="32"/>
  <c r="I59" i="32"/>
  <c r="I58" i="32"/>
  <c r="L43" i="32"/>
  <c r="M43" i="32" s="1"/>
  <c r="L41" i="32"/>
  <c r="M41" i="32" s="1"/>
  <c r="L40" i="32"/>
  <c r="M40" i="32" s="1"/>
  <c r="L39" i="32"/>
  <c r="M39" i="32" s="1"/>
  <c r="I31" i="32"/>
  <c r="I29" i="32"/>
  <c r="I28" i="32"/>
  <c r="I27" i="32"/>
  <c r="I26" i="32"/>
  <c r="I25" i="32"/>
  <c r="I24" i="32"/>
  <c r="I23" i="32"/>
  <c r="I22" i="32"/>
  <c r="I21" i="32"/>
  <c r="I20" i="32"/>
  <c r="I95" i="32" s="1"/>
  <c r="L14" i="32"/>
  <c r="M14" i="32" s="1"/>
  <c r="L13" i="32"/>
  <c r="M13" i="32" s="1"/>
  <c r="H95" i="32"/>
  <c r="I94" i="32"/>
  <c r="I93" i="32"/>
  <c r="I92" i="32"/>
  <c r="I91" i="32"/>
  <c r="I90" i="32"/>
  <c r="I89" i="32"/>
  <c r="I88" i="32"/>
  <c r="I86" i="32"/>
  <c r="I85" i="32"/>
  <c r="I84" i="32"/>
  <c r="I82" i="32"/>
  <c r="I81" i="32"/>
  <c r="I79" i="32"/>
  <c r="O78" i="32"/>
  <c r="I78" i="32"/>
  <c r="I77" i="32"/>
  <c r="I76" i="32"/>
  <c r="I75" i="32"/>
  <c r="I74" i="32"/>
  <c r="I72" i="32"/>
  <c r="J95" i="33" l="1"/>
  <c r="H95" i="33" s="1"/>
  <c r="H92" i="33" s="1"/>
  <c r="H96" i="33"/>
  <c r="M95" i="32"/>
  <c r="M97" i="32" s="1"/>
  <c r="R43" i="32"/>
  <c r="R78" i="32"/>
  <c r="P78" i="32"/>
  <c r="R39" i="32"/>
  <c r="R40" i="32"/>
  <c r="R13" i="32"/>
  <c r="R41" i="32"/>
  <c r="P95" i="32"/>
  <c r="P97" i="32" s="1"/>
  <c r="R97" i="32" l="1"/>
  <c r="D12" i="31" l="1"/>
  <c r="E12" i="31"/>
  <c r="G12" i="31"/>
  <c r="F14" i="31"/>
  <c r="F12" i="31" s="1"/>
  <c r="H14" i="31"/>
  <c r="I14" i="31"/>
  <c r="J14" i="31"/>
  <c r="F16" i="31"/>
  <c r="H16" i="31"/>
  <c r="I16" i="31"/>
  <c r="F17" i="31"/>
  <c r="H17" i="31"/>
  <c r="I17" i="31"/>
  <c r="F18" i="31"/>
  <c r="H18" i="31"/>
  <c r="I18" i="31"/>
  <c r="F19" i="31"/>
  <c r="H19" i="31"/>
  <c r="I19" i="31"/>
  <c r="F20" i="31"/>
  <c r="F21" i="31"/>
  <c r="H21" i="31"/>
  <c r="I21" i="31"/>
  <c r="J21" i="31"/>
  <c r="F22" i="31"/>
  <c r="H22" i="31"/>
  <c r="I22" i="31"/>
  <c r="F23" i="31"/>
  <c r="H23" i="31"/>
  <c r="I23" i="31"/>
  <c r="J23" i="31"/>
  <c r="F25" i="31"/>
  <c r="H25" i="31"/>
  <c r="I25" i="31"/>
  <c r="J25" i="31"/>
  <c r="N29" i="31" s="1"/>
  <c r="K25" i="31"/>
  <c r="F26" i="31"/>
  <c r="H26" i="31"/>
  <c r="I26" i="31"/>
  <c r="F27" i="31"/>
  <c r="H27" i="31"/>
  <c r="I27" i="31"/>
  <c r="J27" i="31"/>
  <c r="N27" i="31"/>
  <c r="F28" i="31"/>
  <c r="H28" i="31"/>
  <c r="I28" i="31"/>
  <c r="N28" i="31"/>
  <c r="N33" i="31" s="1"/>
  <c r="H31" i="31" s="1"/>
  <c r="I31" i="31" s="1"/>
  <c r="F30" i="31"/>
  <c r="N30" i="31"/>
  <c r="F31" i="31"/>
  <c r="J31" i="31"/>
  <c r="N31" i="31"/>
  <c r="F32" i="31"/>
  <c r="F33" i="31"/>
  <c r="F34" i="31"/>
  <c r="H34" i="31"/>
  <c r="I34" i="31"/>
  <c r="F35" i="31"/>
  <c r="D36" i="31"/>
  <c r="E36" i="31"/>
  <c r="G36" i="31"/>
  <c r="H36" i="31"/>
  <c r="F37" i="31"/>
  <c r="F36" i="31" s="1"/>
  <c r="F38" i="31"/>
  <c r="F39" i="31"/>
  <c r="L40" i="31"/>
  <c r="F41" i="31"/>
  <c r="L41" i="31"/>
  <c r="M41" i="31"/>
  <c r="F42" i="31"/>
  <c r="F43" i="31"/>
  <c r="L43" i="31"/>
  <c r="L42" i="31" s="1"/>
  <c r="F44" i="31"/>
  <c r="F45" i="31"/>
  <c r="F46" i="31"/>
  <c r="F47" i="31"/>
  <c r="F48" i="31"/>
  <c r="F49" i="31"/>
  <c r="F51" i="31"/>
  <c r="F53" i="31"/>
  <c r="F55" i="31"/>
  <c r="F57" i="31"/>
  <c r="F58" i="31"/>
  <c r="F59" i="31"/>
  <c r="D60" i="31"/>
  <c r="E60" i="31"/>
  <c r="G60" i="31"/>
  <c r="H13" i="30"/>
  <c r="I13" i="30" s="1"/>
  <c r="K13" i="30"/>
  <c r="O13" i="30"/>
  <c r="P13" i="30"/>
  <c r="H14" i="30"/>
  <c r="L14" i="30" s="1"/>
  <c r="M14" i="30" s="1"/>
  <c r="K14" i="30"/>
  <c r="O14" i="30"/>
  <c r="P14" i="30" s="1"/>
  <c r="R14" i="30" s="1"/>
  <c r="H17" i="30"/>
  <c r="L17" i="30" s="1"/>
  <c r="M17" i="30" s="1"/>
  <c r="I17" i="30"/>
  <c r="K17" i="30"/>
  <c r="O17" i="30" s="1"/>
  <c r="P17" i="30" s="1"/>
  <c r="H18" i="30"/>
  <c r="L18" i="30" s="1"/>
  <c r="M18" i="30" s="1"/>
  <c r="K18" i="30"/>
  <c r="O18" i="30"/>
  <c r="P18" i="30" s="1"/>
  <c r="H20" i="30"/>
  <c r="L20" i="30" s="1"/>
  <c r="M20" i="30" s="1"/>
  <c r="I20" i="30"/>
  <c r="K20" i="30"/>
  <c r="O20" i="30" s="1"/>
  <c r="P20" i="30" s="1"/>
  <c r="R20" i="30" s="1"/>
  <c r="H21" i="30"/>
  <c r="L21" i="30" s="1"/>
  <c r="M21" i="30" s="1"/>
  <c r="K21" i="30"/>
  <c r="O21" i="30"/>
  <c r="P21" i="30" s="1"/>
  <c r="R21" i="30" s="1"/>
  <c r="H22" i="30"/>
  <c r="L22" i="30" s="1"/>
  <c r="M22" i="30" s="1"/>
  <c r="I22" i="30"/>
  <c r="K22" i="30"/>
  <c r="O22" i="30" s="1"/>
  <c r="P22" i="30" s="1"/>
  <c r="H23" i="30"/>
  <c r="L23" i="30" s="1"/>
  <c r="M23" i="30" s="1"/>
  <c r="K23" i="30"/>
  <c r="O23" i="30"/>
  <c r="P23" i="30" s="1"/>
  <c r="H24" i="30"/>
  <c r="L24" i="30" s="1"/>
  <c r="M24" i="30" s="1"/>
  <c r="I24" i="30"/>
  <c r="K24" i="30"/>
  <c r="O24" i="30" s="1"/>
  <c r="P24" i="30" s="1"/>
  <c r="R24" i="30" s="1"/>
  <c r="H25" i="30"/>
  <c r="L25" i="30" s="1"/>
  <c r="M25" i="30" s="1"/>
  <c r="K25" i="30"/>
  <c r="O25" i="30"/>
  <c r="P25" i="30" s="1"/>
  <c r="R25" i="30" s="1"/>
  <c r="H27" i="30"/>
  <c r="L27" i="30" s="1"/>
  <c r="M27" i="30" s="1"/>
  <c r="K27" i="30"/>
  <c r="O27" i="30" s="1"/>
  <c r="P27" i="30" s="1"/>
  <c r="H28" i="30"/>
  <c r="L28" i="30" s="1"/>
  <c r="M28" i="30" s="1"/>
  <c r="K28" i="30"/>
  <c r="O28" i="30"/>
  <c r="P28" i="30" s="1"/>
  <c r="R28" i="30" s="1"/>
  <c r="H30" i="30"/>
  <c r="L30" i="30" s="1"/>
  <c r="M30" i="30" s="1"/>
  <c r="K30" i="30"/>
  <c r="O30" i="30" s="1"/>
  <c r="P30" i="30" s="1"/>
  <c r="R30" i="30" s="1"/>
  <c r="H31" i="30"/>
  <c r="L31" i="30" s="1"/>
  <c r="M31" i="30" s="1"/>
  <c r="K31" i="30"/>
  <c r="O31" i="30"/>
  <c r="P31" i="30" s="1"/>
  <c r="H32" i="30"/>
  <c r="L32" i="30" s="1"/>
  <c r="M32" i="30" s="1"/>
  <c r="K32" i="30"/>
  <c r="O32" i="30" s="1"/>
  <c r="P32" i="30" s="1"/>
  <c r="R32" i="30" s="1"/>
  <c r="H35" i="30"/>
  <c r="L35" i="30" s="1"/>
  <c r="M35" i="30" s="1"/>
  <c r="K35" i="30"/>
  <c r="O35" i="30"/>
  <c r="P35" i="30" s="1"/>
  <c r="H36" i="30"/>
  <c r="L36" i="30" s="1"/>
  <c r="M36" i="30" s="1"/>
  <c r="K36" i="30"/>
  <c r="O36" i="30" s="1"/>
  <c r="P36" i="30" s="1"/>
  <c r="H37" i="30"/>
  <c r="L37" i="30" s="1"/>
  <c r="M37" i="30" s="1"/>
  <c r="K37" i="30"/>
  <c r="O37" i="30"/>
  <c r="P37" i="30" s="1"/>
  <c r="R37" i="30" s="1"/>
  <c r="H38" i="30"/>
  <c r="L38" i="30" s="1"/>
  <c r="M38" i="30" s="1"/>
  <c r="K38" i="30"/>
  <c r="O38" i="30" s="1"/>
  <c r="P38" i="30" s="1"/>
  <c r="R38" i="30" s="1"/>
  <c r="H40" i="30"/>
  <c r="K40" i="30"/>
  <c r="O40" i="30"/>
  <c r="P40" i="30" s="1"/>
  <c r="H41" i="30"/>
  <c r="L41" i="30" s="1"/>
  <c r="M41" i="30" s="1"/>
  <c r="K41" i="30"/>
  <c r="O41" i="30" s="1"/>
  <c r="P41" i="30" s="1"/>
  <c r="H43" i="30"/>
  <c r="K43" i="30"/>
  <c r="O43" i="30"/>
  <c r="P43" i="30" s="1"/>
  <c r="H45" i="30"/>
  <c r="L45" i="30" s="1"/>
  <c r="M45" i="30" s="1"/>
  <c r="K45" i="30"/>
  <c r="O45" i="30" s="1"/>
  <c r="P45" i="30" s="1"/>
  <c r="R45" i="30" s="1"/>
  <c r="H46" i="30"/>
  <c r="K46" i="30"/>
  <c r="O46" i="30"/>
  <c r="P46" i="30" s="1"/>
  <c r="H47" i="30"/>
  <c r="L47" i="30" s="1"/>
  <c r="M47" i="30" s="1"/>
  <c r="K47" i="30"/>
  <c r="O47" i="30" s="1"/>
  <c r="P47" i="30" s="1"/>
  <c r="H48" i="30"/>
  <c r="K48" i="30"/>
  <c r="O48" i="30"/>
  <c r="P48" i="30" s="1"/>
  <c r="H49" i="30"/>
  <c r="L49" i="30" s="1"/>
  <c r="M49" i="30" s="1"/>
  <c r="K49" i="30"/>
  <c r="O49" i="30" s="1"/>
  <c r="P49" i="30" s="1"/>
  <c r="R49" i="30" s="1"/>
  <c r="H50" i="30"/>
  <c r="K50" i="30"/>
  <c r="O50" i="30"/>
  <c r="P50" i="30" s="1"/>
  <c r="H51" i="30"/>
  <c r="L51" i="30" s="1"/>
  <c r="M51" i="30" s="1"/>
  <c r="K51" i="30"/>
  <c r="O51" i="30"/>
  <c r="P51" i="30" s="1"/>
  <c r="H52" i="30"/>
  <c r="K52" i="30"/>
  <c r="O52" i="30" s="1"/>
  <c r="P52" i="30" s="1"/>
  <c r="H54" i="30"/>
  <c r="K54" i="30"/>
  <c r="O54" i="30"/>
  <c r="P54" i="30" s="1"/>
  <c r="H55" i="30"/>
  <c r="K55" i="30"/>
  <c r="O55" i="30" s="1"/>
  <c r="P55" i="30" s="1"/>
  <c r="H56" i="30"/>
  <c r="K56" i="30"/>
  <c r="O56" i="30"/>
  <c r="P56" i="30" s="1"/>
  <c r="H57" i="30"/>
  <c r="K57" i="30"/>
  <c r="O57" i="30" s="1"/>
  <c r="P57" i="30" s="1"/>
  <c r="H58" i="30"/>
  <c r="K58" i="30"/>
  <c r="O58" i="30"/>
  <c r="P58" i="30" s="1"/>
  <c r="H59" i="30"/>
  <c r="K59" i="30"/>
  <c r="O59" i="30" s="1"/>
  <c r="P59" i="30" s="1"/>
  <c r="H60" i="30"/>
  <c r="K60" i="30"/>
  <c r="O60" i="30"/>
  <c r="P60" i="30" s="1"/>
  <c r="H61" i="30"/>
  <c r="K61" i="30"/>
  <c r="O61" i="30" s="1"/>
  <c r="P61" i="30" s="1"/>
  <c r="H62" i="30"/>
  <c r="K62" i="30"/>
  <c r="O62" i="30"/>
  <c r="P62" i="30" s="1"/>
  <c r="H64" i="30"/>
  <c r="K64" i="30"/>
  <c r="O64" i="30" s="1"/>
  <c r="P64" i="30" s="1"/>
  <c r="H66" i="30"/>
  <c r="H110" i="30" s="1"/>
  <c r="K66" i="30"/>
  <c r="O66" i="30"/>
  <c r="P66" i="30" s="1"/>
  <c r="H67" i="30"/>
  <c r="K67" i="30"/>
  <c r="O67" i="30" s="1"/>
  <c r="P67" i="30" s="1"/>
  <c r="H68" i="30"/>
  <c r="K68" i="30"/>
  <c r="O68" i="30"/>
  <c r="P68" i="30" s="1"/>
  <c r="H69" i="30"/>
  <c r="I69" i="30"/>
  <c r="K69" i="30"/>
  <c r="L69" i="30"/>
  <c r="M69" i="30" s="1"/>
  <c r="O69" i="30"/>
  <c r="P69" i="30" s="1"/>
  <c r="R69" i="30" s="1"/>
  <c r="H70" i="30"/>
  <c r="I70" i="30"/>
  <c r="K70" i="30"/>
  <c r="L70" i="30"/>
  <c r="M70" i="30" s="1"/>
  <c r="O70" i="30"/>
  <c r="P70" i="30" s="1"/>
  <c r="R70" i="30" s="1"/>
  <c r="H71" i="30"/>
  <c r="I71" i="30"/>
  <c r="K71" i="30"/>
  <c r="L71" i="30"/>
  <c r="M71" i="30" s="1"/>
  <c r="O71" i="30"/>
  <c r="P71" i="30" s="1"/>
  <c r="R71" i="30" s="1"/>
  <c r="H73" i="30"/>
  <c r="I73" i="30"/>
  <c r="K73" i="30"/>
  <c r="L73" i="30"/>
  <c r="M73" i="30" s="1"/>
  <c r="O73" i="30"/>
  <c r="P73" i="30" s="1"/>
  <c r="R73" i="30" s="1"/>
  <c r="H74" i="30"/>
  <c r="I74" i="30"/>
  <c r="K74" i="30"/>
  <c r="L74" i="30"/>
  <c r="M74" i="30" s="1"/>
  <c r="O74" i="30"/>
  <c r="P74" i="30" s="1"/>
  <c r="R74" i="30" s="1"/>
  <c r="H75" i="30"/>
  <c r="I75" i="30"/>
  <c r="K75" i="30"/>
  <c r="L75" i="30"/>
  <c r="M75" i="30" s="1"/>
  <c r="O75" i="30"/>
  <c r="P75" i="30" s="1"/>
  <c r="R75" i="30" s="1"/>
  <c r="H76" i="30"/>
  <c r="I76" i="30"/>
  <c r="K76" i="30"/>
  <c r="L76" i="30"/>
  <c r="M76" i="30" s="1"/>
  <c r="O76" i="30"/>
  <c r="P76" i="30" s="1"/>
  <c r="R76" i="30" s="1"/>
  <c r="H78" i="30"/>
  <c r="I78" i="30"/>
  <c r="K78" i="30"/>
  <c r="L78" i="30"/>
  <c r="M78" i="30" s="1"/>
  <c r="O78" i="30"/>
  <c r="P78" i="30" s="1"/>
  <c r="R78" i="30" s="1"/>
  <c r="H80" i="30"/>
  <c r="I80" i="30"/>
  <c r="K80" i="30"/>
  <c r="L80" i="30"/>
  <c r="M80" i="30" s="1"/>
  <c r="O80" i="30"/>
  <c r="P80" i="30" s="1"/>
  <c r="R80" i="30" s="1"/>
  <c r="H81" i="30"/>
  <c r="I81" i="30"/>
  <c r="K81" i="30"/>
  <c r="O81" i="30" s="1"/>
  <c r="P81" i="30" s="1"/>
  <c r="R81" i="30" s="1"/>
  <c r="L81" i="30"/>
  <c r="M81" i="30" s="1"/>
  <c r="H82" i="30"/>
  <c r="I82" i="30"/>
  <c r="K82" i="30"/>
  <c r="L82" i="30"/>
  <c r="M82" i="30" s="1"/>
  <c r="O82" i="30"/>
  <c r="P82" i="30" s="1"/>
  <c r="R82" i="30" s="1"/>
  <c r="H83" i="30"/>
  <c r="I83" i="30"/>
  <c r="K83" i="30"/>
  <c r="O83" i="30" s="1"/>
  <c r="P83" i="30" s="1"/>
  <c r="R83" i="30" s="1"/>
  <c r="L83" i="30"/>
  <c r="M83" i="30" s="1"/>
  <c r="H84" i="30"/>
  <c r="I84" i="30"/>
  <c r="K84" i="30"/>
  <c r="O84" i="30" s="1"/>
  <c r="P84" i="30" s="1"/>
  <c r="R84" i="30" s="1"/>
  <c r="L84" i="30"/>
  <c r="M84" i="30" s="1"/>
  <c r="H85" i="30"/>
  <c r="I85" i="30"/>
  <c r="K85" i="30"/>
  <c r="O85" i="30" s="1"/>
  <c r="P85" i="30" s="1"/>
  <c r="R85" i="30" s="1"/>
  <c r="L85" i="30"/>
  <c r="M85" i="30" s="1"/>
  <c r="H86" i="30"/>
  <c r="I86" i="30"/>
  <c r="K86" i="30"/>
  <c r="L86" i="30"/>
  <c r="M86" i="30" s="1"/>
  <c r="O86" i="30"/>
  <c r="P86" i="30" s="1"/>
  <c r="R86" i="30" s="1"/>
  <c r="H87" i="30"/>
  <c r="I87" i="30"/>
  <c r="K87" i="30"/>
  <c r="O87" i="30" s="1"/>
  <c r="P87" i="30" s="1"/>
  <c r="R87" i="30" s="1"/>
  <c r="L87" i="30"/>
  <c r="M87" i="30" s="1"/>
  <c r="H88" i="30"/>
  <c r="I88" i="30"/>
  <c r="K88" i="30"/>
  <c r="O88" i="30" s="1"/>
  <c r="P88" i="30" s="1"/>
  <c r="R88" i="30" s="1"/>
  <c r="L88" i="30"/>
  <c r="M88" i="30" s="1"/>
  <c r="H89" i="30"/>
  <c r="I89" i="30"/>
  <c r="K89" i="30"/>
  <c r="L89" i="30"/>
  <c r="M89" i="30" s="1"/>
  <c r="O89" i="30"/>
  <c r="P89" i="30"/>
  <c r="R89" i="30" s="1"/>
  <c r="H90" i="30"/>
  <c r="I90" i="30"/>
  <c r="K90" i="30"/>
  <c r="L90" i="30"/>
  <c r="M90" i="30" s="1"/>
  <c r="O90" i="30"/>
  <c r="P90" i="30" s="1"/>
  <c r="R90" i="30" s="1"/>
  <c r="H91" i="30"/>
  <c r="I91" i="30"/>
  <c r="K91" i="30"/>
  <c r="O91" i="30" s="1"/>
  <c r="P91" i="30" s="1"/>
  <c r="R91" i="30" s="1"/>
  <c r="L91" i="30"/>
  <c r="M91" i="30" s="1"/>
  <c r="H93" i="30"/>
  <c r="I93" i="30"/>
  <c r="K93" i="30"/>
  <c r="O93" i="30" s="1"/>
  <c r="P93" i="30" s="1"/>
  <c r="R93" i="30" s="1"/>
  <c r="L93" i="30"/>
  <c r="M93" i="30" s="1"/>
  <c r="H96" i="30"/>
  <c r="I96" i="30"/>
  <c r="K96" i="30"/>
  <c r="L96" i="30"/>
  <c r="M96" i="30" s="1"/>
  <c r="O96" i="30"/>
  <c r="P96" i="30" s="1"/>
  <c r="H97" i="30"/>
  <c r="I97" i="30"/>
  <c r="K97" i="30"/>
  <c r="L97" i="30"/>
  <c r="M97" i="30" s="1"/>
  <c r="O97" i="30"/>
  <c r="P97" i="30" s="1"/>
  <c r="R97" i="30" s="1"/>
  <c r="H99" i="30"/>
  <c r="I99" i="30"/>
  <c r="K99" i="30"/>
  <c r="L99" i="30"/>
  <c r="M99" i="30" s="1"/>
  <c r="O99" i="30"/>
  <c r="P99" i="30" s="1"/>
  <c r="R99" i="30" s="1"/>
  <c r="H100" i="30"/>
  <c r="I100" i="30"/>
  <c r="K100" i="30"/>
  <c r="L100" i="30"/>
  <c r="M100" i="30" s="1"/>
  <c r="O100" i="30"/>
  <c r="P100" i="30" s="1"/>
  <c r="H101" i="30"/>
  <c r="I101" i="30"/>
  <c r="K101" i="30"/>
  <c r="L101" i="30"/>
  <c r="M101" i="30" s="1"/>
  <c r="O101" i="30"/>
  <c r="P101" i="30" s="1"/>
  <c r="H103" i="30"/>
  <c r="I103" i="30"/>
  <c r="K103" i="30"/>
  <c r="L103" i="30"/>
  <c r="M103" i="30" s="1"/>
  <c r="O103" i="30"/>
  <c r="P103" i="30" s="1"/>
  <c r="R103" i="30" s="1"/>
  <c r="H104" i="30"/>
  <c r="I104" i="30"/>
  <c r="K104" i="30"/>
  <c r="L104" i="30"/>
  <c r="M104" i="30" s="1"/>
  <c r="O104" i="30"/>
  <c r="P104" i="30" s="1"/>
  <c r="R104" i="30" s="1"/>
  <c r="H106" i="30"/>
  <c r="I106" i="30"/>
  <c r="K106" i="30"/>
  <c r="L106" i="30"/>
  <c r="M106" i="30" s="1"/>
  <c r="O106" i="30"/>
  <c r="P106" i="30" s="1"/>
  <c r="H107" i="30"/>
  <c r="I107" i="30"/>
  <c r="K107" i="30"/>
  <c r="L107" i="30"/>
  <c r="M107" i="30" s="1"/>
  <c r="O107" i="30"/>
  <c r="P107" i="30" s="1"/>
  <c r="H108" i="30"/>
  <c r="I108" i="30"/>
  <c r="K108" i="30"/>
  <c r="L108" i="30"/>
  <c r="M108" i="30" s="1"/>
  <c r="O108" i="30"/>
  <c r="P108" i="30" s="1"/>
  <c r="R108" i="30" s="1"/>
  <c r="B110" i="30"/>
  <c r="F110" i="30"/>
  <c r="H115" i="30"/>
  <c r="I115" i="30" s="1"/>
  <c r="I12" i="31" l="1"/>
  <c r="F60" i="31"/>
  <c r="H12" i="31"/>
  <c r="H60" i="31" s="1"/>
  <c r="R106" i="30"/>
  <c r="R100" i="30"/>
  <c r="R107" i="30"/>
  <c r="R101" i="30"/>
  <c r="R96" i="30"/>
  <c r="R61" i="30"/>
  <c r="P110" i="30"/>
  <c r="P112" i="30" s="1"/>
  <c r="L67" i="30"/>
  <c r="M67" i="30" s="1"/>
  <c r="R67" i="30" s="1"/>
  <c r="I67" i="30"/>
  <c r="L61" i="30"/>
  <c r="M61" i="30" s="1"/>
  <c r="I61" i="30"/>
  <c r="L57" i="30"/>
  <c r="M57" i="30" s="1"/>
  <c r="R57" i="30" s="1"/>
  <c r="I57" i="30"/>
  <c r="L52" i="30"/>
  <c r="M52" i="30" s="1"/>
  <c r="R52" i="30" s="1"/>
  <c r="I52" i="30"/>
  <c r="R47" i="30"/>
  <c r="L46" i="30"/>
  <c r="M46" i="30" s="1"/>
  <c r="I46" i="30"/>
  <c r="R36" i="30"/>
  <c r="L115" i="30"/>
  <c r="M115" i="30" s="1"/>
  <c r="L68" i="30"/>
  <c r="M68" i="30" s="1"/>
  <c r="R68" i="30" s="1"/>
  <c r="I68" i="30"/>
  <c r="L62" i="30"/>
  <c r="M62" i="30" s="1"/>
  <c r="I62" i="30"/>
  <c r="L58" i="30"/>
  <c r="M58" i="30" s="1"/>
  <c r="I58" i="30"/>
  <c r="L54" i="30"/>
  <c r="M54" i="30" s="1"/>
  <c r="I54" i="30"/>
  <c r="R51" i="30"/>
  <c r="L43" i="30"/>
  <c r="M43" i="30" s="1"/>
  <c r="I43" i="30"/>
  <c r="K110" i="30"/>
  <c r="L64" i="30"/>
  <c r="M64" i="30" s="1"/>
  <c r="R64" i="30" s="1"/>
  <c r="I64" i="30"/>
  <c r="L59" i="30"/>
  <c r="M59" i="30" s="1"/>
  <c r="R59" i="30" s="1"/>
  <c r="I59" i="30"/>
  <c r="L55" i="30"/>
  <c r="M55" i="30" s="1"/>
  <c r="R55" i="30" s="1"/>
  <c r="I55" i="30"/>
  <c r="L50" i="30"/>
  <c r="M50" i="30" s="1"/>
  <c r="R50" i="30" s="1"/>
  <c r="I50" i="30"/>
  <c r="R46" i="30"/>
  <c r="R41" i="30"/>
  <c r="L40" i="30"/>
  <c r="M40" i="30" s="1"/>
  <c r="R40" i="30" s="1"/>
  <c r="I40" i="30"/>
  <c r="R35" i="30"/>
  <c r="R22" i="30"/>
  <c r="R17" i="30"/>
  <c r="L66" i="30"/>
  <c r="M66" i="30" s="1"/>
  <c r="R66" i="30" s="1"/>
  <c r="I66" i="30"/>
  <c r="R62" i="30"/>
  <c r="L60" i="30"/>
  <c r="M60" i="30" s="1"/>
  <c r="R60" i="30" s="1"/>
  <c r="I60" i="30"/>
  <c r="R58" i="30"/>
  <c r="L56" i="30"/>
  <c r="M56" i="30" s="1"/>
  <c r="R56" i="30" s="1"/>
  <c r="I56" i="30"/>
  <c r="R54" i="30"/>
  <c r="L48" i="30"/>
  <c r="M48" i="30" s="1"/>
  <c r="R48" i="30" s="1"/>
  <c r="I48" i="30"/>
  <c r="R43" i="30"/>
  <c r="R31" i="30"/>
  <c r="R27" i="30"/>
  <c r="R23" i="30"/>
  <c r="R18" i="30"/>
  <c r="I37" i="30"/>
  <c r="I35" i="30"/>
  <c r="I31" i="30"/>
  <c r="I28" i="30"/>
  <c r="I25" i="30"/>
  <c r="I23" i="30"/>
  <c r="I21" i="30"/>
  <c r="I18" i="30"/>
  <c r="I14" i="30"/>
  <c r="I51" i="30"/>
  <c r="I49" i="30"/>
  <c r="I47" i="30"/>
  <c r="I45" i="30"/>
  <c r="I41" i="30"/>
  <c r="I38" i="30"/>
  <c r="I36" i="30"/>
  <c r="I32" i="30"/>
  <c r="I30" i="30"/>
  <c r="I27" i="30"/>
  <c r="L13" i="30"/>
  <c r="M13" i="30" s="1"/>
  <c r="M110" i="30" s="1"/>
  <c r="M112" i="30" s="1"/>
  <c r="R13" i="30" l="1"/>
  <c r="R110" i="30" s="1"/>
  <c r="R112" i="30" s="1"/>
  <c r="I110" i="30"/>
  <c r="D14" i="29" l="1"/>
  <c r="D27" i="29" s="1"/>
  <c r="E14" i="29"/>
  <c r="E27" i="29" s="1"/>
  <c r="G14" i="29"/>
  <c r="H14" i="29"/>
  <c r="H27" i="29" s="1"/>
  <c r="F15" i="29"/>
  <c r="F14" i="29" s="1"/>
  <c r="F27" i="29" s="1"/>
  <c r="F16" i="29"/>
  <c r="F17" i="29"/>
  <c r="F18" i="29"/>
  <c r="F19" i="29"/>
  <c r="F20" i="29"/>
  <c r="G27" i="29"/>
  <c r="D14" i="28"/>
  <c r="E14" i="28"/>
  <c r="G14" i="28"/>
  <c r="H14" i="28"/>
  <c r="F15" i="28"/>
  <c r="F16" i="28"/>
  <c r="F14" i="28" s="1"/>
  <c r="F27" i="28" s="1"/>
  <c r="F17" i="28"/>
  <c r="F18" i="28"/>
  <c r="F19" i="28"/>
  <c r="F20" i="28"/>
  <c r="F22" i="28"/>
  <c r="F23" i="28"/>
  <c r="D27" i="28"/>
  <c r="E27" i="28"/>
  <c r="G27" i="28"/>
  <c r="H27" i="28"/>
  <c r="D13" i="27"/>
  <c r="E13" i="27"/>
  <c r="G13" i="27"/>
  <c r="H13" i="27"/>
  <c r="F14" i="27"/>
  <c r="F13" i="27" s="1"/>
  <c r="F24" i="27" s="1"/>
  <c r="F15" i="27"/>
  <c r="F16" i="27"/>
  <c r="F17" i="27"/>
  <c r="F18" i="27"/>
  <c r="D22" i="27"/>
  <c r="E22" i="27"/>
  <c r="E24" i="27" s="1"/>
  <c r="F22" i="27"/>
  <c r="G22" i="27"/>
  <c r="H22" i="27"/>
  <c r="F23" i="27"/>
  <c r="D24" i="27"/>
  <c r="G24" i="27"/>
  <c r="H24" i="27"/>
  <c r="I24" i="27" s="1"/>
  <c r="D14" i="26"/>
  <c r="D27" i="26" s="1"/>
  <c r="E14" i="26"/>
  <c r="E27" i="26" s="1"/>
  <c r="G14" i="26"/>
  <c r="H14" i="26"/>
  <c r="H27" i="26" s="1"/>
  <c r="F15" i="26"/>
  <c r="F16" i="26"/>
  <c r="F14" i="26" s="1"/>
  <c r="F27" i="26" s="1"/>
  <c r="F17" i="26"/>
  <c r="F18" i="26"/>
  <c r="F19" i="26"/>
  <c r="F20" i="26"/>
  <c r="G27" i="26"/>
  <c r="D14" i="25"/>
  <c r="E14" i="25"/>
  <c r="G14" i="25"/>
  <c r="H14" i="25"/>
  <c r="F15" i="25"/>
  <c r="F14" i="25" s="1"/>
  <c r="F27" i="25" s="1"/>
  <c r="F16" i="25"/>
  <c r="F17" i="25"/>
  <c r="F18" i="25"/>
  <c r="F19" i="25"/>
  <c r="F21" i="25"/>
  <c r="F22" i="25"/>
  <c r="D27" i="25"/>
  <c r="E27" i="25"/>
  <c r="G27" i="25"/>
  <c r="H27" i="25"/>
  <c r="D14" i="24"/>
  <c r="E14" i="24"/>
  <c r="G14" i="24"/>
  <c r="H14" i="24"/>
  <c r="F15" i="24"/>
  <c r="F16" i="24"/>
  <c r="F14" i="24" s="1"/>
  <c r="F27" i="24" s="1"/>
  <c r="F17" i="24"/>
  <c r="D27" i="24"/>
  <c r="E27" i="24"/>
  <c r="G27" i="24"/>
  <c r="H27" i="24"/>
  <c r="D14" i="23"/>
  <c r="E14" i="23"/>
  <c r="E27" i="23" s="1"/>
  <c r="G14" i="23"/>
  <c r="H14" i="23"/>
  <c r="F15" i="23"/>
  <c r="F14" i="23" s="1"/>
  <c r="F27" i="23" s="1"/>
  <c r="F16" i="23"/>
  <c r="F17" i="23"/>
  <c r="F18" i="23"/>
  <c r="F19" i="23"/>
  <c r="F20" i="23"/>
  <c r="F22" i="23"/>
  <c r="F23" i="23"/>
  <c r="D27" i="23"/>
  <c r="G27" i="23"/>
  <c r="H27" i="23"/>
  <c r="D13" i="22"/>
  <c r="E13" i="22"/>
  <c r="G13" i="22"/>
  <c r="G25" i="22" s="1"/>
  <c r="H13" i="22"/>
  <c r="F14" i="22"/>
  <c r="F15" i="22"/>
  <c r="F13" i="22" s="1"/>
  <c r="F25" i="22" s="1"/>
  <c r="F16" i="22"/>
  <c r="F17" i="22"/>
  <c r="F18" i="22"/>
  <c r="D25" i="22"/>
  <c r="E25" i="22"/>
  <c r="H25" i="22"/>
  <c r="D14" i="21"/>
  <c r="E14" i="21"/>
  <c r="F14" i="21"/>
  <c r="F27" i="21" s="1"/>
  <c r="G14" i="21"/>
  <c r="H14" i="21"/>
  <c r="F15" i="21"/>
  <c r="F16" i="21"/>
  <c r="F17" i="21"/>
  <c r="D27" i="21"/>
  <c r="E27" i="21"/>
  <c r="G27" i="21"/>
  <c r="H27" i="21"/>
  <c r="D13" i="20"/>
  <c r="E13" i="20"/>
  <c r="G13" i="20"/>
  <c r="H13" i="20"/>
  <c r="H25" i="20" s="1"/>
  <c r="F14" i="20"/>
  <c r="F15" i="20"/>
  <c r="F13" i="20" s="1"/>
  <c r="F25" i="20" s="1"/>
  <c r="F16" i="20"/>
  <c r="D25" i="20"/>
  <c r="E25" i="20"/>
  <c r="G25" i="20"/>
  <c r="D13" i="19"/>
  <c r="E13" i="19"/>
  <c r="G13" i="19"/>
  <c r="H13" i="19"/>
  <c r="F14" i="19"/>
  <c r="F15" i="19"/>
  <c r="F13" i="19" s="1"/>
  <c r="F26" i="19" s="1"/>
  <c r="F16" i="19"/>
  <c r="D26" i="19"/>
  <c r="E26" i="19"/>
  <c r="G26" i="19"/>
  <c r="H26" i="19"/>
  <c r="D14" i="18"/>
  <c r="E14" i="18"/>
  <c r="G14" i="18"/>
  <c r="H14" i="18"/>
  <c r="F15" i="18"/>
  <c r="F16" i="18"/>
  <c r="F27" i="18" s="1"/>
  <c r="F18" i="18"/>
  <c r="F19" i="18"/>
  <c r="F20" i="18"/>
  <c r="F22" i="18"/>
  <c r="D27" i="18"/>
  <c r="E27" i="18"/>
  <c r="G27" i="18"/>
  <c r="H27" i="18"/>
  <c r="D14" i="17"/>
  <c r="E14" i="17"/>
  <c r="G14" i="17"/>
  <c r="H14" i="17"/>
  <c r="F15" i="17"/>
  <c r="F16" i="17"/>
  <c r="F14" i="17" s="1"/>
  <c r="F27" i="17" s="1"/>
  <c r="F17" i="17"/>
  <c r="D27" i="17"/>
  <c r="E27" i="17"/>
  <c r="G27" i="17"/>
  <c r="H27" i="17"/>
  <c r="D12" i="16"/>
  <c r="E12" i="16"/>
  <c r="G12" i="16"/>
  <c r="F14" i="16"/>
  <c r="F12" i="16" s="1"/>
  <c r="H14" i="16"/>
  <c r="J14" i="16" s="1"/>
  <c r="M27" i="16" s="1"/>
  <c r="I14" i="16"/>
  <c r="F16" i="16"/>
  <c r="H16" i="16"/>
  <c r="I16" i="16"/>
  <c r="F17" i="16"/>
  <c r="H17" i="16"/>
  <c r="I17" i="16"/>
  <c r="F18" i="16"/>
  <c r="H18" i="16"/>
  <c r="I18" i="16"/>
  <c r="F19" i="16"/>
  <c r="H19" i="16"/>
  <c r="I19" i="16"/>
  <c r="F20" i="16"/>
  <c r="H20" i="16"/>
  <c r="J20" i="16" s="1"/>
  <c r="M28" i="16" s="1"/>
  <c r="I20" i="16"/>
  <c r="F21" i="16"/>
  <c r="H21" i="16"/>
  <c r="I21" i="16"/>
  <c r="F22" i="16"/>
  <c r="H22" i="16"/>
  <c r="J22" i="16"/>
  <c r="F24" i="16"/>
  <c r="H24" i="16"/>
  <c r="J24" i="16"/>
  <c r="M29" i="16" s="1"/>
  <c r="F25" i="16"/>
  <c r="H25" i="16"/>
  <c r="I25" i="16"/>
  <c r="K25" i="16"/>
  <c r="F26" i="16"/>
  <c r="H26" i="16"/>
  <c r="I26" i="16"/>
  <c r="J26" i="16"/>
  <c r="M30" i="16" s="1"/>
  <c r="F27" i="16"/>
  <c r="H27" i="16"/>
  <c r="I27" i="16"/>
  <c r="F29" i="16"/>
  <c r="F30" i="16"/>
  <c r="F31" i="16"/>
  <c r="K31" i="16"/>
  <c r="M31" i="16"/>
  <c r="F32" i="16"/>
  <c r="F33" i="16"/>
  <c r="H33" i="16"/>
  <c r="I33" i="16"/>
  <c r="F34" i="16"/>
  <c r="E35" i="16"/>
  <c r="G35" i="16"/>
  <c r="G58" i="16" s="1"/>
  <c r="H35" i="16"/>
  <c r="D36" i="16"/>
  <c r="D35" i="16" s="1"/>
  <c r="D58" i="16" s="1"/>
  <c r="F36" i="16"/>
  <c r="F35" i="16" s="1"/>
  <c r="D37" i="16"/>
  <c r="F37" i="16"/>
  <c r="D38" i="16"/>
  <c r="F38" i="16"/>
  <c r="D40" i="16"/>
  <c r="F40" i="16"/>
  <c r="D41" i="16"/>
  <c r="F41" i="16"/>
  <c r="D42" i="16"/>
  <c r="F42" i="16"/>
  <c r="D43" i="16"/>
  <c r="F43" i="16"/>
  <c r="D44" i="16"/>
  <c r="F44" i="16"/>
  <c r="F45" i="16"/>
  <c r="D47" i="16"/>
  <c r="F47" i="16"/>
  <c r="L47" i="16"/>
  <c r="L48" i="16"/>
  <c r="L49" i="16" s="1"/>
  <c r="L50" i="16" s="1"/>
  <c r="D49" i="16"/>
  <c r="F49" i="16"/>
  <c r="D51" i="16"/>
  <c r="F51" i="16"/>
  <c r="D53" i="16"/>
  <c r="F53" i="16"/>
  <c r="D54" i="16"/>
  <c r="F54" i="16"/>
  <c r="D55" i="16"/>
  <c r="E55" i="16"/>
  <c r="G55" i="16"/>
  <c r="H55" i="16"/>
  <c r="F56" i="16"/>
  <c r="F55" i="16" s="1"/>
  <c r="F57" i="16"/>
  <c r="E58" i="16"/>
  <c r="F15" i="15"/>
  <c r="H15" i="15"/>
  <c r="L15" i="15" s="1"/>
  <c r="M15" i="15" s="1"/>
  <c r="K15" i="15"/>
  <c r="O15" i="15" s="1"/>
  <c r="F18" i="15"/>
  <c r="I18" i="15" s="1"/>
  <c r="K18" i="15"/>
  <c r="O18" i="15" s="1"/>
  <c r="L18" i="15"/>
  <c r="M18" i="15"/>
  <c r="F20" i="15"/>
  <c r="H20" i="15"/>
  <c r="I20" i="15" s="1"/>
  <c r="K20" i="15"/>
  <c r="O20" i="15" s="1"/>
  <c r="L20" i="15"/>
  <c r="M20" i="15" s="1"/>
  <c r="F22" i="15"/>
  <c r="I22" i="15" s="1"/>
  <c r="H22" i="15"/>
  <c r="K22" i="15"/>
  <c r="O22" i="15" s="1"/>
  <c r="L22" i="15"/>
  <c r="M22" i="15" s="1"/>
  <c r="F25" i="15"/>
  <c r="H25" i="15"/>
  <c r="L25" i="15" s="1"/>
  <c r="M25" i="15" s="1"/>
  <c r="I25" i="15"/>
  <c r="K25" i="15"/>
  <c r="O25" i="15"/>
  <c r="P25" i="15" s="1"/>
  <c r="F26" i="15"/>
  <c r="H26" i="15"/>
  <c r="L26" i="15" s="1"/>
  <c r="M26" i="15" s="1"/>
  <c r="K26" i="15"/>
  <c r="O26" i="15"/>
  <c r="F28" i="15"/>
  <c r="H28" i="15"/>
  <c r="I28" i="15" s="1"/>
  <c r="K28" i="15"/>
  <c r="O28" i="15" s="1"/>
  <c r="L28" i="15"/>
  <c r="M28" i="15" s="1"/>
  <c r="F30" i="15"/>
  <c r="H30" i="15"/>
  <c r="I30" i="15" s="1"/>
  <c r="K30" i="15"/>
  <c r="O30" i="15" s="1"/>
  <c r="L30" i="15"/>
  <c r="M30" i="15" s="1"/>
  <c r="F31" i="15"/>
  <c r="H31" i="15"/>
  <c r="I31" i="15"/>
  <c r="K31" i="15"/>
  <c r="L31" i="15"/>
  <c r="M31" i="15" s="1"/>
  <c r="O31" i="15"/>
  <c r="P31" i="15" s="1"/>
  <c r="F33" i="15"/>
  <c r="H33" i="15"/>
  <c r="L33" i="15" s="1"/>
  <c r="M33" i="15" s="1"/>
  <c r="K33" i="15"/>
  <c r="O33" i="15"/>
  <c r="R33" i="15" s="1"/>
  <c r="F34" i="15"/>
  <c r="H34" i="15"/>
  <c r="I34" i="15" s="1"/>
  <c r="K34" i="15"/>
  <c r="L34" i="15"/>
  <c r="M34" i="15" s="1"/>
  <c r="O34" i="15"/>
  <c r="P34" i="15" s="1"/>
  <c r="R34" i="15"/>
  <c r="H37" i="15"/>
  <c r="I37" i="15" s="1"/>
  <c r="K37" i="15"/>
  <c r="O37" i="15" s="1"/>
  <c r="L37" i="15"/>
  <c r="M37" i="15" s="1"/>
  <c r="F38" i="15"/>
  <c r="H38" i="15"/>
  <c r="I38" i="15" s="1"/>
  <c r="K38" i="15"/>
  <c r="O38" i="15" s="1"/>
  <c r="L38" i="15"/>
  <c r="M38" i="15" s="1"/>
  <c r="F39" i="15"/>
  <c r="H39" i="15"/>
  <c r="I39" i="15"/>
  <c r="K39" i="15"/>
  <c r="L39" i="15"/>
  <c r="M39" i="15" s="1"/>
  <c r="O39" i="15"/>
  <c r="P39" i="15" s="1"/>
  <c r="F41" i="15"/>
  <c r="H41" i="15"/>
  <c r="L41" i="15" s="1"/>
  <c r="M41" i="15" s="1"/>
  <c r="K41" i="15"/>
  <c r="O41" i="15"/>
  <c r="H45" i="15"/>
  <c r="L45" i="15" s="1"/>
  <c r="M45" i="15" s="1"/>
  <c r="K45" i="15"/>
  <c r="O45" i="15"/>
  <c r="H47" i="15"/>
  <c r="L47" i="15" s="1"/>
  <c r="M47" i="15" s="1"/>
  <c r="K47" i="15"/>
  <c r="O47" i="15"/>
  <c r="R47" i="15" s="1"/>
  <c r="H48" i="15"/>
  <c r="L48" i="15" s="1"/>
  <c r="M48" i="15" s="1"/>
  <c r="K48" i="15"/>
  <c r="O48" i="15" s="1"/>
  <c r="H49" i="15"/>
  <c r="L49" i="15" s="1"/>
  <c r="M49" i="15" s="1"/>
  <c r="K49" i="15"/>
  <c r="O49" i="15" s="1"/>
  <c r="H50" i="15"/>
  <c r="L50" i="15" s="1"/>
  <c r="M50" i="15" s="1"/>
  <c r="K50" i="15"/>
  <c r="O50" i="15" s="1"/>
  <c r="H51" i="15"/>
  <c r="L51" i="15" s="1"/>
  <c r="M51" i="15" s="1"/>
  <c r="K51" i="15"/>
  <c r="O51" i="15" s="1"/>
  <c r="H54" i="15"/>
  <c r="L54" i="15" s="1"/>
  <c r="M54" i="15" s="1"/>
  <c r="K54" i="15"/>
  <c r="O54" i="15" s="1"/>
  <c r="F57" i="15"/>
  <c r="F63" i="15" s="1"/>
  <c r="H57" i="15"/>
  <c r="K57" i="15"/>
  <c r="L57" i="15"/>
  <c r="M57" i="15" s="1"/>
  <c r="O57" i="15"/>
  <c r="P57" i="15" s="1"/>
  <c r="R57" i="15"/>
  <c r="F58" i="15"/>
  <c r="H58" i="15"/>
  <c r="I58" i="15" s="1"/>
  <c r="K58" i="15"/>
  <c r="O58" i="15" s="1"/>
  <c r="F59" i="15"/>
  <c r="H59" i="15"/>
  <c r="I59" i="15"/>
  <c r="K59" i="15"/>
  <c r="L59" i="15"/>
  <c r="M59" i="15" s="1"/>
  <c r="O59" i="15"/>
  <c r="P59" i="15" s="1"/>
  <c r="F60" i="15"/>
  <c r="H60" i="15"/>
  <c r="L60" i="15" s="1"/>
  <c r="M60" i="15" s="1"/>
  <c r="K60" i="15"/>
  <c r="O60" i="15" s="1"/>
  <c r="F62" i="15"/>
  <c r="I62" i="15" s="1"/>
  <c r="H62" i="15"/>
  <c r="K62" i="15"/>
  <c r="L62" i="15"/>
  <c r="M62" i="15" s="1"/>
  <c r="O62" i="15"/>
  <c r="P62" i="15" s="1"/>
  <c r="K63" i="15"/>
  <c r="F14" i="18" l="1"/>
  <c r="F58" i="16"/>
  <c r="M32" i="16"/>
  <c r="H30" i="16" s="1"/>
  <c r="I30" i="16" s="1"/>
  <c r="I24" i="16"/>
  <c r="I22" i="16"/>
  <c r="I12" i="16" s="1"/>
  <c r="R54" i="15"/>
  <c r="P54" i="15"/>
  <c r="R41" i="15"/>
  <c r="R45" i="15"/>
  <c r="R26" i="15"/>
  <c r="P58" i="15"/>
  <c r="R58" i="15"/>
  <c r="R60" i="15"/>
  <c r="P60" i="15"/>
  <c r="R51" i="15"/>
  <c r="P51" i="15"/>
  <c r="R49" i="15"/>
  <c r="P49" i="15"/>
  <c r="P30" i="15"/>
  <c r="R30" i="15"/>
  <c r="P28" i="15"/>
  <c r="R28" i="15"/>
  <c r="R15" i="15"/>
  <c r="P15" i="15"/>
  <c r="P37" i="15"/>
  <c r="R37" i="15"/>
  <c r="P22" i="15"/>
  <c r="R22" i="15"/>
  <c r="P20" i="15"/>
  <c r="R20" i="15"/>
  <c r="M63" i="15"/>
  <c r="M65" i="15" s="1"/>
  <c r="P38" i="15"/>
  <c r="R38" i="15"/>
  <c r="R50" i="15"/>
  <c r="P50" i="15"/>
  <c r="R48" i="15"/>
  <c r="P48" i="15"/>
  <c r="R18" i="15"/>
  <c r="P18" i="15"/>
  <c r="R62" i="15"/>
  <c r="H63" i="15"/>
  <c r="R59" i="15"/>
  <c r="I57" i="15"/>
  <c r="P47" i="15"/>
  <c r="P45" i="15"/>
  <c r="P41" i="15"/>
  <c r="R39" i="15"/>
  <c r="P33" i="15"/>
  <c r="R31" i="15"/>
  <c r="P26" i="15"/>
  <c r="R25" i="15"/>
  <c r="I60" i="15"/>
  <c r="L58" i="15"/>
  <c r="M58" i="15" s="1"/>
  <c r="I54" i="15"/>
  <c r="I51" i="15"/>
  <c r="I50" i="15"/>
  <c r="I49" i="15"/>
  <c r="I48" i="15"/>
  <c r="I47" i="15"/>
  <c r="I45" i="15"/>
  <c r="I41" i="15"/>
  <c r="I33" i="15"/>
  <c r="I26" i="15"/>
  <c r="I15" i="15"/>
  <c r="I63" i="15" s="1"/>
  <c r="H12" i="16" l="1"/>
  <c r="H58" i="16" s="1"/>
  <c r="P63" i="15"/>
  <c r="P65" i="15" s="1"/>
  <c r="R65" i="15"/>
  <c r="G14" i="14" l="1"/>
  <c r="H14" i="14"/>
  <c r="D16" i="14"/>
  <c r="E16" i="14"/>
  <c r="F16" i="14" s="1"/>
  <c r="D17" i="14"/>
  <c r="E17" i="14"/>
  <c r="F17" i="14" s="1"/>
  <c r="D18" i="14"/>
  <c r="E18" i="14"/>
  <c r="F18" i="14" s="1"/>
  <c r="D19" i="14"/>
  <c r="E19" i="14"/>
  <c r="F19" i="14" s="1"/>
  <c r="D20" i="14"/>
  <c r="E20" i="14"/>
  <c r="F20" i="14" s="1"/>
  <c r="D21" i="14"/>
  <c r="E21" i="14"/>
  <c r="F21" i="14"/>
  <c r="D22" i="14"/>
  <c r="E22" i="14"/>
  <c r="F22" i="14" s="1"/>
  <c r="D23" i="14"/>
  <c r="E23" i="14"/>
  <c r="F23" i="14" s="1"/>
  <c r="D24" i="14"/>
  <c r="E24" i="14"/>
  <c r="F24" i="14" s="1"/>
  <c r="D26" i="14"/>
  <c r="E26" i="14"/>
  <c r="F26" i="14" s="1"/>
  <c r="D28" i="14"/>
  <c r="E28" i="14"/>
  <c r="F28" i="14"/>
  <c r="D29" i="14"/>
  <c r="E29" i="14"/>
  <c r="F29" i="14" s="1"/>
  <c r="G30" i="14"/>
  <c r="H30" i="14"/>
  <c r="E30" i="14" l="1"/>
  <c r="D30" i="14"/>
  <c r="D14" i="14"/>
  <c r="F14" i="14"/>
  <c r="F30" i="14"/>
  <c r="E14" i="14"/>
  <c r="F22" i="13"/>
  <c r="G22" i="13"/>
  <c r="G52" i="13" s="1"/>
  <c r="I22" i="13"/>
  <c r="K52" i="13" s="1"/>
  <c r="I45" i="13" s="1"/>
  <c r="K22" i="13"/>
  <c r="K24" i="13"/>
  <c r="G40" i="13" s="1"/>
  <c r="F25" i="13"/>
  <c r="I25" i="13" s="1"/>
  <c r="G25" i="13"/>
  <c r="F29" i="13"/>
  <c r="G29" i="13"/>
  <c r="I29" i="13"/>
  <c r="F36" i="13"/>
  <c r="G36" i="13"/>
  <c r="I36" i="13"/>
  <c r="F40" i="13"/>
  <c r="I40" i="13" s="1"/>
  <c r="F45" i="13"/>
  <c r="G45" i="13"/>
  <c r="F49" i="13"/>
  <c r="G49" i="13"/>
  <c r="I49" i="13"/>
  <c r="J52" i="13"/>
  <c r="D13" i="12"/>
  <c r="E13" i="12"/>
  <c r="G13" i="12"/>
  <c r="F15" i="12"/>
  <c r="F13" i="12" s="1"/>
  <c r="H15" i="12"/>
  <c r="I15" i="12"/>
  <c r="J15" i="12"/>
  <c r="F17" i="12"/>
  <c r="H17" i="12"/>
  <c r="I17" i="12"/>
  <c r="F18" i="12"/>
  <c r="H18" i="12"/>
  <c r="I18" i="12"/>
  <c r="F19" i="12"/>
  <c r="H19" i="12"/>
  <c r="I19" i="12"/>
  <c r="F20" i="12"/>
  <c r="H20" i="12"/>
  <c r="I20" i="12"/>
  <c r="F21" i="12"/>
  <c r="F22" i="12"/>
  <c r="H22" i="12"/>
  <c r="I22" i="12"/>
  <c r="J22" i="12"/>
  <c r="M32" i="12" s="1"/>
  <c r="F23" i="12"/>
  <c r="H23" i="12"/>
  <c r="I23" i="12"/>
  <c r="F24" i="12"/>
  <c r="H24" i="12"/>
  <c r="I24" i="12"/>
  <c r="J24" i="12"/>
  <c r="F26" i="12"/>
  <c r="H26" i="12"/>
  <c r="I26" i="12"/>
  <c r="J26" i="12"/>
  <c r="F27" i="12"/>
  <c r="H27" i="12"/>
  <c r="I27" i="12"/>
  <c r="F28" i="12"/>
  <c r="H28" i="12"/>
  <c r="J28" i="12" s="1"/>
  <c r="I28" i="12"/>
  <c r="F29" i="12"/>
  <c r="H29" i="12"/>
  <c r="I29" i="12"/>
  <c r="K29" i="12"/>
  <c r="F31" i="12"/>
  <c r="M31" i="12"/>
  <c r="F32" i="12"/>
  <c r="F33" i="12"/>
  <c r="M33" i="12"/>
  <c r="F34" i="12"/>
  <c r="F35" i="12"/>
  <c r="H35" i="12"/>
  <c r="I35" i="12" s="1"/>
  <c r="M35" i="12"/>
  <c r="F36" i="12"/>
  <c r="D37" i="12"/>
  <c r="D55" i="12" s="1"/>
  <c r="E37" i="12"/>
  <c r="G37" i="12"/>
  <c r="H37" i="12"/>
  <c r="F38" i="12"/>
  <c r="F37" i="12" s="1"/>
  <c r="F39" i="12"/>
  <c r="F40" i="12"/>
  <c r="F42" i="12"/>
  <c r="F43" i="12"/>
  <c r="F44" i="12"/>
  <c r="F45" i="12"/>
  <c r="L45" i="12"/>
  <c r="O34" i="12" s="1"/>
  <c r="F46" i="12"/>
  <c r="L46" i="12"/>
  <c r="F47" i="12"/>
  <c r="F49" i="12"/>
  <c r="F51" i="12"/>
  <c r="F52" i="12"/>
  <c r="D53" i="12"/>
  <c r="E53" i="12"/>
  <c r="E55" i="12" s="1"/>
  <c r="G53" i="12"/>
  <c r="H53" i="12"/>
  <c r="F54" i="12"/>
  <c r="F53" i="12" s="1"/>
  <c r="G55" i="12"/>
  <c r="K67" i="12"/>
  <c r="K69" i="12" s="1"/>
  <c r="K71" i="12" s="1"/>
  <c r="L67" i="12"/>
  <c r="M67" i="12"/>
  <c r="M76" i="12"/>
  <c r="M77" i="12"/>
  <c r="H15" i="11"/>
  <c r="I15" i="11" s="1"/>
  <c r="K15" i="11"/>
  <c r="O15" i="11" s="1"/>
  <c r="H18" i="11"/>
  <c r="I18" i="11" s="1"/>
  <c r="K18" i="11"/>
  <c r="O18" i="11" s="1"/>
  <c r="H21" i="11"/>
  <c r="I21" i="11" s="1"/>
  <c r="K21" i="11"/>
  <c r="O21" i="11" s="1"/>
  <c r="H22" i="11"/>
  <c r="I22" i="11" s="1"/>
  <c r="K22" i="11"/>
  <c r="O22" i="11" s="1"/>
  <c r="H23" i="11"/>
  <c r="I23" i="11" s="1"/>
  <c r="K23" i="11"/>
  <c r="O23" i="11" s="1"/>
  <c r="I25" i="11"/>
  <c r="K25" i="11"/>
  <c r="L25" i="11"/>
  <c r="M25" i="11" s="1"/>
  <c r="O25" i="11"/>
  <c r="P25" i="11" s="1"/>
  <c r="H27" i="11"/>
  <c r="I27" i="11"/>
  <c r="K27" i="11"/>
  <c r="L27" i="11"/>
  <c r="M27" i="11" s="1"/>
  <c r="O27" i="11"/>
  <c r="P27" i="11" s="1"/>
  <c r="H28" i="11"/>
  <c r="I28" i="11"/>
  <c r="K28" i="11"/>
  <c r="L28" i="11"/>
  <c r="M28" i="11" s="1"/>
  <c r="O28" i="11"/>
  <c r="P28" i="11" s="1"/>
  <c r="I32" i="11"/>
  <c r="K32" i="11"/>
  <c r="O32" i="11" s="1"/>
  <c r="L32" i="11"/>
  <c r="M32" i="11"/>
  <c r="H34" i="11"/>
  <c r="L34" i="11" s="1"/>
  <c r="M34" i="11" s="1"/>
  <c r="K34" i="11"/>
  <c r="O34" i="11" s="1"/>
  <c r="H36" i="11"/>
  <c r="L36" i="11" s="1"/>
  <c r="M36" i="11" s="1"/>
  <c r="K36" i="11"/>
  <c r="O36" i="11" s="1"/>
  <c r="H38" i="11"/>
  <c r="L38" i="11" s="1"/>
  <c r="M38" i="11" s="1"/>
  <c r="K38" i="11"/>
  <c r="O38" i="11" s="1"/>
  <c r="H39" i="11"/>
  <c r="L39" i="11" s="1"/>
  <c r="M39" i="11" s="1"/>
  <c r="K39" i="11"/>
  <c r="O39" i="11" s="1"/>
  <c r="F41" i="11"/>
  <c r="L46" i="11"/>
  <c r="L47" i="11" s="1"/>
  <c r="I52" i="13" l="1"/>
  <c r="F52" i="13"/>
  <c r="J32" i="12"/>
  <c r="M34" i="12"/>
  <c r="F55" i="12"/>
  <c r="M37" i="12"/>
  <c r="H32" i="12" s="1"/>
  <c r="I32" i="12" s="1"/>
  <c r="I13" i="12" s="1"/>
  <c r="L47" i="12"/>
  <c r="L48" i="12" s="1"/>
  <c r="O38" i="12" s="1"/>
  <c r="P39" i="11"/>
  <c r="R39" i="11"/>
  <c r="P36" i="11"/>
  <c r="R36" i="11"/>
  <c r="P22" i="11"/>
  <c r="P18" i="11"/>
  <c r="R38" i="11"/>
  <c r="P38" i="11"/>
  <c r="P34" i="11"/>
  <c r="R34" i="11"/>
  <c r="P32" i="11"/>
  <c r="R32" i="11"/>
  <c r="P23" i="11"/>
  <c r="P21" i="11"/>
  <c r="P15" i="11"/>
  <c r="P41" i="11" s="1"/>
  <c r="P43" i="11" s="1"/>
  <c r="H41" i="11"/>
  <c r="I39" i="11"/>
  <c r="I38" i="11"/>
  <c r="I36" i="11"/>
  <c r="I34" i="11"/>
  <c r="I41" i="11" s="1"/>
  <c r="L23" i="11"/>
  <c r="M23" i="11" s="1"/>
  <c r="L22" i="11"/>
  <c r="M22" i="11" s="1"/>
  <c r="L21" i="11"/>
  <c r="M21" i="11" s="1"/>
  <c r="L18" i="11"/>
  <c r="M18" i="11" s="1"/>
  <c r="L15" i="11"/>
  <c r="M15" i="11" s="1"/>
  <c r="M41" i="11" s="1"/>
  <c r="M43" i="11" s="1"/>
  <c r="R27" i="11"/>
  <c r="R25" i="11"/>
  <c r="R28" i="11"/>
  <c r="K41" i="11"/>
  <c r="H13" i="12" l="1"/>
  <c r="H55" i="12" s="1"/>
  <c r="R15" i="11"/>
  <c r="R23" i="11"/>
  <c r="R18" i="11"/>
  <c r="R21" i="11"/>
  <c r="R22" i="11"/>
  <c r="D14" i="10" l="1"/>
  <c r="E14" i="10"/>
  <c r="G14" i="10"/>
  <c r="H14" i="10"/>
  <c r="F16" i="10"/>
  <c r="F17" i="10"/>
  <c r="F18" i="10"/>
  <c r="F19" i="10"/>
  <c r="F21" i="10"/>
  <c r="F22" i="10"/>
  <c r="F23" i="10"/>
  <c r="F24" i="10"/>
  <c r="F25" i="10"/>
  <c r="F26" i="10"/>
  <c r="F27" i="10"/>
  <c r="F28" i="10"/>
  <c r="F29" i="10"/>
  <c r="F31" i="10"/>
  <c r="F33" i="10"/>
  <c r="K33" i="10"/>
  <c r="L33" i="10" s="1"/>
  <c r="F34" i="10"/>
  <c r="D35" i="10"/>
  <c r="E35" i="10"/>
  <c r="G35" i="10"/>
  <c r="H35" i="10"/>
  <c r="F35" i="10" l="1"/>
  <c r="F14" i="10"/>
  <c r="D15" i="9"/>
  <c r="E15" i="9"/>
  <c r="G15" i="9"/>
  <c r="H15" i="9"/>
  <c r="F17" i="9"/>
  <c r="F18" i="9"/>
  <c r="F19" i="9"/>
  <c r="F21" i="9"/>
  <c r="F22" i="9"/>
  <c r="F23" i="9"/>
  <c r="F24" i="9"/>
  <c r="F25" i="9"/>
  <c r="F27" i="9"/>
  <c r="F29" i="9"/>
  <c r="F31" i="9"/>
  <c r="F33" i="9"/>
  <c r="F35" i="9"/>
  <c r="F36" i="9"/>
  <c r="D37" i="9"/>
  <c r="E37" i="9"/>
  <c r="G37" i="9"/>
  <c r="H37" i="9"/>
  <c r="F37" i="9" l="1"/>
  <c r="F15" i="9"/>
  <c r="D13" i="8"/>
  <c r="E13" i="8"/>
  <c r="F13" i="8"/>
  <c r="F29" i="8" s="1"/>
  <c r="G13" i="8"/>
  <c r="H13" i="8"/>
  <c r="F15" i="8"/>
  <c r="D17" i="8"/>
  <c r="D29" i="8" s="1"/>
  <c r="E17" i="8"/>
  <c r="G17" i="8"/>
  <c r="G29" i="8" s="1"/>
  <c r="H17" i="8"/>
  <c r="H29" i="8" s="1"/>
  <c r="F18" i="8"/>
  <c r="F20" i="8"/>
  <c r="F17" i="8" s="1"/>
  <c r="F21" i="8"/>
  <c r="F22" i="8"/>
  <c r="F23" i="8"/>
  <c r="E29" i="8"/>
  <c r="D12" i="7"/>
  <c r="E12" i="7"/>
  <c r="G12" i="7"/>
  <c r="F14" i="7"/>
  <c r="F12" i="7" s="1"/>
  <c r="F57" i="7" s="1"/>
  <c r="H14" i="7"/>
  <c r="I14" i="7"/>
  <c r="J14" i="7"/>
  <c r="F16" i="7"/>
  <c r="H16" i="7"/>
  <c r="I16" i="7"/>
  <c r="F17" i="7"/>
  <c r="H17" i="7"/>
  <c r="I17" i="7"/>
  <c r="F18" i="7"/>
  <c r="H18" i="7"/>
  <c r="I18" i="7"/>
  <c r="F19" i="7"/>
  <c r="H19" i="7"/>
  <c r="I19" i="7"/>
  <c r="F20" i="7"/>
  <c r="H20" i="7"/>
  <c r="I20" i="7"/>
  <c r="J20" i="7"/>
  <c r="F21" i="7"/>
  <c r="H21" i="7"/>
  <c r="I21" i="7"/>
  <c r="F22" i="7"/>
  <c r="H22" i="7"/>
  <c r="J22" i="7" s="1"/>
  <c r="N28" i="7" s="1"/>
  <c r="I22" i="7"/>
  <c r="K22" i="7"/>
  <c r="F24" i="7"/>
  <c r="H24" i="7"/>
  <c r="I24" i="7"/>
  <c r="J24" i="7"/>
  <c r="N26" i="7" s="1"/>
  <c r="N30" i="7" s="1"/>
  <c r="H30" i="7" s="1"/>
  <c r="I30" i="7" s="1"/>
  <c r="N24" i="7"/>
  <c r="F25" i="7"/>
  <c r="H25" i="7"/>
  <c r="I25" i="7"/>
  <c r="N25" i="7"/>
  <c r="F26" i="7"/>
  <c r="H26" i="7"/>
  <c r="I26" i="7"/>
  <c r="J26" i="7"/>
  <c r="N27" i="7" s="1"/>
  <c r="F27" i="7"/>
  <c r="H27" i="7"/>
  <c r="I27" i="7"/>
  <c r="F29" i="7"/>
  <c r="I29" i="7"/>
  <c r="F30" i="7"/>
  <c r="F31" i="7"/>
  <c r="I31" i="7"/>
  <c r="F32" i="7"/>
  <c r="F33" i="7"/>
  <c r="H33" i="7"/>
  <c r="I33" i="7" s="1"/>
  <c r="D35" i="7"/>
  <c r="E35" i="7"/>
  <c r="G35" i="7"/>
  <c r="H35" i="7"/>
  <c r="F36" i="7"/>
  <c r="F35" i="7" s="1"/>
  <c r="F37" i="7"/>
  <c r="F38" i="7"/>
  <c r="L38" i="7"/>
  <c r="L39" i="7"/>
  <c r="F40" i="7"/>
  <c r="F41" i="7"/>
  <c r="L41" i="7"/>
  <c r="L40" i="7" s="1"/>
  <c r="F42" i="7"/>
  <c r="F43" i="7"/>
  <c r="F44" i="7"/>
  <c r="F45" i="7"/>
  <c r="F47" i="7"/>
  <c r="F49" i="7"/>
  <c r="F51" i="7"/>
  <c r="F53" i="7"/>
  <c r="F55" i="7"/>
  <c r="F56" i="7"/>
  <c r="D57" i="7"/>
  <c r="E57" i="7"/>
  <c r="G57" i="7"/>
  <c r="H14" i="6"/>
  <c r="I14" i="6" s="1"/>
  <c r="K14" i="6"/>
  <c r="O14" i="6" s="1"/>
  <c r="P14" i="6" s="1"/>
  <c r="I15" i="6"/>
  <c r="K15" i="6"/>
  <c r="O15" i="6" s="1"/>
  <c r="P15" i="6" s="1"/>
  <c r="L15" i="6"/>
  <c r="M15" i="6"/>
  <c r="H17" i="6"/>
  <c r="L17" i="6" s="1"/>
  <c r="M17" i="6" s="1"/>
  <c r="I17" i="6"/>
  <c r="K17" i="6"/>
  <c r="O17" i="6"/>
  <c r="P17" i="6" s="1"/>
  <c r="H18" i="6"/>
  <c r="L18" i="6" s="1"/>
  <c r="M18" i="6" s="1"/>
  <c r="I18" i="6"/>
  <c r="K18" i="6"/>
  <c r="O18" i="6" s="1"/>
  <c r="P18" i="6" s="1"/>
  <c r="H19" i="6"/>
  <c r="I19" i="6"/>
  <c r="K19" i="6"/>
  <c r="O19" i="6" s="1"/>
  <c r="P19" i="6" s="1"/>
  <c r="L19" i="6"/>
  <c r="M19" i="6" s="1"/>
  <c r="H20" i="6"/>
  <c r="L20" i="6" s="1"/>
  <c r="M20" i="6" s="1"/>
  <c r="K20" i="6"/>
  <c r="O20" i="6" s="1"/>
  <c r="P20" i="6" s="1"/>
  <c r="H21" i="6"/>
  <c r="L21" i="6" s="1"/>
  <c r="M21" i="6" s="1"/>
  <c r="I21" i="6"/>
  <c r="K21" i="6"/>
  <c r="O21" i="6"/>
  <c r="P21" i="6" s="1"/>
  <c r="H22" i="6"/>
  <c r="L22" i="6" s="1"/>
  <c r="M22" i="6" s="1"/>
  <c r="I22" i="6"/>
  <c r="K22" i="6"/>
  <c r="O22" i="6" s="1"/>
  <c r="P22" i="6" s="1"/>
  <c r="H24" i="6"/>
  <c r="I24" i="6"/>
  <c r="K24" i="6"/>
  <c r="O24" i="6" s="1"/>
  <c r="P24" i="6" s="1"/>
  <c r="L24" i="6"/>
  <c r="M24" i="6" s="1"/>
  <c r="H25" i="6"/>
  <c r="L25" i="6" s="1"/>
  <c r="M25" i="6" s="1"/>
  <c r="K25" i="6"/>
  <c r="O25" i="6" s="1"/>
  <c r="P25" i="6" s="1"/>
  <c r="H26" i="6"/>
  <c r="L26" i="6" s="1"/>
  <c r="M26" i="6" s="1"/>
  <c r="K26" i="6"/>
  <c r="O26" i="6"/>
  <c r="P26" i="6" s="1"/>
  <c r="H27" i="6"/>
  <c r="L27" i="6" s="1"/>
  <c r="M27" i="6" s="1"/>
  <c r="I27" i="6"/>
  <c r="K27" i="6"/>
  <c r="O27" i="6"/>
  <c r="P27" i="6" s="1"/>
  <c r="H28" i="6"/>
  <c r="I28" i="6"/>
  <c r="K28" i="6"/>
  <c r="O28" i="6" s="1"/>
  <c r="P28" i="6" s="1"/>
  <c r="L28" i="6"/>
  <c r="M28" i="6" s="1"/>
  <c r="H29" i="6"/>
  <c r="I29" i="6" s="1"/>
  <c r="K29" i="6"/>
  <c r="O29" i="6" s="1"/>
  <c r="P29" i="6" s="1"/>
  <c r="L29" i="6"/>
  <c r="M29" i="6" s="1"/>
  <c r="H30" i="6"/>
  <c r="L30" i="6" s="1"/>
  <c r="M30" i="6" s="1"/>
  <c r="K30" i="6"/>
  <c r="O30" i="6"/>
  <c r="P30" i="6" s="1"/>
  <c r="I32" i="6"/>
  <c r="K32" i="6"/>
  <c r="O32" i="6" s="1"/>
  <c r="P32" i="6" s="1"/>
  <c r="L32" i="6"/>
  <c r="M32" i="6" s="1"/>
  <c r="H33" i="6"/>
  <c r="I33" i="6" s="1"/>
  <c r="K33" i="6"/>
  <c r="O33" i="6" s="1"/>
  <c r="P33" i="6" s="1"/>
  <c r="H34" i="6"/>
  <c r="L34" i="6" s="1"/>
  <c r="M34" i="6" s="1"/>
  <c r="K34" i="6"/>
  <c r="O34" i="6"/>
  <c r="P34" i="6" s="1"/>
  <c r="H35" i="6"/>
  <c r="L35" i="6" s="1"/>
  <c r="M35" i="6" s="1"/>
  <c r="I35" i="6"/>
  <c r="K35" i="6"/>
  <c r="O35" i="6" s="1"/>
  <c r="P35" i="6" s="1"/>
  <c r="H36" i="6"/>
  <c r="I36" i="6"/>
  <c r="K36" i="6"/>
  <c r="O36" i="6" s="1"/>
  <c r="P36" i="6" s="1"/>
  <c r="L36" i="6"/>
  <c r="M36" i="6" s="1"/>
  <c r="H37" i="6"/>
  <c r="L37" i="6" s="1"/>
  <c r="M37" i="6" s="1"/>
  <c r="K37" i="6"/>
  <c r="O37" i="6" s="1"/>
  <c r="P37" i="6" s="1"/>
  <c r="H38" i="6"/>
  <c r="L38" i="6" s="1"/>
  <c r="M38" i="6" s="1"/>
  <c r="I38" i="6"/>
  <c r="K38" i="6"/>
  <c r="O38" i="6"/>
  <c r="P38" i="6" s="1"/>
  <c r="B39" i="6"/>
  <c r="F39" i="6"/>
  <c r="I12" i="7" l="1"/>
  <c r="H12" i="7"/>
  <c r="H57" i="7" s="1"/>
  <c r="P39" i="6"/>
  <c r="P41" i="6" s="1"/>
  <c r="L33" i="6"/>
  <c r="M33" i="6" s="1"/>
  <c r="K39" i="6"/>
  <c r="I37" i="6"/>
  <c r="I25" i="6"/>
  <c r="I20" i="6"/>
  <c r="I39" i="6" s="1"/>
  <c r="L14" i="6"/>
  <c r="M14" i="6" s="1"/>
  <c r="I34" i="6"/>
  <c r="I30" i="6"/>
  <c r="I26" i="6"/>
  <c r="H39" i="6"/>
  <c r="M39" i="6" l="1"/>
  <c r="M41" i="6" s="1"/>
  <c r="D12" i="5" l="1"/>
  <c r="E12" i="5"/>
  <c r="E57" i="5" s="1"/>
  <c r="G12" i="5"/>
  <c r="F14" i="5"/>
  <c r="F12" i="5" s="1"/>
  <c r="H14" i="5"/>
  <c r="I14" i="5"/>
  <c r="J14" i="5"/>
  <c r="F16" i="5"/>
  <c r="H16" i="5"/>
  <c r="I16" i="5"/>
  <c r="F17" i="5"/>
  <c r="H17" i="5"/>
  <c r="I17" i="5"/>
  <c r="F18" i="5"/>
  <c r="H18" i="5"/>
  <c r="I18" i="5"/>
  <c r="F19" i="5"/>
  <c r="H19" i="5"/>
  <c r="I19" i="5"/>
  <c r="F20" i="5"/>
  <c r="F21" i="5"/>
  <c r="H21" i="5"/>
  <c r="I21" i="5"/>
  <c r="J21" i="5"/>
  <c r="F22" i="5"/>
  <c r="H22" i="5"/>
  <c r="I22" i="5"/>
  <c r="F23" i="5"/>
  <c r="H23" i="5"/>
  <c r="I23" i="5"/>
  <c r="J23" i="5"/>
  <c r="F25" i="5"/>
  <c r="H25" i="5"/>
  <c r="I25" i="5"/>
  <c r="J25" i="5"/>
  <c r="F26" i="5"/>
  <c r="H26" i="5"/>
  <c r="I26" i="5"/>
  <c r="F27" i="5"/>
  <c r="H27" i="5"/>
  <c r="J27" i="5" s="1"/>
  <c r="I27" i="5"/>
  <c r="N27" i="5"/>
  <c r="F28" i="5"/>
  <c r="H28" i="5"/>
  <c r="I28" i="5"/>
  <c r="N28" i="5"/>
  <c r="N29" i="5"/>
  <c r="F30" i="5"/>
  <c r="I30" i="5"/>
  <c r="F31" i="5"/>
  <c r="N31" i="5"/>
  <c r="F32" i="5"/>
  <c r="I32" i="5"/>
  <c r="F33" i="5"/>
  <c r="O33" i="5"/>
  <c r="F34" i="5"/>
  <c r="H34" i="5"/>
  <c r="I34" i="5"/>
  <c r="F35" i="5"/>
  <c r="D36" i="5"/>
  <c r="E36" i="5"/>
  <c r="G36" i="5"/>
  <c r="H36" i="5"/>
  <c r="F37" i="5"/>
  <c r="F38" i="5"/>
  <c r="F36" i="5" s="1"/>
  <c r="F39" i="5"/>
  <c r="L40" i="5"/>
  <c r="F41" i="5"/>
  <c r="L41" i="5"/>
  <c r="F42" i="5"/>
  <c r="F43" i="5"/>
  <c r="L43" i="5"/>
  <c r="L42" i="5" s="1"/>
  <c r="F44" i="5"/>
  <c r="F45" i="5"/>
  <c r="F46" i="5"/>
  <c r="F47" i="5"/>
  <c r="L47" i="5"/>
  <c r="I48" i="5"/>
  <c r="K48" i="5"/>
  <c r="F49" i="5"/>
  <c r="F51" i="5"/>
  <c r="F53" i="5"/>
  <c r="F54" i="5"/>
  <c r="F56" i="5"/>
  <c r="D57" i="5"/>
  <c r="G57" i="5"/>
  <c r="H13" i="4"/>
  <c r="I13" i="4" s="1"/>
  <c r="K13" i="4"/>
  <c r="O13" i="4" s="1"/>
  <c r="H14" i="4"/>
  <c r="I14" i="4" s="1"/>
  <c r="K14" i="4"/>
  <c r="O14" i="4" s="1"/>
  <c r="H17" i="4"/>
  <c r="I17" i="4" s="1"/>
  <c r="K17" i="4"/>
  <c r="O17" i="4" s="1"/>
  <c r="H18" i="4"/>
  <c r="I18" i="4" s="1"/>
  <c r="K18" i="4"/>
  <c r="O18" i="4" s="1"/>
  <c r="H19" i="4"/>
  <c r="I19" i="4" s="1"/>
  <c r="K19" i="4"/>
  <c r="O19" i="4" s="1"/>
  <c r="H20" i="4"/>
  <c r="I20" i="4" s="1"/>
  <c r="K20" i="4"/>
  <c r="O20" i="4" s="1"/>
  <c r="H21" i="4"/>
  <c r="I21" i="4" s="1"/>
  <c r="K21" i="4"/>
  <c r="O21" i="4" s="1"/>
  <c r="P21" i="4"/>
  <c r="H22" i="4"/>
  <c r="I22" i="4" s="1"/>
  <c r="K22" i="4"/>
  <c r="O22" i="4" s="1"/>
  <c r="P22" i="4" s="1"/>
  <c r="H24" i="4"/>
  <c r="I24" i="4" s="1"/>
  <c r="K24" i="4"/>
  <c r="O24" i="4" s="1"/>
  <c r="P24" i="4"/>
  <c r="H25" i="4"/>
  <c r="I25" i="4" s="1"/>
  <c r="K25" i="4"/>
  <c r="O25" i="4" s="1"/>
  <c r="P25" i="4" s="1"/>
  <c r="H26" i="4"/>
  <c r="I26" i="4" s="1"/>
  <c r="K26" i="4"/>
  <c r="O26" i="4" s="1"/>
  <c r="P26" i="4"/>
  <c r="H27" i="4"/>
  <c r="I27" i="4" s="1"/>
  <c r="K27" i="4"/>
  <c r="O27" i="4" s="1"/>
  <c r="P27" i="4"/>
  <c r="H28" i="4"/>
  <c r="I28" i="4" s="1"/>
  <c r="K28" i="4"/>
  <c r="O28" i="4" s="1"/>
  <c r="P28" i="4"/>
  <c r="H30" i="4"/>
  <c r="I30" i="4" s="1"/>
  <c r="K30" i="4"/>
  <c r="O30" i="4" s="1"/>
  <c r="P30" i="4" s="1"/>
  <c r="H33" i="4"/>
  <c r="K33" i="4"/>
  <c r="O33" i="4" s="1"/>
  <c r="P33" i="4" s="1"/>
  <c r="H34" i="4"/>
  <c r="K34" i="4"/>
  <c r="O34" i="4" s="1"/>
  <c r="P34" i="4" s="1"/>
  <c r="H35" i="4"/>
  <c r="K35" i="4"/>
  <c r="O35" i="4" s="1"/>
  <c r="P35" i="4" s="1"/>
  <c r="H36" i="4"/>
  <c r="K36" i="4"/>
  <c r="O36" i="4" s="1"/>
  <c r="P36" i="4" s="1"/>
  <c r="H37" i="4"/>
  <c r="K37" i="4"/>
  <c r="O37" i="4" s="1"/>
  <c r="P37" i="4" s="1"/>
  <c r="H38" i="4"/>
  <c r="K38" i="4"/>
  <c r="O38" i="4" s="1"/>
  <c r="P38" i="4" s="1"/>
  <c r="H39" i="4"/>
  <c r="K39" i="4"/>
  <c r="O39" i="4" s="1"/>
  <c r="H40" i="4"/>
  <c r="K40" i="4"/>
  <c r="O40" i="4" s="1"/>
  <c r="P40" i="4" s="1"/>
  <c r="H41" i="4"/>
  <c r="K41" i="4"/>
  <c r="O41" i="4" s="1"/>
  <c r="P41" i="4" s="1"/>
  <c r="H42" i="4"/>
  <c r="K42" i="4"/>
  <c r="O42" i="4" s="1"/>
  <c r="P42" i="4" s="1"/>
  <c r="H43" i="4"/>
  <c r="K43" i="4"/>
  <c r="O43" i="4" s="1"/>
  <c r="H44" i="4"/>
  <c r="K44" i="4"/>
  <c r="O44" i="4" s="1"/>
  <c r="P44" i="4" s="1"/>
  <c r="H45" i="4"/>
  <c r="K45" i="4"/>
  <c r="O45" i="4" s="1"/>
  <c r="P45" i="4" s="1"/>
  <c r="H48" i="4"/>
  <c r="K48" i="4"/>
  <c r="O48" i="4" s="1"/>
  <c r="P48" i="4" s="1"/>
  <c r="H49" i="4"/>
  <c r="K49" i="4"/>
  <c r="O49" i="4" s="1"/>
  <c r="P49" i="4" s="1"/>
  <c r="H50" i="4"/>
  <c r="K50" i="4"/>
  <c r="O50" i="4" s="1"/>
  <c r="P50" i="4" s="1"/>
  <c r="H53" i="4"/>
  <c r="K53" i="4"/>
  <c r="O53" i="4" s="1"/>
  <c r="H54" i="4"/>
  <c r="K54" i="4"/>
  <c r="O54" i="4" s="1"/>
  <c r="P54" i="4" s="1"/>
  <c r="H57" i="4"/>
  <c r="K57" i="4"/>
  <c r="O57" i="4" s="1"/>
  <c r="P57" i="4" s="1"/>
  <c r="H58" i="4"/>
  <c r="K58" i="4"/>
  <c r="O58" i="4" s="1"/>
  <c r="P58" i="4" s="1"/>
  <c r="H60" i="4"/>
  <c r="K60" i="4"/>
  <c r="O60" i="4" s="1"/>
  <c r="P60" i="4" s="1"/>
  <c r="H61" i="4"/>
  <c r="K61" i="4"/>
  <c r="O61" i="4" s="1"/>
  <c r="H62" i="4"/>
  <c r="K62" i="4"/>
  <c r="O62" i="4" s="1"/>
  <c r="P62" i="4" s="1"/>
  <c r="H63" i="4"/>
  <c r="K63" i="4"/>
  <c r="O63" i="4" s="1"/>
  <c r="P63" i="4" s="1"/>
  <c r="F67" i="4"/>
  <c r="N30" i="5" l="1"/>
  <c r="N33" i="5" s="1"/>
  <c r="H31" i="5" s="1"/>
  <c r="I31" i="5" s="1"/>
  <c r="I12" i="5" s="1"/>
  <c r="J31" i="5"/>
  <c r="F57" i="5"/>
  <c r="R61" i="4"/>
  <c r="R43" i="4"/>
  <c r="I62" i="4"/>
  <c r="L62" i="4"/>
  <c r="M62" i="4" s="1"/>
  <c r="I61" i="4"/>
  <c r="L61" i="4"/>
  <c r="M61" i="4" s="1"/>
  <c r="I60" i="4"/>
  <c r="L60" i="4"/>
  <c r="M60" i="4" s="1"/>
  <c r="I54" i="4"/>
  <c r="L54" i="4"/>
  <c r="M54" i="4" s="1"/>
  <c r="I49" i="4"/>
  <c r="L49" i="4"/>
  <c r="M49" i="4" s="1"/>
  <c r="I45" i="4"/>
  <c r="L45" i="4"/>
  <c r="M45" i="4" s="1"/>
  <c r="I42" i="4"/>
  <c r="L42" i="4"/>
  <c r="M42" i="4" s="1"/>
  <c r="I39" i="4"/>
  <c r="L39" i="4"/>
  <c r="M39" i="4" s="1"/>
  <c r="I37" i="4"/>
  <c r="L37" i="4"/>
  <c r="M37" i="4" s="1"/>
  <c r="I35" i="4"/>
  <c r="L35" i="4"/>
  <c r="M35" i="4" s="1"/>
  <c r="I33" i="4"/>
  <c r="L33" i="4"/>
  <c r="M33" i="4" s="1"/>
  <c r="R27" i="4"/>
  <c r="P61" i="4"/>
  <c r="P53" i="4"/>
  <c r="P43" i="4"/>
  <c r="P39" i="4"/>
  <c r="P20" i="4"/>
  <c r="P18" i="4"/>
  <c r="R18" i="4"/>
  <c r="P14" i="4"/>
  <c r="R49" i="4"/>
  <c r="R45" i="4"/>
  <c r="I58" i="4"/>
  <c r="L58" i="4"/>
  <c r="M58" i="4" s="1"/>
  <c r="I57" i="4"/>
  <c r="L57" i="4"/>
  <c r="M57" i="4" s="1"/>
  <c r="I48" i="4"/>
  <c r="L48" i="4"/>
  <c r="M48" i="4" s="1"/>
  <c r="I43" i="4"/>
  <c r="L43" i="4"/>
  <c r="M43" i="4" s="1"/>
  <c r="I40" i="4"/>
  <c r="L40" i="4"/>
  <c r="M40" i="4" s="1"/>
  <c r="R60" i="4"/>
  <c r="R57" i="4"/>
  <c r="R50" i="4"/>
  <c r="R42" i="4"/>
  <c r="R37" i="4"/>
  <c r="R35" i="4"/>
  <c r="R33" i="4"/>
  <c r="P19" i="4"/>
  <c r="P17" i="4"/>
  <c r="P13" i="4"/>
  <c r="P67" i="4" s="1"/>
  <c r="P69" i="4" s="1"/>
  <c r="R54" i="4"/>
  <c r="R48" i="4"/>
  <c r="R41" i="4"/>
  <c r="I63" i="4"/>
  <c r="L63" i="4"/>
  <c r="M63" i="4" s="1"/>
  <c r="I53" i="4"/>
  <c r="L53" i="4"/>
  <c r="M53" i="4" s="1"/>
  <c r="I50" i="4"/>
  <c r="L50" i="4"/>
  <c r="M50" i="4" s="1"/>
  <c r="I44" i="4"/>
  <c r="L44" i="4"/>
  <c r="M44" i="4" s="1"/>
  <c r="I41" i="4"/>
  <c r="L41" i="4"/>
  <c r="M41" i="4" s="1"/>
  <c r="I38" i="4"/>
  <c r="L38" i="4"/>
  <c r="M38" i="4" s="1"/>
  <c r="I36" i="4"/>
  <c r="L36" i="4"/>
  <c r="M36" i="4" s="1"/>
  <c r="I34" i="4"/>
  <c r="L34" i="4"/>
  <c r="M34" i="4" s="1"/>
  <c r="K67" i="4"/>
  <c r="L30" i="4"/>
  <c r="M30" i="4" s="1"/>
  <c r="L28" i="4"/>
  <c r="M28" i="4" s="1"/>
  <c r="L27" i="4"/>
  <c r="M27" i="4" s="1"/>
  <c r="L26" i="4"/>
  <c r="M26" i="4" s="1"/>
  <c r="L25" i="4"/>
  <c r="M25" i="4" s="1"/>
  <c r="L24" i="4"/>
  <c r="M24" i="4" s="1"/>
  <c r="L22" i="4"/>
  <c r="M22" i="4" s="1"/>
  <c r="L21" i="4"/>
  <c r="M21" i="4" s="1"/>
  <c r="L20" i="4"/>
  <c r="M20" i="4" s="1"/>
  <c r="L19" i="4"/>
  <c r="M19" i="4" s="1"/>
  <c r="L18" i="4"/>
  <c r="M18" i="4" s="1"/>
  <c r="L17" i="4"/>
  <c r="M17" i="4" s="1"/>
  <c r="L14" i="4"/>
  <c r="M14" i="4" s="1"/>
  <c r="L13" i="4"/>
  <c r="M13" i="4" s="1"/>
  <c r="M67" i="4" s="1"/>
  <c r="M69" i="4" s="1"/>
  <c r="H67" i="4"/>
  <c r="H12" i="5" l="1"/>
  <c r="H57" i="5" s="1"/>
  <c r="R17" i="4"/>
  <c r="R21" i="4"/>
  <c r="R58" i="4"/>
  <c r="R24" i="4"/>
  <c r="R22" i="4"/>
  <c r="R63" i="4"/>
  <c r="R26" i="4"/>
  <c r="R36" i="4"/>
  <c r="R44" i="4"/>
  <c r="R25" i="4"/>
  <c r="R40" i="4"/>
  <c r="R62" i="4"/>
  <c r="R28" i="4"/>
  <c r="R39" i="4"/>
  <c r="R13" i="4"/>
  <c r="R19" i="4"/>
  <c r="R30" i="4"/>
  <c r="R14" i="4"/>
  <c r="R20" i="4"/>
  <c r="R34" i="4"/>
  <c r="R38" i="4"/>
  <c r="R53" i="4"/>
  <c r="I67" i="4"/>
  <c r="R69" i="4" l="1"/>
  <c r="D11" i="3" l="1"/>
  <c r="E11" i="3"/>
  <c r="G11" i="3"/>
  <c r="F13" i="3"/>
  <c r="F11" i="3" s="1"/>
  <c r="H13" i="3"/>
  <c r="I13" i="3"/>
  <c r="J13" i="3"/>
  <c r="M28" i="3" s="1"/>
  <c r="F15" i="3"/>
  <c r="H15" i="3"/>
  <c r="I15" i="3"/>
  <c r="F16" i="3"/>
  <c r="H16" i="3"/>
  <c r="I16" i="3"/>
  <c r="F17" i="3"/>
  <c r="H17" i="3"/>
  <c r="I17" i="3"/>
  <c r="F18" i="3"/>
  <c r="H18" i="3"/>
  <c r="I18" i="3"/>
  <c r="F19" i="3"/>
  <c r="F20" i="3"/>
  <c r="I20" i="3"/>
  <c r="F21" i="3"/>
  <c r="H21" i="3"/>
  <c r="J21" i="3" s="1"/>
  <c r="I21" i="3"/>
  <c r="F22" i="3"/>
  <c r="H22" i="3"/>
  <c r="I22" i="3"/>
  <c r="F23" i="3"/>
  <c r="H23" i="3"/>
  <c r="J23" i="3" s="1"/>
  <c r="M32" i="3" s="1"/>
  <c r="I23" i="3"/>
  <c r="F25" i="3"/>
  <c r="H25" i="3"/>
  <c r="J25" i="3" s="1"/>
  <c r="M30" i="3" s="1"/>
  <c r="I25" i="3"/>
  <c r="F26" i="3"/>
  <c r="H26" i="3"/>
  <c r="I26" i="3"/>
  <c r="K26" i="3"/>
  <c r="F27" i="3"/>
  <c r="H27" i="3"/>
  <c r="J27" i="3" s="1"/>
  <c r="M31" i="3" s="1"/>
  <c r="I27" i="3"/>
  <c r="F28" i="3"/>
  <c r="H28" i="3"/>
  <c r="I28" i="3"/>
  <c r="F30" i="3"/>
  <c r="F31" i="3"/>
  <c r="F32" i="3"/>
  <c r="I32" i="3"/>
  <c r="F33" i="3"/>
  <c r="F34" i="3"/>
  <c r="H34" i="3"/>
  <c r="I34" i="3"/>
  <c r="F35" i="3"/>
  <c r="D36" i="3"/>
  <c r="E36" i="3"/>
  <c r="G36" i="3"/>
  <c r="H36" i="3"/>
  <c r="F37" i="3"/>
  <c r="F36" i="3" s="1"/>
  <c r="F38" i="3"/>
  <c r="F39" i="3"/>
  <c r="F41" i="3"/>
  <c r="F42" i="3"/>
  <c r="F43" i="3"/>
  <c r="F44" i="3"/>
  <c r="F45" i="3"/>
  <c r="F46" i="3"/>
  <c r="L47" i="3"/>
  <c r="F48" i="3"/>
  <c r="L48" i="3"/>
  <c r="M48" i="3"/>
  <c r="N48" i="3" s="1"/>
  <c r="N50" i="3" s="1"/>
  <c r="F50" i="3"/>
  <c r="L50" i="3"/>
  <c r="L49" i="3" s="1"/>
  <c r="F52" i="3"/>
  <c r="F54" i="3"/>
  <c r="F56" i="3"/>
  <c r="F57" i="3"/>
  <c r="F58" i="3"/>
  <c r="D59" i="3"/>
  <c r="E59" i="3"/>
  <c r="G59" i="3"/>
  <c r="H13" i="2"/>
  <c r="I13" i="2" s="1"/>
  <c r="K13" i="2"/>
  <c r="O13" i="2" s="1"/>
  <c r="P13" i="2" s="1"/>
  <c r="H17" i="2"/>
  <c r="I17" i="2" s="1"/>
  <c r="K17" i="2"/>
  <c r="O17" i="2" s="1"/>
  <c r="P17" i="2" s="1"/>
  <c r="H18" i="2"/>
  <c r="I18" i="2" s="1"/>
  <c r="K18" i="2"/>
  <c r="O18" i="2" s="1"/>
  <c r="P18" i="2" s="1"/>
  <c r="H19" i="2"/>
  <c r="I19" i="2" s="1"/>
  <c r="K19" i="2"/>
  <c r="O19" i="2" s="1"/>
  <c r="P19" i="2" s="1"/>
  <c r="H21" i="2"/>
  <c r="I21" i="2" s="1"/>
  <c r="K21" i="2"/>
  <c r="O21" i="2" s="1"/>
  <c r="P21" i="2" s="1"/>
  <c r="H22" i="2"/>
  <c r="I22" i="2" s="1"/>
  <c r="K22" i="2"/>
  <c r="O22" i="2" s="1"/>
  <c r="P22" i="2" s="1"/>
  <c r="H23" i="2"/>
  <c r="I23" i="2" s="1"/>
  <c r="K23" i="2"/>
  <c r="O23" i="2" s="1"/>
  <c r="P23" i="2" s="1"/>
  <c r="H24" i="2"/>
  <c r="I24" i="2" s="1"/>
  <c r="K24" i="2"/>
  <c r="O24" i="2" s="1"/>
  <c r="P24" i="2" s="1"/>
  <c r="H25" i="2"/>
  <c r="I25" i="2" s="1"/>
  <c r="K25" i="2"/>
  <c r="O25" i="2" s="1"/>
  <c r="P25" i="2" s="1"/>
  <c r="H26" i="2"/>
  <c r="I26" i="2" s="1"/>
  <c r="K26" i="2"/>
  <c r="O26" i="2" s="1"/>
  <c r="P26" i="2" s="1"/>
  <c r="H29" i="2"/>
  <c r="I29" i="2" s="1"/>
  <c r="K29" i="2"/>
  <c r="O29" i="2" s="1"/>
  <c r="H31" i="2"/>
  <c r="I31" i="2" s="1"/>
  <c r="K31" i="2"/>
  <c r="O31" i="2" s="1"/>
  <c r="H32" i="2"/>
  <c r="I32" i="2" s="1"/>
  <c r="K32" i="2"/>
  <c r="O32" i="2" s="1"/>
  <c r="H33" i="2"/>
  <c r="I33" i="2" s="1"/>
  <c r="K33" i="2"/>
  <c r="O33" i="2" s="1"/>
  <c r="H35" i="2"/>
  <c r="I35" i="2" s="1"/>
  <c r="K35" i="2"/>
  <c r="O35" i="2" s="1"/>
  <c r="H36" i="2"/>
  <c r="I36" i="2" s="1"/>
  <c r="K36" i="2"/>
  <c r="O36" i="2" s="1"/>
  <c r="H37" i="2"/>
  <c r="I37" i="2" s="1"/>
  <c r="K37" i="2"/>
  <c r="O37" i="2" s="1"/>
  <c r="H39" i="2"/>
  <c r="I39" i="2" s="1"/>
  <c r="K39" i="2"/>
  <c r="O39" i="2" s="1"/>
  <c r="H40" i="2"/>
  <c r="I40" i="2" s="1"/>
  <c r="K40" i="2"/>
  <c r="O40" i="2" s="1"/>
  <c r="H42" i="2"/>
  <c r="I42" i="2" s="1"/>
  <c r="K42" i="2"/>
  <c r="O42" i="2" s="1"/>
  <c r="H43" i="2"/>
  <c r="I43" i="2" s="1"/>
  <c r="K43" i="2"/>
  <c r="O43" i="2" s="1"/>
  <c r="H45" i="2"/>
  <c r="I45" i="2" s="1"/>
  <c r="K45" i="2"/>
  <c r="O45" i="2" s="1"/>
  <c r="H46" i="2"/>
  <c r="I46" i="2" s="1"/>
  <c r="K46" i="2"/>
  <c r="K50" i="2" s="1"/>
  <c r="H47" i="2"/>
  <c r="I47" i="2" s="1"/>
  <c r="K47" i="2"/>
  <c r="O47" i="2" s="1"/>
  <c r="H48" i="2"/>
  <c r="I48" i="2" s="1"/>
  <c r="K48" i="2"/>
  <c r="O48" i="2" s="1"/>
  <c r="H49" i="2"/>
  <c r="I49" i="2" s="1"/>
  <c r="K49" i="2"/>
  <c r="O49" i="2" s="1"/>
  <c r="B50" i="2"/>
  <c r="F50" i="2"/>
  <c r="H50" i="2"/>
  <c r="M29" i="3" l="1"/>
  <c r="J31" i="3"/>
  <c r="F59" i="3"/>
  <c r="M34" i="3"/>
  <c r="H31" i="3" s="1"/>
  <c r="I31" i="3" s="1"/>
  <c r="I11" i="3" s="1"/>
  <c r="P40" i="2"/>
  <c r="R25" i="2"/>
  <c r="P49" i="2"/>
  <c r="P47" i="2"/>
  <c r="R47" i="2"/>
  <c r="P45" i="2"/>
  <c r="P42" i="2"/>
  <c r="R42" i="2"/>
  <c r="P39" i="2"/>
  <c r="P36" i="2"/>
  <c r="R36" i="2"/>
  <c r="P33" i="2"/>
  <c r="P31" i="2"/>
  <c r="R31" i="2"/>
  <c r="R19" i="2"/>
  <c r="P48" i="2"/>
  <c r="R48" i="2"/>
  <c r="P35" i="2"/>
  <c r="P32" i="2"/>
  <c r="R32" i="2"/>
  <c r="R23" i="2"/>
  <c r="R13" i="2"/>
  <c r="P43" i="2"/>
  <c r="R43" i="2"/>
  <c r="P37" i="2"/>
  <c r="R37" i="2"/>
  <c r="P29" i="2"/>
  <c r="I50" i="2"/>
  <c r="L49" i="2"/>
  <c r="M49" i="2" s="1"/>
  <c r="L48" i="2"/>
  <c r="M48" i="2" s="1"/>
  <c r="L47" i="2"/>
  <c r="M47" i="2" s="1"/>
  <c r="L46" i="2"/>
  <c r="M46" i="2" s="1"/>
  <c r="L45" i="2"/>
  <c r="M45" i="2" s="1"/>
  <c r="L43" i="2"/>
  <c r="M43" i="2" s="1"/>
  <c r="L42" i="2"/>
  <c r="M42" i="2" s="1"/>
  <c r="L40" i="2"/>
  <c r="M40" i="2" s="1"/>
  <c r="L39" i="2"/>
  <c r="M39" i="2" s="1"/>
  <c r="L37" i="2"/>
  <c r="M37" i="2" s="1"/>
  <c r="L36" i="2"/>
  <c r="M36" i="2" s="1"/>
  <c r="L35" i="2"/>
  <c r="M35" i="2" s="1"/>
  <c r="L33" i="2"/>
  <c r="M33" i="2" s="1"/>
  <c r="L32" i="2"/>
  <c r="M32" i="2" s="1"/>
  <c r="L31" i="2"/>
  <c r="M31" i="2" s="1"/>
  <c r="L29" i="2"/>
  <c r="M29" i="2" s="1"/>
  <c r="L26" i="2"/>
  <c r="M26" i="2" s="1"/>
  <c r="R26" i="2" s="1"/>
  <c r="L25" i="2"/>
  <c r="M25" i="2" s="1"/>
  <c r="L24" i="2"/>
  <c r="M24" i="2" s="1"/>
  <c r="R24" i="2" s="1"/>
  <c r="L23" i="2"/>
  <c r="M23" i="2" s="1"/>
  <c r="L22" i="2"/>
  <c r="M22" i="2" s="1"/>
  <c r="R22" i="2" s="1"/>
  <c r="L21" i="2"/>
  <c r="M21" i="2" s="1"/>
  <c r="R21" i="2" s="1"/>
  <c r="L19" i="2"/>
  <c r="M19" i="2" s="1"/>
  <c r="L18" i="2"/>
  <c r="M18" i="2" s="1"/>
  <c r="R18" i="2" s="1"/>
  <c r="L17" i="2"/>
  <c r="M17" i="2" s="1"/>
  <c r="R17" i="2" s="1"/>
  <c r="L13" i="2"/>
  <c r="M13" i="2" s="1"/>
  <c r="O46" i="2"/>
  <c r="H11" i="3" l="1"/>
  <c r="H59" i="3" s="1"/>
  <c r="M50" i="2"/>
  <c r="M52" i="2" s="1"/>
  <c r="R35" i="2"/>
  <c r="R40" i="2"/>
  <c r="P46" i="2"/>
  <c r="P50" i="2" s="1"/>
  <c r="P52" i="2" s="1"/>
  <c r="R46" i="2"/>
  <c r="R29" i="2"/>
  <c r="R33" i="2"/>
  <c r="R52" i="2" s="1"/>
  <c r="R39" i="2"/>
  <c r="R45" i="2"/>
  <c r="R49" i="2"/>
</calcChain>
</file>

<file path=xl/comments1.xml><?xml version="1.0" encoding="utf-8"?>
<comments xmlns="http://schemas.openxmlformats.org/spreadsheetml/2006/main">
  <authors>
    <author>Author</author>
  </authors>
  <commentList>
    <comment ref="A33" authorId="0" shapeId="0">
      <text>
        <r>
          <rPr>
            <b/>
            <sz val="8"/>
            <color indexed="81"/>
            <rFont val="Tahoma"/>
            <family val="2"/>
          </rPr>
          <t xml:space="preserve">Author:
</t>
        </r>
      </text>
    </comment>
    <comment ref="B33" authorId="0" shapeId="0">
      <text>
        <r>
          <rPr>
            <b/>
            <sz val="8"/>
            <color indexed="81"/>
            <rFont val="Tahoma"/>
            <family val="2"/>
          </rPr>
          <t xml:space="preserve">Author:
</t>
        </r>
      </text>
    </comment>
  </commentList>
</comments>
</file>

<file path=xl/comments2.xml><?xml version="1.0" encoding="utf-8"?>
<comments xmlns="http://schemas.openxmlformats.org/spreadsheetml/2006/main">
  <authors>
    <author>Author</author>
  </authors>
  <commentList>
    <comment ref="A34" authorId="0" shapeId="0">
      <text>
        <r>
          <rPr>
            <b/>
            <sz val="8"/>
            <color indexed="81"/>
            <rFont val="Tahoma"/>
            <family val="2"/>
          </rPr>
          <t xml:space="preserve">Author:
</t>
        </r>
      </text>
    </comment>
    <comment ref="B34" authorId="0" shapeId="0">
      <text>
        <r>
          <rPr>
            <b/>
            <sz val="8"/>
            <color indexed="81"/>
            <rFont val="Tahoma"/>
            <family val="2"/>
          </rPr>
          <t xml:space="preserve">Author:
</t>
        </r>
      </text>
    </comment>
  </commentList>
</comments>
</file>

<file path=xl/comments3.xml><?xml version="1.0" encoding="utf-8"?>
<comments xmlns="http://schemas.openxmlformats.org/spreadsheetml/2006/main">
  <authors>
    <author>Author</author>
  </authors>
  <commentList>
    <comment ref="K389" authorId="0" shapeId="0">
      <text>
        <r>
          <rPr>
            <b/>
            <sz val="10"/>
            <color indexed="81"/>
            <rFont val="Tahoma"/>
            <family val="2"/>
          </rPr>
          <t>il:</t>
        </r>
        <r>
          <rPr>
            <sz val="10"/>
            <color indexed="81"/>
            <rFont val="Tahoma"/>
            <family val="2"/>
          </rPr>
          <t xml:space="preserve">
</t>
        </r>
      </text>
    </comment>
  </commentList>
</comments>
</file>

<file path=xl/comments4.xml><?xml version="1.0" encoding="utf-8"?>
<comments xmlns="http://schemas.openxmlformats.org/spreadsheetml/2006/main">
  <authors>
    <author>Author</author>
  </authors>
  <commentList>
    <comment ref="A30" authorId="0" shapeId="0">
      <text>
        <r>
          <rPr>
            <b/>
            <sz val="8"/>
            <color indexed="81"/>
            <rFont val="Tahoma"/>
            <family val="2"/>
          </rPr>
          <t xml:space="preserve">Author:
</t>
        </r>
      </text>
    </comment>
    <comment ref="B30" authorId="0" shapeId="0">
      <text>
        <r>
          <rPr>
            <b/>
            <sz val="8"/>
            <color indexed="81"/>
            <rFont val="Tahoma"/>
            <family val="2"/>
          </rPr>
          <t xml:space="preserve">Author:
</t>
        </r>
      </text>
    </comment>
  </commentList>
</comments>
</file>

<file path=xl/comments5.xml><?xml version="1.0" encoding="utf-8"?>
<comments xmlns="http://schemas.openxmlformats.org/spreadsheetml/2006/main">
  <authors>
    <author>Author</author>
  </authors>
  <commentList>
    <comment ref="A32" authorId="0" shapeId="0">
      <text>
        <r>
          <rPr>
            <b/>
            <sz val="8"/>
            <color indexed="81"/>
            <rFont val="Tahoma"/>
            <family val="2"/>
          </rPr>
          <t xml:space="preserve">Author:
</t>
        </r>
      </text>
    </comment>
    <comment ref="B32" authorId="0" shapeId="0">
      <text>
        <r>
          <rPr>
            <b/>
            <sz val="8"/>
            <color indexed="81"/>
            <rFont val="Tahoma"/>
            <family val="2"/>
          </rPr>
          <t xml:space="preserve">Author:
</t>
        </r>
      </text>
    </comment>
  </commentList>
</comments>
</file>

<file path=xl/comments6.xml><?xml version="1.0" encoding="utf-8"?>
<comments xmlns="http://schemas.openxmlformats.org/spreadsheetml/2006/main">
  <authors>
    <author>Author</author>
  </authors>
  <commentList>
    <comment ref="A31" authorId="0" shapeId="0">
      <text>
        <r>
          <rPr>
            <b/>
            <sz val="8"/>
            <color indexed="81"/>
            <rFont val="Tahoma"/>
            <family val="2"/>
          </rPr>
          <t xml:space="preserve">Author:
</t>
        </r>
      </text>
    </comment>
    <comment ref="B31" authorId="0" shapeId="0">
      <text>
        <r>
          <rPr>
            <b/>
            <sz val="8"/>
            <color indexed="81"/>
            <rFont val="Tahoma"/>
            <family val="2"/>
          </rPr>
          <t xml:space="preserve">Author:
</t>
        </r>
      </text>
    </comment>
  </commentList>
</comments>
</file>

<file path=xl/comments7.xml><?xml version="1.0" encoding="utf-8"?>
<comments xmlns="http://schemas.openxmlformats.org/spreadsheetml/2006/main">
  <authors>
    <author>Author</author>
  </authors>
  <commentList>
    <comment ref="A34" authorId="0" shapeId="0">
      <text>
        <r>
          <rPr>
            <b/>
            <sz val="8"/>
            <color indexed="81"/>
            <rFont val="Tahoma"/>
            <family val="2"/>
          </rPr>
          <t xml:space="preserve">Author:
</t>
        </r>
      </text>
    </comment>
    <comment ref="B34" authorId="0" shapeId="0">
      <text>
        <r>
          <rPr>
            <b/>
            <sz val="8"/>
            <color indexed="81"/>
            <rFont val="Tahoma"/>
            <family val="2"/>
          </rPr>
          <t xml:space="preserve">Author:
</t>
        </r>
      </text>
    </comment>
  </commentList>
</comments>
</file>

<file path=xl/comments8.xml><?xml version="1.0" encoding="utf-8"?>
<comments xmlns="http://schemas.openxmlformats.org/spreadsheetml/2006/main">
  <authors>
    <author>Author</author>
  </authors>
  <commentList>
    <comment ref="A31" authorId="0" shapeId="0">
      <text>
        <r>
          <rPr>
            <b/>
            <sz val="8"/>
            <color indexed="81"/>
            <rFont val="Tahoma"/>
            <family val="2"/>
          </rPr>
          <t xml:space="preserve">Author:
</t>
        </r>
      </text>
    </comment>
    <comment ref="B31" authorId="0" shapeId="0">
      <text>
        <r>
          <rPr>
            <b/>
            <sz val="8"/>
            <color indexed="81"/>
            <rFont val="Tahoma"/>
            <family val="2"/>
          </rPr>
          <t xml:space="preserve">Author:
</t>
        </r>
      </text>
    </comment>
  </commentList>
</comments>
</file>

<file path=xl/sharedStrings.xml><?xml version="1.0" encoding="utf-8"?>
<sst xmlns="http://schemas.openxmlformats.org/spreadsheetml/2006/main" count="20949" uniqueCount="3348">
  <si>
    <t>30/8</t>
  </si>
  <si>
    <t>30/7</t>
  </si>
  <si>
    <t>30/6</t>
  </si>
  <si>
    <t>30/5</t>
  </si>
  <si>
    <t>30/4</t>
  </si>
  <si>
    <t>30/3</t>
  </si>
  <si>
    <t>30/2</t>
  </si>
  <si>
    <t>30/1</t>
  </si>
  <si>
    <t>29/8</t>
  </si>
  <si>
    <t>29/7</t>
  </si>
  <si>
    <t>29/6</t>
  </si>
  <si>
    <t>29/5</t>
  </si>
  <si>
    <t>29/4</t>
  </si>
  <si>
    <t>29/3</t>
  </si>
  <si>
    <t>29/2</t>
  </si>
  <si>
    <t>29/1</t>
  </si>
  <si>
    <t>28/8</t>
  </si>
  <si>
    <t>28/7</t>
  </si>
  <si>
    <t>28/6</t>
  </si>
  <si>
    <t>28/5</t>
  </si>
  <si>
    <t>28/4</t>
  </si>
  <si>
    <t>28/3</t>
  </si>
  <si>
    <t>28/2</t>
  </si>
  <si>
    <t>28/1</t>
  </si>
  <si>
    <t>27/8</t>
  </si>
  <si>
    <t>27/7</t>
  </si>
  <si>
    <t>27/6</t>
  </si>
  <si>
    <t>27/5</t>
  </si>
  <si>
    <t>27/4</t>
  </si>
  <si>
    <t>27/3</t>
  </si>
  <si>
    <t>27/2</t>
  </si>
  <si>
    <t>27/1</t>
  </si>
  <si>
    <t>26/8</t>
  </si>
  <si>
    <t>26/7</t>
  </si>
  <si>
    <t>26/6</t>
  </si>
  <si>
    <t>26/5</t>
  </si>
  <si>
    <t>26/4</t>
  </si>
  <si>
    <t>26/3</t>
  </si>
  <si>
    <t>26/2</t>
  </si>
  <si>
    <t>26/1</t>
  </si>
  <si>
    <t>25/8</t>
  </si>
  <si>
    <t>25/7</t>
  </si>
  <si>
    <t>25/6</t>
  </si>
  <si>
    <t>25/5</t>
  </si>
  <si>
    <t>25/4</t>
  </si>
  <si>
    <t>25/3</t>
  </si>
  <si>
    <t>25/2</t>
  </si>
  <si>
    <t>25/1</t>
  </si>
  <si>
    <t>24/8</t>
  </si>
  <si>
    <t>24/7</t>
  </si>
  <si>
    <t>24/6</t>
  </si>
  <si>
    <t>24/5</t>
  </si>
  <si>
    <t>24/4</t>
  </si>
  <si>
    <t>24/3</t>
  </si>
  <si>
    <t>24/2</t>
  </si>
  <si>
    <t>24/1</t>
  </si>
  <si>
    <t>23/8</t>
  </si>
  <si>
    <t>23/7</t>
  </si>
  <si>
    <t>23/6</t>
  </si>
  <si>
    <t>23/5</t>
  </si>
  <si>
    <t>23/4</t>
  </si>
  <si>
    <t>23/3</t>
  </si>
  <si>
    <t>23/2</t>
  </si>
  <si>
    <t>23/1</t>
  </si>
  <si>
    <t>22/8</t>
  </si>
  <si>
    <t>22/7</t>
  </si>
  <si>
    <t>22/6</t>
  </si>
  <si>
    <t>22/5</t>
  </si>
  <si>
    <t>22/4</t>
  </si>
  <si>
    <t>22/3</t>
  </si>
  <si>
    <t>22/2</t>
  </si>
  <si>
    <t>22/1</t>
  </si>
  <si>
    <t>21/8</t>
  </si>
  <si>
    <t>21/7</t>
  </si>
  <si>
    <t>21/6</t>
  </si>
  <si>
    <t>21/5</t>
  </si>
  <si>
    <t>21/4</t>
  </si>
  <si>
    <t>21/3</t>
  </si>
  <si>
    <t>21/2</t>
  </si>
  <si>
    <t>21/1</t>
  </si>
  <si>
    <t>20/8</t>
  </si>
  <si>
    <t>20/7</t>
  </si>
  <si>
    <t>20/6</t>
  </si>
  <si>
    <t>20/5</t>
  </si>
  <si>
    <t>20/4</t>
  </si>
  <si>
    <t>20/3</t>
  </si>
  <si>
    <t>20/2</t>
  </si>
  <si>
    <t>20/1</t>
  </si>
  <si>
    <t>19/8</t>
  </si>
  <si>
    <t>19/7</t>
  </si>
  <si>
    <t>19/6</t>
  </si>
  <si>
    <t>19/5</t>
  </si>
  <si>
    <t>19/4</t>
  </si>
  <si>
    <t>19/3</t>
  </si>
  <si>
    <t>19/2</t>
  </si>
  <si>
    <t>19/1</t>
  </si>
  <si>
    <t>18/8</t>
  </si>
  <si>
    <t>18/7</t>
  </si>
  <si>
    <t>18/6</t>
  </si>
  <si>
    <t>18/5</t>
  </si>
  <si>
    <t>18/4</t>
  </si>
  <si>
    <t>18/3</t>
  </si>
  <si>
    <t>18/2</t>
  </si>
  <si>
    <t>18/1</t>
  </si>
  <si>
    <t>17/8</t>
  </si>
  <si>
    <t>17/7</t>
  </si>
  <si>
    <t>17/6</t>
  </si>
  <si>
    <t>17/5</t>
  </si>
  <si>
    <t>17/4</t>
  </si>
  <si>
    <t>17/3</t>
  </si>
  <si>
    <t>17/2</t>
  </si>
  <si>
    <t>17/1</t>
  </si>
  <si>
    <t>16/8</t>
  </si>
  <si>
    <t>16/7</t>
  </si>
  <si>
    <t>16/6</t>
  </si>
  <si>
    <t>16/5</t>
  </si>
  <si>
    <t>16/4</t>
  </si>
  <si>
    <t>16/3</t>
  </si>
  <si>
    <t>16/2</t>
  </si>
  <si>
    <t>16/1</t>
  </si>
  <si>
    <t>15/8</t>
  </si>
  <si>
    <t>15/7</t>
  </si>
  <si>
    <t>15/6</t>
  </si>
  <si>
    <t>15/5</t>
  </si>
  <si>
    <t>15/4</t>
  </si>
  <si>
    <t>15/3</t>
  </si>
  <si>
    <t>15/2</t>
  </si>
  <si>
    <t>15/1</t>
  </si>
  <si>
    <t>14/8</t>
  </si>
  <si>
    <t>14/7</t>
  </si>
  <si>
    <t>14/6</t>
  </si>
  <si>
    <t>14/5</t>
  </si>
  <si>
    <t>14/4</t>
  </si>
  <si>
    <t>14/3</t>
  </si>
  <si>
    <t>14/2</t>
  </si>
  <si>
    <t>14/1</t>
  </si>
  <si>
    <t>13/8</t>
  </si>
  <si>
    <t>13/7</t>
  </si>
  <si>
    <t>13/6</t>
  </si>
  <si>
    <t>13/5</t>
  </si>
  <si>
    <t>13/4</t>
  </si>
  <si>
    <t>13/3</t>
  </si>
  <si>
    <t>13/2</t>
  </si>
  <si>
    <t>13/1</t>
  </si>
  <si>
    <t>12/8</t>
  </si>
  <si>
    <t>12/7</t>
  </si>
  <si>
    <t>12/6</t>
  </si>
  <si>
    <t>12/5</t>
  </si>
  <si>
    <t>12/4</t>
  </si>
  <si>
    <t>12/3</t>
  </si>
  <si>
    <t>12/2</t>
  </si>
  <si>
    <t>12/1</t>
  </si>
  <si>
    <t>11/8</t>
  </si>
  <si>
    <t>11/7</t>
  </si>
  <si>
    <t>11/6</t>
  </si>
  <si>
    <t>11/5</t>
  </si>
  <si>
    <t>11/4</t>
  </si>
  <si>
    <t>11/3</t>
  </si>
  <si>
    <t>11/2</t>
  </si>
  <si>
    <t>11/1</t>
  </si>
  <si>
    <t>10/8</t>
  </si>
  <si>
    <t>10/7</t>
  </si>
  <si>
    <t>10/6</t>
  </si>
  <si>
    <t>10/5</t>
  </si>
  <si>
    <t>10/4</t>
  </si>
  <si>
    <t>10/3</t>
  </si>
  <si>
    <t>10/2</t>
  </si>
  <si>
    <t>10/1</t>
  </si>
  <si>
    <t>9/8</t>
  </si>
  <si>
    <t>9/7</t>
  </si>
  <si>
    <t>9/6</t>
  </si>
  <si>
    <t>9/5</t>
  </si>
  <si>
    <t>9/4</t>
  </si>
  <si>
    <t>9/3</t>
  </si>
  <si>
    <t>9/2</t>
  </si>
  <si>
    <t>9/1</t>
  </si>
  <si>
    <t>8/8</t>
  </si>
  <si>
    <t>8/7</t>
  </si>
  <si>
    <t>8/6</t>
  </si>
  <si>
    <t>8/5</t>
  </si>
  <si>
    <t>8/4</t>
  </si>
  <si>
    <t>8/3</t>
  </si>
  <si>
    <t>8/2</t>
  </si>
  <si>
    <t>8/1</t>
  </si>
  <si>
    <t>7/8</t>
  </si>
  <si>
    <t>7/7</t>
  </si>
  <si>
    <t>7/6</t>
  </si>
  <si>
    <t>7/5</t>
  </si>
  <si>
    <t>7/4</t>
  </si>
  <si>
    <t>7/3</t>
  </si>
  <si>
    <t>7/2</t>
  </si>
  <si>
    <t>7/1</t>
  </si>
  <si>
    <t>6/8</t>
  </si>
  <si>
    <t>6/7</t>
  </si>
  <si>
    <t>6/6</t>
  </si>
  <si>
    <t>6/5</t>
  </si>
  <si>
    <t>6/4</t>
  </si>
  <si>
    <t>6/3</t>
  </si>
  <si>
    <t>6/2</t>
  </si>
  <si>
    <t>6/1</t>
  </si>
  <si>
    <t>5/8</t>
  </si>
  <si>
    <t>5/7</t>
  </si>
  <si>
    <t>5/6</t>
  </si>
  <si>
    <t>5/5</t>
  </si>
  <si>
    <t>5/4</t>
  </si>
  <si>
    <t>5/3</t>
  </si>
  <si>
    <t>5/2</t>
  </si>
  <si>
    <t>5/1</t>
  </si>
  <si>
    <t>4/8</t>
  </si>
  <si>
    <t>4/7</t>
  </si>
  <si>
    <t>4/6</t>
  </si>
  <si>
    <t>4/5</t>
  </si>
  <si>
    <t>4/4</t>
  </si>
  <si>
    <t>4/3</t>
  </si>
  <si>
    <t>4/2</t>
  </si>
  <si>
    <t>4/1</t>
  </si>
  <si>
    <t>3/8</t>
  </si>
  <si>
    <t>3/7</t>
  </si>
  <si>
    <t>3/6</t>
  </si>
  <si>
    <t>3/5</t>
  </si>
  <si>
    <t>3/4</t>
  </si>
  <si>
    <t>3/3</t>
  </si>
  <si>
    <t>3/2</t>
  </si>
  <si>
    <t>3/1</t>
  </si>
  <si>
    <t>2/8</t>
  </si>
  <si>
    <t>2/7</t>
  </si>
  <si>
    <t>2/6</t>
  </si>
  <si>
    <t>2/5</t>
  </si>
  <si>
    <t>2/4</t>
  </si>
  <si>
    <t>2/3</t>
  </si>
  <si>
    <t>2/2</t>
  </si>
  <si>
    <t>2/1</t>
  </si>
  <si>
    <t>1/8</t>
  </si>
  <si>
    <t>1/7</t>
  </si>
  <si>
    <t>1/6</t>
  </si>
  <si>
    <t>1/5</t>
  </si>
  <si>
    <t>1/4</t>
  </si>
  <si>
    <t>1/3</t>
  </si>
  <si>
    <t>1/2</t>
  </si>
  <si>
    <t>1/1</t>
  </si>
  <si>
    <t>SSL 5 (2ND TRANCHE)</t>
  </si>
  <si>
    <t>RATE</t>
  </si>
  <si>
    <t>SG/STEP</t>
  </si>
  <si>
    <t>2nd TRANCHE</t>
  </si>
  <si>
    <t>TOTAL</t>
  </si>
  <si>
    <t>VACANT</t>
  </si>
  <si>
    <t>Administrative Aide II</t>
  </si>
  <si>
    <t>24</t>
  </si>
  <si>
    <t>CARLOS R. CAMPOS</t>
  </si>
  <si>
    <t>Driver I</t>
  </si>
  <si>
    <t>23</t>
  </si>
  <si>
    <t>LEAH MARIE A. OLVIDO</t>
  </si>
  <si>
    <t>ABOLISHED</t>
  </si>
  <si>
    <t>Computer Operator I</t>
  </si>
  <si>
    <t>21</t>
  </si>
  <si>
    <t>22</t>
  </si>
  <si>
    <t xml:space="preserve"> </t>
  </si>
  <si>
    <t>ADMINISTRATIVE STAFF</t>
  </si>
  <si>
    <t>ALDIE EDWARD V. APUHIN</t>
  </si>
  <si>
    <t>Electronics &amp; Communications Equipment Technician I*</t>
  </si>
  <si>
    <t>20</t>
  </si>
  <si>
    <t>CHARITY MADRID</t>
  </si>
  <si>
    <t>19</t>
  </si>
  <si>
    <t>Administrative Services</t>
  </si>
  <si>
    <t>JOHN D. CARBELLEDO</t>
  </si>
  <si>
    <t>18</t>
  </si>
  <si>
    <t>VICENTE ROLAND R. MONTEBON</t>
  </si>
  <si>
    <t>Computer Maintenance  Technologist III</t>
  </si>
  <si>
    <t>17</t>
  </si>
  <si>
    <t>Hardware and Software Services</t>
  </si>
  <si>
    <t>FRITZ A. MONDERO</t>
  </si>
  <si>
    <t>Audio-Visual Aids Technician I</t>
  </si>
  <si>
    <t>16</t>
  </si>
  <si>
    <t>FELIX MICHAEL F. OBERES</t>
  </si>
  <si>
    <t>Information Sys. Analyst I</t>
  </si>
  <si>
    <t>15</t>
  </si>
  <si>
    <t>SHARON S. CATEDRAL</t>
  </si>
  <si>
    <t>Computer Programmer II</t>
  </si>
  <si>
    <t>14</t>
  </si>
  <si>
    <t>Application Development and Maintenance</t>
  </si>
  <si>
    <t>13</t>
  </si>
  <si>
    <t>RENATO G. BUENAOBRA</t>
  </si>
  <si>
    <t>Computer Operator IV</t>
  </si>
  <si>
    <t>12</t>
  </si>
  <si>
    <t>ROMMEL B. DELA VICTORIA</t>
  </si>
  <si>
    <t>Information System Analyst III</t>
  </si>
  <si>
    <t>11</t>
  </si>
  <si>
    <t>Web Development and Network Administrator</t>
  </si>
  <si>
    <t>JOSEPH A. BINGHAY</t>
  </si>
  <si>
    <t>Information Technology Officer II</t>
  </si>
  <si>
    <t>10</t>
  </si>
  <si>
    <t>COMPUTER SERVICES OFFICE:</t>
  </si>
  <si>
    <t>INFORMATION TECHNOLOGY &amp;</t>
  </si>
  <si>
    <t>ASTER K. BALONGCAS</t>
  </si>
  <si>
    <t>7</t>
  </si>
  <si>
    <t>DANILO H. REQUIERON, JR.</t>
  </si>
  <si>
    <t>Audio-Visual Equipment Operator I</t>
  </si>
  <si>
    <t>9</t>
  </si>
  <si>
    <t>36</t>
  </si>
  <si>
    <t>GERALDINE GLICERIA B. QUISIDO</t>
  </si>
  <si>
    <t>SHERYLL LOU B. PARAGUYA</t>
  </si>
  <si>
    <t>8</t>
  </si>
  <si>
    <t>25</t>
  </si>
  <si>
    <t>Broadcast Program Traffic Officer</t>
  </si>
  <si>
    <t>5</t>
  </si>
  <si>
    <t>News Production Section</t>
  </si>
  <si>
    <t>RYAN R. SAMSON</t>
  </si>
  <si>
    <t>4</t>
  </si>
  <si>
    <t>6</t>
  </si>
  <si>
    <t>NOEL S. MONDRAGON</t>
  </si>
  <si>
    <t>Administrative Assistant III (Computer Operator II)**</t>
  </si>
  <si>
    <t>3</t>
  </si>
  <si>
    <t>EDDIE FLOR C. SILVA</t>
  </si>
  <si>
    <t>Information Officer II</t>
  </si>
  <si>
    <t>2</t>
  </si>
  <si>
    <t>News and Video Editorial Section</t>
  </si>
  <si>
    <t>AFFAIRS OFFICE:</t>
  </si>
  <si>
    <t>INFORMATION &amp; COMMUNITY</t>
  </si>
  <si>
    <t>ATTY. ESTEFANIO S. LIBUTAN, JR.</t>
  </si>
  <si>
    <t>City Administrator</t>
  </si>
  <si>
    <t>1</t>
  </si>
  <si>
    <t>PHIC RATE</t>
  </si>
  <si>
    <t>MONTHLY</t>
  </si>
  <si>
    <t>(8)</t>
  </si>
  <si>
    <t>(7)</t>
  </si>
  <si>
    <t>(9)</t>
  </si>
  <si>
    <t>(6)</t>
  </si>
  <si>
    <t>(5)</t>
  </si>
  <si>
    <t>(4)</t>
  </si>
  <si>
    <t>(3)</t>
  </si>
  <si>
    <t>(2)</t>
  </si>
  <si>
    <t>(1)</t>
  </si>
  <si>
    <t>4TH  TRANCHE RATE</t>
  </si>
  <si>
    <t xml:space="preserve"> A m o u n t</t>
  </si>
  <si>
    <t>Step</t>
  </si>
  <si>
    <t>(Decrease)</t>
  </si>
  <si>
    <t>NEW</t>
  </si>
  <si>
    <t>OLD</t>
  </si>
  <si>
    <t>PHILHEALTH</t>
  </si>
  <si>
    <t>Grade/</t>
  </si>
  <si>
    <t>Increase/</t>
  </si>
  <si>
    <t>Name of Incumbent</t>
  </si>
  <si>
    <t>Position Title</t>
  </si>
  <si>
    <t xml:space="preserve">Item Number </t>
  </si>
  <si>
    <t xml:space="preserve">    Rate Per Annum</t>
  </si>
  <si>
    <t>Proposed</t>
  </si>
  <si>
    <t>Authorized</t>
  </si>
  <si>
    <t xml:space="preserve">  Budget Year</t>
  </si>
  <si>
    <t>Current Year</t>
  </si>
  <si>
    <t xml:space="preserve">CITY ADMINISTRATOR'S OFFICE </t>
  </si>
  <si>
    <t>OFFICE</t>
  </si>
  <si>
    <r>
      <rPr>
        <i/>
        <sz val="10"/>
        <rFont val="Calibri"/>
        <family val="2"/>
      </rPr>
      <t xml:space="preserve">Prov./City/Municipality </t>
    </r>
    <r>
      <rPr>
        <sz val="10"/>
        <rFont val="Calibri"/>
        <family val="2"/>
      </rPr>
      <t>:     San Carlos City, Negros Occidental</t>
    </r>
  </si>
  <si>
    <r>
      <rPr>
        <i/>
        <sz val="10"/>
        <rFont val="Calibri"/>
        <family val="2"/>
      </rPr>
      <t>Budget Year</t>
    </r>
    <r>
      <rPr>
        <sz val="10"/>
        <rFont val="Calibri"/>
        <family val="2"/>
      </rPr>
      <t xml:space="preserve">  </t>
    </r>
    <r>
      <rPr>
        <b/>
        <sz val="10"/>
        <rFont val="Calibri"/>
        <family val="2"/>
      </rPr>
      <t xml:space="preserve">: </t>
    </r>
    <r>
      <rPr>
        <b/>
        <sz val="14"/>
        <rFont val="Calibri"/>
        <family val="2"/>
      </rPr>
      <t>2022</t>
    </r>
  </si>
  <si>
    <t>PERSONNEL SCHEDULE</t>
  </si>
  <si>
    <t xml:space="preserve">    Page       1     of        2 Page(s)</t>
  </si>
  <si>
    <t xml:space="preserve">    Local Budget Preparation Form No. 3</t>
  </si>
  <si>
    <t>City Mayor</t>
  </si>
  <si>
    <t>City Budget Officer</t>
  </si>
  <si>
    <t xml:space="preserve">                   City Administrator</t>
  </si>
  <si>
    <t>RENATO Y. GUSTILO</t>
  </si>
  <si>
    <t>SANDRA LUZ B. BRIONES</t>
  </si>
  <si>
    <t xml:space="preserve">     ATTY. ESTEFANIO S. LIBUTAN, JR.</t>
  </si>
  <si>
    <t xml:space="preserve">                  Approved: </t>
  </si>
  <si>
    <t>Reviewed by:</t>
  </si>
  <si>
    <t xml:space="preserve">Prepared by:                                                </t>
  </si>
  <si>
    <t>OK 9/2/21</t>
  </si>
  <si>
    <t>TOTAL APPROPRIATIONS</t>
  </si>
  <si>
    <t>5-02-99-990</t>
  </si>
  <si>
    <t>Other Maintenance &amp; Operating Expenses</t>
  </si>
  <si>
    <t>5-02-16-020</t>
  </si>
  <si>
    <t>Fidelity Bond Premiums</t>
  </si>
  <si>
    <t>5-02-13-060 (01-02)</t>
  </si>
  <si>
    <t>-Motor Vehicle (Tires, Batteries &amp; Accessories)</t>
  </si>
  <si>
    <t>Repair and Maintenance -Transportation Equipment</t>
  </si>
  <si>
    <t>5-02-13-060 (01-01)</t>
  </si>
  <si>
    <t>-Motor Vehicle (Spare Parts)</t>
  </si>
  <si>
    <t>5-02-13-060 (01)</t>
  </si>
  <si>
    <t>-Motor Vehicle</t>
  </si>
  <si>
    <t>CASUAL 2 ITEMS</t>
  </si>
  <si>
    <t>TOTAL OMOE</t>
  </si>
  <si>
    <t>5-02-13-050 (03)</t>
  </si>
  <si>
    <t>- ICT Equipment</t>
  </si>
  <si>
    <t xml:space="preserve">main </t>
  </si>
  <si>
    <t>Repair and Maintenance - Machinery and Equipment</t>
  </si>
  <si>
    <t>lab</t>
  </si>
  <si>
    <t>5-02-13-050 (02)</t>
  </si>
  <si>
    <t>- Office Equipment</t>
  </si>
  <si>
    <t>gsis</t>
  </si>
  <si>
    <t>5-02-12-990</t>
  </si>
  <si>
    <t>Other General Services</t>
  </si>
  <si>
    <t>5-02-05-020</t>
  </si>
  <si>
    <t>Telephone Expenses</t>
  </si>
  <si>
    <t>5-02-05-010</t>
  </si>
  <si>
    <t>Postage and  Courier Services</t>
  </si>
  <si>
    <t>5-02-03-990</t>
  </si>
  <si>
    <t>Other Supplies and Material Expenses</t>
  </si>
  <si>
    <t>5-02-03-090</t>
  </si>
  <si>
    <t>Fuel, Oil and Lubricant Expenses</t>
  </si>
  <si>
    <t>5-02-03-010 (01)</t>
  </si>
  <si>
    <t>Computer Supplies and Accessories</t>
  </si>
  <si>
    <t xml:space="preserve">Office Supplies Expenses - </t>
  </si>
  <si>
    <t>5-02-03-010</t>
  </si>
  <si>
    <t>Office Supplies Expenses</t>
  </si>
  <si>
    <t>5-02-02-010</t>
  </si>
  <si>
    <t>Training  Expenses</t>
  </si>
  <si>
    <t>5-02-01-010</t>
  </si>
  <si>
    <t xml:space="preserve">Traveling Expenses </t>
  </si>
  <si>
    <t>Maintenance &amp; Other Operating Expenses</t>
  </si>
  <si>
    <t>5-01-04-990 (07)</t>
  </si>
  <si>
    <t>Other Personnel Benefits (Anniversary Bonus)</t>
  </si>
  <si>
    <t>TOTAL OPB</t>
  </si>
  <si>
    <t>5-01-04-990 (04)</t>
  </si>
  <si>
    <r>
      <rPr>
        <sz val="10"/>
        <rFont val="Arial Narrow"/>
        <family val="2"/>
      </rPr>
      <t xml:space="preserve">Other Personnel Benefits </t>
    </r>
    <r>
      <rPr>
        <sz val="7"/>
        <rFont val="Arial Narrow"/>
        <family val="2"/>
      </rPr>
      <t>(Productivity Enhancement Incentives)</t>
    </r>
  </si>
  <si>
    <t>5-01-04-990 (03)</t>
  </si>
  <si>
    <t>Other Personnel Benefits (Achievement Incentives)</t>
  </si>
  <si>
    <t>Other Bonuses &amp; Allowances</t>
  </si>
  <si>
    <t>5-01-04-990 (02)</t>
  </si>
  <si>
    <t>Other Personnel Benefits (Loyalty Award)</t>
  </si>
  <si>
    <t>PHILHEALTH Contributions</t>
  </si>
  <si>
    <t xml:space="preserve">5-01-04-990 </t>
  </si>
  <si>
    <t xml:space="preserve">Other Personnel Benefits </t>
  </si>
  <si>
    <t>Retirement and Life Insurance Premiums</t>
  </si>
  <si>
    <t>5-01-04-030</t>
  </si>
  <si>
    <t>Terminal Leave Benefits</t>
  </si>
  <si>
    <t>Year End  Bonus</t>
  </si>
  <si>
    <t>Other Personnel Benefits</t>
  </si>
  <si>
    <t>Salaries &amp; Wages - Regular Pay</t>
  </si>
  <si>
    <t>5-01-03-040</t>
  </si>
  <si>
    <t>Employees Compensation Insurance Premiums</t>
  </si>
  <si>
    <t>OTHER PERSONNEL BENEFITS</t>
  </si>
  <si>
    <t>5-01-03-030</t>
  </si>
  <si>
    <t>5-01-03-020</t>
  </si>
  <si>
    <t>PAG-IBIG Contributions</t>
  </si>
  <si>
    <t>5-01-03-010</t>
  </si>
  <si>
    <t>Personnel Benefits Contributions</t>
  </si>
  <si>
    <t>5-01-02-990</t>
  </si>
  <si>
    <t>Other Bonuses and Allowances</t>
  </si>
  <si>
    <t>5-01-02-150</t>
  </si>
  <si>
    <t>Cash Gift</t>
  </si>
  <si>
    <t>5-01-02-140</t>
  </si>
  <si>
    <t>5-01-02-130</t>
  </si>
  <si>
    <t>Overtime and Night Pay</t>
  </si>
  <si>
    <t>5-01-02-100</t>
  </si>
  <si>
    <t>Honoraria</t>
  </si>
  <si>
    <t>5-01-02-040</t>
  </si>
  <si>
    <t>Clothing/Uniform Allowance</t>
  </si>
  <si>
    <t>5-01-02-030</t>
  </si>
  <si>
    <t>Transportation Allowance (TA)</t>
  </si>
  <si>
    <t>5-01-02-020</t>
  </si>
  <si>
    <t>Representation Allowance (RA)</t>
  </si>
  <si>
    <t>5-01-02-010</t>
  </si>
  <si>
    <t>Personnel Economic Relief Allow. (PERA)</t>
  </si>
  <si>
    <t>Other Compensation</t>
  </si>
  <si>
    <t>5-01-01-010</t>
  </si>
  <si>
    <t>Salaries and Wages</t>
  </si>
  <si>
    <t>Personal Services</t>
  </si>
  <si>
    <t>CURRENT OPERATING EXPENDITURES:</t>
  </si>
  <si>
    <t>NEW RATE</t>
  </si>
  <si>
    <t>(PROPOSED)</t>
  </si>
  <si>
    <t>(ESTIMATE)</t>
  </si>
  <si>
    <t>(ACTUAL)</t>
  </si>
  <si>
    <t>SECOND SEMESTER</t>
  </si>
  <si>
    <t>FIRST SEMESTER</t>
  </si>
  <si>
    <t>CODE</t>
  </si>
  <si>
    <t>BUDGET YEAR</t>
  </si>
  <si>
    <t>CURRENT YEAR 2021 (ESTIMATE)</t>
  </si>
  <si>
    <t>PAST YEAR</t>
  </si>
  <si>
    <t xml:space="preserve">ACCOUNT </t>
  </si>
  <si>
    <t>OBJECT OF EXPENDITURES</t>
  </si>
  <si>
    <r>
      <rPr>
        <i/>
        <sz val="10"/>
        <rFont val="Arial Narrow"/>
        <family val="2"/>
      </rPr>
      <t xml:space="preserve">Office: </t>
    </r>
    <r>
      <rPr>
        <b/>
        <sz val="10"/>
        <rFont val="Arial Narrow"/>
        <family val="2"/>
      </rPr>
      <t>CITY ADMINISTRATOR'S OFFICE (1031)</t>
    </r>
  </si>
  <si>
    <r>
      <rPr>
        <i/>
        <sz val="10"/>
        <rFont val="Arial Narrow"/>
        <family val="2"/>
      </rPr>
      <t xml:space="preserve">Province/City/Municipality </t>
    </r>
    <r>
      <rPr>
        <sz val="10"/>
        <rFont val="Arial Narrow"/>
        <family val="2"/>
      </rPr>
      <t>:     San Carlos City, Negros Occidental</t>
    </r>
  </si>
  <si>
    <t>PROGRAMMED APPROPRIATION  AND OBLIGATION BY OBJECT OF EXPENDITURE</t>
  </si>
  <si>
    <t>Page       1     of        1 Page (s)</t>
  </si>
  <si>
    <t>Local Budget Preparation Form No. 2</t>
  </si>
  <si>
    <t>SSL 5 (2nd TRANCHE)</t>
  </si>
  <si>
    <t>STATUS QUO</t>
  </si>
  <si>
    <t>4th TRANCHE</t>
  </si>
  <si>
    <t>EDWIN B. SECHICO</t>
  </si>
  <si>
    <t xml:space="preserve">Messenger </t>
  </si>
  <si>
    <t>38</t>
  </si>
  <si>
    <t>MIRASOL B. DIAZ</t>
  </si>
  <si>
    <t>Admin Aide II</t>
  </si>
  <si>
    <t>37</t>
  </si>
  <si>
    <t>Bookbinder I</t>
  </si>
  <si>
    <t>MARIBEL J. CABALLERO</t>
  </si>
  <si>
    <t>Administrative Aide IV (Bookbinder II)*</t>
  </si>
  <si>
    <t>35</t>
  </si>
  <si>
    <t>Releasing Section</t>
  </si>
  <si>
    <t>JOEL L. LABOR</t>
  </si>
  <si>
    <r>
      <rPr>
        <sz val="10"/>
        <rFont val="Calibri"/>
        <family val="2"/>
      </rPr>
      <t xml:space="preserve">Senior Admin Asst II </t>
    </r>
    <r>
      <rPr>
        <sz val="7"/>
        <rFont val="Calibri"/>
        <family val="2"/>
      </rPr>
      <t>(Computer Operator IV)</t>
    </r>
  </si>
  <si>
    <t>34</t>
  </si>
  <si>
    <t>32</t>
  </si>
  <si>
    <t>ANTONIETTA A.MENDOZA</t>
  </si>
  <si>
    <t>33</t>
  </si>
  <si>
    <t>30</t>
  </si>
  <si>
    <t>Personal Administration Section</t>
  </si>
  <si>
    <t>EDGARDO A. IZQUIERDO, JR.</t>
  </si>
  <si>
    <t>Mng't.  &amp; Audit Analyst III</t>
  </si>
  <si>
    <t>28</t>
  </si>
  <si>
    <t>MERLINA D. VILLARUEL</t>
  </si>
  <si>
    <t>INFORMATION TECH. OFFICER II</t>
  </si>
  <si>
    <t>31</t>
  </si>
  <si>
    <t>27</t>
  </si>
  <si>
    <t>Data Management Section</t>
  </si>
  <si>
    <t>ADMINISTRATIVE AND RECORDS DIVISION</t>
  </si>
  <si>
    <t>MA. JEDAN S. MENDOZA</t>
  </si>
  <si>
    <t>Accounting Clerk 1</t>
  </si>
  <si>
    <t>26</t>
  </si>
  <si>
    <t>JHOMER C. ALFON</t>
  </si>
  <si>
    <t>Accounting Clerk II</t>
  </si>
  <si>
    <t>29</t>
  </si>
  <si>
    <t>AIDA C. ALSONADO</t>
  </si>
  <si>
    <t>Data Controller III</t>
  </si>
  <si>
    <t>Barangay Financial Records Section</t>
  </si>
  <si>
    <t>ANNA JEAN LOPEZ</t>
  </si>
  <si>
    <t>ADMINISTRATIVE AIDE II</t>
  </si>
  <si>
    <t>MARIA CORAZON M. AVENIR</t>
  </si>
  <si>
    <t>Accounting Clerk I</t>
  </si>
  <si>
    <t>STEPHANIE VIRBUENA B. CELESTE</t>
  </si>
  <si>
    <t>RUTH ANN P. SOLITARIO</t>
  </si>
  <si>
    <t>Bookkeeper I</t>
  </si>
  <si>
    <t xml:space="preserve">Senior Bookkeeper </t>
  </si>
  <si>
    <t>GEOBERT C. CABATBAT</t>
  </si>
  <si>
    <t>Senior Bookkeeper</t>
  </si>
  <si>
    <t>REYNALDO T. SIABOC</t>
  </si>
  <si>
    <t>VALENTINA MIRAFLOR G. VERSARIO</t>
  </si>
  <si>
    <t>Accountant I</t>
  </si>
  <si>
    <t>Mgn't &amp; Audit Analyst I*</t>
  </si>
  <si>
    <t>MA. FILOMENA J. LOGASTUA</t>
  </si>
  <si>
    <t>Mngn't &amp; Audit Analyst II</t>
  </si>
  <si>
    <t>JEANOR O. LOREZO</t>
  </si>
  <si>
    <t>Mng't  &amp; Audit Analyst III</t>
  </si>
  <si>
    <t>Mgn't  &amp; Audit Analyst IV</t>
  </si>
  <si>
    <t>City Financial Records Section</t>
  </si>
  <si>
    <t>FINANCIAL REPORTING (BOOKEEPING DIVISION)</t>
  </si>
  <si>
    <t>ZOSISO M. PORSUELO</t>
  </si>
  <si>
    <t>Receiving Section</t>
  </si>
  <si>
    <t>MARY GRACE P. BURGOS</t>
  </si>
  <si>
    <t>Accounting Clerk III</t>
  </si>
  <si>
    <t>Fiscal Examiner I</t>
  </si>
  <si>
    <t>AVELINA N. SALDUA</t>
  </si>
  <si>
    <t>Fiscal Examiner II</t>
  </si>
  <si>
    <t>Indexing Section</t>
  </si>
  <si>
    <t>ALAN C. MANCAO</t>
  </si>
  <si>
    <t>REBECCA E. CABILI</t>
  </si>
  <si>
    <t>KAREEN KAYE T. GUSTILO</t>
  </si>
  <si>
    <t>Accountant II</t>
  </si>
  <si>
    <t>MARILOU L. SAAVEDRA</t>
  </si>
  <si>
    <t>Accountant III</t>
  </si>
  <si>
    <t>Pre-Audit Section</t>
  </si>
  <si>
    <t>ACCOUNTING &amp; FINANCIAL CONTROL DIVISION</t>
  </si>
  <si>
    <t>LEONILA C. YBAÑEZ</t>
  </si>
  <si>
    <t>City Gov't. Asst. Dept. Head 1</t>
  </si>
  <si>
    <t>JOSE VENFORT L. LEGARIA</t>
  </si>
  <si>
    <t>City Accountant</t>
  </si>
  <si>
    <t>PHIC DIFF</t>
  </si>
  <si>
    <t>3RD TRANCHE RATE</t>
  </si>
  <si>
    <t>2NDTRANCHE RATE</t>
  </si>
  <si>
    <t>AIAS</t>
  </si>
  <si>
    <t xml:space="preserve">              City Accountant</t>
  </si>
  <si>
    <t xml:space="preserve">JOSE VENFORT L. LEGARIA, CPA                          </t>
  </si>
  <si>
    <t xml:space="preserve">                          Approved: </t>
  </si>
  <si>
    <t xml:space="preserve">  Reviewed by:</t>
  </si>
  <si>
    <t>5-02-99-990 (06)</t>
  </si>
  <si>
    <t>- Fabrication of Transaction Boxes</t>
  </si>
  <si>
    <t>- Motor Vehicle</t>
  </si>
  <si>
    <t>Repair and Maintenance - Transportation Equipment</t>
  </si>
  <si>
    <t>SP</t>
  </si>
  <si>
    <t>CASUAL 5 ITEMS</t>
  </si>
  <si>
    <t>5-02-03-010 (02)</t>
  </si>
  <si>
    <t>Office Supplies Expenses - Other Forms</t>
  </si>
  <si>
    <t>(Computer Supplies and Accessories)</t>
  </si>
  <si>
    <t xml:space="preserve">Office Supplies Expenses </t>
  </si>
  <si>
    <t>2020</t>
  </si>
  <si>
    <t>Traveling Expenses  - Local</t>
  </si>
  <si>
    <r>
      <t xml:space="preserve">Other Personnel Benefits </t>
    </r>
    <r>
      <rPr>
        <sz val="8"/>
        <rFont val="Arial Narrow"/>
        <family val="2"/>
      </rPr>
      <t>(Anniversary Bonus)</t>
    </r>
  </si>
  <si>
    <r>
      <t xml:space="preserve">Other Personnel Benefits </t>
    </r>
    <r>
      <rPr>
        <sz val="8"/>
        <rFont val="Arial Narrow"/>
        <family val="2"/>
      </rPr>
      <t>(Productivity Enhancement Incentives)</t>
    </r>
  </si>
  <si>
    <t>TOTAL FOR AUGMENTATION</t>
  </si>
  <si>
    <r>
      <t>Other Personnel Benefits</t>
    </r>
    <r>
      <rPr>
        <sz val="8"/>
        <rFont val="Arial Narrow"/>
        <family val="2"/>
      </rPr>
      <t xml:space="preserve"> (Achievement Incentives)</t>
    </r>
  </si>
  <si>
    <t>Other Bonuses and Allowances (Mid-year Bonus)</t>
  </si>
  <si>
    <r>
      <t xml:space="preserve">Employees Compensation Insurance </t>
    </r>
    <r>
      <rPr>
        <sz val="9"/>
        <rFont val="Arial Narrow"/>
        <family val="2"/>
      </rPr>
      <t>Premiums</t>
    </r>
  </si>
  <si>
    <t xml:space="preserve"> CURRENT OPERATING EXPENDITURES:</t>
  </si>
  <si>
    <r>
      <t xml:space="preserve">Office:  </t>
    </r>
    <r>
      <rPr>
        <b/>
        <sz val="10"/>
        <rFont val="Arial Narrow"/>
        <family val="2"/>
      </rPr>
      <t>ACCOUNTING AND INTERNAL AUDIT SERVICES OFFICE (1081)</t>
    </r>
  </si>
  <si>
    <r>
      <t xml:space="preserve">Province/City/Municipality </t>
    </r>
    <r>
      <rPr>
        <sz val="10"/>
        <rFont val="Arial Narrow"/>
        <family val="2"/>
      </rPr>
      <t>:     San Carlos City, Negros Occidental</t>
    </r>
  </si>
  <si>
    <t>Page       1     of        1 Page(s)</t>
  </si>
  <si>
    <t>SSL 5 (1ST TRANCHE)</t>
  </si>
  <si>
    <t>2ND  TRANCHE</t>
  </si>
  <si>
    <t>8/31/21</t>
  </si>
  <si>
    <t>Admin. Aide IV (Clerk II)</t>
  </si>
  <si>
    <t>FRANCISCO G. PALABRICA</t>
  </si>
  <si>
    <t>Driver II</t>
  </si>
  <si>
    <t>Administrative Aide VI</t>
  </si>
  <si>
    <t>MARIA CORAZON P. PAMA</t>
  </si>
  <si>
    <t>Draftsman I</t>
  </si>
  <si>
    <t>Draftsman II</t>
  </si>
  <si>
    <t>MARK DAVE R. POMAR</t>
  </si>
  <si>
    <t>Tax Mapper I</t>
  </si>
  <si>
    <t>abolished</t>
  </si>
  <si>
    <t>Tax Mapper IV</t>
  </si>
  <si>
    <t>Tax Mapping Division:</t>
  </si>
  <si>
    <t>ORVEN P. NALZARO</t>
  </si>
  <si>
    <t>LERNIE M. LARGO</t>
  </si>
  <si>
    <t>MAYFLOR M. LAYAGON</t>
  </si>
  <si>
    <t>Utility Worker II</t>
  </si>
  <si>
    <t>Admin. Aide IV (Bookbinder ii)</t>
  </si>
  <si>
    <t>Administrative Asst. (BookbinderII)</t>
  </si>
  <si>
    <t>Records Officer I</t>
  </si>
  <si>
    <t>RONNIE L. CABANILLAS</t>
  </si>
  <si>
    <t>Records Officer IV</t>
  </si>
  <si>
    <t>Records Management Division:</t>
  </si>
  <si>
    <t>MA. CHERYL C. SANDAG</t>
  </si>
  <si>
    <t>SALJUN D. VISITACION</t>
  </si>
  <si>
    <t>Administrative  Aide IV (Clerk II)</t>
  </si>
  <si>
    <t>RODOLFO C. HIBIONADA, JR.</t>
  </si>
  <si>
    <t>Assessment Clerk I</t>
  </si>
  <si>
    <t>Local Assessment Operations Officer I</t>
  </si>
  <si>
    <t>ROMULO MANUEL B. DELA VICTORIA, JR.</t>
  </si>
  <si>
    <t>Local Assessment Operations Officer II</t>
  </si>
  <si>
    <t>Appraisal &amp; Assessment Division:</t>
  </si>
  <si>
    <t>Assistant City Assessor</t>
  </si>
  <si>
    <t>JAMES R. SILVA</t>
  </si>
  <si>
    <t>City Assessor</t>
  </si>
  <si>
    <t>4TH TRANCHE RATE</t>
  </si>
  <si>
    <t>CITY ASSESSOR'S OFFICE</t>
  </si>
  <si>
    <t>OFFICE:</t>
  </si>
  <si>
    <t xml:space="preserve">    Page       1     of        1 Page(s)</t>
  </si>
  <si>
    <t xml:space="preserve">                  Thank you.</t>
  </si>
  <si>
    <t xml:space="preserve">  summary of general services</t>
  </si>
  <si>
    <t xml:space="preserve">  plantilla LBPF NO.4</t>
  </si>
  <si>
    <t xml:space="preserve">  proposal LBPF NO.2</t>
  </si>
  <si>
    <t>Please print 10 final copies of the ff:</t>
  </si>
  <si>
    <t xml:space="preserve"> same as the amount of proposal.</t>
  </si>
  <si>
    <t>-amount of the summary of general expenses</t>
  </si>
  <si>
    <t xml:space="preserve"> -actual expenses of the first semester.</t>
  </si>
  <si>
    <t>- total amount of past year 2017 PS.</t>
  </si>
  <si>
    <t xml:space="preserve"> - plantilla item no. 11</t>
  </si>
  <si>
    <t>Please review the ff:</t>
  </si>
  <si>
    <t>To: Assessor</t>
  </si>
  <si>
    <t xml:space="preserve">       City Assessor</t>
  </si>
  <si>
    <t xml:space="preserve"> JAMES R. SILVA, REA</t>
  </si>
  <si>
    <t xml:space="preserve">                  Approved by: </t>
  </si>
  <si>
    <r>
      <t xml:space="preserve">-Motor Vehicle </t>
    </r>
    <r>
      <rPr>
        <sz val="9"/>
        <rFont val="Arial Narrow"/>
        <family val="2"/>
      </rPr>
      <t>(Tires, Batteries &amp; Accessories)</t>
    </r>
  </si>
  <si>
    <r>
      <t>Repair and Maintenance</t>
    </r>
    <r>
      <rPr>
        <sz val="9"/>
        <rFont val="Arial Narrow"/>
        <family val="2"/>
      </rPr>
      <t xml:space="preserve"> -Transportation Equipment</t>
    </r>
  </si>
  <si>
    <r>
      <t xml:space="preserve">Repair and Maintenance - </t>
    </r>
    <r>
      <rPr>
        <sz val="9"/>
        <rFont val="Arial Narrow"/>
        <family val="2"/>
      </rPr>
      <t>Machinery and Equipment</t>
    </r>
  </si>
  <si>
    <t>PLUS 3 ITEMS</t>
  </si>
  <si>
    <t>CASUAL 3 ITEMS</t>
  </si>
  <si>
    <t>Traveling Expenses - Local</t>
  </si>
  <si>
    <r>
      <t>Other Personnel Benefits</t>
    </r>
    <r>
      <rPr>
        <sz val="9"/>
        <rFont val="Arial Narrow"/>
        <family val="2"/>
      </rPr>
      <t xml:space="preserve"> (Anniversary Bonus)</t>
    </r>
  </si>
  <si>
    <r>
      <t xml:space="preserve">Other Personnel Benefits </t>
    </r>
    <r>
      <rPr>
        <sz val="6"/>
        <rFont val="Arial Narrow"/>
        <family val="2"/>
      </rPr>
      <t>(Productivity Enhancement Incentives)</t>
    </r>
  </si>
  <si>
    <r>
      <t>Other Personnel Benefits</t>
    </r>
    <r>
      <rPr>
        <sz val="9"/>
        <rFont val="Arial Narrow"/>
        <family val="2"/>
      </rPr>
      <t xml:space="preserve"> (Achievement Incentives)</t>
    </r>
  </si>
  <si>
    <t>PBB</t>
  </si>
  <si>
    <t>CURRENT RATE</t>
  </si>
  <si>
    <t>2022</t>
  </si>
  <si>
    <r>
      <t xml:space="preserve">Office: </t>
    </r>
    <r>
      <rPr>
        <b/>
        <sz val="10"/>
        <rFont val="Arial Narrow"/>
        <family val="2"/>
      </rPr>
      <t>CITY ASSESSOR'S OFFICE (1101)</t>
    </r>
  </si>
  <si>
    <t xml:space="preserve">         City Assessor</t>
  </si>
  <si>
    <t xml:space="preserve">                   Approved by: </t>
  </si>
  <si>
    <t xml:space="preserve">   Prepared by:                                                </t>
  </si>
  <si>
    <t xml:space="preserve">        2020 General Revision</t>
  </si>
  <si>
    <t xml:space="preserve">          City Budget Officer</t>
  </si>
  <si>
    <t xml:space="preserve">               City Fire Marshal</t>
  </si>
  <si>
    <t>CINSP VENCIE JOJO ALDEGUER, BFP</t>
  </si>
  <si>
    <t xml:space="preserve"> Approved: </t>
  </si>
  <si>
    <t>ok 08/25/21</t>
  </si>
  <si>
    <t>- Motor Vehicle (Firetruck)</t>
  </si>
  <si>
    <t>Repair &amp; Maintenance - Transportation  and Equipment</t>
  </si>
  <si>
    <t>- Motor Vehicle (Tires, Batteries &amp; Accessories)</t>
  </si>
  <si>
    <t>Repair &amp; Maintenance - Transportation Equipment</t>
  </si>
  <si>
    <t xml:space="preserve">- Motor Vehicle </t>
  </si>
  <si>
    <t>ALLOWANCE</t>
  </si>
  <si>
    <t xml:space="preserve">  - Communication Equipment</t>
  </si>
  <si>
    <t>Repair &amp; Maintenance - Machinery and Equipment</t>
  </si>
  <si>
    <t>24 DAYS\</t>
  </si>
  <si>
    <t>CASUAL 11 ITEMS</t>
  </si>
  <si>
    <t>Water Expenses</t>
  </si>
  <si>
    <t>Fuel, Oil and Lubricants Expenses</t>
  </si>
  <si>
    <t>- Computer Supplies and Accessories</t>
  </si>
  <si>
    <t xml:space="preserve">Traveling Expenses  - Local </t>
  </si>
  <si>
    <t>5-02-14-020</t>
  </si>
  <si>
    <t>Subsidy to National Government Agencies</t>
  </si>
  <si>
    <r>
      <rPr>
        <i/>
        <sz val="11"/>
        <rFont val="Arial Narrow"/>
        <family val="2"/>
      </rPr>
      <t>Office</t>
    </r>
    <r>
      <rPr>
        <sz val="12"/>
        <rFont val="Arial Narrow"/>
        <family val="2"/>
      </rPr>
      <t xml:space="preserve"> : </t>
    </r>
    <r>
      <rPr>
        <b/>
        <sz val="11"/>
        <rFont val="Arial Narrow"/>
        <family val="2"/>
      </rPr>
      <t>BUREAU OF FIRE PROTECTION (1191)</t>
    </r>
  </si>
  <si>
    <t xml:space="preserve">    Thank you.</t>
  </si>
  <si>
    <t>5 copies of the summary of general services.</t>
  </si>
  <si>
    <t xml:space="preserve">   '- pls submit 10 final copies of PAAOE and additional</t>
  </si>
  <si>
    <t xml:space="preserve">   '- pls check your actual expenses for the first quarter.</t>
  </si>
  <si>
    <t>the scheduled budget hearing.</t>
  </si>
  <si>
    <t xml:space="preserve">Annual Budget. Any increase shall be presented on </t>
  </si>
  <si>
    <t xml:space="preserve">     Per Budget Call, pls limit your proposal to CY 2018 </t>
  </si>
  <si>
    <t>To: BJMP</t>
  </si>
  <si>
    <t xml:space="preserve">            District Jail Warden</t>
  </si>
  <si>
    <t xml:space="preserve">     JSINSP ALEXANDER H. SY</t>
  </si>
  <si>
    <t xml:space="preserve">  Prepared by:                                                </t>
  </si>
  <si>
    <t>8/25/21</t>
  </si>
  <si>
    <t>final</t>
  </si>
  <si>
    <t xml:space="preserve">Other Maintenance &amp; Operating Expenses </t>
  </si>
  <si>
    <t xml:space="preserve">   -Motor Vehicles</t>
  </si>
  <si>
    <t xml:space="preserve">   - ICT Equipment </t>
  </si>
  <si>
    <t>GENERAL SERVICES - 2 ITEMS</t>
  </si>
  <si>
    <t xml:space="preserve">Other General Services </t>
  </si>
  <si>
    <t>Internet Subsciption Expenses</t>
  </si>
  <si>
    <t xml:space="preserve">Telephone Expenses </t>
  </si>
  <si>
    <t>Postage and Courier Services</t>
  </si>
  <si>
    <t>Other Supplies &amp; Materials Expenses</t>
  </si>
  <si>
    <t>Food Supplies Expenses</t>
  </si>
  <si>
    <t>-Computer Supplies and Accessories</t>
  </si>
  <si>
    <t>Training Expenses</t>
  </si>
  <si>
    <t xml:space="preserve">Traveling  Expenses - Remand of Prisoners </t>
  </si>
  <si>
    <r>
      <t xml:space="preserve">Office : </t>
    </r>
    <r>
      <rPr>
        <b/>
        <sz val="10"/>
        <rFont val="Arial Narrow"/>
        <family val="2"/>
      </rPr>
      <t>BUREAU OF JAIL MANAGEMENT AND PENOLOGY (1012)</t>
    </r>
  </si>
  <si>
    <t>SSL 5</t>
  </si>
  <si>
    <t>SSL 5 (2ND   TRANCHE)</t>
  </si>
  <si>
    <t xml:space="preserve"> City Mayor</t>
  </si>
  <si>
    <t xml:space="preserve">City Government Department Head I - OHRM                </t>
  </si>
  <si>
    <t xml:space="preserve">                City Budget Officer</t>
  </si>
  <si>
    <t xml:space="preserve">ATTY. MA. CHAT H. DELIMA - CORDERO   </t>
  </si>
  <si>
    <t xml:space="preserve">     SANDRA LUZ B. BRIONES</t>
  </si>
  <si>
    <t xml:space="preserve">            Approved by:</t>
  </si>
  <si>
    <t>Prepared by:</t>
  </si>
  <si>
    <t>OK 08/31/21</t>
  </si>
  <si>
    <r>
      <t xml:space="preserve">Administrative Aide II </t>
    </r>
    <r>
      <rPr>
        <b/>
        <sz val="12"/>
        <rFont val="Arial Narrow"/>
        <family val="2"/>
      </rPr>
      <t>*</t>
    </r>
  </si>
  <si>
    <r>
      <t>Administrative Aide III</t>
    </r>
    <r>
      <rPr>
        <b/>
        <sz val="12"/>
        <rFont val="Arial Narrow"/>
        <family val="2"/>
      </rPr>
      <t>*</t>
    </r>
  </si>
  <si>
    <t>Other Services Section</t>
  </si>
  <si>
    <t>ANICETA L. LIBONGCUGON</t>
  </si>
  <si>
    <t xml:space="preserve">   ' (Bookbinder III)</t>
  </si>
  <si>
    <t>Administrative Assistant I</t>
  </si>
  <si>
    <t>LAURIETTA C. ALCANO</t>
  </si>
  <si>
    <t xml:space="preserve">   '(Computer Operator II)</t>
  </si>
  <si>
    <t>Administrative Assistant III</t>
  </si>
  <si>
    <t xml:space="preserve">   '(Bookbinder IV)</t>
  </si>
  <si>
    <t>Administrative Assistant IV</t>
  </si>
  <si>
    <t>Records Section</t>
  </si>
  <si>
    <t>ADMINISTRATIVE DIVISION</t>
  </si>
  <si>
    <t xml:space="preserve">Administrative Aide IV </t>
  </si>
  <si>
    <t>JENNIFER L. LOBATON</t>
  </si>
  <si>
    <t xml:space="preserve">     ' (Bookbinder II)</t>
  </si>
  <si>
    <t>Process Server</t>
  </si>
  <si>
    <t>Procurement Section</t>
  </si>
  <si>
    <t>DINDO IAN G. DOMECILLO</t>
  </si>
  <si>
    <t>Computer Operator II</t>
  </si>
  <si>
    <t>SHEILA O. SUAREZ</t>
  </si>
  <si>
    <t xml:space="preserve">Senior Administrative Assistant II </t>
  </si>
  <si>
    <t>EDUARDO Z. LAZAGA, JR.</t>
  </si>
  <si>
    <t>Budget Officer III</t>
  </si>
  <si>
    <t>Budget  Monitoring Section</t>
  </si>
  <si>
    <t>MA. ELAINE P. ROSOS</t>
  </si>
  <si>
    <t>Budget  Officer IV</t>
  </si>
  <si>
    <t>BUDGETING DIVISION</t>
  </si>
  <si>
    <t xml:space="preserve">CITY BUDGET AND MANAGEMENT OFFICE </t>
  </si>
  <si>
    <r>
      <rPr>
        <i/>
        <sz val="10"/>
        <rFont val="Arial Narrow"/>
        <family val="2"/>
      </rPr>
      <t xml:space="preserve">Prov./City/Municipality </t>
    </r>
    <r>
      <rPr>
        <sz val="10"/>
        <rFont val="Arial Narrow"/>
        <family val="2"/>
      </rPr>
      <t>:     San Carlos City, Negros Occidental</t>
    </r>
  </si>
  <si>
    <r>
      <rPr>
        <i/>
        <sz val="10"/>
        <rFont val="Arial Narrow"/>
        <family val="2"/>
      </rPr>
      <t>Budget Year</t>
    </r>
    <r>
      <rPr>
        <sz val="10"/>
        <rFont val="Arial Narrow"/>
        <family val="2"/>
      </rPr>
      <t xml:space="preserve">  </t>
    </r>
    <r>
      <rPr>
        <b/>
        <sz val="10"/>
        <rFont val="Arial Narrow"/>
        <family val="2"/>
      </rPr>
      <t xml:space="preserve">: </t>
    </r>
    <r>
      <rPr>
        <b/>
        <sz val="14"/>
        <rFont val="Arial Narrow"/>
        <family val="2"/>
      </rPr>
      <t>2022</t>
    </r>
  </si>
  <si>
    <t>WITH SATURDAYS</t>
  </si>
  <si>
    <t>NO SATURDAYS</t>
  </si>
  <si>
    <t>total appropriation  for general services</t>
  </si>
  <si>
    <t>per day</t>
  </si>
  <si>
    <t>days</t>
  </si>
  <si>
    <t>total no. of days</t>
  </si>
  <si>
    <t>DEC</t>
  </si>
  <si>
    <t>NOV</t>
  </si>
  <si>
    <t>OCT</t>
  </si>
  <si>
    <t>SEPT</t>
  </si>
  <si>
    <t>AUGUST</t>
  </si>
  <si>
    <t>JULY</t>
  </si>
  <si>
    <t xml:space="preserve">     Senior Administrative Assistant II                                           </t>
  </si>
  <si>
    <t>MAY</t>
  </si>
  <si>
    <t xml:space="preserve">              SHEILA O. SUAREZ                              </t>
  </si>
  <si>
    <t>APRIL</t>
  </si>
  <si>
    <t>MAR</t>
  </si>
  <si>
    <t>FEB</t>
  </si>
  <si>
    <t xml:space="preserve">                                                         Approved by: </t>
  </si>
  <si>
    <t xml:space="preserve">        Prepared by:                                                </t>
  </si>
  <si>
    <t>JAN</t>
  </si>
  <si>
    <t>no saturdays</t>
  </si>
  <si>
    <t>with saturdays</t>
  </si>
  <si>
    <t>OK 10/5/21</t>
  </si>
  <si>
    <t>appropriation for general services</t>
  </si>
  <si>
    <t>1-07-05-990</t>
  </si>
  <si>
    <t>Other Machineries and Equipment</t>
  </si>
  <si>
    <t>Capital Outlay</t>
  </si>
  <si>
    <t>Other Maintenance and Operating Expenses</t>
  </si>
  <si>
    <t>LAB</t>
  </si>
  <si>
    <t>OMOE BREAKDOWN</t>
  </si>
  <si>
    <r>
      <rPr>
        <b/>
        <sz val="11"/>
        <rFont val="Arial Narrow"/>
        <family val="2"/>
      </rPr>
      <t>OTHER GENERAL SERVICES</t>
    </r>
    <r>
      <rPr>
        <sz val="11"/>
        <rFont val="Arial Narrow"/>
        <family val="2"/>
      </rPr>
      <t xml:space="preserve"> =  3 ITEMS</t>
    </r>
  </si>
  <si>
    <t>ROSOS AND BONITA</t>
  </si>
  <si>
    <t>LOYALTY</t>
  </si>
  <si>
    <r>
      <t xml:space="preserve">Other Personnel Benefits </t>
    </r>
    <r>
      <rPr>
        <sz val="9"/>
        <rFont val="Arial Narrow"/>
        <family val="2"/>
      </rPr>
      <t>(Anniversary Bonus)</t>
    </r>
  </si>
  <si>
    <r>
      <rPr>
        <i/>
        <sz val="11"/>
        <rFont val="Arial Narrow"/>
        <family val="2"/>
      </rPr>
      <t>Office</t>
    </r>
    <r>
      <rPr>
        <i/>
        <sz val="12"/>
        <rFont val="Arial Narrow"/>
        <family val="2"/>
      </rPr>
      <t xml:space="preserve"> </t>
    </r>
    <r>
      <rPr>
        <b/>
        <sz val="12"/>
        <rFont val="Arial Narrow"/>
        <family val="2"/>
      </rPr>
      <t xml:space="preserve">: </t>
    </r>
    <r>
      <rPr>
        <b/>
        <sz val="11"/>
        <rFont val="Arial Narrow"/>
        <family val="2"/>
      </rPr>
      <t>CITY BUDGET AND MANAGEMENT OFFICE (1071)</t>
    </r>
  </si>
  <si>
    <t>Financial Reports in accordance with the Budget Operations Manual, Philippine Public Sector Accounting Standards and LGU Integrated Financial Tools (LIFT)  to be submitted to local officials and other government agencies like COA, BLGF, DBM and DILG.</t>
  </si>
  <si>
    <t xml:space="preserve">    Approved:</t>
  </si>
  <si>
    <t>OIC - City Treasurer</t>
  </si>
  <si>
    <t>JOSE VENFORT L. LEGARIA, CPA</t>
  </si>
  <si>
    <t>FLORENDA A. OLVIDO, CPA</t>
  </si>
  <si>
    <t>CGDH I - City Planning &amp; Development Coordinator</t>
  </si>
  <si>
    <t xml:space="preserve">     Senior Administrative Assistant II         </t>
  </si>
  <si>
    <t>ENGR. MAGNOLIA B. ANTONIO, EnP</t>
  </si>
  <si>
    <r>
      <t xml:space="preserve">Reviewed: </t>
    </r>
    <r>
      <rPr>
        <b/>
        <sz val="10"/>
        <rFont val="Arial"/>
        <family val="2"/>
      </rPr>
      <t>Local Finance Committee</t>
    </r>
  </si>
  <si>
    <t xml:space="preserve">   Prepared by:</t>
  </si>
  <si>
    <t>&amp; meetings</t>
  </si>
  <si>
    <t xml:space="preserve">   meetings attended.</t>
  </si>
  <si>
    <t xml:space="preserve">     meetings</t>
  </si>
  <si>
    <t xml:space="preserve">     meetings.</t>
  </si>
  <si>
    <t>12 conferences</t>
  </si>
  <si>
    <t>Conferences and</t>
  </si>
  <si>
    <t xml:space="preserve">Attend conferences and </t>
  </si>
  <si>
    <t xml:space="preserve">   employees.</t>
  </si>
  <si>
    <t xml:space="preserve"> to the local officials and</t>
  </si>
  <si>
    <t>Proper technical assistance  provided to officials and employees.</t>
  </si>
  <si>
    <t>Technical Assistance</t>
  </si>
  <si>
    <t xml:space="preserve">Provides technical assistance </t>
  </si>
  <si>
    <t xml:space="preserve">   Audit &amp; BLGF.</t>
  </si>
  <si>
    <t xml:space="preserve">   Management , Commission on</t>
  </si>
  <si>
    <t xml:space="preserve"> and other Reports</t>
  </si>
  <si>
    <t xml:space="preserve">   to the Department of Budget </t>
  </si>
  <si>
    <t>5 Reports</t>
  </si>
  <si>
    <t>Reports Submitted</t>
  </si>
  <si>
    <t>BLGF, DBM, COA, DILG</t>
  </si>
  <si>
    <t>Submission of Periodic Reports</t>
  </si>
  <si>
    <t xml:space="preserve"> Payrolls, etc.</t>
  </si>
  <si>
    <t xml:space="preserve">             Requests, etc.</t>
  </si>
  <si>
    <t xml:space="preserve"> RIS, Purchase Requests,</t>
  </si>
  <si>
    <t xml:space="preserve">      Requests, Purchase</t>
  </si>
  <si>
    <t>26,000 ObR, etc.</t>
  </si>
  <si>
    <t>ObRs, PRs, etc. Certified</t>
  </si>
  <si>
    <t>Obligation Requests,</t>
  </si>
  <si>
    <t xml:space="preserve">   Certication of Obligation</t>
  </si>
  <si>
    <t>Budget Accountability:</t>
  </si>
  <si>
    <t>ObRs, PRs, etc. controlled</t>
  </si>
  <si>
    <t>Obligation Requests</t>
  </si>
  <si>
    <t xml:space="preserve"> Control as to allotment release all Obligation Requests, Purchase Requests, etc. </t>
  </si>
  <si>
    <t>800 Allotments</t>
  </si>
  <si>
    <t>Allotment Released</t>
  </si>
  <si>
    <t>Release of Allotments</t>
  </si>
  <si>
    <t>Release of Allotment</t>
  </si>
  <si>
    <t xml:space="preserve">Budget Execution: </t>
  </si>
  <si>
    <t xml:space="preserve">  Reviewed.</t>
  </si>
  <si>
    <t>18 Barangay Budgets</t>
  </si>
  <si>
    <t xml:space="preserve">Barangay Budgets </t>
  </si>
  <si>
    <t>Authentication and preliminary review of barangay budgets.</t>
  </si>
  <si>
    <t xml:space="preserve">     Budgets</t>
  </si>
  <si>
    <t xml:space="preserve">   2 Supplemental </t>
  </si>
  <si>
    <t xml:space="preserve"> Budgets Prepared.</t>
  </si>
  <si>
    <t xml:space="preserve"> Budgets.</t>
  </si>
  <si>
    <t xml:space="preserve">1 Annual and </t>
  </si>
  <si>
    <t>Annual &amp; Supplemental</t>
  </si>
  <si>
    <t>Budget Preparation</t>
  </si>
  <si>
    <t>GENERAL PUBLIC SERVICES 1000</t>
  </si>
  <si>
    <t xml:space="preserve"> '(1)</t>
  </si>
  <si>
    <t>CO</t>
  </si>
  <si>
    <t>MOOE</t>
  </si>
  <si>
    <t>PS</t>
  </si>
  <si>
    <t>OUTPUT INDICATOR</t>
  </si>
  <si>
    <t xml:space="preserve"> FINAL OUTPUT</t>
  </si>
  <si>
    <t>DESCRIPTION</t>
  </si>
  <si>
    <t xml:space="preserve"> REF. CODE</t>
  </si>
  <si>
    <t>PROPOSED BUDGET FOR CY 2022</t>
  </si>
  <si>
    <t xml:space="preserve">TARGET FOR THE </t>
  </si>
  <si>
    <t>PERFORMANCE/</t>
  </si>
  <si>
    <t>MAJOR</t>
  </si>
  <si>
    <t>PROGRAM/PROJECT/ACTIVITY</t>
  </si>
  <si>
    <t>AIP</t>
  </si>
  <si>
    <r>
      <rPr>
        <b/>
        <sz val="8"/>
        <rFont val="Arial"/>
        <family val="2"/>
      </rPr>
      <t xml:space="preserve">ORGANIZATIONAL OUTCOME   : </t>
    </r>
    <r>
      <rPr>
        <sz val="9"/>
        <rFont val="Arial"/>
        <family val="2"/>
      </rPr>
      <t>Transparent, efficient and effective budget administration.</t>
    </r>
  </si>
  <si>
    <t xml:space="preserve">:To deliver excellent budgeting services with professionalism to the financial users and uphold efficiency, effectiveness and  transparency in the management of local government resources. </t>
  </si>
  <si>
    <t>MISSION</t>
  </si>
  <si>
    <t>:This office envisions to being a champion of  result-oriented budget and lead public expenditure management to ensure the equitable, prudent and transparent allocation of public funds to improve the quality of life of each and every constituent of the city.</t>
  </si>
  <si>
    <t>VISION</t>
  </si>
  <si>
    <t>:The City Budget and Management Office shall take charge of the preparation of LGU budget.  Promote a sound, efficient and effective management and optimize proper utilization of government resources as instrument in the achievement of the city’s master development plan.</t>
  </si>
  <si>
    <t>MANDATE</t>
  </si>
  <si>
    <t>San Carlos City, Negros Occidental</t>
  </si>
  <si>
    <t>MANDATE, VISION/MISSION, MAJOR FINAL OUTPUT, PERFORMANCE INDICATORS AND TARGETS CY 2022</t>
  </si>
  <si>
    <t>Local Budget Preparation Form No. 4</t>
  </si>
  <si>
    <t xml:space="preserve">      Audit Team Leader                                     </t>
  </si>
  <si>
    <t xml:space="preserve">        State Auditor IV                                              City Budget Officer</t>
  </si>
  <si>
    <t xml:space="preserve">      HERMINIA S. SY                                    SANDRA LUZ B. BRIONES</t>
  </si>
  <si>
    <t xml:space="preserve">   Approved: </t>
  </si>
  <si>
    <t>Prepared by:                                                Reviewed by:</t>
  </si>
  <si>
    <t>ok 8/25/21</t>
  </si>
  <si>
    <t>Repairs &amp; Maintenance - Machinery &amp; Equipment</t>
  </si>
  <si>
    <t>furnitures &amp; fixtures</t>
  </si>
  <si>
    <t>- Furnitures and Fixtures</t>
  </si>
  <si>
    <t>CASUAL 4 ITEMS</t>
  </si>
  <si>
    <t>Fuel, Oil &amp; Lubricants Expenses</t>
  </si>
  <si>
    <t>Other Supplies and Materials Expenses</t>
  </si>
  <si>
    <t>Office Supplies Expenses (Computer Supplies)</t>
  </si>
  <si>
    <r>
      <t xml:space="preserve">Office : </t>
    </r>
    <r>
      <rPr>
        <b/>
        <sz val="10"/>
        <rFont val="Arial Narrow"/>
        <family val="2"/>
      </rPr>
      <t>COMMISSION ON AUDIT (1111)</t>
    </r>
  </si>
  <si>
    <t>09/02/21</t>
  </si>
  <si>
    <t>EUGENIO JOVENCIO B. BROCE</t>
  </si>
  <si>
    <t>Support Services Section</t>
  </si>
  <si>
    <t>Administrative AIDE II</t>
  </si>
  <si>
    <t>JOHAYNNA R. LAGUDA</t>
  </si>
  <si>
    <t>Administrative Aide IV (Bookbinder II)</t>
  </si>
  <si>
    <t>JUDITH F. LAZAGA</t>
  </si>
  <si>
    <t>Bookbinder III</t>
  </si>
  <si>
    <t xml:space="preserve">   (Data Controller III)</t>
  </si>
  <si>
    <t xml:space="preserve">Administrative Assistant V </t>
  </si>
  <si>
    <t>Records and Personnel Administration Section</t>
  </si>
  <si>
    <t>Administrative Officer III*</t>
  </si>
  <si>
    <t>ADMINISTRATIVE SECTION:</t>
  </si>
  <si>
    <t>Admin. Aide II (Bookbinder I)</t>
  </si>
  <si>
    <t>43</t>
  </si>
  <si>
    <t>CATHARENE B. PAREL</t>
  </si>
  <si>
    <t xml:space="preserve">Admin. Aide II </t>
  </si>
  <si>
    <t>143</t>
  </si>
  <si>
    <t>GIOVANNI M. SALEM</t>
  </si>
  <si>
    <t>44</t>
  </si>
  <si>
    <t>42</t>
  </si>
  <si>
    <t>GEMINI M. CABALLERO</t>
  </si>
  <si>
    <t xml:space="preserve">       Regulation Officer I</t>
  </si>
  <si>
    <t xml:space="preserve">Housing &amp; Homesite </t>
  </si>
  <si>
    <t xml:space="preserve">      Regulation Officer II</t>
  </si>
  <si>
    <t>SAN CARLOS INTEGRATED HOUSING AUTHORITY</t>
  </si>
  <si>
    <t>SYLMARIZ MARIE S. BINGAAN</t>
  </si>
  <si>
    <t>Statistican Aide</t>
  </si>
  <si>
    <t>Database Management Section</t>
  </si>
  <si>
    <t>ROWELL G. GIMENA</t>
  </si>
  <si>
    <t>JOSEPH JAN B. LOBATON</t>
  </si>
  <si>
    <t>Draftman II</t>
  </si>
  <si>
    <t>Engineer I</t>
  </si>
  <si>
    <t>GIS Section</t>
  </si>
  <si>
    <t>MAPPING AND PLANNING DATA MANAGEMENT DIVISION</t>
  </si>
  <si>
    <t>JOAN B. MASCADA</t>
  </si>
  <si>
    <t>Project Evaluation Officer I</t>
  </si>
  <si>
    <t>PROJECT MONITORING &amp; EVALUATION DIVISION</t>
  </si>
  <si>
    <t>DHEBETH N. SURALTA</t>
  </si>
  <si>
    <t>ROEDER N. AMIGABLE</t>
  </si>
  <si>
    <t>Zoning Officer II</t>
  </si>
  <si>
    <t>ZONING AND LOCATIONAL CLEARANCE DIVISION</t>
  </si>
  <si>
    <t>Technical Support Section</t>
  </si>
  <si>
    <t>RAUL B. MORALES, JR.</t>
  </si>
  <si>
    <t>Clerk II</t>
  </si>
  <si>
    <t>MARIEL M. AVENIR</t>
  </si>
  <si>
    <t>Project Development Officer IV</t>
  </si>
  <si>
    <t>Special Project Section</t>
  </si>
  <si>
    <t>PROJECT DEVELOPMENT &amp; EVALUATION DIVISION</t>
  </si>
  <si>
    <t>KIMBIE M. ACABAL</t>
  </si>
  <si>
    <t>Planning Officer I</t>
  </si>
  <si>
    <t>Urban Planning and Design Section</t>
  </si>
  <si>
    <t>GINA L. BANTILLO</t>
  </si>
  <si>
    <t>Planning Officer II</t>
  </si>
  <si>
    <t>Planning and Research Section</t>
  </si>
  <si>
    <t>Planning Officer IV</t>
  </si>
  <si>
    <t>PLANNING &amp; SECTORIAL DIVISION</t>
  </si>
  <si>
    <t>(City Planning &amp; Development Coordinator I)</t>
  </si>
  <si>
    <t>MAGNOLIA B. ANTONIO</t>
  </si>
  <si>
    <t>City Government Department Head I</t>
  </si>
  <si>
    <t>2ND TRANCHE RATE</t>
  </si>
  <si>
    <t>1ST TRANCHE RATE</t>
  </si>
  <si>
    <t xml:space="preserve">CITY PLANNING AND DEVELOPMENT COORDINATOR'S OFFICE </t>
  </si>
  <si>
    <t xml:space="preserve">    CGDH 1 (City Planning &amp; Dev't. Coordinator)</t>
  </si>
  <si>
    <t xml:space="preserve">            ENGR. MAGNOLIA B. ANTONIO, EnP                          </t>
  </si>
  <si>
    <t xml:space="preserve">       Approved by: </t>
  </si>
  <si>
    <t xml:space="preserve">            Reviewed by:</t>
  </si>
  <si>
    <t xml:space="preserve">       Prepared by:                                                </t>
  </si>
  <si>
    <t>1-07-05-030</t>
  </si>
  <si>
    <t>Information &amp; Communication Technology Equipment</t>
  </si>
  <si>
    <t>5-02-11-990</t>
  </si>
  <si>
    <t>Other Professional Services</t>
  </si>
  <si>
    <t>Other Personnel Benefits (Productivity Enhancement Incentives)</t>
  </si>
  <si>
    <t>OPB SUMMARY</t>
  </si>
  <si>
    <r>
      <t xml:space="preserve">Office: </t>
    </r>
    <r>
      <rPr>
        <i/>
        <sz val="12"/>
        <rFont val="Arial Narrow"/>
        <family val="2"/>
      </rPr>
      <t xml:space="preserve">  </t>
    </r>
    <r>
      <rPr>
        <b/>
        <sz val="10"/>
        <rFont val="Arial Narrow"/>
        <family val="2"/>
      </rPr>
      <t>CITY PLANNING AND DEVELOPMENT OFFICE (1041)</t>
    </r>
  </si>
  <si>
    <t>OK 8/26/21</t>
  </si>
  <si>
    <t>2 ITEMS</t>
  </si>
  <si>
    <t xml:space="preserve">        Project Monitoring </t>
  </si>
  <si>
    <r>
      <t>Office:</t>
    </r>
    <r>
      <rPr>
        <sz val="10"/>
        <rFont val="Arial Narrow"/>
        <family val="2"/>
      </rPr>
      <t xml:space="preserve">  </t>
    </r>
    <r>
      <rPr>
        <b/>
        <sz val="11"/>
        <rFont val="Arial Narrow"/>
        <family val="2"/>
      </rPr>
      <t>CITY PLANNING AND DEVELOPMENT OFFICE (1041)</t>
    </r>
  </si>
  <si>
    <t>OK 9/1/21</t>
  </si>
  <si>
    <t>5-02-99-990 (140)</t>
  </si>
  <si>
    <t>- PAMANA Peace Development Community</t>
  </si>
  <si>
    <t>6 CSOs</t>
  </si>
  <si>
    <t>5-02-14-060</t>
  </si>
  <si>
    <t>Subsidy to Other Funds</t>
  </si>
  <si>
    <t xml:space="preserve">        Implementation of PAMANA,  RCSP and other projects.</t>
  </si>
  <si>
    <t xml:space="preserve">                Approved by: </t>
  </si>
  <si>
    <t xml:space="preserve">         Prepared by:                                                </t>
  </si>
  <si>
    <t>OK 8/28/21</t>
  </si>
  <si>
    <t xml:space="preserve">           'Sining at Pag-asa Sa San Carlos Project</t>
  </si>
  <si>
    <t xml:space="preserve">         Profiling and Inventory of San Carlos City Heritage Buildings and Structures</t>
  </si>
  <si>
    <r>
      <rPr>
        <i/>
        <sz val="10"/>
        <rFont val="Arial"/>
        <family val="2"/>
      </rPr>
      <t xml:space="preserve">Province/City/Municipality </t>
    </r>
    <r>
      <rPr>
        <sz val="10"/>
        <rFont val="Arial"/>
        <family val="2"/>
      </rPr>
      <t>:     San Carlos City, Negros Occidental</t>
    </r>
  </si>
  <si>
    <t>ok 08/21/21</t>
  </si>
  <si>
    <t>2 items</t>
  </si>
  <si>
    <t>Mainstreaming of CBMS in Barangay Development Planning</t>
  </si>
  <si>
    <t>9/9/19</t>
  </si>
  <si>
    <t xml:space="preserve">         Special Project for Indigenous People</t>
  </si>
  <si>
    <t xml:space="preserve">        Implementation of BUB, PAMANA and other projects.</t>
  </si>
  <si>
    <t>Comprehensive Data Collection &amp; Update of Barangay Administrative Map</t>
  </si>
  <si>
    <t xml:space="preserve">    '- Motor Vehicle</t>
  </si>
  <si>
    <t>San Carlos Integrated Housing Authority</t>
  </si>
  <si>
    <t>ok 09/1/21</t>
  </si>
  <si>
    <t>5-02-02-990</t>
  </si>
  <si>
    <t>Comprehensive Household Profiling - Updating</t>
  </si>
  <si>
    <t xml:space="preserve">   Approved by: </t>
  </si>
  <si>
    <t xml:space="preserve">         Community Based Monitoring System - LGU Counterpart</t>
  </si>
  <si>
    <t>7 CSOs</t>
  </si>
  <si>
    <t xml:space="preserve">        Monitoring of BUB/GPB Projects and Other Activities</t>
  </si>
  <si>
    <t>PAMANA Program and Development</t>
  </si>
  <si>
    <t>100%</t>
  </si>
  <si>
    <t>SSL 5 1ST TRANCHE</t>
  </si>
  <si>
    <t>MA. EPHELEN F. FERRAREN</t>
  </si>
  <si>
    <t>Rev. Collection Clerk I</t>
  </si>
  <si>
    <t>46</t>
  </si>
  <si>
    <t>OK 9/25/21</t>
  </si>
  <si>
    <t>ELBERTO L. DIONALDO</t>
  </si>
  <si>
    <t>Revenue Collection Clerk I</t>
  </si>
  <si>
    <t>68</t>
  </si>
  <si>
    <t>69</t>
  </si>
  <si>
    <t>RIZZA MARIA L. PORTUGUEZ</t>
  </si>
  <si>
    <t>Revenue Collection Clerk II</t>
  </si>
  <si>
    <t>67</t>
  </si>
  <si>
    <t>Revenue Collection Clerk III</t>
  </si>
  <si>
    <t>66</t>
  </si>
  <si>
    <t>RE ASSIGNED TO INTEGRATED LAND TRANSPORT &amp; TERMINAL OFFICE</t>
  </si>
  <si>
    <t>CARYL JOY M. LARGO</t>
  </si>
  <si>
    <t>Local  Rev. Coll. Officer I</t>
  </si>
  <si>
    <t>65</t>
  </si>
  <si>
    <t>JANSEN M. BAYAWA</t>
  </si>
  <si>
    <t>Local Rev. Collection Officer III</t>
  </si>
  <si>
    <t>64</t>
  </si>
  <si>
    <t>RE ASSIGNED TO PUBLIC MARKET &amp; SLAUGHTERHOUSE DEPARTMENT</t>
  </si>
  <si>
    <t>Bill  Collector</t>
  </si>
  <si>
    <t>63</t>
  </si>
  <si>
    <t>BERNIE D. GUSTILO</t>
  </si>
  <si>
    <t>61</t>
  </si>
  <si>
    <t>RE ASSIGNED TO CITY WATERWORKS DEPARTMENT</t>
  </si>
  <si>
    <t>62</t>
  </si>
  <si>
    <t>58</t>
  </si>
  <si>
    <t>TERESITA S. CASALLA</t>
  </si>
  <si>
    <t>57</t>
  </si>
  <si>
    <t>DETAILED TO CITY HOSPITAL DEPARTMENT</t>
  </si>
  <si>
    <t>Economic Enterprise Section</t>
  </si>
  <si>
    <t>60</t>
  </si>
  <si>
    <t>51</t>
  </si>
  <si>
    <t>RE ASSIGNED TO CITY HEALTH OFFICE</t>
  </si>
  <si>
    <t>59</t>
  </si>
  <si>
    <t>55</t>
  </si>
  <si>
    <t>TIRSO M. PARDILLO</t>
  </si>
  <si>
    <t>53</t>
  </si>
  <si>
    <t>MARIA JOSEPHA P. QUINDO</t>
  </si>
  <si>
    <t>MARUJA V. BASCONES</t>
  </si>
  <si>
    <t>56</t>
  </si>
  <si>
    <t>52</t>
  </si>
  <si>
    <t>54</t>
  </si>
  <si>
    <t>MARIO T. DULALAS</t>
  </si>
  <si>
    <t>Clerk I</t>
  </si>
  <si>
    <t>JOFER LANCE C. SAYSON</t>
  </si>
  <si>
    <t>YANCY GIFT A. MERCADO</t>
  </si>
  <si>
    <t>Rev. Collection Clerk III</t>
  </si>
  <si>
    <t>50</t>
  </si>
  <si>
    <t>EDITHA A. SALVADOR</t>
  </si>
  <si>
    <t>Local Rev. Collection Officer  I</t>
  </si>
  <si>
    <t>49</t>
  </si>
  <si>
    <t>Local Revenue Collections Off. II</t>
  </si>
  <si>
    <t>48</t>
  </si>
  <si>
    <t>Business Taxes and Fees Section</t>
  </si>
  <si>
    <t>Local Treasury Operations Off. IV</t>
  </si>
  <si>
    <t>47</t>
  </si>
  <si>
    <t>REVENUE COLLECTION DIVISION</t>
  </si>
  <si>
    <t>MAY ANN A. CENA</t>
  </si>
  <si>
    <t>MICHELLE SHIELA G. SUAN</t>
  </si>
  <si>
    <t>45</t>
  </si>
  <si>
    <t>BLESILDA A. IGNACIO</t>
  </si>
  <si>
    <t>Local Treasury Operation Off. III</t>
  </si>
  <si>
    <t>Collection Section</t>
  </si>
  <si>
    <t>ROMAINE CARLO M. RIGOR</t>
  </si>
  <si>
    <t>41</t>
  </si>
  <si>
    <t>Local Treasury Operation Off. I</t>
  </si>
  <si>
    <t>40</t>
  </si>
  <si>
    <t>GLEAN A. BARING</t>
  </si>
  <si>
    <t>Local Treasury Operations Officer II</t>
  </si>
  <si>
    <t>39</t>
  </si>
  <si>
    <t>MA. LORMELUSA S. TEODORO</t>
  </si>
  <si>
    <t>Local Treasury Operations Off. III</t>
  </si>
  <si>
    <t>Assessment Section</t>
  </si>
  <si>
    <t>REBECCA V. ALMARAS</t>
  </si>
  <si>
    <t>REAL PROPERTY TAX DIVISION</t>
  </si>
  <si>
    <t>KATHLEEN A. REQUIERON</t>
  </si>
  <si>
    <t>MERLITA D. BARCUMA</t>
  </si>
  <si>
    <t>Administrative Aide IV</t>
  </si>
  <si>
    <t>Cash  Clerk  I</t>
  </si>
  <si>
    <t>Administrative Assistant II</t>
  </si>
  <si>
    <t>MELBA J. SANDAG</t>
  </si>
  <si>
    <t>Disbursing Officer II</t>
  </si>
  <si>
    <t>ROCHELLE R. CARRILLO</t>
  </si>
  <si>
    <t>Cashier I</t>
  </si>
  <si>
    <t>LUNOVESTE M. MERCADO</t>
  </si>
  <si>
    <t>Cashier  II</t>
  </si>
  <si>
    <t>MARLENE C. EBORDA</t>
  </si>
  <si>
    <t>Cash Disbursement Section</t>
  </si>
  <si>
    <t>ANA MARGARITA C. CANOY</t>
  </si>
  <si>
    <t>JC ANGEL J. SOLIDARIOS</t>
  </si>
  <si>
    <t>JULIE JOY S. VERANA</t>
  </si>
  <si>
    <t>BONIFACIO L. PLANAS, JR.</t>
  </si>
  <si>
    <t>JORALYN B. BATAYOLA</t>
  </si>
  <si>
    <t xml:space="preserve">Administrative Assistant I </t>
  </si>
  <si>
    <t>Administrative Officer V</t>
  </si>
  <si>
    <t>Cash Receipts Section</t>
  </si>
  <si>
    <t>MESALANE L. MARTINEZ</t>
  </si>
  <si>
    <t>Cashier  IV</t>
  </si>
  <si>
    <t>CASH DIVISION</t>
  </si>
  <si>
    <t>Administrative Aide IV (Storekeeper I)</t>
  </si>
  <si>
    <t>ROMULES A. AGBAY</t>
  </si>
  <si>
    <t>Administrative Assistant I (Bookbinder III)</t>
  </si>
  <si>
    <t>Revenue Review Section:</t>
  </si>
  <si>
    <t>MILDRED R. GALASAN</t>
  </si>
  <si>
    <t>Administrative Assistant</t>
  </si>
  <si>
    <t>JEF BRICK M. CENA</t>
  </si>
  <si>
    <t>Local Treasury Operations Officer I</t>
  </si>
  <si>
    <t>Accounting and Internal Control Section</t>
  </si>
  <si>
    <t>ACCOUNTING AND REVENUE REVIEW DIVISION</t>
  </si>
  <si>
    <t>MAYOLITA T. UNDANG</t>
  </si>
  <si>
    <t>Utility Worker I</t>
  </si>
  <si>
    <t>Administrative Aide III</t>
  </si>
  <si>
    <t>REMEGIO O. GALAGATE, JR.</t>
  </si>
  <si>
    <t>HENRY PHILIP M. PARANA</t>
  </si>
  <si>
    <t>JOSHUA S. ALFARO</t>
  </si>
  <si>
    <t>Administrative Aide IV (Clerk II)</t>
  </si>
  <si>
    <t>Accountable Forms and Supplies Section</t>
  </si>
  <si>
    <t>MELITA B. SINGSON</t>
  </si>
  <si>
    <t>Messenger</t>
  </si>
  <si>
    <t>RHINEHART M. LOPEZ</t>
  </si>
  <si>
    <t>JEVI B. BOCABLO</t>
  </si>
  <si>
    <t>MARISA P. MAHINAY</t>
  </si>
  <si>
    <t>Administrative Officer I</t>
  </si>
  <si>
    <t>Administrative Officer II</t>
  </si>
  <si>
    <t>RAY JOHN D. LIM</t>
  </si>
  <si>
    <t>Administrative Officer III</t>
  </si>
  <si>
    <t>Personnel Administration and Planning Section</t>
  </si>
  <si>
    <t>ADMINISTRATIVE  DIVISION:</t>
  </si>
  <si>
    <t>Assistant City Treasurer</t>
  </si>
  <si>
    <t>ATTY. AMY GRACE O.BOLIVAR, CPA</t>
  </si>
  <si>
    <t>City Treasurer</t>
  </si>
  <si>
    <t>CITY TREASURER'S OFFICE</t>
  </si>
  <si>
    <t xml:space="preserve">                OIC - City Treasurer</t>
  </si>
  <si>
    <t xml:space="preserve">        FLORENDA A. OLVIDO, CPA                        </t>
  </si>
  <si>
    <t xml:space="preserve">                                Approved: </t>
  </si>
  <si>
    <t xml:space="preserve"> Reviewed by:</t>
  </si>
  <si>
    <t>CASUAL ____ ITEMS</t>
  </si>
  <si>
    <t>5-02-03-020 (01)</t>
  </si>
  <si>
    <t>Accountable Forms Expenses - Checkbooks</t>
  </si>
  <si>
    <t xml:space="preserve">5-02-03-020 </t>
  </si>
  <si>
    <t>Accountable Forms Expenses</t>
  </si>
  <si>
    <t>OMOE MAIN</t>
  </si>
  <si>
    <t>GSIS</t>
  </si>
  <si>
    <t>Midyear Bonus</t>
  </si>
  <si>
    <r>
      <t xml:space="preserve">Office : </t>
    </r>
    <r>
      <rPr>
        <b/>
        <sz val="11"/>
        <rFont val="Arial Narrow"/>
        <family val="2"/>
      </rPr>
      <t>CITY TREASURER'S OFFICE (1091)</t>
    </r>
  </si>
  <si>
    <t>SSL 5 (FIRST TRANCHE)</t>
  </si>
  <si>
    <t>OK 09/02/21</t>
  </si>
  <si>
    <t>Admin. Aide II</t>
  </si>
  <si>
    <t>ILDEFONSO L. TROCIO, JR.</t>
  </si>
  <si>
    <t>Driver  I</t>
  </si>
  <si>
    <t>BUREN  C.    REBIDO</t>
  </si>
  <si>
    <t>Driver  II</t>
  </si>
  <si>
    <t>ROMEO  D.  VILLARIN</t>
  </si>
  <si>
    <t>CARLO DARIUS B. MASCUÑANA</t>
  </si>
  <si>
    <t>Engineering Assistant</t>
  </si>
  <si>
    <t>JOEFFREY D. VILLAMIL</t>
  </si>
  <si>
    <t>Support Services Section:</t>
  </si>
  <si>
    <t>Admin. Aide III (Clerk I)</t>
  </si>
  <si>
    <t>CONCEPCION O. ESCARTIN</t>
  </si>
  <si>
    <t xml:space="preserve">Clerk III </t>
  </si>
  <si>
    <t>Records Section:</t>
  </si>
  <si>
    <t>CHERLINA S. MONTECLARO</t>
  </si>
  <si>
    <t>Personnel Administration Section:</t>
  </si>
  <si>
    <t>Meter  Reader  I</t>
  </si>
  <si>
    <t>ENRIQUE B. YAP</t>
  </si>
  <si>
    <t>Meter Reader II</t>
  </si>
  <si>
    <t>HILARIO M. FERNANDEZ</t>
  </si>
  <si>
    <t>JOVENCIA P. MADRID</t>
  </si>
  <si>
    <t>Billing Section</t>
  </si>
  <si>
    <t>ROMEO O. ROBLES</t>
  </si>
  <si>
    <t>PASCUALITO A. URSAL</t>
  </si>
  <si>
    <t>Plumber  I</t>
  </si>
  <si>
    <t>RENATO J. JUMAG</t>
  </si>
  <si>
    <t>LYMA A. GARABATO</t>
  </si>
  <si>
    <t>Assessment Clerk III</t>
  </si>
  <si>
    <t>Public Services Officer II</t>
  </si>
  <si>
    <t>Consumer Services Section:</t>
  </si>
  <si>
    <t>ROSEFLOR N. AGRAVANTE</t>
  </si>
  <si>
    <t>Mgn't &amp; Audit Analyst IV</t>
  </si>
  <si>
    <t xml:space="preserve">III.ADMINISTRATIVE AND  FINANCE DIVISION:  </t>
  </si>
  <si>
    <t>ROSEMARIE V. ARRIVAS</t>
  </si>
  <si>
    <t>Admin. Aide III(Laborer II)</t>
  </si>
  <si>
    <t>Plumber  II</t>
  </si>
  <si>
    <t>Construction &amp; Maintenance  Foreman</t>
  </si>
  <si>
    <t>CRESCENCIO M TURTOR, JR.</t>
  </si>
  <si>
    <t>IAN DARYLL M. URSAL</t>
  </si>
  <si>
    <t>Engineer  I</t>
  </si>
  <si>
    <t>JERIC F. VILLARINO</t>
  </si>
  <si>
    <t>Engineer II</t>
  </si>
  <si>
    <t>Planning, Design and Construction Section:</t>
  </si>
  <si>
    <t>Research and Development Section</t>
  </si>
  <si>
    <t>ESTHER B. LURANAS</t>
  </si>
  <si>
    <t>Waterworks  Superintendent I</t>
  </si>
  <si>
    <t>II. TECHNICAL SERVICES DIVISION</t>
  </si>
  <si>
    <t>FELIPE C. CAPANGPANGAN,JR.</t>
  </si>
  <si>
    <t>CLEMENTE  S.  SALDUA</t>
  </si>
  <si>
    <t>Plumber Foreman</t>
  </si>
  <si>
    <t>VOLTAIRE P. PABUAYA</t>
  </si>
  <si>
    <t>Construction &amp; Maintenance General Foreman</t>
  </si>
  <si>
    <t>Pipelines Maintenance Section:</t>
  </si>
  <si>
    <t>SOFRONIO T. BINGAAN, JR.</t>
  </si>
  <si>
    <t xml:space="preserve">Mechanic </t>
  </si>
  <si>
    <t>LENARD N. MAMAC</t>
  </si>
  <si>
    <t>Engineer  II   (Electrical)</t>
  </si>
  <si>
    <t>Electro-Mechanical Section</t>
  </si>
  <si>
    <t>ANALIE P. CARBAJOSA</t>
  </si>
  <si>
    <t>Laboratory  Aide  II</t>
  </si>
  <si>
    <t>RONALD N. APAYLA</t>
  </si>
  <si>
    <t>Laboratory  Technician I</t>
  </si>
  <si>
    <t>Public Utilities Regulation Officer I</t>
  </si>
  <si>
    <t>JANNEL S. SEVILLA</t>
  </si>
  <si>
    <t xml:space="preserve">Medical Technologist </t>
  </si>
  <si>
    <t>Water Quality Section:</t>
  </si>
  <si>
    <t>JONATHAN A. MELMIDA</t>
  </si>
  <si>
    <t>Watchman  II</t>
  </si>
  <si>
    <t>EDGARDO A. DAYONDON</t>
  </si>
  <si>
    <t>REYNALDO O. ROBLES</t>
  </si>
  <si>
    <t xml:space="preserve">BERNARDO  O.  ROBLES,  JR. </t>
  </si>
  <si>
    <t>Waterpump Operator</t>
  </si>
  <si>
    <t>LEOPOLDO O. FLORES, JR.</t>
  </si>
  <si>
    <t>BONIFACIO P. DESTORA</t>
  </si>
  <si>
    <t>FLORIANO N. PASILAN</t>
  </si>
  <si>
    <t>Waterpump  Operator</t>
  </si>
  <si>
    <t>PEDRO B. TAPDASAN, JR.</t>
  </si>
  <si>
    <t>BENEDICTO  S.  SALDUA</t>
  </si>
  <si>
    <t>Waterworks Supervisor</t>
  </si>
  <si>
    <t>Water Supply Section:</t>
  </si>
  <si>
    <t>TEOTIMO L. VILLARANTE</t>
  </si>
  <si>
    <t>Engineer IV</t>
  </si>
  <si>
    <t>I. OPERATIONS &amp; MAINTENANCE DIVISION:</t>
  </si>
  <si>
    <t>JOSE ARIS B. YAP</t>
  </si>
  <si>
    <t>City Government Assistant Department Head I</t>
  </si>
  <si>
    <t>EDWARD C. SANCHEZ</t>
  </si>
  <si>
    <t>4TH TRANCHE</t>
  </si>
  <si>
    <t>CITY WATERWORKS DEPARTMENT</t>
  </si>
  <si>
    <t xml:space="preserve">               Thank you.</t>
  </si>
  <si>
    <t xml:space="preserve">   SUMMARY OF GENERAL SERVICES)</t>
  </si>
  <si>
    <t>- Please submit 5 final copies of the proposals. (PAAOE,PS, RECEIPTS &amp;</t>
  </si>
  <si>
    <t>- Please make the necessary corrections on PS.</t>
  </si>
  <si>
    <t>- Please include Supplemental Budgets on the actual appropriations.</t>
  </si>
  <si>
    <r>
      <rPr>
        <i/>
        <sz val="12"/>
        <rFont val="Arial Narrow"/>
        <family val="2"/>
      </rPr>
      <t>To:</t>
    </r>
    <r>
      <rPr>
        <b/>
        <sz val="12"/>
        <rFont val="Arial Narrow"/>
        <family val="2"/>
      </rPr>
      <t xml:space="preserve"> CWD (Ate Roseflor)</t>
    </r>
  </si>
  <si>
    <t>City Govt. Asst. Dept. Head I/OIC</t>
  </si>
  <si>
    <t xml:space="preserve">  JOSE ARIS B. YAP, CE, RMP</t>
  </si>
  <si>
    <t>grand total</t>
  </si>
  <si>
    <t>mooe + ps</t>
  </si>
  <si>
    <t>Various Capital Outlay</t>
  </si>
  <si>
    <t>Other Machinery &amp; Equipment</t>
  </si>
  <si>
    <t>CAPITAL OUTLAY</t>
  </si>
  <si>
    <t>5-02-16-010</t>
  </si>
  <si>
    <t xml:space="preserve">Taxes, Duties &amp; Licenses </t>
  </si>
  <si>
    <t xml:space="preserve">  ' - Motor Vehicles</t>
  </si>
  <si>
    <t>5-02-13-050 (07)</t>
  </si>
  <si>
    <t xml:space="preserve">  ' - Communication Equipment</t>
  </si>
  <si>
    <t>Repair &amp; Maintenance - Machinery &amp; Equipment</t>
  </si>
  <si>
    <t xml:space="preserve">  ' - ICT Equipment</t>
  </si>
  <si>
    <t xml:space="preserve">  ' - Office Equipment</t>
  </si>
  <si>
    <t>5-02-13-030 (03-05)</t>
  </si>
  <si>
    <r>
      <t>- Water Supply Systems</t>
    </r>
    <r>
      <rPr>
        <sz val="8"/>
        <rFont val="Arial Narrow"/>
        <family val="2"/>
      </rPr>
      <t xml:space="preserve"> </t>
    </r>
    <r>
      <rPr>
        <sz val="7"/>
        <rFont val="Arial Narrow"/>
        <family val="2"/>
      </rPr>
      <t>(WATER RESOURCE STATIONS)</t>
    </r>
  </si>
  <si>
    <t>Repair &amp; Maintenance - Infrastructure Assets</t>
  </si>
  <si>
    <t>Page       2     of        2 Page(s)</t>
  </si>
  <si>
    <t>5-02-13-030 (03-04)</t>
  </si>
  <si>
    <t>- Water Supply Systems (WATERLINES)</t>
  </si>
  <si>
    <t>5-02-13-030 (03-03)</t>
  </si>
  <si>
    <t>- Water Supply Systems (GENSETS)</t>
  </si>
  <si>
    <t>5-02-13-030 (03-01)</t>
  </si>
  <si>
    <t>- Water Supply Systems (PUMPS)</t>
  </si>
  <si>
    <t xml:space="preserve">Repair &amp; Maintenance - Infrastructure Assets </t>
  </si>
  <si>
    <t>5-02-11-030</t>
  </si>
  <si>
    <t>Consultancy Services</t>
  </si>
  <si>
    <t>5-02-05-030</t>
  </si>
  <si>
    <t>Internet Subscription Expenses</t>
  </si>
  <si>
    <t>5-02-04-020</t>
  </si>
  <si>
    <t>Electricity Expenses</t>
  </si>
  <si>
    <t>5-02-04-010 (01)</t>
  </si>
  <si>
    <t>Water Expenses (IWP)</t>
  </si>
  <si>
    <t>5-02-04-010</t>
  </si>
  <si>
    <t>Water Expenses (Office)</t>
  </si>
  <si>
    <t>5-02-03-990 (05)</t>
  </si>
  <si>
    <r>
      <t>Other Supplies &amp; Materials Expenses</t>
    </r>
    <r>
      <rPr>
        <sz val="7"/>
        <rFont val="Arial Narrow"/>
        <family val="2"/>
      </rPr>
      <t xml:space="preserve"> (Consumerism Materials)</t>
    </r>
  </si>
  <si>
    <t>5-02-03-990 (04)</t>
  </si>
  <si>
    <r>
      <t>Other Supplies &amp; Materials Expenses</t>
    </r>
    <r>
      <rPr>
        <sz val="7"/>
        <rFont val="Arial Narrow"/>
        <family val="2"/>
      </rPr>
      <t xml:space="preserve"> (Electrical Supplies)</t>
    </r>
  </si>
  <si>
    <t>5-02-03-990 (03)</t>
  </si>
  <si>
    <t>Other Supplies &amp; Materials Expenses (Padlocks)</t>
  </si>
  <si>
    <t>5-02-03-130</t>
  </si>
  <si>
    <t>Chemical and Filtering Supplies Expenses</t>
  </si>
  <si>
    <t>5-02-03-030 (02)</t>
  </si>
  <si>
    <t>Non - Accountable Forms (Water Service Record)</t>
  </si>
  <si>
    <t>5-02-03-030 (01)</t>
  </si>
  <si>
    <t>Non Accountable Forms (Water Bill)</t>
  </si>
  <si>
    <t xml:space="preserve"> (Computer Supplies &amp; Accessories)</t>
  </si>
  <si>
    <t>Office Supplies Expense</t>
  </si>
  <si>
    <t>2021 (61)</t>
  </si>
  <si>
    <r>
      <t>Other Personnel Benefits (</t>
    </r>
    <r>
      <rPr>
        <sz val="7"/>
        <rFont val="Arial Narrow"/>
        <family val="2"/>
      </rPr>
      <t>Anniversary Bonus)</t>
    </r>
  </si>
  <si>
    <r>
      <t>Other Personnel Benefits (</t>
    </r>
    <r>
      <rPr>
        <sz val="7"/>
        <rFont val="Arial Narrow"/>
        <family val="2"/>
      </rPr>
      <t>Productivity Enhancement Incentive)</t>
    </r>
  </si>
  <si>
    <t>Retirement &amp; Life Insurance Premiums</t>
  </si>
  <si>
    <t xml:space="preserve">Salaries &amp; Wages - Regular </t>
  </si>
  <si>
    <r>
      <rPr>
        <i/>
        <sz val="12"/>
        <rFont val="Arial Narrow"/>
        <family val="2"/>
      </rPr>
      <t xml:space="preserve">Office:  </t>
    </r>
    <r>
      <rPr>
        <b/>
        <sz val="12"/>
        <rFont val="Arial Narrow"/>
        <family val="2"/>
      </rPr>
      <t xml:space="preserve"> CITY WATERWORKS DEPARTMENT (8771)</t>
    </r>
  </si>
  <si>
    <t>Page       1     of        2 Page(s)</t>
  </si>
  <si>
    <t>SSL 5 (2nd  TRANCHE)</t>
  </si>
  <si>
    <t>OK 8/31/21</t>
  </si>
  <si>
    <t>SHIRLEY V. RIGOR</t>
  </si>
  <si>
    <t>Bookbinder II</t>
  </si>
  <si>
    <t>PHILIP G. CABALUNA</t>
  </si>
  <si>
    <t>OSCAR A. TARROSA, JR.</t>
  </si>
  <si>
    <t>Computer Operator III</t>
  </si>
  <si>
    <t>ROMEO R. SAAVEDRA</t>
  </si>
  <si>
    <t>JOY DEEN</t>
  </si>
  <si>
    <t>Legal Assistant I</t>
  </si>
  <si>
    <t>ANA LIZA S. MACARAYA</t>
  </si>
  <si>
    <t>Legal Assistant II</t>
  </si>
  <si>
    <t>Attorney III</t>
  </si>
  <si>
    <t>LEGAL SECTION:</t>
  </si>
  <si>
    <t>PETER Z. PARCO</t>
  </si>
  <si>
    <t>City Legal Officer</t>
  </si>
  <si>
    <t>CITY LEGAL OFFICE</t>
  </si>
  <si>
    <t xml:space="preserve">    City Legal Officer</t>
  </si>
  <si>
    <t xml:space="preserve"> SANDRA LUZ B. BRIONES</t>
  </si>
  <si>
    <t xml:space="preserve">ATTY. PETER Z. PARCO                           </t>
  </si>
  <si>
    <t xml:space="preserve">     Approved by: </t>
  </si>
  <si>
    <t>OK 09/01/21</t>
  </si>
  <si>
    <t>5-02-99-990 (08)</t>
  </si>
  <si>
    <t>(Court Litigation Fees,Legal Documents &amp; Titling Expenses)</t>
  </si>
  <si>
    <t>5-02-99-990 (07)</t>
  </si>
  <si>
    <t>Other Maintenance &amp; Operating Expenses (Books)</t>
  </si>
  <si>
    <t>5-02-13-050 (01)</t>
  </si>
  <si>
    <t xml:space="preserve"> (Computer Supplies and Accessories)</t>
  </si>
  <si>
    <t xml:space="preserve">Office Supplies Expenses  </t>
  </si>
  <si>
    <r>
      <t>Office :</t>
    </r>
    <r>
      <rPr>
        <b/>
        <sz val="11"/>
        <rFont val="Arial Narrow"/>
        <family val="2"/>
      </rPr>
      <t xml:space="preserve"> CITY LEGAL OFFICE (1131)</t>
    </r>
  </si>
  <si>
    <t xml:space="preserve">             Clerk of Court IV</t>
  </si>
  <si>
    <t>MICHAEL JAMES P. TEMPLADO</t>
  </si>
  <si>
    <t xml:space="preserve">              JUDGE PETER Z. PARCO</t>
  </si>
  <si>
    <t>OK 8/25/21</t>
  </si>
  <si>
    <t>X 12 MONTHS</t>
  </si>
  <si>
    <t>TOTAL PER MONTH</t>
  </si>
  <si>
    <t>Repair  and Maintenance - Machinery and Equipment</t>
  </si>
  <si>
    <t>COC</t>
  </si>
  <si>
    <t>JUDGES</t>
  </si>
  <si>
    <t>NEW RATE ALLOWANCES</t>
  </si>
  <si>
    <t xml:space="preserve">Other Professional Services </t>
  </si>
  <si>
    <t xml:space="preserve">Internet  Subscription Expenses </t>
  </si>
  <si>
    <t>Office Supplies Expenses -</t>
  </si>
  <si>
    <t>Traveling  Expenses  - Local</t>
  </si>
  <si>
    <r>
      <t>Office</t>
    </r>
    <r>
      <rPr>
        <b/>
        <sz val="10"/>
        <rFont val="Arial Narrow"/>
        <family val="2"/>
      </rPr>
      <t xml:space="preserve"> : </t>
    </r>
    <r>
      <rPr>
        <b/>
        <sz val="11"/>
        <rFont val="Arial Narrow"/>
        <family val="2"/>
      </rPr>
      <t>MUNICIPAL TRIAL COURT IN CITIES (1158)</t>
    </r>
  </si>
  <si>
    <t xml:space="preserve">*created </t>
  </si>
  <si>
    <t>DEVINA D. AMBAG</t>
  </si>
  <si>
    <t>Administrative Assistant V (Data Controller III)</t>
  </si>
  <si>
    <t>ZENAIDA A. CASTRO</t>
  </si>
  <si>
    <t>Senior Administrative Assistant II (Computer Operator IV)</t>
  </si>
  <si>
    <t>LEAVE PROCESSING SECTION</t>
  </si>
  <si>
    <t>LESTER IVAN Y. TOLCIDAS</t>
  </si>
  <si>
    <t>Administrative Aide III (Utility Worker II)</t>
  </si>
  <si>
    <t>JONARD A. MONDERO</t>
  </si>
  <si>
    <t>Administrative Aide VI (Bookbinder)</t>
  </si>
  <si>
    <t>NEMESIO III M. BARING</t>
  </si>
  <si>
    <t>Clerk IV</t>
  </si>
  <si>
    <t>ATTENDANCE MONITORING</t>
  </si>
  <si>
    <t>LEAVE ADMINISTRATION SECTION</t>
  </si>
  <si>
    <t>DAISY E. MENDOZA</t>
  </si>
  <si>
    <t>Administrative Assistant I (Bookbinder III)*</t>
  </si>
  <si>
    <t>Human Resource Mgn't Aide</t>
  </si>
  <si>
    <t>LUCEL C. PASICARAN</t>
  </si>
  <si>
    <t>Human Resource Management Assistant II</t>
  </si>
  <si>
    <t>GLADYS A. MIRANDE</t>
  </si>
  <si>
    <t>RECORDS  SECTION</t>
  </si>
  <si>
    <t>Clerk III</t>
  </si>
  <si>
    <t>ELSIE MAY C. ALVAREZ</t>
  </si>
  <si>
    <t>Human Resource Mgnt. Officer II</t>
  </si>
  <si>
    <t>Human Resource Management Officer III</t>
  </si>
  <si>
    <t xml:space="preserve">  </t>
  </si>
  <si>
    <t>RECRUITMENT, SELECTION AND PLACEMENT SECTION</t>
  </si>
  <si>
    <t>INTEGRATED RECORDS &amp; PERSONNEL MATTERS SECTION:</t>
  </si>
  <si>
    <t>SHEILA LYN T. PELOTENIA</t>
  </si>
  <si>
    <t>ANNABELLE S. MANCAO</t>
  </si>
  <si>
    <t>Administrative Aide VI (CLERK III)</t>
  </si>
  <si>
    <t>ADMINISTRATIVE SUPPORT SERVICES SECTION</t>
  </si>
  <si>
    <t>LEELA GRACE T. JALECO</t>
  </si>
  <si>
    <t>LEARNING &amp; DEVELOPMENT SECTION</t>
  </si>
  <si>
    <t>LUZVISMINDA V. PORQUEZ</t>
  </si>
  <si>
    <t>Records Officer II</t>
  </si>
  <si>
    <t>PERFORMANCE MANAGEMENT, REWARDS AND RECOGNITION SECTION</t>
  </si>
  <si>
    <t>MARIA TERESA T. DESPABELADERO</t>
  </si>
  <si>
    <t>POLICY DEVELOPMENT AND HUMAN RESOURCE RELATIONS SECTION</t>
  </si>
  <si>
    <t>PERSONNEL ADMINISTRATION WELFARE SECTION:</t>
  </si>
  <si>
    <t>ATTY. MA. CHAT H. DELIMA - CORDERO</t>
  </si>
  <si>
    <t>City Government Dept. Head I</t>
  </si>
  <si>
    <t>(DECREASE)</t>
  </si>
  <si>
    <t>INCREASE</t>
  </si>
  <si>
    <t>OFFICE FOR HUMAN RESOURCE MANAGEMENT</t>
  </si>
  <si>
    <t xml:space="preserve">        City Government Department Head I</t>
  </si>
  <si>
    <t xml:space="preserve"> ATTY. MA. CHAT DELIMA - CORDERO                          </t>
  </si>
  <si>
    <t xml:space="preserve">                               Approved by: </t>
  </si>
  <si>
    <t>OK '10/5/21</t>
  </si>
  <si>
    <t>1-07-99-990</t>
  </si>
  <si>
    <t xml:space="preserve">Other Property, Plant and Equipment </t>
  </si>
  <si>
    <t>5-02-13-060</t>
  </si>
  <si>
    <t>Repair and Maintenance -  Transportation Equipment</t>
  </si>
  <si>
    <t>LABORATORY</t>
  </si>
  <si>
    <t>5-02-02-010 (01)</t>
  </si>
  <si>
    <t>Information Dessimination Program</t>
  </si>
  <si>
    <t>Training  Expenses (Seminar-Training and</t>
  </si>
  <si>
    <r>
      <t>Other Personnel Benefits</t>
    </r>
    <r>
      <rPr>
        <sz val="8"/>
        <rFont val="Arial Narrow"/>
        <family val="2"/>
      </rPr>
      <t xml:space="preserve"> (Anniversary Bonus)</t>
    </r>
  </si>
  <si>
    <r>
      <t>Other Personnel Benefits</t>
    </r>
    <r>
      <rPr>
        <sz val="8"/>
        <rFont val="Arial Narrow"/>
        <family val="2"/>
      </rPr>
      <t xml:space="preserve"> (Productivity Enhancement Incentives)</t>
    </r>
  </si>
  <si>
    <r>
      <t xml:space="preserve">Office: </t>
    </r>
    <r>
      <rPr>
        <b/>
        <sz val="11"/>
        <rFont val="Arial Narrow"/>
        <family val="2"/>
      </rPr>
      <t xml:space="preserve"> OFFICE FOR HUMAN RESOURCE MANAGEMENT (1032)</t>
    </r>
  </si>
  <si>
    <t xml:space="preserve">                             Approved by: </t>
  </si>
  <si>
    <t>5-02-99-010</t>
  </si>
  <si>
    <t>Advertising Materials</t>
  </si>
  <si>
    <t xml:space="preserve">             Anti-Red Tape Act (ARTA) of 2007</t>
  </si>
  <si>
    <r>
      <t>Office :</t>
    </r>
    <r>
      <rPr>
        <b/>
        <sz val="11"/>
        <rFont val="Arial Narrow"/>
        <family val="2"/>
      </rPr>
      <t xml:space="preserve"> OFFICE FOR HUMAN RESOURCE MANAGEMENT</t>
    </r>
  </si>
  <si>
    <t>5-02-06-010</t>
  </si>
  <si>
    <t>Awards/Rewards Expenses</t>
  </si>
  <si>
    <t xml:space="preserve">           AWARDS AND REWARDS (SACAPRAISE)</t>
  </si>
  <si>
    <r>
      <t xml:space="preserve">Office : </t>
    </r>
    <r>
      <rPr>
        <b/>
        <sz val="11"/>
        <rFont val="Arial Narrow"/>
        <family val="2"/>
      </rPr>
      <t>OFFICE FOR HUMAN RESOURCE MANAGEMENT</t>
    </r>
  </si>
  <si>
    <t xml:space="preserve">SSL 5 </t>
  </si>
  <si>
    <t>MARIO R. LASPOBRES</t>
  </si>
  <si>
    <t>JYN A. CUI</t>
  </si>
  <si>
    <t>PERLITA M. RIVERA</t>
  </si>
  <si>
    <t>Personnel, Finance, Communications and General Services Section</t>
  </si>
  <si>
    <t>GIRLIE A. MAGALONA</t>
  </si>
  <si>
    <t>JESHANA S. DESPI</t>
  </si>
  <si>
    <t>Classification and Archiving Section</t>
  </si>
  <si>
    <t>FARRAH B. LARGO</t>
  </si>
  <si>
    <t>Petition for Correction or Change of Entries Section</t>
  </si>
  <si>
    <t>ERIC VINCENT E. ROMANILLOS</t>
  </si>
  <si>
    <t>DIVYA ROSE G. ARAÑEZ</t>
  </si>
  <si>
    <t>JOSELITO O. LIM</t>
  </si>
  <si>
    <t>ROSELLE LUZ P. JAIN</t>
  </si>
  <si>
    <t>GLANDO L. BERJOLANO</t>
  </si>
  <si>
    <t>Verification, Requests and Endorsement Section</t>
  </si>
  <si>
    <t>RAMIL G. AGRAVIADOR</t>
  </si>
  <si>
    <t>Endorsement and Supplemental Report Section</t>
  </si>
  <si>
    <t>RECORDS DIVISION:</t>
  </si>
  <si>
    <t>JOVI MARIA P. BURLASA</t>
  </si>
  <si>
    <t>Registration Officer I</t>
  </si>
  <si>
    <t>IGNACIO D. LARGO, JR.</t>
  </si>
  <si>
    <t>Out of Town Services, Court Decrees, Legitimation and Legal Instruments Section</t>
  </si>
  <si>
    <t>GERALDINE G. ARAÑEZ</t>
  </si>
  <si>
    <t>BERNADETH B. DAVIN</t>
  </si>
  <si>
    <t>Birth, Death, Marriage License Application Section</t>
  </si>
  <si>
    <t>GERTRUDES J. FIRMEZA</t>
  </si>
  <si>
    <t>REYNALDO NILO B. CHAN</t>
  </si>
  <si>
    <t>Registration Officer IV</t>
  </si>
  <si>
    <t>REGISTRATION DIVISION:</t>
  </si>
  <si>
    <t>RODRIGO S. ESTRELLANES</t>
  </si>
  <si>
    <t>City Civil Registrar</t>
  </si>
  <si>
    <t>OFFICE OF THE CITY CIVIL REGISTRAR</t>
  </si>
  <si>
    <t xml:space="preserve">        City Civil Registrar            </t>
  </si>
  <si>
    <t xml:space="preserve">RODRIGO S. ESTRELLANES                              </t>
  </si>
  <si>
    <t xml:space="preserve">                                     Approved: </t>
  </si>
  <si>
    <t xml:space="preserve">  ' - Motor Vehicles (Tires, Batteries and Accessories)</t>
  </si>
  <si>
    <r>
      <t>Repair and Maintenance</t>
    </r>
    <r>
      <rPr>
        <sz val="9"/>
        <rFont val="Arial Narrow"/>
        <family val="2"/>
      </rPr>
      <t>-Machinery and Equipment</t>
    </r>
  </si>
  <si>
    <t>PLUS FROM SP ALLOCATION</t>
  </si>
  <si>
    <t>4 ITEMS</t>
  </si>
  <si>
    <t>SP ALLOCATION</t>
  </si>
  <si>
    <t>OTHER GENERAL SERVICES</t>
  </si>
  <si>
    <t>5-02-03-020</t>
  </si>
  <si>
    <t>Accountable Form Expenses</t>
  </si>
  <si>
    <t>2020 (22)</t>
  </si>
  <si>
    <r>
      <t xml:space="preserve">Other </t>
    </r>
    <r>
      <rPr>
        <sz val="8"/>
        <rFont val="Arial Narrow"/>
        <family val="2"/>
      </rPr>
      <t>Personnel Benefits</t>
    </r>
    <r>
      <rPr>
        <sz val="7"/>
        <rFont val="Arial Narrow"/>
        <family val="2"/>
      </rPr>
      <t xml:space="preserve"> (Anniversary Bonus)</t>
    </r>
  </si>
  <si>
    <r>
      <t xml:space="preserve">Other </t>
    </r>
    <r>
      <rPr>
        <sz val="8"/>
        <rFont val="Arial Narrow"/>
        <family val="2"/>
      </rPr>
      <t>Personnel Benefits</t>
    </r>
    <r>
      <rPr>
        <sz val="7"/>
        <rFont val="Arial Narrow"/>
        <family val="2"/>
      </rPr>
      <t xml:space="preserve"> (Productivity Enhancement Incentives)</t>
    </r>
  </si>
  <si>
    <t>OPB BREAKDOWN</t>
  </si>
  <si>
    <r>
      <t>Office</t>
    </r>
    <r>
      <rPr>
        <sz val="12"/>
        <rFont val="Arial Narrow"/>
        <family val="2"/>
      </rPr>
      <t xml:space="preserve">:  </t>
    </r>
    <r>
      <rPr>
        <b/>
        <sz val="11"/>
        <rFont val="Arial Narrow"/>
        <family val="2"/>
      </rPr>
      <t>OFFICE OF THE CITY CIVIL REGISTRAR (1051)</t>
    </r>
  </si>
  <si>
    <t xml:space="preserve">          Chief of Police</t>
  </si>
  <si>
    <t xml:space="preserve">                  Chief of Police</t>
  </si>
  <si>
    <t xml:space="preserve">               City Mayor</t>
  </si>
  <si>
    <t xml:space="preserve">    Police Lieutenant Colonel</t>
  </si>
  <si>
    <t xml:space="preserve">          Police Lieutenant Colonel      </t>
  </si>
  <si>
    <t xml:space="preserve">     ARTHUR D BAYBAYAN</t>
  </si>
  <si>
    <t xml:space="preserve">            JACOB T CRISOSTOMO</t>
  </si>
  <si>
    <t>Total amount needed for Allowances</t>
  </si>
  <si>
    <t>ADD: 2 Commissoned Officers @ 4,000 each x 12</t>
  </si>
  <si>
    <t>- Traffic Enforcer's Uniforms</t>
  </si>
  <si>
    <t>RANK N FILE</t>
  </si>
  <si>
    <r>
      <t xml:space="preserve">- MOTOR VEHICLE </t>
    </r>
    <r>
      <rPr>
        <sz val="8"/>
        <rFont val="Arial Narrow"/>
        <family val="2"/>
      </rPr>
      <t>(TIRES, BATTERIES &amp; ACCESSORIES)</t>
    </r>
  </si>
  <si>
    <t>OPNs OFCR</t>
  </si>
  <si>
    <t>DEPUTY</t>
  </si>
  <si>
    <t>- MOTOR VEHICLE (SPARE PARTS)</t>
  </si>
  <si>
    <t>CHIEF</t>
  </si>
  <si>
    <t>BREAKDOWN FOR THE ALLOWANCES</t>
  </si>
  <si>
    <t xml:space="preserve">- MOTOR VEHICLE </t>
  </si>
  <si>
    <t>OTHER MAINTENANCE &amp; OPERATING EXPENSES</t>
  </si>
  <si>
    <t xml:space="preserve">- ICT Equipment </t>
  </si>
  <si>
    <r>
      <t>Other General Services  -</t>
    </r>
    <r>
      <rPr>
        <sz val="8"/>
        <rFont val="Arial Narrow"/>
        <family val="2"/>
      </rPr>
      <t xml:space="preserve"> </t>
    </r>
    <r>
      <rPr>
        <sz val="10"/>
        <rFont val="Arial Narrow"/>
        <family val="2"/>
      </rPr>
      <t xml:space="preserve">TRAFFIC MANAGEMENT </t>
    </r>
  </si>
  <si>
    <t>Other General Services - PNP STATION</t>
  </si>
  <si>
    <t>VM CARMONA</t>
  </si>
  <si>
    <t>PNP STATION</t>
  </si>
  <si>
    <t>Other Supplies Expenses</t>
  </si>
  <si>
    <r>
      <t xml:space="preserve">Office : </t>
    </r>
    <r>
      <rPr>
        <b/>
        <sz val="10"/>
        <rFont val="Arial Narrow"/>
        <family val="2"/>
      </rPr>
      <t>PHILIPPINE NATIONAL POLICE (1181)</t>
    </r>
  </si>
  <si>
    <t xml:space="preserve">         Officer-in-Charge</t>
  </si>
  <si>
    <t xml:space="preserve">       Associate City Prosecutor</t>
  </si>
  <si>
    <t>MARTIN RAYMUND B. CARMONA</t>
  </si>
  <si>
    <t>ASSISTANT</t>
  </si>
  <si>
    <t>PROSEC</t>
  </si>
  <si>
    <t>Maintenance and Other Operating Expenses</t>
  </si>
  <si>
    <r>
      <rPr>
        <i/>
        <sz val="10"/>
        <rFont val="Arial Narrow"/>
        <family val="2"/>
      </rPr>
      <t>Office</t>
    </r>
    <r>
      <rPr>
        <sz val="10"/>
        <rFont val="Arial Narrow"/>
        <family val="2"/>
      </rPr>
      <t xml:space="preserve"> :</t>
    </r>
    <r>
      <rPr>
        <sz val="11"/>
        <rFont val="Arial Narrow"/>
        <family val="2"/>
      </rPr>
      <t xml:space="preserve"> </t>
    </r>
    <r>
      <rPr>
        <b/>
        <sz val="11"/>
        <rFont val="Arial Narrow"/>
        <family val="2"/>
      </rPr>
      <t>CITY PROSECUTION OFFICE (1141)</t>
    </r>
  </si>
  <si>
    <t>SSL 5 (2nd Tranche)</t>
  </si>
  <si>
    <t>SSL 5 1st Tranche</t>
  </si>
  <si>
    <t>JOHN CARLO B. HEMIDA</t>
  </si>
  <si>
    <t>GERARD N. APUHIN</t>
  </si>
  <si>
    <t>2nd  TRANCHE RATE</t>
  </si>
  <si>
    <t>1st  TRANCHE RATE</t>
  </si>
  <si>
    <t>REGISTER OF DEEDS</t>
  </si>
  <si>
    <t xml:space="preserve">    Officer In Charge - ROD</t>
  </si>
  <si>
    <t xml:space="preserve">          Records Officer I                                            </t>
  </si>
  <si>
    <t xml:space="preserve">     DIVINA B. FRANCIA                             </t>
  </si>
  <si>
    <t xml:space="preserve">                       Approved: </t>
  </si>
  <si>
    <t>CASUAL 1 ITEM</t>
  </si>
  <si>
    <t>8/28/21</t>
  </si>
  <si>
    <t>5,000 per month</t>
  </si>
  <si>
    <t>allowance</t>
  </si>
  <si>
    <t>(Productivity Enhancement Incentive)</t>
  </si>
  <si>
    <t xml:space="preserve">TOTAL </t>
  </si>
  <si>
    <t>Other Personnel Benefits  (Loyalty)</t>
  </si>
  <si>
    <t>Year End Bonus</t>
  </si>
  <si>
    <t>Personnel Economic Relief Allowance (PERA)</t>
  </si>
  <si>
    <r>
      <t xml:space="preserve">Office:    </t>
    </r>
    <r>
      <rPr>
        <b/>
        <sz val="10"/>
        <rFont val="Arial Narrow"/>
        <family val="2"/>
      </rPr>
      <t xml:space="preserve"> REGISTER OF DEEDS (1161)</t>
    </r>
  </si>
  <si>
    <t xml:space="preserve">                   Clerk of Court V</t>
  </si>
  <si>
    <t>ATTY. EDELYN A. LAYUMAS - CELESTE</t>
  </si>
  <si>
    <t xml:space="preserve">Other Maintenance &amp; Operating Expenses  </t>
  </si>
  <si>
    <t xml:space="preserve"> - Computer Supplies and Accessories</t>
  </si>
  <si>
    <t>SUBSIDY TO NATIONAL GOVERNMENT AGENCIES</t>
  </si>
  <si>
    <r>
      <t>Office</t>
    </r>
    <r>
      <rPr>
        <b/>
        <sz val="12"/>
        <rFont val="Arial Narrow"/>
        <family val="2"/>
      </rPr>
      <t xml:space="preserve"> :</t>
    </r>
    <r>
      <rPr>
        <b/>
        <sz val="11"/>
        <rFont val="Arial Narrow"/>
        <family val="2"/>
      </rPr>
      <t xml:space="preserve"> REGIONAL TRIAL COURT (1151)</t>
    </r>
  </si>
  <si>
    <t>DIFFE</t>
  </si>
  <si>
    <t>DIFFERENCE</t>
  </si>
  <si>
    <t>SSL 5 - FIRST TRANCHE</t>
  </si>
  <si>
    <t>CHO</t>
  </si>
  <si>
    <t>HAZARD PAY</t>
  </si>
  <si>
    <t>QUINDO</t>
  </si>
  <si>
    <t>provincial nurse</t>
  </si>
  <si>
    <t>RUFINO C. CABANILLAS, JR.</t>
  </si>
  <si>
    <t>86</t>
  </si>
  <si>
    <t>78</t>
  </si>
  <si>
    <t>85</t>
  </si>
  <si>
    <t>82</t>
  </si>
  <si>
    <t>84</t>
  </si>
  <si>
    <t>JEIPHER P. SABALLA</t>
  </si>
  <si>
    <t>83</t>
  </si>
  <si>
    <t>77</t>
  </si>
  <si>
    <t>PERFECTO T. MAGBANUA</t>
  </si>
  <si>
    <t>Barangay Health Aide</t>
  </si>
  <si>
    <t>76</t>
  </si>
  <si>
    <t>DANIEL DELIMA</t>
  </si>
  <si>
    <t>81</t>
  </si>
  <si>
    <t>75</t>
  </si>
  <si>
    <t>JESUS B. TOLCIDAS</t>
  </si>
  <si>
    <t>80</t>
  </si>
  <si>
    <t>74</t>
  </si>
  <si>
    <t>79</t>
  </si>
  <si>
    <t>73</t>
  </si>
  <si>
    <t>MYRNA D. TAN</t>
  </si>
  <si>
    <t>Storekeeper III</t>
  </si>
  <si>
    <t>72</t>
  </si>
  <si>
    <t>GLENDA H. DELIMA</t>
  </si>
  <si>
    <t>71</t>
  </si>
  <si>
    <t>CRESMALYN E. BAGUIORO</t>
  </si>
  <si>
    <t>70</t>
  </si>
  <si>
    <t>Records Management Section</t>
  </si>
  <si>
    <t>Statistician I</t>
  </si>
  <si>
    <t>JUDY F. SELDURA</t>
  </si>
  <si>
    <t>Statistician II</t>
  </si>
  <si>
    <t>Statistics Section</t>
  </si>
  <si>
    <t>GRETHEL P. ARQUINES</t>
  </si>
  <si>
    <t>CECILIA YVONNE P. VENDIOLA</t>
  </si>
  <si>
    <t>Administrative Officer IV</t>
  </si>
  <si>
    <t>ADMINISTRATIVE DIVISION:</t>
  </si>
  <si>
    <t>EDDIE B. LOBATON, JR.</t>
  </si>
  <si>
    <t>Cemetery Caretaker</t>
  </si>
  <si>
    <t>OSCAR C. GEOPANO</t>
  </si>
  <si>
    <t>Cemetery Services Section</t>
  </si>
  <si>
    <t>Sanitation Inspector I</t>
  </si>
  <si>
    <t>ROMMEL VALDERRAMA</t>
  </si>
  <si>
    <t>DENNIS VILLASOR</t>
  </si>
  <si>
    <t>WHILMA OPRIASA</t>
  </si>
  <si>
    <t>JESSAMINE C. REQUIERON</t>
  </si>
  <si>
    <t>MARIE ASTRID GRACE S. BELANGEL</t>
  </si>
  <si>
    <t>RAY S. MARABILLO</t>
  </si>
  <si>
    <t>Sanitation Inspector II</t>
  </si>
  <si>
    <t>ELIAKIM U. LASCO</t>
  </si>
  <si>
    <t>Sanitation Inspector III</t>
  </si>
  <si>
    <t>Sanitation Inspector IV</t>
  </si>
  <si>
    <t>ENVIRONMENTAL AND SANITATION DIVISION:</t>
  </si>
  <si>
    <t>Midwife I*</t>
  </si>
  <si>
    <t>ANNALYN S. BAYOT</t>
  </si>
  <si>
    <t>CHAVING R. CABALLERO</t>
  </si>
  <si>
    <t>VERTILA T. ALIPIS</t>
  </si>
  <si>
    <t>Midwife I</t>
  </si>
  <si>
    <t>LUCENA T. JAREÑO</t>
  </si>
  <si>
    <t>ANN MAE G. CABELLON</t>
  </si>
  <si>
    <t>JERISSA S. GONZALES</t>
  </si>
  <si>
    <t>NATALIE A. TALLEDO</t>
  </si>
  <si>
    <t>JENNIFER A. OSTIA</t>
  </si>
  <si>
    <t>MARIE ANN C. GARCES</t>
  </si>
  <si>
    <t>VIOLA E. MONTANO</t>
  </si>
  <si>
    <t>EPIFANIA P. ASENTISTA</t>
  </si>
  <si>
    <t>LIWANE P. PALABRICA</t>
  </si>
  <si>
    <t>JULIET S. CAÑETE</t>
  </si>
  <si>
    <t>JOCELYN S. RODRIGUEZ</t>
  </si>
  <si>
    <t>HELEN L. VILLASOR</t>
  </si>
  <si>
    <t>DARYL T. LOPENA</t>
  </si>
  <si>
    <t>Midwife II</t>
  </si>
  <si>
    <t>MERCEDITHA O. PEROLINO</t>
  </si>
  <si>
    <t>MA. SOLAIMAN A. MAHINAY</t>
  </si>
  <si>
    <t>MA. GRACE B. SERDENIA</t>
  </si>
  <si>
    <t>ANNA LEE B. ARAGON</t>
  </si>
  <si>
    <t>CARREN V. GRACIA</t>
  </si>
  <si>
    <t>LUCRECIA C. ALFAJORA</t>
  </si>
  <si>
    <t>JOY R. DELA CRUZ</t>
  </si>
  <si>
    <t>ELSA C. MANGKIT</t>
  </si>
  <si>
    <t>EDISA R. DIOLESTE</t>
  </si>
  <si>
    <t>Midwife III</t>
  </si>
  <si>
    <t>SYLVIA ANNABELLE S. VELARA</t>
  </si>
  <si>
    <t>MERISSA P. CHORESCA</t>
  </si>
  <si>
    <t>SHIRLEY J. MAPADA</t>
  </si>
  <si>
    <t>ELIZABETH L. HISMAN</t>
  </si>
  <si>
    <t>EILEEN ROSS T. LAMPAS</t>
  </si>
  <si>
    <t>MIDWIFERY SERVICES SECTION:</t>
  </si>
  <si>
    <t>GRETEL A. FEGIDERO</t>
  </si>
  <si>
    <t>Health Education and Promotion Officer II</t>
  </si>
  <si>
    <t>JOSE ALEXANDRO G. VILLARANTE</t>
  </si>
  <si>
    <t>NURSE I</t>
  </si>
  <si>
    <t>CLAIRE P. POMAR</t>
  </si>
  <si>
    <t>ANN MARIE B. ABONG</t>
  </si>
  <si>
    <t>CRIS IAN T. CABALLERO</t>
  </si>
  <si>
    <t>Nurse II</t>
  </si>
  <si>
    <t>CARLOS RAMON Q. SOLIDARIOS</t>
  </si>
  <si>
    <t>MERLIE F. FRANCO</t>
  </si>
  <si>
    <t>ROWENA G. SABANGAN</t>
  </si>
  <si>
    <t>Nurse III</t>
  </si>
  <si>
    <t>NURSING SERVICES SECTION:</t>
  </si>
  <si>
    <t>NURSING AND MIDWIFERY SERVICES DIVISION:</t>
  </si>
  <si>
    <t>Laboratory Aide II</t>
  </si>
  <si>
    <t>GIROMME R. DEBULGADO</t>
  </si>
  <si>
    <t>Medical Technologist I</t>
  </si>
  <si>
    <t>JANETH V. YORPO</t>
  </si>
  <si>
    <t>CHRISTINE T. MIÑOZA</t>
  </si>
  <si>
    <t>SHARON ROSE  S. VALDERRAMA</t>
  </si>
  <si>
    <t>Medical Technologist II</t>
  </si>
  <si>
    <t>LABORATORY SECTION:</t>
  </si>
  <si>
    <t>Pharmacist I</t>
  </si>
  <si>
    <t>PHARMACY SECTION:</t>
  </si>
  <si>
    <t>ISAH MAE C. BALISTA, DMD</t>
  </si>
  <si>
    <t>Dentist I</t>
  </si>
  <si>
    <t>NOEL Y. BORROMEO, DMD</t>
  </si>
  <si>
    <t>Dentist II</t>
  </si>
  <si>
    <t>ALEJANDRA N. LEBRILLA, DMD</t>
  </si>
  <si>
    <t>Dentist III</t>
  </si>
  <si>
    <t>DENTAL SERVICES SECTION:</t>
  </si>
  <si>
    <t>Medical Officer III</t>
  </si>
  <si>
    <t>DR. JESSA M. TIAPON</t>
  </si>
  <si>
    <t>DR. ROMEO G. AGRAVIADOR, JR.</t>
  </si>
  <si>
    <t>Medical Officer IV</t>
  </si>
  <si>
    <t>MEDICAL SERVICES SECTION:</t>
  </si>
  <si>
    <t>MEDICAL &amp; LABORATORY  SERVICES  DIVISION</t>
  </si>
  <si>
    <t>DR. ARNIEL LAURENCE Q. PORTUGUEZ</t>
  </si>
  <si>
    <t>City Health Officer</t>
  </si>
  <si>
    <t>HAZARD</t>
  </si>
  <si>
    <t>BASE</t>
  </si>
  <si>
    <t>SSL 5 FIRST TRANCHE</t>
  </si>
  <si>
    <t>LAUNDRY          - P 150.00</t>
  </si>
  <si>
    <t>HAZARD PAY PER JC NO.1, S 2016</t>
  </si>
  <si>
    <t xml:space="preserve">             City Health Officer                                            </t>
  </si>
  <si>
    <t xml:space="preserve">ARNIEL LAURENCE Q. PORTUGUEZ,M.D.          </t>
  </si>
  <si>
    <t xml:space="preserve">    Reviewed by:</t>
  </si>
  <si>
    <t>ok 9/4/21</t>
  </si>
  <si>
    <t>5-02-99-990 (55)</t>
  </si>
  <si>
    <t>to D'BESTCA Inter Local Health Zone</t>
  </si>
  <si>
    <t>San Carlos City Annual Contribution</t>
  </si>
  <si>
    <t>Other Maintenance &amp; Operating Expenses -</t>
  </si>
  <si>
    <t>5-02-99-040</t>
  </si>
  <si>
    <t>Transportation &amp; Delivery Expenses</t>
  </si>
  <si>
    <t>- Motor Vehicles (Tires, Batteries &amp; Accessories)</t>
  </si>
  <si>
    <r>
      <t>Repair &amp; Maintenance -</t>
    </r>
    <r>
      <rPr>
        <sz val="9"/>
        <color indexed="8"/>
        <rFont val="Arial Narrow"/>
        <family val="2"/>
      </rPr>
      <t xml:space="preserve"> Transportation Equipment </t>
    </r>
  </si>
  <si>
    <t>SP VILLARANTE</t>
  </si>
  <si>
    <t>- Motor Vehicles (Spare Parts)</t>
  </si>
  <si>
    <t>5-02-13-050 (99)</t>
  </si>
  <si>
    <t>- Other Machinery and Equipment (GENSETS)</t>
  </si>
  <si>
    <t>MAIN</t>
  </si>
  <si>
    <t>4th tranche</t>
  </si>
  <si>
    <t>MEDICAL OFFICER III</t>
  </si>
  <si>
    <t>3rd tranche</t>
  </si>
  <si>
    <t>equivalent to SG 21/1</t>
  </si>
  <si>
    <t>increase by 2021</t>
  </si>
  <si>
    <t>2022 PROPOSAL</t>
  </si>
  <si>
    <t>Water Expense</t>
  </si>
  <si>
    <t>5-02-03-080</t>
  </si>
  <si>
    <t>Medical, Dental &amp; Laboratory Supplies Expense</t>
  </si>
  <si>
    <t>5-02-03-070</t>
  </si>
  <si>
    <t xml:space="preserve">Drugs &amp; Medicines Expense </t>
  </si>
  <si>
    <t>Accountable Forms Expense</t>
  </si>
  <si>
    <r>
      <t>Office Supplies Expense</t>
    </r>
    <r>
      <rPr>
        <sz val="8"/>
        <rFont val="Arial Narrow"/>
        <family val="2"/>
      </rPr>
      <t xml:space="preserve">(Computer Supplies &amp; Accessories) </t>
    </r>
  </si>
  <si>
    <t>Training  Expense</t>
  </si>
  <si>
    <t xml:space="preserve">Traveling Expense - Local </t>
  </si>
  <si>
    <t xml:space="preserve">Other Personnel Benefits (Anniversary Bonus) </t>
  </si>
  <si>
    <t>5-01-04-990 (06)</t>
  </si>
  <si>
    <t xml:space="preserve">Other Personnel Benefits (Magna Carta) </t>
  </si>
  <si>
    <t>Enhancement Incentives)</t>
  </si>
  <si>
    <t xml:space="preserve">Other Personnel Benefits (Productivity </t>
  </si>
  <si>
    <t>Hazard Pay</t>
  </si>
  <si>
    <t>Longevity Pay</t>
  </si>
  <si>
    <t>Overtime &amp; Night Pay</t>
  </si>
  <si>
    <t>5-01-02-120</t>
  </si>
  <si>
    <t>5-01-02-110</t>
  </si>
  <si>
    <t>5-01-02-060</t>
  </si>
  <si>
    <t>Laundry Allowance</t>
  </si>
  <si>
    <t>5-01-02-050</t>
  </si>
  <si>
    <t>Subsistence Allowance</t>
  </si>
  <si>
    <t>Trasportation Allowance (TA)</t>
  </si>
  <si>
    <t>Salaries &amp; Wages - Regular</t>
  </si>
  <si>
    <t>OPB</t>
  </si>
  <si>
    <r>
      <t>Office</t>
    </r>
    <r>
      <rPr>
        <b/>
        <sz val="10"/>
        <rFont val="Arial Narrow"/>
        <family val="2"/>
      </rPr>
      <t xml:space="preserve"> : </t>
    </r>
    <r>
      <rPr>
        <b/>
        <sz val="11"/>
        <rFont val="Arial Narrow"/>
        <family val="2"/>
      </rPr>
      <t>CITY HEALTH OFFICE (4411)</t>
    </r>
  </si>
  <si>
    <t>Zero-open Defecation</t>
  </si>
  <si>
    <t>Voluntary Blood Donation</t>
  </si>
  <si>
    <t>Updates on Latest Management of Lifestyle Diseases</t>
  </si>
  <si>
    <t>STI-HIV/AIDS Program</t>
  </si>
  <si>
    <t>Nutrition Program</t>
  </si>
  <si>
    <t>Newborn Screening Program</t>
  </si>
  <si>
    <t>Mental Health Program</t>
  </si>
  <si>
    <t>Maternal and Child Health Care</t>
  </si>
  <si>
    <t>Leprosy Program</t>
  </si>
  <si>
    <t>Health Information System</t>
  </si>
  <si>
    <t>Family Planning Program</t>
  </si>
  <si>
    <t>Expanded Program on Immunization</t>
  </si>
  <si>
    <t>Dental Health Program</t>
  </si>
  <si>
    <t>Dengue &amp; Other Tropical Disease Control Program</t>
  </si>
  <si>
    <t>Contraceptive Self-reliance Program</t>
  </si>
  <si>
    <t>Comprehensive Anti-smoking Ordinance</t>
  </si>
  <si>
    <t>Community Based Rehabilitation</t>
  </si>
  <si>
    <t>Community Based Health Services</t>
  </si>
  <si>
    <t>Anti-tuberculosis Control Program</t>
  </si>
  <si>
    <t>Anti-Human Rabies Program</t>
  </si>
  <si>
    <t>Adolescent  and Reproductive Health Program</t>
  </si>
  <si>
    <t>Repair and Maintenance - Investment Property</t>
  </si>
  <si>
    <t>CHO (PS &amp; MOOE)</t>
  </si>
  <si>
    <t>APPROPRIATION</t>
  </si>
  <si>
    <t>PROGRAM</t>
  </si>
  <si>
    <t>CY 2022 SUMMARY OF APPROPRIATIONS</t>
  </si>
  <si>
    <t>CITY HEALTH OFFICE (4411)</t>
  </si>
  <si>
    <t>CITY BUDGET AND MANAGEMENT OFFICE</t>
  </si>
  <si>
    <t>CITY OF SAN CARLOS</t>
  </si>
  <si>
    <t>Province of Negros Occidental</t>
  </si>
  <si>
    <t>Republic of the Philippines</t>
  </si>
  <si>
    <t xml:space="preserve">                City Health Officer</t>
  </si>
  <si>
    <t xml:space="preserve">ARNIEL LAURENCE Q. PORTUGUEZ, M.D.     </t>
  </si>
  <si>
    <t xml:space="preserve">                              Approved: </t>
  </si>
  <si>
    <t>ok 8/24/20</t>
  </si>
  <si>
    <t>Drugs and Medicines Expenses</t>
  </si>
  <si>
    <t xml:space="preserve">          Adolescent  and Reproductive Health Program</t>
  </si>
  <si>
    <t>Office: CITY HEALTH OFFICE (4411)</t>
  </si>
  <si>
    <t>Province/City/Municipality :     San Carlos City, Negros Occidental</t>
  </si>
  <si>
    <t>ok 8/28/21</t>
  </si>
  <si>
    <t>sp</t>
  </si>
  <si>
    <t>sb # 2 not included (1m)</t>
  </si>
  <si>
    <t xml:space="preserve">           Anti-Human Rabies Program</t>
  </si>
  <si>
    <r>
      <t>Office:</t>
    </r>
    <r>
      <rPr>
        <b/>
        <sz val="10"/>
        <rFont val="Arial Narrow"/>
        <family val="2"/>
      </rPr>
      <t xml:space="preserve"> CITY HEALTH OFFICE (4411)</t>
    </r>
  </si>
  <si>
    <t xml:space="preserve">                                Approved by: </t>
  </si>
  <si>
    <t xml:space="preserve">          Anti-tuberculosis Control Program</t>
  </si>
  <si>
    <t xml:space="preserve">                                   Approved by: </t>
  </si>
  <si>
    <t>Honoraria (500 BHW &amp; RN HEALS)</t>
  </si>
  <si>
    <t xml:space="preserve">           Community Based Health Services Program</t>
  </si>
  <si>
    <t xml:space="preserve">                              Approved by: </t>
  </si>
  <si>
    <t>Traveling  Expenses - Local</t>
  </si>
  <si>
    <t xml:space="preserve">          Community Based Rehabilitation Program</t>
  </si>
  <si>
    <t xml:space="preserve">                           Approved by: </t>
  </si>
  <si>
    <t xml:space="preserve">         Comprehensive Anti-Smoking Program</t>
  </si>
  <si>
    <r>
      <rPr>
        <b/>
        <i/>
        <sz val="10"/>
        <rFont val="Arial Narrow"/>
        <family val="2"/>
      </rPr>
      <t>Office:</t>
    </r>
    <r>
      <rPr>
        <b/>
        <sz val="10"/>
        <rFont val="Arial Narrow"/>
        <family val="2"/>
      </rPr>
      <t xml:space="preserve"> CITY HEALTH OFFICE (4411)</t>
    </r>
  </si>
  <si>
    <t xml:space="preserve">          Contraceptive Self Reliance Program</t>
  </si>
  <si>
    <t xml:space="preserve">          Dengue and Other Tropical Diseases Control Program</t>
  </si>
  <si>
    <t>Medical, Dental and Laboratory Supplies Expenses</t>
  </si>
  <si>
    <t xml:space="preserve">          Dental Health Program</t>
  </si>
  <si>
    <r>
      <t xml:space="preserve">         </t>
    </r>
    <r>
      <rPr>
        <b/>
        <i/>
        <sz val="10"/>
        <rFont val="Arial Narrow"/>
        <family val="2"/>
      </rPr>
      <t xml:space="preserve"> Family Planning Program</t>
    </r>
  </si>
  <si>
    <t>Office Supplies and Materials</t>
  </si>
  <si>
    <t xml:space="preserve">          Health Information System Program</t>
  </si>
  <si>
    <t>ok 9/2/21</t>
  </si>
  <si>
    <t>Traveling  Expenses -  Local</t>
  </si>
  <si>
    <t xml:space="preserve">         Leprosy Program</t>
  </si>
  <si>
    <t xml:space="preserve">         Maternal and Child Health Care Program</t>
  </si>
  <si>
    <t xml:space="preserve">          Mental Health Program</t>
  </si>
  <si>
    <t>- Other Machinery &amp; Equipment</t>
  </si>
  <si>
    <t xml:space="preserve">         National Immunization Program</t>
  </si>
  <si>
    <r>
      <t xml:space="preserve">         </t>
    </r>
    <r>
      <rPr>
        <b/>
        <i/>
        <sz val="10"/>
        <rFont val="Arial Narrow"/>
        <family val="2"/>
      </rPr>
      <t xml:space="preserve"> Newborn Screening Program</t>
    </r>
  </si>
  <si>
    <t xml:space="preserve">         Nutrition Program</t>
  </si>
  <si>
    <t xml:space="preserve">         Repair and Maintenance - Investment Property (Cemetery)</t>
  </si>
  <si>
    <t>Drugs and Medicine Expenses</t>
  </si>
  <si>
    <t xml:space="preserve">          STD-HIV/AIDS Program</t>
  </si>
  <si>
    <t xml:space="preserve">          Updates on Latest Management on Lifestyle Diseases Program</t>
  </si>
  <si>
    <t xml:space="preserve">              Voluntary Blood Donation Program</t>
  </si>
  <si>
    <t xml:space="preserve">                       Approved by: </t>
  </si>
  <si>
    <t xml:space="preserve">         Zero-open Defecation Program</t>
  </si>
  <si>
    <t xml:space="preserve">             City  Accountant</t>
  </si>
  <si>
    <t xml:space="preserve">                    City Budget Officer</t>
  </si>
  <si>
    <t xml:space="preserve">          SANDRA LUZ B. BRIONES</t>
  </si>
  <si>
    <t xml:space="preserve">         Approved:</t>
  </si>
  <si>
    <t>Certified Correct:</t>
  </si>
  <si>
    <t>Development Fund</t>
  </si>
  <si>
    <t>City Disaster Risk Reduction Management Fund (QRF)</t>
  </si>
  <si>
    <t>Aid to Barangays</t>
  </si>
  <si>
    <t>SPECIAL PURPOSE APPROPRIATIONS</t>
  </si>
  <si>
    <t>Various Capital Outlays (Loans Outlay - CLDO)</t>
  </si>
  <si>
    <t>Various Projects &amp; Other Capital Outlays</t>
  </si>
  <si>
    <t>Other Property, Plant &amp; Equipment</t>
  </si>
  <si>
    <t>1-07-10-030</t>
  </si>
  <si>
    <t>Buildings &amp; Other Structures</t>
  </si>
  <si>
    <t>1-07-10-020</t>
  </si>
  <si>
    <t>Construction of City Hall Annex Building</t>
  </si>
  <si>
    <t>1-07-08-990</t>
  </si>
  <si>
    <t>Other Machinery and Equipment</t>
  </si>
  <si>
    <t>1-07-07-010</t>
  </si>
  <si>
    <t>Furnitures &amp; Fixtures</t>
  </si>
  <si>
    <t>1-07-06-010</t>
  </si>
  <si>
    <t>Transportation Equipment - Motor Vehicles</t>
  </si>
  <si>
    <t>1-07-05-140</t>
  </si>
  <si>
    <t>Technical &amp; Scientific Equipment</t>
  </si>
  <si>
    <t>1-07-05-100</t>
  </si>
  <si>
    <t>Military, Police and Security Expenses</t>
  </si>
  <si>
    <t>1-07-05-090</t>
  </si>
  <si>
    <t>Disaster Response and Rescue Equipment</t>
  </si>
  <si>
    <t>1-07-05-070</t>
  </si>
  <si>
    <t>Communication Equipment</t>
  </si>
  <si>
    <t>1-07-05-020</t>
  </si>
  <si>
    <t>Office Equipment</t>
  </si>
  <si>
    <t>1-07-05-010</t>
  </si>
  <si>
    <t>Machinery &amp; Equipment - Machinery</t>
  </si>
  <si>
    <t>1-07-04-990 (02)</t>
  </si>
  <si>
    <t>Other Structures - Improvement of Other Existing DRRM Structures</t>
  </si>
  <si>
    <t>1-07-04-010</t>
  </si>
  <si>
    <t xml:space="preserve">Buildings  </t>
  </si>
  <si>
    <t>1-07-03-020</t>
  </si>
  <si>
    <t>Flood Control System</t>
  </si>
  <si>
    <t>1-07-03-010</t>
  </si>
  <si>
    <t>Road Network</t>
  </si>
  <si>
    <t>ECONOMIC SERVICES</t>
  </si>
  <si>
    <t>SOCIAL SERVICES</t>
  </si>
  <si>
    <t>GENERAL PUBLIC SERVICES</t>
  </si>
  <si>
    <t>ACCOUNT CODE</t>
  </si>
  <si>
    <t>PARTICULARS</t>
  </si>
  <si>
    <t>5-02-99-990(141)</t>
  </si>
  <si>
    <t>OMOE - Traffic Enforcer's Uniforms</t>
  </si>
  <si>
    <t>5-02-99-990(140)</t>
  </si>
  <si>
    <t>OMOE - PAMANA Peace Development Community</t>
  </si>
  <si>
    <t>5-02-99-990(87)</t>
  </si>
  <si>
    <t>OMOE - Uniforms of Technicians</t>
  </si>
  <si>
    <t>5-02-99-990(83)</t>
  </si>
  <si>
    <t>OMOE - City Technical Committee on Organic Agriculture (CTCOA)</t>
  </si>
  <si>
    <t>5-02-99-990(80)</t>
  </si>
  <si>
    <t>OMOE - Materials Quality Control</t>
  </si>
  <si>
    <t>5-02-99-990(55)</t>
  </si>
  <si>
    <t>OMOE - SCC Annual Contribution to D'BESTCA Inter Local Health Zone</t>
  </si>
  <si>
    <t>5-02-99-990(51)</t>
  </si>
  <si>
    <t>OMOE - Indemnities &amp; Other Claims</t>
  </si>
  <si>
    <t>5-02-99-990 (48)</t>
  </si>
  <si>
    <t>OMOE - Election Expenses</t>
  </si>
  <si>
    <t>5-02-99-990(47)</t>
  </si>
  <si>
    <t>OMOE - Financial Assistance to Pintaflores Festival &amp; Other Activities</t>
  </si>
  <si>
    <t>5-02-99-990(46)</t>
  </si>
  <si>
    <t>OMOE - Financial Assistance to San Carlos Development Board</t>
  </si>
  <si>
    <t>5-02-99-990(39)</t>
  </si>
  <si>
    <r>
      <t xml:space="preserve">        Actual Real Property Tax </t>
    </r>
    <r>
      <rPr>
        <strike/>
        <sz val="8"/>
        <rFont val="Arial Narrow"/>
        <family val="2"/>
      </rPr>
      <t>P</t>
    </r>
    <r>
      <rPr>
        <sz val="8"/>
        <rFont val="Arial Narrow"/>
        <family val="2"/>
      </rPr>
      <t>21,076,798.40)</t>
    </r>
  </si>
  <si>
    <t>OMOE - Discretionary Fund - Extra-Ordinary &amp; Misc Exp (2% of CY 2020</t>
  </si>
  <si>
    <t>5-02-99-990(38)</t>
  </si>
  <si>
    <t>OMOE - Donations (Emergency Expenses - Miscellaneous Aids)</t>
  </si>
  <si>
    <t>5-02-99-990(36)</t>
  </si>
  <si>
    <t>OMOE - Hospitalization Assistance for the Indigents</t>
  </si>
  <si>
    <t>5-02-99-990(11)</t>
  </si>
  <si>
    <t>OMOE - Building Maintenance</t>
  </si>
  <si>
    <t>5-02-99-990(10)</t>
  </si>
  <si>
    <t>OMOE - Small Tools</t>
  </si>
  <si>
    <t>5-02-99-990(08)</t>
  </si>
  <si>
    <t>OMOE - Court Litigation Fees,Legal Docs., &amp; Titling Expenses</t>
  </si>
  <si>
    <t>5-02-99-990(07)</t>
  </si>
  <si>
    <t>OMOE - Books</t>
  </si>
  <si>
    <t>5-02-99-990(06)</t>
  </si>
  <si>
    <t>OMOE - Fabrication of Transaction Boxes</t>
  </si>
  <si>
    <t>5-02-99-990(05)</t>
  </si>
  <si>
    <t>OMOE - Registration &amp; Emission Testing</t>
  </si>
  <si>
    <t>5-02-99-990(04)</t>
  </si>
  <si>
    <t>OMOE - SP Allocation</t>
  </si>
  <si>
    <t>5-02-99-990(03)</t>
  </si>
  <si>
    <t>OMOE - Indigent Fund</t>
  </si>
  <si>
    <t>5-02-99-080</t>
  </si>
  <si>
    <t>Donations (DILG Accredited Gov't Leagues)</t>
  </si>
  <si>
    <t>Donations - Miscellaneous Aids</t>
  </si>
  <si>
    <t xml:space="preserve">Donations </t>
  </si>
  <si>
    <t>5-02-99-070</t>
  </si>
  <si>
    <t>Subscriptions Expenses</t>
  </si>
  <si>
    <t>5-02-99-060 (04)</t>
  </si>
  <si>
    <t>Membership Dues &amp; Contributions to Org. (NNARMAC)</t>
  </si>
  <si>
    <t>5-02-99-060 (03)</t>
  </si>
  <si>
    <r>
      <t xml:space="preserve">Membership Dues &amp; Contributions to Org. </t>
    </r>
    <r>
      <rPr>
        <sz val="7"/>
        <rFont val="Arial Narrow"/>
        <family val="2"/>
      </rPr>
      <t>(Union of Local Authorities of the Phils)</t>
    </r>
  </si>
  <si>
    <t>5-02-99-060 (02)</t>
  </si>
  <si>
    <t>Membership Dues &amp; Contributions to Org. (Neg. Assoc. Of Chief Executives)</t>
  </si>
  <si>
    <t>5-02-99-060 (01)</t>
  </si>
  <si>
    <t>Membership Dues &amp; Contributions to Org. (League of Cities)</t>
  </si>
  <si>
    <t>5-02-99-060</t>
  </si>
  <si>
    <t>Membership Dues &amp; Contributions to Organizations</t>
  </si>
  <si>
    <t>5-02-99-050</t>
  </si>
  <si>
    <t>Rent Expenses</t>
  </si>
  <si>
    <t>5-02-99-030</t>
  </si>
  <si>
    <t>Representation Expenses</t>
  </si>
  <si>
    <t>Advertising Expenses</t>
  </si>
  <si>
    <t>5-02-16-030 (03)</t>
  </si>
  <si>
    <t>Insurance Expenses (Animals)</t>
  </si>
  <si>
    <t>5-02-16-030 (02)</t>
  </si>
  <si>
    <t>Insurance Expenses (Buildings)</t>
  </si>
  <si>
    <t>5-02-16-030 (01)</t>
  </si>
  <si>
    <t>Insurance Expenses (Motor Vehicles)</t>
  </si>
  <si>
    <t>5-02-16-030</t>
  </si>
  <si>
    <t xml:space="preserve">Insurance Expenses </t>
  </si>
  <si>
    <t>5-02-13-990</t>
  </si>
  <si>
    <t>Repairs &amp; Maintenance - Other Property, Plant and Equipment</t>
  </si>
  <si>
    <t>5-02-13-070</t>
  </si>
  <si>
    <t>Repairs &amp; Maintenance - Furniture &amp; Fixtures</t>
  </si>
  <si>
    <t>5-02-13-060 (04)</t>
  </si>
  <si>
    <t>Repairs &amp; Maintenance - Transportation Equipments - Watercraft</t>
  </si>
  <si>
    <t>5-02-13-060(01-02)</t>
  </si>
  <si>
    <r>
      <t xml:space="preserve">      '- Motor Vehicles </t>
    </r>
    <r>
      <rPr>
        <sz val="7"/>
        <rFont val="Arial Narrow"/>
        <family val="2"/>
      </rPr>
      <t>(Tires, Batteries &amp; Accessories)</t>
    </r>
  </si>
  <si>
    <r>
      <t>Repairs &amp; Maintenance -</t>
    </r>
    <r>
      <rPr>
        <sz val="7"/>
        <rFont val="Arial Narrow"/>
        <family val="2"/>
      </rPr>
      <t xml:space="preserve"> Transportation Equipments - </t>
    </r>
  </si>
  <si>
    <t>5-02-13-060(01-01)</t>
  </si>
  <si>
    <t>Repairs &amp; Maintenance - Transportation Equipments - Motor Vehicles (Spare Parts)</t>
  </si>
  <si>
    <t>Repairs &amp; Maintenance - Transportation Equipments - Motor Vehicles</t>
  </si>
  <si>
    <r>
      <t xml:space="preserve">Repairs &amp; Maintenance - Machinery &amp; Equipment - </t>
    </r>
    <r>
      <rPr>
        <sz val="7"/>
        <rFont val="Arial Narrow"/>
        <family val="2"/>
      </rPr>
      <t>Other Machinery and Equipment</t>
    </r>
  </si>
  <si>
    <t>5-02-13-050 (11)</t>
  </si>
  <si>
    <r>
      <t xml:space="preserve">Repairs &amp; Maintenance - Machinery &amp; Equipment - </t>
    </r>
    <r>
      <rPr>
        <sz val="7"/>
        <rFont val="Arial Narrow"/>
        <family val="2"/>
      </rPr>
      <t>Medical  Equipment</t>
    </r>
  </si>
  <si>
    <t>5-02-13-050(09)</t>
  </si>
  <si>
    <r>
      <t xml:space="preserve">Repairs &amp; Maintenance - Machinery &amp; Equipment </t>
    </r>
    <r>
      <rPr>
        <sz val="7"/>
        <rFont val="Arial Narrow"/>
        <family val="2"/>
      </rPr>
      <t>(Disaster Response &amp; Rescue Equipment)</t>
    </r>
  </si>
  <si>
    <t>5-02-13-050 (08)</t>
  </si>
  <si>
    <r>
      <t xml:space="preserve">Repairs &amp; Maintenance - Machinery &amp; Equipment </t>
    </r>
    <r>
      <rPr>
        <sz val="7"/>
        <rFont val="Arial Narrow"/>
        <family val="2"/>
      </rPr>
      <t>(Construction &amp; Heavy Equipment)</t>
    </r>
  </si>
  <si>
    <t>Repairs &amp; Maintenance - Machinery &amp; Equipment (Communication Equipment)</t>
  </si>
  <si>
    <t>5-02-13-050 (05)</t>
  </si>
  <si>
    <t>Repairs &amp; Maintenance - Machinery &amp; Equipment (Marine &amp; Fishery Equipment)</t>
  </si>
  <si>
    <t>Repairs &amp; Maintenance - Machinery &amp; Equipment (ICT Equipment)</t>
  </si>
  <si>
    <t>Repairs &amp; Maintenance - Machinery &amp; Equipment (Office Equipment)</t>
  </si>
  <si>
    <t>5-02-13-050</t>
  </si>
  <si>
    <t xml:space="preserve">Repairs &amp; Maintenance - Machinery &amp; Equipment </t>
  </si>
  <si>
    <t>5-02-13-040 (99)</t>
  </si>
  <si>
    <t>Repairs &amp; Maintenance - Buldings &amp; Other Structures (Other Structures)</t>
  </si>
  <si>
    <t>5-02-13-040 (04)</t>
  </si>
  <si>
    <t>Repairs &amp; Maintenance - Buldings &amp; Other Structures (Market)</t>
  </si>
  <si>
    <t>5-02-13-040 (03)</t>
  </si>
  <si>
    <t>Repairs &amp; Maintenance - Buldings &amp; Other Structures (Hospital &amp; Health Centers)</t>
  </si>
  <si>
    <t>5-02-13-040 (01)</t>
  </si>
  <si>
    <t xml:space="preserve">Repairs &amp; Maintenance - Buldings &amp; Other Structures (Buildings) </t>
  </si>
  <si>
    <t>5-02-13-040</t>
  </si>
  <si>
    <t>Repairs &amp; Maintenance - Buldings &amp; Other Structures</t>
  </si>
  <si>
    <t>5-02-13-030 (99)</t>
  </si>
  <si>
    <t xml:space="preserve">            (Other Public Infrastructures)</t>
  </si>
  <si>
    <t xml:space="preserve">Repairs &amp; Maintenance - Infrastructure Assets </t>
  </si>
  <si>
    <t>5-02-13-030 (03)</t>
  </si>
  <si>
    <t xml:space="preserve">            (Waterways Aqueducts, Seawalls, Riverwalls)</t>
  </si>
  <si>
    <t>Repairs &amp; Maintenance - Infrastructure Assets (Footbridges)</t>
  </si>
  <si>
    <t>5-02-13-030 (01-04)</t>
  </si>
  <si>
    <t>5-02-13-030 (01-03)</t>
  </si>
  <si>
    <t>Repairs &amp; Maintenance - Infrastructure Assets (Rural Roads)</t>
  </si>
  <si>
    <t>5-02-13-030 (01-02)</t>
  </si>
  <si>
    <t>Repairs &amp; Maintenance - Infrastructure Assets (City Roads)</t>
  </si>
  <si>
    <t>5-02-13-030</t>
  </si>
  <si>
    <t>Repairs &amp; Maintenance - Infrastructure Assets</t>
  </si>
  <si>
    <t>5-02-12-010</t>
  </si>
  <si>
    <t>Environment/Sanitary Services</t>
  </si>
  <si>
    <t>Other Professional Servces</t>
  </si>
  <si>
    <t>5-02-10-030</t>
  </si>
  <si>
    <t>Extraordinary and Miscellaneous Expenses</t>
  </si>
  <si>
    <t>5-02-10-010</t>
  </si>
  <si>
    <t>Confidential Expenses</t>
  </si>
  <si>
    <t>5-02-09-010</t>
  </si>
  <si>
    <t>Generation, Transmission &amp; Distribution Expenses</t>
  </si>
  <si>
    <t>5-02-07-010</t>
  </si>
  <si>
    <t>Survey Expenses</t>
  </si>
  <si>
    <t>5-02-06-020</t>
  </si>
  <si>
    <t>Prizes</t>
  </si>
  <si>
    <t>5-02-05-040</t>
  </si>
  <si>
    <t>Cable, Satellite, Telegraph &amp; Radio Expenses</t>
  </si>
  <si>
    <t>Postage &amp; Courier Services</t>
  </si>
  <si>
    <t>5-02-03-990 (02)</t>
  </si>
  <si>
    <t>Other Supplies &amp; Materials Expenses  (Maintenance Supplies Expenses)</t>
  </si>
  <si>
    <t>5-02-03-990 (01-03)</t>
  </si>
  <si>
    <t>Other Supplies &amp; Materials Expenses Reimbursable Fund (Fuel, Oil &amp; Lubricants)</t>
  </si>
  <si>
    <t>5-02-03-990 (01-02)</t>
  </si>
  <si>
    <t>Other Supplies &amp; Materials Expenses Reimbursable Fund (Construction Materials)</t>
  </si>
  <si>
    <t>5-02-03-990 (01-01)</t>
  </si>
  <si>
    <t>Other Supplies &amp; Materials Expenses Reimbursable Fund (Supplies)</t>
  </si>
  <si>
    <t>Chemical &amp; Filtering Supplies Expenses</t>
  </si>
  <si>
    <t>5-02-03-100</t>
  </si>
  <si>
    <t>Agricultural and Marine Supplies Expenses</t>
  </si>
  <si>
    <t xml:space="preserve">Medical, Dental &amp; Laboratory Supplies Expenses </t>
  </si>
  <si>
    <t>5-02-03-060</t>
  </si>
  <si>
    <t>Welfare Good Expenses</t>
  </si>
  <si>
    <t>5-02-03-040</t>
  </si>
  <si>
    <t>Animal/Zoological Supplies Expenses</t>
  </si>
  <si>
    <t>Office Supplies Expenses (Computer Supplies &amp; Accessories)</t>
  </si>
  <si>
    <t>5-02-02-020</t>
  </si>
  <si>
    <t>Scholarship Grants/Expenses</t>
  </si>
  <si>
    <t>Training Expenses (Seminar-Training &amp; Information Dessimination Program)</t>
  </si>
  <si>
    <t>5-02-01-020</t>
  </si>
  <si>
    <t>Traveling Expenses - Foreign</t>
  </si>
  <si>
    <t>MAINTENANCE &amp; OTHER OPERATING EXPENSES</t>
  </si>
  <si>
    <t>Other Personnel Benefits - Magna Carta Benefits</t>
  </si>
  <si>
    <t>5-01-04-990 (05)</t>
  </si>
  <si>
    <t>Other Personnel Benefits - Compensation Adjustment Fund</t>
  </si>
  <si>
    <t>Other Personnel Benefits - Productivity Enhancement Incentives</t>
  </si>
  <si>
    <t>Other Personnel Benefits - Achievement Incentives</t>
  </si>
  <si>
    <t>Other Personnel Benefits - Loyalty Award</t>
  </si>
  <si>
    <t>5-01-04-990 (01)</t>
  </si>
  <si>
    <t>Other Personnel Benefits - Monetization</t>
  </si>
  <si>
    <t>5-01-04-990</t>
  </si>
  <si>
    <t>Other Personnel Benefits Contribution</t>
  </si>
  <si>
    <t>Year-end Bonus</t>
  </si>
  <si>
    <t>5-01-02-100 (04)</t>
  </si>
  <si>
    <t>Honoraria - OSCA Head</t>
  </si>
  <si>
    <t>5-01-02-100 (03)</t>
  </si>
  <si>
    <t>Honoraria - BNS</t>
  </si>
  <si>
    <t>5-01-02-100 (02)</t>
  </si>
  <si>
    <t>Honoraria - DCWs</t>
  </si>
  <si>
    <t>5-01-02-100 (01)</t>
  </si>
  <si>
    <t xml:space="preserve">Honoraria - 500 BHWs &amp; RN Heals                       </t>
  </si>
  <si>
    <t>5-01-01-020</t>
  </si>
  <si>
    <t>Salaries and Wages - Contractual</t>
  </si>
  <si>
    <t>Salaries and Wages - Regular</t>
  </si>
  <si>
    <t>PERSONAL SERVICES</t>
  </si>
  <si>
    <t>CURRENT OPERATING EXPENDITURES</t>
  </si>
  <si>
    <t>GENERAL FUND</t>
  </si>
  <si>
    <t xml:space="preserve"> San Carlos City, Negros Occidental</t>
  </si>
  <si>
    <t>STATEMENT OF FUND ALLOCATION BY SECTOR CY 2022</t>
  </si>
  <si>
    <t>City  Accountant</t>
  </si>
  <si>
    <t xml:space="preserve">               City Budget Officer</t>
  </si>
  <si>
    <t xml:space="preserve">        SANDRA LUZ B. BRIONES</t>
  </si>
  <si>
    <t xml:space="preserve">   Approved:</t>
  </si>
  <si>
    <t xml:space="preserve">    Certified Correct:</t>
  </si>
  <si>
    <t>5-02-99-990(139)</t>
  </si>
  <si>
    <t>Other Maintenance &amp; Operating Expenses - eClaims, Philhealth</t>
  </si>
  <si>
    <t>5-02-99-990(18)</t>
  </si>
  <si>
    <t>Other Maintenance &amp; Operating Expenses - Electrical</t>
  </si>
  <si>
    <t>5-02-99-990(17)</t>
  </si>
  <si>
    <t>Other Maintenance &amp; Operating Expenses - Housekeeping</t>
  </si>
  <si>
    <t>5-02-99-990(16)</t>
  </si>
  <si>
    <t>Other Maintenance &amp; Operating Expenses - Linens</t>
  </si>
  <si>
    <t xml:space="preserve"> ' - Other Machinery and Equipment</t>
  </si>
  <si>
    <t>5-02-13-050 (14)</t>
  </si>
  <si>
    <t xml:space="preserve"> ' -  Scientific Equipment</t>
  </si>
  <si>
    <t>5-02-13-050 (11-02)</t>
  </si>
  <si>
    <t xml:space="preserve"> ' - Medical Equipment (MISC)</t>
  </si>
  <si>
    <t xml:space="preserve">Repairs &amp; Maintenance - Machinery &amp; Equipment  </t>
  </si>
  <si>
    <t>5-02-13-050 (11-01)</t>
  </si>
  <si>
    <t xml:space="preserve"> ' - Medical Equipment (XRAY)</t>
  </si>
  <si>
    <t xml:space="preserve"> '- Medical Equipment</t>
  </si>
  <si>
    <t xml:space="preserve"> '(Communication Equipment)</t>
  </si>
  <si>
    <t>Telephone Expenses - Landline</t>
  </si>
  <si>
    <t>5-02-03-080 (05)</t>
  </si>
  <si>
    <t xml:space="preserve"> '(CT SCAN, ULTRASOUND &amp; XRAY)</t>
  </si>
  <si>
    <t xml:space="preserve"> '(LABORATORY OUTSOURCE)</t>
  </si>
  <si>
    <t xml:space="preserve">Medical, Dental &amp; Lab Supplies Expenses </t>
  </si>
  <si>
    <t>Medical, Dental &amp; Lab Supplies Expenses (EKG)</t>
  </si>
  <si>
    <t>5-02-03-080 (04)</t>
  </si>
  <si>
    <t>Medical, Dental &amp; Lab Supplies Expenses (DENTAL)</t>
  </si>
  <si>
    <t>5-02-03-080 (03)</t>
  </si>
  <si>
    <t>Medical, Dental &amp; Lab Supplies Expenses (X-RAY)</t>
  </si>
  <si>
    <t>5-02-03-080 (02)</t>
  </si>
  <si>
    <t>Medical, Dental &amp; Lab Supplies Expenses (LABORATORY)</t>
  </si>
  <si>
    <t>5-02-03-080 (01)</t>
  </si>
  <si>
    <t>Medical, Dental &amp; Lab Supplies Expenses (OXYGEN)</t>
  </si>
  <si>
    <t>5-02-03-050</t>
  </si>
  <si>
    <t>5-02-01-010 (01)</t>
  </si>
  <si>
    <t>Traveling Expenses - Local (AMBULANCE)</t>
  </si>
  <si>
    <t>5-01-04-990 (08)</t>
  </si>
  <si>
    <t>Other Personnel Benefits - Medico Legal</t>
  </si>
  <si>
    <t>Other Personnel Benefits - Anniversary Bonus</t>
  </si>
  <si>
    <t xml:space="preserve">Salaries and Wages </t>
  </si>
  <si>
    <t>CITY HOSPITAL</t>
  </si>
  <si>
    <t xml:space="preserve">                City  Accountant</t>
  </si>
  <si>
    <t>Repairs &amp; Maintenance - Transportation Equipment - Motor Vehicles</t>
  </si>
  <si>
    <t xml:space="preserve">  ' (Communication Equipment)</t>
  </si>
  <si>
    <t xml:space="preserve"> ' - Water Supply Systems (WATER RESOURCE STATIONS)</t>
  </si>
  <si>
    <t xml:space="preserve"> ' - Water Supply Systems (WATERLINES)</t>
  </si>
  <si>
    <t xml:space="preserve"> ' - Water Supply Systems (GENSETS)</t>
  </si>
  <si>
    <t xml:space="preserve"> ' - Water Supply Systems (PUMPS)</t>
  </si>
  <si>
    <t>Other Supplies &amp; Materials Expenses  (Consumerism Materials)</t>
  </si>
  <si>
    <t>Other Supplies &amp; Materials Expenses  (Electrical Supplies)</t>
  </si>
  <si>
    <t>Other Supplies &amp; Materials Expenses  (Padlocks)</t>
  </si>
  <si>
    <t>Non - Accountable Forms Expenses (Water Service Record)</t>
  </si>
  <si>
    <t>Non - Accountable Forms Expenses (Water Bill)</t>
  </si>
  <si>
    <t xml:space="preserve">Other Bonuses and Allowances </t>
  </si>
  <si>
    <t xml:space="preserve"> Approved:</t>
  </si>
  <si>
    <t xml:space="preserve">Various Capital Outlays </t>
  </si>
  <si>
    <t xml:space="preserve"> ' - Motor Vehicles (Tires, Batteries and Accessories)</t>
  </si>
  <si>
    <t>Repairs &amp; Maintenance - Transportation Equipment</t>
  </si>
  <si>
    <t xml:space="preserve"> '  - Other Machinery and Equipment</t>
  </si>
  <si>
    <t>5-02-13-040 (05-01)</t>
  </si>
  <si>
    <t xml:space="preserve"> ' - Slaughterhouse (Electrical &amp; Plumbing)</t>
  </si>
  <si>
    <t xml:space="preserve">Repairs &amp; Maintenance - Buldings &amp; Other Structures </t>
  </si>
  <si>
    <t>5-02-13-040 (05)</t>
  </si>
  <si>
    <t>Repairs &amp; Maintenance - Buldings &amp; Other Structures - Slaughterhouse</t>
  </si>
  <si>
    <t>5-02-13-040 (04-01)</t>
  </si>
  <si>
    <t xml:space="preserve"> '  - Markets (Electrical &amp; Plumbing)</t>
  </si>
  <si>
    <t>hidden mooe accounts and capital outlay</t>
  </si>
  <si>
    <t>PUBLIC MARKET AND SLAUGHTERHOUSE DEPARTMENT</t>
  </si>
  <si>
    <t>Furniture and Fixtures</t>
  </si>
  <si>
    <t>5-02-13-040 (01-01)</t>
  </si>
  <si>
    <t xml:space="preserve"> ' - Buildings (Electrical &amp; Plumbing)</t>
  </si>
  <si>
    <t>Repairs &amp; Maintenance - Buldings &amp; Other Structures (Buildings)</t>
  </si>
  <si>
    <t>5-02-03-010 (09)</t>
  </si>
  <si>
    <t>Office Supplies Expenses - Exit Pass</t>
  </si>
  <si>
    <t>PUBLIC TRANSPORT TERMINAL DIVISION</t>
  </si>
  <si>
    <t xml:space="preserve">   School Division Superintendent</t>
  </si>
  <si>
    <t>ANTHONY H. LIOBET, CESO VI</t>
  </si>
  <si>
    <t>TOTAL APPROPRIATION</t>
  </si>
  <si>
    <t>Emission Test &amp; Renewal of Registration</t>
  </si>
  <si>
    <t>Other Maintenance &amp; Operating Expenses-</t>
  </si>
  <si>
    <t xml:space="preserve">       Financial Aid</t>
  </si>
  <si>
    <t xml:space="preserve">       Scouting</t>
  </si>
  <si>
    <t>Allowance(SDS,ASDS,LSB Sec.)</t>
  </si>
  <si>
    <t xml:space="preserve">       Allowance</t>
  </si>
  <si>
    <t>Insurance Expense</t>
  </si>
  <si>
    <t>Fuel, Oil &amp; Lubricants</t>
  </si>
  <si>
    <t>CURRENT OPERATING EXPENSE</t>
  </si>
  <si>
    <t>DEPARTMENT OF EDUCATION(3311)</t>
  </si>
  <si>
    <t>:</t>
  </si>
  <si>
    <t xml:space="preserve">                      CENRO I</t>
  </si>
  <si>
    <t xml:space="preserve">                LORETO C. SANCHEZ</t>
  </si>
  <si>
    <t xml:space="preserve">        Approved By: </t>
  </si>
  <si>
    <t xml:space="preserve">     Reviewed by:</t>
  </si>
  <si>
    <t xml:space="preserve">    Prepared by:                                                </t>
  </si>
  <si>
    <t>Insurance Expenses</t>
  </si>
  <si>
    <t>Postage and Courier Expenses</t>
  </si>
  <si>
    <t>Fuel, Oil  and Lubricants Expenses</t>
  </si>
  <si>
    <t>Training Exepnses</t>
  </si>
  <si>
    <t>2ND SEMESTER</t>
  </si>
  <si>
    <t>1ST SEMESTER</t>
  </si>
  <si>
    <t xml:space="preserve">          SCC Multi - Partite Monitoring Team</t>
  </si>
  <si>
    <r>
      <rPr>
        <b/>
        <i/>
        <sz val="12"/>
        <rFont val="Arial Narrow"/>
        <family val="2"/>
      </rPr>
      <t>Office</t>
    </r>
    <r>
      <rPr>
        <b/>
        <sz val="12"/>
        <rFont val="Arial Narrow"/>
        <family val="2"/>
      </rPr>
      <t xml:space="preserve"> : CITY ENVIRONMENT MANAGEMENT OFFICE (8731)</t>
    </r>
  </si>
  <si>
    <t xml:space="preserve">   - Motor Vehicles (Tires, Batteries and Accessories)</t>
  </si>
  <si>
    <t>Repair and Maintenance-Transportation Equipment</t>
  </si>
  <si>
    <t xml:space="preserve">   - Motor Vehicles</t>
  </si>
  <si>
    <t xml:space="preserve">         SEPP - Garbage Collection and Other Related Works</t>
  </si>
  <si>
    <t xml:space="preserve">         and Heavy Equipments</t>
  </si>
  <si>
    <t>Repair &amp; Maintenance - Construction</t>
  </si>
  <si>
    <t xml:space="preserve">         SEPP - Eco - Center Project Operation</t>
  </si>
  <si>
    <t>- Motor Vehicles '(Tires, Batteries and  Accessorries)</t>
  </si>
  <si>
    <t xml:space="preserve">Repair and Maintenance -Transportation Eqpt. </t>
  </si>
  <si>
    <t xml:space="preserve">     ' - Motor Vehicles</t>
  </si>
  <si>
    <t xml:space="preserve">         Environmental IEC - Citywide Barangay &amp; Schools Environmental Awareness &amp; Capacity Building</t>
  </si>
  <si>
    <t>Environment/Sanitary Expenses</t>
  </si>
  <si>
    <t xml:space="preserve">         SEPP - Maintenance of City Lanes and Related Activities</t>
  </si>
  <si>
    <t>1-07-06-040</t>
  </si>
  <si>
    <t>2. Transportation Equipment - Watercrafts</t>
  </si>
  <si>
    <t>1. Transportation Equipment - Motor Vevhicles</t>
  </si>
  <si>
    <t xml:space="preserve"> - 'Watercraft</t>
  </si>
  <si>
    <t xml:space="preserve">         Bantay Dagat Program</t>
  </si>
  <si>
    <t xml:space="preserve">         Coastal Resource Management Program</t>
  </si>
  <si>
    <t xml:space="preserve">  - Marine &amp; Fishery Equipment</t>
  </si>
  <si>
    <t>2021</t>
  </si>
  <si>
    <t>2019</t>
  </si>
  <si>
    <t>CURRENT YEAR 2020 (ESTIMATE)</t>
  </si>
  <si>
    <t xml:space="preserve">         Marine Protected Area Program</t>
  </si>
  <si>
    <t>Agricultural &amp; Marine  Supplies Expenses</t>
  </si>
  <si>
    <t xml:space="preserve">         MKNP Reforestation Program</t>
  </si>
  <si>
    <t>Ando-on Rehabilitation Project</t>
  </si>
  <si>
    <t xml:space="preserve">   - Motor Vehicles (Tires, Batteries &amp; Accessories)</t>
  </si>
  <si>
    <t>Repair &amp; Maintenance - Transportation Equipt.</t>
  </si>
  <si>
    <t>Fuel Oil &amp; Lubricants</t>
  </si>
  <si>
    <t xml:space="preserve">         Northern Negros Natural Park</t>
  </si>
  <si>
    <t xml:space="preserve">        Integrated Bago River Watershed Development Program</t>
  </si>
  <si>
    <t xml:space="preserve">       Enhancement of San Carlos City Environmental Law Enforcement</t>
  </si>
  <si>
    <t>Other Property, Plant and Equipment</t>
  </si>
  <si>
    <t>5-02-99-990 (87)</t>
  </si>
  <si>
    <t xml:space="preserve">                (Uniform)</t>
  </si>
  <si>
    <t xml:space="preserve">          Beautification Project</t>
  </si>
  <si>
    <t xml:space="preserve">           CENRO I</t>
  </si>
  <si>
    <t xml:space="preserve"> LORETO C. SANCHEZ</t>
  </si>
  <si>
    <t>Uniforms of Technicians</t>
  </si>
  <si>
    <t xml:space="preserve">Repair &amp; Maintenance - Transportation Equipment </t>
  </si>
  <si>
    <t xml:space="preserve">- Motor Vehicles </t>
  </si>
  <si>
    <t>Cable, Sattelite, Telegraph, and Radio Expenses</t>
  </si>
  <si>
    <t>5-02-03-10(01)</t>
  </si>
  <si>
    <t xml:space="preserve">Office Supplies Expense(Computer Supplies &amp; Accessories) </t>
  </si>
  <si>
    <t>'5-01-04-990 (04)</t>
  </si>
  <si>
    <t>'5-01-04-990 (03)</t>
  </si>
  <si>
    <t xml:space="preserve">            Certified True and Correct:</t>
  </si>
  <si>
    <t>Other Maintenance &amp; Operarting Expenses - Uniforms of Technicians</t>
  </si>
  <si>
    <t xml:space="preserve">         - Tires, Batteries and Accessories</t>
  </si>
  <si>
    <t>Repairs&amp; Maintenance -Transportation Equipment - Motor Vehiclles</t>
  </si>
  <si>
    <t>Repairs&amp; Maintenance - Transportation Equipment -  Motor Vehicles</t>
  </si>
  <si>
    <t xml:space="preserve">        - ICT Equipment</t>
  </si>
  <si>
    <t>Repairs&amp; Maintenance - Machinery and Equipment</t>
  </si>
  <si>
    <t>Electricity Exepense</t>
  </si>
  <si>
    <t xml:space="preserve">Telephone Expense </t>
  </si>
  <si>
    <t>Fuel, Oil and Lubricants</t>
  </si>
  <si>
    <t>Other Supplies Expenses - Computer Supplies and Accessories</t>
  </si>
  <si>
    <t>MAINTENANCE AND OTHER OPERATING EXPENSES</t>
  </si>
  <si>
    <t>BUDGET</t>
  </si>
  <si>
    <t>TATION</t>
  </si>
  <si>
    <t>ANNUAL</t>
  </si>
  <si>
    <t>AUGMEN-</t>
  </si>
  <si>
    <t>SB. NO. 2</t>
  </si>
  <si>
    <t>SB. NO. 1</t>
  </si>
  <si>
    <t>PROPOSED</t>
  </si>
  <si>
    <t>REMARKS</t>
  </si>
  <si>
    <t>CY 2022</t>
  </si>
  <si>
    <t>CY 2021</t>
  </si>
  <si>
    <t>CITY ENVIRONMENT MANAGEMENT OFFICE</t>
  </si>
  <si>
    <t>(ANNUAL AND SUPPLEMENTAL BUDGETS)</t>
  </si>
  <si>
    <t>CY 2021 VS. CY 2022</t>
  </si>
  <si>
    <t>COMPARATIVE APPROPRIATIONS</t>
  </si>
  <si>
    <t>Postage and Courier  Services</t>
  </si>
  <si>
    <t>SCC MULTI-PARTITE MONITORING TEAM</t>
  </si>
  <si>
    <t>SB NO. 2</t>
  </si>
  <si>
    <t xml:space="preserve">            - Tires, Batteries and Accessories</t>
  </si>
  <si>
    <t>Rep. &amp; Maint. - Transportation Equipment (Motor Vehicles)</t>
  </si>
  <si>
    <t>SEPP - GARBAGE COLLECTION &amp; OTHER RELATED WORKS</t>
  </si>
  <si>
    <t>SEPP - MAINTENANCE CITY LANES &amp; RELATED ACTIVITIES</t>
  </si>
  <si>
    <t>Rep&gt; &amp; Maint. - Construction &amp; Heavy Equipments</t>
  </si>
  <si>
    <t>SEPP - ECO-CENTER PROJECT OPERATION</t>
  </si>
  <si>
    <t xml:space="preserve">                         </t>
  </si>
  <si>
    <t>Rep&gt; &amp; Maint. - Transportation Equipment (Motor Vehicles)</t>
  </si>
  <si>
    <t>Other Suuplies and Materials Expenses</t>
  </si>
  <si>
    <t>ENVT'L. IEC - CITYWIDE BARANGAY &amp; SCHOOLS ENVT'L. AWARENESS AND CAPACITY BUILDING</t>
  </si>
  <si>
    <t>5-02-13-050 (04)</t>
  </si>
  <si>
    <t>Rep. &amp; Maint. - Transportation Equipment - Watercraft</t>
  </si>
  <si>
    <t>BANTAY DAGAT PROGRAM</t>
  </si>
  <si>
    <t>Rep. &amp; Maint. - Machinery and Equipment ( Marine &amp; Fishery Equipment)</t>
  </si>
  <si>
    <t>MARINE PROTECTED AREA PROGRAM</t>
  </si>
  <si>
    <t>COASTAL RESOURCE MANAGEMENT PROGRAM</t>
  </si>
  <si>
    <t>NORTHERN NEGROS NATURAL PARK</t>
  </si>
  <si>
    <t>MT. KANLA-ON NATURAL PARK REFORESTRATION PROGRAM</t>
  </si>
  <si>
    <t>INTEGRATED BAGO RIVER WATERSHED DEVELOPMENT PROGRAM</t>
  </si>
  <si>
    <t>ENHANCEMENT OF SCC ENVIRONMENTAL LAW ENFORCEMENT</t>
  </si>
  <si>
    <t>Other Maintenance &amp; Operating Expenses (Uniform)</t>
  </si>
  <si>
    <t>BEAUTIFICATION PROJECT</t>
  </si>
  <si>
    <t>CGDH1 (City Planning &amp; Development Coordinator I)</t>
  </si>
  <si>
    <t xml:space="preserve">     Engr. MAGNOLIA B. ANTONIO, EnP</t>
  </si>
  <si>
    <t xml:space="preserve">        Approved by: </t>
  </si>
  <si>
    <t xml:space="preserve">      Reviewed by:</t>
  </si>
  <si>
    <t>Water Development Program</t>
  </si>
  <si>
    <t>Various Agricultural Development Projects</t>
  </si>
  <si>
    <t>Agricultural Development Projects</t>
  </si>
  <si>
    <t>Various Environmental Projects</t>
  </si>
  <si>
    <t>Environmental Projects</t>
  </si>
  <si>
    <t>Construction and Development of City Hospital</t>
  </si>
  <si>
    <t>Construction and Development of City Hospital/Anti COVID 19 Program</t>
  </si>
  <si>
    <t>Development of Public Market &amp; Slaughterhouse</t>
  </si>
  <si>
    <t xml:space="preserve">   Facilities  - (Sports)</t>
  </si>
  <si>
    <t xml:space="preserve">Acquisition/Construction/Development of </t>
  </si>
  <si>
    <t xml:space="preserve">    Cultural  Development, etc.</t>
  </si>
  <si>
    <t xml:space="preserve">Acquisition/Construction/Rehabilitation of Heritage Structures, </t>
  </si>
  <si>
    <t>Construction/Rehabilitation of Drainage System</t>
  </si>
  <si>
    <t>Acquisition/Construction/Development of Land - (Other Purposes)</t>
  </si>
  <si>
    <t xml:space="preserve">Acquisition/Construction/Development of Cemeteries  </t>
  </si>
  <si>
    <t>Electrification of City Roads/Installation of Lighting System</t>
  </si>
  <si>
    <t>Acquisition/Construction/Development of Land Eco-Center</t>
  </si>
  <si>
    <t>Anti-COVID 19 Program</t>
  </si>
  <si>
    <t xml:space="preserve">  'and Facilities  - (Tourism)</t>
  </si>
  <si>
    <t xml:space="preserve">Acquisition/Construction/Development of Land </t>
  </si>
  <si>
    <t>Construction of Bulkhead &amp; Embankment for various barangays</t>
  </si>
  <si>
    <r>
      <t>Construction of Bulkhead &amp; Embankment</t>
    </r>
    <r>
      <rPr>
        <sz val="8"/>
        <rFont val="Arial Narrow"/>
        <family val="2"/>
      </rPr>
      <t>, Brgy. III &amp; VI</t>
    </r>
  </si>
  <si>
    <t>( Acquisition/Construction/Development of Land)</t>
  </si>
  <si>
    <t xml:space="preserve">Homelot Program for Squatters </t>
  </si>
  <si>
    <t>Homelot Program for Squatters</t>
  </si>
  <si>
    <t>Development and Construction of Barangay Facilities</t>
  </si>
  <si>
    <t>1-07-10-010</t>
  </si>
  <si>
    <t>Roads Development Program</t>
  </si>
  <si>
    <t>1-07-05-080</t>
  </si>
  <si>
    <t>Purchase of Engineering Heavy Equipments</t>
  </si>
  <si>
    <t>Investment/Fixed Asset Acquisition</t>
  </si>
  <si>
    <r>
      <rPr>
        <i/>
        <sz val="12"/>
        <rFont val="Arial Narrow"/>
        <family val="2"/>
      </rPr>
      <t xml:space="preserve">Office : </t>
    </r>
    <r>
      <rPr>
        <b/>
        <sz val="12"/>
        <rFont val="Arial Narrow"/>
        <family val="2"/>
      </rPr>
      <t>DEVELOPMENT FUND</t>
    </r>
  </si>
  <si>
    <r>
      <rPr>
        <i/>
        <sz val="10"/>
        <rFont val="Arial Narrow"/>
        <family val="2"/>
      </rPr>
      <t xml:space="preserve">Province/City/Municipality </t>
    </r>
    <r>
      <rPr>
        <i/>
        <sz val="11"/>
        <rFont val="Arial Narrow"/>
        <family val="2"/>
      </rPr>
      <t>: San Carlos City, Negros Occidental</t>
    </r>
  </si>
  <si>
    <t xml:space="preserve">        Page       1    of        1 Page(s)</t>
  </si>
  <si>
    <t xml:space="preserve">        Local Budget Preparation Form No. 2</t>
  </si>
  <si>
    <t xml:space="preserve">                            TOTAL APPROPRIATIONS</t>
  </si>
  <si>
    <t>TOTAL ECONOMIC SERVICES</t>
  </si>
  <si>
    <t>economic enterprise &amp; public utilities</t>
  </si>
  <si>
    <t>EE</t>
  </si>
  <si>
    <t>TOTAL SOCIAL SERVICES</t>
  </si>
  <si>
    <t>SS</t>
  </si>
  <si>
    <t>Construction and Development of City Hospital/COVID 19</t>
  </si>
  <si>
    <r>
      <rPr>
        <i/>
        <sz val="12"/>
        <rFont val="Arial Narrow"/>
        <family val="2"/>
      </rPr>
      <t xml:space="preserve">Office : </t>
    </r>
    <r>
      <rPr>
        <b/>
        <sz val="12"/>
        <color rgb="FFC00000"/>
        <rFont val="Arial Narrow"/>
        <family val="2"/>
      </rPr>
      <t>DEVELOPMENT FUND (BY SECTOR)</t>
    </r>
  </si>
  <si>
    <t>Page       1    of        1 Page(s)</t>
  </si>
  <si>
    <t xml:space="preserve">                City Agriculturist</t>
  </si>
  <si>
    <t xml:space="preserve">           DEVITT C. DOLLOSA     </t>
  </si>
  <si>
    <t xml:space="preserve">                     Approved by: </t>
  </si>
  <si>
    <t xml:space="preserve">  - Uniforms of Technicians</t>
  </si>
  <si>
    <t>5-02-99-990 (83)</t>
  </si>
  <si>
    <t xml:space="preserve"> - City Technical Committee on Organic Agriculture (CTCOA)</t>
  </si>
  <si>
    <t>- Motor Vehicles (Tires, Batteries and Accessories)</t>
  </si>
  <si>
    <t xml:space="preserve"> - ICT Equipment </t>
  </si>
  <si>
    <t xml:space="preserve">Repair &amp; Maintenance - Machinery &amp; Equipment </t>
  </si>
  <si>
    <t xml:space="preserve"> - Office Equipment </t>
  </si>
  <si>
    <t>Repair &amp; Maintenance - Buildings &amp; Other Structures</t>
  </si>
  <si>
    <t xml:space="preserve">Water Expenses </t>
  </si>
  <si>
    <t>5-01-02-080</t>
  </si>
  <si>
    <t>OBJECT OF EXPENDITURE</t>
  </si>
  <si>
    <r>
      <rPr>
        <i/>
        <sz val="10"/>
        <rFont val="Arial Narrow"/>
        <family val="2"/>
      </rPr>
      <t>Office</t>
    </r>
    <r>
      <rPr>
        <b/>
        <sz val="10"/>
        <rFont val="Arial Narrow"/>
        <family val="2"/>
      </rPr>
      <t>:   OFFICE OF THE CITY AGRICULTURIST (8711)</t>
    </r>
  </si>
  <si>
    <t xml:space="preserve">              Animal Disease Control Program</t>
  </si>
  <si>
    <r>
      <rPr>
        <i/>
        <sz val="10"/>
        <rFont val="Arial Narrow"/>
        <family val="2"/>
      </rPr>
      <t>Office</t>
    </r>
    <r>
      <rPr>
        <b/>
        <sz val="10"/>
        <rFont val="Arial Narrow"/>
        <family val="2"/>
      </rPr>
      <t>:  OFFICE OF THE CITY AGRICULTURIST (8711)</t>
    </r>
  </si>
  <si>
    <t xml:space="preserve">               City Agriculturist</t>
  </si>
  <si>
    <t xml:space="preserve">              Artificial Insemination Program</t>
  </si>
  <si>
    <t xml:space="preserve">                                                                      </t>
  </si>
  <si>
    <t xml:space="preserve">              City Agriculturist</t>
  </si>
  <si>
    <t xml:space="preserve">          Dispersal of Large Farm Animals</t>
  </si>
  <si>
    <t xml:space="preserve">                 City Agriculturist</t>
  </si>
  <si>
    <t xml:space="preserve">          Dispersal and Upgrading of Small Farm Animals</t>
  </si>
  <si>
    <t xml:space="preserve">         Technical and Market Support for Integrated Farming System</t>
  </si>
  <si>
    <t xml:space="preserve">        High Value Commercial Crops - Fruits Production AND OTHER VARIOUS CROPS</t>
  </si>
  <si>
    <t xml:space="preserve">            City Agriculturist</t>
  </si>
  <si>
    <t xml:space="preserve">          Vegetable Production Program</t>
  </si>
  <si>
    <t xml:space="preserve">         Organic Agriculture Development Program</t>
  </si>
  <si>
    <t xml:space="preserve">         Development of Agricultural Center and Integrated Demonstration Area</t>
  </si>
  <si>
    <t xml:space="preserve">          Abaca Industry Development Program</t>
  </si>
  <si>
    <t xml:space="preserve">          Bamboo Production Development Program</t>
  </si>
  <si>
    <t xml:space="preserve">           Cutflower Industry Development Program</t>
  </si>
  <si>
    <t xml:space="preserve">             City Agriculturist</t>
  </si>
  <si>
    <t xml:space="preserve">           High Value Commercial Crops - Cacao/Coffee/Peanut/Coconut</t>
  </si>
  <si>
    <t xml:space="preserve">           Rabies Eradication Program</t>
  </si>
  <si>
    <t xml:space="preserve">           Rice Production Program</t>
  </si>
  <si>
    <t xml:space="preserve">           Free Range Chicken Upgrading and Multiplier Farm</t>
  </si>
  <si>
    <t xml:space="preserve">           Mushroom Production</t>
  </si>
  <si>
    <t xml:space="preserve">          Duck &amp; Turkey Multiplier Farm &amp; Dispersal Program</t>
  </si>
  <si>
    <t xml:space="preserve">        City Mayor</t>
  </si>
  <si>
    <t xml:space="preserve">                          City Budget Officer</t>
  </si>
  <si>
    <t xml:space="preserve">                  SANDRA LUZ B. BRIONES</t>
  </si>
  <si>
    <t xml:space="preserve"> JOE RECALEX C. ALINGASA,JR.</t>
  </si>
  <si>
    <t xml:space="preserve"> Approved by:</t>
  </si>
  <si>
    <t>Prepared by:                                                                               Reviewed by:</t>
  </si>
  <si>
    <t>Construction and Heavy Equipment</t>
  </si>
  <si>
    <t>Military, Police, and Security Equipment</t>
  </si>
  <si>
    <t xml:space="preserve">Disaster Response and Rescue Equipment </t>
  </si>
  <si>
    <t>Information and Communication Technology Equipment</t>
  </si>
  <si>
    <t>1-07-04-990(02)</t>
  </si>
  <si>
    <t>DRRM Structures</t>
  </si>
  <si>
    <t>Other Structures - Improvement of Other Existing</t>
  </si>
  <si>
    <t>Buildings</t>
  </si>
  <si>
    <t>Donation</t>
  </si>
  <si>
    <t>and Equipment</t>
  </si>
  <si>
    <t xml:space="preserve">Repairs &amp; Maintenance - Other Property, Plant, </t>
  </si>
  <si>
    <t>Repairs &amp; Maintenance - Furniture and Fixtures</t>
  </si>
  <si>
    <t>Motor Vehicles (TBA)</t>
  </si>
  <si>
    <t>Motor Vehicles (Spareparts)</t>
  </si>
  <si>
    <t>5-02-13-060(01)</t>
  </si>
  <si>
    <t>Motor Vehicles</t>
  </si>
  <si>
    <t>5-02-13-050(99)</t>
  </si>
  <si>
    <t>5-02-13-050(11)</t>
  </si>
  <si>
    <t xml:space="preserve">MedicalEquipment </t>
  </si>
  <si>
    <t xml:space="preserve">Repairs &amp; Maintenance -Machinery &amp; Equipment </t>
  </si>
  <si>
    <t>5-02-13-050(08)</t>
  </si>
  <si>
    <t>5-02-13-050(07)</t>
  </si>
  <si>
    <t>5-02-13-050(03)</t>
  </si>
  <si>
    <t>(ICT Equipment)</t>
  </si>
  <si>
    <t>5-02-13-050(02)</t>
  </si>
  <si>
    <t>(Office Equipment)</t>
  </si>
  <si>
    <t>Repairs &amp; Maintenance - Machinery and Euipment</t>
  </si>
  <si>
    <t>YAP</t>
  </si>
  <si>
    <t>SEMESTER</t>
  </si>
  <si>
    <t>YEAR</t>
  </si>
  <si>
    <t>SECOND</t>
  </si>
  <si>
    <t xml:space="preserve">FIRST </t>
  </si>
  <si>
    <t xml:space="preserve">BUDGET </t>
  </si>
  <si>
    <t>Page       2     of     2   Page(s)</t>
  </si>
  <si>
    <t>5-02-03-990(1)</t>
  </si>
  <si>
    <t>5-02-03-080(1)</t>
  </si>
  <si>
    <t>Medical, Dental, &amp; Laboratory Supplies Expenses</t>
  </si>
  <si>
    <t>Welfare Goods</t>
  </si>
  <si>
    <t>Traveling Expenses- Foreign</t>
  </si>
  <si>
    <t>Traveling Expenses- Local</t>
  </si>
  <si>
    <t>DISASTER PREPAREDNESS FUND</t>
  </si>
  <si>
    <t>QUICK RESPONSE FUND</t>
  </si>
  <si>
    <t>5-01-04-990(04)</t>
  </si>
  <si>
    <t>Other Personnel Benefits (Productivity</t>
  </si>
  <si>
    <t>5-01-04-990(03)</t>
  </si>
  <si>
    <t>Pag-ibig  Contributions</t>
  </si>
  <si>
    <t>Cash Gifts</t>
  </si>
  <si>
    <t>5-01-01-040</t>
  </si>
  <si>
    <t xml:space="preserve">OFFICE: CITY DISASTER RISK REDUCTION AND MANAGEMENT OFFICE </t>
  </si>
  <si>
    <t>Page       1     of     2   Page(s)</t>
  </si>
  <si>
    <t xml:space="preserve">     City Engineer</t>
  </si>
  <si>
    <t>FRANUEL P. LURANAS</t>
  </si>
  <si>
    <t>Construction of City Sports Office</t>
  </si>
  <si>
    <t>(Materials Quality Control)</t>
  </si>
  <si>
    <t>(Building Maintenance)</t>
  </si>
  <si>
    <t>Other Maintenance &amp; Operating Expenses (Small Tools)</t>
  </si>
  <si>
    <t>Motor Vehicle (Tires, Batteries &amp; Accessories)</t>
  </si>
  <si>
    <t>Motor Vehicle</t>
  </si>
  <si>
    <t>(Construction and Heavy Equipment)</t>
  </si>
  <si>
    <t xml:space="preserve">                                              Heavy Equipments)</t>
  </si>
  <si>
    <t>(Office Equipments)</t>
  </si>
  <si>
    <t>5-02-13-040(99)</t>
  </si>
  <si>
    <t>(Other Structures)</t>
  </si>
  <si>
    <t xml:space="preserve">Repairs &amp; Maintenance - Buildings and Other Structures </t>
  </si>
  <si>
    <t>5-02-13-040(04)</t>
  </si>
  <si>
    <t>(Markets and Slauhterhouses)</t>
  </si>
  <si>
    <t>5-02-13-040(03)</t>
  </si>
  <si>
    <t xml:space="preserve">(Hospitals and Health Centers)   </t>
  </si>
  <si>
    <t>5-02-13-040(01)</t>
  </si>
  <si>
    <t>(Buildings)</t>
  </si>
  <si>
    <t>5-02-13-030(99)</t>
  </si>
  <si>
    <t>(Other Public Infrastructures)</t>
  </si>
  <si>
    <t>5-02-13-030(03)</t>
  </si>
  <si>
    <t xml:space="preserve">     (Waterways Acqueducts,Seawalls, Riverwalls)</t>
  </si>
  <si>
    <t>5-02-13-030(01-04)</t>
  </si>
  <si>
    <t>(Footbridges)</t>
  </si>
  <si>
    <t>5-02-13-030(01-03)</t>
  </si>
  <si>
    <t>(Rural Roads)</t>
  </si>
  <si>
    <t>5-02-13-030(01-02)</t>
  </si>
  <si>
    <t>(City Roads)</t>
  </si>
  <si>
    <t>5-02-03-990(02)</t>
  </si>
  <si>
    <t>Supplies Expense)</t>
  </si>
  <si>
    <t xml:space="preserve">Other Supplies Expenses  (Maintenance </t>
  </si>
  <si>
    <t xml:space="preserve">Other Supplies and Materials Expenses </t>
  </si>
  <si>
    <t>5-02-03-010(02)</t>
  </si>
  <si>
    <t>5-02-03-010(01)</t>
  </si>
  <si>
    <t>5-01-04-990(02)</t>
  </si>
  <si>
    <t>OFFICE: CITY ENGINEERING DEPARTMENT - 8751</t>
  </si>
  <si>
    <t>table</t>
  </si>
  <si>
    <t xml:space="preserve">      City Government Department Head I-OHRM</t>
  </si>
  <si>
    <t xml:space="preserve">  Records Officer II</t>
  </si>
  <si>
    <t xml:space="preserve">       ATTY. MA. CHAT DELIMA-CORDERO</t>
  </si>
  <si>
    <t>HAYDEE S. APAYLA</t>
  </si>
  <si>
    <t>Approved by:</t>
  </si>
  <si>
    <t xml:space="preserve"> * Created per SP Ord 21-</t>
  </si>
  <si>
    <t>T O T A L</t>
  </si>
  <si>
    <t>Engineer I *</t>
  </si>
  <si>
    <t>Engineer II *</t>
  </si>
  <si>
    <t>AGRICULTURAL AND BIOSYSTEMS ENGINEERING OFFICE</t>
  </si>
  <si>
    <t>JOSE WINNIE S. CHAVEZ</t>
  </si>
  <si>
    <t xml:space="preserve">Administrative Aide I </t>
  </si>
  <si>
    <t>JOELITO E. BROCE</t>
  </si>
  <si>
    <t>BONIFACIO D. PACAÑA, JR.</t>
  </si>
  <si>
    <t>AUTUMN C. BACURNAY</t>
  </si>
  <si>
    <t xml:space="preserve">Clerk I </t>
  </si>
  <si>
    <t xml:space="preserve">Administrative Aide IV (Clerk II) </t>
  </si>
  <si>
    <t>CHUCKIE FRANCESS J. FERNANDEZ</t>
  </si>
  <si>
    <t>SP Ord 21-</t>
  </si>
  <si>
    <t>Abolished per</t>
  </si>
  <si>
    <t>Administrative Section -</t>
  </si>
  <si>
    <t>JENNIFER S. PARAN</t>
  </si>
  <si>
    <t xml:space="preserve">Tourism Operations Officer I </t>
  </si>
  <si>
    <t>Tourism Operations Officer II</t>
  </si>
  <si>
    <t>Training, Research and Operations Section -</t>
  </si>
  <si>
    <t>TOURISM PROMOTION AND CULTURAL DEVELOPMENT OFFICE</t>
  </si>
  <si>
    <t>Park Attendant I *</t>
  </si>
  <si>
    <t>ROLAND S. MOLMORIDA</t>
  </si>
  <si>
    <t>Park Attendant I</t>
  </si>
  <si>
    <t>ROLAND B. ESPELITA</t>
  </si>
  <si>
    <t>HOWELL WEIZE E. KO</t>
  </si>
  <si>
    <t>MARK ANTHONY J. TELEBANGCO</t>
  </si>
  <si>
    <t>JOHN BERRY N. CABALUNA</t>
  </si>
  <si>
    <t>ROGELIO A. MARINOG</t>
  </si>
  <si>
    <t xml:space="preserve">Park Attendant I </t>
  </si>
  <si>
    <t>Pool Maintenance and Life Guarding Section -</t>
  </si>
  <si>
    <t>RODNEY A. GOROSIN</t>
  </si>
  <si>
    <t>KRYSTOFER R. PATRON</t>
  </si>
  <si>
    <t>Reception, Pool Kiosks Maintenance Section -</t>
  </si>
  <si>
    <t>EVELYN C. PASILABAN</t>
  </si>
  <si>
    <t xml:space="preserve">Laborer I </t>
  </si>
  <si>
    <t>KIRK B. VILLAFLOR</t>
  </si>
  <si>
    <t>VIRGILIO S. OLIVEROS, JR.</t>
  </si>
  <si>
    <t>MARLON OBESO</t>
  </si>
  <si>
    <t>NIDO M. SANDOVAL</t>
  </si>
  <si>
    <t>JHUNVY C. TINGAL</t>
  </si>
  <si>
    <t>JOEL H. CAÑETE</t>
  </si>
  <si>
    <t>Buildings, Gardens and Grounds Maintenance Section -</t>
  </si>
  <si>
    <t>PEOPLE'S PARK MANAGEMENT OFFICE</t>
  </si>
  <si>
    <t xml:space="preserve"> III.  ECONOMIC SERVICES SECTOR</t>
  </si>
  <si>
    <t>No.</t>
  </si>
  <si>
    <t>Rate Per Annum</t>
  </si>
  <si>
    <t>Item</t>
  </si>
  <si>
    <t>Budget Year</t>
  </si>
  <si>
    <r>
      <t xml:space="preserve">Page     </t>
    </r>
    <r>
      <rPr>
        <u/>
        <sz val="9"/>
        <rFont val="Arial Narrow"/>
        <family val="2"/>
      </rPr>
      <t xml:space="preserve">  6   </t>
    </r>
    <r>
      <rPr>
        <sz val="9"/>
        <rFont val="Arial Narrow"/>
        <family val="2"/>
      </rPr>
      <t xml:space="preserve">      of      </t>
    </r>
    <r>
      <rPr>
        <u/>
        <sz val="9"/>
        <rFont val="Arial Narrow"/>
        <family val="2"/>
      </rPr>
      <t xml:space="preserve">  6 </t>
    </r>
    <r>
      <rPr>
        <sz val="9"/>
        <rFont val="Arial Narrow"/>
        <family val="2"/>
      </rPr>
      <t xml:space="preserve">      page(s)</t>
    </r>
  </si>
  <si>
    <t>Local Budget Preparation Form No. 3</t>
  </si>
  <si>
    <t>ERVIN Y. GUATIZ</t>
  </si>
  <si>
    <t xml:space="preserve">Administrative Aide II </t>
  </si>
  <si>
    <t>GLENY ANN A. AUDITOR</t>
  </si>
  <si>
    <t>JESSICA E. DOSEJO</t>
  </si>
  <si>
    <t>RENZIE MAE B. TAMBASEN</t>
  </si>
  <si>
    <t xml:space="preserve">Youth Development Officer I </t>
  </si>
  <si>
    <t>SAN CARLOS CITY COUNCIL FOR YOUTH AFFAIRS OFFICE</t>
  </si>
  <si>
    <t>ADRIAN TIMOTHY L. VILLARANTE</t>
  </si>
  <si>
    <t>LYNDE T. DEMANCILLO</t>
  </si>
  <si>
    <t xml:space="preserve">Clerk II </t>
  </si>
  <si>
    <t>LEONARDO G. DOMINGO, JR.</t>
  </si>
  <si>
    <t>GENES C. LAYUMAS</t>
  </si>
  <si>
    <t>MAURICIO D. GONZALEZ, JR.</t>
  </si>
  <si>
    <t>VICENTE H. ORTIGAS</t>
  </si>
  <si>
    <t>VIRGILIO M. SUBRADO, JR.</t>
  </si>
  <si>
    <t>FRANCIS ROY P. BARCUMA</t>
  </si>
  <si>
    <t>GABRIEL G. NORBE</t>
  </si>
  <si>
    <t>VIRGILIO A. REANTUCO, JR.</t>
  </si>
  <si>
    <t>MANOLITO D. PELOTENIA</t>
  </si>
  <si>
    <t>LYNDON M. SILLE, SR.</t>
  </si>
  <si>
    <t>JOSE DENNIS V. PEÑALOSA</t>
  </si>
  <si>
    <t>Sports and Games Inspector II</t>
  </si>
  <si>
    <t>Training Section -</t>
  </si>
  <si>
    <t>SPORTS AND GAMES REGULATION OFFICE</t>
  </si>
  <si>
    <t>EREL E. LIM</t>
  </si>
  <si>
    <t>Administrative Aide II (Bookbinder I)</t>
  </si>
  <si>
    <t>Administrative Aide VI (Clerk III)</t>
  </si>
  <si>
    <t>Training and Livelihood Section -</t>
  </si>
  <si>
    <t xml:space="preserve">Administrative Aide III </t>
  </si>
  <si>
    <t>JOSE LARRY P. SORTEGOSA</t>
  </si>
  <si>
    <t>MARIA CIELO N. BUNCALAN</t>
  </si>
  <si>
    <t>AMID A. ELNAS</t>
  </si>
  <si>
    <t>Employment Facilitation and Monitoring Section -</t>
  </si>
  <si>
    <t>DELIA J. CAMASURA</t>
  </si>
  <si>
    <t>Senior Manpower Development Officer</t>
  </si>
  <si>
    <t xml:space="preserve">Supervising Labor and Employment Officer </t>
  </si>
  <si>
    <t>PUBLIC EMPLOYMENT SERVICE OFFICE</t>
  </si>
  <si>
    <r>
      <t xml:space="preserve">Page     </t>
    </r>
    <r>
      <rPr>
        <u/>
        <sz val="9"/>
        <rFont val="Arial Narrow"/>
        <family val="2"/>
      </rPr>
      <t xml:space="preserve">  5   </t>
    </r>
    <r>
      <rPr>
        <sz val="9"/>
        <rFont val="Arial Narrow"/>
        <family val="2"/>
      </rPr>
      <t xml:space="preserve">      of      </t>
    </r>
    <r>
      <rPr>
        <u/>
        <sz val="9"/>
        <rFont val="Arial Narrow"/>
        <family val="2"/>
      </rPr>
      <t xml:space="preserve">  6 </t>
    </r>
    <r>
      <rPr>
        <sz val="9"/>
        <rFont val="Arial Narrow"/>
        <family val="2"/>
      </rPr>
      <t xml:space="preserve">      page(s)</t>
    </r>
  </si>
  <si>
    <t>JULIEBEL P. SIASON</t>
  </si>
  <si>
    <t>ARNEL P. ARAÑEZ</t>
  </si>
  <si>
    <t>Data Controller I</t>
  </si>
  <si>
    <t>MA. NOVAH R. SOLLESTA</t>
  </si>
  <si>
    <t>Special Operations Officer III</t>
  </si>
  <si>
    <t>SAN CARLOS CITY INVESTMENT PROMOTION CENTER</t>
  </si>
  <si>
    <t>MERLA N. SIABOC</t>
  </si>
  <si>
    <t>EUGENE PHILIPPS G. ALGARME</t>
  </si>
  <si>
    <t>RAUL P. DE ARCE</t>
  </si>
  <si>
    <t>VICKY D. TRIBUNALO</t>
  </si>
  <si>
    <t xml:space="preserve">Administrative Aide IV  (Bookbinder II) </t>
  </si>
  <si>
    <t>JESUS G. SILDURA</t>
  </si>
  <si>
    <t>Administrative Aide IV  (Bookbinder II)</t>
  </si>
  <si>
    <t>JEANNE C. JUNCO</t>
  </si>
  <si>
    <t>IMEE BERYL F. GEDUCOS</t>
  </si>
  <si>
    <t>Project Development Assistant</t>
  </si>
  <si>
    <t>Livelihood and Enterprise Development Section</t>
  </si>
  <si>
    <t>EDITH M. DANO</t>
  </si>
  <si>
    <t>BERNARDO R. LEONAR</t>
  </si>
  <si>
    <t>FELIX P. CAWIT, JR.</t>
  </si>
  <si>
    <t>FRANCISCO DARYL C. MASCUÑANA</t>
  </si>
  <si>
    <t>Administrative Aide III  (Clerk I)</t>
  </si>
  <si>
    <t>MARLON S. MAGLAYON</t>
  </si>
  <si>
    <t>Community Development Assistant I</t>
  </si>
  <si>
    <t>KENNETH REY Y. CABALLERO</t>
  </si>
  <si>
    <t xml:space="preserve">Cooperatives Development Specialist I </t>
  </si>
  <si>
    <t>GRACE M. NEQUINTO</t>
  </si>
  <si>
    <t>Cooperatives Development Specialist II</t>
  </si>
  <si>
    <t>Assistance and Institutional Development Section</t>
  </si>
  <si>
    <t>OFELIA F. ALFARO</t>
  </si>
  <si>
    <t>MARIA LOURDES D. GONZALEZ</t>
  </si>
  <si>
    <t>Fiscal Management and Administrative Section</t>
  </si>
  <si>
    <t>RAYMUND B. GEPITULAN</t>
  </si>
  <si>
    <t xml:space="preserve">Supervising Cooperatives Devt Specialist </t>
  </si>
  <si>
    <t>COOPERATIVES AND LIVELIHOOD DEVELOPMENT OFFICE</t>
  </si>
  <si>
    <t xml:space="preserve">Administrative Aide II  (Bookbinder I) </t>
  </si>
  <si>
    <t>Housing and Homesite Regulation Officer I</t>
  </si>
  <si>
    <r>
      <t xml:space="preserve">Page     </t>
    </r>
    <r>
      <rPr>
        <b/>
        <u/>
        <sz val="9"/>
        <rFont val="Arial Narrow"/>
        <family val="2"/>
      </rPr>
      <t xml:space="preserve">  4   </t>
    </r>
    <r>
      <rPr>
        <b/>
        <sz val="9"/>
        <rFont val="Arial Narrow"/>
        <family val="2"/>
      </rPr>
      <t xml:space="preserve">      of      </t>
    </r>
    <r>
      <rPr>
        <b/>
        <u/>
        <sz val="9"/>
        <rFont val="Arial Narrow"/>
        <family val="2"/>
      </rPr>
      <t xml:space="preserve">  6 </t>
    </r>
    <r>
      <rPr>
        <b/>
        <sz val="9"/>
        <rFont val="Arial Narrow"/>
        <family val="2"/>
      </rPr>
      <t xml:space="preserve">      page(s)</t>
    </r>
  </si>
  <si>
    <t xml:space="preserve"> * Created,  ** Transferred to CPDCO per SP Ord 21-</t>
  </si>
  <si>
    <t xml:space="preserve">Housing and Homesite Regulation Officer II </t>
  </si>
  <si>
    <t>Development Management Officer  III</t>
  </si>
  <si>
    <t>Housing and Homesite Regulation Officer V</t>
  </si>
  <si>
    <r>
      <t xml:space="preserve">SAN CARLOS INTEGRATED HOUSING AUTHORITY </t>
    </r>
    <r>
      <rPr>
        <b/>
        <u/>
        <sz val="14"/>
        <rFont val="Arial Narrow"/>
        <family val="2"/>
      </rPr>
      <t>**</t>
    </r>
  </si>
  <si>
    <t>ERLINDA A. CANOY</t>
  </si>
  <si>
    <t>Public Services Officer I</t>
  </si>
  <si>
    <t>Community Center Services Section -</t>
  </si>
  <si>
    <t xml:space="preserve"> II.  SOCIAL SERVICES SECTOR</t>
  </si>
  <si>
    <t>THOMAS EDISON BLANCO</t>
  </si>
  <si>
    <t>RENE D. SALVA</t>
  </si>
  <si>
    <t>MARICRIS Y. APILADO</t>
  </si>
  <si>
    <t>Administrative Aide III (Laborer II)</t>
  </si>
  <si>
    <t>Storekeeper I</t>
  </si>
  <si>
    <t>FE THERESE D. VILLARUEL</t>
  </si>
  <si>
    <t>JAY-R R. ALFON</t>
  </si>
  <si>
    <t xml:space="preserve">Process Server </t>
  </si>
  <si>
    <t>JOHN CELESTIN E. NAPULI</t>
  </si>
  <si>
    <t>GEORGE CARLOS J. APURADO</t>
  </si>
  <si>
    <t xml:space="preserve">Administrative Assistant I (Bookbinder III) </t>
  </si>
  <si>
    <t>NILO LUIS C. MAGALONA</t>
  </si>
  <si>
    <t>MA. VICENTA T. CHAN</t>
  </si>
  <si>
    <t>Buyer V</t>
  </si>
  <si>
    <t>Procurement Operations Section</t>
  </si>
  <si>
    <t>BILL CHRISTIAN M. SUBRADO</t>
  </si>
  <si>
    <t>ARRIZ G. PLANGGANAN</t>
  </si>
  <si>
    <t>CARMILO E. MONTERONA</t>
  </si>
  <si>
    <t>STELLA MARIE B. HEMIDA</t>
  </si>
  <si>
    <t xml:space="preserve">Records Officer I </t>
  </si>
  <si>
    <t>Administrative and Procurement Planning Section</t>
  </si>
  <si>
    <t>Supply Officer I</t>
  </si>
  <si>
    <t>MA. BRITA D. REBADOMIA</t>
  </si>
  <si>
    <t xml:space="preserve">Supply Officer IV </t>
  </si>
  <si>
    <t>BIDS AND AWARDS COMMITTEE SECRETARIAT AND PROCUREMENT DIVISION</t>
  </si>
  <si>
    <t>Administrative Aide II *</t>
  </si>
  <si>
    <t>ROBERTO S. SY, JR.</t>
  </si>
  <si>
    <t>MA. SANDRA M. SORTEGOSA</t>
  </si>
  <si>
    <t>Administrative Asst I (Bookbinder III)</t>
  </si>
  <si>
    <t>JANICE C. ASPIRAS</t>
  </si>
  <si>
    <t>License Inspector I</t>
  </si>
  <si>
    <t>NELSON B. VILLAFLOR</t>
  </si>
  <si>
    <t>License Inspector II</t>
  </si>
  <si>
    <t>NEAL NORBERTO S. BELANGEL</t>
  </si>
  <si>
    <t>Licensing Officer IV</t>
  </si>
  <si>
    <t>BUSINESS PERMIT AND LICENSING OFFICE</t>
  </si>
  <si>
    <r>
      <t xml:space="preserve">Page     </t>
    </r>
    <r>
      <rPr>
        <u/>
        <sz val="9"/>
        <rFont val="Arial Narrow"/>
        <family val="2"/>
      </rPr>
      <t xml:space="preserve">  3   </t>
    </r>
    <r>
      <rPr>
        <sz val="9"/>
        <rFont val="Arial Narrow"/>
        <family val="2"/>
      </rPr>
      <t xml:space="preserve">      of      </t>
    </r>
    <r>
      <rPr>
        <u/>
        <sz val="9"/>
        <rFont val="Arial Narrow"/>
        <family val="2"/>
      </rPr>
      <t xml:space="preserve">  6 </t>
    </r>
    <r>
      <rPr>
        <sz val="9"/>
        <rFont val="Arial Narrow"/>
        <family val="2"/>
      </rPr>
      <t xml:space="preserve">      page(s)</t>
    </r>
  </si>
  <si>
    <t xml:space="preserve"> ** Created per SP Ord 21- </t>
  </si>
  <si>
    <t xml:space="preserve"> * Transferred from City Engineering Department per SP Ord 21-06</t>
  </si>
  <si>
    <t>Traffic Aide I</t>
  </si>
  <si>
    <t>LUCAS L. MARIANO</t>
  </si>
  <si>
    <t>RONILO V. BARRIENTOS</t>
  </si>
  <si>
    <t>Traffic Operations-</t>
  </si>
  <si>
    <t>RITCHE A. TAPERE</t>
  </si>
  <si>
    <t>ROQUE S. ABEJO, JR.</t>
  </si>
  <si>
    <t>MELCHOR S. MASAYON, SR.</t>
  </si>
  <si>
    <t>DIONISIO S. CABUGNASON</t>
  </si>
  <si>
    <t>Administrative Aide III (Driver I)</t>
  </si>
  <si>
    <t>CARLOS G. DOLLOSA</t>
  </si>
  <si>
    <t xml:space="preserve">Driver II </t>
  </si>
  <si>
    <t>Transport Services-</t>
  </si>
  <si>
    <t>ELDEBORA C. BERMEJO</t>
  </si>
  <si>
    <t>GIAN PAOLO D. CREDO</t>
  </si>
  <si>
    <t>CARLOS G. ALLARCE</t>
  </si>
  <si>
    <t>CORAZON A. GUARIN</t>
  </si>
  <si>
    <t>JOHN ISRAEL C. RODRIGUEZ</t>
  </si>
  <si>
    <t>VICKY K. SIA</t>
  </si>
  <si>
    <t>GLAIRE MARIE R. DESAMPARADO</t>
  </si>
  <si>
    <t>MEA A. DALOPE</t>
  </si>
  <si>
    <t>HENRY T. TACSAN</t>
  </si>
  <si>
    <t>IAN S. SERION</t>
  </si>
  <si>
    <t>KAREN DOHN R. POMAR</t>
  </si>
  <si>
    <t>ROMULO M. APURADO, JR.</t>
  </si>
  <si>
    <t>Admininistrative Aide II (Bookbinder I)</t>
  </si>
  <si>
    <t>VIDAL S. BORDAJE, JR.</t>
  </si>
  <si>
    <t>EVELYN B. APURADO</t>
  </si>
  <si>
    <t>ALJANICE Y. PAUSA</t>
  </si>
  <si>
    <t>ARNOLD Q. LIBODLIBOD</t>
  </si>
  <si>
    <t>JO. REYMEL N. CAÑEDO</t>
  </si>
  <si>
    <t>Administrative Asst VI (Computer Opr III)</t>
  </si>
  <si>
    <t>Communication Equipment Operator V</t>
  </si>
  <si>
    <t>Support Services Section -</t>
  </si>
  <si>
    <t>EDGAR ALLAN C. RIGOR</t>
  </si>
  <si>
    <t>Public Services Foreman</t>
  </si>
  <si>
    <t>Public Services Section -</t>
  </si>
  <si>
    <t>MYRA V. CARMONA</t>
  </si>
  <si>
    <t xml:space="preserve">Bookbinder I </t>
  </si>
  <si>
    <t>MARIA MOLILONA D. DELUBIO</t>
  </si>
  <si>
    <t>MARIVIC P. TECSON</t>
  </si>
  <si>
    <t>MARIA LOURDES A. NOCHEFRANCA</t>
  </si>
  <si>
    <t>MAXILINDA S. UNABIA</t>
  </si>
  <si>
    <t>MA. ABIGAIL ZOE J. BRACAMONTE</t>
  </si>
  <si>
    <t xml:space="preserve">Administrative Aide IV (Bookbinder II) </t>
  </si>
  <si>
    <t>GRACE A. AGRAVIADOR</t>
  </si>
  <si>
    <t>HAYDEE APAYLA</t>
  </si>
  <si>
    <t>Records Officer I **</t>
  </si>
  <si>
    <t>Records Management Section -</t>
  </si>
  <si>
    <t>CHARLEN POL ANLAP</t>
  </si>
  <si>
    <t>Administrative Officer III *</t>
  </si>
  <si>
    <t>ADMINISTRATIVE SERVICES</t>
  </si>
  <si>
    <r>
      <t xml:space="preserve">Page     </t>
    </r>
    <r>
      <rPr>
        <u/>
        <sz val="9"/>
        <rFont val="Arial Narrow"/>
        <family val="2"/>
      </rPr>
      <t xml:space="preserve">  2   </t>
    </r>
    <r>
      <rPr>
        <sz val="9"/>
        <rFont val="Arial Narrow"/>
        <family val="2"/>
      </rPr>
      <t xml:space="preserve">      of      </t>
    </r>
    <r>
      <rPr>
        <u/>
        <sz val="9"/>
        <rFont val="Arial Narrow"/>
        <family val="2"/>
      </rPr>
      <t xml:space="preserve">  6 </t>
    </r>
    <r>
      <rPr>
        <sz val="9"/>
        <rFont val="Arial Narrow"/>
        <family val="2"/>
      </rPr>
      <t xml:space="preserve">      page(s)</t>
    </r>
  </si>
  <si>
    <t xml:space="preserve"> ***Created per SP Ord 21-05</t>
  </si>
  <si>
    <t xml:space="preserve"> *Created ;** Downgraded from Executive Assistant III SG 20 per SP Ord 21-     ; </t>
  </si>
  <si>
    <t>RILJUN T. MAYAGMA</t>
  </si>
  <si>
    <t>Internal Auditor I</t>
  </si>
  <si>
    <t>Internal Auditor II</t>
  </si>
  <si>
    <t>INTERNAL AUDIT SERVICES</t>
  </si>
  <si>
    <t>Security Agent I ***</t>
  </si>
  <si>
    <t>FLORENCIO D. CAMON</t>
  </si>
  <si>
    <t>Security Agent II</t>
  </si>
  <si>
    <t>MARK WILLEM S. CUI</t>
  </si>
  <si>
    <t>ANGELO GIOVANNI B. PASCO, JR.</t>
  </si>
  <si>
    <t>GIOVANNI P. JUNCO</t>
  </si>
  <si>
    <t>DANILO V. CAÑETE</t>
  </si>
  <si>
    <t>VIRGILIO V. DESPI, JR.</t>
  </si>
  <si>
    <t>ULYSSES V. CABALLERO, JR.</t>
  </si>
  <si>
    <t>ROBERT JOHN B. VILLA</t>
  </si>
  <si>
    <t>MARK ANTHON B. BAGACAY</t>
  </si>
  <si>
    <t>SONNY BOY D. BERNUS</t>
  </si>
  <si>
    <t>SIMEON V. CABALLERO</t>
  </si>
  <si>
    <t>EDMUNDO J. NEMENZO</t>
  </si>
  <si>
    <t>PANCHO T. RIGOR</t>
  </si>
  <si>
    <t>Private Secretary I</t>
  </si>
  <si>
    <t>FRANCISCA S. BRAQUIL</t>
  </si>
  <si>
    <t>Private Secretary II</t>
  </si>
  <si>
    <t>RENBERT CEASAR N. GUSTILO</t>
  </si>
  <si>
    <t xml:space="preserve">Executive Assistant I </t>
  </si>
  <si>
    <t>ZACHARY KIRK B. GONZALEZ</t>
  </si>
  <si>
    <t>EDUARDO S. RAMIREZ</t>
  </si>
  <si>
    <t>Executive Assistant I</t>
  </si>
  <si>
    <t>Executive Assistant II **</t>
  </si>
  <si>
    <t>JONIE S. UY</t>
  </si>
  <si>
    <t>Executive Assistant III</t>
  </si>
  <si>
    <t>ULYSSES SM LEZAMA</t>
  </si>
  <si>
    <t>MERCEDES G. TAGAMOLILA</t>
  </si>
  <si>
    <t>Executive Assistant IV *</t>
  </si>
  <si>
    <t>AIRENE ROSE N. GUSTILO</t>
  </si>
  <si>
    <t xml:space="preserve">Executive Assistant IV </t>
  </si>
  <si>
    <t>JESUS FACUNDO P. COMBATE, JR.</t>
  </si>
  <si>
    <t>EXECUTIVE SUPPORT STAFF</t>
  </si>
  <si>
    <t xml:space="preserve"> I.  GENERAL PUBLIC SERVICES SECTOR</t>
  </si>
  <si>
    <t>CITY MAYOR'S OFFICE</t>
  </si>
  <si>
    <t xml:space="preserve"> Prov./City/Municipality  :   San Carlos City, Neg. Occ.</t>
  </si>
  <si>
    <r>
      <t xml:space="preserve">Budget Year   :   </t>
    </r>
    <r>
      <rPr>
        <b/>
        <u/>
        <sz val="10"/>
        <rFont val="Arial Narrow"/>
        <family val="2"/>
      </rPr>
      <t>2022</t>
    </r>
  </si>
  <si>
    <r>
      <t xml:space="preserve">Page     </t>
    </r>
    <r>
      <rPr>
        <u/>
        <sz val="9"/>
        <rFont val="Arial Narrow"/>
        <family val="2"/>
      </rPr>
      <t xml:space="preserve">  1   </t>
    </r>
    <r>
      <rPr>
        <sz val="9"/>
        <rFont val="Arial Narrow"/>
        <family val="2"/>
      </rPr>
      <t xml:space="preserve">      of      </t>
    </r>
    <r>
      <rPr>
        <u/>
        <sz val="9"/>
        <rFont val="Arial Narrow"/>
        <family val="2"/>
      </rPr>
      <t xml:space="preserve">  6 </t>
    </r>
    <r>
      <rPr>
        <sz val="9"/>
        <rFont val="Arial Narrow"/>
        <family val="2"/>
      </rPr>
      <t xml:space="preserve">      page(s)</t>
    </r>
  </si>
  <si>
    <t>Other Porperty, Plant and Equipment</t>
  </si>
  <si>
    <t>Techinical and Scientific Equipment</t>
  </si>
  <si>
    <t>Machinery and Equipment - Machinery</t>
  </si>
  <si>
    <t>Info. And Technology Equipment</t>
  </si>
  <si>
    <t xml:space="preserve">Various Capital Outlay </t>
  </si>
  <si>
    <t>+40000</t>
  </si>
  <si>
    <t>Various Capital Outlay (Lumpsum)</t>
  </si>
  <si>
    <t>Various Capital Outlay (Loans Outlay - CLDO)</t>
  </si>
  <si>
    <t>REGIONAL MOBILE FORCE BATALLION</t>
  </si>
  <si>
    <t>PAO</t>
  </si>
  <si>
    <t>Traveling Expenses</t>
  </si>
  <si>
    <t>COMELEC</t>
  </si>
  <si>
    <t>BIR</t>
  </si>
  <si>
    <t>and Accessories)</t>
  </si>
  <si>
    <t xml:space="preserve">Office Supplies Expenses (Computer Supplies </t>
  </si>
  <si>
    <t xml:space="preserve">Training Expenses </t>
  </si>
  <si>
    <t>PROBATION</t>
  </si>
  <si>
    <t xml:space="preserve"> DILG</t>
  </si>
  <si>
    <t>5-02-99-990(48)</t>
  </si>
  <si>
    <t>Foundation for Pintaflores Festival &amp; Other Activities</t>
  </si>
  <si>
    <t xml:space="preserve">OMOE - Financial Assistance to Pintaflores </t>
  </si>
  <si>
    <t xml:space="preserve">           Development Board</t>
  </si>
  <si>
    <t xml:space="preserve">OMOE - Financial Assistance to San Carlos </t>
  </si>
  <si>
    <t>Real Property Tax =P=21,076,798.40)</t>
  </si>
  <si>
    <t xml:space="preserve">Miscellaneous Expenses (2% of CY 2020 Actual </t>
  </si>
  <si>
    <t>OMOE - Discretionary Fund - Extra-Ordinary &amp;</t>
  </si>
  <si>
    <t>OMOE - Donations (Emergency Expenses - Misc. Aids)</t>
  </si>
  <si>
    <t>5-02-99-60(04)</t>
  </si>
  <si>
    <t>(NNARMAC)</t>
  </si>
  <si>
    <t xml:space="preserve">Membership Dues, Contributions to Organization </t>
  </si>
  <si>
    <t>5-02-99-60(03)</t>
  </si>
  <si>
    <t>(Union of Local Authorities of the Philippines)</t>
  </si>
  <si>
    <t>Membership Dues, Contributions to Organization</t>
  </si>
  <si>
    <t>5-2-99-60(02)</t>
  </si>
  <si>
    <t>(Negros Association of Chief Executives)</t>
  </si>
  <si>
    <t>5-02-99-060(01)</t>
  </si>
  <si>
    <t>(League of Cities)</t>
  </si>
  <si>
    <t>Motor Vehicles (Tires, Batteries &amp; Accessories)</t>
  </si>
  <si>
    <t>Internet Subscription Expense</t>
  </si>
  <si>
    <t>Welfare Goods Expenses</t>
  </si>
  <si>
    <t>5-01-04-990(07)</t>
  </si>
  <si>
    <t>5-01-04-990(05)</t>
  </si>
  <si>
    <t>(Compensation Adjustment Fund)</t>
  </si>
  <si>
    <t>5-01-04-990(01)</t>
  </si>
  <si>
    <t>Other Personnel Benefits (Monetization)</t>
  </si>
  <si>
    <t>OFFICE: CITY MAYOR'S OFFICE - 1011</t>
  </si>
  <si>
    <t xml:space="preserve"> City Social Welfare &amp; Dev't. Officer                                                     City  Budget Officer</t>
  </si>
  <si>
    <t xml:space="preserve">CYNTHIA A. MIRANDE                                                              GENIL M. VERGANTIÑOS  </t>
  </si>
  <si>
    <t>IT Equipment and Software</t>
  </si>
  <si>
    <t>Donations</t>
  </si>
  <si>
    <t xml:space="preserve">ICT Equipment </t>
  </si>
  <si>
    <t>Office Equipments</t>
  </si>
  <si>
    <t>and Accessories</t>
  </si>
  <si>
    <t xml:space="preserve">  CURRENT OPERATING EXPENDITURES:</t>
  </si>
  <si>
    <t>OFFICE : CITY SOCIAL WELFARE AND DEVELOPMENT OFFICE - 7611</t>
  </si>
  <si>
    <r>
      <rPr>
        <i/>
        <sz val="9"/>
        <rFont val="Arial Narrow"/>
        <family val="2"/>
      </rPr>
      <t xml:space="preserve">Prov./City/Municipality </t>
    </r>
    <r>
      <rPr>
        <sz val="9"/>
        <rFont val="Arial Narrow"/>
        <family val="2"/>
      </rPr>
      <t>:     San Carlos City, Negros Occidental</t>
    </r>
  </si>
  <si>
    <t>Page       1     of        2    Page(s)</t>
  </si>
  <si>
    <t>Repairs and Maintenance Infrastructure Assets</t>
  </si>
  <si>
    <t>5-2-04-020</t>
  </si>
  <si>
    <t>(Computer Supplies &amp; Accessories)</t>
  </si>
  <si>
    <t>OFFICE: CITY ENGINEERING DEPARTMENT (BUILDING AND STREET LIGHTING SERVICES) - 6531</t>
  </si>
  <si>
    <t xml:space="preserve">        City Government Department Head I-OHRM</t>
  </si>
  <si>
    <t>City General Service Officer</t>
  </si>
  <si>
    <t xml:space="preserve">  JUEYONA M. CUDIAS</t>
  </si>
  <si>
    <t xml:space="preserve"> *Downgraded from Supply Officer II SG 14; ** Created per SP Ord 21-</t>
  </si>
  <si>
    <t xml:space="preserve">                   T O T A L</t>
  </si>
  <si>
    <t>JONALYN T. FLORES</t>
  </si>
  <si>
    <t>LEVI F. CAMPOS</t>
  </si>
  <si>
    <t>MELGIN B. LARGO</t>
  </si>
  <si>
    <t>Storekeeper I **</t>
  </si>
  <si>
    <t>JOHN RAY F. VALLE</t>
  </si>
  <si>
    <t>ALIE D. MONDERO</t>
  </si>
  <si>
    <t>SANDEE A. GADIANE</t>
  </si>
  <si>
    <t xml:space="preserve">Utility Foreman </t>
  </si>
  <si>
    <t>NICHELLE S. LIPA</t>
  </si>
  <si>
    <t>Public Services Officer III **</t>
  </si>
  <si>
    <t>Engineer III **</t>
  </si>
  <si>
    <t>FRANCIS C. REQUIERON</t>
  </si>
  <si>
    <t>INVENTORY AND PROPERTY MANAGEMENT DIVISION</t>
  </si>
  <si>
    <t>JOEMARIE A. ALIGUIN</t>
  </si>
  <si>
    <t xml:space="preserve">Administrative Aide III (Utility Worker II) </t>
  </si>
  <si>
    <t>ANTHONY A. LAYUMAS</t>
  </si>
  <si>
    <t>RICARDO C. ESNALDO</t>
  </si>
  <si>
    <t>ANTONIO L. ABUYO</t>
  </si>
  <si>
    <t>Warehouseman II</t>
  </si>
  <si>
    <t>DIOSDADO C. DOLLOSA</t>
  </si>
  <si>
    <t xml:space="preserve">Warehouseman III </t>
  </si>
  <si>
    <t>IRVING T. ANTONIO</t>
  </si>
  <si>
    <t xml:space="preserve">Engineer II </t>
  </si>
  <si>
    <t>Warehouse Section -</t>
  </si>
  <si>
    <t>ARIEL L. EMPALMADO</t>
  </si>
  <si>
    <t>FREEZEL M. NENGASCA</t>
  </si>
  <si>
    <t>BERNADITH C. CHAN</t>
  </si>
  <si>
    <t xml:space="preserve">Storekeeper III </t>
  </si>
  <si>
    <t>Supply Officer I *</t>
  </si>
  <si>
    <t>Supply Officer III</t>
  </si>
  <si>
    <t>JULIUS N. MIRANDA</t>
  </si>
  <si>
    <t xml:space="preserve">Supply Officer III </t>
  </si>
  <si>
    <t>Procurement Section -</t>
  </si>
  <si>
    <t>SUPPLIES AND MATERIALS DIVISION</t>
  </si>
  <si>
    <t>JUEYONA M. CUDIAS</t>
  </si>
  <si>
    <t>GENERAL SERVICES DEPARTMENT</t>
  </si>
  <si>
    <t>DRAFT</t>
  </si>
  <si>
    <r>
      <t xml:space="preserve">Page       </t>
    </r>
    <r>
      <rPr>
        <u/>
        <sz val="8"/>
        <rFont val="Arial Narrow"/>
        <family val="2"/>
      </rPr>
      <t xml:space="preserve">  1   </t>
    </r>
    <r>
      <rPr>
        <sz val="8"/>
        <rFont val="Arial Narrow"/>
        <family val="2"/>
      </rPr>
      <t xml:space="preserve">      of      </t>
    </r>
    <r>
      <rPr>
        <u/>
        <sz val="8"/>
        <rFont val="Arial Narrow"/>
        <family val="2"/>
      </rPr>
      <t xml:space="preserve">  1 </t>
    </r>
    <r>
      <rPr>
        <sz val="8"/>
        <rFont val="Arial Narrow"/>
        <family val="2"/>
      </rPr>
      <t xml:space="preserve">      page(s)</t>
    </r>
  </si>
  <si>
    <t>City General Services Officer</t>
  </si>
  <si>
    <t xml:space="preserve">     JUEYONA M. CUDIAS </t>
  </si>
  <si>
    <t>1-07-05-031</t>
  </si>
  <si>
    <t>Info.and Communication Technology Equipments</t>
  </si>
  <si>
    <t>(Registration and Emission Testing)</t>
  </si>
  <si>
    <t>5-02-16-030(02)</t>
  </si>
  <si>
    <t>5-02-16-030(01)</t>
  </si>
  <si>
    <t>Taxes, Duties, and Licenses</t>
  </si>
  <si>
    <t xml:space="preserve">(ICT Equipment ) </t>
  </si>
  <si>
    <t>Page   2     of   2 Page(s)</t>
  </si>
  <si>
    <t>(Maintenance Supplies Expenses)</t>
  </si>
  <si>
    <t xml:space="preserve">Other Supplies &amp; Materials Expenses </t>
  </si>
  <si>
    <t>5-02-03-990(01-03)</t>
  </si>
  <si>
    <t>Reimbursable Fund (Fuel, Oil, and Lubricants)</t>
  </si>
  <si>
    <t>5-02-03-990(01-02)</t>
  </si>
  <si>
    <t>Reimbursable Fund (Construction Materials)</t>
  </si>
  <si>
    <t>5-02-03-990(01-01)</t>
  </si>
  <si>
    <t>Reimbursable Fund (Supplies)</t>
  </si>
  <si>
    <r>
      <t xml:space="preserve">Other Personnel Benefits </t>
    </r>
    <r>
      <rPr>
        <sz val="9"/>
        <rFont val="Arial Narrow"/>
        <family val="2"/>
      </rPr>
      <t>(Productivity</t>
    </r>
  </si>
  <si>
    <r>
      <t xml:space="preserve">Other Personnel Benefits </t>
    </r>
    <r>
      <rPr>
        <sz val="9"/>
        <rFont val="Arial Narrow"/>
        <family val="2"/>
      </rPr>
      <t>(Achievement Incentives)</t>
    </r>
  </si>
  <si>
    <r>
      <t>Other Personnel Benefits</t>
    </r>
    <r>
      <rPr>
        <sz val="8"/>
        <rFont val="Arial Narrow"/>
        <family val="2"/>
      </rPr>
      <t xml:space="preserve"> </t>
    </r>
    <r>
      <rPr>
        <sz val="9"/>
        <rFont val="Arial Narrow"/>
        <family val="2"/>
      </rPr>
      <t>(Loyalty Award)</t>
    </r>
  </si>
  <si>
    <t>OFFICE : GENERAL SERVICES DEPARTMENT - 1061</t>
  </si>
  <si>
    <t>(Registrartion and Emission Testing)</t>
  </si>
  <si>
    <t xml:space="preserve">ANNUAL </t>
  </si>
  <si>
    <t xml:space="preserve">PROPOSED </t>
  </si>
  <si>
    <t>5-02-03-990(01-09)</t>
  </si>
  <si>
    <t>5-02-03-990(01-08)</t>
  </si>
  <si>
    <t>CY 2020 VS. CY 2021</t>
  </si>
  <si>
    <t xml:space="preserve">       City Government Department Head I-OHRM</t>
  </si>
  <si>
    <t xml:space="preserve">     Medical Specialist II/OIC-CHosp</t>
  </si>
  <si>
    <t xml:space="preserve"> RENATO Y. GUSTILO</t>
  </si>
  <si>
    <t xml:space="preserve">      ATTY. MA. CHAT DELIMA-CORDERO</t>
  </si>
  <si>
    <t>DR. MARY GENEVIEVE G. MONTAÑO</t>
  </si>
  <si>
    <t xml:space="preserve">   Reviewed by:</t>
  </si>
  <si>
    <t>GERNALIN BANGCRIGO</t>
  </si>
  <si>
    <t>161</t>
  </si>
  <si>
    <t>WARREN S. COSTANILLA</t>
  </si>
  <si>
    <t xml:space="preserve">Mechanical Plant Operator I </t>
  </si>
  <si>
    <t>153</t>
  </si>
  <si>
    <t>160</t>
  </si>
  <si>
    <t>F. Maintenance Services Section -</t>
  </si>
  <si>
    <t>EDITHA C. CALINAWAN</t>
  </si>
  <si>
    <t>Laundry Worker I</t>
  </si>
  <si>
    <t>152</t>
  </si>
  <si>
    <t>159</t>
  </si>
  <si>
    <t>ISAGANI B. RIGOR</t>
  </si>
  <si>
    <t>151</t>
  </si>
  <si>
    <t>158</t>
  </si>
  <si>
    <t>REY E. ALCOVER</t>
  </si>
  <si>
    <t>150</t>
  </si>
  <si>
    <t>157</t>
  </si>
  <si>
    <t>149</t>
  </si>
  <si>
    <t>LORNA BACURNAY</t>
  </si>
  <si>
    <t>148</t>
  </si>
  <si>
    <t>156</t>
  </si>
  <si>
    <t>FRANKLIN V. BAROTAG</t>
  </si>
  <si>
    <t>147</t>
  </si>
  <si>
    <t>155</t>
  </si>
  <si>
    <t>JOVENAL RUBEN E. NARCISO</t>
  </si>
  <si>
    <t>146</t>
  </si>
  <si>
    <t>154</t>
  </si>
  <si>
    <t>Housekeeping and Laundry -</t>
  </si>
  <si>
    <t>LEON D. COMPACION, JR.</t>
  </si>
  <si>
    <t xml:space="preserve">Driver I </t>
  </si>
  <si>
    <t>145</t>
  </si>
  <si>
    <t>JEFFREY C. GALONO</t>
  </si>
  <si>
    <t>144</t>
  </si>
  <si>
    <t>ORLANDO III P. CATAGUE</t>
  </si>
  <si>
    <t>ALFREDO C. RENGEL</t>
  </si>
  <si>
    <t>142</t>
  </si>
  <si>
    <t>REYNALDO T. MAMAC</t>
  </si>
  <si>
    <t>141</t>
  </si>
  <si>
    <t>Transport and Ambulance Services -</t>
  </si>
  <si>
    <t>E.  General Services Section:</t>
  </si>
  <si>
    <t>MA. ELENA J. CAPARIDA</t>
  </si>
  <si>
    <t>140</t>
  </si>
  <si>
    <t>D.  Social and Other Services Section:</t>
  </si>
  <si>
    <t>MICHELYN G. VERGARA</t>
  </si>
  <si>
    <t>139</t>
  </si>
  <si>
    <t>130</t>
  </si>
  <si>
    <t>EDEN A. LATADA</t>
  </si>
  <si>
    <t>138</t>
  </si>
  <si>
    <t>JUVY K. CASALLA</t>
  </si>
  <si>
    <t>137</t>
  </si>
  <si>
    <t>C.  Records Management Section:</t>
  </si>
  <si>
    <r>
      <t xml:space="preserve">Page       </t>
    </r>
    <r>
      <rPr>
        <u/>
        <sz val="8"/>
        <rFont val="Arial Narrow"/>
        <family val="2"/>
      </rPr>
      <t xml:space="preserve">  6   </t>
    </r>
    <r>
      <rPr>
        <sz val="8"/>
        <rFont val="Arial Narrow"/>
        <family val="2"/>
      </rPr>
      <t xml:space="preserve">      of      </t>
    </r>
    <r>
      <rPr>
        <u/>
        <sz val="8"/>
        <rFont val="Arial Narrow"/>
        <family val="2"/>
      </rPr>
      <t xml:space="preserve">  6 </t>
    </r>
    <r>
      <rPr>
        <sz val="8"/>
        <rFont val="Arial Narrow"/>
        <family val="2"/>
      </rPr>
      <t xml:space="preserve">      page(s)</t>
    </r>
  </si>
  <si>
    <t xml:space="preserve"> * To retire on 12/19/21</t>
  </si>
  <si>
    <t>ROSE MAE HERMOSO</t>
  </si>
  <si>
    <t>136</t>
  </si>
  <si>
    <t>HONEY D. DOLLOSA</t>
  </si>
  <si>
    <t>135</t>
  </si>
  <si>
    <t>134</t>
  </si>
  <si>
    <t>B.  Property and Supply Section:</t>
  </si>
  <si>
    <t>MA. ADESA P. PEPINO</t>
  </si>
  <si>
    <t>133</t>
  </si>
  <si>
    <t>A.  Personnel Services Section:</t>
  </si>
  <si>
    <t>MA. CONSUELO JANICE R. CARMONA</t>
  </si>
  <si>
    <t>132</t>
  </si>
  <si>
    <t>V.  ADMINISTRATIVE DIVISION:</t>
  </si>
  <si>
    <t>EDCAR R. MEMBILA</t>
  </si>
  <si>
    <t>131</t>
  </si>
  <si>
    <t>JASPER G. PABALATE</t>
  </si>
  <si>
    <t xml:space="preserve">Electronics and Communications Equipment Technician I </t>
  </si>
  <si>
    <t>F.  Information Technology Section:</t>
  </si>
  <si>
    <t>129</t>
  </si>
  <si>
    <t>E.  E-Claims Section:</t>
  </si>
  <si>
    <t>GIL MADIGAR C. BUHAT</t>
  </si>
  <si>
    <t>128</t>
  </si>
  <si>
    <t>RACHEL JOY C. JORDAN</t>
  </si>
  <si>
    <t>127</t>
  </si>
  <si>
    <t>SUSANNE D. GEOPANO</t>
  </si>
  <si>
    <t>126</t>
  </si>
  <si>
    <t>D.  PhilHealth Section:</t>
  </si>
  <si>
    <t>GENALIN TOLEDO</t>
  </si>
  <si>
    <t>125</t>
  </si>
  <si>
    <t>MA. TERESA SARNO</t>
  </si>
  <si>
    <t xml:space="preserve">Administrative Assistant I (Computer Operator I) </t>
  </si>
  <si>
    <t>124</t>
  </si>
  <si>
    <t>C. Payroll Section</t>
  </si>
  <si>
    <t>MA. MADELEINE Q. SAVILLO</t>
  </si>
  <si>
    <t>123</t>
  </si>
  <si>
    <t>MARISSA C. RATO *</t>
  </si>
  <si>
    <t>Credit Officer I</t>
  </si>
  <si>
    <t>122</t>
  </si>
  <si>
    <t>B. Billing  Section:</t>
  </si>
  <si>
    <t>JANNIS N. MIRANDA</t>
  </si>
  <si>
    <t xml:space="preserve">Bookbinder II </t>
  </si>
  <si>
    <t>121</t>
  </si>
  <si>
    <t>CIRELA P. VILLAFLOR</t>
  </si>
  <si>
    <t>120</t>
  </si>
  <si>
    <t>JUDE FRETZIE S. AGPANGAN</t>
  </si>
  <si>
    <t>119</t>
  </si>
  <si>
    <t>A.  Accounting and  Budget Section:</t>
  </si>
  <si>
    <t xml:space="preserve">BERNADETTE S. BINGHAY, CPA </t>
  </si>
  <si>
    <t>Management and Audit Analyst IV</t>
  </si>
  <si>
    <t>118</t>
  </si>
  <si>
    <t>IV.  FINANCE DIVISION:</t>
  </si>
  <si>
    <r>
      <t xml:space="preserve">Page       </t>
    </r>
    <r>
      <rPr>
        <u/>
        <sz val="8"/>
        <rFont val="Arial Narrow"/>
        <family val="2"/>
      </rPr>
      <t xml:space="preserve">  5   </t>
    </r>
    <r>
      <rPr>
        <sz val="8"/>
        <rFont val="Arial Narrow"/>
        <family val="2"/>
      </rPr>
      <t xml:space="preserve">      of      </t>
    </r>
    <r>
      <rPr>
        <u/>
        <sz val="8"/>
        <rFont val="Arial Narrow"/>
        <family val="2"/>
      </rPr>
      <t xml:space="preserve">  6 </t>
    </r>
    <r>
      <rPr>
        <sz val="8"/>
        <rFont val="Arial Narrow"/>
        <family val="2"/>
      </rPr>
      <t xml:space="preserve">      page(s)</t>
    </r>
  </si>
  <si>
    <t xml:space="preserve"> *** To retire on 04/29/22</t>
  </si>
  <si>
    <t xml:space="preserve"> ** To retire on 12/06/21</t>
  </si>
  <si>
    <t xml:space="preserve"> * Retitled from Nursing Attendant per SP Ord 21-05</t>
  </si>
  <si>
    <t>AIDA RUBI O. LIM ***</t>
  </si>
  <si>
    <t>Nutritionist - Dietitian III</t>
  </si>
  <si>
    <t>117</t>
  </si>
  <si>
    <t>D. Dietary Section:</t>
  </si>
  <si>
    <t>MARIA BLESSEL MAE B. SILOY</t>
  </si>
  <si>
    <t>116</t>
  </si>
  <si>
    <t>MAYLEN P. SAMSON</t>
  </si>
  <si>
    <t>115</t>
  </si>
  <si>
    <t>CYNTHIA H. MARCELLANA</t>
  </si>
  <si>
    <t>114</t>
  </si>
  <si>
    <t>CAROLYNE D. PORTUGUEZ</t>
  </si>
  <si>
    <t>Pharmacist II</t>
  </si>
  <si>
    <t>113</t>
  </si>
  <si>
    <t>C. Pharmacy Section:</t>
  </si>
  <si>
    <t>SUSAN A. JOROLAN</t>
  </si>
  <si>
    <t>Medical Equipment Technician I</t>
  </si>
  <si>
    <t>112</t>
  </si>
  <si>
    <t>ARNOLD T. HILAY</t>
  </si>
  <si>
    <t>Medical Equipment Technician III</t>
  </si>
  <si>
    <t>111</t>
  </si>
  <si>
    <t>EMERSON L. UNDALOK</t>
  </si>
  <si>
    <t xml:space="preserve">Radiologic Technologist I </t>
  </si>
  <si>
    <t>110</t>
  </si>
  <si>
    <t>CORINNE LOUISE D. ZAPANTA</t>
  </si>
  <si>
    <t>109</t>
  </si>
  <si>
    <t>AILENE M. FERRAREN</t>
  </si>
  <si>
    <t>Radiologic Technologist I</t>
  </si>
  <si>
    <t>108</t>
  </si>
  <si>
    <t>B. Radiology Section:</t>
  </si>
  <si>
    <t>IMEE A. CRUZ</t>
  </si>
  <si>
    <t xml:space="preserve">Laboratory Aide II </t>
  </si>
  <si>
    <t>107</t>
  </si>
  <si>
    <t>JENNY R. CAWIT</t>
  </si>
  <si>
    <t>106</t>
  </si>
  <si>
    <t>JANICE L. VILLARANTE</t>
  </si>
  <si>
    <t>105</t>
  </si>
  <si>
    <t>DAN L. RIGOR</t>
  </si>
  <si>
    <t>104</t>
  </si>
  <si>
    <t>MA. GINA R. DEBULGADO</t>
  </si>
  <si>
    <t>103</t>
  </si>
  <si>
    <t>AMIE C. PUERTILLANO **</t>
  </si>
  <si>
    <t>Medical Technologist III</t>
  </si>
  <si>
    <t>102</t>
  </si>
  <si>
    <t>A.  Laboratory Section:</t>
  </si>
  <si>
    <t>III.  MEDICAL ANCILLARY SERVICES DIVISION:</t>
  </si>
  <si>
    <t>101</t>
  </si>
  <si>
    <t>RHODORA L. ALIPIO</t>
  </si>
  <si>
    <t>100</t>
  </si>
  <si>
    <t>ANABELLA L. APOSTOL</t>
  </si>
  <si>
    <t>99</t>
  </si>
  <si>
    <t>MA. CORA C. BOLEDO</t>
  </si>
  <si>
    <t>98</t>
  </si>
  <si>
    <t>MA. ELENA SARNO</t>
  </si>
  <si>
    <t>Nursing Attendant I *</t>
  </si>
  <si>
    <t>97</t>
  </si>
  <si>
    <t>ANABELLE DE GUZMAN</t>
  </si>
  <si>
    <t>96</t>
  </si>
  <si>
    <t>DEVY D. RAMIREZ</t>
  </si>
  <si>
    <t>Nursing Attendant I</t>
  </si>
  <si>
    <t>95</t>
  </si>
  <si>
    <t>GRACE C. GUARIN</t>
  </si>
  <si>
    <t xml:space="preserve">Nursing Attendant I </t>
  </si>
  <si>
    <t>94</t>
  </si>
  <si>
    <t>ZOSIMA C. DOMO</t>
  </si>
  <si>
    <t>93</t>
  </si>
  <si>
    <r>
      <t xml:space="preserve">Page       </t>
    </r>
    <r>
      <rPr>
        <u/>
        <sz val="8"/>
        <rFont val="Arial Narrow"/>
        <family val="2"/>
      </rPr>
      <t xml:space="preserve">  4   </t>
    </r>
    <r>
      <rPr>
        <sz val="8"/>
        <rFont val="Arial Narrow"/>
        <family val="2"/>
      </rPr>
      <t xml:space="preserve">      of      </t>
    </r>
    <r>
      <rPr>
        <u/>
        <sz val="8"/>
        <rFont val="Arial Narrow"/>
        <family val="2"/>
      </rPr>
      <t xml:space="preserve">  6 </t>
    </r>
    <r>
      <rPr>
        <sz val="8"/>
        <rFont val="Arial Narrow"/>
        <family val="2"/>
      </rPr>
      <t xml:space="preserve">      page(s)</t>
    </r>
  </si>
  <si>
    <t>FLORA L. BARINQUE</t>
  </si>
  <si>
    <t>92</t>
  </si>
  <si>
    <t>IMELDA P. OCA</t>
  </si>
  <si>
    <t>91</t>
  </si>
  <si>
    <t>JUDITHA S. CLARIDO</t>
  </si>
  <si>
    <t>90</t>
  </si>
  <si>
    <t>MA. ALOHA ZENAIDA Q. SERION</t>
  </si>
  <si>
    <t>89</t>
  </si>
  <si>
    <t>CAROLINA N. RATO</t>
  </si>
  <si>
    <t>Nursing Attendant</t>
  </si>
  <si>
    <t>88</t>
  </si>
  <si>
    <t>DYNARIZA B. HEMIDA</t>
  </si>
  <si>
    <t>87</t>
  </si>
  <si>
    <t>RICHELA C. PANUNCIAR</t>
  </si>
  <si>
    <t>RONIE C. BARBECHO</t>
  </si>
  <si>
    <t>JUDILYN B. DELA TORRE</t>
  </si>
  <si>
    <t>JUNALYN B. ALVARADO</t>
  </si>
  <si>
    <t>MARIALENA P. ALVAREZ</t>
  </si>
  <si>
    <t>EVANGELINE G. ALEGRE</t>
  </si>
  <si>
    <t>CRISPINA S. AGUANTA</t>
  </si>
  <si>
    <t>ROQUE JAY V. BROCE</t>
  </si>
  <si>
    <t>EMILINE N. PEÑALOSA</t>
  </si>
  <si>
    <t>DAPHNIE H. BARTE</t>
  </si>
  <si>
    <t>LAURA L. TARROSA</t>
  </si>
  <si>
    <t>DONNA BELLA B. KYAMKO</t>
  </si>
  <si>
    <t>NURSING ATTENDANTS SERVICES SECTION-</t>
  </si>
  <si>
    <t>Health Education and Promotion Officer I</t>
  </si>
  <si>
    <t>PUBLIC HEALTH SERVICES UNIT-</t>
  </si>
  <si>
    <t>Nurse I</t>
  </si>
  <si>
    <t>KYLE JUSTINE C. EJERCITO</t>
  </si>
  <si>
    <t>VON IAN REY C. ANCENO</t>
  </si>
  <si>
    <t>RUBIE JESSICA A. SENADOR</t>
  </si>
  <si>
    <t>RIZLE C. ARAÑEZ</t>
  </si>
  <si>
    <t>AIZALYN M. VISITACION</t>
  </si>
  <si>
    <t>NONNEL JOHN B. REYES</t>
  </si>
  <si>
    <t>JEMELO ANTON A. IGNACIO</t>
  </si>
  <si>
    <t>JOSEPH T. BAGUIORO</t>
  </si>
  <si>
    <t>JOHN CARLO N. DELIMA</t>
  </si>
  <si>
    <t>MARIA LOURDES ANNA B. REPETILLO</t>
  </si>
  <si>
    <t>MARIA GEOVANNA C. DEMETRIA</t>
  </si>
  <si>
    <t>GAILE ANN EULA F. BAHINTING</t>
  </si>
  <si>
    <t>JOANNA MARIE L. NAVARRO</t>
  </si>
  <si>
    <r>
      <t xml:space="preserve">Page       </t>
    </r>
    <r>
      <rPr>
        <u/>
        <sz val="8"/>
        <rFont val="Arial Narrow"/>
        <family val="2"/>
      </rPr>
      <t xml:space="preserve">  3   </t>
    </r>
    <r>
      <rPr>
        <sz val="8"/>
        <rFont val="Arial Narrow"/>
        <family val="2"/>
      </rPr>
      <t xml:space="preserve">      of      </t>
    </r>
    <r>
      <rPr>
        <u/>
        <sz val="8"/>
        <rFont val="Arial Narrow"/>
        <family val="2"/>
      </rPr>
      <t xml:space="preserve">  6 </t>
    </r>
    <r>
      <rPr>
        <sz val="8"/>
        <rFont val="Arial Narrow"/>
        <family val="2"/>
      </rPr>
      <t xml:space="preserve">      page(s)</t>
    </r>
  </si>
  <si>
    <t>JERRY GLENN M. BAGACAY, JR.</t>
  </si>
  <si>
    <t>MARICEL C. ABADIES</t>
  </si>
  <si>
    <t>CLINT P. SUPANGAN</t>
  </si>
  <si>
    <t>CIELO NATALIE C. IZQUIERDO</t>
  </si>
  <si>
    <t>MERIAM CANDY A. CASTILO</t>
  </si>
  <si>
    <t>LLEANA LORELIE C. EJERCITO</t>
  </si>
  <si>
    <t>GIOVANNI B. BORJA, JR.</t>
  </si>
  <si>
    <t>JENNY ANN S. ALIBANGO</t>
  </si>
  <si>
    <t>JOSE LEMUEL G. LARLAR</t>
  </si>
  <si>
    <t>MARIA PEACHY VIVIENNE H. GONZALES</t>
  </si>
  <si>
    <t>GWEN K. DELUBIO</t>
  </si>
  <si>
    <t>GERLYN P. PARO</t>
  </si>
  <si>
    <t>JAZTINE MARIE S. RABACAL</t>
  </si>
  <si>
    <t>EMILRICA B. ANIÑON</t>
  </si>
  <si>
    <t>MARVIN N. CABERTE</t>
  </si>
  <si>
    <t>YOLLY LORRAINE B. YUSAY</t>
  </si>
  <si>
    <t>JUDILYN N. PELOTENIA</t>
  </si>
  <si>
    <t>MARY ANN F. COMBATE</t>
  </si>
  <si>
    <t>FRANCINE B. TRINIDAD</t>
  </si>
  <si>
    <t>PLACIDO S. ALCANO, JR.</t>
  </si>
  <si>
    <t>MARIA GERTIE H. MONTECLARO</t>
  </si>
  <si>
    <t>GUILLAN L. BUHAT</t>
  </si>
  <si>
    <t>ANA ISABEL S. DINGCONG</t>
  </si>
  <si>
    <t>JACQUELINE G. SOLIDARIOS</t>
  </si>
  <si>
    <t>JENIE LYN S. AVENIDO</t>
  </si>
  <si>
    <t>SUSANA C. RIGOR</t>
  </si>
  <si>
    <t>JOLANIE S. DESPI</t>
  </si>
  <si>
    <t>WANDEZA P. VARGAS</t>
  </si>
  <si>
    <t>DINAH S. BUENAOBRA</t>
  </si>
  <si>
    <t>MEIJI S. ALGARME</t>
  </si>
  <si>
    <t>CHARITO  D. HIBIONADA</t>
  </si>
  <si>
    <t>MARY MADIOLYN C. BUHAT</t>
  </si>
  <si>
    <t>ELMIRA M. MALABO</t>
  </si>
  <si>
    <t xml:space="preserve">II.  NURSING SERVICES DIVISION:  </t>
  </si>
  <si>
    <t>DENTAL SERVICES -</t>
  </si>
  <si>
    <r>
      <t xml:space="preserve">Page       </t>
    </r>
    <r>
      <rPr>
        <u/>
        <sz val="8"/>
        <rFont val="Arial Narrow"/>
        <family val="2"/>
      </rPr>
      <t xml:space="preserve">  2   </t>
    </r>
    <r>
      <rPr>
        <sz val="8"/>
        <rFont val="Arial Narrow"/>
        <family val="2"/>
      </rPr>
      <t xml:space="preserve">      of      </t>
    </r>
    <r>
      <rPr>
        <u/>
        <sz val="8"/>
        <rFont val="Arial Narrow"/>
        <family val="2"/>
      </rPr>
      <t xml:space="preserve">  6 </t>
    </r>
    <r>
      <rPr>
        <sz val="8"/>
        <rFont val="Arial Narrow"/>
        <family val="2"/>
      </rPr>
      <t xml:space="preserve">      page(s)</t>
    </r>
  </si>
  <si>
    <t xml:space="preserve"> **Downgraded from MS IV  26/6 per SP Ord 21-05</t>
  </si>
  <si>
    <t xml:space="preserve"> * To retire on 07/02/22</t>
  </si>
  <si>
    <t>DR. MA. CECILIA P. CORRALES</t>
  </si>
  <si>
    <t>DR. RACHEL P. AMODIA</t>
  </si>
  <si>
    <t>DR. RONOEL GENE S. FLORA</t>
  </si>
  <si>
    <t>DR. JOSE MARIA L. PEREZ, JR.</t>
  </si>
  <si>
    <t>DR. JANE GAZELLE C. GARCIA</t>
  </si>
  <si>
    <t>DR. VIRGILIO F. TAN, JR.</t>
  </si>
  <si>
    <t>DR. MARIA FE  T. LEONORAS</t>
  </si>
  <si>
    <t>Medical Specialist II **</t>
  </si>
  <si>
    <t>Medical Specialist II</t>
  </si>
  <si>
    <t>JULIE ANNE L. MATEO</t>
  </si>
  <si>
    <t>DR. ALEROSE L. GIDOR</t>
  </si>
  <si>
    <t>DR. JOANNE MAE J. VILLANUEVA</t>
  </si>
  <si>
    <t>DR. GLORIA A. HORCASITAS</t>
  </si>
  <si>
    <t>DR. WILMIA T. ENTIA</t>
  </si>
  <si>
    <t>DR. ELEANOR G. DIAPANA</t>
  </si>
  <si>
    <t>DR. HELEN JEAN M. DIOLA</t>
  </si>
  <si>
    <t>DR. PRIMO ARCHIE A. ESLEYER</t>
  </si>
  <si>
    <t>DR. ALEJANDRO MANUEL SJ. CRUZ</t>
  </si>
  <si>
    <t>DR. FERDINAND G. DALISAY</t>
  </si>
  <si>
    <t>DR. JEN ANNE T. YANG</t>
  </si>
  <si>
    <t>DR. RICHARD S. DEQUILLA</t>
  </si>
  <si>
    <t>DR. LEO GIL A. TUPAS</t>
  </si>
  <si>
    <t>DR. LORENZO F. CABALFIN, JR.</t>
  </si>
  <si>
    <t>DR. RENAN E. SANCHEZ</t>
  </si>
  <si>
    <t>DR. ETHEL D. TANCINCO</t>
  </si>
  <si>
    <t>Medical Specialist IV</t>
  </si>
  <si>
    <t>DR. DENNIS B. DUEÑAS</t>
  </si>
  <si>
    <t>DR. JULIUS P. NARDO *</t>
  </si>
  <si>
    <t>I.  MEDICAL AND SURGICAL SERVICES DIVISION:</t>
  </si>
  <si>
    <t>DR. ARCHILLES A. PONFERRADA</t>
  </si>
  <si>
    <t>SAN CARLOS CITY HOSPITAL</t>
  </si>
  <si>
    <r>
      <t xml:space="preserve">Page       </t>
    </r>
    <r>
      <rPr>
        <u/>
        <sz val="8"/>
        <rFont val="Arial Narrow"/>
        <family val="2"/>
      </rPr>
      <t xml:space="preserve">  1   </t>
    </r>
    <r>
      <rPr>
        <sz val="8"/>
        <rFont val="Arial Narrow"/>
        <family val="2"/>
      </rPr>
      <t xml:space="preserve">      of      </t>
    </r>
    <r>
      <rPr>
        <u/>
        <sz val="8"/>
        <rFont val="Arial Narrow"/>
        <family val="2"/>
      </rPr>
      <t xml:space="preserve">  6 </t>
    </r>
    <r>
      <rPr>
        <sz val="8"/>
        <rFont val="Arial Narrow"/>
        <family val="2"/>
      </rPr>
      <t xml:space="preserve">      page(s)</t>
    </r>
  </si>
  <si>
    <t xml:space="preserve">     Medical Specialist II/OIC-City Hospital</t>
  </si>
  <si>
    <t xml:space="preserve">     DR. MARY GENEVIEVE G. MONTAÑO</t>
  </si>
  <si>
    <t>Various Capital Outlays</t>
  </si>
  <si>
    <t>Information and Technology Equipment</t>
  </si>
  <si>
    <t>OMOE - (Eclaims, Philheath)</t>
  </si>
  <si>
    <t>(Housekeeping)</t>
  </si>
  <si>
    <t>Other Maintenance &amp; Operating Expenses (Linens)</t>
  </si>
  <si>
    <t xml:space="preserve">Repairs &amp; Maintenance - Other Machinery &amp; Equipment </t>
  </si>
  <si>
    <t>5-02-13-050(14)</t>
  </si>
  <si>
    <t>Scientific Equipments</t>
  </si>
  <si>
    <t>5-02-13-050(11-02)</t>
  </si>
  <si>
    <t>Medical Equipment (Miscellaneous)</t>
  </si>
  <si>
    <t>5-02-13-050(11-01)</t>
  </si>
  <si>
    <t>Medical Equipment (X-ray)</t>
  </si>
  <si>
    <t>Medical Equipment</t>
  </si>
  <si>
    <t>(Communication Equipment)</t>
  </si>
  <si>
    <t>Repairs &amp; Maintenance - Buildings and Other Structures</t>
  </si>
  <si>
    <t>5-02-03-990(01)</t>
  </si>
  <si>
    <t>5-02-03-080(07)</t>
  </si>
  <si>
    <t>(CT Scan, Ultrasound, X-RAY)</t>
  </si>
  <si>
    <t xml:space="preserve">Medical, Dental, &amp; Laboratory Supplies Expenses </t>
  </si>
  <si>
    <t>5-02-03-080(06)</t>
  </si>
  <si>
    <t>(Laboratory Outsource)</t>
  </si>
  <si>
    <t>5-02-03-080(05)</t>
  </si>
  <si>
    <t>Medical, Dental, &amp; Laboratory Supplies Expenses (EKG)</t>
  </si>
  <si>
    <t>5-02-03-080(04)</t>
  </si>
  <si>
    <t>Medical, Dental, &amp; Laboratory Supplies Expenses (Dental)</t>
  </si>
  <si>
    <t>Page       2     of    2  Page(s)</t>
  </si>
  <si>
    <t>5-02-03-080(03)</t>
  </si>
  <si>
    <t>Medical, Dental, &amp; Laboratory Supplies Expenses (X-ray)</t>
  </si>
  <si>
    <t>5-02-03-080(02)</t>
  </si>
  <si>
    <t>Medical, Dental, &amp; Laboratory Supplies Expenses (Laboratory)</t>
  </si>
  <si>
    <t>5-02-03-080(01)</t>
  </si>
  <si>
    <t>Medical, Dental, &amp; Laboratory Supplies Expenses (Oxygen)</t>
  </si>
  <si>
    <t>Drugs and Medicines</t>
  </si>
  <si>
    <t>Food Supplies Expenses (Medicare Meals)</t>
  </si>
  <si>
    <t>5-02-01-010(01)</t>
  </si>
  <si>
    <t>Traveling Expenses- Local (Ambulance)</t>
  </si>
  <si>
    <t>5-01-04-990(08)</t>
  </si>
  <si>
    <t>Other Personnel Benefits (Medico Legal)</t>
  </si>
  <si>
    <t>OFFICE : CITY HOSPITAL - 4421</t>
  </si>
  <si>
    <t>Page       1     of    2  Page(s)</t>
  </si>
  <si>
    <t>5-02-13-050-99</t>
  </si>
  <si>
    <t>MedicalEquipment (Miscellaneous)</t>
  </si>
  <si>
    <t>MedicalEquipment (X-ray)</t>
  </si>
  <si>
    <t>MedicalEquipment</t>
  </si>
  <si>
    <t>5-02-03-080(7)</t>
  </si>
  <si>
    <t>5-02-03-080(6)</t>
  </si>
  <si>
    <t>5-02-03-080(5)</t>
  </si>
  <si>
    <t>5-02-03-080(4)</t>
  </si>
  <si>
    <t>5-02-03-080(3)</t>
  </si>
  <si>
    <t>5-02-03-080(2)</t>
  </si>
  <si>
    <t>5-02-03-010(1)</t>
  </si>
  <si>
    <t>5-02-01-010(1)</t>
  </si>
  <si>
    <t>AUGMENTATION</t>
  </si>
  <si>
    <t>(IT Equipment )</t>
  </si>
  <si>
    <r>
      <rPr>
        <sz val="12"/>
        <rFont val="Arial Narrow"/>
        <family val="2"/>
      </rPr>
      <t xml:space="preserve">OFFICE </t>
    </r>
    <r>
      <rPr>
        <b/>
        <sz val="12"/>
        <rFont val="Arial Narrow"/>
        <family val="2"/>
      </rPr>
      <t>: CITY ENGINEERING DEPARTMENT (OFFICE OF THE BUILDING OFFICIAL) - 8753</t>
    </r>
  </si>
  <si>
    <t xml:space="preserve">         City Mayor</t>
  </si>
  <si>
    <t xml:space="preserve">              Ctiy Budget Officer</t>
  </si>
  <si>
    <t xml:space="preserve">          President - SCCCAWAI</t>
  </si>
  <si>
    <t xml:space="preserve">   SANDRA LUZ B. BRIONES</t>
  </si>
  <si>
    <t xml:space="preserve">Prepared by:                                                              </t>
  </si>
  <si>
    <t>Equipment Motor Vehicles</t>
  </si>
  <si>
    <t xml:space="preserve">Repair and Maintenance - Transportation </t>
  </si>
  <si>
    <t>HINOLAN</t>
  </si>
  <si>
    <t>Fuel, Oil, and Lubricants</t>
  </si>
  <si>
    <t xml:space="preserve">            San Carlos City Children and Women's Affairs Program</t>
  </si>
  <si>
    <t>OFFICE: CITY MAYOR'S OFFICE</t>
  </si>
  <si>
    <t>Secrtariat - SCCADAC</t>
  </si>
  <si>
    <t>Offce Supplies Expenses</t>
  </si>
  <si>
    <t xml:space="preserve">            San Carlos City Anti-drug Abuse Council</t>
  </si>
  <si>
    <t>Local Youth Development Officer I</t>
  </si>
  <si>
    <t xml:space="preserve">     RENZIE MAE B. TAMBASEN</t>
  </si>
  <si>
    <t>Other Supplies and Maaterials Expense</t>
  </si>
  <si>
    <t xml:space="preserve">                San Carlos City Youth Welfare and Development Program</t>
  </si>
  <si>
    <t>PESO In-charge/CETC</t>
  </si>
  <si>
    <t xml:space="preserve">     EREL E. LIM</t>
  </si>
  <si>
    <t>Info. And Communication Technology Equipment</t>
  </si>
  <si>
    <t xml:space="preserve">Repair and Maintenance - Machinery &amp; Equipment </t>
  </si>
  <si>
    <t xml:space="preserve">                Employment Program Implementation Thru PESO</t>
  </si>
  <si>
    <t xml:space="preserve">         OIC - City Sports Office</t>
  </si>
  <si>
    <t xml:space="preserve">           Executive Assistant IV</t>
  </si>
  <si>
    <t xml:space="preserve">                City Sports Office</t>
  </si>
  <si>
    <t xml:space="preserve">        OIC - City Tourism Office</t>
  </si>
  <si>
    <t xml:space="preserve">       Tourism Operations Officer I</t>
  </si>
  <si>
    <t xml:space="preserve">          JENNIFER S. PARAN</t>
  </si>
  <si>
    <t>5-02-12-110</t>
  </si>
  <si>
    <t>OLD AMOUNT</t>
  </si>
  <si>
    <t>MAISOG</t>
  </si>
  <si>
    <t>Cable, Satellite, Telegraph and Radio Expenses</t>
  </si>
  <si>
    <t xml:space="preserve">                Tourism Promotion and Cultural Development Office</t>
  </si>
  <si>
    <t xml:space="preserve">        ILDEFONSO C. REYES</t>
  </si>
  <si>
    <r>
      <t>Office Supplies Expenses</t>
    </r>
    <r>
      <rPr>
        <sz val="7"/>
        <rFont val="Arial Narrow"/>
        <family val="2"/>
      </rPr>
      <t xml:space="preserve"> </t>
    </r>
    <r>
      <rPr>
        <sz val="9"/>
        <rFont val="Arial Narrow"/>
        <family val="2"/>
      </rPr>
      <t>(Computer Supplies and Accessories)</t>
    </r>
  </si>
  <si>
    <t xml:space="preserve">                City Scholarship Program for Honor Graduates</t>
  </si>
  <si>
    <t xml:space="preserve">                 City Scholarship Program for Teachers</t>
  </si>
  <si>
    <t xml:space="preserve">                 Financial Assistance to Graduate Scholars (FOR LICENSURE AND BOARD EXAMINATION)</t>
  </si>
  <si>
    <t xml:space="preserve">          HHRO I</t>
  </si>
  <si>
    <t xml:space="preserve">                 San Carlos Integrated Housing Authority (SCIHA)</t>
  </si>
  <si>
    <t xml:space="preserve">    Information Officer II</t>
  </si>
  <si>
    <t>Cable, Sattelite, Telegraph and Radio Expenses</t>
  </si>
  <si>
    <t xml:space="preserve">                 Public Information Office</t>
  </si>
  <si>
    <t>Supervising CDS/In-charge of Office</t>
  </si>
  <si>
    <t xml:space="preserve">     RAYMUND B. GEPITULAN</t>
  </si>
  <si>
    <t>Other Maintenance &amp; Operating Expenses (OMOE)</t>
  </si>
  <si>
    <t xml:space="preserve">                 Cooperatives and Livelihood Development Office</t>
  </si>
  <si>
    <t xml:space="preserve">  Liga President</t>
  </si>
  <si>
    <t>RONALDO T. BATUSIN</t>
  </si>
  <si>
    <t xml:space="preserve">                  ABC Federation Fund</t>
  </si>
  <si>
    <t>OFFICES: CITY MAYOR'S OFFICE</t>
  </si>
  <si>
    <t xml:space="preserve"> Liga President</t>
  </si>
  <si>
    <t>ANTHONY WEE</t>
  </si>
  <si>
    <t xml:space="preserve">                ABC Federation Fund - Barangay Tanod</t>
  </si>
  <si>
    <t xml:space="preserve">                 ABC Federation Fund - Katarungang Pambarangay</t>
  </si>
  <si>
    <t xml:space="preserve">                     PSO I</t>
  </si>
  <si>
    <t xml:space="preserve">       PSO I</t>
  </si>
  <si>
    <t xml:space="preserve">          ERLINDA A. CANOY</t>
  </si>
  <si>
    <t xml:space="preserve">          Prepared by:                                                              </t>
  </si>
  <si>
    <t>Repair and Maintenance - Other Property, Plant, and Equipment</t>
  </si>
  <si>
    <t>Repair and Maintenance - Furnitures and Fixtures</t>
  </si>
  <si>
    <t>Repair and Maintenance - Building and Other Structures</t>
  </si>
  <si>
    <t>GUSTILO</t>
  </si>
  <si>
    <t>CARMONA</t>
  </si>
  <si>
    <t xml:space="preserve">                 Consuelo Community Center</t>
  </si>
  <si>
    <t xml:space="preserve">     Internal Audit I</t>
  </si>
  <si>
    <t xml:space="preserve">                 Internal Audit Service</t>
  </si>
  <si>
    <t>Cahirman, Appraisal Committee</t>
  </si>
  <si>
    <t xml:space="preserve">           City Assessor </t>
  </si>
  <si>
    <t xml:space="preserve">       JAMES R. SILVA, REA</t>
  </si>
  <si>
    <t xml:space="preserve">                OSCAR S. LIMPIO</t>
  </si>
  <si>
    <t xml:space="preserve">                 San Carlos City Appraisal Committee</t>
  </si>
  <si>
    <t xml:space="preserve">       Licensing Officer IV</t>
  </si>
  <si>
    <t xml:space="preserve">                   Business Permit and Licensing Office (BPLO)</t>
  </si>
  <si>
    <t xml:space="preserve">     PLEB Secretary</t>
  </si>
  <si>
    <t>BARBARA A. CAMPO</t>
  </si>
  <si>
    <t xml:space="preserve">                 People's Law Enforcement Board (PLEB)</t>
  </si>
  <si>
    <t>.</t>
  </si>
  <si>
    <t xml:space="preserve">     Supply Officer IV</t>
  </si>
  <si>
    <t>Postage and Deliveries</t>
  </si>
  <si>
    <t xml:space="preserve">                BAC Secretariat and Procurement Division</t>
  </si>
  <si>
    <t xml:space="preserve">     Records Officer II</t>
  </si>
  <si>
    <t>LUZVIZMINDA V. PORQUEZ</t>
  </si>
  <si>
    <t xml:space="preserve">                 ADHOC Investigating Committee</t>
  </si>
  <si>
    <t xml:space="preserve"> City Social Welfare &amp; Dev't. Officer                                                    </t>
  </si>
  <si>
    <t xml:space="preserve">      CYNTHIA A. MIRANDE                                                           </t>
  </si>
  <si>
    <t xml:space="preserve">                Committee on Decorum and Investigation (CODI)</t>
  </si>
  <si>
    <t>Records Officer II (Reassigned)</t>
  </si>
  <si>
    <t xml:space="preserve">     HAYDEE S. APAYLA</t>
  </si>
  <si>
    <t xml:space="preserve">                Peace and Order Fund</t>
  </si>
  <si>
    <t xml:space="preserve">     JOSEPH A. BINGHAY</t>
  </si>
  <si>
    <t>Taxes, Duties and Licenses</t>
  </si>
  <si>
    <t>Repair and Maintenance - Transportation Equipments</t>
  </si>
  <si>
    <t>ONG</t>
  </si>
  <si>
    <t xml:space="preserve">                 Information Technology &amp; Computer Services Office (ITCSO)</t>
  </si>
  <si>
    <t xml:space="preserve">   Assistant City Engineer</t>
  </si>
  <si>
    <t>RONALD R. MONTEBON</t>
  </si>
  <si>
    <t>HIDALGO</t>
  </si>
  <si>
    <t xml:space="preserve">                 Task Force Right of Way</t>
  </si>
  <si>
    <t xml:space="preserve">  LET/Administration</t>
  </si>
  <si>
    <t xml:space="preserve">    Admin. Officer II</t>
  </si>
  <si>
    <t xml:space="preserve">ROMEO R. SAAVEDRA </t>
  </si>
  <si>
    <t xml:space="preserve">                 Law Enforcement Team</t>
  </si>
  <si>
    <t xml:space="preserve">          Focal Person - SCCHCAC</t>
  </si>
  <si>
    <t xml:space="preserve">  OIC - People's Park Management Office</t>
  </si>
  <si>
    <t>ARCHILLES A. PONFERRADA,MD,RN,MPA</t>
  </si>
  <si>
    <t>Repair and Maintenance - Buildings and Other Structures</t>
  </si>
  <si>
    <t>Generation, Transmission and Distribution Expenses</t>
  </si>
  <si>
    <t xml:space="preserve">                 People's Park Management Office</t>
  </si>
  <si>
    <t xml:space="preserve">     Security Agent II</t>
  </si>
  <si>
    <t>SONNY BOY BERNUS</t>
  </si>
  <si>
    <t xml:space="preserve">                 Office of the Traffic Management Authority</t>
  </si>
  <si>
    <t xml:space="preserve">            City Gov't. Dept. Head I</t>
  </si>
  <si>
    <t>ATTY. MA. CHAT H. DELIMA-CORDERO</t>
  </si>
  <si>
    <t xml:space="preserve">                Local Government Integrity Circles Network (LOGIC Network Project)</t>
  </si>
  <si>
    <t xml:space="preserve">                 Partnership for Integrity and Jobs (Project I4J) and</t>
  </si>
  <si>
    <t>Investment Promotion Center</t>
  </si>
  <si>
    <t>Local Economic Investment Promotion Officer</t>
  </si>
  <si>
    <t>VALMAYOR</t>
  </si>
  <si>
    <t xml:space="preserve">                 Negosyo Center - San Carlos City Investment Promotion Center</t>
  </si>
  <si>
    <t>PAST</t>
  </si>
  <si>
    <t xml:space="preserve">                Anti-Covid 19 Program</t>
  </si>
  <si>
    <r>
      <rPr>
        <i/>
        <sz val="10"/>
        <rFont val="Arial Narrow"/>
        <family val="2"/>
      </rPr>
      <t xml:space="preserve">Province./City/Municipality </t>
    </r>
    <r>
      <rPr>
        <sz val="10"/>
        <rFont val="Arial Narrow"/>
        <family val="2"/>
      </rPr>
      <t>:     San Carlos City, Negros Occidental</t>
    </r>
  </si>
  <si>
    <t xml:space="preserve">     CSWD Officer</t>
  </si>
  <si>
    <t>CYNTHIA A. MIRANDE</t>
  </si>
  <si>
    <t>Subsidy to NGO'S/PO'S</t>
  </si>
  <si>
    <t>5-02-053020</t>
  </si>
  <si>
    <t>Honoraria (OSCA HEAD)</t>
  </si>
  <si>
    <t xml:space="preserve">                Office of Senior Citizens Affairs (OSCA/PST)</t>
  </si>
  <si>
    <t>OFFICE: CITY SOCIAL WELFARE AND DEVELOPMENT OFFICE</t>
  </si>
  <si>
    <t xml:space="preserve">                Operation of Guidance, Women &amp; Children Crisis Center</t>
  </si>
  <si>
    <t xml:space="preserve">                Implementation of Medium Development Goals (Sustainable Development Goals)</t>
  </si>
  <si>
    <t xml:space="preserve">                Continuing Implementation of Pantawid Pamilya (4P's)  </t>
  </si>
  <si>
    <t xml:space="preserve">                Operation of City Inter-Agency Council Against Trafficking Violence Against Women and their Children (CIACAT-VAWC) </t>
  </si>
  <si>
    <t xml:space="preserve">                Operation of the Curfew Center for Minors</t>
  </si>
  <si>
    <t>Maintenance &amp; Other Operating Expenses:</t>
  </si>
  <si>
    <t>5-01-02-100(03)</t>
  </si>
  <si>
    <t>Honoraria (32 BNS)</t>
  </si>
  <si>
    <t>Personal Services:</t>
  </si>
  <si>
    <t xml:space="preserve">                San Carlos City Nutrition Council Program</t>
  </si>
  <si>
    <t>5-01-02-100(02)</t>
  </si>
  <si>
    <t>Honoraria (62 DCW'S)</t>
  </si>
  <si>
    <t xml:space="preserve">                Country Program for Children (Including ECDP)</t>
  </si>
  <si>
    <t>Inetenet Subscription Expenses</t>
  </si>
  <si>
    <t xml:space="preserve">           Office of Persons with Disability (PWD)</t>
  </si>
  <si>
    <r>
      <rPr>
        <i/>
        <sz val="10"/>
        <rFont val="Arial Narrow"/>
        <family val="2"/>
      </rPr>
      <t xml:space="preserve">Province/City/Municipality </t>
    </r>
    <r>
      <rPr>
        <sz val="10"/>
        <rFont val="Arial Narrow"/>
        <family val="2"/>
      </rPr>
      <t>:   San Carlos City, Negros Occidental</t>
    </r>
  </si>
  <si>
    <t xml:space="preserve">                  Operation of GAD Council  </t>
  </si>
  <si>
    <t>OFFICES: CITY SOCIAL WELFARE AND DEVELOPMENT OFFICE</t>
  </si>
  <si>
    <t xml:space="preserve">                Operation of the Local Council for the Protection of Children (LCPC/SSS)</t>
  </si>
  <si>
    <t xml:space="preserve">            ruling on Mandana's - Garcia cases.</t>
  </si>
  <si>
    <t xml:space="preserve">          Full Implementation, Monitoring &amp; Evaluation of Devolved Programs &amp; Projects under Supreme Court</t>
  </si>
  <si>
    <t>Repair and Maintenance Buildings &amp; Other Structures</t>
  </si>
  <si>
    <t>Repair and Maintenance - Infrastructure Assets</t>
  </si>
  <si>
    <t>OFFICE : CITY ENGINEERING DEPARTMENT (PARKS AND PLAZAS)  - 6544</t>
  </si>
  <si>
    <t>Page       1     of        1 Page</t>
  </si>
  <si>
    <t xml:space="preserve">     Computer Operator II</t>
  </si>
  <si>
    <t>Economic Services</t>
  </si>
  <si>
    <t>(8000)</t>
  </si>
  <si>
    <t>Social Services</t>
  </si>
  <si>
    <t>(3000)</t>
  </si>
  <si>
    <t>Development Fund:</t>
  </si>
  <si>
    <t>5-02-14-060(02)</t>
  </si>
  <si>
    <t>City Waterworks Department</t>
  </si>
  <si>
    <t>5-02-14-060(03)</t>
  </si>
  <si>
    <t>Public Market &amp; Slaughterhouse</t>
  </si>
  <si>
    <t>5-02-14-060(01)</t>
  </si>
  <si>
    <t>City Hospital</t>
  </si>
  <si>
    <t>5-02-14-030(03)</t>
  </si>
  <si>
    <t xml:space="preserve">Brgy's.San Juan, Ermita, Brgy. IV </t>
  </si>
  <si>
    <t>Services</t>
  </si>
  <si>
    <t>(1000)</t>
  </si>
  <si>
    <t>Aid to Three most depressed</t>
  </si>
  <si>
    <t>General Public</t>
  </si>
  <si>
    <t>Subsidy to Local Government Units</t>
  </si>
  <si>
    <t>5-02-14-030(02)</t>
  </si>
  <si>
    <t xml:space="preserve">Aid to Eighteen(18) Barangays </t>
  </si>
  <si>
    <t>5-02-14-030(01)</t>
  </si>
  <si>
    <t>@ 2,000.00 each</t>
  </si>
  <si>
    <t>MIDYEAR</t>
  </si>
  <si>
    <t>DIFFERENCE (MID-YEAR &amp; 15TH MONTH)</t>
  </si>
  <si>
    <t>Aid to Barangay:</t>
  </si>
  <si>
    <t>SECTOR</t>
  </si>
  <si>
    <t>REF.</t>
  </si>
  <si>
    <t>Program, Activity, and Project</t>
  </si>
  <si>
    <t xml:space="preserve">AIP </t>
  </si>
  <si>
    <t>SPECIAL PURPOSE APPROPRIATION</t>
  </si>
  <si>
    <t>Page       1     of    1  Page(s)</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</si>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</sst>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_)"/>
    <numFmt numFmtId="165" formatCode="_(* #,##0_);_(* \(#,##0\);_(* &quot;-&quot;??_);_(@_)"/>
    <numFmt numFmtId="166" formatCode="#,##0.000_);\(#,##0.000\)"/>
  </numFmts>
  <fonts count="17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2"/>
      <name val="Helv"/>
      <charset val="134"/>
    </font>
    <font>
      <sz val="10"/>
      <name val="Calibri"/>
      <family val="2"/>
    </font>
    <font>
      <sz val="10"/>
      <name val="Arial"/>
      <family val="2"/>
    </font>
    <font>
      <sz val="10"/>
      <name val="Arial"/>
      <charset val="134"/>
    </font>
    <font>
      <sz val="8"/>
      <name val="Arial"/>
      <family val="2"/>
    </font>
    <font>
      <sz val="10"/>
      <name val="Arial Narrow"/>
      <family val="2"/>
    </font>
    <font>
      <b/>
      <sz val="10"/>
      <color theme="0"/>
      <name val="Calibri"/>
      <family val="2"/>
      <scheme val="minor"/>
    </font>
    <font>
      <b/>
      <sz val="10"/>
      <color theme="0"/>
      <name val="Calibri"/>
      <family val="2"/>
    </font>
    <font>
      <sz val="9"/>
      <name val="Calibri"/>
      <family val="2"/>
    </font>
    <font>
      <b/>
      <sz val="9"/>
      <name val="Calibri"/>
      <family val="2"/>
    </font>
    <font>
      <b/>
      <sz val="10"/>
      <name val="Calibri"/>
      <family val="2"/>
    </font>
    <font>
      <b/>
      <u/>
      <sz val="10"/>
      <name val="Calibri"/>
      <family val="2"/>
    </font>
    <font>
      <sz val="8"/>
      <name val="Calibri"/>
      <family val="2"/>
    </font>
    <font>
      <b/>
      <sz val="12"/>
      <name val="Calibri"/>
      <family val="2"/>
    </font>
    <font>
      <i/>
      <sz val="10"/>
      <name val="Calibri"/>
      <family val="2"/>
    </font>
    <font>
      <b/>
      <sz val="14"/>
      <name val="Calibri"/>
      <family val="2"/>
    </font>
    <font>
      <i/>
      <sz val="8"/>
      <name val="Calibri"/>
      <family val="2"/>
    </font>
    <font>
      <i/>
      <sz val="10"/>
      <name val="Arial Narrow"/>
      <family val="2"/>
    </font>
    <font>
      <i/>
      <sz val="8"/>
      <name val="Arial Narrow"/>
      <family val="2"/>
    </font>
    <font>
      <b/>
      <sz val="10"/>
      <name val="Arial Narrow"/>
      <family val="2"/>
    </font>
    <font>
      <b/>
      <sz val="9"/>
      <name val="Arial Narrow"/>
      <family val="2"/>
    </font>
    <font>
      <b/>
      <sz val="9.5"/>
      <name val="Arial Narrow"/>
      <family val="2"/>
    </font>
    <font>
      <sz val="8"/>
      <name val="Arial Narrow"/>
      <family val="2"/>
    </font>
    <font>
      <sz val="8"/>
      <color indexed="8"/>
      <name val="Arial Narrow"/>
      <family val="2"/>
    </font>
    <font>
      <b/>
      <sz val="8"/>
      <name val="Arial Narrow"/>
      <family val="2"/>
    </font>
    <font>
      <sz val="7"/>
      <name val="Arial Narrow"/>
      <family val="2"/>
    </font>
    <font>
      <sz val="9"/>
      <name val="Arial Narrow"/>
      <family val="2"/>
    </font>
    <font>
      <sz val="12"/>
      <name val="Arial Narrow"/>
      <family val="2"/>
    </font>
    <font>
      <b/>
      <sz val="7"/>
      <name val="Arial Narrow"/>
      <family val="2"/>
    </font>
    <font>
      <b/>
      <sz val="12"/>
      <color theme="0"/>
      <name val="Calibri"/>
      <family val="2"/>
    </font>
    <font>
      <b/>
      <sz val="10"/>
      <color rgb="FFFF0000"/>
      <name val="Calibri"/>
      <family val="2"/>
    </font>
    <font>
      <sz val="10"/>
      <name val="Calibri"/>
      <family val="2"/>
      <scheme val="minor"/>
    </font>
    <font>
      <sz val="7"/>
      <name val="Calibri"/>
      <family val="2"/>
    </font>
    <font>
      <sz val="9"/>
      <name val="Calibri"/>
      <family val="2"/>
      <scheme val="minor"/>
    </font>
    <font>
      <sz val="6"/>
      <name val="Arial Narrow"/>
      <family val="2"/>
    </font>
    <font>
      <sz val="9"/>
      <color indexed="8"/>
      <name val="Arial Narrow"/>
      <family val="2"/>
    </font>
    <font>
      <b/>
      <i/>
      <sz val="10"/>
      <name val="Arial Narrow"/>
      <family val="2"/>
    </font>
    <font>
      <b/>
      <sz val="12"/>
      <name val="Arial Narrow"/>
      <family val="2"/>
    </font>
    <font>
      <i/>
      <sz val="6"/>
      <name val="Arial Narrow"/>
      <family val="2"/>
    </font>
    <font>
      <i/>
      <sz val="9"/>
      <name val="Arial Narrow"/>
      <family val="2"/>
    </font>
    <font>
      <i/>
      <sz val="11"/>
      <name val="Arial Narrow"/>
      <family val="2"/>
    </font>
    <font>
      <sz val="7"/>
      <color indexed="8"/>
      <name val="Arial Narrow"/>
      <family val="2"/>
    </font>
    <font>
      <b/>
      <sz val="11"/>
      <name val="Arial Narrow"/>
      <family val="2"/>
    </font>
    <font>
      <b/>
      <sz val="11"/>
      <color rgb="FFFF0000"/>
      <name val="Arial Narrow"/>
      <family val="2"/>
    </font>
    <font>
      <sz val="11"/>
      <name val="Arial Narrow"/>
      <family val="2"/>
    </font>
    <font>
      <b/>
      <sz val="6"/>
      <name val="Arial Narrow"/>
      <family val="2"/>
    </font>
    <font>
      <sz val="10"/>
      <color indexed="8"/>
      <name val="Arial Narrow"/>
      <family val="2"/>
    </font>
    <font>
      <i/>
      <sz val="12"/>
      <name val="Arial Narrow"/>
      <family val="2"/>
    </font>
    <font>
      <b/>
      <i/>
      <sz val="10"/>
      <color rgb="FFFF0000"/>
      <name val="Arial Narrow"/>
      <family val="2"/>
    </font>
    <font>
      <b/>
      <sz val="11"/>
      <color theme="0"/>
      <name val="Arial Narrow"/>
      <family val="2"/>
    </font>
    <font>
      <b/>
      <sz val="12"/>
      <color theme="0"/>
      <name val="Arial Narrow"/>
      <family val="2"/>
    </font>
    <font>
      <b/>
      <sz val="10"/>
      <color rgb="FFFF0000"/>
      <name val="Arial Narrow"/>
      <family val="2"/>
    </font>
    <font>
      <i/>
      <sz val="10.5"/>
      <name val="Arial Narrow"/>
      <family val="2"/>
    </font>
    <font>
      <b/>
      <sz val="10.5"/>
      <name val="Arial Narrow"/>
      <family val="2"/>
    </font>
    <font>
      <i/>
      <u/>
      <sz val="12"/>
      <name val="Arial Narrow"/>
      <family val="2"/>
    </font>
    <font>
      <b/>
      <i/>
      <u/>
      <sz val="12"/>
      <name val="Arial Narrow"/>
      <family val="2"/>
    </font>
    <font>
      <b/>
      <u/>
      <sz val="12"/>
      <name val="Arial Narrow"/>
      <family val="2"/>
    </font>
    <font>
      <b/>
      <sz val="14"/>
      <name val="Arial Narrow"/>
      <family val="2"/>
    </font>
    <font>
      <sz val="6"/>
      <name val="Arial"/>
      <family val="2"/>
    </font>
    <font>
      <sz val="9"/>
      <name val="Arial"/>
      <family val="2"/>
    </font>
    <font>
      <b/>
      <sz val="9"/>
      <name val="Arial"/>
      <family val="2"/>
    </font>
    <font>
      <i/>
      <sz val="8"/>
      <name val="Arial"/>
      <family val="2"/>
    </font>
    <font>
      <i/>
      <sz val="6"/>
      <name val="Arial"/>
      <family val="2"/>
    </font>
    <font>
      <b/>
      <sz val="10"/>
      <name val="Arial"/>
      <family val="2"/>
    </font>
    <font>
      <b/>
      <sz val="8"/>
      <name val="Arial"/>
      <family val="2"/>
    </font>
    <font>
      <sz val="7"/>
      <name val="Arial"/>
      <family val="2"/>
    </font>
    <font>
      <i/>
      <sz val="11"/>
      <name val="Arial"/>
      <family val="2"/>
    </font>
    <font>
      <i/>
      <sz val="10"/>
      <name val="Arial"/>
      <family val="2"/>
    </font>
    <font>
      <sz val="12"/>
      <name val="Helv"/>
    </font>
    <font>
      <b/>
      <i/>
      <sz val="10"/>
      <name val="Calibri"/>
      <family val="2"/>
    </font>
    <font>
      <b/>
      <i/>
      <sz val="9"/>
      <name val="Times New Roman"/>
      <family val="1"/>
    </font>
    <font>
      <sz val="12"/>
      <name val="Arial"/>
      <family val="2"/>
    </font>
    <font>
      <sz val="10"/>
      <color indexed="8"/>
      <name val="Arial"/>
      <family val="2"/>
    </font>
    <font>
      <b/>
      <sz val="11"/>
      <color indexed="9"/>
      <name val="Calibri"/>
      <family val="2"/>
    </font>
    <font>
      <b/>
      <sz val="12"/>
      <color indexed="9"/>
      <name val="Calibri"/>
      <family val="2"/>
    </font>
    <font>
      <sz val="9"/>
      <color indexed="8"/>
      <name val="Calibri"/>
      <family val="2"/>
    </font>
    <font>
      <b/>
      <sz val="9"/>
      <color indexed="8"/>
      <name val="Calibri"/>
      <family val="2"/>
    </font>
    <font>
      <b/>
      <sz val="12"/>
      <color indexed="12"/>
      <name val="Calibri"/>
      <family val="2"/>
    </font>
    <font>
      <b/>
      <u/>
      <sz val="9"/>
      <color indexed="8"/>
      <name val="Calibri"/>
      <family val="2"/>
    </font>
    <font>
      <sz val="8"/>
      <color indexed="8"/>
      <name val="Calibri"/>
      <family val="2"/>
    </font>
    <font>
      <b/>
      <sz val="9"/>
      <color theme="1"/>
      <name val="Calibri"/>
      <family val="2"/>
    </font>
    <font>
      <b/>
      <sz val="9"/>
      <color indexed="12"/>
      <name val="Calibri"/>
      <family val="2"/>
    </font>
    <font>
      <sz val="9"/>
      <color indexed="12"/>
      <name val="Calibri"/>
      <family val="2"/>
    </font>
    <font>
      <sz val="10"/>
      <color rgb="FFFF0000"/>
      <name val="Calibri"/>
      <family val="2"/>
    </font>
    <font>
      <b/>
      <u/>
      <sz val="9"/>
      <name val="Calibri"/>
      <family val="2"/>
    </font>
    <font>
      <b/>
      <i/>
      <sz val="11"/>
      <name val="Arial Narrow"/>
      <family val="2"/>
    </font>
    <font>
      <sz val="10"/>
      <color rgb="FFFFFF00"/>
      <name val="Arial Narrow"/>
      <family val="2"/>
    </font>
    <font>
      <b/>
      <sz val="12"/>
      <color rgb="FFFF0000"/>
      <name val="Arial Narrow"/>
      <family val="2"/>
    </font>
    <font>
      <b/>
      <sz val="8"/>
      <name val="Calibri"/>
      <family val="2"/>
    </font>
    <font>
      <b/>
      <sz val="10"/>
      <color indexed="8"/>
      <name val="Calibri"/>
      <family val="2"/>
    </font>
    <font>
      <sz val="10"/>
      <color indexed="8"/>
      <name val="Calibri"/>
      <family val="2"/>
    </font>
    <font>
      <i/>
      <sz val="7"/>
      <name val="Arial Narrow"/>
      <family val="2"/>
    </font>
    <font>
      <sz val="10"/>
      <color rgb="FFFF0000"/>
      <name val="Arial Narrow"/>
      <family val="2"/>
    </font>
    <font>
      <i/>
      <sz val="11"/>
      <color rgb="FFFF0000"/>
      <name val="Arial Narrow"/>
      <family val="2"/>
    </font>
    <font>
      <b/>
      <sz val="10"/>
      <color theme="0"/>
      <name val="Arial Narrow"/>
      <family val="2"/>
    </font>
    <font>
      <i/>
      <sz val="8"/>
      <color rgb="FFFF0000"/>
      <name val="Arial Narrow"/>
      <family val="2"/>
    </font>
    <font>
      <sz val="12"/>
      <name val="Calibri"/>
      <family val="2"/>
    </font>
    <font>
      <i/>
      <sz val="12"/>
      <name val="Calibri"/>
      <family val="2"/>
    </font>
    <font>
      <b/>
      <sz val="11"/>
      <name val="Calibri"/>
      <family val="2"/>
    </font>
    <font>
      <sz val="11"/>
      <color indexed="8"/>
      <name val="Arial Narrow"/>
      <family val="2"/>
    </font>
    <font>
      <sz val="11"/>
      <color indexed="8"/>
      <name val="Calibri"/>
      <family val="2"/>
    </font>
    <font>
      <sz val="11"/>
      <name val="Calibri"/>
      <family val="2"/>
    </font>
    <font>
      <sz val="8"/>
      <color theme="1"/>
      <name val="Arial Narrow"/>
      <family val="2"/>
    </font>
    <font>
      <strike/>
      <sz val="8"/>
      <name val="Arial Narrow"/>
      <family val="2"/>
    </font>
    <font>
      <b/>
      <i/>
      <sz val="8"/>
      <name val="Arial Narrow"/>
      <family val="2"/>
    </font>
    <font>
      <sz val="9"/>
      <color theme="1"/>
      <name val="Arial Narrow"/>
      <family val="2"/>
    </font>
    <font>
      <b/>
      <u/>
      <sz val="10"/>
      <name val="Arial Narrow"/>
      <family val="2"/>
    </font>
    <font>
      <b/>
      <sz val="10"/>
      <name val="Calibri"/>
      <family val="2"/>
      <scheme val="minor"/>
    </font>
    <font>
      <sz val="10"/>
      <color indexed="8"/>
      <name val="Calibri"/>
      <family val="2"/>
      <charset val="134"/>
    </font>
    <font>
      <b/>
      <sz val="8"/>
      <name val="Calibri"/>
      <family val="2"/>
      <scheme val="minor"/>
    </font>
    <font>
      <b/>
      <sz val="18"/>
      <name val="Calibri"/>
      <family val="2"/>
    </font>
    <font>
      <b/>
      <i/>
      <sz val="12"/>
      <name val="Arial Narrow"/>
      <family val="2"/>
    </font>
    <font>
      <b/>
      <sz val="6"/>
      <name val="Calibri"/>
      <family val="2"/>
    </font>
    <font>
      <b/>
      <sz val="7"/>
      <color indexed="8"/>
      <name val="Arial Narrow"/>
      <family val="2"/>
    </font>
    <font>
      <sz val="10"/>
      <name val="Arial"/>
    </font>
    <font>
      <sz val="10"/>
      <name val="Times New Roman"/>
      <family val="1"/>
    </font>
    <font>
      <sz val="10"/>
      <name val="Abadi MT Condensed Light"/>
      <family val="2"/>
    </font>
    <font>
      <sz val="8"/>
      <name val="Abadi MT Condensed Light"/>
      <family val="2"/>
    </font>
    <font>
      <sz val="7"/>
      <name val="Abadi MT Condensed Light"/>
      <family val="2"/>
    </font>
    <font>
      <b/>
      <sz val="14"/>
      <name val="Times New Roman Baltic"/>
      <family val="1"/>
      <charset val="186"/>
    </font>
    <font>
      <b/>
      <sz val="16"/>
      <color indexed="12"/>
      <name val="Arial"/>
      <family val="2"/>
    </font>
    <font>
      <sz val="16"/>
      <name val="Arial"/>
      <family val="2"/>
    </font>
    <font>
      <sz val="14"/>
      <name val="Arial"/>
      <family val="2"/>
    </font>
    <font>
      <b/>
      <sz val="11"/>
      <color rgb="FFC00000"/>
      <name val="Calibri"/>
      <family val="2"/>
      <scheme val="minor"/>
    </font>
    <font>
      <b/>
      <i/>
      <sz val="10"/>
      <color rgb="FFC00000"/>
      <name val="Calibri"/>
      <family val="2"/>
    </font>
    <font>
      <i/>
      <sz val="11"/>
      <name val="Calibri"/>
      <family val="2"/>
    </font>
    <font>
      <b/>
      <i/>
      <sz val="11"/>
      <color rgb="FFC00000"/>
      <name val="Calibri"/>
      <family val="2"/>
    </font>
    <font>
      <b/>
      <sz val="10"/>
      <color rgb="FFC00000"/>
      <name val="Calibri"/>
      <family val="2"/>
    </font>
    <font>
      <b/>
      <sz val="12"/>
      <color rgb="FFC00000"/>
      <name val="Calibri"/>
      <family val="2"/>
    </font>
    <font>
      <sz val="8"/>
      <color theme="1"/>
      <name val="Calibri"/>
      <family val="2"/>
      <scheme val="minor"/>
    </font>
    <font>
      <i/>
      <sz val="9"/>
      <name val="Calibri"/>
      <family val="2"/>
    </font>
    <font>
      <b/>
      <sz val="12"/>
      <color rgb="FFC00000"/>
      <name val="Arial Narrow"/>
      <family val="2"/>
    </font>
    <font>
      <sz val="12"/>
      <color rgb="FFFF0000"/>
      <name val="Arial Narrow"/>
      <family val="2"/>
    </font>
    <font>
      <b/>
      <sz val="9"/>
      <color theme="1"/>
      <name val="Arial Narrow"/>
      <family val="2"/>
    </font>
    <font>
      <b/>
      <sz val="8"/>
      <color indexed="81"/>
      <name val="Tahoma"/>
      <family val="2"/>
    </font>
    <font>
      <sz val="12"/>
      <name val="Times New Roman"/>
      <family val="1"/>
    </font>
    <font>
      <sz val="11"/>
      <name val="Times New Roman"/>
      <family val="1"/>
    </font>
    <font>
      <b/>
      <sz val="9"/>
      <color theme="0"/>
      <name val="Arial Narrow"/>
      <family val="2"/>
    </font>
    <font>
      <sz val="10"/>
      <color indexed="9"/>
      <name val="Arial Narrow"/>
      <family val="2"/>
    </font>
    <font>
      <b/>
      <sz val="10"/>
      <color indexed="9"/>
      <name val="Arial Narrow"/>
      <family val="2"/>
    </font>
    <font>
      <b/>
      <sz val="12"/>
      <name val="Times New Roman"/>
      <family val="1"/>
    </font>
    <font>
      <sz val="10"/>
      <color indexed="12"/>
      <name val="Arial Narrow"/>
      <family val="2"/>
    </font>
    <font>
      <u/>
      <sz val="9"/>
      <name val="Arial Narrow"/>
      <family val="2"/>
    </font>
    <font>
      <sz val="9.5"/>
      <name val="Arial Narrow"/>
      <family val="2"/>
    </font>
    <font>
      <b/>
      <sz val="10"/>
      <color indexed="12"/>
      <name val="Arial Narrow"/>
      <family val="2"/>
    </font>
    <font>
      <b/>
      <u/>
      <sz val="9"/>
      <name val="Arial Narrow"/>
      <family val="2"/>
    </font>
    <font>
      <b/>
      <u/>
      <sz val="10"/>
      <color rgb="FFFF0000"/>
      <name val="Arial Narrow"/>
      <family val="2"/>
    </font>
    <font>
      <b/>
      <u/>
      <sz val="14"/>
      <name val="Arial Narrow"/>
      <family val="2"/>
    </font>
    <font>
      <sz val="12"/>
      <color theme="0"/>
      <name val="Arial Narrow"/>
      <family val="2"/>
    </font>
    <font>
      <b/>
      <sz val="10"/>
      <color indexed="81"/>
      <name val="Tahoma"/>
      <family val="2"/>
    </font>
    <font>
      <sz val="10"/>
      <color indexed="81"/>
      <name val="Tahoma"/>
      <family val="2"/>
    </font>
    <font>
      <sz val="10"/>
      <color indexed="17"/>
      <name val="Calibri"/>
      <family val="2"/>
    </font>
    <font>
      <b/>
      <sz val="10"/>
      <color indexed="10"/>
      <name val="Arial Narrow"/>
      <family val="2"/>
    </font>
    <font>
      <u/>
      <sz val="8"/>
      <name val="Arial Narrow"/>
      <family val="2"/>
    </font>
    <font>
      <b/>
      <sz val="10"/>
      <name val="Times New Roman Baltic"/>
      <family val="1"/>
      <charset val="186"/>
    </font>
    <font>
      <b/>
      <sz val="10"/>
      <color indexed="8"/>
      <name val="Arial Narrow"/>
      <family val="2"/>
    </font>
    <font>
      <b/>
      <sz val="10"/>
      <color theme="4" tint="-0.249977111117893"/>
      <name val="Arial Narrow"/>
      <family val="2"/>
    </font>
    <font>
      <sz val="10"/>
      <color indexed="10"/>
      <name val="Arial Narrow"/>
      <family val="2"/>
    </font>
    <font>
      <sz val="10"/>
      <color theme="1"/>
      <name val="Arial Narrow"/>
      <family val="2"/>
    </font>
    <font>
      <sz val="10"/>
      <name val="Arial"/>
      <family val="2"/>
      <charset val="134"/>
    </font>
    <font>
      <b/>
      <sz val="10"/>
      <color theme="1"/>
      <name val="Arial Narrow"/>
      <family val="2"/>
    </font>
    <font>
      <sz val="12"/>
      <name val="Calibri"/>
      <family val="2"/>
      <charset val="134"/>
    </font>
    <font>
      <i/>
      <sz val="10"/>
      <name val="Calibri"/>
      <family val="2"/>
      <charset val="134"/>
    </font>
    <font>
      <sz val="10"/>
      <name val="Calibri"/>
      <family val="2"/>
      <charset val="134"/>
    </font>
    <font>
      <b/>
      <sz val="10"/>
      <name val="Calibri"/>
      <family val="2"/>
      <charset val="134"/>
    </font>
    <font>
      <b/>
      <sz val="8"/>
      <name val="Calibri"/>
      <family val="2"/>
      <charset val="134"/>
    </font>
    <font>
      <sz val="9"/>
      <color rgb="FFFF0000"/>
      <name val="Arial Narrow"/>
      <family val="2"/>
    </font>
    <font>
      <i/>
      <sz val="11"/>
      <color theme="1"/>
      <name val="Calibri"/>
      <family val="2"/>
      <scheme val="minor"/>
    </font>
    <font>
      <i/>
      <sz val="10"/>
      <color theme="1"/>
      <name val="Calibri"/>
      <family val="2"/>
      <scheme val="minor"/>
    </font>
  </fonts>
  <fills count="26">
    <fill>
      <patternFill patternType="none"/>
    </fill>
    <fill>
      <patternFill patternType="gray125"/>
    </fill>
    <fill>
      <patternFill patternType="solid">
        <fgColor theme="9" tint="0.399975585192419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2060"/>
        <bgColor indexed="64"/>
      </patternFill>
    </fill>
    <fill>
      <patternFill patternType="solid">
        <fgColor theme="5" tint="-0.499984740745262"/>
        <bgColor indexed="64"/>
      </patternFill>
    </fill>
    <fill>
      <patternFill patternType="solid">
        <fgColor theme="2" tint="-0.89999084444715716"/>
        <bgColor indexed="64"/>
      </patternFill>
    </fill>
    <fill>
      <patternFill patternType="solid">
        <fgColor rgb="FF003300"/>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0.14996795556505021"/>
        <bgColor indexed="64"/>
      </patternFill>
    </fill>
    <fill>
      <patternFill patternType="solid">
        <fgColor indexed="16"/>
        <bgColor indexed="64"/>
      </patternFill>
    </fill>
    <fill>
      <patternFill patternType="solid">
        <fgColor indexed="58"/>
        <bgColor indexed="64"/>
      </patternFill>
    </fill>
    <fill>
      <patternFill patternType="solid">
        <fgColor rgb="FFFFFF99"/>
        <bgColor indexed="64"/>
      </patternFill>
    </fill>
    <fill>
      <patternFill patternType="solid">
        <fgColor indexed="9"/>
        <bgColor indexed="64"/>
      </patternFill>
    </fill>
    <fill>
      <patternFill patternType="solid">
        <fgColor theme="9" tint="0.39994506668294322"/>
        <bgColor indexed="64"/>
      </patternFill>
    </fill>
    <fill>
      <patternFill patternType="solid">
        <fgColor rgb="FFFFC000"/>
        <bgColor indexed="64"/>
      </patternFill>
    </fill>
    <fill>
      <patternFill patternType="solid">
        <fgColor rgb="FF0070C0"/>
        <bgColor indexed="64"/>
      </patternFill>
    </fill>
    <fill>
      <patternFill patternType="solid">
        <fgColor theme="2" tint="-0.89996032593768116"/>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indexed="42"/>
        <bgColor indexed="64"/>
      </patternFill>
    </fill>
    <fill>
      <patternFill patternType="solid">
        <fgColor indexed="43"/>
        <bgColor indexed="64"/>
      </patternFill>
    </fill>
    <fill>
      <patternFill patternType="solid">
        <fgColor theme="0" tint="-0.14999847407452621"/>
        <bgColor indexed="64"/>
      </patternFill>
    </fill>
  </fills>
  <borders count="79">
    <border>
      <left/>
      <right/>
      <top/>
      <bottom/>
      <diagonal/>
    </border>
    <border>
      <left/>
      <right/>
      <top style="thin">
        <color auto="1"/>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double">
        <color auto="1"/>
      </bottom>
      <diagonal/>
    </border>
    <border>
      <left/>
      <right style="thin">
        <color auto="1"/>
      </right>
      <top/>
      <bottom style="double">
        <color auto="1"/>
      </bottom>
      <diagonal/>
    </border>
    <border>
      <left/>
      <right/>
      <top style="double">
        <color auto="1"/>
      </top>
      <bottom/>
      <diagonal/>
    </border>
    <border>
      <left style="thin">
        <color auto="1"/>
      </left>
      <right/>
      <top/>
      <bottom style="double">
        <color auto="1"/>
      </bottom>
      <diagonal/>
    </border>
    <border>
      <left/>
      <right/>
      <top/>
      <bottom style="double">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double">
        <color indexed="64"/>
      </top>
      <bottom/>
      <diagonal/>
    </border>
    <border>
      <left style="medium">
        <color indexed="64"/>
      </left>
      <right/>
      <top style="double">
        <color indexed="64"/>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s>
  <cellStyleXfs count="72">
    <xf numFmtId="0" fontId="0" fillId="0" borderId="0"/>
    <xf numFmtId="43" fontId="1" fillId="0" borderId="0" applyFont="0" applyFill="0" applyBorder="0" applyAlignment="0" applyProtection="0"/>
    <xf numFmtId="39" fontId="4" fillId="0" borderId="0"/>
    <xf numFmtId="43" fontId="6" fillId="0" borderId="0" applyFont="0" applyFill="0" applyBorder="0" applyAlignment="0" applyProtection="0"/>
    <xf numFmtId="0" fontId="7" fillId="0" borderId="0"/>
    <xf numFmtId="39" fontId="4" fillId="0" borderId="0"/>
    <xf numFmtId="0" fontId="6" fillId="0" borderId="0"/>
    <xf numFmtId="39" fontId="4" fillId="0" borderId="0"/>
    <xf numFmtId="39" fontId="4" fillId="0" borderId="0"/>
    <xf numFmtId="39" fontId="4" fillId="0" borderId="0"/>
    <xf numFmtId="39" fontId="4" fillId="0" borderId="0"/>
    <xf numFmtId="39" fontId="4" fillId="0" borderId="0"/>
    <xf numFmtId="39" fontId="4" fillId="0" borderId="0"/>
    <xf numFmtId="39" fontId="4" fillId="0" borderId="0"/>
    <xf numFmtId="39" fontId="4" fillId="0" borderId="0">
      <alignment vertical="center"/>
    </xf>
    <xf numFmtId="39" fontId="4" fillId="0" borderId="0"/>
    <xf numFmtId="39" fontId="4" fillId="0" borderId="0"/>
    <xf numFmtId="39" fontId="4" fillId="0" borderId="0"/>
    <xf numFmtId="39" fontId="4" fillId="0" borderId="0"/>
    <xf numFmtId="39" fontId="4" fillId="0" borderId="0"/>
    <xf numFmtId="39" fontId="4" fillId="0" borderId="0"/>
    <xf numFmtId="0" fontId="6" fillId="0" borderId="0">
      <alignment vertical="center"/>
    </xf>
    <xf numFmtId="39" fontId="4" fillId="0" borderId="0"/>
    <xf numFmtId="0" fontId="6" fillId="0" borderId="0"/>
    <xf numFmtId="9" fontId="6" fillId="0" borderId="0" applyFont="0" applyFill="0" applyBorder="0" applyAlignment="0" applyProtection="0"/>
    <xf numFmtId="39" fontId="4" fillId="0" borderId="0"/>
    <xf numFmtId="39" fontId="72" fillId="0" borderId="0"/>
    <xf numFmtId="39" fontId="72" fillId="0" borderId="0"/>
    <xf numFmtId="39" fontId="4" fillId="0" borderId="0">
      <alignment vertical="center"/>
    </xf>
    <xf numFmtId="43" fontId="6" fillId="0" borderId="0" applyFont="0" applyFill="0" applyBorder="0" applyAlignment="0" applyProtection="0">
      <alignment vertical="center"/>
    </xf>
    <xf numFmtId="39" fontId="4" fillId="0" borderId="0">
      <alignment vertical="center"/>
    </xf>
    <xf numFmtId="39" fontId="4" fillId="0" borderId="0"/>
    <xf numFmtId="39" fontId="4" fillId="0" borderId="0"/>
    <xf numFmtId="39" fontId="4" fillId="0" borderId="0"/>
    <xf numFmtId="39" fontId="4" fillId="0" borderId="0"/>
    <xf numFmtId="39" fontId="72" fillId="0" borderId="0"/>
    <xf numFmtId="39" fontId="72" fillId="0" borderId="0"/>
    <xf numFmtId="39" fontId="72" fillId="0" borderId="0"/>
    <xf numFmtId="39" fontId="72" fillId="0" borderId="0"/>
    <xf numFmtId="39" fontId="72" fillId="0" borderId="0"/>
    <xf numFmtId="39" fontId="72" fillId="0" borderId="0"/>
    <xf numFmtId="39" fontId="72" fillId="0" borderId="0"/>
    <xf numFmtId="39" fontId="72" fillId="0" borderId="0"/>
    <xf numFmtId="39" fontId="72" fillId="0" borderId="0"/>
    <xf numFmtId="39" fontId="72" fillId="0" borderId="0"/>
    <xf numFmtId="39" fontId="72" fillId="0" borderId="0"/>
    <xf numFmtId="39" fontId="72" fillId="0" borderId="0"/>
    <xf numFmtId="43" fontId="6" fillId="0" borderId="0" applyFont="0" applyFill="0" applyBorder="0" applyAlignment="0" applyProtection="0"/>
    <xf numFmtId="39" fontId="4" fillId="0" borderId="0"/>
    <xf numFmtId="43" fontId="1" fillId="0" borderId="0" applyFont="0" applyFill="0" applyBorder="0" applyAlignment="0" applyProtection="0"/>
    <xf numFmtId="0" fontId="6" fillId="0" borderId="0"/>
    <xf numFmtId="39" fontId="72" fillId="0" borderId="0"/>
    <xf numFmtId="0" fontId="118" fillId="0" borderId="0"/>
    <xf numFmtId="43" fontId="118" fillId="0" borderId="0" applyFont="0" applyFill="0" applyBorder="0" applyAlignment="0" applyProtection="0"/>
    <xf numFmtId="39" fontId="72" fillId="0" borderId="0"/>
    <xf numFmtId="39" fontId="72" fillId="0" borderId="0"/>
    <xf numFmtId="39" fontId="72" fillId="0" borderId="0"/>
    <xf numFmtId="39" fontId="72" fillId="0" borderId="0"/>
    <xf numFmtId="0" fontId="1" fillId="0" borderId="0"/>
    <xf numFmtId="39" fontId="72" fillId="0" borderId="0"/>
    <xf numFmtId="39" fontId="72" fillId="0" borderId="0"/>
    <xf numFmtId="39" fontId="72" fillId="0" borderId="0"/>
    <xf numFmtId="39" fontId="72" fillId="0" borderId="0"/>
    <xf numFmtId="39" fontId="72" fillId="0" borderId="0"/>
    <xf numFmtId="39" fontId="72" fillId="0" borderId="0"/>
    <xf numFmtId="39" fontId="72" fillId="0" borderId="0"/>
    <xf numFmtId="0" fontId="118" fillId="0" borderId="0"/>
    <xf numFmtId="39" fontId="4" fillId="0" borderId="0">
      <alignment vertical="center"/>
    </xf>
    <xf numFmtId="39" fontId="4" fillId="0" borderId="0">
      <alignment vertical="center"/>
    </xf>
    <xf numFmtId="0" fontId="163" fillId="0" borderId="0">
      <alignment vertical="center"/>
    </xf>
    <xf numFmtId="39" fontId="4" fillId="0" borderId="0">
      <alignment vertical="center"/>
    </xf>
    <xf numFmtId="39" fontId="72" fillId="0" borderId="0"/>
  </cellStyleXfs>
  <cellXfs count="5026">
    <xf numFmtId="0" fontId="0" fillId="0" borderId="0" xfId="0"/>
    <xf numFmtId="39" fontId="5" fillId="0" borderId="0" xfId="2" applyFont="1"/>
    <xf numFmtId="39" fontId="5" fillId="0" borderId="0" xfId="2" applyFont="1" applyFill="1" applyBorder="1"/>
    <xf numFmtId="39" fontId="5" fillId="0" borderId="0" xfId="2" applyFont="1" applyFill="1"/>
    <xf numFmtId="39" fontId="5" fillId="0" borderId="0" xfId="2" applyFont="1" applyAlignment="1">
      <alignment horizontal="center"/>
    </xf>
    <xf numFmtId="39" fontId="5" fillId="0" borderId="0" xfId="2" applyFont="1" applyFill="1" applyAlignment="1">
      <alignment horizontal="center"/>
    </xf>
    <xf numFmtId="43" fontId="0" fillId="0" borderId="0" xfId="3" applyFont="1" applyFill="1"/>
    <xf numFmtId="0" fontId="7" fillId="0" borderId="0" xfId="4" applyNumberFormat="1" applyFill="1" applyAlignment="1">
      <alignment horizontal="center"/>
    </xf>
    <xf numFmtId="39" fontId="5" fillId="0" borderId="0" xfId="5" applyFont="1" applyFill="1"/>
    <xf numFmtId="39" fontId="9" fillId="2" borderId="0" xfId="2" applyFont="1" applyFill="1" applyAlignment="1">
      <alignment horizontal="center"/>
    </xf>
    <xf numFmtId="0" fontId="6" fillId="2" borderId="0" xfId="6" quotePrefix="1" applyNumberFormat="1" applyFont="1" applyFill="1" applyAlignment="1">
      <alignment horizontal="center"/>
    </xf>
    <xf numFmtId="39" fontId="9" fillId="3" borderId="0" xfId="2" applyFont="1" applyFill="1" applyAlignment="1">
      <alignment horizontal="center"/>
    </xf>
    <xf numFmtId="0" fontId="6" fillId="3" borderId="0" xfId="6" quotePrefix="1" applyNumberFormat="1" applyFont="1" applyFill="1" applyAlignment="1">
      <alignment horizontal="center"/>
    </xf>
    <xf numFmtId="39" fontId="5" fillId="0" borderId="0" xfId="7" applyFont="1" applyFill="1"/>
    <xf numFmtId="39" fontId="5" fillId="0" borderId="0" xfId="7" applyFont="1"/>
    <xf numFmtId="2" fontId="5" fillId="0" borderId="0" xfId="4" applyNumberFormat="1" applyFont="1" applyProtection="1">
      <protection locked="0"/>
    </xf>
    <xf numFmtId="49" fontId="5" fillId="0" borderId="0" xfId="4" applyNumberFormat="1" applyFont="1" applyAlignment="1" applyProtection="1">
      <alignment horizontal="center"/>
      <protection locked="0"/>
    </xf>
    <xf numFmtId="39" fontId="5" fillId="0" borderId="0" xfId="7" applyFont="1" applyBorder="1"/>
    <xf numFmtId="39" fontId="5" fillId="0" borderId="0" xfId="2" applyFont="1" applyBorder="1"/>
    <xf numFmtId="39" fontId="5" fillId="0" borderId="0" xfId="7" applyFont="1" applyAlignment="1">
      <alignment horizontal="center"/>
    </xf>
    <xf numFmtId="16" fontId="6" fillId="2" borderId="0" xfId="6" quotePrefix="1" applyNumberFormat="1" applyFont="1" applyFill="1" applyAlignment="1">
      <alignment horizontal="center"/>
    </xf>
    <xf numFmtId="16" fontId="6" fillId="3" borderId="0" xfId="6" quotePrefix="1" applyNumberFormat="1" applyFont="1" applyFill="1" applyAlignment="1">
      <alignment horizontal="center"/>
    </xf>
    <xf numFmtId="39" fontId="9" fillId="4" borderId="0" xfId="2" applyFont="1" applyFill="1" applyAlignment="1">
      <alignment horizontal="center"/>
    </xf>
    <xf numFmtId="0" fontId="2" fillId="5" borderId="0" xfId="6" applyNumberFormat="1" applyFont="1" applyFill="1" applyAlignment="1">
      <alignment horizontal="center"/>
    </xf>
    <xf numFmtId="43" fontId="10" fillId="6" borderId="0" xfId="3" applyFont="1" applyFill="1" applyAlignment="1">
      <alignment horizontal="center"/>
    </xf>
    <xf numFmtId="0" fontId="10" fillId="7" borderId="0" xfId="6" applyNumberFormat="1" applyFont="1" applyFill="1" applyAlignment="1">
      <alignment horizontal="center"/>
    </xf>
    <xf numFmtId="39" fontId="11" fillId="0" borderId="0" xfId="7" quotePrefix="1" applyFont="1" applyFill="1" applyAlignment="1">
      <alignment horizontal="center"/>
    </xf>
    <xf numFmtId="39" fontId="5" fillId="0" borderId="0" xfId="2" applyFont="1" applyAlignment="1" applyProtection="1">
      <alignment horizontal="center"/>
      <protection locked="0"/>
    </xf>
    <xf numFmtId="39" fontId="12" fillId="0" borderId="0" xfId="2" applyFont="1"/>
    <xf numFmtId="39" fontId="13" fillId="0" borderId="1" xfId="2" applyFont="1" applyBorder="1"/>
    <xf numFmtId="39" fontId="14" fillId="0" borderId="1" xfId="2" applyFont="1" applyBorder="1" applyAlignment="1" applyProtection="1">
      <alignment horizontal="right"/>
      <protection locked="0"/>
    </xf>
    <xf numFmtId="39" fontId="12" fillId="0" borderId="0" xfId="2" applyFont="1" applyFill="1" applyBorder="1" applyAlignment="1" applyProtection="1">
      <alignment horizontal="center"/>
      <protection locked="0"/>
    </xf>
    <xf numFmtId="39" fontId="14" fillId="0" borderId="0" xfId="2" quotePrefix="1" applyFont="1" applyFill="1" applyBorder="1" applyProtection="1">
      <protection locked="0"/>
    </xf>
    <xf numFmtId="39" fontId="12" fillId="0" borderId="0" xfId="2" applyFont="1" applyBorder="1"/>
    <xf numFmtId="39" fontId="12" fillId="0" borderId="0" xfId="2" applyFont="1" applyBorder="1" applyProtection="1">
      <protection locked="0"/>
    </xf>
    <xf numFmtId="39" fontId="12" fillId="0" borderId="0" xfId="2" applyFont="1" applyBorder="1" applyAlignment="1" applyProtection="1">
      <alignment horizontal="center"/>
      <protection locked="0"/>
    </xf>
    <xf numFmtId="39" fontId="12" fillId="0" borderId="0" xfId="2" applyFont="1" applyBorder="1" applyAlignment="1" applyProtection="1">
      <alignment horizontal="left"/>
      <protection locked="0"/>
    </xf>
    <xf numFmtId="39" fontId="12" fillId="0" borderId="0" xfId="2" applyFont="1" applyBorder="1" applyAlignment="1" applyProtection="1">
      <alignment horizontal="right"/>
      <protection locked="0"/>
    </xf>
    <xf numFmtId="164" fontId="12" fillId="0" borderId="0" xfId="2" applyNumberFormat="1" applyFont="1" applyBorder="1" applyProtection="1">
      <protection locked="0"/>
    </xf>
    <xf numFmtId="39" fontId="14" fillId="0" borderId="0" xfId="2" applyFont="1" applyBorder="1" applyAlignment="1" applyProtection="1">
      <alignment horizontal="right"/>
      <protection locked="0"/>
    </xf>
    <xf numFmtId="39" fontId="14" fillId="0" borderId="0" xfId="2" applyFont="1" applyFill="1" applyBorder="1" applyAlignment="1" applyProtection="1">
      <alignment horizontal="right"/>
      <protection locked="0"/>
    </xf>
    <xf numFmtId="39" fontId="14" fillId="0" borderId="0" xfId="2" applyFont="1" applyFill="1" applyBorder="1" applyAlignment="1" applyProtection="1">
      <alignment horizontal="center"/>
      <protection locked="0"/>
    </xf>
    <xf numFmtId="39" fontId="14" fillId="0" borderId="0" xfId="2" applyFont="1" applyBorder="1" applyAlignment="1" applyProtection="1">
      <alignment horizontal="center"/>
      <protection locked="0"/>
    </xf>
    <xf numFmtId="39" fontId="14" fillId="0" borderId="0" xfId="2" quotePrefix="1" applyFont="1" applyFill="1" applyBorder="1" applyAlignment="1" applyProtection="1">
      <alignment horizontal="center"/>
      <protection locked="0"/>
    </xf>
    <xf numFmtId="39" fontId="14" fillId="0" borderId="0" xfId="2" applyFont="1" applyBorder="1" applyProtection="1">
      <protection locked="0"/>
    </xf>
    <xf numFmtId="39" fontId="14" fillId="0" borderId="0" xfId="2" applyFont="1" applyBorder="1" applyAlignment="1" applyProtection="1">
      <alignment horizontal="left"/>
      <protection locked="0"/>
    </xf>
    <xf numFmtId="164" fontId="14" fillId="0" borderId="0" xfId="2" applyNumberFormat="1" applyFont="1" applyBorder="1" applyProtection="1">
      <protection locked="0"/>
    </xf>
    <xf numFmtId="39" fontId="5" fillId="0" borderId="0" xfId="2" applyFont="1" applyAlignment="1">
      <alignment horizontal="right"/>
    </xf>
    <xf numFmtId="39" fontId="14" fillId="0" borderId="2" xfId="2" applyFont="1" applyFill="1" applyBorder="1" applyProtection="1">
      <protection locked="0"/>
    </xf>
    <xf numFmtId="39" fontId="5" fillId="0" borderId="3" xfId="2" applyFont="1" applyFill="1" applyBorder="1"/>
    <xf numFmtId="39" fontId="14" fillId="0" borderId="2" xfId="2" applyFont="1" applyBorder="1" applyProtection="1">
      <protection locked="0"/>
    </xf>
    <xf numFmtId="39" fontId="5" fillId="0" borderId="3" xfId="2" applyFont="1" applyBorder="1"/>
    <xf numFmtId="39" fontId="14" fillId="0" borderId="4" xfId="2" applyFont="1" applyBorder="1" applyAlignment="1" applyProtection="1">
      <alignment horizontal="center"/>
      <protection locked="0"/>
    </xf>
    <xf numFmtId="39" fontId="14" fillId="0" borderId="3" xfId="2" applyFont="1" applyBorder="1" applyAlignment="1" applyProtection="1">
      <alignment horizontal="left"/>
      <protection locked="0"/>
    </xf>
    <xf numFmtId="39" fontId="14" fillId="0" borderId="3" xfId="2" applyFont="1" applyBorder="1" applyAlignment="1" applyProtection="1">
      <alignment horizontal="right"/>
      <protection locked="0"/>
    </xf>
    <xf numFmtId="164" fontId="14" fillId="0" borderId="4" xfId="2" applyNumberFormat="1" applyFont="1" applyBorder="1" applyAlignment="1" applyProtection="1">
      <alignment horizontal="center"/>
      <protection locked="0"/>
    </xf>
    <xf numFmtId="164" fontId="14" fillId="0" borderId="5" xfId="2" applyNumberFormat="1" applyFont="1" applyBorder="1" applyAlignment="1" applyProtection="1">
      <alignment horizontal="center"/>
      <protection locked="0"/>
    </xf>
    <xf numFmtId="39" fontId="5" fillId="0" borderId="6" xfId="2" applyFont="1" applyFill="1" applyBorder="1" applyAlignment="1">
      <alignment horizontal="right"/>
    </xf>
    <xf numFmtId="43" fontId="5" fillId="0" borderId="0" xfId="3" applyFont="1" applyFill="1"/>
    <xf numFmtId="39" fontId="5" fillId="0" borderId="2" xfId="8" applyFont="1" applyBorder="1" applyProtection="1">
      <protection locked="0"/>
    </xf>
    <xf numFmtId="49" fontId="5" fillId="0" borderId="7" xfId="9" quotePrefix="1" applyNumberFormat="1" applyFont="1" applyBorder="1" applyAlignment="1" applyProtection="1">
      <alignment horizontal="center"/>
      <protection locked="0"/>
    </xf>
    <xf numFmtId="43" fontId="5" fillId="0" borderId="8" xfId="3" applyFont="1" applyBorder="1" applyProtection="1">
      <protection locked="0"/>
    </xf>
    <xf numFmtId="39" fontId="12" fillId="0" borderId="2" xfId="2" applyFont="1" applyFill="1" applyBorder="1" applyProtection="1">
      <protection locked="0"/>
    </xf>
    <xf numFmtId="39" fontId="14" fillId="0" borderId="9" xfId="9" applyFont="1" applyBorder="1" applyAlignment="1" applyProtection="1">
      <alignment horizontal="left"/>
      <protection locked="0"/>
    </xf>
    <xf numFmtId="39" fontId="5" fillId="0" borderId="7" xfId="9" applyFont="1" applyBorder="1" applyAlignment="1" applyProtection="1">
      <alignment horizontal="left"/>
    </xf>
    <xf numFmtId="49" fontId="5" fillId="0" borderId="9" xfId="10" quotePrefix="1" applyNumberFormat="1" applyFont="1" applyFill="1" applyBorder="1" applyAlignment="1" applyProtection="1">
      <alignment horizontal="center"/>
      <protection locked="0"/>
    </xf>
    <xf numFmtId="39" fontId="5" fillId="0" borderId="0" xfId="2" applyFont="1" applyFill="1" applyBorder="1" applyAlignment="1">
      <alignment horizontal="right"/>
    </xf>
    <xf numFmtId="39" fontId="5" fillId="0" borderId="9" xfId="8" applyFont="1" applyBorder="1" applyProtection="1">
      <protection locked="0"/>
    </xf>
    <xf numFmtId="43" fontId="5" fillId="0" borderId="7" xfId="3" applyFont="1" applyBorder="1" applyProtection="1">
      <protection locked="0"/>
    </xf>
    <xf numFmtId="39" fontId="12" fillId="0" borderId="9" xfId="2" applyFont="1" applyFill="1" applyBorder="1" applyProtection="1">
      <protection locked="0"/>
    </xf>
    <xf numFmtId="49" fontId="5" fillId="9" borderId="9" xfId="9" quotePrefix="1" applyNumberFormat="1" applyFont="1" applyFill="1" applyBorder="1" applyAlignment="1" applyProtection="1">
      <alignment horizontal="center"/>
      <protection locked="0"/>
    </xf>
    <xf numFmtId="43" fontId="5" fillId="9" borderId="7" xfId="3" applyFont="1" applyFill="1" applyBorder="1" applyProtection="1">
      <protection locked="0"/>
    </xf>
    <xf numFmtId="39" fontId="14" fillId="9" borderId="9" xfId="9" applyFont="1" applyFill="1" applyBorder="1" applyAlignment="1" applyProtection="1">
      <alignment horizontal="left"/>
      <protection locked="0"/>
    </xf>
    <xf numFmtId="39" fontId="5" fillId="9" borderId="0" xfId="9" applyFont="1" applyFill="1" applyBorder="1" applyProtection="1">
      <protection locked="0"/>
    </xf>
    <xf numFmtId="39" fontId="5" fillId="0" borderId="9" xfId="8" applyFont="1" applyFill="1" applyBorder="1" applyProtection="1">
      <protection locked="0"/>
    </xf>
    <xf numFmtId="49" fontId="5" fillId="0" borderId="9" xfId="9" quotePrefix="1" applyNumberFormat="1" applyFont="1" applyFill="1" applyBorder="1" applyAlignment="1" applyProtection="1">
      <alignment horizontal="left"/>
      <protection locked="0"/>
    </xf>
    <xf numFmtId="43" fontId="5" fillId="0" borderId="7" xfId="3" applyFont="1" applyFill="1" applyBorder="1" applyProtection="1">
      <protection locked="0"/>
    </xf>
    <xf numFmtId="49" fontId="5" fillId="0" borderId="9" xfId="9" quotePrefix="1" applyNumberFormat="1" applyFont="1" applyFill="1" applyBorder="1" applyAlignment="1" applyProtection="1">
      <alignment horizontal="center"/>
      <protection locked="0"/>
    </xf>
    <xf numFmtId="39" fontId="14" fillId="0" borderId="9" xfId="9" applyFont="1" applyFill="1" applyBorder="1" applyAlignment="1" applyProtection="1">
      <alignment horizontal="left"/>
      <protection locked="0"/>
    </xf>
    <xf numFmtId="39" fontId="5" fillId="0" borderId="0" xfId="9" applyFont="1" applyFill="1" applyBorder="1" applyProtection="1">
      <protection locked="0"/>
    </xf>
    <xf numFmtId="39" fontId="5" fillId="0" borderId="0" xfId="2" applyFont="1" applyFill="1" applyAlignment="1">
      <alignment horizontal="right"/>
    </xf>
    <xf numFmtId="39" fontId="5" fillId="0" borderId="9" xfId="7" applyFont="1" applyBorder="1" applyProtection="1">
      <protection locked="0"/>
    </xf>
    <xf numFmtId="49" fontId="5" fillId="0" borderId="9" xfId="9" applyNumberFormat="1" applyFont="1" applyBorder="1" applyAlignment="1" applyProtection="1">
      <alignment horizontal="center"/>
      <protection locked="0"/>
    </xf>
    <xf numFmtId="39" fontId="15" fillId="0" borderId="0" xfId="9" applyFont="1" applyBorder="1" applyProtection="1">
      <protection locked="0"/>
    </xf>
    <xf numFmtId="49" fontId="5" fillId="0" borderId="9" xfId="10" applyNumberFormat="1" applyFont="1" applyFill="1" applyBorder="1" applyAlignment="1" applyProtection="1">
      <alignment horizontal="center"/>
      <protection locked="0"/>
    </xf>
    <xf numFmtId="49" fontId="5" fillId="9" borderId="7" xfId="9" quotePrefix="1" applyNumberFormat="1" applyFont="1" applyFill="1" applyBorder="1" applyAlignment="1" applyProtection="1">
      <alignment horizontal="center"/>
      <protection locked="0"/>
    </xf>
    <xf numFmtId="164" fontId="12" fillId="0" borderId="0" xfId="9" applyNumberFormat="1" applyFont="1" applyAlignment="1" applyProtection="1">
      <alignment horizontal="left"/>
      <protection locked="0"/>
    </xf>
    <xf numFmtId="49" fontId="5" fillId="0" borderId="9" xfId="9" quotePrefix="1" applyNumberFormat="1" applyFont="1" applyBorder="1" applyAlignment="1" applyProtection="1">
      <alignment horizontal="center"/>
      <protection locked="0"/>
    </xf>
    <xf numFmtId="39" fontId="5" fillId="0" borderId="0" xfId="9" applyFont="1" applyBorder="1" applyProtection="1">
      <protection locked="0"/>
    </xf>
    <xf numFmtId="39" fontId="14" fillId="0" borderId="9" xfId="9" applyFont="1" applyBorder="1" applyProtection="1">
      <protection locked="0"/>
    </xf>
    <xf numFmtId="39" fontId="5" fillId="0" borderId="7" xfId="9" applyFont="1" applyBorder="1" applyProtection="1">
      <protection locked="0"/>
    </xf>
    <xf numFmtId="39" fontId="13" fillId="0" borderId="9" xfId="9" applyFont="1" applyBorder="1" applyAlignment="1" applyProtection="1">
      <alignment horizontal="left"/>
      <protection locked="0"/>
    </xf>
    <xf numFmtId="164" fontId="5" fillId="0" borderId="0" xfId="9" applyNumberFormat="1" applyFont="1" applyAlignment="1" applyProtection="1">
      <alignment horizontal="left"/>
      <protection locked="0"/>
    </xf>
    <xf numFmtId="39" fontId="5" fillId="0" borderId="9" xfId="9" applyFont="1" applyBorder="1" applyProtection="1">
      <protection locked="0"/>
    </xf>
    <xf numFmtId="39" fontId="15" fillId="0" borderId="7" xfId="9" applyFont="1" applyBorder="1" applyProtection="1">
      <protection locked="0"/>
    </xf>
    <xf numFmtId="164" fontId="15" fillId="0" borderId="0" xfId="9" applyNumberFormat="1" applyFont="1" applyAlignment="1" applyProtection="1">
      <alignment horizontal="left"/>
      <protection locked="0"/>
    </xf>
    <xf numFmtId="49" fontId="5" fillId="0" borderId="7" xfId="9" applyNumberFormat="1" applyFont="1" applyBorder="1" applyAlignment="1" applyProtection="1">
      <alignment horizontal="center"/>
      <protection locked="0"/>
    </xf>
    <xf numFmtId="49" fontId="5" fillId="0" borderId="10" xfId="9" applyNumberFormat="1" applyFont="1" applyBorder="1" applyAlignment="1" applyProtection="1">
      <alignment horizontal="center"/>
      <protection locked="0"/>
    </xf>
    <xf numFmtId="49" fontId="5" fillId="0" borderId="11" xfId="10" quotePrefix="1" applyNumberFormat="1" applyFont="1" applyFill="1" applyBorder="1" applyAlignment="1" applyProtection="1">
      <alignment horizontal="center"/>
      <protection locked="0"/>
    </xf>
    <xf numFmtId="39" fontId="16" fillId="0" borderId="0" xfId="2" applyFont="1" applyAlignment="1">
      <alignment horizontal="center"/>
    </xf>
    <xf numFmtId="39" fontId="14" fillId="3" borderId="0" xfId="10" applyFont="1" applyFill="1"/>
    <xf numFmtId="39" fontId="14" fillId="3" borderId="0" xfId="2" applyFont="1" applyFill="1" applyBorder="1" applyAlignment="1" applyProtection="1">
      <alignment horizontal="center"/>
      <protection locked="0"/>
    </xf>
    <xf numFmtId="39" fontId="14" fillId="0" borderId="0" xfId="10" applyFont="1" applyFill="1" applyBorder="1" applyAlignment="1">
      <alignment horizontal="center"/>
    </xf>
    <xf numFmtId="39" fontId="16" fillId="0" borderId="2" xfId="7" quotePrefix="1" applyFont="1" applyFill="1" applyBorder="1" applyAlignment="1" applyProtection="1">
      <alignment horizontal="center"/>
    </xf>
    <xf numFmtId="39" fontId="16" fillId="0" borderId="8" xfId="7" quotePrefix="1" applyFont="1" applyFill="1" applyBorder="1" applyAlignment="1" applyProtection="1">
      <alignment horizontal="center"/>
    </xf>
    <xf numFmtId="39" fontId="16" fillId="0" borderId="8" xfId="7" quotePrefix="1" applyFont="1" applyBorder="1" applyAlignment="1" applyProtection="1">
      <alignment horizontal="center"/>
    </xf>
    <xf numFmtId="39" fontId="16" fillId="0" borderId="2" xfId="7" quotePrefix="1" applyFont="1" applyBorder="1" applyAlignment="1" applyProtection="1">
      <alignment horizontal="center"/>
    </xf>
    <xf numFmtId="39" fontId="16" fillId="0" borderId="12" xfId="7" quotePrefix="1" applyFont="1" applyBorder="1" applyAlignment="1" applyProtection="1">
      <alignment horizontal="center"/>
    </xf>
    <xf numFmtId="39" fontId="14" fillId="0" borderId="0" xfId="2" applyFont="1" applyFill="1" applyBorder="1" applyAlignment="1">
      <alignment horizontal="center"/>
    </xf>
    <xf numFmtId="39" fontId="5" fillId="0" borderId="7" xfId="7" applyFont="1" applyFill="1" applyBorder="1" applyAlignment="1" applyProtection="1">
      <alignment horizontal="center"/>
    </xf>
    <xf numFmtId="39" fontId="16" fillId="0" borderId="9" xfId="7" applyFont="1" applyFill="1" applyBorder="1" applyAlignment="1" applyProtection="1">
      <alignment horizontal="center"/>
    </xf>
    <xf numFmtId="39" fontId="5" fillId="0" borderId="9" xfId="7" quotePrefix="1" applyFont="1" applyBorder="1" applyAlignment="1" applyProtection="1">
      <alignment horizontal="center"/>
    </xf>
    <xf numFmtId="39" fontId="5" fillId="0" borderId="7" xfId="7" applyFont="1" applyBorder="1" applyAlignment="1" applyProtection="1">
      <alignment horizontal="center"/>
    </xf>
    <xf numFmtId="39" fontId="16" fillId="0" borderId="9" xfId="7" applyFont="1" applyBorder="1" applyAlignment="1" applyProtection="1">
      <alignment horizontal="center"/>
    </xf>
    <xf numFmtId="39" fontId="5" fillId="0" borderId="9" xfId="7" applyFont="1" applyBorder="1" applyAlignment="1" applyProtection="1">
      <alignment horizontal="center"/>
    </xf>
    <xf numFmtId="39" fontId="5" fillId="0" borderId="11" xfId="7" applyFont="1" applyBorder="1" applyAlignment="1" applyProtection="1">
      <alignment horizontal="center"/>
    </xf>
    <xf numFmtId="39" fontId="5" fillId="0" borderId="10" xfId="7" applyFont="1" applyBorder="1" applyAlignment="1" applyProtection="1">
      <alignment horizontal="center"/>
    </xf>
    <xf numFmtId="39" fontId="5" fillId="0" borderId="7" xfId="7" applyFont="1" applyFill="1" applyBorder="1"/>
    <xf numFmtId="39" fontId="5" fillId="0" borderId="7" xfId="7" applyFont="1" applyBorder="1"/>
    <xf numFmtId="39" fontId="5" fillId="0" borderId="10" xfId="7" applyFont="1" applyBorder="1"/>
    <xf numFmtId="39" fontId="5" fillId="0" borderId="9" xfId="7" applyFont="1" applyBorder="1"/>
    <xf numFmtId="39" fontId="5" fillId="0" borderId="7" xfId="7" applyFont="1" applyBorder="1" applyAlignment="1">
      <alignment horizontal="centerContinuous"/>
    </xf>
    <xf numFmtId="39" fontId="5" fillId="0" borderId="10" xfId="7" applyFont="1" applyBorder="1" applyAlignment="1">
      <alignment horizontal="centerContinuous"/>
    </xf>
    <xf numFmtId="39" fontId="5" fillId="0" borderId="14" xfId="7" applyFont="1" applyBorder="1"/>
    <xf numFmtId="39" fontId="5" fillId="0" borderId="11" xfId="7" applyFont="1" applyBorder="1"/>
    <xf numFmtId="39" fontId="5" fillId="0" borderId="13" xfId="7" applyFont="1" applyBorder="1"/>
    <xf numFmtId="39" fontId="5" fillId="0" borderId="0" xfId="2" applyFont="1" applyFill="1" applyAlignment="1" applyProtection="1">
      <alignment horizontal="left"/>
    </xf>
    <xf numFmtId="39" fontId="5" fillId="0" borderId="0" xfId="2" applyFont="1" applyFill="1" applyAlignment="1" applyProtection="1">
      <alignment horizontal="left"/>
      <protection locked="0"/>
    </xf>
    <xf numFmtId="39" fontId="17" fillId="0" borderId="0" xfId="2" applyFont="1" applyFill="1" applyProtection="1">
      <protection locked="0"/>
    </xf>
    <xf numFmtId="39" fontId="5" fillId="0" borderId="0" xfId="2" applyFont="1" applyFill="1" applyAlignment="1">
      <alignment horizontal="centerContinuous"/>
    </xf>
    <xf numFmtId="39" fontId="14" fillId="0" borderId="0" xfId="2" applyFont="1" applyFill="1" applyAlignment="1" applyProtection="1">
      <alignment horizontal="center"/>
      <protection locked="0"/>
    </xf>
    <xf numFmtId="39" fontId="14" fillId="0" borderId="0" xfId="2" applyFont="1" applyFill="1" applyAlignment="1">
      <alignment horizontal="center"/>
    </xf>
    <xf numFmtId="39" fontId="20" fillId="0" borderId="0" xfId="2" applyFont="1" applyAlignment="1" applyProtection="1">
      <alignment horizontal="left"/>
    </xf>
    <xf numFmtId="39" fontId="20" fillId="0" borderId="0" xfId="2" applyFont="1"/>
    <xf numFmtId="39" fontId="9" fillId="0" borderId="0" xfId="2" applyFont="1"/>
    <xf numFmtId="39" fontId="21" fillId="0" borderId="0" xfId="11" applyFont="1"/>
    <xf numFmtId="0" fontId="21" fillId="0" borderId="0" xfId="4" applyFont="1"/>
    <xf numFmtId="39" fontId="21" fillId="0" borderId="0" xfId="11" applyFont="1" applyAlignment="1">
      <alignment horizontal="center"/>
    </xf>
    <xf numFmtId="39" fontId="21" fillId="0" borderId="0" xfId="12" applyFont="1"/>
    <xf numFmtId="39" fontId="23" fillId="0" borderId="0" xfId="12" applyFont="1" applyAlignment="1"/>
    <xf numFmtId="39" fontId="9" fillId="0" borderId="0" xfId="2" applyFont="1" applyAlignment="1" applyProtection="1">
      <alignment horizontal="center"/>
    </xf>
    <xf numFmtId="0" fontId="9" fillId="0" borderId="0" xfId="4" applyFont="1"/>
    <xf numFmtId="39" fontId="24" fillId="0" borderId="0" xfId="2" quotePrefix="1" applyFont="1" applyFill="1" applyAlignment="1">
      <alignment horizontal="center"/>
    </xf>
    <xf numFmtId="39" fontId="24" fillId="10" borderId="0" xfId="2" quotePrefix="1" applyFont="1" applyFill="1" applyAlignment="1">
      <alignment horizontal="center"/>
    </xf>
    <xf numFmtId="39" fontId="25" fillId="0" borderId="15" xfId="2" applyFont="1" applyFill="1" applyBorder="1" applyAlignment="1" applyProtection="1">
      <alignment vertical="center"/>
    </xf>
    <xf numFmtId="39" fontId="25" fillId="0" borderId="15" xfId="2" applyFont="1" applyBorder="1" applyAlignment="1" applyProtection="1">
      <alignment vertical="center"/>
    </xf>
    <xf numFmtId="39" fontId="23" fillId="0" borderId="16" xfId="2" applyFont="1" applyBorder="1" applyAlignment="1">
      <alignment vertical="center"/>
    </xf>
    <xf numFmtId="39" fontId="23" fillId="0" borderId="17" xfId="2" applyFont="1" applyBorder="1" applyAlignment="1" applyProtection="1">
      <alignment vertical="center"/>
    </xf>
    <xf numFmtId="39" fontId="9" fillId="0" borderId="0" xfId="2" applyFont="1" applyBorder="1"/>
    <xf numFmtId="39" fontId="9" fillId="0" borderId="8" xfId="2" applyFont="1" applyFill="1" applyBorder="1" applyProtection="1"/>
    <xf numFmtId="4" fontId="9" fillId="0" borderId="9" xfId="2" applyNumberFormat="1" applyFont="1" applyBorder="1" applyProtection="1"/>
    <xf numFmtId="39" fontId="9" fillId="0" borderId="2" xfId="2" applyFont="1" applyBorder="1" applyProtection="1">
      <protection locked="0"/>
    </xf>
    <xf numFmtId="39" fontId="26" fillId="0" borderId="8" xfId="2" quotePrefix="1" applyFont="1" applyBorder="1" applyAlignment="1" applyProtection="1">
      <alignment horizontal="center"/>
    </xf>
    <xf numFmtId="39" fontId="9" fillId="0" borderId="8" xfId="13" applyFont="1" applyBorder="1"/>
    <xf numFmtId="39" fontId="9" fillId="0" borderId="2" xfId="13" applyFont="1" applyBorder="1"/>
    <xf numFmtId="39" fontId="9" fillId="0" borderId="0" xfId="2" applyFont="1" applyAlignment="1">
      <alignment vertical="center"/>
    </xf>
    <xf numFmtId="39" fontId="9" fillId="0" borderId="0" xfId="2" applyFont="1" applyBorder="1" applyAlignment="1">
      <alignment vertical="center"/>
    </xf>
    <xf numFmtId="39" fontId="9" fillId="0" borderId="7" xfId="2" applyFont="1" applyFill="1" applyBorder="1" applyProtection="1"/>
    <xf numFmtId="39" fontId="9" fillId="9" borderId="7" xfId="2" applyFont="1" applyFill="1" applyBorder="1" applyProtection="1"/>
    <xf numFmtId="2" fontId="9" fillId="9" borderId="7" xfId="3" applyNumberFormat="1" applyFont="1" applyFill="1" applyBorder="1" applyProtection="1"/>
    <xf numFmtId="39" fontId="9" fillId="0" borderId="9" xfId="2" applyFont="1" applyBorder="1" applyProtection="1">
      <protection locked="0"/>
    </xf>
    <xf numFmtId="0" fontId="27" fillId="0" borderId="0" xfId="14" quotePrefix="1" applyNumberFormat="1" applyFont="1" applyFill="1" applyBorder="1" applyAlignment="1" applyProtection="1">
      <alignment horizontal="center"/>
    </xf>
    <xf numFmtId="39" fontId="9" fillId="0" borderId="7" xfId="2" applyFont="1" applyBorder="1"/>
    <xf numFmtId="39" fontId="9" fillId="0" borderId="10" xfId="12" applyFont="1" applyBorder="1" applyAlignment="1" applyProtection="1">
      <alignment horizontal="left"/>
    </xf>
    <xf numFmtId="39" fontId="9" fillId="0" borderId="7" xfId="2" quotePrefix="1" applyFont="1" applyBorder="1"/>
    <xf numFmtId="0" fontId="27" fillId="0" borderId="0" xfId="14" applyNumberFormat="1" applyFont="1" applyFill="1" applyBorder="1" applyAlignment="1" applyProtection="1">
      <alignment horizontal="center"/>
    </xf>
    <xf numFmtId="39" fontId="9" fillId="0" borderId="9" xfId="12" applyFont="1" applyBorder="1" applyAlignment="1" applyProtection="1">
      <alignment horizontal="left"/>
    </xf>
    <xf numFmtId="39" fontId="23" fillId="0" borderId="0" xfId="2" applyFont="1" applyFill="1" applyAlignment="1">
      <alignment horizontal="right"/>
    </xf>
    <xf numFmtId="39" fontId="23" fillId="10" borderId="0" xfId="2" applyFont="1" applyFill="1"/>
    <xf numFmtId="39" fontId="9" fillId="0" borderId="1" xfId="11" applyFont="1" applyBorder="1"/>
    <xf numFmtId="39" fontId="9" fillId="0" borderId="0" xfId="2" applyFont="1" applyAlignment="1">
      <alignment horizontal="right"/>
    </xf>
    <xf numFmtId="39" fontId="9" fillId="0" borderId="0" xfId="11" applyFont="1"/>
    <xf numFmtId="39" fontId="26" fillId="0" borderId="7" xfId="2" applyFont="1" applyBorder="1" applyAlignment="1" applyProtection="1">
      <alignment horizontal="center"/>
    </xf>
    <xf numFmtId="39" fontId="9" fillId="0" borderId="9" xfId="2" applyFont="1" applyBorder="1"/>
    <xf numFmtId="39" fontId="26" fillId="0" borderId="7" xfId="2" quotePrefix="1" applyFont="1" applyBorder="1" applyAlignment="1" applyProtection="1">
      <alignment horizontal="center"/>
    </xf>
    <xf numFmtId="39" fontId="9" fillId="0" borderId="7" xfId="13" applyFont="1" applyBorder="1"/>
    <xf numFmtId="39" fontId="9" fillId="0" borderId="10" xfId="13" applyFont="1" applyBorder="1"/>
    <xf numFmtId="39" fontId="9" fillId="0" borderId="7" xfId="13" applyFont="1" applyBorder="1" applyAlignment="1" applyProtection="1">
      <alignment horizontal="left"/>
    </xf>
    <xf numFmtId="39" fontId="9" fillId="0" borderId="10" xfId="13" applyFont="1" applyBorder="1" applyAlignment="1" applyProtection="1">
      <alignment horizontal="left"/>
    </xf>
    <xf numFmtId="39" fontId="9" fillId="0" borderId="7" xfId="12" applyFont="1" applyBorder="1" applyAlignment="1" applyProtection="1">
      <alignment horizontal="left"/>
    </xf>
    <xf numFmtId="39" fontId="9" fillId="0" borderId="10" xfId="13" quotePrefix="1" applyFont="1" applyBorder="1" applyAlignment="1" applyProtection="1">
      <alignment horizontal="left"/>
    </xf>
    <xf numFmtId="39" fontId="9" fillId="0" borderId="10" xfId="12" applyFont="1" applyBorder="1"/>
    <xf numFmtId="39" fontId="9" fillId="0" borderId="7" xfId="2" applyFont="1" applyFill="1" applyBorder="1" applyAlignment="1" applyProtection="1">
      <alignment vertical="center"/>
    </xf>
    <xf numFmtId="39" fontId="9" fillId="9" borderId="7" xfId="2" applyFont="1" applyFill="1" applyBorder="1" applyAlignment="1" applyProtection="1">
      <alignment vertical="center"/>
    </xf>
    <xf numFmtId="39" fontId="9" fillId="9" borderId="9" xfId="2" applyFont="1" applyFill="1" applyBorder="1" applyAlignment="1" applyProtection="1">
      <alignment vertical="center"/>
    </xf>
    <xf numFmtId="39" fontId="9" fillId="0" borderId="13" xfId="13" applyFont="1" applyBorder="1" applyAlignment="1" applyProtection="1">
      <alignment horizontal="left"/>
    </xf>
    <xf numFmtId="39" fontId="23" fillId="9" borderId="3" xfId="2" applyFont="1" applyFill="1" applyBorder="1" applyAlignment="1" applyProtection="1">
      <alignment vertical="center"/>
    </xf>
    <xf numFmtId="39" fontId="28" fillId="0" borderId="2" xfId="2" applyFont="1" applyBorder="1" applyAlignment="1" applyProtection="1">
      <alignment horizontal="center" vertical="center"/>
    </xf>
    <xf numFmtId="39" fontId="23" fillId="0" borderId="4" xfId="2" applyFont="1" applyBorder="1" applyAlignment="1">
      <alignment vertical="center"/>
    </xf>
    <xf numFmtId="39" fontId="23" fillId="0" borderId="5" xfId="2" applyFont="1" applyBorder="1" applyAlignment="1" applyProtection="1">
      <alignment horizontal="left" vertical="center"/>
    </xf>
    <xf numFmtId="39" fontId="23" fillId="0" borderId="0" xfId="2" applyFont="1" applyBorder="1"/>
    <xf numFmtId="39" fontId="9" fillId="0" borderId="0" xfId="2" applyFont="1" applyBorder="1" applyProtection="1"/>
    <xf numFmtId="4" fontId="9" fillId="0" borderId="7" xfId="12" applyNumberFormat="1" applyFont="1" applyFill="1" applyBorder="1"/>
    <xf numFmtId="4" fontId="9" fillId="0" borderId="7" xfId="10" applyNumberFormat="1" applyFont="1" applyBorder="1" applyProtection="1"/>
    <xf numFmtId="4" fontId="9" fillId="9" borderId="9" xfId="15" applyNumberFormat="1" applyFont="1" applyFill="1" applyBorder="1" applyProtection="1"/>
    <xf numFmtId="39" fontId="9" fillId="0" borderId="7" xfId="2" applyFont="1" applyBorder="1" applyProtection="1">
      <protection locked="0"/>
    </xf>
    <xf numFmtId="39" fontId="26" fillId="0" borderId="2" xfId="12" applyFont="1" applyBorder="1" applyAlignment="1" applyProtection="1">
      <alignment horizontal="center"/>
    </xf>
    <xf numFmtId="39" fontId="9" fillId="0" borderId="9" xfId="7" applyFont="1" applyBorder="1" applyAlignment="1" applyProtection="1">
      <alignment horizontal="left"/>
    </xf>
    <xf numFmtId="39" fontId="23" fillId="0" borderId="0" xfId="2" applyFont="1" applyBorder="1" applyAlignment="1">
      <alignment vertical="center"/>
    </xf>
    <xf numFmtId="39" fontId="23" fillId="0" borderId="1" xfId="2" applyFont="1" applyBorder="1" applyAlignment="1">
      <alignment vertical="center"/>
    </xf>
    <xf numFmtId="39" fontId="9" fillId="0" borderId="0" xfId="2" applyFont="1" applyBorder="1" applyAlignment="1" applyProtection="1">
      <alignment vertical="center"/>
    </xf>
    <xf numFmtId="4" fontId="9" fillId="0" borderId="7" xfId="12" applyNumberFormat="1" applyFont="1" applyBorder="1" applyAlignment="1">
      <alignment vertical="center"/>
    </xf>
    <xf numFmtId="4" fontId="9" fillId="0" borderId="9" xfId="2" applyNumberFormat="1" applyFont="1" applyBorder="1" applyAlignment="1" applyProtection="1">
      <alignment vertical="center"/>
    </xf>
    <xf numFmtId="4" fontId="9" fillId="9" borderId="9" xfId="15" applyNumberFormat="1" applyFont="1" applyFill="1" applyBorder="1" applyAlignment="1" applyProtection="1">
      <alignment vertical="center"/>
    </xf>
    <xf numFmtId="39" fontId="9" fillId="0" borderId="7" xfId="2" applyFont="1" applyBorder="1" applyAlignment="1" applyProtection="1">
      <alignment vertical="center"/>
      <protection locked="0"/>
    </xf>
    <xf numFmtId="39" fontId="26" fillId="0" borderId="9" xfId="12" quotePrefix="1" applyFont="1" applyBorder="1" applyAlignment="1" applyProtection="1">
      <alignment horizontal="center" vertical="center"/>
    </xf>
    <xf numFmtId="39" fontId="9" fillId="0" borderId="10" xfId="7" applyFont="1" applyBorder="1" applyAlignment="1" applyProtection="1">
      <alignment horizontal="left" vertical="center"/>
    </xf>
    <xf numFmtId="39" fontId="9" fillId="0" borderId="0" xfId="13" applyFont="1" applyBorder="1" applyAlignment="1" applyProtection="1">
      <alignment horizontal="left"/>
    </xf>
    <xf numFmtId="39" fontId="26" fillId="0" borderId="9" xfId="12" applyFont="1" applyBorder="1" applyAlignment="1" applyProtection="1">
      <alignment horizontal="center"/>
    </xf>
    <xf numFmtId="4" fontId="9" fillId="0" borderId="7" xfId="10" applyNumberFormat="1" applyFont="1" applyFill="1" applyBorder="1" applyProtection="1"/>
    <xf numFmtId="43" fontId="24" fillId="9" borderId="15" xfId="3" applyFont="1" applyFill="1" applyBorder="1" applyProtection="1"/>
    <xf numFmtId="4" fontId="9" fillId="0" borderId="7" xfId="12" applyNumberFormat="1" applyFont="1" applyFill="1" applyBorder="1" applyProtection="1"/>
    <xf numFmtId="4" fontId="9" fillId="9" borderId="9" xfId="2" applyNumberFormat="1" applyFont="1" applyFill="1" applyBorder="1" applyProtection="1"/>
    <xf numFmtId="39" fontId="26" fillId="0" borderId="9" xfId="12" quotePrefix="1" applyFont="1" applyBorder="1" applyAlignment="1" applyProtection="1">
      <alignment horizontal="center"/>
    </xf>
    <xf numFmtId="43" fontId="30" fillId="9" borderId="9" xfId="3" applyFont="1" applyFill="1" applyBorder="1" applyProtection="1"/>
    <xf numFmtId="39" fontId="23" fillId="0" borderId="10" xfId="12" applyFont="1" applyBorder="1" applyAlignment="1" applyProtection="1">
      <alignment horizontal="left"/>
    </xf>
    <xf numFmtId="43" fontId="24" fillId="9" borderId="9" xfId="3" applyFont="1" applyFill="1" applyBorder="1" applyProtection="1"/>
    <xf numFmtId="4" fontId="9" fillId="9" borderId="7" xfId="3" applyNumberFormat="1" applyFont="1" applyFill="1" applyBorder="1" applyProtection="1"/>
    <xf numFmtId="4" fontId="9" fillId="0" borderId="7" xfId="3" applyNumberFormat="1" applyFont="1" applyFill="1" applyBorder="1" applyProtection="1"/>
    <xf numFmtId="39" fontId="23" fillId="0" borderId="0" xfId="2" applyFont="1" applyFill="1" applyBorder="1" applyAlignment="1">
      <alignment horizontal="center"/>
    </xf>
    <xf numFmtId="39" fontId="23" fillId="0" borderId="0" xfId="2" applyFont="1" applyFill="1" applyBorder="1"/>
    <xf numFmtId="39" fontId="23" fillId="0" borderId="9" xfId="2" applyFont="1" applyBorder="1"/>
    <xf numFmtId="4" fontId="9" fillId="9" borderId="7" xfId="12" applyNumberFormat="1" applyFont="1" applyFill="1" applyBorder="1" applyProtection="1"/>
    <xf numFmtId="39" fontId="9" fillId="0" borderId="0" xfId="12" applyFont="1" applyFill="1" applyBorder="1"/>
    <xf numFmtId="43" fontId="24" fillId="0" borderId="9" xfId="3" applyFont="1" applyBorder="1" applyProtection="1"/>
    <xf numFmtId="39" fontId="9" fillId="0" borderId="0" xfId="2" applyFont="1" applyFill="1" applyBorder="1"/>
    <xf numFmtId="4" fontId="9" fillId="0" borderId="9" xfId="10" applyNumberFormat="1" applyFont="1" applyFill="1" applyBorder="1" applyProtection="1"/>
    <xf numFmtId="4" fontId="9" fillId="9" borderId="9" xfId="12" applyNumberFormat="1" applyFont="1" applyFill="1" applyBorder="1"/>
    <xf numFmtId="4" fontId="9" fillId="0" borderId="7" xfId="12" applyNumberFormat="1" applyFont="1" applyBorder="1"/>
    <xf numFmtId="39" fontId="26" fillId="0" borderId="9" xfId="12" applyFont="1" applyBorder="1" applyAlignment="1">
      <alignment horizontal="center"/>
    </xf>
    <xf numFmtId="39" fontId="23" fillId="0" borderId="10" xfId="12" applyFont="1" applyBorder="1"/>
    <xf numFmtId="39" fontId="23" fillId="0" borderId="0" xfId="2" applyFont="1" applyFill="1"/>
    <xf numFmtId="39" fontId="23" fillId="0" borderId="0" xfId="12" applyFont="1" applyFill="1" applyBorder="1"/>
    <xf numFmtId="4" fontId="9" fillId="0" borderId="7" xfId="3" applyNumberFormat="1" applyFont="1" applyBorder="1" applyProtection="1"/>
    <xf numFmtId="4" fontId="9" fillId="0" borderId="7" xfId="12" applyNumberFormat="1" applyFont="1" applyBorder="1" applyProtection="1"/>
    <xf numFmtId="39" fontId="31" fillId="0" borderId="0" xfId="2" applyFont="1"/>
    <xf numFmtId="39" fontId="9" fillId="0" borderId="9" xfId="3" applyNumberFormat="1" applyFont="1" applyBorder="1" applyProtection="1"/>
    <xf numFmtId="39" fontId="9" fillId="0" borderId="7" xfId="3" applyNumberFormat="1" applyFont="1" applyBorder="1" applyProtection="1"/>
    <xf numFmtId="39" fontId="9" fillId="0" borderId="9" xfId="2" applyFont="1" applyBorder="1" applyProtection="1"/>
    <xf numFmtId="4" fontId="9" fillId="0" borderId="7" xfId="7" applyNumberFormat="1" applyFont="1" applyBorder="1" applyProtection="1"/>
    <xf numFmtId="4" fontId="9" fillId="0" borderId="7" xfId="2" applyNumberFormat="1" applyFont="1" applyBorder="1" applyProtection="1"/>
    <xf numFmtId="43" fontId="31" fillId="0" borderId="9" xfId="3" applyFont="1" applyBorder="1"/>
    <xf numFmtId="4" fontId="9" fillId="0" borderId="9" xfId="2" applyNumberFormat="1" applyFont="1" applyFill="1" applyBorder="1" applyAlignment="1" applyProtection="1">
      <alignment horizontal="fill"/>
    </xf>
    <xf numFmtId="4" fontId="9" fillId="0" borderId="7" xfId="2" applyNumberFormat="1" applyFont="1" applyBorder="1" applyAlignment="1" applyProtection="1">
      <alignment horizontal="fill"/>
    </xf>
    <xf numFmtId="4" fontId="9" fillId="0" borderId="9" xfId="2" applyNumberFormat="1" applyFont="1" applyBorder="1" applyAlignment="1" applyProtection="1">
      <alignment horizontal="fill"/>
    </xf>
    <xf numFmtId="39" fontId="9" fillId="0" borderId="7" xfId="2" applyFont="1" applyBorder="1" applyAlignment="1" applyProtection="1">
      <alignment horizontal="fill"/>
    </xf>
    <xf numFmtId="39" fontId="26" fillId="0" borderId="11" xfId="2" applyFont="1" applyBorder="1" applyAlignment="1" applyProtection="1">
      <alignment horizontal="fill"/>
    </xf>
    <xf numFmtId="39" fontId="9" fillId="0" borderId="18" xfId="2" applyFont="1" applyBorder="1" applyAlignment="1" applyProtection="1">
      <alignment horizontal="fill"/>
    </xf>
    <xf numFmtId="43" fontId="30" fillId="0" borderId="9" xfId="3" applyFont="1" applyBorder="1" applyProtection="1"/>
    <xf numFmtId="39" fontId="24" fillId="0" borderId="2" xfId="2" applyFont="1" applyFill="1" applyBorder="1" applyProtection="1"/>
    <xf numFmtId="39" fontId="28" fillId="0" borderId="9" xfId="2" applyFont="1" applyBorder="1" applyAlignment="1" applyProtection="1">
      <alignment horizontal="center"/>
    </xf>
    <xf numFmtId="39" fontId="23" fillId="0" borderId="7" xfId="2" applyFont="1" applyBorder="1"/>
    <xf numFmtId="39" fontId="23" fillId="0" borderId="12" xfId="2" applyFont="1" applyBorder="1" applyAlignment="1" applyProtection="1">
      <alignment horizontal="left"/>
    </xf>
    <xf numFmtId="39" fontId="23" fillId="0" borderId="11" xfId="2" applyFont="1" applyFill="1" applyBorder="1"/>
    <xf numFmtId="39" fontId="28" fillId="0" borderId="9" xfId="2" applyFont="1" applyBorder="1"/>
    <xf numFmtId="39" fontId="23" fillId="0" borderId="10" xfId="2" applyFont="1" applyBorder="1" applyAlignment="1" applyProtection="1">
      <alignment horizontal="left"/>
    </xf>
    <xf numFmtId="9" fontId="28" fillId="0" borderId="3" xfId="3" quotePrefix="1" applyNumberFormat="1" applyFont="1" applyBorder="1" applyAlignment="1" applyProtection="1">
      <alignment horizontal="center"/>
    </xf>
    <xf numFmtId="0" fontId="26" fillId="0" borderId="2" xfId="4" quotePrefix="1" applyFont="1" applyFill="1" applyBorder="1" applyAlignment="1" applyProtection="1">
      <alignment horizontal="center"/>
    </xf>
    <xf numFmtId="0" fontId="26" fillId="0" borderId="2" xfId="4" quotePrefix="1" applyFont="1" applyBorder="1" applyAlignment="1" applyProtection="1">
      <alignment horizontal="center"/>
    </xf>
    <xf numFmtId="0" fontId="28" fillId="0" borderId="6" xfId="4" applyFont="1" applyBorder="1" applyAlignment="1" applyProtection="1">
      <alignment horizontal="centerContinuous"/>
    </xf>
    <xf numFmtId="0" fontId="28" fillId="0" borderId="2" xfId="4" applyFont="1" applyBorder="1" applyAlignment="1">
      <alignment horizontal="center"/>
    </xf>
    <xf numFmtId="0" fontId="28" fillId="0" borderId="9" xfId="4" applyFont="1" applyBorder="1" applyAlignment="1">
      <alignment horizontal="center"/>
    </xf>
    <xf numFmtId="0" fontId="28" fillId="0" borderId="9" xfId="4" quotePrefix="1" applyFont="1" applyBorder="1" applyAlignment="1">
      <alignment horizontal="center"/>
    </xf>
    <xf numFmtId="0" fontId="32" fillId="0" borderId="9" xfId="4" quotePrefix="1" applyFont="1" applyBorder="1" applyAlignment="1">
      <alignment horizontal="center"/>
    </xf>
    <xf numFmtId="0" fontId="28" fillId="0" borderId="11" xfId="4" applyFont="1" applyFill="1" applyBorder="1" applyAlignment="1">
      <alignment horizontal="center"/>
    </xf>
    <xf numFmtId="0" fontId="28" fillId="0" borderId="11" xfId="4" applyFont="1" applyBorder="1" applyAlignment="1">
      <alignment horizontal="center"/>
    </xf>
    <xf numFmtId="39" fontId="23" fillId="0" borderId="0" xfId="2" applyFont="1" applyProtection="1">
      <protection locked="0"/>
    </xf>
    <xf numFmtId="39" fontId="9" fillId="0" borderId="0" xfId="2" applyFont="1" applyAlignment="1">
      <alignment horizontal="left"/>
    </xf>
    <xf numFmtId="39" fontId="26" fillId="0" borderId="0" xfId="2" applyFont="1"/>
    <xf numFmtId="39" fontId="26" fillId="0" borderId="0" xfId="2" applyFont="1" applyAlignment="1" applyProtection="1">
      <alignment horizontal="left"/>
    </xf>
    <xf numFmtId="39" fontId="22" fillId="0" borderId="0" xfId="2" applyFont="1" applyAlignment="1" applyProtection="1">
      <alignment horizontal="left"/>
    </xf>
    <xf numFmtId="39" fontId="22" fillId="0" borderId="0" xfId="2" applyFont="1"/>
    <xf numFmtId="39" fontId="33" fillId="0" borderId="0" xfId="7" applyFont="1" applyFill="1" applyAlignment="1"/>
    <xf numFmtId="39" fontId="34" fillId="0" borderId="0" xfId="2" quotePrefix="1" applyFont="1" applyFill="1" applyAlignment="1">
      <alignment horizontal="center"/>
    </xf>
    <xf numFmtId="39" fontId="5" fillId="0" borderId="0" xfId="2" applyFont="1" applyProtection="1">
      <protection locked="0"/>
    </xf>
    <xf numFmtId="39" fontId="14" fillId="0" borderId="1" xfId="2" applyFont="1" applyBorder="1"/>
    <xf numFmtId="39" fontId="13" fillId="0" borderId="1" xfId="2" applyFont="1" applyBorder="1" applyAlignment="1" applyProtection="1">
      <alignment horizontal="right"/>
      <protection locked="0"/>
    </xf>
    <xf numFmtId="39" fontId="12" fillId="0" borderId="0" xfId="2" applyFont="1" applyProtection="1">
      <protection locked="0"/>
    </xf>
    <xf numFmtId="39" fontId="5" fillId="0" borderId="0" xfId="2" applyFont="1" applyFill="1" applyProtection="1">
      <protection locked="0"/>
    </xf>
    <xf numFmtId="39" fontId="5" fillId="0" borderId="0" xfId="2" applyFont="1" applyAlignment="1" applyProtection="1">
      <alignment horizontal="left"/>
      <protection locked="0"/>
    </xf>
    <xf numFmtId="39" fontId="5" fillId="0" borderId="0" xfId="2" applyFont="1" applyAlignment="1" applyProtection="1">
      <protection locked="0"/>
    </xf>
    <xf numFmtId="164" fontId="5" fillId="0" borderId="0" xfId="2" applyNumberFormat="1" applyFont="1" applyProtection="1">
      <protection locked="0"/>
    </xf>
    <xf numFmtId="164" fontId="5" fillId="0" borderId="0" xfId="2" applyNumberFormat="1" applyFont="1" applyAlignment="1" applyProtection="1">
      <alignment horizontal="left"/>
      <protection locked="0"/>
    </xf>
    <xf numFmtId="39" fontId="13" fillId="0" borderId="0" xfId="2" applyFont="1" applyBorder="1" applyAlignment="1" applyProtection="1">
      <protection locked="0"/>
    </xf>
    <xf numFmtId="39" fontId="13" fillId="0" borderId="0" xfId="2" applyFont="1" applyBorder="1" applyAlignment="1" applyProtection="1">
      <alignment horizontal="center"/>
      <protection locked="0"/>
    </xf>
    <xf numFmtId="39" fontId="13" fillId="0" borderId="0" xfId="2" applyFont="1" applyBorder="1" applyAlignment="1" applyProtection="1">
      <alignment horizontal="right"/>
      <protection locked="0"/>
    </xf>
    <xf numFmtId="39" fontId="14" fillId="10" borderId="0" xfId="2" applyFont="1" applyFill="1" applyBorder="1" applyAlignment="1" applyProtection="1">
      <alignment horizontal="center"/>
      <protection locked="0"/>
    </xf>
    <xf numFmtId="39" fontId="14" fillId="0" borderId="3" xfId="2" applyFont="1" applyBorder="1" applyProtection="1">
      <protection locked="0"/>
    </xf>
    <xf numFmtId="164" fontId="14" fillId="10" borderId="4" xfId="2" applyNumberFormat="1" applyFont="1" applyFill="1" applyBorder="1" applyAlignment="1" applyProtection="1">
      <alignment horizontal="center"/>
      <protection locked="0"/>
    </xf>
    <xf numFmtId="39" fontId="35" fillId="0" borderId="10" xfId="8" quotePrefix="1" applyFont="1" applyFill="1" applyBorder="1" applyAlignment="1">
      <alignment horizontal="center"/>
    </xf>
    <xf numFmtId="39" fontId="5" fillId="0" borderId="7" xfId="8" applyFont="1" applyBorder="1" applyAlignment="1" applyProtection="1">
      <alignment horizontal="center"/>
      <protection locked="0"/>
    </xf>
    <xf numFmtId="39" fontId="14" fillId="0" borderId="9" xfId="8" applyFont="1" applyBorder="1"/>
    <xf numFmtId="39" fontId="12" fillId="0" borderId="0" xfId="8" applyFont="1" applyBorder="1"/>
    <xf numFmtId="49" fontId="5" fillId="0" borderId="9" xfId="10" quotePrefix="1" applyNumberFormat="1" applyFont="1" applyBorder="1" applyAlignment="1" applyProtection="1">
      <alignment horizontal="center"/>
      <protection locked="0"/>
    </xf>
    <xf numFmtId="39" fontId="35" fillId="0" borderId="10" xfId="8" quotePrefix="1" applyFont="1" applyFill="1" applyBorder="1" applyAlignment="1" applyProtection="1">
      <alignment horizontal="center"/>
      <protection locked="0"/>
    </xf>
    <xf numFmtId="39" fontId="14" fillId="0" borderId="9" xfId="8" applyFont="1" applyBorder="1" applyAlignment="1" applyProtection="1">
      <alignment horizontal="left"/>
      <protection locked="0"/>
    </xf>
    <xf numFmtId="39" fontId="5" fillId="0" borderId="10" xfId="8" applyFont="1" applyBorder="1" applyAlignment="1" applyProtection="1">
      <alignment horizontal="left"/>
      <protection locked="0"/>
    </xf>
    <xf numFmtId="49" fontId="5" fillId="0" borderId="10" xfId="17" applyNumberFormat="1" applyFont="1" applyFill="1" applyBorder="1" applyAlignment="1" applyProtection="1">
      <alignment horizontal="center"/>
      <protection locked="0"/>
    </xf>
    <xf numFmtId="39" fontId="15" fillId="0" borderId="0" xfId="8" applyFont="1" applyBorder="1" applyAlignment="1" applyProtection="1">
      <alignment horizontal="left"/>
      <protection locked="0"/>
    </xf>
    <xf numFmtId="39" fontId="14" fillId="0" borderId="9" xfId="8" applyFont="1" applyBorder="1" applyProtection="1">
      <protection locked="0"/>
    </xf>
    <xf numFmtId="39" fontId="5" fillId="0" borderId="10" xfId="8" quotePrefix="1" applyFont="1" applyFill="1" applyBorder="1" applyAlignment="1" applyProtection="1">
      <alignment horizontal="center"/>
      <protection locked="0"/>
    </xf>
    <xf numFmtId="39" fontId="5" fillId="0" borderId="7" xfId="8" applyFont="1" applyFill="1" applyBorder="1" applyAlignment="1" applyProtection="1">
      <alignment horizontal="center"/>
      <protection locked="0"/>
    </xf>
    <xf numFmtId="39" fontId="5" fillId="0" borderId="0" xfId="8" applyFont="1" applyFill="1" applyBorder="1" applyAlignment="1" applyProtection="1">
      <alignment horizontal="left"/>
    </xf>
    <xf numFmtId="39" fontId="5" fillId="0" borderId="10" xfId="8" applyFont="1" applyBorder="1" applyAlignment="1" applyProtection="1">
      <alignment horizontal="left"/>
    </xf>
    <xf numFmtId="39" fontId="5" fillId="0" borderId="0" xfId="2" applyFont="1" applyFill="1" applyBorder="1" applyAlignment="1">
      <alignment horizontal="center"/>
    </xf>
    <xf numFmtId="39" fontId="37" fillId="0" borderId="10" xfId="8" applyFont="1" applyFill="1" applyBorder="1" applyProtection="1">
      <protection locked="0"/>
    </xf>
    <xf numFmtId="39" fontId="5" fillId="0" borderId="7" xfId="8" applyFont="1" applyBorder="1" applyProtection="1">
      <protection locked="0"/>
    </xf>
    <xf numFmtId="49" fontId="5" fillId="0" borderId="9" xfId="10" applyNumberFormat="1" applyFont="1" applyBorder="1" applyAlignment="1" applyProtection="1">
      <alignment horizontal="center"/>
      <protection locked="0"/>
    </xf>
    <xf numFmtId="39" fontId="5" fillId="0" borderId="10" xfId="8" quotePrefix="1" applyFont="1" applyFill="1" applyBorder="1" applyAlignment="1">
      <alignment horizontal="center"/>
    </xf>
    <xf numFmtId="39" fontId="14" fillId="0" borderId="9" xfId="8" applyFont="1" applyFill="1" applyBorder="1" applyAlignment="1" applyProtection="1">
      <alignment horizontal="left"/>
    </xf>
    <xf numFmtId="39" fontId="14" fillId="0" borderId="9" xfId="8" applyFont="1" applyFill="1" applyBorder="1"/>
    <xf numFmtId="39" fontId="14" fillId="0" borderId="9" xfId="8" applyFont="1" applyFill="1" applyBorder="1" applyAlignment="1" applyProtection="1">
      <alignment horizontal="left"/>
      <protection locked="0"/>
    </xf>
    <xf numFmtId="39" fontId="5" fillId="0" borderId="10" xfId="8" quotePrefix="1" applyFont="1" applyFill="1" applyBorder="1" applyAlignment="1" applyProtection="1">
      <alignment horizontal="center"/>
    </xf>
    <xf numFmtId="39" fontId="14" fillId="0" borderId="9" xfId="8" applyFont="1" applyFill="1" applyBorder="1" applyProtection="1">
      <protection locked="0"/>
    </xf>
    <xf numFmtId="39" fontId="5" fillId="0" borderId="0" xfId="8" applyFont="1" applyFill="1" applyBorder="1" applyAlignment="1" applyProtection="1">
      <alignment horizontal="left"/>
      <protection locked="0"/>
    </xf>
    <xf numFmtId="39" fontId="5" fillId="0" borderId="0" xfId="8" quotePrefix="1" applyFont="1" applyFill="1" applyBorder="1" applyAlignment="1" applyProtection="1">
      <alignment horizontal="center"/>
    </xf>
    <xf numFmtId="39" fontId="5" fillId="0" borderId="10" xfId="8" applyFont="1" applyFill="1" applyBorder="1" applyAlignment="1" applyProtection="1">
      <alignment horizontal="center"/>
    </xf>
    <xf numFmtId="39" fontId="15" fillId="0" borderId="0" xfId="8" applyFont="1" applyFill="1" applyBorder="1" applyAlignment="1" applyProtection="1">
      <alignment horizontal="left"/>
      <protection locked="0"/>
    </xf>
    <xf numFmtId="39" fontId="14" fillId="0" borderId="9" xfId="8" applyFont="1" applyFill="1" applyBorder="1" applyAlignment="1" applyProtection="1"/>
    <xf numFmtId="39" fontId="5" fillId="0" borderId="0" xfId="8" applyFont="1" applyFill="1" applyBorder="1" applyProtection="1">
      <protection locked="0"/>
    </xf>
    <xf numFmtId="39" fontId="5" fillId="0" borderId="10" xfId="8" applyFont="1" applyFill="1" applyBorder="1" applyProtection="1">
      <protection locked="0"/>
    </xf>
    <xf numFmtId="39" fontId="5" fillId="0" borderId="0" xfId="8" applyFont="1" applyBorder="1" applyAlignment="1" applyProtection="1">
      <alignment horizontal="left"/>
      <protection locked="0"/>
    </xf>
    <xf numFmtId="39" fontId="5" fillId="0" borderId="11" xfId="8" applyFont="1" applyBorder="1" applyProtection="1">
      <protection locked="0"/>
    </xf>
    <xf numFmtId="39" fontId="5" fillId="0" borderId="14" xfId="8" quotePrefix="1" applyFont="1" applyFill="1" applyBorder="1" applyAlignment="1" applyProtection="1">
      <alignment horizontal="center"/>
      <protection locked="0"/>
    </xf>
    <xf numFmtId="39" fontId="5" fillId="0" borderId="13" xfId="8" applyFont="1" applyBorder="1" applyAlignment="1" applyProtection="1">
      <alignment horizontal="center"/>
      <protection locked="0"/>
    </xf>
    <xf numFmtId="39" fontId="5" fillId="0" borderId="18" xfId="8" applyFont="1" applyBorder="1" applyAlignment="1" applyProtection="1">
      <alignment horizontal="left"/>
      <protection locked="0"/>
    </xf>
    <xf numFmtId="49" fontId="5" fillId="0" borderId="11" xfId="10" quotePrefix="1" applyNumberFormat="1" applyFont="1" applyBorder="1" applyAlignment="1" applyProtection="1">
      <alignment horizontal="center"/>
      <protection locked="0"/>
    </xf>
    <xf numFmtId="39" fontId="16" fillId="10" borderId="0" xfId="2" applyFont="1" applyFill="1" applyAlignment="1">
      <alignment horizontal="center"/>
    </xf>
    <xf numFmtId="39" fontId="16" fillId="0" borderId="7" xfId="7" quotePrefix="1" applyFont="1" applyFill="1" applyBorder="1" applyAlignment="1" applyProtection="1">
      <alignment horizontal="center"/>
    </xf>
    <xf numFmtId="39" fontId="16" fillId="0" borderId="7" xfId="7" quotePrefix="1" applyFont="1" applyBorder="1" applyAlignment="1" applyProtection="1">
      <alignment horizontal="center"/>
    </xf>
    <xf numFmtId="39" fontId="16" fillId="0" borderId="9" xfId="7" quotePrefix="1" applyFont="1" applyBorder="1" applyAlignment="1" applyProtection="1">
      <alignment horizontal="center"/>
    </xf>
    <xf numFmtId="39" fontId="5" fillId="0" borderId="0" xfId="7" applyFont="1" applyBorder="1" applyAlignment="1" applyProtection="1">
      <alignment horizontal="center"/>
    </xf>
    <xf numFmtId="39" fontId="5" fillId="0" borderId="0" xfId="2" applyFont="1" applyAlignment="1" applyProtection="1">
      <alignment horizontal="left"/>
    </xf>
    <xf numFmtId="39" fontId="17" fillId="0" borderId="0" xfId="2" applyFont="1" applyProtection="1">
      <protection locked="0"/>
    </xf>
    <xf numFmtId="39" fontId="5" fillId="0" borderId="0" xfId="2" applyFont="1" applyAlignment="1">
      <alignment horizontal="centerContinuous"/>
    </xf>
    <xf numFmtId="39" fontId="14" fillId="0" borderId="0" xfId="2" applyFont="1" applyAlignment="1">
      <alignment horizontal="center"/>
    </xf>
    <xf numFmtId="39" fontId="38" fillId="0" borderId="0" xfId="2" applyFont="1"/>
    <xf numFmtId="39" fontId="22" fillId="0" borderId="0" xfId="11" applyFont="1"/>
    <xf numFmtId="39" fontId="23" fillId="0" borderId="0" xfId="2" applyFont="1"/>
    <xf numFmtId="39" fontId="23" fillId="0" borderId="0" xfId="2" quotePrefix="1" applyFont="1" applyFill="1" applyAlignment="1">
      <alignment horizontal="center"/>
    </xf>
    <xf numFmtId="39" fontId="23" fillId="10" borderId="0" xfId="2" quotePrefix="1" applyFont="1" applyFill="1" applyAlignment="1">
      <alignment horizontal="center"/>
    </xf>
    <xf numFmtId="39" fontId="30" fillId="0" borderId="7" xfId="2" quotePrefix="1" applyFont="1" applyBorder="1" applyAlignment="1" applyProtection="1">
      <alignment horizontal="center"/>
    </xf>
    <xf numFmtId="39" fontId="9" fillId="0" borderId="8" xfId="2" quotePrefix="1" applyFont="1" applyBorder="1"/>
    <xf numFmtId="39" fontId="30" fillId="0" borderId="12" xfId="18" applyFont="1" applyBorder="1" applyAlignment="1" applyProtection="1">
      <alignment horizontal="left"/>
    </xf>
    <xf numFmtId="39" fontId="31" fillId="0" borderId="0" xfId="2" applyFont="1" applyBorder="1"/>
    <xf numFmtId="39" fontId="30" fillId="0" borderId="7" xfId="2" applyFont="1" applyBorder="1" applyAlignment="1" applyProtection="1">
      <alignment horizontal="center"/>
    </xf>
    <xf numFmtId="39" fontId="9" fillId="0" borderId="9" xfId="13" applyFont="1" applyBorder="1"/>
    <xf numFmtId="39" fontId="31" fillId="0" borderId="0" xfId="2" applyFont="1" applyAlignment="1">
      <alignment vertical="center"/>
    </xf>
    <xf numFmtId="39" fontId="26" fillId="0" borderId="0" xfId="2" applyFont="1" applyAlignment="1">
      <alignment vertical="center"/>
    </xf>
    <xf numFmtId="39" fontId="31" fillId="0" borderId="0" xfId="2" applyFont="1" applyBorder="1" applyAlignment="1">
      <alignment vertical="center"/>
    </xf>
    <xf numFmtId="0" fontId="39" fillId="0" borderId="0" xfId="14" quotePrefix="1" applyNumberFormat="1" applyFont="1" applyFill="1" applyBorder="1" applyAlignment="1" applyProtection="1">
      <alignment horizontal="center"/>
    </xf>
    <xf numFmtId="39" fontId="30" fillId="0" borderId="9" xfId="12" applyFont="1" applyBorder="1" applyAlignment="1" applyProtection="1">
      <alignment horizontal="left"/>
    </xf>
    <xf numFmtId="39" fontId="31" fillId="0" borderId="0" xfId="2" applyFont="1" applyFill="1" applyBorder="1" applyAlignment="1">
      <alignment vertical="center"/>
    </xf>
    <xf numFmtId="39" fontId="26" fillId="0" borderId="0" xfId="2" applyFont="1" applyAlignment="1">
      <alignment horizontal="right" vertical="center"/>
    </xf>
    <xf numFmtId="0" fontId="39" fillId="0" borderId="0" xfId="14" applyNumberFormat="1" applyFont="1" applyFill="1" applyBorder="1" applyAlignment="1" applyProtection="1">
      <alignment horizontal="center"/>
    </xf>
    <xf numFmtId="39" fontId="23" fillId="10" borderId="0" xfId="2" applyFont="1" applyFill="1" applyAlignment="1">
      <alignment horizontal="right"/>
    </xf>
    <xf numFmtId="39" fontId="23" fillId="0" borderId="0" xfId="2" applyFont="1" applyFill="1" applyBorder="1" applyAlignment="1">
      <alignment vertical="center"/>
    </xf>
    <xf numFmtId="39" fontId="23" fillId="0" borderId="1" xfId="2" applyFont="1" applyBorder="1"/>
    <xf numFmtId="39" fontId="23" fillId="0" borderId="0" xfId="2" applyFont="1" applyAlignment="1">
      <alignment horizontal="right"/>
    </xf>
    <xf numFmtId="39" fontId="9" fillId="0" borderId="0" xfId="2" applyFont="1" applyFill="1" applyBorder="1" applyAlignment="1">
      <alignment vertical="center"/>
    </xf>
    <xf numFmtId="39" fontId="9" fillId="0" borderId="7" xfId="12" quotePrefix="1" applyFont="1" applyBorder="1" applyAlignment="1" applyProtection="1">
      <alignment horizontal="left"/>
    </xf>
    <xf numFmtId="39" fontId="40" fillId="0" borderId="0" xfId="2" quotePrefix="1" applyFont="1" applyFill="1" applyBorder="1" applyAlignment="1">
      <alignment vertical="center"/>
    </xf>
    <xf numFmtId="39" fontId="40" fillId="0" borderId="0" xfId="2" quotePrefix="1" applyFont="1" applyAlignment="1">
      <alignment vertical="center"/>
    </xf>
    <xf numFmtId="39" fontId="31" fillId="0" borderId="0" xfId="2" applyFont="1" applyFill="1"/>
    <xf numFmtId="39" fontId="24" fillId="9" borderId="3" xfId="2" applyFont="1" applyFill="1" applyBorder="1" applyAlignment="1" applyProtection="1">
      <alignment vertical="center"/>
    </xf>
    <xf numFmtId="39" fontId="23" fillId="0" borderId="2" xfId="2" applyFont="1" applyBorder="1" applyAlignment="1" applyProtection="1">
      <alignment horizontal="center" vertical="center"/>
    </xf>
    <xf numFmtId="39" fontId="28" fillId="0" borderId="4" xfId="2" applyFont="1" applyBorder="1" applyAlignment="1">
      <alignment vertical="center"/>
    </xf>
    <xf numFmtId="39" fontId="26" fillId="0" borderId="0" xfId="12" applyFont="1" applyBorder="1"/>
    <xf numFmtId="39" fontId="9" fillId="0" borderId="9" xfId="12" applyFont="1" applyBorder="1"/>
    <xf numFmtId="39" fontId="9" fillId="0" borderId="7" xfId="12" applyFont="1" applyBorder="1"/>
    <xf numFmtId="39" fontId="9" fillId="9" borderId="9" xfId="15" applyFont="1" applyFill="1" applyBorder="1" applyProtection="1"/>
    <xf numFmtId="39" fontId="30" fillId="0" borderId="2" xfId="12" quotePrefix="1" applyFont="1" applyBorder="1" applyAlignment="1" applyProtection="1">
      <alignment horizontal="center"/>
    </xf>
    <xf numFmtId="39" fontId="9" fillId="0" borderId="10" xfId="7" applyFont="1" applyBorder="1" applyAlignment="1" applyProtection="1">
      <alignment horizontal="left"/>
    </xf>
    <xf numFmtId="39" fontId="30" fillId="0" borderId="9" xfId="12" quotePrefix="1" applyFont="1" applyBorder="1" applyAlignment="1" applyProtection="1">
      <alignment horizontal="center"/>
    </xf>
    <xf numFmtId="39" fontId="9" fillId="0" borderId="7" xfId="10" applyFont="1" applyBorder="1" applyProtection="1"/>
    <xf numFmtId="39" fontId="26" fillId="0" borderId="0" xfId="10" applyFont="1" applyBorder="1" applyProtection="1"/>
    <xf numFmtId="39" fontId="9" fillId="0" borderId="9" xfId="10" applyFont="1" applyFill="1" applyBorder="1" applyProtection="1"/>
    <xf numFmtId="39" fontId="9" fillId="0" borderId="0" xfId="13" quotePrefix="1" applyFont="1" applyBorder="1" applyAlignment="1" applyProtection="1">
      <alignment horizontal="left"/>
    </xf>
    <xf numFmtId="39" fontId="9" fillId="9" borderId="9" xfId="2" applyFont="1" applyFill="1" applyBorder="1" applyProtection="1"/>
    <xf numFmtId="39" fontId="30" fillId="0" borderId="9" xfId="12" applyFont="1" applyBorder="1" applyAlignment="1" applyProtection="1">
      <alignment horizontal="center"/>
    </xf>
    <xf numFmtId="43" fontId="9" fillId="0" borderId="9" xfId="3" applyFont="1" applyFill="1" applyBorder="1" applyProtection="1"/>
    <xf numFmtId="43" fontId="9" fillId="9" borderId="7" xfId="3" applyFont="1" applyFill="1" applyBorder="1" applyProtection="1"/>
    <xf numFmtId="39" fontId="9" fillId="0" borderId="9" xfId="12" applyFont="1" applyFill="1" applyBorder="1" applyProtection="1"/>
    <xf numFmtId="39" fontId="9" fillId="9" borderId="7" xfId="12" applyFont="1" applyFill="1" applyBorder="1" applyProtection="1"/>
    <xf numFmtId="43" fontId="9" fillId="9" borderId="9" xfId="3" applyFont="1" applyFill="1" applyBorder="1" applyProtection="1"/>
    <xf numFmtId="39" fontId="9" fillId="9" borderId="9" xfId="12" applyFont="1" applyFill="1" applyBorder="1"/>
    <xf numFmtId="39" fontId="30" fillId="0" borderId="9" xfId="12" applyFont="1" applyBorder="1" applyAlignment="1">
      <alignment horizontal="center"/>
    </xf>
    <xf numFmtId="43" fontId="9" fillId="0" borderId="9" xfId="3" applyFont="1" applyBorder="1" applyProtection="1"/>
    <xf numFmtId="43" fontId="9" fillId="0" borderId="7" xfId="3" applyFont="1" applyBorder="1" applyProtection="1"/>
    <xf numFmtId="39" fontId="9" fillId="0" borderId="9" xfId="12" applyFont="1" applyBorder="1" applyProtection="1"/>
    <xf numFmtId="39" fontId="9" fillId="0" borderId="7" xfId="12" applyFont="1" applyBorder="1" applyProtection="1"/>
    <xf numFmtId="39" fontId="9" fillId="0" borderId="9" xfId="17" applyFont="1" applyBorder="1" applyProtection="1"/>
    <xf numFmtId="39" fontId="9" fillId="0" borderId="9" xfId="2" applyFont="1" applyBorder="1" applyAlignment="1" applyProtection="1">
      <alignment horizontal="fill"/>
    </xf>
    <xf numFmtId="39" fontId="30" fillId="0" borderId="11" xfId="2" applyFont="1" applyBorder="1" applyAlignment="1" applyProtection="1">
      <alignment horizontal="fill"/>
    </xf>
    <xf numFmtId="39" fontId="23" fillId="0" borderId="9" xfId="2" applyFont="1" applyBorder="1" applyAlignment="1" applyProtection="1">
      <alignment horizontal="center"/>
    </xf>
    <xf numFmtId="39" fontId="28" fillId="0" borderId="7" xfId="2" applyFont="1" applyBorder="1"/>
    <xf numFmtId="39" fontId="23" fillId="0" borderId="11" xfId="2" applyFont="1" applyBorder="1"/>
    <xf numFmtId="39" fontId="41" fillId="0" borderId="0" xfId="2" applyFont="1" applyProtection="1">
      <protection locked="0"/>
    </xf>
    <xf numFmtId="39" fontId="31" fillId="0" borderId="0" xfId="2" applyFont="1" applyAlignment="1">
      <alignment horizontal="left"/>
    </xf>
    <xf numFmtId="39" fontId="21" fillId="0" borderId="0" xfId="2" applyFont="1" applyProtection="1">
      <protection locked="0"/>
    </xf>
    <xf numFmtId="0" fontId="6" fillId="0" borderId="0" xfId="6" applyNumberFormat="1" applyFill="1" applyAlignment="1">
      <alignment horizontal="center"/>
    </xf>
    <xf numFmtId="2" fontId="5" fillId="0" borderId="0" xfId="6" applyNumberFormat="1" applyFont="1" applyProtection="1">
      <protection locked="0"/>
    </xf>
    <xf numFmtId="49" fontId="5" fillId="0" borderId="0" xfId="6" applyNumberFormat="1" applyFont="1" applyAlignment="1" applyProtection="1">
      <alignment horizontal="center"/>
      <protection locked="0"/>
    </xf>
    <xf numFmtId="39" fontId="14" fillId="10" borderId="0" xfId="2" quotePrefix="1" applyFont="1" applyFill="1" applyBorder="1" applyAlignment="1" applyProtection="1">
      <alignment horizontal="center"/>
      <protection locked="0"/>
    </xf>
    <xf numFmtId="39" fontId="14" fillId="0" borderId="3" xfId="2" applyFont="1" applyFill="1" applyBorder="1" applyProtection="1">
      <protection locked="0"/>
    </xf>
    <xf numFmtId="39" fontId="14" fillId="0" borderId="4" xfId="2" applyFont="1" applyBorder="1" applyProtection="1">
      <protection locked="0"/>
    </xf>
    <xf numFmtId="164" fontId="14" fillId="0" borderId="5" xfId="2" applyNumberFormat="1" applyFont="1" applyBorder="1" applyProtection="1">
      <protection locked="0"/>
    </xf>
    <xf numFmtId="49" fontId="5" fillId="0" borderId="12" xfId="19" applyNumberFormat="1" applyFont="1" applyFill="1" applyBorder="1" applyAlignment="1" applyProtection="1">
      <alignment horizontal="center"/>
      <protection locked="0"/>
    </xf>
    <xf numFmtId="43" fontId="5" fillId="0" borderId="8" xfId="3" applyFont="1" applyFill="1" applyBorder="1" applyAlignment="1">
      <alignment horizontal="center"/>
    </xf>
    <xf numFmtId="39" fontId="14" fillId="0" borderId="9" xfId="19" applyFont="1" applyFill="1" applyBorder="1" applyAlignment="1" applyProtection="1">
      <alignment horizontal="left"/>
      <protection locked="0"/>
    </xf>
    <xf numFmtId="39" fontId="5" fillId="0" borderId="9" xfId="19" applyFont="1" applyFill="1" applyBorder="1" applyAlignment="1" applyProtection="1">
      <alignment horizontal="left"/>
    </xf>
    <xf numFmtId="49" fontId="14" fillId="0" borderId="9" xfId="10" quotePrefix="1" applyNumberFormat="1" applyFont="1" applyFill="1" applyBorder="1" applyAlignment="1" applyProtection="1">
      <alignment horizontal="center"/>
      <protection locked="0"/>
    </xf>
    <xf numFmtId="49" fontId="5" fillId="0" borderId="10" xfId="19" applyNumberFormat="1" applyFont="1" applyBorder="1" applyAlignment="1" applyProtection="1">
      <alignment horizontal="center"/>
      <protection locked="0"/>
    </xf>
    <xf numFmtId="43" fontId="5" fillId="0" borderId="7" xfId="3" applyFont="1" applyBorder="1" applyAlignment="1">
      <alignment horizontal="center"/>
    </xf>
    <xf numFmtId="39" fontId="14" fillId="0" borderId="9" xfId="19" applyFont="1" applyBorder="1" applyAlignment="1" applyProtection="1">
      <alignment horizontal="left"/>
      <protection locked="0"/>
    </xf>
    <xf numFmtId="39" fontId="5" fillId="0" borderId="9" xfId="19" applyFont="1" applyBorder="1" applyAlignment="1" applyProtection="1">
      <alignment horizontal="left"/>
    </xf>
    <xf numFmtId="49" fontId="5" fillId="0" borderId="10" xfId="19" applyNumberFormat="1" applyFont="1" applyFill="1" applyBorder="1" applyAlignment="1" applyProtection="1">
      <alignment horizontal="center"/>
      <protection locked="0"/>
    </xf>
    <xf numFmtId="43" fontId="5" fillId="0" borderId="7" xfId="3" applyFont="1" applyFill="1" applyBorder="1" applyAlignment="1">
      <alignment horizontal="center"/>
    </xf>
    <xf numFmtId="39" fontId="5" fillId="0" borderId="9" xfId="8" quotePrefix="1" applyFont="1" applyBorder="1" applyProtection="1">
      <protection locked="0"/>
    </xf>
    <xf numFmtId="49" fontId="5" fillId="0" borderId="10" xfId="19" applyNumberFormat="1" applyFont="1" applyBorder="1" applyProtection="1">
      <protection locked="0"/>
    </xf>
    <xf numFmtId="39" fontId="15" fillId="0" borderId="9" xfId="19" applyFont="1" applyBorder="1" applyAlignment="1" applyProtection="1">
      <alignment horizontal="left"/>
      <protection locked="0"/>
    </xf>
    <xf numFmtId="39" fontId="5" fillId="0" borderId="7" xfId="19" applyFont="1" applyFill="1" applyBorder="1" applyAlignment="1" applyProtection="1">
      <alignment horizontal="left"/>
    </xf>
    <xf numFmtId="49" fontId="5" fillId="0" borderId="0" xfId="19" applyNumberFormat="1" applyFont="1" applyFill="1" applyBorder="1" applyAlignment="1" applyProtection="1">
      <alignment horizontal="center"/>
      <protection locked="0"/>
    </xf>
    <xf numFmtId="39" fontId="5" fillId="0" borderId="9" xfId="19" applyFont="1" applyBorder="1" applyAlignment="1" applyProtection="1">
      <alignment horizontal="left"/>
      <protection locked="0"/>
    </xf>
    <xf numFmtId="49" fontId="5" fillId="0" borderId="10" xfId="19" applyNumberFormat="1" applyFont="1" applyBorder="1" applyAlignment="1" applyProtection="1">
      <alignment horizontal="center"/>
    </xf>
    <xf numFmtId="39" fontId="14" fillId="0" borderId="9" xfId="19" applyFont="1" applyBorder="1" applyAlignment="1" applyProtection="1">
      <alignment horizontal="left"/>
    </xf>
    <xf numFmtId="49" fontId="5" fillId="0" borderId="10" xfId="19" applyNumberFormat="1" applyFont="1" applyBorder="1" applyAlignment="1">
      <alignment horizontal="center"/>
    </xf>
    <xf numFmtId="39" fontId="17" fillId="0" borderId="0" xfId="19" applyFont="1"/>
    <xf numFmtId="49" fontId="5" fillId="0" borderId="0" xfId="19" applyNumberFormat="1" applyFont="1" applyBorder="1" applyAlignment="1" applyProtection="1">
      <alignment horizontal="center"/>
      <protection locked="0"/>
    </xf>
    <xf numFmtId="39" fontId="5" fillId="0" borderId="11" xfId="19" applyFont="1" applyBorder="1" applyAlignment="1" applyProtection="1">
      <alignment horizontal="left"/>
      <protection locked="0"/>
    </xf>
    <xf numFmtId="39" fontId="14" fillId="0" borderId="0" xfId="2" applyFont="1"/>
    <xf numFmtId="39" fontId="42" fillId="0" borderId="8" xfId="2" applyFont="1" applyBorder="1"/>
    <xf numFmtId="39" fontId="42" fillId="0" borderId="6" xfId="2" applyFont="1" applyBorder="1"/>
    <xf numFmtId="39" fontId="42" fillId="0" borderId="12" xfId="2" applyFont="1" applyBorder="1"/>
    <xf numFmtId="39" fontId="42" fillId="0" borderId="7" xfId="2" applyFont="1" applyBorder="1"/>
    <xf numFmtId="39" fontId="42" fillId="0" borderId="0" xfId="2" applyFont="1" applyBorder="1"/>
    <xf numFmtId="39" fontId="42" fillId="0" borderId="10" xfId="2" applyFont="1" applyBorder="1"/>
    <xf numFmtId="39" fontId="43" fillId="0" borderId="0" xfId="2" applyFont="1" applyBorder="1" applyAlignment="1">
      <alignment horizontal="left"/>
    </xf>
    <xf numFmtId="0" fontId="21" fillId="0" borderId="0" xfId="4" applyFont="1" applyBorder="1"/>
    <xf numFmtId="39" fontId="21" fillId="0" borderId="7" xfId="11" applyFont="1" applyBorder="1" applyAlignment="1">
      <alignment horizontal="center"/>
    </xf>
    <xf numFmtId="39" fontId="21" fillId="0" borderId="0" xfId="11" applyFont="1" applyBorder="1"/>
    <xf numFmtId="39" fontId="21" fillId="0" borderId="10" xfId="11" applyFont="1" applyBorder="1"/>
    <xf numFmtId="0" fontId="21" fillId="0" borderId="0" xfId="4" quotePrefix="1" applyFont="1" applyBorder="1"/>
    <xf numFmtId="39" fontId="44" fillId="0" borderId="0" xfId="11" applyFont="1" applyBorder="1"/>
    <xf numFmtId="0" fontId="44" fillId="0" borderId="0" xfId="4" quotePrefix="1" applyFont="1" applyBorder="1"/>
    <xf numFmtId="39" fontId="21" fillId="0" borderId="0" xfId="11" quotePrefix="1" applyFont="1" applyBorder="1"/>
    <xf numFmtId="39" fontId="21" fillId="0" borderId="7" xfId="11" applyFont="1" applyBorder="1"/>
    <xf numFmtId="39" fontId="21" fillId="0" borderId="13" xfId="11" applyFont="1" applyBorder="1"/>
    <xf numFmtId="39" fontId="21" fillId="0" borderId="18" xfId="11" applyFont="1" applyBorder="1"/>
    <xf numFmtId="39" fontId="40" fillId="0" borderId="18" xfId="11" applyFont="1" applyBorder="1"/>
    <xf numFmtId="39" fontId="40" fillId="0" borderId="14" xfId="11" applyFont="1" applyBorder="1"/>
    <xf numFmtId="0" fontId="21" fillId="0" borderId="0" xfId="4" applyFont="1" applyAlignment="1">
      <alignment horizontal="left"/>
    </xf>
    <xf numFmtId="39" fontId="41" fillId="0" borderId="0" xfId="2" quotePrefix="1" applyFont="1" applyFill="1"/>
    <xf numFmtId="39" fontId="9" fillId="0" borderId="0" xfId="2" applyFont="1" applyBorder="1" applyAlignment="1" applyProtection="1">
      <alignment horizontal="left"/>
    </xf>
    <xf numFmtId="39" fontId="23" fillId="0" borderId="0" xfId="2" quotePrefix="1" applyFont="1" applyAlignment="1">
      <alignment horizontal="center"/>
    </xf>
    <xf numFmtId="39" fontId="23" fillId="0" borderId="15" xfId="2" applyFont="1" applyFill="1" applyBorder="1" applyAlignment="1" applyProtection="1">
      <alignment vertical="center"/>
    </xf>
    <xf numFmtId="39" fontId="23" fillId="0" borderId="15" xfId="2" applyFont="1" applyBorder="1" applyAlignment="1" applyProtection="1">
      <alignment vertical="center"/>
    </xf>
    <xf numFmtId="39" fontId="9" fillId="0" borderId="7" xfId="2" applyNumberFormat="1" applyFont="1" applyFill="1" applyBorder="1" applyProtection="1"/>
    <xf numFmtId="4" fontId="9" fillId="0" borderId="9" xfId="3" applyNumberFormat="1" applyFont="1" applyBorder="1" applyProtection="1"/>
    <xf numFmtId="39" fontId="9" fillId="0" borderId="9" xfId="2" applyNumberFormat="1" applyFont="1" applyBorder="1" applyProtection="1">
      <protection locked="0"/>
    </xf>
    <xf numFmtId="39" fontId="9" fillId="9" borderId="7" xfId="2" applyNumberFormat="1" applyFont="1" applyFill="1" applyBorder="1" applyProtection="1"/>
    <xf numFmtId="0" fontId="45" fillId="0" borderId="0" xfId="14" quotePrefix="1" applyNumberFormat="1" applyFont="1" applyFill="1" applyBorder="1" applyAlignment="1" applyProtection="1">
      <alignment horizontal="center"/>
    </xf>
    <xf numFmtId="39" fontId="9" fillId="0" borderId="9" xfId="2" applyNumberFormat="1" applyFont="1" applyBorder="1" applyProtection="1"/>
    <xf numFmtId="0" fontId="45" fillId="0" borderId="0" xfId="14" applyNumberFormat="1" applyFont="1" applyFill="1" applyBorder="1" applyAlignment="1" applyProtection="1">
      <alignment horizontal="center"/>
    </xf>
    <xf numFmtId="39" fontId="31" fillId="0" borderId="0" xfId="2" applyFont="1" applyFill="1" applyAlignment="1">
      <alignment vertical="center"/>
    </xf>
    <xf numFmtId="4" fontId="9" fillId="0" borderId="9" xfId="3" applyNumberFormat="1" applyFont="1" applyFill="1" applyBorder="1" applyProtection="1"/>
    <xf numFmtId="39" fontId="9" fillId="0" borderId="9" xfId="2" applyNumberFormat="1" applyFont="1" applyFill="1" applyBorder="1" applyProtection="1">
      <protection locked="0"/>
    </xf>
    <xf numFmtId="39" fontId="26" fillId="0" borderId="7" xfId="2" quotePrefix="1" applyFont="1" applyFill="1" applyBorder="1" applyAlignment="1" applyProtection="1">
      <alignment horizontal="center"/>
    </xf>
    <xf numFmtId="39" fontId="9" fillId="0" borderId="7" xfId="13" applyFont="1" applyFill="1" applyBorder="1"/>
    <xf numFmtId="39" fontId="9" fillId="0" borderId="10" xfId="13" applyFont="1" applyFill="1" applyBorder="1"/>
    <xf numFmtId="39" fontId="41" fillId="10" borderId="0" xfId="2" applyFont="1" applyFill="1"/>
    <xf numFmtId="39" fontId="46" fillId="0" borderId="0" xfId="2" applyFont="1"/>
    <xf numFmtId="39" fontId="47" fillId="0" borderId="0" xfId="2" applyFont="1" applyAlignment="1">
      <alignment horizontal="right"/>
    </xf>
    <xf numFmtId="39" fontId="46" fillId="0" borderId="0" xfId="2" applyFont="1" applyFill="1"/>
    <xf numFmtId="39" fontId="46" fillId="0" borderId="1" xfId="2" applyFont="1" applyBorder="1"/>
    <xf numFmtId="39" fontId="46" fillId="0" borderId="0" xfId="2" applyFont="1" applyAlignment="1">
      <alignment horizontal="right"/>
    </xf>
    <xf numFmtId="39" fontId="9" fillId="0" borderId="7" xfId="2" applyNumberFormat="1" applyFont="1" applyFill="1" applyBorder="1" applyAlignment="1" applyProtection="1">
      <alignment vertical="center"/>
    </xf>
    <xf numFmtId="39" fontId="9" fillId="9" borderId="7" xfId="2" applyNumberFormat="1" applyFont="1" applyFill="1" applyBorder="1" applyAlignment="1" applyProtection="1">
      <alignment vertical="center"/>
    </xf>
    <xf numFmtId="39" fontId="9" fillId="9" borderId="9" xfId="2" applyNumberFormat="1" applyFont="1" applyFill="1" applyBorder="1" applyAlignment="1" applyProtection="1">
      <alignment vertical="center"/>
    </xf>
    <xf numFmtId="39" fontId="23" fillId="0" borderId="3" xfId="2" applyFont="1" applyFill="1" applyBorder="1" applyAlignment="1" applyProtection="1">
      <alignment vertical="center"/>
    </xf>
    <xf numFmtId="39" fontId="30" fillId="0" borderId="0" xfId="2" applyFont="1" applyBorder="1" applyProtection="1"/>
    <xf numFmtId="4" fontId="9" fillId="0" borderId="9" xfId="4" applyNumberFormat="1" applyFont="1" applyBorder="1"/>
    <xf numFmtId="39" fontId="26" fillId="0" borderId="2" xfId="12" quotePrefix="1" applyFont="1" applyBorder="1" applyAlignment="1" applyProtection="1">
      <alignment horizontal="center"/>
    </xf>
    <xf numFmtId="39" fontId="26" fillId="0" borderId="10" xfId="12" quotePrefix="1" applyFont="1" applyBorder="1" applyAlignment="1" applyProtection="1">
      <alignment horizontal="center"/>
    </xf>
    <xf numFmtId="39" fontId="23" fillId="10" borderId="1" xfId="2" applyFont="1" applyFill="1" applyBorder="1"/>
    <xf numFmtId="39" fontId="24" fillId="0" borderId="9" xfId="2" applyFont="1" applyBorder="1"/>
    <xf numFmtId="39" fontId="26" fillId="0" borderId="10" xfId="12" applyFont="1" applyBorder="1" applyAlignment="1" applyProtection="1">
      <alignment horizontal="center"/>
    </xf>
    <xf numFmtId="4" fontId="9" fillId="0" borderId="9" xfId="12" applyNumberFormat="1" applyFont="1" applyFill="1" applyBorder="1"/>
    <xf numFmtId="39" fontId="28" fillId="0" borderId="0" xfId="2" applyFont="1" applyFill="1" applyBorder="1" applyAlignment="1">
      <alignment horizontal="center"/>
    </xf>
    <xf numFmtId="39" fontId="26" fillId="0" borderId="10" xfId="12" applyFont="1" applyBorder="1" applyAlignment="1">
      <alignment horizontal="center"/>
    </xf>
    <xf numFmtId="39" fontId="31" fillId="0" borderId="0" xfId="2" applyFont="1" applyFill="1" applyBorder="1"/>
    <xf numFmtId="39" fontId="48" fillId="0" borderId="0" xfId="2" applyFont="1" applyFill="1" applyBorder="1"/>
    <xf numFmtId="4" fontId="9" fillId="0" borderId="9" xfId="17" applyNumberFormat="1" applyFont="1" applyFill="1" applyBorder="1" applyProtection="1"/>
    <xf numFmtId="4" fontId="9" fillId="0" borderId="7" xfId="2" applyNumberFormat="1" applyFont="1" applyFill="1" applyBorder="1" applyProtection="1"/>
    <xf numFmtId="4" fontId="9" fillId="0" borderId="9" xfId="4" applyNumberFormat="1" applyFont="1" applyFill="1" applyBorder="1"/>
    <xf numFmtId="43" fontId="41" fillId="0" borderId="9" xfId="3" applyFont="1" applyBorder="1"/>
    <xf numFmtId="4" fontId="9" fillId="0" borderId="7" xfId="2" applyNumberFormat="1" applyFont="1" applyFill="1" applyBorder="1" applyAlignment="1" applyProtection="1">
      <alignment horizontal="fill"/>
    </xf>
    <xf numFmtId="4" fontId="9" fillId="0" borderId="11" xfId="2" applyNumberFormat="1" applyFont="1" applyBorder="1" applyAlignment="1" applyProtection="1">
      <alignment horizontal="fill"/>
    </xf>
    <xf numFmtId="39" fontId="26" fillId="0" borderId="0" xfId="2" applyFont="1" applyBorder="1" applyAlignment="1" applyProtection="1">
      <alignment horizontal="fill"/>
    </xf>
    <xf numFmtId="39" fontId="9" fillId="0" borderId="13" xfId="2" applyFont="1" applyBorder="1" applyAlignment="1" applyProtection="1">
      <alignment horizontal="fill"/>
    </xf>
    <xf numFmtId="39" fontId="23" fillId="0" borderId="2" xfId="2" applyFont="1" applyFill="1" applyBorder="1" applyProtection="1"/>
    <xf numFmtId="39" fontId="23" fillId="0" borderId="9" xfId="2" applyFont="1" applyFill="1" applyBorder="1" applyProtection="1"/>
    <xf numFmtId="39" fontId="23" fillId="0" borderId="2" xfId="2" applyFont="1" applyBorder="1" applyAlignment="1" applyProtection="1">
      <alignment horizontal="center"/>
    </xf>
    <xf numFmtId="0" fontId="49" fillId="0" borderId="9" xfId="4" quotePrefix="1" applyFont="1" applyBorder="1" applyAlignment="1">
      <alignment horizontal="center"/>
    </xf>
    <xf numFmtId="4" fontId="9" fillId="9" borderId="2" xfId="2" applyNumberFormat="1" applyFont="1" applyFill="1" applyBorder="1" applyProtection="1"/>
    <xf numFmtId="4" fontId="9" fillId="9" borderId="2" xfId="3" applyNumberFormat="1" applyFont="1" applyFill="1" applyBorder="1" applyProtection="1"/>
    <xf numFmtId="0" fontId="27" fillId="0" borderId="8" xfId="14" applyNumberFormat="1" applyFont="1" applyFill="1" applyBorder="1" applyAlignment="1" applyProtection="1">
      <alignment horizontal="center"/>
    </xf>
    <xf numFmtId="39" fontId="9" fillId="0" borderId="8" xfId="20" applyFont="1" applyBorder="1" applyAlignment="1">
      <alignment horizontal="left" shrinkToFit="1"/>
    </xf>
    <xf numFmtId="39" fontId="50" fillId="0" borderId="12" xfId="14" applyFont="1" applyFill="1" applyBorder="1" applyAlignment="1" applyProtection="1">
      <alignment horizontal="left"/>
    </xf>
    <xf numFmtId="4" fontId="9" fillId="9" borderId="9" xfId="3" applyNumberFormat="1" applyFont="1" applyFill="1" applyBorder="1" applyProtection="1"/>
    <xf numFmtId="0" fontId="27" fillId="0" borderId="7" xfId="14" applyNumberFormat="1" applyFont="1" applyFill="1" applyBorder="1" applyAlignment="1">
      <alignment horizontal="center"/>
    </xf>
    <xf numFmtId="39" fontId="50" fillId="0" borderId="7" xfId="14" applyFont="1" applyBorder="1" applyAlignment="1"/>
    <xf numFmtId="39" fontId="50" fillId="0" borderId="10" xfId="14" applyFont="1" applyBorder="1" applyAlignment="1"/>
    <xf numFmtId="39" fontId="26" fillId="0" borderId="7" xfId="20" applyFont="1" applyBorder="1" applyAlignment="1"/>
    <xf numFmtId="39" fontId="9" fillId="0" borderId="7" xfId="20" applyFont="1" applyBorder="1" applyAlignment="1"/>
    <xf numFmtId="0" fontId="26" fillId="0" borderId="7" xfId="21" applyNumberFormat="1" applyFont="1" applyFill="1" applyBorder="1" applyAlignment="1">
      <alignment horizontal="center"/>
    </xf>
    <xf numFmtId="39" fontId="50" fillId="0" borderId="7" xfId="14" applyFont="1" applyFill="1" applyBorder="1" applyAlignment="1"/>
    <xf numFmtId="39" fontId="50" fillId="0" borderId="10" xfId="14" applyFont="1" applyFill="1" applyBorder="1" applyAlignment="1"/>
    <xf numFmtId="39" fontId="50" fillId="0" borderId="7" xfId="14" applyFont="1" applyBorder="1" applyAlignment="1" applyProtection="1">
      <alignment horizontal="left"/>
    </xf>
    <xf numFmtId="39" fontId="50" fillId="0" borderId="10" xfId="14" applyFont="1" applyBorder="1" applyAlignment="1" applyProtection="1">
      <alignment horizontal="left"/>
    </xf>
    <xf numFmtId="4" fontId="9" fillId="9" borderId="11" xfId="2" applyNumberFormat="1" applyFont="1" applyFill="1" applyBorder="1" applyProtection="1"/>
    <xf numFmtId="4" fontId="9" fillId="9" borderId="11" xfId="3" applyNumberFormat="1" applyFont="1" applyFill="1" applyBorder="1" applyProtection="1"/>
    <xf numFmtId="39" fontId="9" fillId="0" borderId="14" xfId="13" applyFont="1" applyBorder="1" applyAlignment="1" applyProtection="1">
      <alignment horizontal="left"/>
    </xf>
    <xf numFmtId="4" fontId="23" fillId="0" borderId="11" xfId="2" applyNumberFormat="1" applyFont="1" applyFill="1" applyBorder="1" applyAlignment="1" applyProtection="1">
      <alignment vertical="center"/>
    </xf>
    <xf numFmtId="4" fontId="23" fillId="9" borderId="11" xfId="2" applyNumberFormat="1" applyFont="1" applyFill="1" applyBorder="1" applyAlignment="1" applyProtection="1">
      <alignment vertical="center"/>
    </xf>
    <xf numFmtId="4" fontId="23" fillId="9" borderId="3" xfId="2" applyNumberFormat="1" applyFont="1" applyFill="1" applyBorder="1" applyAlignment="1" applyProtection="1">
      <alignment vertical="center"/>
    </xf>
    <xf numFmtId="39" fontId="23" fillId="0" borderId="3" xfId="2" applyFont="1" applyBorder="1" applyAlignment="1" applyProtection="1">
      <alignment horizontal="center" vertical="center"/>
    </xf>
    <xf numFmtId="39" fontId="23" fillId="0" borderId="13" xfId="2" applyFont="1" applyBorder="1" applyAlignment="1">
      <alignment vertical="center"/>
    </xf>
    <xf numFmtId="39" fontId="23" fillId="0" borderId="14" xfId="2" applyFont="1" applyBorder="1" applyAlignment="1" applyProtection="1">
      <alignment horizontal="left" vertical="center"/>
    </xf>
    <xf numFmtId="4" fontId="9" fillId="0" borderId="9" xfId="2" applyNumberFormat="1" applyFont="1" applyFill="1" applyBorder="1" applyProtection="1"/>
    <xf numFmtId="0" fontId="50" fillId="0" borderId="9" xfId="14" applyNumberFormat="1" applyFont="1" applyFill="1" applyBorder="1" applyAlignment="1" applyProtection="1">
      <alignment horizontal="center"/>
    </xf>
    <xf numFmtId="0" fontId="27" fillId="0" borderId="9" xfId="14" quotePrefix="1" applyNumberFormat="1" applyFont="1" applyFill="1" applyBorder="1" applyAlignment="1" applyProtection="1">
      <alignment horizontal="center"/>
    </xf>
    <xf numFmtId="4" fontId="9" fillId="0" borderId="11" xfId="2" applyNumberFormat="1" applyFont="1" applyFill="1" applyBorder="1" applyProtection="1"/>
    <xf numFmtId="0" fontId="50" fillId="0" borderId="11" xfId="14" applyNumberFormat="1" applyFont="1" applyFill="1" applyBorder="1" applyAlignment="1" applyProtection="1">
      <alignment horizontal="center"/>
    </xf>
    <xf numFmtId="39" fontId="23" fillId="0" borderId="11" xfId="2" applyFont="1" applyFill="1" applyBorder="1" applyAlignment="1" applyProtection="1">
      <alignment vertical="center"/>
    </xf>
    <xf numFmtId="39" fontId="23" fillId="9" borderId="11" xfId="2" applyFont="1" applyFill="1" applyBorder="1" applyAlignment="1" applyProtection="1">
      <alignment vertical="center"/>
    </xf>
    <xf numFmtId="39" fontId="23" fillId="0" borderId="13" xfId="2" applyFont="1" applyBorder="1"/>
    <xf numFmtId="39" fontId="23" fillId="0" borderId="14" xfId="2" applyFont="1" applyBorder="1" applyAlignment="1" applyProtection="1">
      <alignment horizontal="left"/>
    </xf>
    <xf numFmtId="39" fontId="40" fillId="0" borderId="0" xfId="2" quotePrefix="1" applyFont="1" applyProtection="1">
      <protection locked="0"/>
    </xf>
    <xf numFmtId="39" fontId="38" fillId="0" borderId="0" xfId="2" applyFont="1" applyBorder="1"/>
    <xf numFmtId="39" fontId="21" fillId="0" borderId="0" xfId="11" applyFont="1" applyAlignment="1"/>
    <xf numFmtId="39" fontId="23" fillId="0" borderId="0" xfId="2" applyFont="1" applyAlignment="1" applyProtection="1"/>
    <xf numFmtId="39" fontId="9" fillId="0" borderId="0" xfId="22" applyFont="1" applyBorder="1" applyAlignment="1" applyProtection="1">
      <alignment horizontal="left"/>
    </xf>
    <xf numFmtId="39" fontId="41" fillId="0" borderId="0" xfId="2" quotePrefix="1" applyFont="1" applyFill="1" applyAlignment="1">
      <alignment horizontal="center"/>
    </xf>
    <xf numFmtId="39" fontId="9" fillId="0" borderId="0" xfId="2" applyFont="1" applyAlignment="1" applyProtection="1">
      <alignment horizontal="left"/>
    </xf>
    <xf numFmtId="39" fontId="41" fillId="10" borderId="0" xfId="2" quotePrefix="1" applyFont="1" applyFill="1" applyAlignment="1">
      <alignment horizontal="center"/>
    </xf>
    <xf numFmtId="39" fontId="24" fillId="0" borderId="15" xfId="2" applyFont="1" applyBorder="1" applyAlignment="1" applyProtection="1">
      <alignment vertical="center"/>
    </xf>
    <xf numFmtId="39" fontId="9" fillId="0" borderId="9" xfId="2" applyFont="1" applyFill="1" applyBorder="1" applyProtection="1"/>
    <xf numFmtId="39" fontId="9" fillId="0" borderId="9" xfId="2" applyFont="1" applyBorder="1" applyAlignment="1" applyProtection="1">
      <alignment horizontal="center"/>
    </xf>
    <xf numFmtId="39" fontId="9" fillId="0" borderId="7" xfId="16" applyFont="1" applyBorder="1" applyAlignment="1" applyProtection="1">
      <alignment horizontal="left"/>
    </xf>
    <xf numFmtId="39" fontId="9" fillId="0" borderId="10" xfId="16" applyFont="1" applyBorder="1" applyAlignment="1" applyProtection="1">
      <alignment horizontal="left"/>
    </xf>
    <xf numFmtId="39" fontId="9" fillId="0" borderId="7" xfId="16" quotePrefix="1" applyFont="1" applyBorder="1" applyAlignment="1" applyProtection="1">
      <alignment horizontal="left"/>
    </xf>
    <xf numFmtId="39" fontId="31" fillId="0" borderId="10" xfId="16" applyFont="1" applyBorder="1"/>
    <xf numFmtId="39" fontId="9" fillId="0" borderId="7" xfId="16" applyFont="1" applyBorder="1"/>
    <xf numFmtId="39" fontId="9" fillId="9" borderId="7" xfId="3" applyNumberFormat="1" applyFont="1" applyFill="1" applyBorder="1" applyProtection="1"/>
    <xf numFmtId="39" fontId="9" fillId="0" borderId="10" xfId="16" quotePrefix="1" applyFont="1" applyBorder="1" applyAlignment="1" applyProtection="1">
      <alignment horizontal="left"/>
    </xf>
    <xf numFmtId="39" fontId="47" fillId="10" borderId="0" xfId="2" applyFont="1" applyFill="1" applyAlignment="1">
      <alignment horizontal="left"/>
    </xf>
    <xf numFmtId="39" fontId="9" fillId="0" borderId="7" xfId="16" quotePrefix="1" applyFont="1" applyBorder="1"/>
    <xf numFmtId="39" fontId="9" fillId="0" borderId="11" xfId="2" applyFont="1" applyBorder="1" applyProtection="1">
      <protection locked="0"/>
    </xf>
    <xf numFmtId="0" fontId="28" fillId="0" borderId="11" xfId="23" quotePrefix="1" applyFont="1" applyBorder="1" applyAlignment="1">
      <alignment horizontal="center"/>
    </xf>
    <xf numFmtId="0" fontId="23" fillId="0" borderId="10" xfId="23" applyFont="1" applyBorder="1"/>
    <xf numFmtId="39" fontId="23" fillId="9" borderId="2" xfId="2" applyFont="1" applyFill="1" applyBorder="1" applyAlignment="1" applyProtection="1">
      <alignment vertical="center"/>
    </xf>
    <xf numFmtId="39" fontId="24" fillId="9" borderId="2" xfId="2" applyFont="1" applyFill="1" applyBorder="1" applyAlignment="1" applyProtection="1">
      <alignment vertical="center"/>
    </xf>
    <xf numFmtId="39" fontId="23" fillId="0" borderId="8" xfId="2" applyFont="1" applyBorder="1" applyAlignment="1" applyProtection="1">
      <alignment horizontal="center" vertical="center"/>
    </xf>
    <xf numFmtId="39" fontId="28" fillId="0" borderId="8" xfId="2" applyFont="1" applyBorder="1" applyAlignment="1">
      <alignment vertical="center"/>
    </xf>
    <xf numFmtId="39" fontId="23" fillId="0" borderId="12" xfId="2" applyFont="1" applyBorder="1" applyAlignment="1" applyProtection="1">
      <alignment horizontal="left" vertical="center"/>
    </xf>
    <xf numFmtId="39" fontId="28" fillId="0" borderId="13" xfId="2" applyFont="1" applyBorder="1"/>
    <xf numFmtId="0" fontId="32" fillId="0" borderId="2" xfId="4" applyFont="1" applyBorder="1" applyAlignment="1">
      <alignment horizontal="center"/>
    </xf>
    <xf numFmtId="0" fontId="38" fillId="0" borderId="9" xfId="4" quotePrefix="1" applyFont="1" applyBorder="1" applyAlignment="1">
      <alignment horizontal="center"/>
    </xf>
    <xf numFmtId="0" fontId="32" fillId="0" borderId="9" xfId="4" applyFont="1" applyBorder="1" applyAlignment="1">
      <alignment horizontal="center"/>
    </xf>
    <xf numFmtId="0" fontId="32" fillId="0" borderId="11" xfId="4" applyFont="1" applyBorder="1" applyAlignment="1">
      <alignment horizontal="center"/>
    </xf>
    <xf numFmtId="39" fontId="51" fillId="0" borderId="0" xfId="2" applyFont="1" applyAlignment="1">
      <alignment horizontal="left"/>
    </xf>
    <xf numFmtId="43" fontId="31" fillId="0" borderId="0" xfId="3" applyFont="1"/>
    <xf numFmtId="39" fontId="29" fillId="0" borderId="0" xfId="2" applyFont="1"/>
    <xf numFmtId="39" fontId="43" fillId="0" borderId="0" xfId="2" applyFont="1" applyAlignment="1" applyProtection="1">
      <alignment horizontal="left"/>
    </xf>
    <xf numFmtId="39" fontId="43" fillId="0" borderId="0" xfId="2" applyFont="1"/>
    <xf numFmtId="39" fontId="21" fillId="0" borderId="0" xfId="22" applyFont="1" applyAlignment="1"/>
    <xf numFmtId="39" fontId="21" fillId="0" borderId="0" xfId="22" applyFont="1" applyAlignment="1">
      <alignment horizontal="left"/>
    </xf>
    <xf numFmtId="39" fontId="23" fillId="0" borderId="0" xfId="22" applyFont="1" applyAlignment="1"/>
    <xf numFmtId="39" fontId="9" fillId="0" borderId="0" xfId="2" applyFont="1" applyFill="1"/>
    <xf numFmtId="39" fontId="23" fillId="10" borderId="0" xfId="2" quotePrefix="1" applyFont="1" applyFill="1"/>
    <xf numFmtId="39" fontId="23" fillId="0" borderId="0" xfId="2" quotePrefix="1" applyFont="1" applyFill="1"/>
    <xf numFmtId="39" fontId="23" fillId="0" borderId="0" xfId="2" applyFont="1" applyBorder="1" applyAlignment="1" applyProtection="1">
      <alignment vertical="center"/>
    </xf>
    <xf numFmtId="39" fontId="23" fillId="0" borderId="16" xfId="2" applyFont="1" applyBorder="1" applyAlignment="1" applyProtection="1">
      <alignment vertical="center"/>
    </xf>
    <xf numFmtId="39" fontId="23" fillId="0" borderId="20" xfId="2" applyFont="1" applyBorder="1" applyAlignment="1" applyProtection="1">
      <alignment vertical="center"/>
    </xf>
    <xf numFmtId="39" fontId="9" fillId="0" borderId="0" xfId="2" applyFont="1" applyFill="1" applyAlignment="1">
      <alignment vertical="center"/>
    </xf>
    <xf numFmtId="39" fontId="9" fillId="0" borderId="7" xfId="22" applyFont="1" applyFill="1" applyBorder="1" applyProtection="1">
      <protection locked="0"/>
    </xf>
    <xf numFmtId="39" fontId="9" fillId="0" borderId="7" xfId="2" applyFont="1" applyBorder="1" applyAlignment="1" applyProtection="1">
      <alignment horizontal="center"/>
    </xf>
    <xf numFmtId="39" fontId="9" fillId="0" borderId="10" xfId="22" applyFont="1" applyBorder="1" applyAlignment="1" applyProtection="1">
      <alignment horizontal="left"/>
    </xf>
    <xf numFmtId="39" fontId="9" fillId="0" borderId="7" xfId="22" applyFont="1" applyFill="1" applyBorder="1" applyProtection="1"/>
    <xf numFmtId="39" fontId="9" fillId="0" borderId="7" xfId="22" applyFont="1" applyBorder="1"/>
    <xf numFmtId="0" fontId="52" fillId="0" borderId="0" xfId="4" applyFont="1" applyFill="1"/>
    <xf numFmtId="39" fontId="9" fillId="0" borderId="10" xfId="22" applyFont="1" applyBorder="1"/>
    <xf numFmtId="39" fontId="9" fillId="0" borderId="7" xfId="22" applyFont="1" applyBorder="1" applyProtection="1">
      <protection locked="0"/>
    </xf>
    <xf numFmtId="0" fontId="30" fillId="0" borderId="11" xfId="23" quotePrefix="1" applyFont="1" applyBorder="1" applyAlignment="1">
      <alignment horizontal="center"/>
    </xf>
    <xf numFmtId="0" fontId="24" fillId="0" borderId="10" xfId="23" applyFont="1" applyBorder="1"/>
    <xf numFmtId="39" fontId="23" fillId="0" borderId="8" xfId="2" applyFont="1" applyBorder="1" applyAlignment="1">
      <alignment vertical="center"/>
    </xf>
    <xf numFmtId="0" fontId="29" fillId="0" borderId="9" xfId="4" quotePrefix="1" applyFont="1" applyBorder="1" applyAlignment="1">
      <alignment horizontal="center"/>
    </xf>
    <xf numFmtId="39" fontId="9" fillId="0" borderId="0" xfId="2" applyFont="1" applyFill="1" applyAlignment="1">
      <alignment horizontal="center"/>
    </xf>
    <xf numFmtId="43" fontId="9" fillId="0" borderId="0" xfId="3" applyFont="1" applyFill="1"/>
    <xf numFmtId="0" fontId="9" fillId="0" borderId="0" xfId="4" applyNumberFormat="1" applyFont="1" applyFill="1" applyAlignment="1">
      <alignment horizontal="center"/>
    </xf>
    <xf numFmtId="39" fontId="9" fillId="0" borderId="0" xfId="7" applyFont="1" applyFill="1" applyBorder="1"/>
    <xf numFmtId="39" fontId="9" fillId="0" borderId="0" xfId="5" applyFont="1" applyFill="1"/>
    <xf numFmtId="0" fontId="9" fillId="0" borderId="0" xfId="6" quotePrefix="1" applyNumberFormat="1" applyFont="1" applyFill="1" applyAlignment="1">
      <alignment horizontal="center"/>
    </xf>
    <xf numFmtId="39" fontId="9" fillId="0" borderId="0" xfId="7" applyFont="1" applyFill="1"/>
    <xf numFmtId="43" fontId="9" fillId="0" borderId="0" xfId="3" applyFont="1" applyFill="1" applyAlignment="1" applyProtection="1">
      <alignment horizontal="center"/>
      <protection locked="0"/>
    </xf>
    <xf numFmtId="43" fontId="9" fillId="0" borderId="0" xfId="3" applyFont="1" applyFill="1" applyProtection="1">
      <protection locked="0"/>
    </xf>
    <xf numFmtId="49" fontId="9" fillId="0" borderId="0" xfId="4" applyNumberFormat="1" applyFont="1" applyFill="1" applyAlignment="1" applyProtection="1">
      <alignment horizontal="center"/>
      <protection locked="0"/>
    </xf>
    <xf numFmtId="39" fontId="9" fillId="0" borderId="0" xfId="7" applyFont="1" applyFill="1" applyAlignment="1">
      <alignment horizontal="center"/>
    </xf>
    <xf numFmtId="16" fontId="9" fillId="0" borderId="0" xfId="6" quotePrefix="1" applyNumberFormat="1" applyFont="1" applyFill="1" applyAlignment="1">
      <alignment horizontal="center"/>
    </xf>
    <xf numFmtId="39" fontId="21" fillId="0" borderId="0" xfId="2" applyFont="1" applyFill="1" applyAlignment="1">
      <alignment horizontal="right"/>
    </xf>
    <xf numFmtId="0" fontId="53" fillId="0" borderId="0" xfId="6" applyNumberFormat="1" applyFont="1" applyFill="1" applyAlignment="1">
      <alignment horizontal="center"/>
    </xf>
    <xf numFmtId="43" fontId="53" fillId="0" borderId="0" xfId="3" applyFont="1" applyFill="1" applyAlignment="1">
      <alignment horizontal="center"/>
    </xf>
    <xf numFmtId="39" fontId="54" fillId="0" borderId="0" xfId="7" quotePrefix="1" applyFont="1" applyFill="1" applyAlignment="1">
      <alignment horizontal="center"/>
    </xf>
    <xf numFmtId="39" fontId="55" fillId="0" borderId="0" xfId="2" quotePrefix="1" applyFont="1" applyFill="1" applyAlignment="1">
      <alignment horizontal="center"/>
    </xf>
    <xf numFmtId="39" fontId="9" fillId="0" borderId="0" xfId="2" applyFont="1" applyFill="1" applyAlignment="1" applyProtection="1">
      <alignment horizontal="center"/>
      <protection locked="0"/>
    </xf>
    <xf numFmtId="39" fontId="48" fillId="0" borderId="0" xfId="2" applyFont="1" applyFill="1"/>
    <xf numFmtId="39" fontId="21" fillId="0" borderId="0" xfId="2" applyFont="1" applyFill="1"/>
    <xf numFmtId="39" fontId="21" fillId="0" borderId="0" xfId="2" applyFont="1" applyFill="1" applyBorder="1"/>
    <xf numFmtId="39" fontId="48" fillId="0" borderId="0" xfId="2" applyFont="1" applyFill="1" applyProtection="1">
      <protection locked="0"/>
    </xf>
    <xf numFmtId="39" fontId="48" fillId="0" borderId="0" xfId="2" applyFont="1" applyFill="1" applyAlignment="1">
      <alignment horizontal="center"/>
    </xf>
    <xf numFmtId="39" fontId="23" fillId="0" borderId="1" xfId="2" applyFont="1" applyFill="1" applyBorder="1" applyAlignment="1" applyProtection="1">
      <alignment horizontal="right"/>
      <protection locked="0"/>
    </xf>
    <xf numFmtId="39" fontId="9" fillId="0" borderId="0" xfId="2" applyFont="1" applyFill="1" applyProtection="1">
      <protection locked="0"/>
    </xf>
    <xf numFmtId="39" fontId="23" fillId="0" borderId="0" xfId="2" applyFont="1" applyFill="1" applyBorder="1" applyProtection="1">
      <protection locked="0"/>
    </xf>
    <xf numFmtId="39" fontId="48" fillId="0" borderId="0" xfId="2" applyFont="1" applyFill="1" applyAlignment="1" applyProtection="1">
      <protection locked="0"/>
    </xf>
    <xf numFmtId="39" fontId="23" fillId="0" borderId="0" xfId="2" applyFont="1" applyFill="1" applyBorder="1" applyAlignment="1" applyProtection="1">
      <alignment horizontal="right"/>
      <protection locked="0"/>
    </xf>
    <xf numFmtId="39" fontId="23" fillId="0" borderId="0" xfId="2" applyFont="1" applyFill="1" applyBorder="1" applyAlignment="1" applyProtection="1">
      <alignment horizontal="center"/>
      <protection locked="0"/>
    </xf>
    <xf numFmtId="39" fontId="23" fillId="0" borderId="0" xfId="2" applyFont="1" applyFill="1" applyBorder="1" applyAlignment="1" applyProtection="1">
      <alignment horizontal="left"/>
      <protection locked="0"/>
    </xf>
    <xf numFmtId="164" fontId="23" fillId="0" borderId="0" xfId="2" applyNumberFormat="1" applyFont="1" applyFill="1" applyBorder="1" applyProtection="1">
      <protection locked="0"/>
    </xf>
    <xf numFmtId="39" fontId="23" fillId="0" borderId="2" xfId="2" applyFont="1" applyFill="1" applyBorder="1" applyProtection="1">
      <protection locked="0"/>
    </xf>
    <xf numFmtId="39" fontId="30" fillId="0" borderId="3" xfId="2" applyFont="1" applyFill="1" applyBorder="1"/>
    <xf numFmtId="39" fontId="24" fillId="0" borderId="3" xfId="2" applyFont="1" applyFill="1" applyBorder="1" applyAlignment="1" applyProtection="1">
      <alignment horizontal="right"/>
      <protection locked="0"/>
    </xf>
    <xf numFmtId="39" fontId="46" fillId="0" borderId="3" xfId="2" applyFont="1" applyFill="1" applyBorder="1" applyProtection="1">
      <protection locked="0"/>
    </xf>
    <xf numFmtId="39" fontId="48" fillId="0" borderId="3" xfId="2" applyFont="1" applyFill="1" applyBorder="1"/>
    <xf numFmtId="39" fontId="23" fillId="0" borderId="4" xfId="2" applyFont="1" applyFill="1" applyBorder="1" applyAlignment="1" applyProtection="1">
      <alignment horizontal="center"/>
      <protection locked="0"/>
    </xf>
    <xf numFmtId="39" fontId="41" fillId="0" borderId="3" xfId="2" applyFont="1" applyFill="1" applyBorder="1" applyAlignment="1" applyProtection="1">
      <alignment horizontal="left"/>
      <protection locked="0"/>
    </xf>
    <xf numFmtId="39" fontId="41" fillId="0" borderId="3" xfId="2" applyFont="1" applyFill="1" applyBorder="1" applyAlignment="1" applyProtection="1">
      <alignment horizontal="right"/>
      <protection locked="0"/>
    </xf>
    <xf numFmtId="164" fontId="41" fillId="0" borderId="4" xfId="2" applyNumberFormat="1" applyFont="1" applyFill="1" applyBorder="1" applyAlignment="1" applyProtection="1">
      <alignment horizontal="center"/>
      <protection locked="0"/>
    </xf>
    <xf numFmtId="164" fontId="41" fillId="0" borderId="5" xfId="2" applyNumberFormat="1" applyFont="1" applyFill="1" applyBorder="1" applyAlignment="1" applyProtection="1">
      <alignment horizontal="center"/>
      <protection locked="0"/>
    </xf>
    <xf numFmtId="39" fontId="9" fillId="0" borderId="6" xfId="2" applyFont="1" applyFill="1" applyBorder="1" applyAlignment="1">
      <alignment horizontal="right"/>
    </xf>
    <xf numFmtId="39" fontId="9" fillId="0" borderId="0" xfId="2" applyFont="1" applyFill="1" applyBorder="1" applyAlignment="1">
      <alignment horizontal="right"/>
    </xf>
    <xf numFmtId="39" fontId="9" fillId="0" borderId="2" xfId="8" applyNumberFormat="1" applyFont="1" applyFill="1" applyBorder="1" applyProtection="1">
      <protection locked="0"/>
    </xf>
    <xf numFmtId="39" fontId="9" fillId="0" borderId="2" xfId="2" applyFont="1" applyFill="1" applyBorder="1"/>
    <xf numFmtId="43" fontId="9" fillId="0" borderId="7" xfId="3" applyFont="1" applyFill="1" applyBorder="1" applyAlignment="1" applyProtection="1">
      <alignment horizontal="center"/>
      <protection locked="0"/>
    </xf>
    <xf numFmtId="39" fontId="48" fillId="0" borderId="9" xfId="2" applyFont="1" applyFill="1" applyBorder="1" applyProtection="1">
      <protection locked="0"/>
    </xf>
    <xf numFmtId="39" fontId="48" fillId="0" borderId="2" xfId="8" applyNumberFormat="1" applyFont="1" applyFill="1" applyBorder="1" applyProtection="1">
      <protection locked="0"/>
    </xf>
    <xf numFmtId="39" fontId="31" fillId="0" borderId="7" xfId="2" applyFont="1" applyFill="1" applyBorder="1"/>
    <xf numFmtId="39" fontId="31" fillId="0" borderId="2" xfId="2" quotePrefix="1" applyFont="1" applyFill="1" applyBorder="1"/>
    <xf numFmtId="49" fontId="31" fillId="0" borderId="9" xfId="10" applyNumberFormat="1" applyFont="1" applyFill="1" applyBorder="1" applyAlignment="1" applyProtection="1">
      <alignment horizontal="center"/>
      <protection locked="0"/>
    </xf>
    <xf numFmtId="39" fontId="9" fillId="0" borderId="0" xfId="2" applyFont="1" applyFill="1" applyAlignment="1">
      <alignment horizontal="right"/>
    </xf>
    <xf numFmtId="39" fontId="9" fillId="0" borderId="9" xfId="8" applyNumberFormat="1" applyFont="1" applyFill="1" applyBorder="1" applyProtection="1">
      <protection locked="0"/>
    </xf>
    <xf numFmtId="39" fontId="9" fillId="0" borderId="9" xfId="2" quotePrefix="1" applyFont="1" applyFill="1" applyBorder="1" applyAlignment="1" applyProtection="1">
      <alignment horizontal="center"/>
      <protection locked="0"/>
    </xf>
    <xf numFmtId="39" fontId="48" fillId="0" borderId="9" xfId="8" applyNumberFormat="1" applyFont="1" applyFill="1" applyBorder="1" applyProtection="1">
      <protection locked="0"/>
    </xf>
    <xf numFmtId="39" fontId="41" fillId="0" borderId="7" xfId="2" applyFont="1" applyFill="1" applyBorder="1" applyAlignment="1" applyProtection="1">
      <alignment horizontal="left"/>
      <protection locked="0"/>
    </xf>
    <xf numFmtId="39" fontId="31" fillId="0" borderId="9" xfId="2" applyFont="1" applyFill="1" applyBorder="1" applyAlignment="1" applyProtection="1">
      <alignment horizontal="left"/>
      <protection locked="0"/>
    </xf>
    <xf numFmtId="4" fontId="48" fillId="0" borderId="10" xfId="10" quotePrefix="1" applyNumberFormat="1" applyFont="1" applyFill="1" applyBorder="1" applyAlignment="1" applyProtection="1">
      <alignment horizontal="center"/>
      <protection locked="0"/>
    </xf>
    <xf numFmtId="4" fontId="48" fillId="0" borderId="9" xfId="10" quotePrefix="1" applyNumberFormat="1" applyFont="1" applyFill="1" applyBorder="1" applyAlignment="1" applyProtection="1">
      <alignment horizontal="center"/>
      <protection locked="0"/>
    </xf>
    <xf numFmtId="39" fontId="58" fillId="0" borderId="9" xfId="2" applyFont="1" applyFill="1" applyBorder="1" applyAlignment="1" applyProtection="1">
      <alignment horizontal="left"/>
      <protection locked="0"/>
    </xf>
    <xf numFmtId="49" fontId="48" fillId="0" borderId="9" xfId="10" quotePrefix="1" applyNumberFormat="1" applyFont="1" applyFill="1" applyBorder="1" applyAlignment="1" applyProtection="1">
      <alignment horizontal="center"/>
      <protection locked="0"/>
    </xf>
    <xf numFmtId="39" fontId="41" fillId="0" borderId="7" xfId="2" applyFont="1" applyFill="1" applyBorder="1"/>
    <xf numFmtId="39" fontId="31" fillId="0" borderId="9" xfId="2" quotePrefix="1" applyFont="1" applyFill="1" applyBorder="1"/>
    <xf numFmtId="39" fontId="31" fillId="0" borderId="9" xfId="2" applyFont="1" applyFill="1" applyBorder="1"/>
    <xf numFmtId="39" fontId="9" fillId="0" borderId="9" xfId="2" quotePrefix="1" applyFont="1" applyFill="1" applyBorder="1" applyAlignment="1" applyProtection="1">
      <alignment horizontal="left"/>
      <protection locked="0"/>
    </xf>
    <xf numFmtId="39" fontId="9" fillId="0" borderId="9" xfId="2" applyFont="1" applyFill="1" applyBorder="1" applyProtection="1">
      <protection locked="0"/>
    </xf>
    <xf numFmtId="39" fontId="59" fillId="0" borderId="9" xfId="2" applyFont="1" applyFill="1" applyBorder="1" applyAlignment="1" applyProtection="1">
      <alignment horizontal="left"/>
      <protection locked="0"/>
    </xf>
    <xf numFmtId="49" fontId="48" fillId="0" borderId="9" xfId="10" applyNumberFormat="1" applyFont="1" applyFill="1" applyBorder="1" applyAlignment="1" applyProtection="1">
      <alignment horizontal="center"/>
      <protection locked="0"/>
    </xf>
    <xf numFmtId="39" fontId="60" fillId="0" borderId="9" xfId="2" applyFont="1" applyFill="1" applyBorder="1"/>
    <xf numFmtId="39" fontId="31" fillId="0" borderId="9" xfId="2" applyFont="1" applyFill="1" applyBorder="1" applyProtection="1">
      <protection locked="0"/>
    </xf>
    <xf numFmtId="39" fontId="31" fillId="0" borderId="9" xfId="8" applyFont="1" applyFill="1" applyBorder="1" applyAlignment="1" applyProtection="1">
      <alignment horizontal="left"/>
      <protection locked="0"/>
    </xf>
    <xf numFmtId="39" fontId="9" fillId="0" borderId="9" xfId="2" applyFont="1" applyFill="1" applyBorder="1" applyAlignment="1" applyProtection="1">
      <alignment horizontal="center"/>
      <protection locked="0"/>
    </xf>
    <xf numFmtId="39" fontId="41" fillId="0" borderId="0" xfId="2" applyFont="1" applyFill="1"/>
    <xf numFmtId="39" fontId="60" fillId="0" borderId="9" xfId="2" applyFont="1" applyFill="1" applyBorder="1" applyAlignment="1" applyProtection="1">
      <alignment horizontal="left"/>
      <protection locked="0"/>
    </xf>
    <xf numFmtId="39" fontId="41" fillId="0" borderId="0" xfId="2" applyFont="1" applyFill="1" applyBorder="1" applyAlignment="1" applyProtection="1">
      <alignment horizontal="left"/>
      <protection locked="0"/>
    </xf>
    <xf numFmtId="43" fontId="9" fillId="0" borderId="13" xfId="3" applyFont="1" applyFill="1" applyBorder="1" applyAlignment="1" applyProtection="1">
      <alignment horizontal="center"/>
      <protection locked="0"/>
    </xf>
    <xf numFmtId="39" fontId="31" fillId="0" borderId="11" xfId="2" applyFont="1" applyFill="1" applyBorder="1" applyAlignment="1" applyProtection="1">
      <alignment horizontal="left"/>
      <protection locked="0"/>
    </xf>
    <xf numFmtId="49" fontId="48" fillId="0" borderId="11" xfId="10" quotePrefix="1" applyNumberFormat="1" applyFont="1" applyFill="1" applyBorder="1" applyAlignment="1" applyProtection="1">
      <alignment horizontal="center"/>
      <protection locked="0"/>
    </xf>
    <xf numFmtId="39" fontId="26" fillId="0" borderId="0" xfId="2" applyFont="1" applyFill="1" applyAlignment="1">
      <alignment horizontal="center"/>
    </xf>
    <xf numFmtId="39" fontId="23" fillId="0" borderId="0" xfId="10" applyFont="1" applyFill="1"/>
    <xf numFmtId="39" fontId="23" fillId="0" borderId="0" xfId="10" applyFont="1" applyFill="1" applyBorder="1"/>
    <xf numFmtId="39" fontId="26" fillId="0" borderId="2" xfId="7" quotePrefix="1" applyFont="1" applyFill="1" applyBorder="1" applyAlignment="1" applyProtection="1">
      <alignment horizontal="center"/>
    </xf>
    <xf numFmtId="39" fontId="26" fillId="0" borderId="8" xfId="7" quotePrefix="1" applyFont="1" applyFill="1" applyBorder="1" applyAlignment="1" applyProtection="1">
      <alignment horizontal="center"/>
    </xf>
    <xf numFmtId="39" fontId="26" fillId="0" borderId="12" xfId="7" quotePrefix="1" applyFont="1" applyFill="1" applyBorder="1" applyAlignment="1" applyProtection="1">
      <alignment horizontal="center"/>
    </xf>
    <xf numFmtId="39" fontId="9" fillId="0" borderId="7" xfId="7" applyFont="1" applyFill="1" applyBorder="1" applyAlignment="1" applyProtection="1">
      <alignment horizontal="center"/>
    </xf>
    <xf numFmtId="39" fontId="26" fillId="0" borderId="9" xfId="7" applyFont="1" applyFill="1" applyBorder="1" applyAlignment="1" applyProtection="1">
      <alignment horizontal="center"/>
    </xf>
    <xf numFmtId="39" fontId="26" fillId="0" borderId="9" xfId="7" quotePrefix="1" applyFont="1" applyFill="1" applyBorder="1" applyAlignment="1" applyProtection="1">
      <alignment horizontal="center"/>
    </xf>
    <xf numFmtId="39" fontId="9" fillId="0" borderId="9" xfId="7" applyFont="1" applyFill="1" applyBorder="1" applyAlignment="1" applyProtection="1">
      <alignment horizontal="center"/>
    </xf>
    <xf numFmtId="39" fontId="9" fillId="0" borderId="11" xfId="7" applyFont="1" applyFill="1" applyBorder="1" applyAlignment="1" applyProtection="1">
      <alignment horizontal="center"/>
    </xf>
    <xf numFmtId="39" fontId="9" fillId="0" borderId="10" xfId="7" applyFont="1" applyFill="1" applyBorder="1" applyAlignment="1" applyProtection="1">
      <alignment horizontal="center"/>
    </xf>
    <xf numFmtId="9" fontId="23" fillId="0" borderId="0" xfId="24" applyFont="1" applyFill="1" applyAlignment="1">
      <alignment horizontal="center"/>
    </xf>
    <xf numFmtId="39" fontId="9" fillId="0" borderId="7" xfId="7" applyFont="1" applyFill="1" applyBorder="1"/>
    <xf numFmtId="39" fontId="9" fillId="0" borderId="0" xfId="7" applyFont="1" applyFill="1" applyBorder="1" applyAlignment="1" applyProtection="1">
      <alignment horizontal="center"/>
    </xf>
    <xf numFmtId="39" fontId="9" fillId="0" borderId="10" xfId="7" applyFont="1" applyFill="1" applyBorder="1"/>
    <xf numFmtId="39" fontId="9" fillId="0" borderId="9" xfId="7" applyFont="1" applyFill="1" applyBorder="1"/>
    <xf numFmtId="39" fontId="9" fillId="0" borderId="7" xfId="7" applyFont="1" applyFill="1" applyBorder="1" applyAlignment="1">
      <alignment horizontal="center"/>
    </xf>
    <xf numFmtId="39" fontId="9" fillId="0" borderId="10" xfId="7" applyFont="1" applyFill="1" applyBorder="1" applyAlignment="1">
      <alignment horizontal="center"/>
    </xf>
    <xf numFmtId="39" fontId="9" fillId="0" borderId="14" xfId="7" applyFont="1" applyFill="1" applyBorder="1"/>
    <xf numFmtId="39" fontId="9" fillId="0" borderId="11" xfId="7" applyFont="1" applyFill="1" applyBorder="1"/>
    <xf numFmtId="39" fontId="9" fillId="0" borderId="13" xfId="7" applyFont="1" applyFill="1" applyBorder="1"/>
    <xf numFmtId="39" fontId="9" fillId="0" borderId="0" xfId="2" applyFont="1" applyFill="1" applyBorder="1" applyAlignment="1" applyProtection="1">
      <alignment horizontal="left"/>
    </xf>
    <xf numFmtId="39" fontId="9" fillId="0" borderId="0" xfId="2" applyFont="1" applyFill="1" applyAlignment="1" applyProtection="1">
      <alignment horizontal="left"/>
    </xf>
    <xf numFmtId="39" fontId="9" fillId="0" borderId="0" xfId="2" applyFont="1" applyFill="1" applyAlignment="1" applyProtection="1">
      <alignment horizontal="left"/>
      <protection locked="0"/>
    </xf>
    <xf numFmtId="39" fontId="41" fillId="0" borderId="0" xfId="2" applyFont="1" applyFill="1" applyProtection="1">
      <protection locked="0"/>
    </xf>
    <xf numFmtId="39" fontId="61" fillId="0" borderId="0" xfId="2" applyFont="1" applyFill="1" applyProtection="1">
      <protection locked="0"/>
    </xf>
    <xf numFmtId="39" fontId="30" fillId="0" borderId="0" xfId="2" applyFont="1" applyFill="1" applyAlignment="1" applyProtection="1">
      <alignment horizontal="left"/>
    </xf>
    <xf numFmtId="39" fontId="9" fillId="0" borderId="0" xfId="2" applyFont="1" applyFill="1" applyBorder="1" applyAlignment="1">
      <alignment horizontal="centerContinuous"/>
    </xf>
    <xf numFmtId="39" fontId="9" fillId="0" borderId="0" xfId="2" applyFont="1" applyFill="1" applyAlignment="1">
      <alignment horizontal="centerContinuous"/>
    </xf>
    <xf numFmtId="39" fontId="9" fillId="0" borderId="0" xfId="2" applyFont="1" applyFill="1" applyAlignment="1" applyProtection="1"/>
    <xf numFmtId="39" fontId="9" fillId="0" borderId="0" xfId="2" applyFont="1" applyFill="1" applyAlignment="1" applyProtection="1">
      <alignment horizontal="center"/>
    </xf>
    <xf numFmtId="39" fontId="23" fillId="0" borderId="0" xfId="2" applyFont="1" applyFill="1" applyAlignment="1" applyProtection="1">
      <alignment horizontal="center"/>
      <protection locked="0"/>
    </xf>
    <xf numFmtId="39" fontId="23" fillId="0" borderId="0" xfId="2" applyFont="1" applyFill="1" applyAlignment="1" applyProtection="1">
      <protection locked="0"/>
    </xf>
    <xf numFmtId="39" fontId="23" fillId="0" borderId="0" xfId="2" applyFont="1" applyFill="1" applyAlignment="1">
      <alignment horizontal="center"/>
    </xf>
    <xf numFmtId="39" fontId="41" fillId="0" borderId="0" xfId="2" applyFont="1" applyFill="1" applyAlignment="1"/>
    <xf numFmtId="39" fontId="22" fillId="0" borderId="0" xfId="2" applyFont="1" applyFill="1" applyAlignment="1" applyProtection="1">
      <alignment horizontal="left"/>
    </xf>
    <xf numFmtId="39" fontId="22" fillId="0" borderId="0" xfId="2" applyFont="1" applyFill="1"/>
    <xf numFmtId="39" fontId="30" fillId="0" borderId="0" xfId="2" applyFont="1"/>
    <xf numFmtId="39" fontId="41" fillId="0" borderId="1" xfId="2" applyFont="1" applyBorder="1"/>
    <xf numFmtId="39" fontId="31" fillId="0" borderId="6" xfId="2" applyFont="1" applyBorder="1"/>
    <xf numFmtId="165" fontId="31" fillId="0" borderId="0" xfId="3" applyNumberFormat="1" applyFont="1" applyAlignment="1"/>
    <xf numFmtId="0" fontId="41" fillId="0" borderId="19" xfId="2" applyNumberFormat="1" applyFont="1" applyBorder="1" applyAlignment="1">
      <alignment horizontal="center"/>
    </xf>
    <xf numFmtId="0" fontId="41" fillId="10" borderId="19" xfId="2" applyNumberFormat="1" applyFont="1" applyFill="1" applyBorder="1" applyAlignment="1">
      <alignment horizontal="center"/>
    </xf>
    <xf numFmtId="39" fontId="41" fillId="0" borderId="0" xfId="2" applyFont="1" applyFill="1" applyAlignment="1">
      <alignment horizontal="right"/>
    </xf>
    <xf numFmtId="39" fontId="43" fillId="0" borderId="0" xfId="11" applyFont="1"/>
    <xf numFmtId="0" fontId="31" fillId="0" borderId="0" xfId="2" applyNumberFormat="1" applyFont="1" applyAlignment="1">
      <alignment horizontal="center"/>
    </xf>
    <xf numFmtId="39" fontId="31" fillId="0" borderId="0" xfId="2" applyFont="1" applyAlignment="1">
      <alignment horizontal="right"/>
    </xf>
    <xf numFmtId="0" fontId="9" fillId="0" borderId="0" xfId="2" applyNumberFormat="1" applyFont="1" applyAlignment="1">
      <alignment horizontal="center"/>
    </xf>
    <xf numFmtId="39" fontId="9" fillId="0" borderId="0" xfId="12" applyFont="1" applyAlignment="1">
      <alignment horizontal="left"/>
    </xf>
    <xf numFmtId="39" fontId="23" fillId="0" borderId="0" xfId="12" applyFont="1"/>
    <xf numFmtId="0" fontId="30" fillId="0" borderId="0" xfId="4" applyFont="1"/>
    <xf numFmtId="39" fontId="28" fillId="0" borderId="0" xfId="2" quotePrefix="1" applyFont="1" applyAlignment="1">
      <alignment horizontal="center"/>
    </xf>
    <xf numFmtId="39" fontId="28" fillId="0" borderId="0" xfId="2" applyFont="1" applyAlignment="1">
      <alignment horizontal="center"/>
    </xf>
    <xf numFmtId="39" fontId="24" fillId="0" borderId="16" xfId="2" applyFont="1" applyBorder="1" applyAlignment="1">
      <alignment vertical="center"/>
    </xf>
    <xf numFmtId="39" fontId="28" fillId="0" borderId="17" xfId="2" applyFont="1" applyBorder="1" applyAlignment="1" applyProtection="1">
      <alignment vertical="center"/>
    </xf>
    <xf numFmtId="39" fontId="46" fillId="0" borderId="17" xfId="2" applyFont="1" applyBorder="1" applyAlignment="1" applyProtection="1">
      <alignment vertical="center"/>
    </xf>
    <xf numFmtId="0" fontId="39" fillId="0" borderId="2" xfId="14" quotePrefix="1" applyNumberFormat="1" applyFont="1" applyFill="1" applyBorder="1" applyAlignment="1" applyProtection="1">
      <alignment horizontal="center"/>
    </xf>
    <xf numFmtId="39" fontId="9" fillId="0" borderId="12" xfId="12" applyFont="1" applyBorder="1" applyAlignment="1" applyProtection="1">
      <alignment horizontal="left"/>
    </xf>
    <xf numFmtId="0" fontId="39" fillId="0" borderId="9" xfId="14" quotePrefix="1" applyNumberFormat="1" applyFont="1" applyFill="1" applyBorder="1" applyAlignment="1" applyProtection="1">
      <alignment horizontal="center"/>
    </xf>
    <xf numFmtId="39" fontId="30" fillId="0" borderId="9" xfId="2" applyFont="1" applyBorder="1" applyAlignment="1" applyProtection="1">
      <alignment horizontal="center"/>
    </xf>
    <xf numFmtId="39" fontId="46" fillId="0" borderId="0" xfId="2" applyFont="1" applyBorder="1"/>
    <xf numFmtId="39" fontId="48" fillId="0" borderId="19" xfId="2" applyFont="1" applyBorder="1" applyAlignment="1">
      <alignment horizontal="left"/>
    </xf>
    <xf numFmtId="39" fontId="48" fillId="0" borderId="0" xfId="2" applyFont="1" applyAlignment="1">
      <alignment horizontal="left"/>
    </xf>
    <xf numFmtId="39" fontId="41" fillId="0" borderId="0" xfId="2" applyFont="1" applyAlignment="1">
      <alignment horizontal="left" vertical="center"/>
    </xf>
    <xf numFmtId="43" fontId="31" fillId="0" borderId="0" xfId="3" applyFont="1" applyAlignment="1">
      <alignment vertical="center"/>
    </xf>
    <xf numFmtId="43" fontId="9" fillId="0" borderId="7" xfId="3" applyFont="1" applyBorder="1"/>
    <xf numFmtId="39" fontId="9" fillId="0" borderId="7" xfId="12" applyFont="1" applyFill="1" applyBorder="1" applyProtection="1"/>
    <xf numFmtId="43" fontId="30" fillId="9" borderId="0" xfId="3" applyFont="1" applyFill="1" applyBorder="1" applyProtection="1"/>
    <xf numFmtId="39" fontId="9" fillId="0" borderId="7" xfId="12" applyFont="1" applyFill="1" applyBorder="1"/>
    <xf numFmtId="39" fontId="9" fillId="0" borderId="9" xfId="15" applyFont="1" applyFill="1" applyBorder="1" applyProtection="1"/>
    <xf numFmtId="39" fontId="9" fillId="0" borderId="7" xfId="10" applyFont="1" applyFill="1" applyBorder="1" applyProtection="1"/>
    <xf numFmtId="39" fontId="9" fillId="0" borderId="0" xfId="13" applyFont="1" applyFill="1" applyBorder="1" applyAlignment="1" applyProtection="1">
      <alignment horizontal="left"/>
    </xf>
    <xf numFmtId="43" fontId="9" fillId="0" borderId="7" xfId="3" applyFont="1" applyFill="1" applyBorder="1" applyProtection="1"/>
    <xf numFmtId="39" fontId="9" fillId="0" borderId="0" xfId="12" applyFont="1" applyFill="1" applyBorder="1" applyAlignment="1" applyProtection="1">
      <alignment horizontal="left"/>
    </xf>
    <xf numFmtId="39" fontId="9" fillId="0" borderId="7" xfId="2" applyFont="1" applyBorder="1" applyProtection="1"/>
    <xf numFmtId="39" fontId="26" fillId="0" borderId="7" xfId="2" applyFont="1" applyBorder="1" applyAlignment="1" applyProtection="1">
      <alignment horizontal="fill"/>
    </xf>
    <xf numFmtId="39" fontId="24" fillId="0" borderId="2" xfId="2" applyFont="1" applyBorder="1" applyAlignment="1" applyProtection="1">
      <alignment horizontal="center"/>
    </xf>
    <xf numFmtId="0" fontId="24" fillId="0" borderId="2" xfId="4" applyFont="1" applyBorder="1" applyAlignment="1">
      <alignment horizontal="center"/>
    </xf>
    <xf numFmtId="0" fontId="24" fillId="0" borderId="9" xfId="4" applyFont="1" applyBorder="1" applyAlignment="1">
      <alignment horizontal="center"/>
    </xf>
    <xf numFmtId="0" fontId="24" fillId="0" borderId="11" xfId="4" applyFont="1" applyBorder="1" applyAlignment="1">
      <alignment horizontal="center"/>
    </xf>
    <xf numFmtId="39" fontId="51" fillId="0" borderId="0" xfId="2" applyFont="1" applyProtection="1">
      <protection locked="0"/>
    </xf>
    <xf numFmtId="39" fontId="30" fillId="0" borderId="0" xfId="2" applyFont="1" applyAlignment="1" applyProtection="1">
      <alignment horizontal="center"/>
    </xf>
    <xf numFmtId="39" fontId="8" fillId="0" borderId="0" xfId="2" applyFont="1"/>
    <xf numFmtId="9" fontId="8" fillId="0" borderId="0" xfId="24" applyFont="1"/>
    <xf numFmtId="39" fontId="8" fillId="0" borderId="0" xfId="2" applyFont="1" applyAlignment="1" applyProtection="1">
      <alignment horizontal="left"/>
      <protection locked="0"/>
    </xf>
    <xf numFmtId="39" fontId="62" fillId="0" borderId="0" xfId="2" applyFont="1"/>
    <xf numFmtId="39" fontId="62" fillId="0" borderId="0" xfId="2" applyFont="1" applyAlignment="1" applyProtection="1">
      <alignment horizontal="left"/>
      <protection locked="0"/>
    </xf>
    <xf numFmtId="39" fontId="63" fillId="0" borderId="0" xfId="2" applyFont="1"/>
    <xf numFmtId="39" fontId="63" fillId="0" borderId="0" xfId="2" applyFont="1" applyProtection="1">
      <protection locked="0"/>
    </xf>
    <xf numFmtId="39" fontId="64" fillId="0" borderId="0" xfId="2" applyFont="1" applyAlignment="1" applyProtection="1">
      <alignment horizontal="left"/>
      <protection locked="0"/>
    </xf>
    <xf numFmtId="39" fontId="65" fillId="0" borderId="0" xfId="2" applyFont="1"/>
    <xf numFmtId="9" fontId="65" fillId="0" borderId="0" xfId="24" applyFont="1"/>
    <xf numFmtId="39" fontId="66" fillId="0" borderId="0" xfId="2" applyFont="1"/>
    <xf numFmtId="9" fontId="30" fillId="0" borderId="0" xfId="24" applyFont="1"/>
    <xf numFmtId="39" fontId="23" fillId="0" borderId="0" xfId="2" applyFont="1" applyAlignment="1" applyProtection="1">
      <protection locked="0"/>
    </xf>
    <xf numFmtId="39" fontId="43" fillId="0" borderId="0" xfId="11" applyFont="1" applyAlignment="1"/>
    <xf numFmtId="39" fontId="6" fillId="0" borderId="0" xfId="2" applyFont="1" applyProtection="1">
      <protection locked="0"/>
    </xf>
    <xf numFmtId="39" fontId="6" fillId="0" borderId="0" xfId="2" applyFont="1"/>
    <xf numFmtId="39" fontId="8" fillId="0" borderId="0" xfId="2" applyFont="1" applyProtection="1">
      <protection locked="0"/>
    </xf>
    <xf numFmtId="9" fontId="8" fillId="0" borderId="0" xfId="24" applyFont="1" applyProtection="1">
      <protection locked="0"/>
    </xf>
    <xf numFmtId="39" fontId="62" fillId="0" borderId="0" xfId="2" applyFont="1" applyProtection="1">
      <protection locked="0"/>
    </xf>
    <xf numFmtId="39" fontId="8" fillId="0" borderId="0" xfId="2" applyFont="1" applyAlignment="1" applyProtection="1">
      <alignment horizontal="center"/>
      <protection locked="0"/>
    </xf>
    <xf numFmtId="39" fontId="63" fillId="0" borderId="0" xfId="2" applyFont="1" applyAlignment="1" applyProtection="1">
      <alignment horizontal="center"/>
      <protection locked="0"/>
    </xf>
    <xf numFmtId="164" fontId="64" fillId="0" borderId="0" xfId="2" applyNumberFormat="1" applyFont="1" applyAlignment="1" applyProtection="1">
      <alignment horizontal="left"/>
      <protection locked="0"/>
    </xf>
    <xf numFmtId="39" fontId="8" fillId="0" borderId="0" xfId="2" applyFont="1" applyFill="1"/>
    <xf numFmtId="39" fontId="8" fillId="0" borderId="0" xfId="2" applyFont="1" applyFill="1" applyBorder="1" applyAlignment="1">
      <alignment horizontal="center"/>
    </xf>
    <xf numFmtId="9" fontId="8" fillId="0" borderId="0" xfId="24" applyFont="1" applyFill="1" applyBorder="1" applyAlignment="1">
      <alignment horizontal="center"/>
    </xf>
    <xf numFmtId="43" fontId="24" fillId="0" borderId="4" xfId="3" applyFont="1" applyFill="1" applyBorder="1" applyAlignment="1" applyProtection="1">
      <alignment horizontal="left"/>
      <protection locked="0"/>
    </xf>
    <xf numFmtId="43" fontId="24" fillId="0" borderId="4" xfId="3" applyFont="1" applyFill="1" applyBorder="1" applyAlignment="1" applyProtection="1">
      <alignment horizontal="left" wrapText="1"/>
      <protection locked="0"/>
    </xf>
    <xf numFmtId="39" fontId="68" fillId="0" borderId="3" xfId="2" applyFont="1" applyFill="1" applyBorder="1" applyAlignment="1">
      <alignment horizontal="center"/>
    </xf>
    <xf numFmtId="39" fontId="62" fillId="0" borderId="5" xfId="2" applyFont="1" applyFill="1" applyBorder="1"/>
    <xf numFmtId="0" fontId="66" fillId="0" borderId="3" xfId="4" applyFont="1" applyBorder="1"/>
    <xf numFmtId="39" fontId="62" fillId="0" borderId="3" xfId="2" applyFont="1" applyFill="1" applyBorder="1"/>
    <xf numFmtId="39" fontId="8" fillId="0" borderId="5" xfId="2" applyFont="1" applyFill="1" applyBorder="1" applyAlignment="1">
      <alignment horizontal="centerContinuous"/>
    </xf>
    <xf numFmtId="43" fontId="38" fillId="0" borderId="7" xfId="3" applyFont="1" applyFill="1" applyBorder="1" applyAlignment="1">
      <alignment horizontal="center"/>
    </xf>
    <xf numFmtId="43" fontId="38" fillId="0" borderId="7" xfId="3" applyFont="1" applyFill="1" applyBorder="1" applyAlignment="1" applyProtection="1">
      <alignment horizontal="center"/>
      <protection locked="0"/>
    </xf>
    <xf numFmtId="43" fontId="30" fillId="0" borderId="9" xfId="3" applyFont="1" applyFill="1" applyBorder="1" applyAlignment="1" applyProtection="1">
      <alignment horizontal="center"/>
      <protection locked="0"/>
    </xf>
    <xf numFmtId="43" fontId="30" fillId="0" borderId="7" xfId="3" applyFont="1" applyFill="1" applyBorder="1" applyAlignment="1" applyProtection="1">
      <alignment horizontal="center"/>
      <protection locked="0"/>
    </xf>
    <xf numFmtId="39" fontId="28" fillId="0" borderId="9" xfId="2" applyFont="1" applyFill="1" applyBorder="1" applyAlignment="1" applyProtection="1">
      <alignment horizontal="center"/>
      <protection locked="0"/>
    </xf>
    <xf numFmtId="39" fontId="28" fillId="0" borderId="10" xfId="2" applyFont="1" applyFill="1" applyBorder="1" applyAlignment="1" applyProtection="1">
      <alignment horizontal="center"/>
      <protection locked="0"/>
    </xf>
    <xf numFmtId="0" fontId="42" fillId="0" borderId="10" xfId="4" applyFont="1" applyBorder="1"/>
    <xf numFmtId="39" fontId="26" fillId="0" borderId="9" xfId="2" applyFont="1" applyFill="1" applyBorder="1" applyAlignment="1" applyProtection="1">
      <alignment horizontal="left"/>
      <protection locked="0"/>
    </xf>
    <xf numFmtId="164" fontId="8" fillId="0" borderId="10" xfId="2" applyNumberFormat="1" applyFont="1" applyFill="1" applyBorder="1" applyAlignment="1" applyProtection="1">
      <alignment horizontal="centerContinuous"/>
      <protection locked="0"/>
    </xf>
    <xf numFmtId="43" fontId="30" fillId="0" borderId="7" xfId="3" applyFont="1" applyFill="1" applyBorder="1" applyAlignment="1">
      <alignment horizontal="center"/>
    </xf>
    <xf numFmtId="43" fontId="38" fillId="0" borderId="7" xfId="3" applyFont="1" applyFill="1" applyBorder="1" applyProtection="1">
      <protection locked="0"/>
    </xf>
    <xf numFmtId="43" fontId="30" fillId="0" borderId="9" xfId="3" applyFont="1" applyFill="1" applyBorder="1" applyProtection="1">
      <protection locked="0"/>
    </xf>
    <xf numFmtId="43" fontId="30" fillId="0" borderId="7" xfId="3" applyFont="1" applyFill="1" applyBorder="1" applyProtection="1">
      <protection locked="0"/>
    </xf>
    <xf numFmtId="0" fontId="26" fillId="0" borderId="9" xfId="4" applyFont="1" applyBorder="1" applyAlignment="1">
      <alignment horizontal="center"/>
    </xf>
    <xf numFmtId="0" fontId="22" fillId="0" borderId="10" xfId="4" applyFont="1" applyBorder="1" applyAlignment="1">
      <alignment horizontal="center"/>
    </xf>
    <xf numFmtId="0" fontId="22" fillId="0" borderId="10" xfId="4" applyFont="1" applyBorder="1"/>
    <xf numFmtId="39" fontId="26" fillId="0" borderId="9" xfId="2" applyFont="1" applyFill="1" applyBorder="1"/>
    <xf numFmtId="0" fontId="26" fillId="0" borderId="9" xfId="4" applyFont="1" applyBorder="1"/>
    <xf numFmtId="0" fontId="26" fillId="0" borderId="9" xfId="4" applyFont="1" applyBorder="1" applyAlignment="1">
      <alignment horizontal="left"/>
    </xf>
    <xf numFmtId="39" fontId="8" fillId="0" borderId="10" xfId="2" applyFont="1" applyFill="1" applyBorder="1"/>
    <xf numFmtId="39" fontId="8" fillId="0" borderId="10" xfId="2" applyFont="1" applyFill="1" applyBorder="1" applyAlignment="1">
      <alignment horizontal="centerContinuous"/>
    </xf>
    <xf numFmtId="43" fontId="30" fillId="0" borderId="7" xfId="3" applyFont="1" applyFill="1" applyBorder="1" applyAlignment="1" applyProtection="1">
      <alignment horizontal="center" wrapText="1"/>
      <protection locked="0"/>
    </xf>
    <xf numFmtId="3" fontId="26" fillId="0" borderId="9" xfId="4" applyNumberFormat="1" applyFont="1" applyBorder="1" applyAlignment="1">
      <alignment horizontal="center"/>
    </xf>
    <xf numFmtId="0" fontId="26" fillId="0" borderId="9" xfId="4" applyFont="1" applyBorder="1" applyAlignment="1">
      <alignment horizontal="left" wrapText="1"/>
    </xf>
    <xf numFmtId="164" fontId="8" fillId="0" borderId="10" xfId="2" applyNumberFormat="1" applyFont="1" applyFill="1" applyBorder="1" applyAlignment="1" applyProtection="1">
      <alignment horizontal="center"/>
      <protection locked="0"/>
    </xf>
    <xf numFmtId="164" fontId="8" fillId="0" borderId="10" xfId="2" applyNumberFormat="1" applyFont="1" applyFill="1" applyBorder="1" applyAlignment="1" applyProtection="1">
      <alignment horizontal="center" wrapText="1"/>
      <protection locked="0"/>
    </xf>
    <xf numFmtId="164" fontId="68" fillId="0" borderId="10" xfId="2" applyNumberFormat="1" applyFont="1" applyFill="1" applyBorder="1" applyAlignment="1" applyProtection="1">
      <alignment horizontal="center" wrapText="1"/>
      <protection locked="0"/>
    </xf>
    <xf numFmtId="39" fontId="8" fillId="10" borderId="0" xfId="2" applyFont="1" applyFill="1" applyBorder="1" applyAlignment="1">
      <alignment horizontal="center"/>
    </xf>
    <xf numFmtId="39" fontId="28" fillId="0" borderId="0" xfId="2" applyFont="1" applyFill="1" applyBorder="1" applyAlignment="1" applyProtection="1">
      <alignment horizontal="left"/>
      <protection locked="0"/>
    </xf>
    <xf numFmtId="0" fontId="26" fillId="0" borderId="9" xfId="4" quotePrefix="1" applyFont="1" applyBorder="1" applyAlignment="1">
      <alignment horizontal="center"/>
    </xf>
    <xf numFmtId="39" fontId="8" fillId="0" borderId="0" xfId="2" applyFont="1" applyAlignment="1">
      <alignment horizontal="center"/>
    </xf>
    <xf numFmtId="39" fontId="8" fillId="0" borderId="0" xfId="7" applyFont="1" applyBorder="1" applyAlignment="1" applyProtection="1">
      <alignment horizontal="center"/>
    </xf>
    <xf numFmtId="9" fontId="8" fillId="0" borderId="0" xfId="24" applyFont="1" applyBorder="1" applyAlignment="1" applyProtection="1">
      <alignment horizontal="center"/>
    </xf>
    <xf numFmtId="39" fontId="26" fillId="0" borderId="7" xfId="7" applyFont="1" applyBorder="1" applyAlignment="1" applyProtection="1">
      <alignment horizontal="center"/>
    </xf>
    <xf numFmtId="39" fontId="30" fillId="0" borderId="7" xfId="7" applyFont="1" applyBorder="1" applyAlignment="1" applyProtection="1">
      <alignment horizontal="center"/>
    </xf>
    <xf numFmtId="39" fontId="26" fillId="0" borderId="11" xfId="7" applyFont="1" applyBorder="1" applyAlignment="1" applyProtection="1">
      <alignment horizontal="center"/>
    </xf>
    <xf numFmtId="39" fontId="26" fillId="0" borderId="10" xfId="7" applyFont="1" applyBorder="1" applyAlignment="1" applyProtection="1">
      <alignment horizontal="center"/>
    </xf>
    <xf numFmtId="39" fontId="26" fillId="0" borderId="9" xfId="7" applyFont="1" applyBorder="1" applyAlignment="1" applyProtection="1">
      <alignment horizontal="center"/>
    </xf>
    <xf numFmtId="39" fontId="69" fillId="0" borderId="10" xfId="7" applyFont="1" applyBorder="1" applyAlignment="1" applyProtection="1">
      <alignment horizontal="center"/>
    </xf>
    <xf numFmtId="39" fontId="26" fillId="0" borderId="8" xfId="7" quotePrefix="1" applyFont="1" applyBorder="1" applyAlignment="1" applyProtection="1">
      <alignment horizontal="center"/>
    </xf>
    <xf numFmtId="39" fontId="26" fillId="0" borderId="2" xfId="7" quotePrefix="1" applyFont="1" applyBorder="1" applyAlignment="1" applyProtection="1">
      <alignment horizontal="center"/>
    </xf>
    <xf numFmtId="39" fontId="32" fillId="0" borderId="12" xfId="7" quotePrefix="1" applyFont="1" applyBorder="1" applyAlignment="1" applyProtection="1">
      <alignment horizontal="center"/>
    </xf>
    <xf numFmtId="39" fontId="49" fillId="0" borderId="9" xfId="7" quotePrefix="1" applyFont="1" applyBorder="1" applyAlignment="1" applyProtection="1">
      <alignment horizontal="center"/>
    </xf>
    <xf numFmtId="39" fontId="49" fillId="0" borderId="9" xfId="7" applyFont="1" applyBorder="1" applyAlignment="1" applyProtection="1">
      <alignment horizontal="center"/>
    </xf>
    <xf numFmtId="39" fontId="49" fillId="0" borderId="7" xfId="7" applyFont="1" applyBorder="1" applyAlignment="1" applyProtection="1">
      <alignment horizontal="center"/>
    </xf>
    <xf numFmtId="39" fontId="49" fillId="0" borderId="10" xfId="7" applyFont="1" applyBorder="1" applyAlignment="1" applyProtection="1">
      <alignment horizontal="center"/>
    </xf>
    <xf numFmtId="39" fontId="8" fillId="0" borderId="0" xfId="2" applyFont="1" applyAlignment="1">
      <alignment vertical="center"/>
    </xf>
    <xf numFmtId="39" fontId="8" fillId="0" borderId="0" xfId="7" applyFont="1" applyBorder="1" applyAlignment="1">
      <alignment vertical="center"/>
    </xf>
    <xf numFmtId="9" fontId="8" fillId="0" borderId="0" xfId="24" applyFont="1" applyBorder="1" applyAlignment="1">
      <alignment vertical="center"/>
    </xf>
    <xf numFmtId="39" fontId="49" fillId="0" borderId="13" xfId="7" applyFont="1" applyBorder="1" applyAlignment="1" applyProtection="1">
      <alignment horizontal="center" vertical="center"/>
    </xf>
    <xf numFmtId="39" fontId="49" fillId="0" borderId="11" xfId="7" applyFont="1" applyBorder="1" applyAlignment="1" applyProtection="1">
      <alignment horizontal="center" vertical="center"/>
    </xf>
    <xf numFmtId="39" fontId="8" fillId="0" borderId="0" xfId="2" applyFont="1" applyAlignment="1" applyProtection="1">
      <alignment horizontal="left"/>
    </xf>
    <xf numFmtId="9" fontId="8" fillId="0" borderId="0" xfId="24" applyFont="1" applyAlignment="1" applyProtection="1">
      <alignment horizontal="left"/>
    </xf>
    <xf numFmtId="39" fontId="68" fillId="0" borderId="0" xfId="2" applyFont="1" applyBorder="1" applyAlignment="1" applyProtection="1">
      <alignment horizontal="left"/>
    </xf>
    <xf numFmtId="39" fontId="63" fillId="0" borderId="0" xfId="2" applyFont="1" applyAlignment="1">
      <alignment wrapText="1"/>
    </xf>
    <xf numFmtId="39" fontId="68" fillId="0" borderId="0" xfId="2" applyFont="1" applyBorder="1" applyAlignment="1" applyProtection="1">
      <alignment wrapText="1"/>
    </xf>
    <xf numFmtId="39" fontId="68" fillId="0" borderId="0" xfId="2" applyFont="1" applyBorder="1" applyAlignment="1" applyProtection="1"/>
    <xf numFmtId="9" fontId="8" fillId="0" borderId="0" xfId="24" applyFont="1" applyAlignment="1">
      <alignment vertical="center"/>
    </xf>
    <xf numFmtId="39" fontId="63" fillId="0" borderId="0" xfId="2" applyFont="1" applyAlignment="1" applyProtection="1">
      <alignment horizontal="left" vertical="center" wrapText="1"/>
      <protection locked="0"/>
    </xf>
    <xf numFmtId="39" fontId="68" fillId="0" borderId="0" xfId="2" applyFont="1" applyAlignment="1" applyProtection="1">
      <alignment horizontal="left" vertical="center"/>
    </xf>
    <xf numFmtId="39" fontId="8" fillId="0" borderId="0" xfId="2" applyFont="1" applyAlignment="1" applyProtection="1">
      <alignment horizontal="left" vertical="center" wrapText="1"/>
      <protection locked="0"/>
    </xf>
    <xf numFmtId="39" fontId="70" fillId="0" borderId="0" xfId="2" applyFont="1"/>
    <xf numFmtId="39" fontId="70" fillId="0" borderId="0" xfId="2" applyFont="1" applyAlignment="1">
      <alignment horizontal="centerContinuous"/>
    </xf>
    <xf numFmtId="9" fontId="70" fillId="0" borderId="0" xfId="24" applyFont="1" applyAlignment="1">
      <alignment horizontal="centerContinuous"/>
    </xf>
    <xf numFmtId="39" fontId="70" fillId="0" borderId="0" xfId="2" applyFont="1" applyAlignment="1" applyProtection="1">
      <alignment horizontal="center"/>
    </xf>
    <xf numFmtId="39" fontId="68" fillId="0" borderId="0" xfId="2" applyFont="1" applyAlignment="1">
      <alignment horizontal="center" vertical="center"/>
    </xf>
    <xf numFmtId="9" fontId="68" fillId="0" borderId="0" xfId="24" applyFont="1" applyAlignment="1">
      <alignment horizontal="center" vertical="center"/>
    </xf>
    <xf numFmtId="39" fontId="65" fillId="0" borderId="0" xfId="2" applyFont="1" applyAlignment="1" applyProtection="1">
      <alignment horizontal="left"/>
    </xf>
    <xf numFmtId="39" fontId="21" fillId="0" borderId="0" xfId="11" applyFont="1" applyAlignment="1" applyProtection="1">
      <alignment horizontal="left"/>
    </xf>
    <xf numFmtId="39" fontId="23" fillId="0" borderId="0" xfId="2" applyFont="1" applyAlignment="1" applyProtection="1">
      <alignment horizontal="left"/>
    </xf>
    <xf numFmtId="4" fontId="9" fillId="9" borderId="7" xfId="2" applyNumberFormat="1" applyFont="1" applyFill="1" applyBorder="1" applyProtection="1"/>
    <xf numFmtId="4" fontId="9" fillId="0" borderId="9" xfId="2" applyNumberFormat="1" applyFont="1" applyBorder="1" applyProtection="1">
      <protection locked="0"/>
    </xf>
    <xf numFmtId="39" fontId="9" fillId="0" borderId="10" xfId="25" applyFont="1" applyBorder="1" applyAlignment="1" applyProtection="1">
      <alignment horizontal="left"/>
    </xf>
    <xf numFmtId="39" fontId="9" fillId="0" borderId="10" xfId="8" applyFont="1" applyBorder="1" applyAlignment="1" applyProtection="1">
      <alignment horizontal="left"/>
    </xf>
    <xf numFmtId="0" fontId="52" fillId="10" borderId="0" xfId="4" applyFont="1" applyFill="1"/>
    <xf numFmtId="4" fontId="9" fillId="0" borderId="11" xfId="2" applyNumberFormat="1" applyFont="1" applyBorder="1" applyProtection="1">
      <protection locked="0"/>
    </xf>
    <xf numFmtId="0" fontId="9" fillId="0" borderId="7" xfId="23" quotePrefix="1" applyFont="1" applyBorder="1" applyAlignment="1">
      <alignment horizontal="center"/>
    </xf>
    <xf numFmtId="39" fontId="9" fillId="0" borderId="0" xfId="2" applyFont="1" applyAlignment="1" applyProtection="1"/>
    <xf numFmtId="39" fontId="29" fillId="0" borderId="0" xfId="2" applyFont="1" applyAlignment="1" applyProtection="1"/>
    <xf numFmtId="39" fontId="5" fillId="0" borderId="0" xfId="7" applyFont="1" applyFill="1" applyBorder="1"/>
    <xf numFmtId="43" fontId="5" fillId="0" borderId="0" xfId="3" applyFont="1" applyFill="1" applyBorder="1"/>
    <xf numFmtId="0" fontId="6" fillId="2" borderId="0" xfId="21" quotePrefix="1" applyNumberFormat="1" applyFont="1" applyFill="1" applyAlignment="1">
      <alignment horizontal="center"/>
    </xf>
    <xf numFmtId="0" fontId="6" fillId="3" borderId="0" xfId="21" quotePrefix="1" applyNumberFormat="1" applyFont="1" applyFill="1" applyAlignment="1">
      <alignment horizontal="center"/>
    </xf>
    <xf numFmtId="43" fontId="5" fillId="0" borderId="0" xfId="3" applyFont="1" applyFill="1" applyBorder="1" applyAlignment="1" applyProtection="1">
      <alignment horizontal="center"/>
      <protection locked="0"/>
    </xf>
    <xf numFmtId="43" fontId="5" fillId="0" borderId="0" xfId="3" applyFont="1" applyFill="1" applyBorder="1" applyProtection="1">
      <protection locked="0"/>
    </xf>
    <xf numFmtId="49" fontId="5" fillId="0" borderId="0" xfId="4" applyNumberFormat="1" applyFont="1" applyFill="1" applyBorder="1" applyAlignment="1" applyProtection="1">
      <alignment horizontal="center"/>
      <protection locked="0"/>
    </xf>
    <xf numFmtId="39" fontId="5" fillId="0" borderId="0" xfId="7" applyFont="1" applyFill="1" applyBorder="1" applyAlignment="1">
      <alignment horizontal="center"/>
    </xf>
    <xf numFmtId="16" fontId="6" fillId="2" borderId="0" xfId="21" quotePrefix="1" applyNumberFormat="1" applyFont="1" applyFill="1" applyAlignment="1">
      <alignment horizontal="center"/>
    </xf>
    <xf numFmtId="16" fontId="6" fillId="3" borderId="0" xfId="21" quotePrefix="1" applyNumberFormat="1" applyFont="1" applyFill="1" applyAlignment="1">
      <alignment horizontal="center"/>
    </xf>
    <xf numFmtId="43" fontId="2" fillId="0" borderId="0" xfId="3" applyFont="1" applyFill="1" applyAlignment="1">
      <alignment horizontal="center"/>
    </xf>
    <xf numFmtId="0" fontId="2" fillId="5" borderId="0" xfId="21" applyNumberFormat="1" applyFont="1" applyFill="1" applyAlignment="1">
      <alignment horizontal="center"/>
    </xf>
    <xf numFmtId="0" fontId="10" fillId="7" borderId="0" xfId="21" applyNumberFormat="1" applyFont="1" applyFill="1" applyAlignment="1">
      <alignment horizontal="center"/>
    </xf>
    <xf numFmtId="39" fontId="33" fillId="0" borderId="0" xfId="7" quotePrefix="1" applyFont="1" applyFill="1" applyBorder="1" applyAlignment="1">
      <alignment horizontal="center"/>
    </xf>
    <xf numFmtId="39" fontId="34" fillId="0" borderId="0" xfId="2" quotePrefix="1" applyFont="1" applyFill="1" applyBorder="1" applyAlignment="1">
      <alignment horizontal="center"/>
    </xf>
    <xf numFmtId="39" fontId="5" fillId="0" borderId="0" xfId="2" applyFont="1" applyFill="1" applyBorder="1" applyAlignment="1" applyProtection="1">
      <alignment horizontal="center"/>
      <protection locked="0"/>
    </xf>
    <xf numFmtId="39" fontId="14" fillId="0" borderId="6" xfId="2" applyFont="1" applyBorder="1" applyAlignment="1" applyProtection="1">
      <alignment horizontal="right"/>
      <protection locked="0"/>
    </xf>
    <xf numFmtId="39" fontId="14" fillId="0" borderId="4" xfId="2" applyFont="1" applyBorder="1" applyAlignment="1" applyProtection="1">
      <alignment horizontal="left"/>
      <protection locked="0"/>
    </xf>
    <xf numFmtId="39" fontId="5" fillId="0" borderId="6" xfId="2" applyFont="1" applyBorder="1"/>
    <xf numFmtId="49" fontId="5" fillId="0" borderId="10" xfId="17" quotePrefix="1" applyNumberFormat="1" applyFont="1" applyBorder="1" applyAlignment="1" applyProtection="1">
      <alignment horizontal="center"/>
      <protection locked="0"/>
    </xf>
    <xf numFmtId="39" fontId="5" fillId="0" borderId="7" xfId="17" applyFont="1" applyBorder="1" applyAlignment="1" applyProtection="1">
      <alignment horizontal="right"/>
      <protection locked="0"/>
    </xf>
    <xf numFmtId="39" fontId="14" fillId="0" borderId="10" xfId="17" applyFont="1" applyBorder="1" applyAlignment="1" applyProtection="1">
      <alignment horizontal="left"/>
    </xf>
    <xf numFmtId="39" fontId="5" fillId="0" borderId="10" xfId="17" applyFont="1" applyBorder="1" applyAlignment="1" applyProtection="1">
      <alignment horizontal="left"/>
      <protection locked="0"/>
    </xf>
    <xf numFmtId="2" fontId="14" fillId="0" borderId="9" xfId="10" applyNumberFormat="1" applyFont="1" applyBorder="1" applyAlignment="1" applyProtection="1">
      <alignment horizontal="center"/>
      <protection locked="0"/>
    </xf>
    <xf numFmtId="39" fontId="14" fillId="0" borderId="10" xfId="17" applyFont="1" applyBorder="1" applyProtection="1">
      <protection locked="0"/>
    </xf>
    <xf numFmtId="39" fontId="15" fillId="0" borderId="0" xfId="17" applyFont="1" applyProtection="1">
      <protection locked="0"/>
    </xf>
    <xf numFmtId="39" fontId="5" fillId="0" borderId="10" xfId="17" applyFont="1" applyBorder="1" applyProtection="1">
      <protection locked="0"/>
    </xf>
    <xf numFmtId="49" fontId="5" fillId="0" borderId="7" xfId="10" quotePrefix="1" applyNumberFormat="1" applyFont="1" applyBorder="1" applyAlignment="1" applyProtection="1">
      <alignment horizontal="center"/>
      <protection locked="0"/>
    </xf>
    <xf numFmtId="49" fontId="5" fillId="0" borderId="10" xfId="17" applyNumberFormat="1" applyFont="1" applyBorder="1" applyAlignment="1" applyProtection="1">
      <alignment horizontal="left"/>
      <protection locked="0"/>
    </xf>
    <xf numFmtId="49" fontId="5" fillId="0" borderId="10" xfId="17" applyNumberFormat="1" applyFont="1" applyBorder="1" applyAlignment="1" applyProtection="1">
      <alignment horizontal="center"/>
      <protection locked="0"/>
    </xf>
    <xf numFmtId="39" fontId="5" fillId="0" borderId="0" xfId="17" applyFont="1" applyBorder="1" applyProtection="1">
      <protection locked="0"/>
    </xf>
    <xf numFmtId="39" fontId="14" fillId="0" borderId="10" xfId="17" applyFont="1" applyBorder="1"/>
    <xf numFmtId="49" fontId="5" fillId="0" borderId="7" xfId="10" applyNumberFormat="1" applyFont="1" applyBorder="1" applyAlignment="1" applyProtection="1">
      <alignment horizontal="center"/>
      <protection locked="0"/>
    </xf>
    <xf numFmtId="49" fontId="5" fillId="0" borderId="10" xfId="17" quotePrefix="1" applyNumberFormat="1" applyFont="1" applyFill="1" applyBorder="1" applyAlignment="1" applyProtection="1">
      <alignment horizontal="center"/>
      <protection locked="0"/>
    </xf>
    <xf numFmtId="39" fontId="5" fillId="0" borderId="7" xfId="17" applyFont="1" applyFill="1" applyBorder="1" applyAlignment="1" applyProtection="1">
      <alignment horizontal="right"/>
      <protection locked="0"/>
    </xf>
    <xf numFmtId="39" fontId="5" fillId="0" borderId="0" xfId="17" applyFont="1" applyProtection="1">
      <protection locked="0"/>
    </xf>
    <xf numFmtId="39" fontId="14" fillId="0" borderId="10" xfId="17" applyFont="1" applyFill="1" applyBorder="1" applyProtection="1">
      <protection locked="0"/>
    </xf>
    <xf numFmtId="39" fontId="5" fillId="0" borderId="0" xfId="17" applyFont="1" applyFill="1" applyBorder="1" applyProtection="1">
      <protection locked="0"/>
    </xf>
    <xf numFmtId="39" fontId="5" fillId="0" borderId="10" xfId="17" applyFont="1" applyFill="1" applyBorder="1" applyProtection="1">
      <protection locked="0"/>
    </xf>
    <xf numFmtId="49" fontId="73" fillId="9" borderId="7" xfId="26" applyNumberFormat="1" applyFont="1" applyFill="1" applyBorder="1" applyAlignment="1" applyProtection="1">
      <alignment horizontal="center"/>
      <protection locked="0"/>
    </xf>
    <xf numFmtId="43" fontId="5" fillId="9" borderId="9" xfId="3" applyFont="1" applyFill="1" applyBorder="1" applyAlignment="1">
      <alignment horizontal="center"/>
    </xf>
    <xf numFmtId="39" fontId="74" fillId="9" borderId="7" xfId="27" applyFont="1" applyFill="1" applyBorder="1" applyProtection="1">
      <protection locked="0"/>
    </xf>
    <xf numFmtId="39" fontId="73" fillId="9" borderId="9" xfId="26" applyFont="1" applyFill="1" applyBorder="1" applyAlignment="1" applyProtection="1">
      <alignment horizontal="left"/>
      <protection locked="0"/>
    </xf>
    <xf numFmtId="49" fontId="73" fillId="9" borderId="7" xfId="10" quotePrefix="1" applyNumberFormat="1" applyFont="1" applyFill="1" applyBorder="1" applyAlignment="1" applyProtection="1">
      <alignment horizontal="center"/>
      <protection locked="0"/>
    </xf>
    <xf numFmtId="39" fontId="5" fillId="0" borderId="0" xfId="17" applyFont="1" applyBorder="1" applyAlignment="1" applyProtection="1">
      <alignment horizontal="left"/>
      <protection locked="0"/>
    </xf>
    <xf numFmtId="49" fontId="5" fillId="0" borderId="10" xfId="17" applyNumberFormat="1" applyFont="1" applyBorder="1" applyAlignment="1" applyProtection="1">
      <alignment horizontal="center"/>
    </xf>
    <xf numFmtId="164" fontId="5" fillId="0" borderId="7" xfId="17" applyNumberFormat="1" applyFont="1" applyBorder="1" applyAlignment="1" applyProtection="1">
      <alignment horizontal="right"/>
      <protection locked="0"/>
    </xf>
    <xf numFmtId="39" fontId="15" fillId="0" borderId="0" xfId="17" applyFont="1" applyBorder="1" applyAlignment="1" applyProtection="1">
      <alignment horizontal="left"/>
      <protection locked="0"/>
    </xf>
    <xf numFmtId="39" fontId="14" fillId="0" borderId="10" xfId="17" applyFont="1" applyFill="1" applyBorder="1" applyAlignment="1" applyProtection="1">
      <alignment horizontal="left"/>
    </xf>
    <xf numFmtId="39" fontId="5" fillId="0" borderId="0" xfId="17" applyFont="1" applyFill="1" applyBorder="1" applyAlignment="1" applyProtection="1">
      <alignment horizontal="left"/>
      <protection locked="0"/>
    </xf>
    <xf numFmtId="39" fontId="15" fillId="0" borderId="0" xfId="17" applyFont="1" applyFill="1" applyProtection="1">
      <protection locked="0"/>
    </xf>
    <xf numFmtId="39" fontId="14" fillId="0" borderId="0" xfId="2" applyFont="1" applyFill="1"/>
    <xf numFmtId="49" fontId="5" fillId="0" borderId="10" xfId="17" applyNumberFormat="1" applyFont="1" applyFill="1" applyBorder="1" applyAlignment="1" applyProtection="1">
      <alignment horizontal="center"/>
    </xf>
    <xf numFmtId="164" fontId="5" fillId="0" borderId="7" xfId="17" applyNumberFormat="1" applyFont="1" applyFill="1" applyBorder="1" applyAlignment="1" applyProtection="1">
      <alignment horizontal="right"/>
      <protection locked="0"/>
    </xf>
    <xf numFmtId="39" fontId="14" fillId="0" borderId="10" xfId="17" applyFont="1" applyFill="1" applyBorder="1"/>
    <xf numFmtId="39" fontId="15" fillId="0" borderId="0" xfId="17" applyFont="1" applyFill="1" applyBorder="1" applyAlignment="1" applyProtection="1">
      <alignment horizontal="left"/>
      <protection locked="0"/>
    </xf>
    <xf numFmtId="39" fontId="14" fillId="0" borderId="10" xfId="17" applyFont="1" applyBorder="1" applyAlignment="1" applyProtection="1">
      <alignment horizontal="left"/>
      <protection locked="0"/>
    </xf>
    <xf numFmtId="49" fontId="14" fillId="0" borderId="9" xfId="10" quotePrefix="1" applyNumberFormat="1" applyFont="1" applyBorder="1" applyAlignment="1" applyProtection="1">
      <alignment horizontal="center"/>
      <protection locked="0"/>
    </xf>
    <xf numFmtId="39" fontId="15" fillId="0" borderId="10" xfId="17" applyFont="1" applyBorder="1" applyAlignment="1" applyProtection="1">
      <alignment horizontal="left"/>
      <protection locked="0"/>
    </xf>
    <xf numFmtId="49" fontId="14" fillId="0" borderId="10" xfId="17" quotePrefix="1" applyNumberFormat="1" applyFont="1" applyBorder="1" applyAlignment="1" applyProtection="1">
      <alignment horizontal="left"/>
    </xf>
    <xf numFmtId="49" fontId="5" fillId="0" borderId="10" xfId="17" quotePrefix="1" applyNumberFormat="1" applyFont="1" applyBorder="1" applyAlignment="1" applyProtection="1">
      <alignment horizontal="center"/>
    </xf>
    <xf numFmtId="39" fontId="5" fillId="0" borderId="10" xfId="2" applyFont="1" applyFill="1" applyBorder="1"/>
    <xf numFmtId="49" fontId="5" fillId="0" borderId="10" xfId="10" quotePrefix="1" applyNumberFormat="1" applyFont="1" applyBorder="1" applyAlignment="1" applyProtection="1">
      <alignment horizontal="center"/>
      <protection locked="0"/>
    </xf>
    <xf numFmtId="49" fontId="5" fillId="0" borderId="14" xfId="17" applyNumberFormat="1" applyFont="1" applyBorder="1" applyAlignment="1" applyProtection="1">
      <alignment horizontal="center"/>
      <protection locked="0"/>
    </xf>
    <xf numFmtId="39" fontId="5" fillId="0" borderId="0" xfId="2" applyFont="1" applyAlignment="1" applyProtection="1">
      <alignment horizontal="center"/>
    </xf>
    <xf numFmtId="39" fontId="21" fillId="0" borderId="0" xfId="2" applyFont="1" applyAlignment="1" applyProtection="1">
      <alignment horizontal="center"/>
    </xf>
    <xf numFmtId="39" fontId="23" fillId="0" borderId="0" xfId="2" applyFont="1" applyAlignment="1" applyProtection="1">
      <alignment horizontal="center"/>
    </xf>
    <xf numFmtId="39" fontId="9" fillId="0" borderId="0" xfId="2" applyFont="1" applyBorder="1" applyAlignment="1" applyProtection="1">
      <alignment horizontal="center"/>
    </xf>
    <xf numFmtId="39" fontId="23" fillId="0" borderId="0" xfId="2" quotePrefix="1" applyFont="1" applyBorder="1" applyAlignment="1" applyProtection="1">
      <alignment horizontal="center"/>
    </xf>
    <xf numFmtId="39" fontId="9" fillId="0" borderId="0" xfId="2" applyFont="1" applyBorder="1" applyAlignment="1" applyProtection="1"/>
    <xf numFmtId="0" fontId="9" fillId="0" borderId="0" xfId="4" applyFont="1" applyBorder="1" applyAlignment="1"/>
    <xf numFmtId="39" fontId="9" fillId="0" borderId="0" xfId="2" applyFont="1" applyFill="1" applyBorder="1" applyProtection="1"/>
    <xf numFmtId="39" fontId="9" fillId="0" borderId="12" xfId="13" applyFont="1" applyBorder="1"/>
    <xf numFmtId="39" fontId="28" fillId="0" borderId="3" xfId="2" applyFont="1" applyBorder="1" applyAlignment="1" applyProtection="1">
      <alignment horizontal="center" vertical="center"/>
    </xf>
    <xf numFmtId="0" fontId="26" fillId="0" borderId="0" xfId="14" quotePrefix="1" applyNumberFormat="1" applyFont="1" applyFill="1" applyBorder="1" applyAlignment="1" applyProtection="1">
      <alignment horizontal="center"/>
    </xf>
    <xf numFmtId="0" fontId="26" fillId="0" borderId="0" xfId="14" applyNumberFormat="1" applyFont="1" applyFill="1" applyBorder="1" applyAlignment="1" applyProtection="1">
      <alignment horizontal="center"/>
    </xf>
    <xf numFmtId="39" fontId="9" fillId="9" borderId="0" xfId="2" applyFont="1" applyFill="1" applyBorder="1" applyProtection="1"/>
    <xf numFmtId="39" fontId="31" fillId="0" borderId="0" xfId="2" quotePrefix="1" applyFont="1" applyAlignment="1">
      <alignment vertical="center"/>
    </xf>
    <xf numFmtId="39" fontId="41" fillId="0" borderId="0" xfId="2" quotePrefix="1" applyFont="1" applyAlignment="1">
      <alignment vertical="center"/>
    </xf>
    <xf numFmtId="0" fontId="39" fillId="0" borderId="9" xfId="14" quotePrefix="1" applyNumberFormat="1" applyFont="1" applyFill="1" applyBorder="1" applyAlignment="1">
      <alignment horizontal="center"/>
    </xf>
    <xf numFmtId="39" fontId="9" fillId="0" borderId="7" xfId="28" applyFont="1" applyFill="1" applyBorder="1" applyAlignment="1" applyProtection="1">
      <alignment horizontal="left"/>
    </xf>
    <xf numFmtId="39" fontId="9" fillId="0" borderId="0" xfId="2" applyFont="1" applyBorder="1" applyProtection="1">
      <protection locked="0"/>
    </xf>
    <xf numFmtId="0" fontId="30" fillId="0" borderId="9" xfId="14" quotePrefix="1" applyNumberFormat="1" applyFont="1" applyFill="1" applyBorder="1" applyAlignment="1" applyProtection="1">
      <alignment horizontal="center"/>
    </xf>
    <xf numFmtId="39" fontId="9" fillId="9" borderId="0" xfId="2" applyFont="1" applyFill="1" applyBorder="1" applyAlignment="1" applyProtection="1">
      <alignment vertical="center"/>
    </xf>
    <xf numFmtId="39" fontId="9" fillId="0" borderId="7" xfId="12" applyNumberFormat="1" applyFont="1" applyBorder="1"/>
    <xf numFmtId="39" fontId="9" fillId="0" borderId="7" xfId="2" applyNumberFormat="1" applyFont="1" applyBorder="1" applyProtection="1">
      <protection locked="0"/>
    </xf>
    <xf numFmtId="39" fontId="30" fillId="0" borderId="10" xfId="7" applyFont="1" applyBorder="1" applyAlignment="1" applyProtection="1">
      <alignment horizontal="left"/>
    </xf>
    <xf numFmtId="39" fontId="9" fillId="0" borderId="7" xfId="10" applyNumberFormat="1" applyFont="1" applyBorder="1" applyProtection="1"/>
    <xf numFmtId="39" fontId="9" fillId="0" borderId="7" xfId="10" applyNumberFormat="1" applyFont="1" applyFill="1" applyBorder="1" applyProtection="1"/>
    <xf numFmtId="39" fontId="9" fillId="0" borderId="9" xfId="2" applyFont="1" applyFill="1" applyBorder="1" applyAlignment="1" applyProtection="1">
      <alignment horizontal="fill"/>
    </xf>
    <xf numFmtId="39" fontId="22" fillId="0" borderId="0" xfId="2" applyFont="1" applyAlignment="1">
      <alignment horizontal="left"/>
    </xf>
    <xf numFmtId="39" fontId="21" fillId="0" borderId="0" xfId="11" applyFont="1" applyBorder="1" applyAlignment="1">
      <alignment horizontal="center"/>
    </xf>
    <xf numFmtId="39" fontId="21" fillId="0" borderId="0" xfId="2" applyFont="1" applyBorder="1" applyAlignment="1" applyProtection="1">
      <alignment horizontal="center"/>
    </xf>
    <xf numFmtId="39" fontId="23" fillId="0" borderId="0" xfId="2" applyFont="1" applyBorder="1" applyAlignment="1" applyProtection="1">
      <alignment horizontal="center"/>
    </xf>
    <xf numFmtId="0" fontId="9" fillId="0" borderId="0" xfId="4" applyFont="1" applyBorder="1"/>
    <xf numFmtId="39" fontId="23" fillId="10" borderId="0" xfId="2" quotePrefix="1" applyFont="1" applyFill="1" applyBorder="1" applyAlignment="1" applyProtection="1">
      <alignment horizontal="center"/>
    </xf>
    <xf numFmtId="39" fontId="9" fillId="0" borderId="2" xfId="12" applyFont="1" applyBorder="1" applyProtection="1"/>
    <xf numFmtId="39" fontId="9" fillId="0" borderId="6" xfId="2" applyFont="1" applyBorder="1" applyProtection="1"/>
    <xf numFmtId="39" fontId="9" fillId="9" borderId="2" xfId="2" applyFont="1" applyFill="1" applyBorder="1" applyProtection="1"/>
    <xf numFmtId="39" fontId="9" fillId="0" borderId="6" xfId="2" applyFont="1" applyBorder="1" applyProtection="1">
      <protection locked="0"/>
    </xf>
    <xf numFmtId="0" fontId="50" fillId="0" borderId="2" xfId="14" applyNumberFormat="1" applyFont="1" applyFill="1" applyBorder="1" applyAlignment="1" applyProtection="1">
      <alignment horizontal="center"/>
    </xf>
    <xf numFmtId="0" fontId="50" fillId="0" borderId="9" xfId="14" applyNumberFormat="1" applyFont="1" applyFill="1" applyBorder="1" applyAlignment="1">
      <alignment horizontal="center"/>
    </xf>
    <xf numFmtId="39" fontId="30" fillId="0" borderId="9" xfId="20" applyFont="1" applyBorder="1" applyAlignment="1"/>
    <xf numFmtId="39" fontId="30" fillId="0" borderId="7" xfId="20" applyFont="1" applyBorder="1" applyAlignment="1"/>
    <xf numFmtId="39" fontId="31" fillId="0" borderId="9" xfId="2" applyFont="1" applyBorder="1"/>
    <xf numFmtId="39" fontId="9" fillId="0" borderId="7" xfId="2" quotePrefix="1" applyFont="1" applyBorder="1" applyAlignment="1" applyProtection="1">
      <alignment horizontal="center"/>
    </xf>
    <xf numFmtId="39" fontId="9" fillId="0" borderId="9" xfId="2" quotePrefix="1" applyFont="1" applyFill="1" applyBorder="1" applyAlignment="1" applyProtection="1">
      <alignment horizontal="center"/>
    </xf>
    <xf numFmtId="39" fontId="9" fillId="0" borderId="11" xfId="2" applyFont="1" applyBorder="1" applyProtection="1"/>
    <xf numFmtId="0" fontId="50" fillId="0" borderId="9" xfId="14" quotePrefix="1" applyNumberFormat="1" applyFont="1" applyFill="1" applyBorder="1" applyAlignment="1" applyProtection="1">
      <alignment horizontal="center"/>
    </xf>
    <xf numFmtId="39" fontId="30" fillId="0" borderId="7" xfId="2" quotePrefix="1" applyFont="1" applyFill="1" applyBorder="1" applyAlignment="1" applyProtection="1">
      <alignment horizontal="center"/>
    </xf>
    <xf numFmtId="39" fontId="50" fillId="0" borderId="7" xfId="14" quotePrefix="1" applyFont="1" applyBorder="1" applyAlignment="1"/>
    <xf numFmtId="4" fontId="30" fillId="0" borderId="9" xfId="4" applyNumberFormat="1" applyFont="1" applyFill="1" applyBorder="1"/>
    <xf numFmtId="39" fontId="9" fillId="0" borderId="13" xfId="2" applyFont="1" applyFill="1" applyBorder="1" applyProtection="1"/>
    <xf numFmtId="39" fontId="9" fillId="0" borderId="18" xfId="2" applyFont="1" applyBorder="1" applyProtection="1"/>
    <xf numFmtId="39" fontId="9" fillId="0" borderId="18" xfId="2" applyFont="1" applyBorder="1" applyProtection="1">
      <protection locked="0"/>
    </xf>
    <xf numFmtId="0" fontId="39" fillId="0" borderId="11" xfId="14" applyNumberFormat="1" applyFont="1" applyFill="1" applyBorder="1" applyAlignment="1" applyProtection="1">
      <alignment horizontal="center"/>
    </xf>
    <xf numFmtId="39" fontId="23" fillId="0" borderId="11" xfId="2" applyFont="1" applyBorder="1" applyAlignment="1" applyProtection="1">
      <alignment horizontal="center" vertical="center"/>
    </xf>
    <xf numFmtId="39" fontId="28" fillId="0" borderId="13" xfId="2" applyFont="1" applyBorder="1" applyAlignment="1">
      <alignment vertical="center"/>
    </xf>
    <xf numFmtId="0" fontId="26" fillId="0" borderId="0" xfId="4" quotePrefix="1" applyFont="1" applyFill="1" applyBorder="1" applyAlignment="1" applyProtection="1">
      <alignment horizontal="center"/>
    </xf>
    <xf numFmtId="0" fontId="28" fillId="0" borderId="0" xfId="4" quotePrefix="1" applyFont="1" applyBorder="1" applyAlignment="1">
      <alignment horizontal="center"/>
    </xf>
    <xf numFmtId="0" fontId="28" fillId="0" borderId="0" xfId="4" applyFont="1" applyFill="1" applyBorder="1" applyAlignment="1">
      <alignment horizontal="center"/>
    </xf>
    <xf numFmtId="39" fontId="9" fillId="0" borderId="8" xfId="12" applyFont="1" applyBorder="1" applyProtection="1"/>
    <xf numFmtId="39" fontId="9" fillId="0" borderId="2" xfId="2" applyFont="1" applyBorder="1" applyProtection="1"/>
    <xf numFmtId="39" fontId="9" fillId="9" borderId="12" xfId="2" applyFont="1" applyFill="1" applyBorder="1" applyProtection="1"/>
    <xf numFmtId="39" fontId="9" fillId="9" borderId="10" xfId="2" applyFont="1" applyFill="1" applyBorder="1" applyProtection="1"/>
    <xf numFmtId="39" fontId="31" fillId="0" borderId="7" xfId="2" applyFont="1" applyBorder="1"/>
    <xf numFmtId="39" fontId="9" fillId="0" borderId="9" xfId="2" quotePrefix="1" applyFont="1" applyBorder="1" applyAlignment="1" applyProtection="1">
      <alignment horizontal="center"/>
    </xf>
    <xf numFmtId="39" fontId="30" fillId="0" borderId="9" xfId="2" quotePrefix="1" applyFont="1" applyBorder="1" applyAlignment="1" applyProtection="1">
      <alignment horizontal="center"/>
    </xf>
    <xf numFmtId="39" fontId="23" fillId="0" borderId="3" xfId="2" applyFont="1" applyBorder="1"/>
    <xf numFmtId="39" fontId="28" fillId="0" borderId="4" xfId="2" applyFont="1" applyBorder="1"/>
    <xf numFmtId="39" fontId="23" fillId="0" borderId="5" xfId="2" applyFont="1" applyBorder="1" applyAlignment="1" applyProtection="1">
      <alignment horizontal="left"/>
    </xf>
    <xf numFmtId="39" fontId="44" fillId="0" borderId="0" xfId="2" quotePrefix="1" applyFont="1" applyBorder="1" applyAlignment="1">
      <alignment horizontal="center"/>
    </xf>
    <xf numFmtId="39" fontId="0" fillId="0" borderId="0" xfId="2" applyFont="1"/>
    <xf numFmtId="39" fontId="71" fillId="0" borderId="0" xfId="11" applyFont="1"/>
    <xf numFmtId="39" fontId="71" fillId="0" borderId="0" xfId="11" applyFont="1" applyAlignment="1">
      <alignment horizontal="center"/>
    </xf>
    <xf numFmtId="39" fontId="71" fillId="0" borderId="0" xfId="2" applyFont="1" applyAlignment="1" applyProtection="1">
      <alignment horizontal="center"/>
    </xf>
    <xf numFmtId="39" fontId="67" fillId="0" borderId="0" xfId="2" applyFont="1" applyAlignment="1" applyProtection="1">
      <alignment horizontal="center"/>
    </xf>
    <xf numFmtId="39" fontId="75" fillId="0" borderId="0" xfId="2" applyFont="1" applyBorder="1"/>
    <xf numFmtId="39" fontId="0" fillId="0" borderId="0" xfId="2" applyFont="1" applyBorder="1"/>
    <xf numFmtId="0" fontId="7" fillId="0" borderId="0" xfId="4" applyFont="1" applyBorder="1"/>
    <xf numFmtId="39" fontId="0" fillId="0" borderId="0" xfId="2" applyFont="1" applyAlignment="1" applyProtection="1">
      <alignment horizontal="center"/>
    </xf>
    <xf numFmtId="39" fontId="0" fillId="0" borderId="0" xfId="2" applyFont="1" applyBorder="1" applyAlignment="1" applyProtection="1"/>
    <xf numFmtId="0" fontId="7" fillId="0" borderId="0" xfId="4" applyFont="1" applyBorder="1" applyAlignment="1"/>
    <xf numFmtId="39" fontId="0" fillId="0" borderId="0" xfId="2" applyFont="1" applyBorder="1" applyAlignment="1" applyProtection="1">
      <alignment horizontal="left"/>
    </xf>
    <xf numFmtId="39" fontId="24" fillId="0" borderId="17" xfId="2" applyFont="1" applyFill="1" applyBorder="1" applyAlignment="1" applyProtection="1">
      <alignment vertical="center"/>
    </xf>
    <xf numFmtId="39" fontId="24" fillId="0" borderId="17" xfId="2" applyFont="1" applyBorder="1" applyAlignment="1" applyProtection="1">
      <alignment vertical="center"/>
    </xf>
    <xf numFmtId="39" fontId="23" fillId="0" borderId="21" xfId="2" applyFont="1" applyBorder="1" applyAlignment="1">
      <alignment vertical="center"/>
    </xf>
    <xf numFmtId="39" fontId="67" fillId="0" borderId="17" xfId="2" applyFont="1" applyBorder="1" applyAlignment="1" applyProtection="1">
      <alignment vertical="center"/>
    </xf>
    <xf numFmtId="39" fontId="30" fillId="0" borderId="2" xfId="12" applyFont="1" applyBorder="1" applyProtection="1"/>
    <xf numFmtId="39" fontId="30" fillId="0" borderId="6" xfId="2" applyFont="1" applyBorder="1" applyProtection="1"/>
    <xf numFmtId="39" fontId="30" fillId="9" borderId="2" xfId="2" applyFont="1" applyFill="1" applyBorder="1" applyProtection="1"/>
    <xf numFmtId="39" fontId="30" fillId="0" borderId="6" xfId="2" applyFont="1" applyBorder="1" applyProtection="1">
      <protection locked="0"/>
    </xf>
    <xf numFmtId="0" fontId="30" fillId="0" borderId="2" xfId="21" applyNumberFormat="1" applyFont="1" applyFill="1" applyBorder="1" applyAlignment="1">
      <alignment horizontal="center"/>
    </xf>
    <xf numFmtId="39" fontId="76" fillId="0" borderId="8" xfId="14" applyFont="1" applyBorder="1" applyAlignment="1" applyProtection="1">
      <alignment horizontal="left"/>
    </xf>
    <xf numFmtId="39" fontId="76" fillId="0" borderId="12" xfId="14" applyFont="1" applyBorder="1" applyAlignment="1" applyProtection="1">
      <alignment horizontal="left"/>
    </xf>
    <xf numFmtId="39" fontId="30" fillId="0" borderId="9" xfId="12" applyFont="1" applyBorder="1" applyProtection="1"/>
    <xf numFmtId="39" fontId="30" fillId="9" borderId="9" xfId="2" applyFont="1" applyFill="1" applyBorder="1" applyProtection="1"/>
    <xf numFmtId="39" fontId="30" fillId="0" borderId="0" xfId="2" applyFont="1" applyBorder="1" applyProtection="1">
      <protection locked="0"/>
    </xf>
    <xf numFmtId="0" fontId="30" fillId="0" borderId="9" xfId="21" applyNumberFormat="1" applyFont="1" applyFill="1" applyBorder="1" applyAlignment="1">
      <alignment horizontal="center"/>
    </xf>
    <xf numFmtId="39" fontId="76" fillId="0" borderId="7" xfId="14" applyFont="1" applyBorder="1" applyAlignment="1" applyProtection="1">
      <alignment horizontal="left"/>
    </xf>
    <xf numFmtId="39" fontId="76" fillId="0" borderId="10" xfId="14" applyFont="1" applyBorder="1" applyAlignment="1" applyProtection="1">
      <alignment horizontal="left"/>
    </xf>
    <xf numFmtId="39" fontId="0" fillId="0" borderId="0" xfId="2" applyFont="1" applyFill="1"/>
    <xf numFmtId="39" fontId="9" fillId="0" borderId="7" xfId="2" applyFont="1" applyFill="1" applyBorder="1" applyProtection="1">
      <protection locked="0"/>
    </xf>
    <xf numFmtId="39" fontId="30" fillId="0" borderId="9" xfId="2" applyFont="1" applyFill="1" applyBorder="1" applyProtection="1"/>
    <xf numFmtId="39" fontId="9" fillId="0" borderId="0" xfId="2" applyFont="1" applyFill="1" applyBorder="1" applyProtection="1">
      <protection locked="0"/>
    </xf>
    <xf numFmtId="39" fontId="0" fillId="0" borderId="7" xfId="13" applyFont="1" applyBorder="1"/>
    <xf numFmtId="39" fontId="30" fillId="0" borderId="9" xfId="2" applyFont="1" applyBorder="1" applyProtection="1"/>
    <xf numFmtId="39" fontId="30" fillId="0" borderId="9" xfId="2" quotePrefix="1" applyFont="1" applyFill="1" applyBorder="1" applyAlignment="1" applyProtection="1">
      <alignment horizontal="center"/>
    </xf>
    <xf numFmtId="39" fontId="0" fillId="0" borderId="7" xfId="13" applyFont="1" applyFill="1" applyBorder="1"/>
    <xf numFmtId="0" fontId="39" fillId="0" borderId="9" xfId="14" applyNumberFormat="1" applyFont="1" applyFill="1" applyBorder="1" applyAlignment="1" applyProtection="1">
      <alignment horizontal="center"/>
    </xf>
    <xf numFmtId="39" fontId="6" fillId="0" borderId="10" xfId="13" applyFont="1" applyBorder="1" applyAlignment="1" applyProtection="1">
      <alignment horizontal="left"/>
    </xf>
    <xf numFmtId="39" fontId="64" fillId="9" borderId="3" xfId="2" applyFont="1" applyFill="1" applyBorder="1" applyAlignment="1" applyProtection="1">
      <alignment vertical="center"/>
    </xf>
    <xf numFmtId="39" fontId="67" fillId="0" borderId="3" xfId="2" applyFont="1" applyBorder="1" applyAlignment="1" applyProtection="1">
      <alignment horizontal="center" vertical="center"/>
    </xf>
    <xf numFmtId="39" fontId="67" fillId="0" borderId="4" xfId="2" applyFont="1" applyBorder="1" applyAlignment="1">
      <alignment vertical="center"/>
    </xf>
    <xf numFmtId="39" fontId="64" fillId="0" borderId="5" xfId="2" applyFont="1" applyBorder="1" applyAlignment="1" applyProtection="1">
      <alignment horizontal="left" vertical="center"/>
    </xf>
    <xf numFmtId="39" fontId="67" fillId="0" borderId="13" xfId="2" applyFont="1" applyBorder="1"/>
    <xf numFmtId="39" fontId="67" fillId="0" borderId="11" xfId="2" applyFont="1" applyBorder="1"/>
    <xf numFmtId="39" fontId="67" fillId="0" borderId="14" xfId="2" applyFont="1" applyBorder="1" applyAlignment="1" applyProtection="1">
      <alignment horizontal="left"/>
    </xf>
    <xf numFmtId="0" fontId="68" fillId="0" borderId="2" xfId="4" applyFont="1" applyBorder="1" applyAlignment="1">
      <alignment horizontal="center"/>
    </xf>
    <xf numFmtId="0" fontId="68" fillId="0" borderId="9" xfId="4" applyFont="1" applyBorder="1" applyAlignment="1">
      <alignment horizontal="center"/>
    </xf>
    <xf numFmtId="0" fontId="68" fillId="0" borderId="11" xfId="4" applyFont="1" applyBorder="1" applyAlignment="1">
      <alignment horizontal="center"/>
    </xf>
    <xf numFmtId="39" fontId="67" fillId="0" borderId="0" xfId="2" applyFont="1" applyProtection="1">
      <protection locked="0"/>
    </xf>
    <xf numFmtId="39" fontId="0" fillId="0" borderId="0" xfId="2" applyFont="1" applyAlignment="1">
      <alignment horizontal="left"/>
    </xf>
    <xf numFmtId="0" fontId="21" fillId="0" borderId="0" xfId="4" applyFont="1" applyFill="1"/>
    <xf numFmtId="39" fontId="71" fillId="0" borderId="0" xfId="2" applyFont="1" applyAlignment="1" applyProtection="1">
      <alignment horizontal="left"/>
    </xf>
    <xf numFmtId="39" fontId="71" fillId="0" borderId="0" xfId="2" applyFont="1"/>
    <xf numFmtId="39" fontId="21" fillId="0" borderId="0" xfId="11" applyFont="1" applyFill="1"/>
    <xf numFmtId="39" fontId="21" fillId="0" borderId="0" xfId="11" applyFont="1" applyFill="1" applyAlignment="1">
      <alignment horizontal="center"/>
    </xf>
    <xf numFmtId="39" fontId="21" fillId="0" borderId="0" xfId="11" applyFont="1" applyFill="1" applyBorder="1" applyAlignment="1">
      <alignment horizontal="center"/>
    </xf>
    <xf numFmtId="39" fontId="21" fillId="0" borderId="0" xfId="2" applyFont="1" applyFill="1" applyAlignment="1" applyProtection="1">
      <alignment horizontal="center"/>
    </xf>
    <xf numFmtId="39" fontId="21" fillId="0" borderId="0" xfId="2" applyFont="1" applyFill="1" applyBorder="1" applyAlignment="1" applyProtection="1">
      <alignment horizontal="center"/>
    </xf>
    <xf numFmtId="39" fontId="23" fillId="0" borderId="0" xfId="2" applyFont="1" applyFill="1" applyAlignment="1" applyProtection="1">
      <alignment horizontal="center"/>
    </xf>
    <xf numFmtId="39" fontId="23" fillId="0" borderId="0" xfId="2" applyFont="1" applyFill="1" applyBorder="1" applyAlignment="1" applyProtection="1">
      <alignment horizontal="center"/>
    </xf>
    <xf numFmtId="0" fontId="9" fillId="0" borderId="0" xfId="4" applyFont="1" applyFill="1" applyBorder="1"/>
    <xf numFmtId="39" fontId="9" fillId="0" borderId="0" xfId="2" applyFont="1" applyFill="1" applyBorder="1" applyAlignment="1" applyProtection="1">
      <alignment horizontal="center"/>
    </xf>
    <xf numFmtId="39" fontId="9" fillId="0" borderId="0" xfId="2" applyFont="1" applyFill="1" applyBorder="1" applyAlignment="1" applyProtection="1"/>
    <xf numFmtId="0" fontId="9" fillId="0" borderId="0" xfId="4" applyFont="1" applyFill="1" applyBorder="1" applyAlignment="1"/>
    <xf numFmtId="39" fontId="23" fillId="0" borderId="17" xfId="2" applyFont="1" applyFill="1" applyBorder="1" applyAlignment="1" applyProtection="1">
      <alignment vertical="center"/>
    </xf>
    <xf numFmtId="39" fontId="23" fillId="0" borderId="16" xfId="2" applyFont="1" applyFill="1" applyBorder="1" applyAlignment="1">
      <alignment vertical="center"/>
    </xf>
    <xf numFmtId="39" fontId="28" fillId="0" borderId="17" xfId="2" applyFont="1" applyFill="1" applyBorder="1" applyAlignment="1" applyProtection="1">
      <alignment vertical="center"/>
    </xf>
    <xf numFmtId="39" fontId="46" fillId="0" borderId="17" xfId="2" applyFont="1" applyFill="1" applyBorder="1" applyAlignment="1" applyProtection="1">
      <alignment vertical="center"/>
    </xf>
    <xf numFmtId="39" fontId="9" fillId="0" borderId="8" xfId="12" applyFont="1" applyFill="1" applyBorder="1" applyProtection="1"/>
    <xf numFmtId="39" fontId="9" fillId="0" borderId="2" xfId="2" applyFont="1" applyFill="1" applyBorder="1" applyProtection="1"/>
    <xf numFmtId="39" fontId="9" fillId="0" borderId="12" xfId="2" applyFont="1" applyFill="1" applyBorder="1" applyProtection="1"/>
    <xf numFmtId="39" fontId="9" fillId="0" borderId="6" xfId="2" applyFont="1" applyFill="1" applyBorder="1" applyProtection="1">
      <protection locked="0"/>
    </xf>
    <xf numFmtId="39" fontId="9" fillId="0" borderId="8" xfId="20" applyFont="1" applyFill="1" applyBorder="1" applyAlignment="1">
      <alignment horizontal="left" shrinkToFit="1"/>
    </xf>
    <xf numFmtId="39" fontId="9" fillId="0" borderId="10" xfId="2" applyFont="1" applyFill="1" applyBorder="1" applyProtection="1"/>
    <xf numFmtId="39" fontId="30" fillId="0" borderId="9" xfId="20" applyFont="1" applyFill="1" applyBorder="1" applyAlignment="1"/>
    <xf numFmtId="39" fontId="30" fillId="0" borderId="7" xfId="20" applyFont="1" applyFill="1" applyBorder="1" applyAlignment="1"/>
    <xf numFmtId="39" fontId="9" fillId="0" borderId="7" xfId="2" applyFont="1" applyFill="1" applyBorder="1" applyAlignment="1" applyProtection="1">
      <alignment horizontal="center"/>
    </xf>
    <xf numFmtId="39" fontId="9" fillId="0" borderId="7" xfId="2" applyFont="1" applyFill="1" applyBorder="1"/>
    <xf numFmtId="39" fontId="9" fillId="0" borderId="10" xfId="12" applyFont="1" applyFill="1" applyBorder="1" applyAlignment="1" applyProtection="1">
      <alignment horizontal="left"/>
    </xf>
    <xf numFmtId="39" fontId="31" fillId="0" borderId="0" xfId="2" applyFont="1" applyFill="1" applyAlignment="1">
      <alignment horizontal="right"/>
    </xf>
    <xf numFmtId="39" fontId="9" fillId="0" borderId="10" xfId="13" quotePrefix="1" applyFont="1" applyFill="1" applyBorder="1" applyAlignment="1" applyProtection="1">
      <alignment horizontal="left"/>
    </xf>
    <xf numFmtId="39" fontId="23" fillId="0" borderId="3" xfId="2" applyFont="1" applyFill="1" applyBorder="1" applyAlignment="1" applyProtection="1">
      <alignment horizontal="center" vertical="center"/>
    </xf>
    <xf numFmtId="39" fontId="28" fillId="0" borderId="4" xfId="2" applyFont="1" applyFill="1" applyBorder="1" applyAlignment="1">
      <alignment vertical="center"/>
    </xf>
    <xf numFmtId="39" fontId="23" fillId="0" borderId="5" xfId="2" applyFont="1" applyFill="1" applyBorder="1" applyAlignment="1" applyProtection="1">
      <alignment horizontal="left" vertical="center"/>
    </xf>
    <xf numFmtId="39" fontId="23" fillId="0" borderId="13" xfId="2" applyFont="1" applyFill="1" applyBorder="1"/>
    <xf numFmtId="39" fontId="28" fillId="0" borderId="13" xfId="2" applyFont="1" applyFill="1" applyBorder="1"/>
    <xf numFmtId="39" fontId="23" fillId="0" borderId="14" xfId="2" applyFont="1" applyFill="1" applyBorder="1" applyAlignment="1" applyProtection="1">
      <alignment horizontal="left"/>
    </xf>
    <xf numFmtId="0" fontId="28" fillId="0" borderId="2" xfId="4" applyFont="1" applyFill="1" applyBorder="1" applyAlignment="1">
      <alignment horizontal="center"/>
    </xf>
    <xf numFmtId="0" fontId="28" fillId="0" borderId="9" xfId="4" applyFont="1" applyFill="1" applyBorder="1" applyAlignment="1">
      <alignment horizontal="center"/>
    </xf>
    <xf numFmtId="39" fontId="31" fillId="0" borderId="0" xfId="2" applyFont="1" applyFill="1" applyAlignment="1">
      <alignment horizontal="left"/>
    </xf>
    <xf numFmtId="39" fontId="51" fillId="0" borderId="0" xfId="2" applyFont="1" applyFill="1" applyProtection="1">
      <protection locked="0"/>
    </xf>
    <xf numFmtId="39" fontId="21" fillId="0" borderId="0" xfId="2" applyFont="1" applyFill="1" applyProtection="1">
      <protection locked="0"/>
    </xf>
    <xf numFmtId="39" fontId="30" fillId="0" borderId="0" xfId="2" applyFont="1" applyFill="1" applyBorder="1" applyProtection="1"/>
    <xf numFmtId="39" fontId="30" fillId="0" borderId="0" xfId="2" applyFont="1" applyFill="1" applyBorder="1" applyProtection="1">
      <protection locked="0"/>
    </xf>
    <xf numFmtId="39" fontId="0" fillId="0" borderId="7" xfId="12" applyFont="1" applyBorder="1" applyAlignment="1" applyProtection="1">
      <alignment horizontal="left"/>
    </xf>
    <xf numFmtId="39" fontId="0" fillId="0" borderId="7" xfId="13" applyFont="1" applyBorder="1" applyAlignment="1" applyProtection="1">
      <alignment horizontal="left"/>
    </xf>
    <xf numFmtId="39" fontId="9" fillId="0" borderId="11" xfId="2" applyFont="1" applyFill="1" applyBorder="1" applyProtection="1"/>
    <xf numFmtId="39" fontId="30" fillId="9" borderId="18" xfId="2" applyFont="1" applyFill="1" applyBorder="1" applyProtection="1"/>
    <xf numFmtId="39" fontId="30" fillId="9" borderId="11" xfId="2" applyFont="1" applyFill="1" applyBorder="1" applyProtection="1"/>
    <xf numFmtId="39" fontId="30" fillId="0" borderId="18" xfId="2" applyFont="1" applyBorder="1" applyProtection="1">
      <protection locked="0"/>
    </xf>
    <xf numFmtId="39" fontId="0" fillId="0" borderId="13" xfId="13" applyFont="1" applyBorder="1" applyAlignment="1" applyProtection="1">
      <alignment horizontal="left"/>
    </xf>
    <xf numFmtId="39" fontId="64" fillId="9" borderId="11" xfId="2" applyFont="1" applyFill="1" applyBorder="1" applyAlignment="1" applyProtection="1">
      <alignment vertical="center"/>
    </xf>
    <xf numFmtId="39" fontId="67" fillId="0" borderId="13" xfId="2" applyFont="1" applyBorder="1" applyAlignment="1">
      <alignment vertical="center"/>
    </xf>
    <xf numFmtId="4" fontId="30" fillId="0" borderId="9" xfId="4" applyNumberFormat="1" applyFont="1" applyBorder="1"/>
    <xf numFmtId="39" fontId="9" fillId="9" borderId="11" xfId="2" applyFont="1" applyFill="1" applyBorder="1" applyProtection="1"/>
    <xf numFmtId="39" fontId="9" fillId="9" borderId="18" xfId="2" applyFont="1" applyFill="1" applyBorder="1" applyProtection="1"/>
    <xf numFmtId="39" fontId="6" fillId="0" borderId="0" xfId="2" applyFont="1" applyBorder="1" applyAlignment="1" applyProtection="1"/>
    <xf numFmtId="39" fontId="64" fillId="0" borderId="15" xfId="2" applyFont="1" applyBorder="1" applyAlignment="1" applyProtection="1">
      <alignment vertical="center"/>
    </xf>
    <xf numFmtId="39" fontId="67" fillId="0" borderId="16" xfId="2" applyFont="1" applyBorder="1" applyAlignment="1">
      <alignment vertical="center"/>
    </xf>
    <xf numFmtId="0" fontId="7" fillId="0" borderId="0" xfId="4"/>
    <xf numFmtId="39" fontId="30" fillId="0" borderId="0" xfId="4" applyNumberFormat="1" applyFont="1"/>
    <xf numFmtId="39" fontId="9" fillId="0" borderId="11" xfId="4" applyNumberFormat="1" applyFont="1" applyBorder="1"/>
    <xf numFmtId="4" fontId="9" fillId="0" borderId="11" xfId="4" applyNumberFormat="1" applyFont="1" applyBorder="1"/>
    <xf numFmtId="4" fontId="9" fillId="0" borderId="0" xfId="4" applyNumberFormat="1" applyFont="1" applyFill="1" applyBorder="1"/>
    <xf numFmtId="0" fontId="30" fillId="0" borderId="3" xfId="4" applyFont="1" applyBorder="1"/>
    <xf numFmtId="0" fontId="30" fillId="0" borderId="2" xfId="4" applyFont="1" applyBorder="1"/>
    <xf numFmtId="39" fontId="23" fillId="0" borderId="4" xfId="4" applyNumberFormat="1" applyFont="1" applyBorder="1"/>
    <xf numFmtId="4" fontId="24" fillId="0" borderId="4" xfId="4" applyNumberFormat="1" applyFont="1" applyBorder="1"/>
    <xf numFmtId="0" fontId="24" fillId="0" borderId="3" xfId="4" applyFont="1" applyBorder="1"/>
    <xf numFmtId="0" fontId="9" fillId="0" borderId="7" xfId="21" applyNumberFormat="1" applyFont="1" applyFill="1" applyBorder="1" applyAlignment="1">
      <alignment horizontal="center"/>
    </xf>
    <xf numFmtId="0" fontId="39" fillId="0" borderId="7" xfId="14" quotePrefix="1" applyNumberFormat="1" applyFont="1" applyFill="1" applyBorder="1" applyAlignment="1" applyProtection="1">
      <alignment horizontal="center"/>
    </xf>
    <xf numFmtId="0" fontId="39" fillId="0" borderId="7" xfId="14" applyNumberFormat="1" applyFont="1" applyFill="1" applyBorder="1" applyAlignment="1" applyProtection="1">
      <alignment horizontal="center"/>
    </xf>
    <xf numFmtId="0" fontId="39" fillId="0" borderId="13" xfId="14" applyNumberFormat="1" applyFont="1" applyFill="1" applyBorder="1" applyAlignment="1" applyProtection="1">
      <alignment horizontal="center"/>
    </xf>
    <xf numFmtId="39" fontId="24" fillId="9" borderId="11" xfId="2" applyFont="1" applyFill="1" applyBorder="1" applyAlignment="1" applyProtection="1">
      <alignment vertical="center"/>
    </xf>
    <xf numFmtId="39" fontId="23" fillId="0" borderId="4" xfId="2" applyFont="1" applyBorder="1" applyAlignment="1" applyProtection="1">
      <alignment horizontal="center" vertical="center"/>
    </xf>
    <xf numFmtId="39" fontId="24" fillId="0" borderId="5" xfId="2" applyFont="1" applyBorder="1" applyAlignment="1" applyProtection="1">
      <alignment horizontal="left" vertical="center"/>
    </xf>
    <xf numFmtId="0" fontId="68" fillId="0" borderId="8" xfId="4" applyFont="1" applyBorder="1" applyAlignment="1">
      <alignment horizontal="center"/>
    </xf>
    <xf numFmtId="0" fontId="68" fillId="0" borderId="7" xfId="4" applyFont="1" applyBorder="1" applyAlignment="1">
      <alignment horizontal="center"/>
    </xf>
    <xf numFmtId="0" fontId="68" fillId="0" borderId="13" xfId="4" applyFont="1" applyBorder="1" applyAlignment="1">
      <alignment horizontal="center"/>
    </xf>
    <xf numFmtId="0" fontId="39" fillId="0" borderId="9" xfId="14" applyNumberFormat="1" applyFont="1" applyFill="1" applyBorder="1" applyAlignment="1">
      <alignment horizontal="center"/>
    </xf>
    <xf numFmtId="39" fontId="9" fillId="0" borderId="7" xfId="12" applyFont="1" applyFill="1" applyBorder="1" applyAlignment="1" applyProtection="1">
      <alignment horizontal="left"/>
    </xf>
    <xf numFmtId="39" fontId="9" fillId="0" borderId="10" xfId="13" applyFont="1" applyFill="1" applyBorder="1" applyAlignment="1" applyProtection="1">
      <alignment horizontal="left"/>
    </xf>
    <xf numFmtId="39" fontId="9" fillId="0" borderId="7" xfId="13" applyFont="1" applyFill="1" applyBorder="1" applyAlignment="1" applyProtection="1">
      <alignment horizontal="left"/>
    </xf>
    <xf numFmtId="0" fontId="7" fillId="0" borderId="0" xfId="4" applyNumberFormat="1" applyFont="1" applyFill="1" applyAlignment="1">
      <alignment horizontal="center"/>
    </xf>
    <xf numFmtId="43" fontId="5" fillId="0" borderId="0" xfId="3" applyFont="1" applyProtection="1">
      <protection locked="0"/>
    </xf>
    <xf numFmtId="39" fontId="5" fillId="10" borderId="0" xfId="7" applyFont="1" applyFill="1"/>
    <xf numFmtId="43" fontId="77" fillId="13" borderId="0" xfId="29" applyFont="1" applyFill="1" applyAlignment="1">
      <alignment horizontal="center"/>
    </xf>
    <xf numFmtId="39" fontId="78" fillId="14" borderId="0" xfId="30" quotePrefix="1" applyFont="1" applyFill="1" applyAlignment="1">
      <alignment horizontal="center"/>
    </xf>
    <xf numFmtId="39" fontId="34" fillId="0" borderId="0" xfId="2" quotePrefix="1" applyFont="1" applyAlignment="1">
      <alignment horizontal="center"/>
    </xf>
    <xf numFmtId="39" fontId="5" fillId="0" borderId="0" xfId="15" applyFont="1" applyFill="1" applyBorder="1" applyProtection="1">
      <protection locked="0"/>
    </xf>
    <xf numFmtId="49" fontId="5" fillId="0" borderId="0" xfId="31" applyNumberFormat="1" applyFont="1" applyFill="1" applyBorder="1" applyAlignment="1" applyProtection="1">
      <alignment horizontal="center"/>
      <protection locked="0"/>
    </xf>
    <xf numFmtId="4" fontId="5" fillId="9" borderId="0" xfId="31" applyNumberFormat="1" applyFont="1" applyFill="1" applyBorder="1" applyAlignment="1" applyProtection="1">
      <alignment horizontal="right"/>
      <protection locked="0"/>
    </xf>
    <xf numFmtId="39" fontId="5" fillId="9" borderId="0" xfId="15" applyFont="1" applyFill="1" applyBorder="1" applyProtection="1">
      <protection locked="0"/>
    </xf>
    <xf numFmtId="39" fontId="5" fillId="9" borderId="0" xfId="31" applyFont="1" applyFill="1" applyBorder="1" applyProtection="1">
      <protection locked="0"/>
    </xf>
    <xf numFmtId="49" fontId="5" fillId="9" borderId="0" xfId="31" applyNumberFormat="1" applyFont="1" applyFill="1" applyBorder="1" applyAlignment="1" applyProtection="1">
      <alignment horizontal="center"/>
      <protection locked="0"/>
    </xf>
    <xf numFmtId="39" fontId="14" fillId="9" borderId="0" xfId="32" applyFont="1" applyFill="1" applyBorder="1" applyAlignment="1" applyProtection="1">
      <alignment horizontal="left"/>
      <protection locked="0"/>
    </xf>
    <xf numFmtId="39" fontId="5" fillId="9" borderId="0" xfId="31" applyFont="1" applyFill="1" applyBorder="1" applyAlignment="1">
      <alignment horizontal="left"/>
    </xf>
    <xf numFmtId="49" fontId="5" fillId="0" borderId="0" xfId="10" quotePrefix="1" applyNumberFormat="1" applyFont="1" applyBorder="1" applyAlignment="1" applyProtection="1">
      <alignment horizontal="center"/>
      <protection locked="0"/>
    </xf>
    <xf numFmtId="39" fontId="14" fillId="0" borderId="0" xfId="2" applyFont="1" applyFill="1" applyBorder="1"/>
    <xf numFmtId="4" fontId="14" fillId="0" borderId="0" xfId="2" applyNumberFormat="1" applyFont="1" applyFill="1" applyBorder="1" applyAlignment="1" applyProtection="1">
      <alignment horizontal="right"/>
      <protection locked="0"/>
    </xf>
    <xf numFmtId="39" fontId="14" fillId="0" borderId="0" xfId="2" applyFont="1" applyFill="1" applyBorder="1" applyProtection="1">
      <protection locked="0"/>
    </xf>
    <xf numFmtId="39" fontId="14" fillId="0" borderId="0" xfId="2" applyFont="1" applyFill="1" applyBorder="1" applyAlignment="1" applyProtection="1">
      <alignment horizontal="left"/>
      <protection locked="0"/>
    </xf>
    <xf numFmtId="164" fontId="14" fillId="0" borderId="0" xfId="2" applyNumberFormat="1" applyFont="1" applyFill="1" applyBorder="1" applyAlignment="1" applyProtection="1">
      <alignment horizontal="center"/>
      <protection locked="0"/>
    </xf>
    <xf numFmtId="39" fontId="14" fillId="0" borderId="6" xfId="2" applyFont="1" applyBorder="1"/>
    <xf numFmtId="4" fontId="14" fillId="0" borderId="0" xfId="2" applyNumberFormat="1" applyFont="1" applyBorder="1" applyAlignment="1" applyProtection="1">
      <alignment horizontal="right"/>
      <protection locked="0"/>
    </xf>
    <xf numFmtId="164" fontId="14" fillId="0" borderId="0" xfId="2" applyNumberFormat="1" applyFont="1" applyBorder="1" applyAlignment="1" applyProtection="1">
      <alignment horizontal="center"/>
      <protection locked="0"/>
    </xf>
    <xf numFmtId="39" fontId="14" fillId="0" borderId="0" xfId="2" applyFont="1" applyBorder="1"/>
    <xf numFmtId="39" fontId="5" fillId="0" borderId="2" xfId="2" applyFont="1" applyBorder="1"/>
    <xf numFmtId="4" fontId="14" fillId="0" borderId="2" xfId="2" applyNumberFormat="1" applyFont="1" applyBorder="1" applyAlignment="1" applyProtection="1">
      <alignment horizontal="right"/>
      <protection locked="0"/>
    </xf>
    <xf numFmtId="39" fontId="14" fillId="0" borderId="8" xfId="2" applyFont="1" applyBorder="1" applyAlignment="1" applyProtection="1">
      <alignment horizontal="center"/>
      <protection locked="0"/>
    </xf>
    <xf numFmtId="39" fontId="14" fillId="0" borderId="2" xfId="2" applyFont="1" applyBorder="1" applyAlignment="1" applyProtection="1">
      <alignment horizontal="left"/>
      <protection locked="0"/>
    </xf>
    <xf numFmtId="39" fontId="14" fillId="0" borderId="2" xfId="2" applyFont="1" applyBorder="1" applyAlignment="1" applyProtection="1">
      <alignment horizontal="right"/>
      <protection locked="0"/>
    </xf>
    <xf numFmtId="164" fontId="14" fillId="10" borderId="8" xfId="2" applyNumberFormat="1" applyFont="1" applyFill="1" applyBorder="1" applyAlignment="1" applyProtection="1">
      <alignment horizontal="center"/>
      <protection locked="0"/>
    </xf>
    <xf numFmtId="164" fontId="14" fillId="0" borderId="12" xfId="2" applyNumberFormat="1" applyFont="1" applyBorder="1" applyAlignment="1" applyProtection="1">
      <alignment horizontal="center"/>
      <protection locked="0"/>
    </xf>
    <xf numFmtId="39" fontId="5" fillId="9" borderId="8" xfId="15" applyFont="1" applyFill="1" applyBorder="1" applyProtection="1">
      <protection locked="0"/>
    </xf>
    <xf numFmtId="49" fontId="5" fillId="0" borderId="2" xfId="32" applyNumberFormat="1" applyFont="1" applyFill="1" applyBorder="1" applyAlignment="1" applyProtection="1">
      <alignment horizontal="center"/>
      <protection locked="0"/>
    </xf>
    <xf numFmtId="4" fontId="5" fillId="9" borderId="2" xfId="6" applyNumberFormat="1" applyFont="1" applyFill="1" applyBorder="1" applyAlignment="1">
      <alignment horizontal="right"/>
    </xf>
    <xf numFmtId="39" fontId="5" fillId="9" borderId="6" xfId="15" applyFont="1" applyFill="1" applyBorder="1" applyProtection="1">
      <protection locked="0"/>
    </xf>
    <xf numFmtId="39" fontId="14" fillId="9" borderId="6" xfId="32" applyFont="1" applyFill="1" applyBorder="1" applyAlignment="1" applyProtection="1">
      <alignment horizontal="left"/>
      <protection locked="0"/>
    </xf>
    <xf numFmtId="39" fontId="5" fillId="9" borderId="2" xfId="32" applyFont="1" applyFill="1" applyBorder="1" applyAlignment="1" applyProtection="1">
      <alignment horizontal="left"/>
      <protection locked="0"/>
    </xf>
    <xf numFmtId="49" fontId="5" fillId="0" borderId="8" xfId="10" quotePrefix="1" applyNumberFormat="1" applyFont="1" applyBorder="1" applyAlignment="1" applyProtection="1">
      <alignment horizontal="center"/>
      <protection locked="0"/>
    </xf>
    <xf numFmtId="39" fontId="5" fillId="9" borderId="7" xfId="15" applyFont="1" applyFill="1" applyBorder="1" applyProtection="1">
      <protection locked="0"/>
    </xf>
    <xf numFmtId="49" fontId="5" fillId="0" borderId="9" xfId="32" applyNumberFormat="1" applyFont="1" applyFill="1" applyBorder="1" applyAlignment="1" applyProtection="1">
      <alignment horizontal="center"/>
      <protection locked="0"/>
    </xf>
    <xf numFmtId="4" fontId="5" fillId="9" borderId="9" xfId="6" applyNumberFormat="1" applyFont="1" applyFill="1" applyBorder="1" applyAlignment="1">
      <alignment horizontal="right"/>
    </xf>
    <xf numFmtId="39" fontId="5" fillId="9" borderId="9" xfId="32" applyFont="1" applyFill="1" applyBorder="1" applyAlignment="1" applyProtection="1">
      <alignment horizontal="left"/>
      <protection locked="0"/>
    </xf>
    <xf numFmtId="49" fontId="5" fillId="0" borderId="9" xfId="15" applyNumberFormat="1" applyFont="1" applyFill="1" applyBorder="1" applyAlignment="1">
      <alignment horizontal="center"/>
    </xf>
    <xf numFmtId="4" fontId="5" fillId="0" borderId="9" xfId="15" applyNumberFormat="1" applyFont="1" applyFill="1" applyBorder="1" applyAlignment="1" applyProtection="1">
      <alignment horizontal="right"/>
      <protection locked="0"/>
    </xf>
    <xf numFmtId="39" fontId="14" fillId="0" borderId="0" xfId="15" applyFont="1" applyFill="1" applyBorder="1"/>
    <xf numFmtId="39" fontId="5" fillId="0" borderId="9" xfId="15" applyFont="1" applyFill="1" applyBorder="1" applyAlignment="1" applyProtection="1">
      <alignment horizontal="left"/>
    </xf>
    <xf numFmtId="4" fontId="5" fillId="9" borderId="9" xfId="15" applyNumberFormat="1" applyFont="1" applyFill="1" applyBorder="1" applyAlignment="1" applyProtection="1">
      <alignment horizontal="right"/>
      <protection locked="0"/>
    </xf>
    <xf numFmtId="39" fontId="14" fillId="9" borderId="0" xfId="15" applyFont="1" applyFill="1" applyBorder="1"/>
    <xf numFmtId="39" fontId="15" fillId="9" borderId="9" xfId="15" applyFont="1" applyFill="1" applyBorder="1" applyAlignment="1" applyProtection="1">
      <alignment horizontal="left"/>
    </xf>
    <xf numFmtId="39" fontId="5" fillId="0" borderId="9" xfId="2" applyFont="1" applyFill="1" applyBorder="1"/>
    <xf numFmtId="39" fontId="5" fillId="0" borderId="7" xfId="15" applyFont="1" applyFill="1" applyBorder="1" applyProtection="1">
      <protection locked="0"/>
    </xf>
    <xf numFmtId="49" fontId="5" fillId="0" borderId="9" xfId="33" applyNumberFormat="1" applyFont="1" applyFill="1" applyBorder="1" applyAlignment="1" applyProtection="1">
      <alignment horizontal="center"/>
      <protection locked="0"/>
    </xf>
    <xf numFmtId="4" fontId="5" fillId="0" borderId="9" xfId="33" applyNumberFormat="1" applyFont="1" applyFill="1" applyBorder="1" applyAlignment="1">
      <alignment horizontal="right"/>
    </xf>
    <xf numFmtId="39" fontId="14" fillId="0" borderId="0" xfId="33" applyFont="1" applyFill="1" applyBorder="1"/>
    <xf numFmtId="39" fontId="5" fillId="0" borderId="9" xfId="33" applyFont="1" applyFill="1" applyBorder="1"/>
    <xf numFmtId="49" fontId="5" fillId="0" borderId="9" xfId="31" applyNumberFormat="1" applyFont="1" applyFill="1" applyBorder="1" applyAlignment="1" applyProtection="1">
      <alignment horizontal="center"/>
    </xf>
    <xf numFmtId="4" fontId="5" fillId="0" borderId="9" xfId="31" applyNumberFormat="1" applyFont="1" applyFill="1" applyBorder="1" applyAlignment="1" applyProtection="1">
      <alignment horizontal="right"/>
      <protection locked="0"/>
    </xf>
    <xf numFmtId="39" fontId="14" fillId="0" borderId="0" xfId="31" applyFont="1" applyFill="1" applyBorder="1" applyAlignment="1">
      <alignment horizontal="left"/>
    </xf>
    <xf numFmtId="39" fontId="5" fillId="0" borderId="9" xfId="31" applyFont="1" applyFill="1" applyBorder="1" applyAlignment="1">
      <alignment horizontal="left"/>
    </xf>
    <xf numFmtId="39" fontId="15" fillId="0" borderId="9" xfId="15" applyFont="1" applyFill="1" applyBorder="1" applyAlignment="1" applyProtection="1">
      <alignment horizontal="left"/>
    </xf>
    <xf numFmtId="49" fontId="5" fillId="0" borderId="9" xfId="33" quotePrefix="1" applyNumberFormat="1" applyFont="1" applyFill="1" applyBorder="1" applyAlignment="1" applyProtection="1">
      <alignment horizontal="center"/>
      <protection locked="0"/>
    </xf>
    <xf numFmtId="49" fontId="5" fillId="0" borderId="9" xfId="32" quotePrefix="1" applyNumberFormat="1" applyFont="1" applyFill="1" applyBorder="1" applyAlignment="1" applyProtection="1">
      <alignment horizontal="center"/>
      <protection locked="0"/>
    </xf>
    <xf numFmtId="4" fontId="5" fillId="0" borderId="9" xfId="6" applyNumberFormat="1" applyFont="1" applyFill="1" applyBorder="1" applyAlignment="1">
      <alignment horizontal="right"/>
    </xf>
    <xf numFmtId="39" fontId="5" fillId="0" borderId="9" xfId="32" applyFont="1" applyFill="1" applyBorder="1" applyAlignment="1" applyProtection="1">
      <alignment horizontal="left"/>
      <protection locked="0"/>
    </xf>
    <xf numFmtId="49" fontId="5" fillId="0" borderId="9" xfId="15" applyNumberFormat="1" applyFont="1" applyFill="1" applyBorder="1" applyAlignment="1" applyProtection="1">
      <alignment horizontal="center"/>
      <protection locked="0"/>
    </xf>
    <xf numFmtId="39" fontId="14" fillId="0" borderId="0" xfId="15" applyFont="1" applyFill="1" applyBorder="1" applyAlignment="1" applyProtection="1">
      <alignment horizontal="left"/>
      <protection locked="0"/>
    </xf>
    <xf numFmtId="49" fontId="5" fillId="0" borderId="9" xfId="15" quotePrefix="1" applyNumberFormat="1" applyFont="1" applyFill="1" applyBorder="1" applyAlignment="1">
      <alignment horizontal="center"/>
    </xf>
    <xf numFmtId="39" fontId="5" fillId="0" borderId="9" xfId="34" applyFont="1" applyFill="1" applyBorder="1" applyAlignment="1" applyProtection="1">
      <alignment horizontal="left"/>
      <protection locked="0"/>
    </xf>
    <xf numFmtId="39" fontId="5" fillId="0" borderId="9" xfId="15" applyFont="1" applyFill="1" applyBorder="1"/>
    <xf numFmtId="39" fontId="14" fillId="0" borderId="0" xfId="15" applyFont="1" applyFill="1" applyBorder="1" applyProtection="1">
      <protection locked="0"/>
    </xf>
    <xf numFmtId="39" fontId="5" fillId="0" borderId="9" xfId="15" quotePrefix="1" applyFont="1" applyFill="1" applyBorder="1" applyProtection="1">
      <protection locked="0"/>
    </xf>
    <xf numFmtId="49" fontId="5" fillId="0" borderId="9" xfId="15" quotePrefix="1" applyNumberFormat="1" applyFont="1" applyFill="1" applyBorder="1" applyAlignment="1" applyProtection="1">
      <alignment horizontal="center"/>
      <protection locked="0"/>
    </xf>
    <xf numFmtId="39" fontId="5" fillId="0" borderId="9" xfId="15" applyFont="1" applyFill="1" applyBorder="1" applyAlignment="1" applyProtection="1">
      <alignment horizontal="left"/>
      <protection locked="0"/>
    </xf>
    <xf numFmtId="39" fontId="5" fillId="0" borderId="2" xfId="15" applyFont="1" applyFill="1" applyBorder="1" applyProtection="1">
      <protection locked="0"/>
    </xf>
    <xf numFmtId="49" fontId="5" fillId="0" borderId="2" xfId="32" quotePrefix="1" applyNumberFormat="1" applyFont="1" applyFill="1" applyBorder="1" applyAlignment="1" applyProtection="1">
      <alignment horizontal="center"/>
      <protection locked="0"/>
    </xf>
    <xf numFmtId="4" fontId="5" fillId="0" borderId="2" xfId="6" applyNumberFormat="1" applyFont="1" applyFill="1" applyBorder="1" applyAlignment="1">
      <alignment horizontal="right"/>
    </xf>
    <xf numFmtId="39" fontId="5" fillId="0" borderId="2" xfId="32" applyFont="1" applyFill="1" applyBorder="1" applyAlignment="1" applyProtection="1">
      <alignment horizontal="left"/>
      <protection locked="0"/>
    </xf>
    <xf numFmtId="49" fontId="5" fillId="0" borderId="2" xfId="10" quotePrefix="1" applyNumberFormat="1" applyFont="1" applyFill="1" applyBorder="1" applyAlignment="1" applyProtection="1">
      <alignment horizontal="center"/>
      <protection locked="0"/>
    </xf>
    <xf numFmtId="39" fontId="14" fillId="0" borderId="0" xfId="15" applyFont="1" applyFill="1" applyBorder="1" applyAlignment="1" applyProtection="1">
      <alignment horizontal="left"/>
    </xf>
    <xf numFmtId="49" fontId="5" fillId="0" borderId="9" xfId="15" applyNumberFormat="1" applyFont="1" applyFill="1" applyBorder="1" applyAlignment="1" applyProtection="1">
      <alignment horizontal="center"/>
    </xf>
    <xf numFmtId="4" fontId="5" fillId="0" borderId="9" xfId="15" applyNumberFormat="1" applyFont="1" applyFill="1" applyBorder="1" applyAlignment="1">
      <alignment horizontal="right"/>
    </xf>
    <xf numFmtId="39" fontId="15" fillId="0" borderId="9" xfId="15" applyFont="1" applyFill="1" applyBorder="1"/>
    <xf numFmtId="39" fontId="15" fillId="0" borderId="9" xfId="15" applyFont="1" applyFill="1" applyBorder="1" applyAlignment="1" applyProtection="1">
      <alignment horizontal="left"/>
      <protection locked="0"/>
    </xf>
    <xf numFmtId="49" fontId="14" fillId="0" borderId="9" xfId="15" applyNumberFormat="1" applyFont="1" applyFill="1" applyBorder="1" applyAlignment="1">
      <alignment horizontal="center"/>
    </xf>
    <xf numFmtId="4" fontId="14" fillId="0" borderId="9" xfId="15" applyNumberFormat="1" applyFont="1" applyFill="1" applyBorder="1" applyAlignment="1" applyProtection="1">
      <alignment horizontal="right"/>
      <protection locked="0"/>
    </xf>
    <xf numFmtId="39" fontId="5" fillId="0" borderId="9" xfId="15" applyFont="1" applyFill="1" applyBorder="1" applyProtection="1">
      <protection locked="0"/>
    </xf>
    <xf numFmtId="39" fontId="14" fillId="0" borderId="9" xfId="15" applyFont="1" applyFill="1" applyBorder="1" applyAlignment="1" applyProtection="1">
      <alignment horizontal="left"/>
    </xf>
    <xf numFmtId="39" fontId="15" fillId="0" borderId="9" xfId="15" applyFont="1" applyFill="1" applyBorder="1" applyAlignment="1" applyProtection="1">
      <protection locked="0"/>
    </xf>
    <xf numFmtId="39" fontId="14" fillId="0" borderId="9" xfId="15" applyFont="1" applyFill="1" applyBorder="1"/>
    <xf numFmtId="39" fontId="5" fillId="9" borderId="9" xfId="15" applyFont="1" applyFill="1" applyBorder="1" applyAlignment="1" applyProtection="1">
      <alignment horizontal="left"/>
      <protection locked="0"/>
    </xf>
    <xf numFmtId="39" fontId="15" fillId="9" borderId="9" xfId="15" applyFont="1" applyFill="1" applyBorder="1" applyAlignment="1" applyProtection="1">
      <protection locked="0"/>
    </xf>
    <xf numFmtId="39" fontId="5" fillId="9" borderId="9" xfId="15" applyFont="1" applyFill="1" applyBorder="1" applyProtection="1">
      <protection locked="0"/>
    </xf>
    <xf numFmtId="39" fontId="14" fillId="9" borderId="0" xfId="15" applyFont="1" applyFill="1" applyBorder="1" applyAlignment="1" applyProtection="1">
      <alignment horizontal="left"/>
      <protection locked="0"/>
    </xf>
    <xf numFmtId="39" fontId="15" fillId="9" borderId="9" xfId="15" applyFont="1" applyFill="1" applyBorder="1"/>
    <xf numFmtId="49" fontId="5" fillId="0" borderId="11" xfId="15" applyNumberFormat="1" applyFont="1" applyFill="1" applyBorder="1" applyAlignment="1" applyProtection="1">
      <alignment horizontal="center"/>
      <protection locked="0"/>
    </xf>
    <xf numFmtId="4" fontId="5" fillId="9" borderId="11" xfId="15" applyNumberFormat="1" applyFont="1" applyFill="1" applyBorder="1" applyAlignment="1" applyProtection="1">
      <alignment horizontal="right"/>
      <protection locked="0"/>
    </xf>
    <xf numFmtId="39" fontId="14" fillId="9" borderId="18" xfId="15" applyFont="1" applyFill="1" applyBorder="1" applyAlignment="1" applyProtection="1">
      <alignment horizontal="left"/>
      <protection locked="0"/>
    </xf>
    <xf numFmtId="39" fontId="5" fillId="9" borderId="11" xfId="15" applyFont="1" applyFill="1" applyBorder="1" applyAlignment="1" applyProtection="1">
      <alignment horizontal="left"/>
      <protection locked="0"/>
    </xf>
    <xf numFmtId="39" fontId="14" fillId="15" borderId="0" xfId="10" applyFont="1" applyFill="1" applyAlignment="1">
      <alignment horizontal="center"/>
    </xf>
    <xf numFmtId="39" fontId="14" fillId="15" borderId="0" xfId="2" applyFont="1" applyFill="1" applyBorder="1" applyAlignment="1" applyProtection="1">
      <alignment horizontal="center"/>
      <protection locked="0"/>
    </xf>
    <xf numFmtId="39" fontId="16" fillId="0" borderId="9" xfId="7" quotePrefix="1" applyFont="1" applyFill="1" applyBorder="1" applyAlignment="1" applyProtection="1">
      <alignment horizontal="center"/>
    </xf>
    <xf numFmtId="39" fontId="16" fillId="0" borderId="10" xfId="7" quotePrefix="1" applyFont="1" applyBorder="1" applyAlignment="1" applyProtection="1">
      <alignment horizontal="center"/>
    </xf>
    <xf numFmtId="39" fontId="5" fillId="0" borderId="13" xfId="7" applyFont="1" applyFill="1" applyBorder="1"/>
    <xf numFmtId="39" fontId="16" fillId="0" borderId="11" xfId="7" applyFont="1" applyFill="1" applyBorder="1" applyAlignment="1" applyProtection="1">
      <alignment horizontal="center"/>
    </xf>
    <xf numFmtId="39" fontId="38" fillId="0" borderId="0" xfId="2" applyFont="1" applyFill="1"/>
    <xf numFmtId="39" fontId="24" fillId="0" borderId="15" xfId="2" applyFont="1" applyFill="1" applyBorder="1" applyAlignment="1" applyProtection="1">
      <alignment vertical="center"/>
    </xf>
    <xf numFmtId="39" fontId="46" fillId="0" borderId="0" xfId="2" applyFont="1" applyFill="1" applyBorder="1" applyAlignment="1">
      <alignment vertical="center"/>
    </xf>
    <xf numFmtId="39" fontId="46" fillId="0" borderId="0" xfId="2" applyFont="1" applyAlignment="1">
      <alignment vertical="center"/>
    </xf>
    <xf numFmtId="39" fontId="9" fillId="0" borderId="9" xfId="12" applyFont="1" applyFill="1" applyBorder="1" applyAlignment="1" applyProtection="1">
      <alignment horizontal="left"/>
    </xf>
    <xf numFmtId="39" fontId="28" fillId="0" borderId="0" xfId="2" applyFont="1" applyAlignment="1">
      <alignment vertical="center"/>
    </xf>
    <xf numFmtId="39" fontId="30" fillId="0" borderId="7" xfId="2" applyFont="1" applyBorder="1" applyProtection="1">
      <protection locked="0"/>
    </xf>
    <xf numFmtId="39" fontId="23" fillId="0" borderId="18" xfId="2" applyFont="1" applyBorder="1"/>
    <xf numFmtId="39" fontId="30" fillId="0" borderId="9" xfId="2" applyFont="1" applyBorder="1" applyProtection="1">
      <protection locked="0"/>
    </xf>
    <xf numFmtId="39" fontId="9" fillId="0" borderId="9" xfId="15" applyFont="1" applyBorder="1" applyProtection="1"/>
    <xf numFmtId="39" fontId="9" fillId="0" borderId="7" xfId="3" applyNumberFormat="1" applyFont="1" applyFill="1" applyBorder="1" applyProtection="1"/>
    <xf numFmtId="39" fontId="30" fillId="0" borderId="7" xfId="10" applyFont="1" applyBorder="1" applyProtection="1"/>
    <xf numFmtId="39" fontId="30" fillId="0" borderId="7" xfId="2" applyFont="1" applyBorder="1" applyAlignment="1" applyProtection="1">
      <alignment horizontal="fill"/>
    </xf>
    <xf numFmtId="39" fontId="30" fillId="0" borderId="9" xfId="2" applyFont="1" applyBorder="1" applyAlignment="1" applyProtection="1">
      <alignment horizontal="fill"/>
    </xf>
    <xf numFmtId="39" fontId="48" fillId="0" borderId="0" xfId="2" applyFont="1" applyBorder="1"/>
    <xf numFmtId="39" fontId="44" fillId="0" borderId="0" xfId="2" applyFont="1" applyProtection="1">
      <protection locked="0"/>
    </xf>
    <xf numFmtId="39" fontId="5" fillId="0" borderId="0" xfId="35" applyFont="1"/>
    <xf numFmtId="39" fontId="5" fillId="0" borderId="0" xfId="35" applyFont="1" applyFill="1"/>
    <xf numFmtId="39" fontId="5" fillId="0" borderId="0" xfId="35" applyFont="1" applyAlignment="1">
      <alignment horizontal="center"/>
    </xf>
    <xf numFmtId="39" fontId="5" fillId="0" borderId="0" xfId="35" applyFont="1" applyFill="1" applyAlignment="1">
      <alignment horizontal="center"/>
    </xf>
    <xf numFmtId="0" fontId="6" fillId="0" borderId="0" xfId="23" applyNumberFormat="1" applyFill="1" applyAlignment="1">
      <alignment horizontal="center"/>
    </xf>
    <xf numFmtId="39" fontId="5" fillId="0" borderId="0" xfId="36" applyFont="1" applyFill="1"/>
    <xf numFmtId="39" fontId="9" fillId="2" borderId="0" xfId="35" applyFont="1" applyFill="1" applyAlignment="1">
      <alignment horizontal="center"/>
    </xf>
    <xf numFmtId="39" fontId="9" fillId="3" borderId="0" xfId="35" applyFont="1" applyFill="1" applyAlignment="1">
      <alignment horizontal="center"/>
    </xf>
    <xf numFmtId="39" fontId="5" fillId="0" borderId="0" xfId="37" applyFont="1" applyFill="1"/>
    <xf numFmtId="39" fontId="5" fillId="0" borderId="0" xfId="37" applyFont="1"/>
    <xf numFmtId="2" fontId="5" fillId="0" borderId="0" xfId="23" applyNumberFormat="1" applyFont="1" applyProtection="1">
      <protection locked="0"/>
    </xf>
    <xf numFmtId="49" fontId="5" fillId="0" borderId="0" xfId="23" applyNumberFormat="1" applyFont="1" applyAlignment="1" applyProtection="1">
      <alignment horizontal="center"/>
      <protection locked="0"/>
    </xf>
    <xf numFmtId="39" fontId="5" fillId="0" borderId="0" xfId="37" applyFont="1" applyBorder="1"/>
    <xf numFmtId="39" fontId="5" fillId="0" borderId="0" xfId="35" applyFont="1" applyBorder="1"/>
    <xf numFmtId="49" fontId="5" fillId="0" borderId="0" xfId="23" quotePrefix="1" applyNumberFormat="1" applyFont="1" applyAlignment="1" applyProtection="1">
      <alignment horizontal="center"/>
      <protection locked="0"/>
    </xf>
    <xf numFmtId="39" fontId="5" fillId="0" borderId="0" xfId="37" quotePrefix="1" applyFont="1" applyAlignment="1">
      <alignment horizontal="center"/>
    </xf>
    <xf numFmtId="39" fontId="9" fillId="4" borderId="0" xfId="35" applyFont="1" applyFill="1" applyAlignment="1">
      <alignment horizontal="center"/>
    </xf>
    <xf numFmtId="39" fontId="11" fillId="0" borderId="0" xfId="37" quotePrefix="1" applyFont="1" applyFill="1" applyAlignment="1">
      <alignment horizontal="center"/>
    </xf>
    <xf numFmtId="39" fontId="5" fillId="0" borderId="0" xfId="35" applyFont="1" applyAlignment="1" applyProtection="1">
      <alignment horizontal="center"/>
      <protection locked="0"/>
    </xf>
    <xf numFmtId="39" fontId="34" fillId="0" borderId="0" xfId="35" quotePrefix="1" applyFont="1" applyFill="1" applyAlignment="1">
      <alignment horizontal="center"/>
    </xf>
    <xf numFmtId="39" fontId="14" fillId="0" borderId="1" xfId="35" applyFont="1" applyBorder="1" applyAlignment="1">
      <alignment horizontal="right"/>
    </xf>
    <xf numFmtId="39" fontId="14" fillId="0" borderId="0" xfId="35" applyFont="1" applyBorder="1" applyAlignment="1" applyProtection="1">
      <alignment horizontal="right"/>
      <protection locked="0"/>
    </xf>
    <xf numFmtId="39" fontId="14" fillId="0" borderId="0" xfId="35" applyFont="1" applyBorder="1" applyAlignment="1" applyProtection="1">
      <alignment horizontal="center"/>
      <protection locked="0"/>
    </xf>
    <xf numFmtId="39" fontId="14" fillId="0" borderId="0" xfId="35" applyFont="1" applyFill="1" applyBorder="1" applyAlignment="1" applyProtection="1">
      <alignment horizontal="center"/>
      <protection locked="0"/>
    </xf>
    <xf numFmtId="39" fontId="14" fillId="10" borderId="0" xfId="35" quotePrefix="1" applyFont="1" applyFill="1" applyBorder="1" applyAlignment="1" applyProtection="1">
      <alignment horizontal="center"/>
      <protection locked="0"/>
    </xf>
    <xf numFmtId="39" fontId="14" fillId="0" borderId="0" xfId="35" applyFont="1" applyBorder="1" applyProtection="1">
      <protection locked="0"/>
    </xf>
    <xf numFmtId="39" fontId="14" fillId="0" borderId="0" xfId="35" quotePrefix="1" applyFont="1" applyBorder="1" applyAlignment="1" applyProtection="1">
      <alignment horizontal="center"/>
      <protection locked="0"/>
    </xf>
    <xf numFmtId="39" fontId="14" fillId="0" borderId="0" xfId="35" applyFont="1" applyBorder="1" applyAlignment="1" applyProtection="1">
      <alignment horizontal="left"/>
      <protection locked="0"/>
    </xf>
    <xf numFmtId="164" fontId="14" fillId="0" borderId="0" xfId="35" applyNumberFormat="1" applyFont="1" applyBorder="1" applyProtection="1">
      <protection locked="0"/>
    </xf>
    <xf numFmtId="39" fontId="14" fillId="0" borderId="3" xfId="35" applyFont="1" applyFill="1" applyBorder="1" applyProtection="1">
      <protection locked="0"/>
    </xf>
    <xf numFmtId="39" fontId="5" fillId="0" borderId="3" xfId="35" applyFont="1" applyBorder="1"/>
    <xf numFmtId="43" fontId="14" fillId="0" borderId="3" xfId="3" applyFont="1" applyBorder="1" applyAlignment="1" applyProtection="1">
      <alignment horizontal="right"/>
      <protection locked="0"/>
    </xf>
    <xf numFmtId="39" fontId="14" fillId="0" borderId="3" xfId="35" applyFont="1" applyBorder="1" applyProtection="1">
      <protection locked="0"/>
    </xf>
    <xf numFmtId="39" fontId="14" fillId="0" borderId="4" xfId="35" quotePrefix="1" applyFont="1" applyBorder="1" applyAlignment="1" applyProtection="1">
      <alignment horizontal="center"/>
      <protection locked="0"/>
    </xf>
    <xf numFmtId="39" fontId="14" fillId="0" borderId="3" xfId="35" applyFont="1" applyBorder="1" applyAlignment="1" applyProtection="1">
      <alignment horizontal="left"/>
      <protection locked="0"/>
    </xf>
    <xf numFmtId="39" fontId="14" fillId="0" borderId="3" xfId="35" applyFont="1" applyBorder="1" applyAlignment="1" applyProtection="1">
      <alignment horizontal="right"/>
      <protection locked="0"/>
    </xf>
    <xf numFmtId="4" fontId="14" fillId="0" borderId="3" xfId="38" quotePrefix="1" applyNumberFormat="1" applyFont="1" applyBorder="1" applyAlignment="1" applyProtection="1">
      <alignment horizontal="center"/>
      <protection locked="0"/>
    </xf>
    <xf numFmtId="164" fontId="14" fillId="0" borderId="5" xfId="35" applyNumberFormat="1" applyFont="1" applyBorder="1" applyAlignment="1" applyProtection="1">
      <alignment horizontal="center"/>
      <protection locked="0"/>
    </xf>
    <xf numFmtId="39" fontId="5" fillId="0" borderId="0" xfId="35" applyFont="1" applyFill="1" applyAlignment="1">
      <alignment horizontal="right"/>
    </xf>
    <xf numFmtId="39" fontId="5" fillId="0" borderId="0" xfId="35" applyFont="1" applyFill="1" applyBorder="1" applyAlignment="1">
      <alignment horizontal="right"/>
    </xf>
    <xf numFmtId="49" fontId="79" fillId="0" borderId="9" xfId="39" quotePrefix="1" applyNumberFormat="1" applyFont="1" applyBorder="1" applyAlignment="1" applyProtection="1">
      <alignment horizontal="center"/>
      <protection locked="0"/>
    </xf>
    <xf numFmtId="43" fontId="5" fillId="0" borderId="9" xfId="3" quotePrefix="1" applyFont="1" applyBorder="1" applyAlignment="1" applyProtection="1">
      <alignment horizontal="right"/>
      <protection locked="0"/>
    </xf>
    <xf numFmtId="39" fontId="79" fillId="0" borderId="9" xfId="39" applyFont="1" applyBorder="1" applyProtection="1">
      <protection locked="0"/>
    </xf>
    <xf numFmtId="39" fontId="80" fillId="0" borderId="9" xfId="39" applyFont="1" applyBorder="1"/>
    <xf numFmtId="39" fontId="79" fillId="0" borderId="9" xfId="39" applyFont="1" applyBorder="1"/>
    <xf numFmtId="49" fontId="5" fillId="0" borderId="9" xfId="38" quotePrefix="1" applyNumberFormat="1" applyFont="1" applyBorder="1" applyAlignment="1" applyProtection="1">
      <alignment horizontal="center"/>
      <protection locked="0"/>
    </xf>
    <xf numFmtId="39" fontId="5" fillId="0" borderId="0" xfId="35" applyFont="1" applyFill="1" applyBorder="1"/>
    <xf numFmtId="39" fontId="5" fillId="0" borderId="0" xfId="8" applyFont="1" applyBorder="1" applyProtection="1">
      <protection locked="0"/>
    </xf>
    <xf numFmtId="49" fontId="79" fillId="0" borderId="0" xfId="39" quotePrefix="1" applyNumberFormat="1" applyFont="1" applyBorder="1" applyAlignment="1" applyProtection="1">
      <alignment horizontal="center"/>
      <protection locked="0"/>
    </xf>
    <xf numFmtId="43" fontId="5" fillId="0" borderId="0" xfId="3" quotePrefix="1" applyFont="1" applyBorder="1" applyAlignment="1" applyProtection="1">
      <alignment horizontal="right"/>
      <protection locked="0"/>
    </xf>
    <xf numFmtId="39" fontId="79" fillId="0" borderId="0" xfId="39" applyFont="1" applyBorder="1" applyProtection="1">
      <protection locked="0"/>
    </xf>
    <xf numFmtId="39" fontId="80" fillId="0" borderId="0" xfId="39" applyFont="1" applyBorder="1"/>
    <xf numFmtId="39" fontId="79" fillId="0" borderId="0" xfId="39" applyFont="1" applyBorder="1"/>
    <xf numFmtId="49" fontId="5" fillId="0" borderId="0" xfId="38" quotePrefix="1" applyNumberFormat="1" applyFont="1" applyBorder="1" applyAlignment="1" applyProtection="1">
      <alignment horizontal="center"/>
      <protection locked="0"/>
    </xf>
    <xf numFmtId="39" fontId="80" fillId="0" borderId="10" xfId="39" applyFont="1" applyBorder="1"/>
    <xf numFmtId="49" fontId="79" fillId="0" borderId="9" xfId="39" applyNumberFormat="1" applyFont="1" applyBorder="1" applyAlignment="1" applyProtection="1">
      <alignment horizontal="center"/>
      <protection locked="0"/>
    </xf>
    <xf numFmtId="39" fontId="79" fillId="0" borderId="7" xfId="39" applyFont="1" applyBorder="1"/>
    <xf numFmtId="49" fontId="79" fillId="0" borderId="9" xfId="39" applyNumberFormat="1" applyFont="1" applyBorder="1"/>
    <xf numFmtId="39" fontId="81" fillId="0" borderId="10" xfId="39" applyFont="1" applyBorder="1"/>
    <xf numFmtId="39" fontId="82" fillId="0" borderId="9" xfId="39" applyFont="1" applyBorder="1"/>
    <xf numFmtId="49" fontId="12" fillId="0" borderId="9" xfId="39" applyNumberFormat="1" applyFont="1" applyBorder="1" applyAlignment="1" applyProtection="1">
      <alignment horizontal="center"/>
      <protection locked="0"/>
    </xf>
    <xf numFmtId="39" fontId="12" fillId="0" borderId="9" xfId="39" applyFont="1" applyBorder="1"/>
    <xf numFmtId="49" fontId="79" fillId="0" borderId="9" xfId="39" applyNumberFormat="1" applyFont="1" applyBorder="1" applyAlignment="1">
      <alignment horizontal="center"/>
    </xf>
    <xf numFmtId="39" fontId="83" fillId="0" borderId="9" xfId="39" applyFont="1" applyBorder="1"/>
    <xf numFmtId="49" fontId="79" fillId="0" borderId="9" xfId="39" applyNumberFormat="1" applyFont="1" applyFill="1" applyBorder="1" applyAlignment="1" applyProtection="1">
      <alignment horizontal="center"/>
      <protection locked="0"/>
    </xf>
    <xf numFmtId="43" fontId="5" fillId="0" borderId="9" xfId="3" quotePrefix="1" applyFont="1" applyFill="1" applyBorder="1" applyAlignment="1" applyProtection="1">
      <alignment horizontal="right"/>
      <protection locked="0"/>
    </xf>
    <xf numFmtId="39" fontId="79" fillId="0" borderId="9" xfId="39" applyFont="1" applyFill="1" applyBorder="1" applyProtection="1">
      <protection locked="0"/>
    </xf>
    <xf numFmtId="39" fontId="80" fillId="0" borderId="9" xfId="39" applyFont="1" applyFill="1" applyBorder="1"/>
    <xf numFmtId="39" fontId="79" fillId="0" borderId="9" xfId="39" applyFont="1" applyFill="1" applyBorder="1"/>
    <xf numFmtId="49" fontId="5" fillId="0" borderId="9" xfId="38" quotePrefix="1" applyNumberFormat="1" applyFont="1" applyFill="1" applyBorder="1" applyAlignment="1" applyProtection="1">
      <alignment horizontal="center"/>
      <protection locked="0"/>
    </xf>
    <xf numFmtId="49" fontId="79" fillId="0" borderId="9" xfId="39" quotePrefix="1" applyNumberFormat="1" applyFont="1" applyFill="1" applyBorder="1" applyAlignment="1" applyProtection="1">
      <alignment horizontal="center"/>
      <protection locked="0"/>
    </xf>
    <xf numFmtId="39" fontId="79" fillId="0" borderId="7" xfId="39" applyFont="1" applyFill="1" applyBorder="1"/>
    <xf numFmtId="49" fontId="79" fillId="0" borderId="9" xfId="39" applyNumberFormat="1" applyFont="1" applyFill="1" applyBorder="1"/>
    <xf numFmtId="39" fontId="81" fillId="0" borderId="10" xfId="39" applyFont="1" applyFill="1" applyBorder="1"/>
    <xf numFmtId="39" fontId="82" fillId="0" borderId="9" xfId="39" applyFont="1" applyFill="1" applyBorder="1"/>
    <xf numFmtId="39" fontId="79" fillId="0" borderId="9" xfId="39" quotePrefix="1" applyFont="1" applyBorder="1" applyAlignment="1" applyProtection="1">
      <alignment horizontal="left"/>
      <protection locked="0"/>
    </xf>
    <xf numFmtId="39" fontId="84" fillId="0" borderId="9" xfId="39" applyFont="1" applyFill="1" applyBorder="1"/>
    <xf numFmtId="39" fontId="12" fillId="0" borderId="9" xfId="39" quotePrefix="1" applyFont="1" applyFill="1" applyBorder="1" applyAlignment="1" applyProtection="1">
      <alignment horizontal="left"/>
      <protection locked="0"/>
    </xf>
    <xf numFmtId="49" fontId="79" fillId="0" borderId="9" xfId="39" applyNumberFormat="1" applyFont="1" applyBorder="1" applyProtection="1">
      <protection locked="0"/>
    </xf>
    <xf numFmtId="39" fontId="85" fillId="0" borderId="9" xfId="39" applyFont="1" applyBorder="1"/>
    <xf numFmtId="49" fontId="79" fillId="0" borderId="9" xfId="39" applyNumberFormat="1" applyFont="1" applyBorder="1" applyAlignment="1" applyProtection="1">
      <alignment horizontal="center"/>
    </xf>
    <xf numFmtId="39" fontId="80" fillId="0" borderId="7" xfId="39" applyFont="1" applyBorder="1"/>
    <xf numFmtId="49" fontId="79" fillId="0" borderId="9" xfId="39" quotePrefix="1" applyNumberFormat="1" applyFont="1" applyBorder="1" applyAlignment="1" applyProtection="1">
      <alignment horizontal="center"/>
    </xf>
    <xf numFmtId="39" fontId="80" fillId="0" borderId="10" xfId="39" applyFont="1" applyFill="1" applyBorder="1"/>
    <xf numFmtId="164" fontId="79" fillId="0" borderId="7" xfId="39" applyNumberFormat="1" applyFont="1" applyBorder="1" applyAlignment="1" applyProtection="1">
      <alignment horizontal="left"/>
      <protection locked="0"/>
    </xf>
    <xf numFmtId="49" fontId="79" fillId="0" borderId="9" xfId="39" quotePrefix="1" applyNumberFormat="1" applyFont="1" applyBorder="1" applyAlignment="1">
      <alignment horizontal="center"/>
    </xf>
    <xf numFmtId="39" fontId="86" fillId="0" borderId="9" xfId="39" applyFont="1" applyBorder="1"/>
    <xf numFmtId="43" fontId="5" fillId="0" borderId="13" xfId="3" quotePrefix="1" applyFont="1" applyBorder="1" applyAlignment="1" applyProtection="1">
      <alignment horizontal="right"/>
      <protection locked="0"/>
    </xf>
    <xf numFmtId="49" fontId="5" fillId="0" borderId="11" xfId="38" quotePrefix="1" applyNumberFormat="1" applyFont="1" applyBorder="1" applyAlignment="1" applyProtection="1">
      <alignment horizontal="center"/>
      <protection locked="0"/>
    </xf>
    <xf numFmtId="39" fontId="16" fillId="0" borderId="0" xfId="35" applyFont="1" applyAlignment="1">
      <alignment horizontal="center"/>
    </xf>
    <xf numFmtId="39" fontId="14" fillId="15" borderId="0" xfId="38" applyFont="1" applyFill="1" applyAlignment="1">
      <alignment horizontal="center"/>
    </xf>
    <xf numFmtId="39" fontId="14" fillId="15" borderId="0" xfId="35" applyFont="1" applyFill="1" applyBorder="1" applyAlignment="1" applyProtection="1">
      <alignment horizontal="center"/>
      <protection locked="0"/>
    </xf>
    <xf numFmtId="39" fontId="14" fillId="0" borderId="0" xfId="38" applyFont="1" applyFill="1"/>
    <xf numFmtId="39" fontId="14" fillId="3" borderId="0" xfId="38" applyFont="1" applyFill="1"/>
    <xf numFmtId="39" fontId="14" fillId="3" borderId="0" xfId="35" applyFont="1" applyFill="1" applyBorder="1" applyAlignment="1" applyProtection="1">
      <alignment horizontal="center"/>
      <protection locked="0"/>
    </xf>
    <xf numFmtId="39" fontId="16" fillId="0" borderId="2" xfId="37" quotePrefix="1" applyFont="1" applyFill="1" applyBorder="1" applyAlignment="1" applyProtection="1">
      <alignment horizontal="center"/>
    </xf>
    <xf numFmtId="39" fontId="16" fillId="0" borderId="8" xfId="37" quotePrefix="1" applyFont="1" applyFill="1" applyBorder="1" applyAlignment="1" applyProtection="1">
      <alignment horizontal="center"/>
    </xf>
    <xf numFmtId="39" fontId="16" fillId="0" borderId="8" xfId="37" quotePrefix="1" applyFont="1" applyBorder="1" applyAlignment="1" applyProtection="1">
      <alignment horizontal="center"/>
    </xf>
    <xf numFmtId="39" fontId="16" fillId="0" borderId="2" xfId="37" quotePrefix="1" applyFont="1" applyBorder="1" applyAlignment="1" applyProtection="1">
      <alignment horizontal="center"/>
    </xf>
    <xf numFmtId="39" fontId="16" fillId="0" borderId="12" xfId="37" quotePrefix="1" applyFont="1" applyBorder="1" applyAlignment="1" applyProtection="1">
      <alignment horizontal="center"/>
    </xf>
    <xf numFmtId="39" fontId="14" fillId="0" borderId="0" xfId="38" applyFont="1" applyFill="1" applyAlignment="1">
      <alignment horizontal="center"/>
    </xf>
    <xf numFmtId="39" fontId="5" fillId="0" borderId="7" xfId="37" applyFont="1" applyFill="1" applyBorder="1" applyAlignment="1" applyProtection="1">
      <alignment horizontal="center"/>
    </xf>
    <xf numFmtId="39" fontId="16" fillId="0" borderId="9" xfId="37" applyFont="1" applyFill="1" applyBorder="1" applyAlignment="1" applyProtection="1">
      <alignment horizontal="center"/>
    </xf>
    <xf numFmtId="39" fontId="5" fillId="0" borderId="9" xfId="37" quotePrefix="1" applyFont="1" applyBorder="1" applyAlignment="1" applyProtection="1">
      <alignment horizontal="center"/>
    </xf>
    <xf numFmtId="39" fontId="5" fillId="0" borderId="7" xfId="37" applyFont="1" applyBorder="1" applyAlignment="1" applyProtection="1">
      <alignment horizontal="center"/>
    </xf>
    <xf numFmtId="39" fontId="16" fillId="0" borderId="9" xfId="37" applyFont="1" applyBorder="1" applyAlignment="1" applyProtection="1">
      <alignment horizontal="center"/>
    </xf>
    <xf numFmtId="39" fontId="5" fillId="0" borderId="9" xfId="37" applyFont="1" applyBorder="1" applyAlignment="1" applyProtection="1">
      <alignment horizontal="center"/>
    </xf>
    <xf numFmtId="39" fontId="5" fillId="0" borderId="11" xfId="37" applyFont="1" applyBorder="1" applyAlignment="1" applyProtection="1">
      <alignment horizontal="center"/>
    </xf>
    <xf numFmtId="39" fontId="5" fillId="0" borderId="10" xfId="37" applyFont="1" applyBorder="1" applyAlignment="1" applyProtection="1">
      <alignment horizontal="center"/>
    </xf>
    <xf numFmtId="39" fontId="14" fillId="0" borderId="0" xfId="35" applyFont="1" applyFill="1" applyBorder="1" applyAlignment="1" applyProtection="1">
      <protection locked="0"/>
    </xf>
    <xf numFmtId="39" fontId="5" fillId="0" borderId="7" xfId="37" applyFont="1" applyFill="1" applyBorder="1"/>
    <xf numFmtId="39" fontId="5" fillId="0" borderId="7" xfId="37" applyFont="1" applyBorder="1"/>
    <xf numFmtId="39" fontId="5" fillId="0" borderId="0" xfId="37" applyFont="1" applyFill="1" applyBorder="1" applyAlignment="1" applyProtection="1">
      <alignment horizontal="center"/>
    </xf>
    <xf numFmtId="39" fontId="5" fillId="0" borderId="0" xfId="37" applyFont="1" applyBorder="1" applyAlignment="1" applyProtection="1">
      <alignment horizontal="center"/>
    </xf>
    <xf numFmtId="39" fontId="5" fillId="0" borderId="10" xfId="37" applyFont="1" applyBorder="1"/>
    <xf numFmtId="39" fontId="5" fillId="0" borderId="9" xfId="37" applyFont="1" applyBorder="1"/>
    <xf numFmtId="39" fontId="5" fillId="0" borderId="7" xfId="37" applyFont="1" applyBorder="1" applyAlignment="1">
      <alignment horizontal="centerContinuous"/>
    </xf>
    <xf numFmtId="39" fontId="5" fillId="0" borderId="10" xfId="37" applyFont="1" applyBorder="1" applyAlignment="1">
      <alignment horizontal="centerContinuous"/>
    </xf>
    <xf numFmtId="39" fontId="5" fillId="0" borderId="0" xfId="37" quotePrefix="1" applyFont="1" applyFill="1" applyBorder="1" applyAlignment="1" applyProtection="1">
      <alignment horizontal="center"/>
    </xf>
    <xf numFmtId="39" fontId="5" fillId="0" borderId="0" xfId="37" quotePrefix="1" applyFont="1" applyBorder="1" applyAlignment="1" applyProtection="1">
      <alignment horizontal="center"/>
    </xf>
    <xf numFmtId="39" fontId="5" fillId="0" borderId="14" xfId="37" applyFont="1" applyBorder="1"/>
    <xf numFmtId="39" fontId="5" fillId="0" borderId="11" xfId="37" applyFont="1" applyBorder="1"/>
    <xf numFmtId="39" fontId="5" fillId="0" borderId="13" xfId="37" applyFont="1" applyBorder="1"/>
    <xf numFmtId="39" fontId="5" fillId="0" borderId="0" xfId="35" applyFont="1" applyFill="1" applyAlignment="1" applyProtection="1">
      <alignment horizontal="left"/>
    </xf>
    <xf numFmtId="39" fontId="5" fillId="0" borderId="0" xfId="35" applyFont="1" applyAlignment="1" applyProtection="1">
      <alignment horizontal="left"/>
    </xf>
    <xf numFmtId="39" fontId="5" fillId="0" borderId="0" xfId="35" applyFont="1" applyAlignment="1" applyProtection="1">
      <alignment horizontal="left"/>
      <protection locked="0"/>
    </xf>
    <xf numFmtId="39" fontId="17" fillId="0" borderId="0" xfId="35" applyFont="1" applyProtection="1">
      <protection locked="0"/>
    </xf>
    <xf numFmtId="39" fontId="5" fillId="0" borderId="0" xfId="35" applyFont="1" applyFill="1" applyAlignment="1">
      <alignment horizontal="centerContinuous"/>
    </xf>
    <xf numFmtId="39" fontId="5" fillId="0" borderId="0" xfId="35" applyFont="1" applyAlignment="1">
      <alignment horizontal="centerContinuous"/>
    </xf>
    <xf numFmtId="39" fontId="14" fillId="0" borderId="0" xfId="35" applyFont="1" applyFill="1" applyAlignment="1" applyProtection="1">
      <alignment horizontal="center"/>
      <protection locked="0"/>
    </xf>
    <xf numFmtId="39" fontId="14" fillId="0" borderId="0" xfId="35" applyFont="1" applyFill="1" applyAlignment="1">
      <alignment horizontal="center"/>
    </xf>
    <xf numFmtId="39" fontId="14" fillId="0" borderId="0" xfId="35" applyFont="1" applyAlignment="1">
      <alignment horizontal="center"/>
    </xf>
    <xf numFmtId="39" fontId="20" fillId="0" borderId="0" xfId="35" applyFont="1" applyAlignment="1" applyProtection="1">
      <alignment horizontal="left"/>
    </xf>
    <xf numFmtId="39" fontId="20" fillId="0" borderId="0" xfId="35" applyFont="1"/>
    <xf numFmtId="39" fontId="31" fillId="0" borderId="0" xfId="35" applyFont="1"/>
    <xf numFmtId="39" fontId="31" fillId="0" borderId="8" xfId="35" applyFont="1" applyBorder="1"/>
    <xf numFmtId="39" fontId="31" fillId="0" borderId="6" xfId="35" applyFont="1" applyBorder="1"/>
    <xf numFmtId="39" fontId="31" fillId="0" borderId="12" xfId="35" applyFont="1" applyBorder="1"/>
    <xf numFmtId="39" fontId="31" fillId="0" borderId="7" xfId="35" applyFont="1" applyBorder="1"/>
    <xf numFmtId="39" fontId="31" fillId="0" borderId="0" xfId="35" applyFont="1" applyBorder="1"/>
    <xf numFmtId="39" fontId="31" fillId="0" borderId="10" xfId="35" applyFont="1" applyBorder="1"/>
    <xf numFmtId="39" fontId="48" fillId="0" borderId="10" xfId="35" quotePrefix="1" applyFont="1" applyBorder="1"/>
    <xf numFmtId="39" fontId="31" fillId="0" borderId="10" xfId="35" quotePrefix="1" applyFont="1" applyBorder="1"/>
    <xf numFmtId="39" fontId="41" fillId="0" borderId="10" xfId="35" applyFont="1" applyBorder="1"/>
    <xf numFmtId="39" fontId="31" fillId="0" borderId="13" xfId="35" applyFont="1" applyBorder="1"/>
    <xf numFmtId="39" fontId="31" fillId="0" borderId="18" xfId="35" applyFont="1" applyBorder="1"/>
    <xf numFmtId="39" fontId="31" fillId="0" borderId="14" xfId="35" applyFont="1" applyBorder="1"/>
    <xf numFmtId="39" fontId="9" fillId="0" borderId="0" xfId="35" applyFont="1"/>
    <xf numFmtId="39" fontId="21" fillId="0" borderId="0" xfId="40" applyFont="1"/>
    <xf numFmtId="43" fontId="21" fillId="0" borderId="0" xfId="3" applyFont="1"/>
    <xf numFmtId="39" fontId="21" fillId="0" borderId="0" xfId="40" applyFont="1" applyAlignment="1">
      <alignment horizontal="center"/>
    </xf>
    <xf numFmtId="39" fontId="21" fillId="0" borderId="0" xfId="41" applyFont="1" applyAlignment="1" applyProtection="1"/>
    <xf numFmtId="43" fontId="9" fillId="0" borderId="0" xfId="3" applyFont="1"/>
    <xf numFmtId="39" fontId="23" fillId="0" borderId="0" xfId="42" applyFont="1" applyAlignment="1"/>
    <xf numFmtId="0" fontId="9" fillId="0" borderId="0" xfId="23" applyFont="1"/>
    <xf numFmtId="39" fontId="24" fillId="0" borderId="0" xfId="35" applyFont="1" applyBorder="1" applyAlignment="1" applyProtection="1">
      <alignment vertical="center"/>
    </xf>
    <xf numFmtId="39" fontId="23" fillId="0" borderId="0" xfId="35" applyFont="1" applyBorder="1" applyAlignment="1">
      <alignment vertical="center"/>
    </xf>
    <xf numFmtId="39" fontId="28" fillId="0" borderId="0" xfId="35" applyFont="1" applyBorder="1" applyAlignment="1" applyProtection="1">
      <alignment vertical="center"/>
    </xf>
    <xf numFmtId="39" fontId="46" fillId="0" borderId="0" xfId="35" applyFont="1" applyBorder="1" applyAlignment="1" applyProtection="1">
      <alignment vertical="center"/>
    </xf>
    <xf numFmtId="43" fontId="26" fillId="0" borderId="0" xfId="3" applyFont="1"/>
    <xf numFmtId="39" fontId="23" fillId="10" borderId="0" xfId="35" quotePrefix="1" applyFont="1" applyFill="1" applyAlignment="1">
      <alignment horizontal="center"/>
    </xf>
    <xf numFmtId="39" fontId="24" fillId="0" borderId="15" xfId="35" applyFont="1" applyFill="1" applyBorder="1" applyAlignment="1" applyProtection="1">
      <alignment vertical="center"/>
    </xf>
    <xf numFmtId="39" fontId="24" fillId="0" borderId="15" xfId="35" applyFont="1" applyBorder="1" applyAlignment="1" applyProtection="1">
      <alignment vertical="center"/>
    </xf>
    <xf numFmtId="39" fontId="23" fillId="0" borderId="16" xfId="35" applyFont="1" applyBorder="1" applyAlignment="1">
      <alignment vertical="center"/>
    </xf>
    <xf numFmtId="39" fontId="28" fillId="0" borderId="17" xfId="35" applyFont="1" applyBorder="1" applyAlignment="1" applyProtection="1">
      <alignment vertical="center"/>
    </xf>
    <xf numFmtId="39" fontId="46" fillId="0" borderId="17" xfId="35" applyFont="1" applyBorder="1" applyAlignment="1" applyProtection="1">
      <alignment vertical="center"/>
    </xf>
    <xf numFmtId="39" fontId="9" fillId="0" borderId="0" xfId="35" applyFont="1" applyAlignment="1">
      <alignment vertical="center"/>
    </xf>
    <xf numFmtId="43" fontId="26" fillId="0" borderId="0" xfId="3" applyFont="1" applyBorder="1" applyAlignment="1">
      <alignment vertical="center"/>
    </xf>
    <xf numFmtId="39" fontId="9" fillId="0" borderId="7" xfId="35" applyFont="1" applyFill="1" applyBorder="1" applyProtection="1"/>
    <xf numFmtId="39" fontId="9" fillId="0" borderId="7" xfId="42" applyFont="1" applyBorder="1" applyProtection="1"/>
    <xf numFmtId="39" fontId="9" fillId="0" borderId="2" xfId="35" applyFont="1" applyFill="1" applyBorder="1" applyProtection="1"/>
    <xf numFmtId="39" fontId="9" fillId="9" borderId="7" xfId="35" applyFont="1" applyFill="1" applyBorder="1" applyProtection="1"/>
    <xf numFmtId="39" fontId="9" fillId="0" borderId="9" xfId="35" applyFont="1" applyBorder="1" applyProtection="1">
      <protection locked="0"/>
    </xf>
    <xf numFmtId="39" fontId="50" fillId="0" borderId="8" xfId="14" applyFont="1" applyFill="1" applyBorder="1" applyAlignment="1" applyProtection="1">
      <alignment horizontal="left"/>
    </xf>
    <xf numFmtId="43" fontId="9" fillId="0" borderId="0" xfId="3" applyFont="1" applyBorder="1" applyAlignment="1">
      <alignment vertical="center"/>
    </xf>
    <xf numFmtId="39" fontId="9" fillId="0" borderId="9" xfId="35" applyFont="1" applyFill="1" applyBorder="1" applyProtection="1"/>
    <xf numFmtId="43" fontId="9" fillId="0" borderId="0" xfId="3" applyFont="1" applyFill="1" applyBorder="1" applyAlignment="1">
      <alignment vertical="center"/>
    </xf>
    <xf numFmtId="39" fontId="24" fillId="9" borderId="2" xfId="35" applyFont="1" applyFill="1" applyBorder="1" applyAlignment="1" applyProtection="1">
      <alignment vertical="center"/>
    </xf>
    <xf numFmtId="39" fontId="23" fillId="0" borderId="2" xfId="35" applyFont="1" applyBorder="1" applyAlignment="1" applyProtection="1">
      <alignment horizontal="center" vertical="center"/>
    </xf>
    <xf numFmtId="39" fontId="28" fillId="0" borderId="4" xfId="35" applyFont="1" applyBorder="1" applyAlignment="1">
      <alignment vertical="center"/>
    </xf>
    <xf numFmtId="39" fontId="23" fillId="0" borderId="5" xfId="35" applyFont="1" applyBorder="1" applyAlignment="1" applyProtection="1">
      <alignment horizontal="left" vertical="center"/>
    </xf>
    <xf numFmtId="39" fontId="9" fillId="0" borderId="0" xfId="35" applyFont="1" applyBorder="1" applyAlignment="1">
      <alignment vertical="center"/>
    </xf>
    <xf numFmtId="43" fontId="31" fillId="0" borderId="0" xfId="3" applyFont="1" applyBorder="1"/>
    <xf numFmtId="39" fontId="9" fillId="0" borderId="12" xfId="42" applyFont="1" applyBorder="1" applyProtection="1"/>
    <xf numFmtId="39" fontId="9" fillId="0" borderId="12" xfId="35" applyFont="1" applyBorder="1" applyProtection="1"/>
    <xf numFmtId="39" fontId="9" fillId="9" borderId="12" xfId="35" applyFont="1" applyFill="1" applyBorder="1" applyProtection="1"/>
    <xf numFmtId="39" fontId="9" fillId="0" borderId="12" xfId="35" applyFont="1" applyBorder="1" applyProtection="1">
      <protection locked="0"/>
    </xf>
    <xf numFmtId="0" fontId="26" fillId="0" borderId="12" xfId="14" applyNumberFormat="1" applyFont="1" applyFill="1" applyBorder="1" applyAlignment="1">
      <alignment horizontal="center"/>
    </xf>
    <xf numFmtId="39" fontId="9" fillId="0" borderId="6" xfId="14" applyFont="1" applyBorder="1" applyAlignment="1"/>
    <xf numFmtId="39" fontId="9" fillId="0" borderId="12" xfId="14" applyFont="1" applyBorder="1" applyAlignment="1"/>
    <xf numFmtId="39" fontId="9" fillId="0" borderId="10" xfId="42" applyFont="1" applyBorder="1" applyProtection="1"/>
    <xf numFmtId="39" fontId="9" fillId="0" borderId="10" xfId="35" applyFont="1" applyBorder="1" applyProtection="1"/>
    <xf numFmtId="39" fontId="9" fillId="9" borderId="10" xfId="35" applyFont="1" applyFill="1" applyBorder="1" applyProtection="1"/>
    <xf numFmtId="39" fontId="9" fillId="0" borderId="10" xfId="35" applyFont="1" applyBorder="1" applyProtection="1">
      <protection locked="0"/>
    </xf>
    <xf numFmtId="0" fontId="26" fillId="0" borderId="10" xfId="14" applyNumberFormat="1" applyFont="1" applyFill="1" applyBorder="1" applyAlignment="1" applyProtection="1">
      <alignment horizontal="center"/>
    </xf>
    <xf numFmtId="39" fontId="9" fillId="0" borderId="0" xfId="14" applyFont="1" applyFill="1" applyBorder="1" applyAlignment="1" applyProtection="1">
      <alignment horizontal="left"/>
    </xf>
    <xf numFmtId="39" fontId="9" fillId="0" borderId="9" xfId="14" applyFont="1" applyFill="1" applyBorder="1" applyAlignment="1" applyProtection="1">
      <alignment horizontal="left"/>
    </xf>
    <xf numFmtId="39" fontId="9" fillId="0" borderId="7" xfId="42" applyFont="1" applyFill="1" applyBorder="1" applyProtection="1"/>
    <xf numFmtId="39" fontId="9" fillId="0" borderId="9" xfId="35" applyFont="1" applyBorder="1" applyProtection="1"/>
    <xf numFmtId="39" fontId="9" fillId="0" borderId="7" xfId="14" applyFont="1" applyFill="1" applyBorder="1" applyAlignment="1" applyProtection="1">
      <alignment horizontal="left"/>
    </xf>
    <xf numFmtId="39" fontId="9" fillId="0" borderId="10" xfId="14" applyFont="1" applyFill="1" applyBorder="1" applyAlignment="1" applyProtection="1">
      <alignment horizontal="left"/>
    </xf>
    <xf numFmtId="39" fontId="9" fillId="0" borderId="9" xfId="35" applyFont="1" applyFill="1" applyBorder="1" applyProtection="1">
      <protection locked="0"/>
    </xf>
    <xf numFmtId="0" fontId="26" fillId="0" borderId="9" xfId="14" applyNumberFormat="1" applyFont="1" applyFill="1" applyBorder="1" applyAlignment="1" applyProtection="1">
      <alignment horizontal="center"/>
    </xf>
    <xf numFmtId="0" fontId="26" fillId="0" borderId="9" xfId="14" quotePrefix="1" applyNumberFormat="1" applyFont="1" applyFill="1" applyBorder="1" applyAlignment="1" applyProtection="1">
      <alignment horizontal="center"/>
    </xf>
    <xf numFmtId="39" fontId="9" fillId="0" borderId="10" xfId="42" applyFont="1" applyFill="1" applyBorder="1" applyProtection="1"/>
    <xf numFmtId="39" fontId="9" fillId="0" borderId="10" xfId="35" applyFont="1" applyFill="1" applyBorder="1" applyProtection="1"/>
    <xf numFmtId="39" fontId="9" fillId="0" borderId="7" xfId="14" quotePrefix="1" applyFont="1" applyFill="1" applyBorder="1" applyAlignment="1" applyProtection="1">
      <alignment horizontal="left"/>
    </xf>
    <xf numFmtId="0" fontId="26" fillId="0" borderId="2" xfId="23" quotePrefix="1" applyFont="1" applyBorder="1" applyAlignment="1" applyProtection="1">
      <alignment horizontal="center"/>
    </xf>
    <xf numFmtId="0" fontId="28" fillId="0" borderId="2" xfId="23" applyFont="1" applyBorder="1" applyAlignment="1">
      <alignment horizontal="center"/>
    </xf>
    <xf numFmtId="0" fontId="28" fillId="0" borderId="9" xfId="23" quotePrefix="1" applyFont="1" applyBorder="1" applyAlignment="1">
      <alignment horizontal="center"/>
    </xf>
    <xf numFmtId="0" fontId="49" fillId="0" borderId="9" xfId="23" quotePrefix="1" applyFont="1" applyBorder="1" applyAlignment="1">
      <alignment horizontal="center"/>
    </xf>
    <xf numFmtId="0" fontId="28" fillId="0" borderId="9" xfId="23" applyFont="1" applyBorder="1" applyAlignment="1">
      <alignment horizontal="center"/>
    </xf>
    <xf numFmtId="0" fontId="28" fillId="0" borderId="11" xfId="23" applyFont="1" applyBorder="1" applyAlignment="1">
      <alignment horizontal="center"/>
    </xf>
    <xf numFmtId="0" fontId="28" fillId="0" borderId="11" xfId="23" applyFont="1" applyFill="1" applyBorder="1" applyAlignment="1">
      <alignment horizontal="center"/>
    </xf>
    <xf numFmtId="39" fontId="9" fillId="0" borderId="0" xfId="35" applyFont="1" applyFill="1" applyBorder="1" applyProtection="1"/>
    <xf numFmtId="39" fontId="9" fillId="0" borderId="0" xfId="42" applyFont="1" applyBorder="1" applyProtection="1"/>
    <xf numFmtId="39" fontId="9" fillId="0" borderId="0" xfId="35" applyFont="1" applyBorder="1" applyProtection="1"/>
    <xf numFmtId="39" fontId="9" fillId="9" borderId="0" xfId="35" applyFont="1" applyFill="1" applyBorder="1" applyProtection="1"/>
    <xf numFmtId="39" fontId="9" fillId="0" borderId="0" xfId="35" applyFont="1" applyBorder="1" applyProtection="1">
      <protection locked="0"/>
    </xf>
    <xf numFmtId="0" fontId="50" fillId="0" borderId="0" xfId="14" applyNumberFormat="1" applyFont="1" applyFill="1" applyBorder="1" applyAlignment="1">
      <alignment horizontal="center"/>
    </xf>
    <xf numFmtId="39" fontId="50" fillId="0" borderId="0" xfId="14" applyFont="1" applyBorder="1" applyAlignment="1"/>
    <xf numFmtId="39" fontId="22" fillId="0" borderId="0" xfId="35" applyFont="1" applyAlignment="1" applyProtection="1">
      <alignment horizontal="left"/>
    </xf>
    <xf numFmtId="39" fontId="22" fillId="0" borderId="0" xfId="35" applyFont="1"/>
    <xf numFmtId="39" fontId="9" fillId="0" borderId="12" xfId="42" applyFont="1" applyFill="1" applyBorder="1" applyProtection="1"/>
    <xf numFmtId="39" fontId="9" fillId="0" borderId="12" xfId="35" applyFont="1" applyFill="1" applyBorder="1" applyProtection="1"/>
    <xf numFmtId="39" fontId="9" fillId="0" borderId="8" xfId="35" applyFont="1" applyFill="1" applyBorder="1" applyProtection="1"/>
    <xf numFmtId="39" fontId="9" fillId="0" borderId="2" xfId="35" applyFont="1" applyFill="1" applyBorder="1" applyProtection="1">
      <protection locked="0"/>
    </xf>
    <xf numFmtId="0" fontId="26" fillId="0" borderId="2" xfId="14" quotePrefix="1" applyNumberFormat="1" applyFont="1" applyFill="1" applyBorder="1" applyAlignment="1" applyProtection="1">
      <alignment horizontal="center"/>
    </xf>
    <xf numFmtId="39" fontId="9" fillId="0" borderId="8" xfId="14" quotePrefix="1" applyFont="1" applyFill="1" applyBorder="1" applyAlignment="1" applyProtection="1">
      <alignment horizontal="left"/>
    </xf>
    <xf numFmtId="39" fontId="9" fillId="0" borderId="12" xfId="14" applyFont="1" applyFill="1" applyBorder="1" applyAlignment="1" applyProtection="1">
      <alignment horizontal="left"/>
    </xf>
    <xf numFmtId="43" fontId="31" fillId="0" borderId="10" xfId="3" applyFont="1" applyBorder="1"/>
    <xf numFmtId="0" fontId="26" fillId="0" borderId="0" xfId="14" applyNumberFormat="1" applyFont="1" applyFill="1" applyBorder="1" applyAlignment="1">
      <alignment horizontal="center"/>
    </xf>
    <xf numFmtId="39" fontId="9" fillId="0" borderId="7" xfId="14" applyFont="1" applyFill="1" applyBorder="1" applyAlignment="1"/>
    <xf numFmtId="39" fontId="9" fillId="0" borderId="9" xfId="14" applyFont="1" applyFill="1" applyBorder="1" applyAlignment="1"/>
    <xf numFmtId="39" fontId="9" fillId="0" borderId="9" xfId="42" applyFont="1" applyFill="1" applyBorder="1" applyProtection="1"/>
    <xf numFmtId="0" fontId="27" fillId="0" borderId="7" xfId="44" applyNumberFormat="1" applyFont="1" applyFill="1" applyBorder="1" applyAlignment="1" applyProtection="1">
      <alignment horizontal="center"/>
    </xf>
    <xf numFmtId="0" fontId="26" fillId="0" borderId="7" xfId="14" applyNumberFormat="1" applyFont="1" applyFill="1" applyBorder="1" applyAlignment="1" applyProtection="1">
      <alignment horizontal="center"/>
    </xf>
    <xf numFmtId="39" fontId="30" fillId="0" borderId="9" xfId="42" applyFont="1" applyFill="1" applyBorder="1" applyProtection="1"/>
    <xf numFmtId="0" fontId="26" fillId="0" borderId="0" xfId="21" applyNumberFormat="1" applyFont="1" applyFill="1" applyBorder="1" applyAlignment="1">
      <alignment horizontal="center"/>
    </xf>
    <xf numFmtId="39" fontId="9" fillId="0" borderId="7" xfId="14" applyFont="1" applyBorder="1" applyAlignment="1" applyProtection="1">
      <alignment horizontal="left"/>
    </xf>
    <xf numFmtId="39" fontId="9" fillId="0" borderId="9" xfId="14" applyFont="1" applyBorder="1" applyAlignment="1" applyProtection="1">
      <alignment horizontal="left"/>
    </xf>
    <xf numFmtId="39" fontId="9" fillId="0" borderId="7" xfId="35" applyFont="1" applyBorder="1" applyProtection="1">
      <protection locked="0"/>
    </xf>
    <xf numFmtId="0" fontId="26" fillId="0" borderId="7" xfId="14" quotePrefix="1" applyNumberFormat="1" applyFont="1" applyFill="1" applyBorder="1" applyAlignment="1" applyProtection="1">
      <alignment horizontal="center"/>
    </xf>
    <xf numFmtId="39" fontId="9" fillId="0" borderId="10" xfId="14" applyFont="1" applyBorder="1" applyAlignment="1" applyProtection="1">
      <alignment horizontal="left"/>
    </xf>
    <xf numFmtId="39" fontId="26" fillId="0" borderId="9" xfId="35" quotePrefix="1" applyFont="1" applyBorder="1" applyAlignment="1" applyProtection="1">
      <alignment horizontal="center"/>
    </xf>
    <xf numFmtId="39" fontId="46" fillId="0" borderId="0" xfId="35" applyFont="1" applyBorder="1"/>
    <xf numFmtId="39" fontId="46" fillId="0" borderId="1" xfId="35" applyFont="1" applyBorder="1"/>
    <xf numFmtId="39" fontId="46" fillId="0" borderId="0" xfId="35" applyFont="1" applyAlignment="1">
      <alignment horizontal="right"/>
    </xf>
    <xf numFmtId="39" fontId="9" fillId="0" borderId="9" xfId="42" applyFont="1" applyBorder="1" applyProtection="1"/>
    <xf numFmtId="39" fontId="46" fillId="0" borderId="0" xfId="35" applyFont="1"/>
    <xf numFmtId="39" fontId="50" fillId="0" borderId="9" xfId="14" applyFont="1" applyBorder="1" applyAlignment="1" applyProtection="1">
      <alignment horizontal="left"/>
    </xf>
    <xf numFmtId="43" fontId="30" fillId="0" borderId="10" xfId="3" applyFont="1" applyBorder="1"/>
    <xf numFmtId="43" fontId="28" fillId="0" borderId="0" xfId="3" applyFont="1" applyBorder="1"/>
    <xf numFmtId="39" fontId="23" fillId="0" borderId="0" xfId="35" quotePrefix="1" applyFont="1" applyBorder="1" applyAlignment="1">
      <alignment horizontal="center" vertical="center"/>
    </xf>
    <xf numFmtId="0" fontId="6" fillId="0" borderId="0" xfId="23"/>
    <xf numFmtId="39" fontId="30" fillId="0" borderId="0" xfId="35" applyFont="1" applyBorder="1"/>
    <xf numFmtId="39" fontId="24" fillId="9" borderId="3" xfId="35" applyFont="1" applyFill="1" applyBorder="1" applyAlignment="1" applyProtection="1">
      <alignment vertical="center"/>
    </xf>
    <xf numFmtId="39" fontId="23" fillId="0" borderId="3" xfId="35" applyFont="1" applyBorder="1" applyAlignment="1" applyProtection="1">
      <alignment horizontal="center" vertical="center"/>
    </xf>
    <xf numFmtId="39" fontId="23" fillId="0" borderId="0" xfId="35" applyFont="1" applyBorder="1"/>
    <xf numFmtId="39" fontId="30" fillId="0" borderId="0" xfId="35" applyFont="1" applyBorder="1" applyProtection="1"/>
    <xf numFmtId="39" fontId="9" fillId="0" borderId="7" xfId="42" applyFont="1" applyBorder="1"/>
    <xf numFmtId="39" fontId="9" fillId="9" borderId="9" xfId="45" applyFont="1" applyFill="1" applyBorder="1" applyProtection="1"/>
    <xf numFmtId="39" fontId="26" fillId="0" borderId="9" xfId="42" quotePrefix="1" applyFont="1" applyBorder="1" applyAlignment="1" applyProtection="1">
      <alignment horizontal="center"/>
    </xf>
    <xf numFmtId="39" fontId="9" fillId="0" borderId="7" xfId="35" applyFont="1" applyBorder="1"/>
    <xf numFmtId="39" fontId="9" fillId="0" borderId="10" xfId="37" applyFont="1" applyBorder="1" applyAlignment="1" applyProtection="1">
      <alignment horizontal="left"/>
    </xf>
    <xf numFmtId="39" fontId="67" fillId="0" borderId="1" xfId="23" applyNumberFormat="1" applyFont="1" applyBorder="1"/>
    <xf numFmtId="0" fontId="67" fillId="0" borderId="0" xfId="23" applyFont="1"/>
    <xf numFmtId="39" fontId="9" fillId="0" borderId="7" xfId="42" applyFont="1" applyFill="1" applyBorder="1"/>
    <xf numFmtId="39" fontId="6" fillId="0" borderId="0" xfId="23" applyNumberFormat="1" applyFont="1"/>
    <xf numFmtId="0" fontId="6" fillId="0" borderId="0" xfId="23" applyFont="1"/>
    <xf numFmtId="39" fontId="9" fillId="0" borderId="7" xfId="38" applyFont="1" applyBorder="1" applyProtection="1"/>
    <xf numFmtId="39" fontId="9" fillId="0" borderId="9" xfId="37" applyFont="1" applyBorder="1" applyAlignment="1" applyProtection="1">
      <alignment horizontal="left"/>
    </xf>
    <xf numFmtId="39" fontId="23" fillId="0" borderId="0" xfId="35" applyFont="1" applyFill="1" applyBorder="1"/>
    <xf numFmtId="39" fontId="9" fillId="0" borderId="7" xfId="38" applyFont="1" applyFill="1" applyBorder="1" applyProtection="1"/>
    <xf numFmtId="39" fontId="9" fillId="0" borderId="0" xfId="42" applyFont="1" applyFill="1" applyBorder="1"/>
    <xf numFmtId="43" fontId="23" fillId="9" borderId="15" xfId="3" applyFont="1" applyFill="1" applyBorder="1" applyProtection="1"/>
    <xf numFmtId="39" fontId="9" fillId="9" borderId="9" xfId="35" applyFont="1" applyFill="1" applyBorder="1" applyProtection="1"/>
    <xf numFmtId="39" fontId="31" fillId="0" borderId="0" xfId="35" applyFont="1" applyFill="1" applyBorder="1"/>
    <xf numFmtId="43" fontId="41" fillId="9" borderId="9" xfId="3" applyFont="1" applyFill="1" applyBorder="1" applyProtection="1"/>
    <xf numFmtId="39" fontId="26" fillId="0" borderId="9" xfId="42" applyFont="1" applyBorder="1" applyAlignment="1" applyProtection="1">
      <alignment horizontal="center"/>
    </xf>
    <xf numFmtId="39" fontId="9" fillId="0" borderId="10" xfId="46" applyFont="1" applyBorder="1" applyAlignment="1" applyProtection="1">
      <alignment horizontal="left"/>
    </xf>
    <xf numFmtId="39" fontId="23" fillId="0" borderId="10" xfId="42" applyFont="1" applyBorder="1" applyAlignment="1" applyProtection="1">
      <alignment horizontal="left"/>
    </xf>
    <xf numFmtId="43" fontId="46" fillId="9" borderId="9" xfId="3" applyFont="1" applyFill="1" applyBorder="1" applyProtection="1"/>
    <xf numFmtId="43" fontId="6" fillId="0" borderId="0" xfId="3" applyFont="1"/>
    <xf numFmtId="39" fontId="67" fillId="0" borderId="0" xfId="23" applyNumberFormat="1" applyFont="1"/>
    <xf numFmtId="39" fontId="46" fillId="0" borderId="9" xfId="35" applyFont="1" applyBorder="1"/>
    <xf numFmtId="39" fontId="9" fillId="9" borderId="7" xfId="42" applyFont="1" applyFill="1" applyBorder="1" applyProtection="1"/>
    <xf numFmtId="39" fontId="9" fillId="0" borderId="0" xfId="35" applyFont="1" applyFill="1" applyBorder="1"/>
    <xf numFmtId="39" fontId="9" fillId="0" borderId="0" xfId="42" applyFont="1" applyFill="1" applyBorder="1" applyAlignment="1" applyProtection="1">
      <alignment horizontal="left"/>
    </xf>
    <xf numFmtId="43" fontId="46" fillId="0" borderId="9" xfId="3" applyFont="1" applyBorder="1" applyProtection="1"/>
    <xf numFmtId="39" fontId="28" fillId="0" borderId="0" xfId="35" applyFont="1" applyFill="1" applyBorder="1" applyAlignment="1">
      <alignment horizontal="center"/>
    </xf>
    <xf numFmtId="4" fontId="9" fillId="0" borderId="9" xfId="38" applyNumberFormat="1" applyFont="1" applyFill="1" applyBorder="1" applyProtection="1"/>
    <xf numFmtId="39" fontId="9" fillId="9" borderId="9" xfId="42" applyFont="1" applyFill="1" applyBorder="1"/>
    <xf numFmtId="39" fontId="26" fillId="0" borderId="9" xfId="42" applyFont="1" applyBorder="1" applyAlignment="1">
      <alignment horizontal="center"/>
    </xf>
    <xf numFmtId="39" fontId="23" fillId="0" borderId="10" xfId="42" applyFont="1" applyBorder="1"/>
    <xf numFmtId="39" fontId="31" fillId="0" borderId="0" xfId="35" applyFont="1" applyFill="1"/>
    <xf numFmtId="39" fontId="9" fillId="0" borderId="7" xfId="46" applyFont="1" applyBorder="1" applyAlignment="1" applyProtection="1">
      <alignment horizontal="left"/>
    </xf>
    <xf numFmtId="39" fontId="9" fillId="0" borderId="10" xfId="46" quotePrefix="1" applyFont="1" applyBorder="1" applyAlignment="1" applyProtection="1">
      <alignment horizontal="left"/>
    </xf>
    <xf numFmtId="39" fontId="50" fillId="9" borderId="7" xfId="44" applyFont="1" applyFill="1" applyBorder="1" applyProtection="1"/>
    <xf numFmtId="39" fontId="9" fillId="0" borderId="7" xfId="35" applyFont="1" applyBorder="1" applyProtection="1"/>
    <xf numFmtId="39" fontId="30" fillId="0" borderId="7" xfId="35" applyFont="1" applyBorder="1" applyProtection="1"/>
    <xf numFmtId="39" fontId="30" fillId="0" borderId="7" xfId="38" applyFont="1" applyBorder="1" applyProtection="1"/>
    <xf numFmtId="39" fontId="30" fillId="0" borderId="9" xfId="35" applyFont="1" applyBorder="1" applyProtection="1"/>
    <xf numFmtId="39" fontId="30" fillId="0" borderId="9" xfId="35" applyFont="1" applyBorder="1" applyProtection="1">
      <protection locked="0"/>
    </xf>
    <xf numFmtId="39" fontId="9" fillId="0" borderId="9" xfId="42" applyFont="1" applyBorder="1" applyAlignment="1" applyProtection="1">
      <alignment horizontal="left"/>
    </xf>
    <xf numFmtId="43" fontId="9" fillId="0" borderId="9" xfId="3" applyFont="1" applyBorder="1" applyAlignment="1" applyProtection="1">
      <alignment horizontal="fill"/>
    </xf>
    <xf numFmtId="39" fontId="9" fillId="0" borderId="7" xfId="35" applyFont="1" applyBorder="1" applyAlignment="1" applyProtection="1">
      <alignment horizontal="fill"/>
    </xf>
    <xf numFmtId="39" fontId="9" fillId="0" borderId="9" xfId="35" applyFont="1" applyBorder="1" applyAlignment="1" applyProtection="1">
      <alignment horizontal="fill"/>
    </xf>
    <xf numFmtId="39" fontId="26" fillId="0" borderId="7" xfId="35" applyFont="1" applyBorder="1" applyAlignment="1" applyProtection="1">
      <alignment horizontal="fill"/>
    </xf>
    <xf numFmtId="39" fontId="9" fillId="0" borderId="13" xfId="35" applyFont="1" applyBorder="1" applyAlignment="1" applyProtection="1">
      <alignment horizontal="fill"/>
    </xf>
    <xf numFmtId="43" fontId="24" fillId="0" borderId="2" xfId="3" applyFont="1" applyFill="1" applyBorder="1" applyProtection="1"/>
    <xf numFmtId="39" fontId="24" fillId="0" borderId="2" xfId="35" applyFont="1" applyFill="1" applyBorder="1" applyProtection="1"/>
    <xf numFmtId="39" fontId="23" fillId="0" borderId="2" xfId="35" applyFont="1" applyBorder="1" applyAlignment="1" applyProtection="1">
      <alignment horizontal="center"/>
    </xf>
    <xf numFmtId="39" fontId="28" fillId="0" borderId="7" xfId="35" applyFont="1" applyBorder="1"/>
    <xf numFmtId="39" fontId="23" fillId="0" borderId="12" xfId="35" applyFont="1" applyBorder="1" applyAlignment="1" applyProtection="1">
      <alignment horizontal="left"/>
    </xf>
    <xf numFmtId="43" fontId="23" fillId="0" borderId="11" xfId="3" applyFont="1" applyBorder="1"/>
    <xf numFmtId="39" fontId="23" fillId="0" borderId="7" xfId="35" applyFont="1" applyBorder="1"/>
    <xf numFmtId="39" fontId="23" fillId="0" borderId="9" xfId="35" applyFont="1" applyBorder="1"/>
    <xf numFmtId="39" fontId="23" fillId="0" borderId="10" xfId="35" applyFont="1" applyBorder="1" applyAlignment="1" applyProtection="1">
      <alignment horizontal="left"/>
    </xf>
    <xf numFmtId="43" fontId="26" fillId="0" borderId="2" xfId="3" quotePrefix="1" applyFont="1" applyBorder="1" applyAlignment="1" applyProtection="1">
      <alignment horizontal="center"/>
    </xf>
    <xf numFmtId="43" fontId="28" fillId="0" borderId="11" xfId="3" applyFont="1" applyBorder="1" applyAlignment="1">
      <alignment horizontal="center"/>
    </xf>
    <xf numFmtId="39" fontId="41" fillId="0" borderId="0" xfId="35" applyFont="1" applyProtection="1">
      <protection locked="0"/>
    </xf>
    <xf numFmtId="39" fontId="9" fillId="0" borderId="0" xfId="35" applyFont="1" applyAlignment="1" applyProtection="1">
      <alignment horizontal="center"/>
    </xf>
    <xf numFmtId="39" fontId="14" fillId="0" borderId="0" xfId="2" quotePrefix="1" applyFont="1" applyFill="1" applyProtection="1">
      <protection locked="0"/>
    </xf>
    <xf numFmtId="164" fontId="14" fillId="0" borderId="4" xfId="2" applyNumberFormat="1" applyFont="1" applyFill="1" applyBorder="1" applyAlignment="1" applyProtection="1">
      <alignment horizontal="center"/>
      <protection locked="0"/>
    </xf>
    <xf numFmtId="39" fontId="5" fillId="0" borderId="6" xfId="2" applyFont="1" applyFill="1" applyBorder="1"/>
    <xf numFmtId="39" fontId="5" fillId="0" borderId="7" xfId="19" applyFont="1" applyBorder="1" applyProtection="1">
      <protection locked="0"/>
    </xf>
    <xf numFmtId="49" fontId="5" fillId="0" borderId="9" xfId="18" applyNumberFormat="1" applyFont="1" applyFill="1" applyBorder="1" applyAlignment="1" applyProtection="1">
      <alignment horizontal="center"/>
      <protection locked="0"/>
    </xf>
    <xf numFmtId="39" fontId="5" fillId="0" borderId="9" xfId="18" applyFont="1" applyFill="1" applyBorder="1" applyAlignment="1" applyProtection="1">
      <alignment horizontal="right"/>
      <protection locked="0"/>
    </xf>
    <xf numFmtId="39" fontId="14" fillId="0" borderId="9" xfId="18" applyFont="1" applyFill="1" applyBorder="1" applyAlignment="1" applyProtection="1">
      <alignment horizontal="left"/>
    </xf>
    <xf numFmtId="39" fontId="5" fillId="0" borderId="9" xfId="18" applyFont="1" applyFill="1" applyBorder="1" applyAlignment="1" applyProtection="1">
      <alignment horizontal="left"/>
    </xf>
    <xf numFmtId="0" fontId="14" fillId="0" borderId="7" xfId="10" applyNumberFormat="1" applyFont="1" applyBorder="1" applyAlignment="1" applyProtection="1">
      <alignment horizontal="center"/>
      <protection locked="0"/>
    </xf>
    <xf numFmtId="49" fontId="5" fillId="0" borderId="9" xfId="18" applyNumberFormat="1" applyFont="1" applyBorder="1" applyAlignment="1" applyProtection="1">
      <alignment horizontal="center"/>
      <protection locked="0"/>
    </xf>
    <xf numFmtId="39" fontId="5" fillId="0" borderId="9" xfId="18" applyFont="1" applyBorder="1" applyAlignment="1" applyProtection="1">
      <alignment horizontal="right"/>
      <protection locked="0"/>
    </xf>
    <xf numFmtId="39" fontId="14" fillId="0" borderId="9" xfId="18" applyFont="1" applyBorder="1" applyAlignment="1" applyProtection="1">
      <alignment horizontal="left"/>
    </xf>
    <xf numFmtId="39" fontId="5" fillId="0" borderId="9" xfId="18" applyFont="1" applyBorder="1" applyAlignment="1" applyProtection="1">
      <alignment horizontal="left"/>
    </xf>
    <xf numFmtId="49" fontId="5" fillId="0" borderId="9" xfId="18" quotePrefix="1" applyNumberFormat="1" applyFont="1" applyBorder="1" applyAlignment="1" applyProtection="1">
      <alignment horizontal="center"/>
      <protection locked="0"/>
    </xf>
    <xf numFmtId="39" fontId="14" fillId="0" borderId="9" xfId="18" applyFont="1" applyBorder="1" applyAlignment="1" applyProtection="1">
      <alignment horizontal="left"/>
      <protection locked="0"/>
    </xf>
    <xf numFmtId="39" fontId="5" fillId="0" borderId="9" xfId="18" applyFont="1" applyBorder="1"/>
    <xf numFmtId="39" fontId="5" fillId="0" borderId="9" xfId="18" applyFont="1" applyBorder="1" applyProtection="1">
      <protection locked="0"/>
    </xf>
    <xf numFmtId="39" fontId="14" fillId="0" borderId="9" xfId="18" applyFont="1" applyFill="1" applyBorder="1" applyAlignment="1" applyProtection="1">
      <alignment horizontal="left"/>
      <protection locked="0"/>
    </xf>
    <xf numFmtId="39" fontId="5" fillId="0" borderId="9" xfId="18" applyFont="1" applyFill="1" applyBorder="1" applyProtection="1">
      <protection locked="0"/>
    </xf>
    <xf numFmtId="39" fontId="14" fillId="0" borderId="9" xfId="18" applyFont="1" applyBorder="1"/>
    <xf numFmtId="39" fontId="15" fillId="0" borderId="9" xfId="18" applyFont="1" applyBorder="1" applyProtection="1">
      <protection locked="0"/>
    </xf>
    <xf numFmtId="49" fontId="5" fillId="0" borderId="9" xfId="18" applyNumberFormat="1" applyFont="1" applyBorder="1" applyAlignment="1" applyProtection="1">
      <alignment horizontal="center"/>
    </xf>
    <xf numFmtId="39" fontId="5" fillId="0" borderId="9" xfId="18" applyFont="1" applyBorder="1" applyAlignment="1" applyProtection="1">
      <protection locked="0"/>
    </xf>
    <xf numFmtId="49" fontId="5" fillId="0" borderId="9" xfId="18" applyNumberFormat="1" applyFont="1" applyBorder="1" applyProtection="1">
      <protection locked="0"/>
    </xf>
    <xf numFmtId="39" fontId="5" fillId="0" borderId="9" xfId="18" applyFont="1" applyBorder="1" applyAlignment="1" applyProtection="1">
      <alignment horizontal="left"/>
      <protection locked="0"/>
    </xf>
    <xf numFmtId="43" fontId="38" fillId="0" borderId="0" xfId="3" applyFont="1"/>
    <xf numFmtId="39" fontId="28" fillId="0" borderId="0" xfId="2" applyFont="1"/>
    <xf numFmtId="39" fontId="23" fillId="0" borderId="0" xfId="2" applyFont="1" applyAlignment="1"/>
    <xf numFmtId="0" fontId="26" fillId="0" borderId="0" xfId="4" applyFont="1"/>
    <xf numFmtId="39" fontId="31" fillId="0" borderId="0" xfId="2" applyFont="1" applyAlignment="1"/>
    <xf numFmtId="39" fontId="9" fillId="0" borderId="0" xfId="2" applyFont="1" applyBorder="1" applyAlignment="1"/>
    <xf numFmtId="43" fontId="31" fillId="0" borderId="0" xfId="3" applyFont="1" applyAlignment="1"/>
    <xf numFmtId="39" fontId="9" fillId="0" borderId="0" xfId="2" applyFont="1" applyAlignment="1"/>
    <xf numFmtId="39" fontId="9" fillId="0" borderId="22" xfId="2" applyFont="1" applyBorder="1" applyAlignment="1" applyProtection="1"/>
    <xf numFmtId="39" fontId="28" fillId="0" borderId="16" xfId="2" applyFont="1" applyBorder="1" applyAlignment="1">
      <alignment vertical="center"/>
    </xf>
    <xf numFmtId="39" fontId="28" fillId="0" borderId="15" xfId="2" applyFont="1" applyBorder="1" applyAlignment="1" applyProtection="1">
      <alignment vertical="center"/>
    </xf>
    <xf numFmtId="39" fontId="46" fillId="0" borderId="15" xfId="2" applyFont="1" applyBorder="1" applyAlignment="1" applyProtection="1">
      <alignment vertical="center"/>
    </xf>
    <xf numFmtId="39" fontId="9" fillId="0" borderId="8" xfId="2" applyFont="1" applyBorder="1"/>
    <xf numFmtId="39" fontId="30" fillId="0" borderId="9" xfId="18" applyFont="1" applyBorder="1" applyAlignment="1" applyProtection="1">
      <alignment horizontal="left"/>
    </xf>
    <xf numFmtId="39" fontId="30" fillId="0" borderId="7" xfId="13" applyFont="1" applyBorder="1"/>
    <xf numFmtId="43" fontId="31" fillId="0" borderId="0" xfId="3" applyFont="1" applyBorder="1" applyAlignment="1">
      <alignment vertical="center"/>
    </xf>
    <xf numFmtId="39" fontId="41" fillId="0" borderId="0" xfId="2" applyFont="1" applyFill="1" applyAlignment="1">
      <alignment vertical="center"/>
    </xf>
    <xf numFmtId="39" fontId="41" fillId="0" borderId="0" xfId="2" applyFont="1" applyBorder="1"/>
    <xf numFmtId="39" fontId="41" fillId="0" borderId="0" xfId="2" applyFont="1" applyAlignment="1">
      <alignment horizontal="right"/>
    </xf>
    <xf numFmtId="39" fontId="41" fillId="0" borderId="0" xfId="2" applyFont="1"/>
    <xf numFmtId="39" fontId="41" fillId="10" borderId="0" xfId="2" applyFont="1" applyFill="1" applyAlignment="1">
      <alignment horizontal="left"/>
    </xf>
    <xf numFmtId="4" fontId="9" fillId="9" borderId="9" xfId="2" applyNumberFormat="1" applyFont="1" applyFill="1" applyBorder="1" applyAlignment="1" applyProtection="1">
      <alignment vertical="center"/>
    </xf>
    <xf numFmtId="43" fontId="9" fillId="0" borderId="0" xfId="3" applyFont="1" applyFill="1" applyBorder="1"/>
    <xf numFmtId="4" fontId="9" fillId="0" borderId="7" xfId="3" applyNumberFormat="1" applyFont="1" applyBorder="1"/>
    <xf numFmtId="4" fontId="9" fillId="0" borderId="7" xfId="3" applyNumberFormat="1" applyFont="1" applyBorder="1" applyProtection="1">
      <protection locked="0"/>
    </xf>
    <xf numFmtId="39" fontId="26" fillId="0" borderId="10" xfId="7" applyFont="1" applyBorder="1" applyAlignment="1" applyProtection="1">
      <alignment horizontal="left"/>
    </xf>
    <xf numFmtId="4" fontId="30" fillId="0" borderId="7" xfId="3" applyNumberFormat="1" applyFont="1" applyFill="1" applyBorder="1" applyProtection="1"/>
    <xf numFmtId="4" fontId="9" fillId="0" borderId="9" xfId="3" applyNumberFormat="1" applyFont="1" applyBorder="1" applyProtection="1">
      <protection locked="0"/>
    </xf>
    <xf numFmtId="4" fontId="9" fillId="9" borderId="9" xfId="3" applyNumberFormat="1" applyFont="1" applyFill="1" applyBorder="1"/>
    <xf numFmtId="4" fontId="30" fillId="0" borderId="7" xfId="3" applyNumberFormat="1" applyFont="1" applyBorder="1" applyProtection="1"/>
    <xf numFmtId="4" fontId="30" fillId="0" borderId="9" xfId="3" applyNumberFormat="1" applyFont="1" applyBorder="1" applyProtection="1"/>
    <xf numFmtId="4" fontId="30" fillId="0" borderId="9" xfId="3" applyNumberFormat="1" applyFont="1" applyBorder="1" applyProtection="1">
      <protection locked="0"/>
    </xf>
    <xf numFmtId="39" fontId="28" fillId="0" borderId="2" xfId="2" applyFont="1" applyBorder="1" applyAlignment="1" applyProtection="1">
      <alignment horizontal="center"/>
    </xf>
    <xf numFmtId="39" fontId="24" fillId="0" borderId="7" xfId="2" applyFont="1" applyBorder="1"/>
    <xf numFmtId="43" fontId="28" fillId="0" borderId="0" xfId="3" applyFont="1" applyBorder="1" applyAlignment="1">
      <alignment horizontal="center"/>
    </xf>
    <xf numFmtId="39" fontId="26" fillId="0" borderId="0" xfId="2" applyFont="1" applyAlignment="1" applyProtection="1">
      <alignment horizontal="center"/>
    </xf>
    <xf numFmtId="39" fontId="23" fillId="0" borderId="0" xfId="22" applyFont="1" applyFill="1" applyAlignment="1"/>
    <xf numFmtId="39" fontId="23" fillId="0" borderId="21" xfId="2" applyFont="1" applyBorder="1" applyAlignment="1" applyProtection="1">
      <alignment vertical="center"/>
    </xf>
    <xf numFmtId="39" fontId="23" fillId="0" borderId="23" xfId="2" applyFont="1" applyBorder="1" applyAlignment="1" applyProtection="1">
      <alignment vertical="center"/>
    </xf>
    <xf numFmtId="39" fontId="40" fillId="0" borderId="1" xfId="11" applyFont="1" applyFill="1" applyBorder="1" applyAlignment="1">
      <alignment horizontal="center"/>
    </xf>
    <xf numFmtId="43" fontId="9" fillId="0" borderId="7" xfId="47" applyFont="1" applyFill="1" applyBorder="1"/>
    <xf numFmtId="0" fontId="9" fillId="0" borderId="8" xfId="6" quotePrefix="1" applyFont="1" applyBorder="1" applyAlignment="1" applyProtection="1">
      <alignment horizontal="left"/>
    </xf>
    <xf numFmtId="0" fontId="9" fillId="0" borderId="12" xfId="6" applyFont="1" applyBorder="1"/>
    <xf numFmtId="39" fontId="40" fillId="0" borderId="19" xfId="11" applyFont="1" applyFill="1" applyBorder="1" applyAlignment="1">
      <alignment horizontal="center"/>
    </xf>
    <xf numFmtId="37" fontId="21" fillId="0" borderId="0" xfId="11" applyNumberFormat="1" applyFont="1" applyFill="1" applyAlignment="1">
      <alignment horizontal="center"/>
    </xf>
    <xf numFmtId="0" fontId="21" fillId="0" borderId="0" xfId="4" applyFont="1" applyFill="1" applyAlignment="1">
      <alignment horizontal="right"/>
    </xf>
    <xf numFmtId="0" fontId="9" fillId="0" borderId="7" xfId="6" applyFont="1" applyBorder="1"/>
    <xf numFmtId="0" fontId="9" fillId="0" borderId="10" xfId="6" applyFont="1" applyBorder="1" applyAlignment="1" applyProtection="1">
      <alignment horizontal="left"/>
    </xf>
    <xf numFmtId="0" fontId="9" fillId="0" borderId="7" xfId="6" quotePrefix="1" applyFont="1" applyBorder="1" applyAlignment="1" applyProtection="1">
      <alignment horizontal="left"/>
    </xf>
    <xf numFmtId="0" fontId="9" fillId="0" borderId="10" xfId="6" applyFont="1" applyBorder="1"/>
    <xf numFmtId="39" fontId="40" fillId="0" borderId="0" xfId="11" applyFont="1" applyFill="1" applyAlignment="1">
      <alignment horizontal="left"/>
    </xf>
    <xf numFmtId="39" fontId="9" fillId="0" borderId="7" xfId="3" applyNumberFormat="1" applyFont="1" applyBorder="1"/>
    <xf numFmtId="0" fontId="9" fillId="0" borderId="7" xfId="6" applyFont="1" applyBorder="1" applyAlignment="1" applyProtection="1">
      <alignment horizontal="left"/>
    </xf>
    <xf numFmtId="39" fontId="9" fillId="0" borderId="9" xfId="2" applyFont="1" applyBorder="1" applyAlignment="1">
      <alignment vertical="center"/>
    </xf>
    <xf numFmtId="43" fontId="9" fillId="0" borderId="7" xfId="3" applyFont="1" applyFill="1" applyBorder="1"/>
    <xf numFmtId="0" fontId="9" fillId="0" borderId="13" xfId="23" quotePrefix="1" applyFont="1" applyBorder="1" applyAlignment="1">
      <alignment horizontal="center"/>
    </xf>
    <xf numFmtId="39" fontId="9" fillId="0" borderId="13" xfId="2" applyFont="1" applyBorder="1"/>
    <xf numFmtId="0" fontId="23" fillId="0" borderId="14" xfId="23" applyFont="1" applyBorder="1"/>
    <xf numFmtId="39" fontId="23" fillId="0" borderId="7" xfId="2" applyFont="1" applyBorder="1" applyAlignment="1">
      <alignment vertical="center"/>
    </xf>
    <xf numFmtId="39" fontId="23" fillId="0" borderId="10" xfId="2" applyFont="1" applyBorder="1" applyAlignment="1" applyProtection="1">
      <alignment horizontal="left" vertical="center"/>
    </xf>
    <xf numFmtId="0" fontId="23" fillId="0" borderId="2" xfId="4" applyFont="1" applyBorder="1" applyAlignment="1">
      <alignment horizontal="center"/>
    </xf>
    <xf numFmtId="0" fontId="23" fillId="0" borderId="9" xfId="4" quotePrefix="1" applyFont="1" applyBorder="1" applyAlignment="1">
      <alignment horizontal="center"/>
    </xf>
    <xf numFmtId="0" fontId="24" fillId="0" borderId="11" xfId="4" applyFont="1" applyFill="1" applyBorder="1" applyAlignment="1">
      <alignment horizontal="center"/>
    </xf>
    <xf numFmtId="39" fontId="21" fillId="0" borderId="0" xfId="2" applyFont="1" applyAlignment="1" applyProtection="1">
      <alignment horizontal="left"/>
    </xf>
    <xf numFmtId="39" fontId="21" fillId="0" borderId="0" xfId="2" applyFont="1"/>
    <xf numFmtId="39" fontId="30" fillId="2" borderId="0" xfId="2" applyFont="1" applyFill="1" applyAlignment="1">
      <alignment horizontal="center"/>
    </xf>
    <xf numFmtId="39" fontId="30" fillId="3" borderId="0" xfId="2" applyFont="1" applyFill="1" applyAlignment="1">
      <alignment horizontal="center"/>
    </xf>
    <xf numFmtId="39" fontId="30" fillId="4" borderId="0" xfId="2" applyFont="1" applyFill="1" applyAlignment="1">
      <alignment horizontal="center"/>
    </xf>
    <xf numFmtId="39" fontId="5" fillId="0" borderId="0" xfId="19" applyFont="1" applyAlignment="1" applyProtection="1">
      <alignment horizontal="left"/>
    </xf>
    <xf numFmtId="39" fontId="14" fillId="0" borderId="0" xfId="2" applyFont="1" applyAlignment="1" applyProtection="1">
      <alignment horizontal="left"/>
      <protection locked="0"/>
    </xf>
    <xf numFmtId="39" fontId="14" fillId="0" borderId="0" xfId="19" applyFont="1" applyAlignment="1" applyProtection="1">
      <alignment horizontal="left"/>
    </xf>
    <xf numFmtId="0" fontId="12" fillId="0" borderId="10" xfId="6" quotePrefix="1" applyFont="1" applyBorder="1" applyAlignment="1">
      <alignment horizontal="centerContinuous"/>
    </xf>
    <xf numFmtId="39" fontId="12" fillId="0" borderId="2" xfId="48" applyFont="1" applyBorder="1" applyAlignment="1">
      <alignment horizontal="center"/>
    </xf>
    <xf numFmtId="39" fontId="12" fillId="0" borderId="7" xfId="48" applyFont="1" applyBorder="1" applyAlignment="1">
      <alignment horizontal="center"/>
    </xf>
    <xf numFmtId="39" fontId="13" fillId="0" borderId="9" xfId="48" applyFont="1" applyBorder="1" applyAlignment="1" applyProtection="1">
      <alignment horizontal="left"/>
      <protection locked="0"/>
    </xf>
    <xf numFmtId="39" fontId="12" fillId="0" borderId="10" xfId="48" applyFont="1" applyBorder="1" applyAlignment="1" applyProtection="1">
      <alignment horizontal="left"/>
      <protection locked="0"/>
    </xf>
    <xf numFmtId="39" fontId="5" fillId="0" borderId="9" xfId="8" applyNumberFormat="1" applyFont="1" applyFill="1" applyBorder="1" applyProtection="1">
      <protection locked="0"/>
    </xf>
    <xf numFmtId="16" fontId="12" fillId="0" borderId="10" xfId="6" quotePrefix="1" applyNumberFormat="1" applyFont="1" applyBorder="1" applyAlignment="1">
      <alignment horizontal="centerContinuous"/>
    </xf>
    <xf numFmtId="39" fontId="12" fillId="0" borderId="9" xfId="48" applyFont="1" applyBorder="1" applyAlignment="1">
      <alignment horizontal="center"/>
    </xf>
    <xf numFmtId="49" fontId="12" fillId="0" borderId="10" xfId="48" applyNumberFormat="1" applyFont="1" applyBorder="1" applyAlignment="1" applyProtection="1">
      <alignment horizontal="center"/>
      <protection locked="0"/>
    </xf>
    <xf numFmtId="39" fontId="13" fillId="0" borderId="9" xfId="48" applyFont="1" applyBorder="1" applyAlignment="1" applyProtection="1">
      <alignment horizontal="left"/>
    </xf>
    <xf numFmtId="39" fontId="12" fillId="0" borderId="10" xfId="48" applyFont="1" applyBorder="1" applyAlignment="1" applyProtection="1">
      <alignment horizontal="left"/>
    </xf>
    <xf numFmtId="49" fontId="12" fillId="0" borderId="10" xfId="48" applyNumberFormat="1" applyFont="1" applyBorder="1" applyProtection="1">
      <protection locked="0"/>
    </xf>
    <xf numFmtId="39" fontId="17" fillId="0" borderId="9" xfId="48" applyFont="1" applyBorder="1"/>
    <xf numFmtId="39" fontId="13" fillId="0" borderId="0" xfId="48" applyFont="1" applyBorder="1" applyProtection="1">
      <protection locked="0"/>
    </xf>
    <xf numFmtId="39" fontId="87" fillId="0" borderId="0" xfId="2" applyFont="1" applyFill="1"/>
    <xf numFmtId="49" fontId="12" fillId="0" borderId="10" xfId="48" quotePrefix="1" applyNumberFormat="1" applyFont="1" applyBorder="1" applyAlignment="1" applyProtection="1">
      <alignment horizontal="center"/>
      <protection locked="0"/>
    </xf>
    <xf numFmtId="39" fontId="88" fillId="0" borderId="0" xfId="48" applyFont="1" applyBorder="1" applyProtection="1">
      <protection locked="0"/>
    </xf>
    <xf numFmtId="0" fontId="12" fillId="0" borderId="10" xfId="6" quotePrefix="1" applyFont="1" applyFill="1" applyBorder="1" applyAlignment="1">
      <alignment horizontal="centerContinuous"/>
    </xf>
    <xf numFmtId="39" fontId="12" fillId="0" borderId="7" xfId="48" applyFont="1" applyFill="1" applyBorder="1" applyAlignment="1">
      <alignment horizontal="center"/>
    </xf>
    <xf numFmtId="39" fontId="13" fillId="0" borderId="9" xfId="48" applyFont="1" applyFill="1" applyBorder="1" applyAlignment="1" applyProtection="1">
      <alignment horizontal="left"/>
    </xf>
    <xf numFmtId="39" fontId="12" fillId="0" borderId="10" xfId="48" applyFont="1" applyFill="1" applyBorder="1" applyAlignment="1" applyProtection="1">
      <alignment horizontal="left"/>
      <protection locked="0"/>
    </xf>
    <xf numFmtId="49" fontId="12" fillId="0" borderId="10" xfId="48" quotePrefix="1" applyNumberFormat="1" applyFont="1" applyFill="1" applyBorder="1" applyAlignment="1" applyProtection="1">
      <alignment horizontal="center"/>
      <protection locked="0"/>
    </xf>
    <xf numFmtId="39" fontId="13" fillId="0" borderId="9" xfId="48" applyFont="1" applyFill="1" applyBorder="1"/>
    <xf numFmtId="49" fontId="12" fillId="0" borderId="10" xfId="48" applyNumberFormat="1" applyFont="1" applyFill="1" applyBorder="1" applyAlignment="1" applyProtection="1">
      <alignment horizontal="center"/>
      <protection locked="0"/>
    </xf>
    <xf numFmtId="39" fontId="13" fillId="0" borderId="9" xfId="48" applyFont="1" applyBorder="1"/>
    <xf numFmtId="39" fontId="12" fillId="0" borderId="9" xfId="48" applyFont="1" applyFill="1" applyBorder="1" applyAlignment="1">
      <alignment horizontal="center"/>
    </xf>
    <xf numFmtId="39" fontId="13" fillId="0" borderId="0" xfId="48" applyFont="1" applyFill="1" applyBorder="1" applyProtection="1">
      <protection locked="0"/>
    </xf>
    <xf numFmtId="49" fontId="12" fillId="0" borderId="10" xfId="48" applyNumberFormat="1" applyFont="1" applyBorder="1" applyAlignment="1" applyProtection="1">
      <alignment horizontal="center"/>
    </xf>
    <xf numFmtId="39" fontId="17" fillId="0" borderId="0" xfId="2" applyFont="1" applyAlignment="1">
      <alignment horizontal="center"/>
    </xf>
    <xf numFmtId="39" fontId="46" fillId="0" borderId="0" xfId="2" applyFont="1" applyBorder="1" applyAlignment="1">
      <alignment horizontal="right"/>
    </xf>
    <xf numFmtId="39" fontId="21" fillId="0" borderId="0" xfId="12" applyFont="1" applyAlignment="1"/>
    <xf numFmtId="39" fontId="43" fillId="0" borderId="0" xfId="12" applyFont="1" applyAlignment="1"/>
    <xf numFmtId="39" fontId="23" fillId="9" borderId="4" xfId="2" applyFont="1" applyFill="1" applyBorder="1" applyAlignment="1" applyProtection="1">
      <alignment vertical="center"/>
    </xf>
    <xf numFmtId="39" fontId="89" fillId="0" borderId="0" xfId="2" applyFont="1" applyAlignment="1">
      <alignment horizontal="right"/>
    </xf>
    <xf numFmtId="39" fontId="89" fillId="0" borderId="0" xfId="11" applyFont="1"/>
    <xf numFmtId="39" fontId="46" fillId="0" borderId="0" xfId="11" applyFont="1"/>
    <xf numFmtId="0" fontId="89" fillId="0" borderId="0" xfId="4" applyFont="1" applyAlignment="1">
      <alignment horizontal="right"/>
    </xf>
    <xf numFmtId="39" fontId="30" fillId="9" borderId="0" xfId="12" applyFont="1" applyFill="1" applyBorder="1"/>
    <xf numFmtId="39" fontId="9" fillId="0" borderId="12" xfId="7" applyFont="1" applyBorder="1" applyAlignment="1" applyProtection="1">
      <alignment horizontal="left"/>
    </xf>
    <xf numFmtId="39" fontId="90" fillId="0" borderId="7" xfId="12" applyFont="1" applyBorder="1"/>
    <xf numFmtId="39" fontId="24" fillId="9" borderId="15" xfId="12" applyFont="1" applyFill="1" applyBorder="1"/>
    <xf numFmtId="4" fontId="9" fillId="0" borderId="9" xfId="12" applyNumberFormat="1" applyFont="1" applyBorder="1" applyProtection="1"/>
    <xf numFmtId="39" fontId="30" fillId="9" borderId="2" xfId="12" applyFont="1" applyFill="1" applyBorder="1"/>
    <xf numFmtId="39" fontId="30" fillId="0" borderId="9" xfId="10" applyFont="1" applyBorder="1" applyProtection="1"/>
    <xf numFmtId="39" fontId="24" fillId="9" borderId="9" xfId="12" applyFont="1" applyFill="1" applyBorder="1"/>
    <xf numFmtId="43" fontId="23" fillId="9" borderId="9" xfId="3" applyFont="1" applyFill="1" applyBorder="1" applyProtection="1"/>
    <xf numFmtId="39" fontId="23" fillId="0" borderId="9" xfId="12" applyFont="1" applyBorder="1"/>
    <xf numFmtId="43" fontId="23" fillId="0" borderId="9" xfId="3" applyFont="1" applyBorder="1" applyProtection="1"/>
    <xf numFmtId="39" fontId="23" fillId="0" borderId="9" xfId="3" applyNumberFormat="1" applyFont="1" applyFill="1" applyBorder="1" applyProtection="1"/>
    <xf numFmtId="39" fontId="23" fillId="0" borderId="9" xfId="3" applyNumberFormat="1" applyFont="1" applyBorder="1" applyProtection="1"/>
    <xf numFmtId="39" fontId="23" fillId="0" borderId="7" xfId="48" applyFont="1" applyBorder="1" applyProtection="1"/>
    <xf numFmtId="39" fontId="9" fillId="0" borderId="7" xfId="48" applyFont="1" applyBorder="1" applyProtection="1"/>
    <xf numFmtId="39" fontId="23" fillId="0" borderId="9" xfId="2" applyFont="1" applyBorder="1" applyProtection="1"/>
    <xf numFmtId="39" fontId="31" fillId="0" borderId="11" xfId="2" applyFont="1" applyBorder="1"/>
    <xf numFmtId="9" fontId="28" fillId="0" borderId="3" xfId="4" quotePrefix="1" applyNumberFormat="1" applyFont="1" applyBorder="1" applyAlignment="1" applyProtection="1">
      <alignment horizontal="center"/>
    </xf>
    <xf numFmtId="39" fontId="46" fillId="0" borderId="0" xfId="2" applyFont="1" applyProtection="1">
      <protection locked="0"/>
    </xf>
    <xf numFmtId="39" fontId="23" fillId="0" borderId="0" xfId="2" applyFont="1" applyFill="1" applyBorder="1" applyAlignment="1" applyProtection="1">
      <alignment vertical="center"/>
    </xf>
    <xf numFmtId="39" fontId="28" fillId="0" borderId="0" xfId="2" applyFont="1" applyBorder="1" applyAlignment="1" applyProtection="1">
      <alignment vertical="center"/>
    </xf>
    <xf numFmtId="39" fontId="46" fillId="0" borderId="0" xfId="2" applyFont="1" applyBorder="1" applyAlignment="1" applyProtection="1">
      <alignment vertical="center"/>
    </xf>
    <xf numFmtId="0" fontId="9" fillId="0" borderId="9" xfId="21" applyNumberFormat="1" applyFont="1" applyFill="1" applyBorder="1" applyAlignment="1">
      <alignment horizontal="center"/>
    </xf>
    <xf numFmtId="39" fontId="50" fillId="0" borderId="7" xfId="14" applyFont="1" applyFill="1" applyBorder="1" applyAlignment="1" applyProtection="1">
      <alignment horizontal="left"/>
    </xf>
    <xf numFmtId="39" fontId="50" fillId="0" borderId="10" xfId="14" applyFont="1" applyFill="1" applyBorder="1" applyAlignment="1" applyProtection="1">
      <alignment horizontal="left"/>
    </xf>
    <xf numFmtId="39" fontId="9" fillId="9" borderId="13" xfId="2" applyFont="1" applyFill="1" applyBorder="1" applyProtection="1"/>
    <xf numFmtId="39" fontId="9" fillId="9" borderId="14" xfId="2" applyFont="1" applyFill="1" applyBorder="1" applyProtection="1"/>
    <xf numFmtId="39" fontId="48" fillId="0" borderId="0" xfId="2" applyFont="1"/>
    <xf numFmtId="39" fontId="89" fillId="0" borderId="0" xfId="2" applyFont="1" applyProtection="1">
      <protection locked="0"/>
    </xf>
    <xf numFmtId="49" fontId="5" fillId="0" borderId="0" xfId="4" applyNumberFormat="1" applyFont="1" applyFill="1" applyAlignment="1" applyProtection="1">
      <alignment horizontal="center"/>
      <protection locked="0"/>
    </xf>
    <xf numFmtId="39" fontId="5" fillId="0" borderId="0" xfId="7" applyFont="1" applyFill="1" applyAlignment="1">
      <alignment horizontal="center"/>
    </xf>
    <xf numFmtId="39" fontId="14" fillId="10" borderId="0" xfId="2" applyFont="1" applyFill="1" applyBorder="1" applyProtection="1">
      <protection locked="0"/>
    </xf>
    <xf numFmtId="49" fontId="5" fillId="0" borderId="2" xfId="13" applyNumberFormat="1" applyFont="1" applyBorder="1" applyAlignment="1" applyProtection="1">
      <alignment horizontal="center"/>
    </xf>
    <xf numFmtId="43" fontId="14" fillId="0" borderId="4" xfId="3" applyFont="1" applyBorder="1" applyAlignment="1" applyProtection="1">
      <alignment horizontal="center"/>
      <protection locked="0"/>
    </xf>
    <xf numFmtId="49" fontId="5" fillId="0" borderId="12" xfId="13" applyNumberFormat="1" applyFont="1" applyBorder="1" applyAlignment="1" applyProtection="1">
      <alignment horizontal="center"/>
      <protection locked="0"/>
    </xf>
    <xf numFmtId="43" fontId="5" fillId="0" borderId="8" xfId="3" applyFont="1" applyBorder="1" applyAlignment="1" applyProtection="1">
      <alignment horizontal="center"/>
      <protection locked="0"/>
    </xf>
    <xf numFmtId="39" fontId="14" fillId="0" borderId="9" xfId="13" applyFont="1" applyBorder="1"/>
    <xf numFmtId="39" fontId="5" fillId="0" borderId="9" xfId="13" applyFont="1" applyBorder="1" applyAlignment="1" applyProtection="1"/>
    <xf numFmtId="49" fontId="5" fillId="0" borderId="10" xfId="13" applyNumberFormat="1" applyFont="1" applyBorder="1" applyAlignment="1" applyProtection="1">
      <alignment horizontal="center"/>
    </xf>
    <xf numFmtId="43" fontId="5" fillId="0" borderId="7" xfId="3" applyFont="1" applyBorder="1" applyAlignment="1" applyProtection="1">
      <alignment horizontal="center"/>
      <protection locked="0"/>
    </xf>
    <xf numFmtId="39" fontId="73" fillId="0" borderId="0" xfId="2" applyFont="1" applyFill="1"/>
    <xf numFmtId="49" fontId="73" fillId="0" borderId="10" xfId="13" applyNumberFormat="1" applyFont="1" applyBorder="1" applyAlignment="1" applyProtection="1">
      <alignment horizontal="center"/>
      <protection locked="0"/>
    </xf>
    <xf numFmtId="43" fontId="73" fillId="0" borderId="7" xfId="3" applyFont="1" applyBorder="1" applyAlignment="1" applyProtection="1">
      <alignment horizontal="center"/>
      <protection locked="0"/>
    </xf>
    <xf numFmtId="39" fontId="73" fillId="0" borderId="9" xfId="13" applyFont="1" applyBorder="1" applyAlignment="1" applyProtection="1">
      <alignment horizontal="left"/>
      <protection locked="0"/>
    </xf>
    <xf numFmtId="49" fontId="73" fillId="0" borderId="9" xfId="10" quotePrefix="1" applyNumberFormat="1" applyFont="1" applyBorder="1" applyAlignment="1" applyProtection="1">
      <alignment horizontal="center"/>
      <protection locked="0"/>
    </xf>
    <xf numFmtId="49" fontId="5" fillId="0" borderId="10" xfId="13" applyNumberFormat="1" applyFont="1" applyBorder="1" applyAlignment="1" applyProtection="1">
      <alignment horizontal="center"/>
      <protection locked="0"/>
    </xf>
    <xf numFmtId="49" fontId="5" fillId="0" borderId="10" xfId="13" quotePrefix="1" applyNumberFormat="1" applyFont="1" applyBorder="1" applyAlignment="1" applyProtection="1">
      <alignment horizontal="center"/>
    </xf>
    <xf numFmtId="39" fontId="5" fillId="0" borderId="9" xfId="13" applyFont="1" applyBorder="1" applyAlignment="1" applyProtection="1">
      <alignment horizontal="left"/>
      <protection locked="0"/>
    </xf>
    <xf numFmtId="39" fontId="14" fillId="0" borderId="9" xfId="13" applyFont="1" applyBorder="1" applyAlignment="1" applyProtection="1"/>
    <xf numFmtId="39" fontId="15" fillId="0" borderId="9" xfId="13" applyFont="1" applyBorder="1" applyProtection="1">
      <protection locked="0"/>
    </xf>
    <xf numFmtId="39" fontId="5" fillId="0" borderId="9" xfId="13" applyFont="1" applyBorder="1" applyAlignment="1" applyProtection="1">
      <alignment horizontal="left"/>
    </xf>
    <xf numFmtId="39" fontId="5" fillId="0" borderId="10" xfId="13" quotePrefix="1" applyFont="1" applyBorder="1" applyAlignment="1">
      <alignment horizontal="center"/>
    </xf>
    <xf numFmtId="39" fontId="14" fillId="0" borderId="9" xfId="13" applyFont="1" applyBorder="1" applyAlignment="1" applyProtection="1">
      <alignment horizontal="left"/>
      <protection locked="0"/>
    </xf>
    <xf numFmtId="49" fontId="5" fillId="0" borderId="10" xfId="13" quotePrefix="1" applyNumberFormat="1" applyFont="1" applyBorder="1" applyAlignment="1" applyProtection="1">
      <alignment horizontal="center"/>
      <protection locked="0"/>
    </xf>
    <xf numFmtId="39" fontId="15" fillId="0" borderId="9" xfId="13" applyFont="1" applyBorder="1" applyAlignment="1" applyProtection="1">
      <alignment horizontal="left"/>
      <protection locked="0"/>
    </xf>
    <xf numFmtId="43" fontId="5" fillId="0" borderId="13" xfId="3" applyFont="1" applyBorder="1" applyAlignment="1" applyProtection="1">
      <alignment horizontal="center"/>
      <protection locked="0"/>
    </xf>
    <xf numFmtId="0" fontId="9" fillId="0" borderId="0" xfId="4" applyFont="1" applyAlignment="1">
      <alignment horizontal="left"/>
    </xf>
    <xf numFmtId="39" fontId="24" fillId="0" borderId="0" xfId="2" quotePrefix="1" applyFont="1" applyAlignment="1">
      <alignment horizontal="center"/>
    </xf>
    <xf numFmtId="39" fontId="30" fillId="0" borderId="2" xfId="2" quotePrefix="1" applyFont="1" applyBorder="1" applyAlignment="1" applyProtection="1">
      <alignment horizontal="center"/>
    </xf>
    <xf numFmtId="43" fontId="9" fillId="0" borderId="0" xfId="3" applyFont="1" applyAlignment="1">
      <alignment vertical="center"/>
    </xf>
    <xf numFmtId="39" fontId="91" fillId="0" borderId="0" xfId="2" applyFont="1" applyAlignment="1">
      <alignment horizontal="left"/>
    </xf>
    <xf numFmtId="43" fontId="9" fillId="0" borderId="0" xfId="3" applyFont="1" applyFill="1" applyAlignment="1">
      <alignment vertical="center"/>
    </xf>
    <xf numFmtId="39" fontId="9" fillId="0" borderId="1" xfId="2" applyFont="1" applyBorder="1" applyAlignment="1">
      <alignment vertical="center"/>
    </xf>
    <xf numFmtId="39" fontId="40" fillId="0" borderId="0" xfId="2" applyFont="1" applyAlignment="1">
      <alignment vertical="center"/>
    </xf>
    <xf numFmtId="39" fontId="41" fillId="0" borderId="1" xfId="2" applyFont="1" applyBorder="1" applyAlignment="1">
      <alignment vertical="center"/>
    </xf>
    <xf numFmtId="39" fontId="41" fillId="0" borderId="0" xfId="2" applyFont="1" applyAlignment="1">
      <alignment vertical="center"/>
    </xf>
    <xf numFmtId="39" fontId="46" fillId="10" borderId="0" xfId="2" quotePrefix="1" applyFont="1" applyFill="1" applyAlignment="1">
      <alignment horizontal="center"/>
    </xf>
    <xf numFmtId="43" fontId="30" fillId="0" borderId="0" xfId="3" applyFont="1" applyBorder="1" applyProtection="1"/>
    <xf numFmtId="4" fontId="9" fillId="0" borderId="2" xfId="12" applyNumberFormat="1" applyFont="1" applyBorder="1"/>
    <xf numFmtId="4" fontId="9" fillId="0" borderId="7" xfId="2" applyNumberFormat="1" applyFont="1" applyBorder="1" applyProtection="1">
      <protection locked="0"/>
    </xf>
    <xf numFmtId="4" fontId="9" fillId="0" borderId="9" xfId="12" applyNumberFormat="1" applyFont="1" applyBorder="1"/>
    <xf numFmtId="4" fontId="9" fillId="0" borderId="9" xfId="10" applyNumberFormat="1" applyFont="1" applyBorder="1" applyProtection="1"/>
    <xf numFmtId="4" fontId="9" fillId="9" borderId="9" xfId="12" applyNumberFormat="1" applyFont="1" applyFill="1" applyBorder="1" applyProtection="1"/>
    <xf numFmtId="4" fontId="9" fillId="0" borderId="9" xfId="13" applyNumberFormat="1" applyFont="1" applyBorder="1" applyProtection="1"/>
    <xf numFmtId="39" fontId="9" fillId="0" borderId="11" xfId="2" applyFont="1" applyFill="1" applyBorder="1" applyAlignment="1" applyProtection="1">
      <alignment horizontal="fill"/>
    </xf>
    <xf numFmtId="39" fontId="21" fillId="0" borderId="0" xfId="11" applyFont="1" applyAlignment="1">
      <alignment horizontal="left"/>
    </xf>
    <xf numFmtId="39" fontId="21" fillId="0" borderId="0" xfId="2" applyFont="1" applyAlignment="1" applyProtection="1"/>
    <xf numFmtId="39" fontId="22" fillId="0" borderId="0" xfId="11" applyFont="1" applyAlignment="1"/>
    <xf numFmtId="43" fontId="40" fillId="16" borderId="0" xfId="3" applyFont="1" applyFill="1" applyBorder="1" applyAlignment="1"/>
    <xf numFmtId="39" fontId="23" fillId="0" borderId="0" xfId="22" applyFont="1" applyAlignment="1">
      <alignment horizontal="left"/>
    </xf>
    <xf numFmtId="39" fontId="21" fillId="0" borderId="0" xfId="2" applyFont="1" applyBorder="1"/>
    <xf numFmtId="39" fontId="21" fillId="0" borderId="0" xfId="11" applyFont="1" applyBorder="1" applyAlignment="1" applyProtection="1">
      <alignment horizontal="left"/>
    </xf>
    <xf numFmtId="39" fontId="24" fillId="0" borderId="15" xfId="3" applyNumberFormat="1" applyFont="1" applyFill="1" applyBorder="1" applyAlignment="1" applyProtection="1">
      <alignment vertical="center"/>
    </xf>
    <xf numFmtId="43" fontId="24" fillId="0" borderId="15" xfId="3" applyFont="1" applyBorder="1" applyAlignment="1" applyProtection="1">
      <alignment vertical="center"/>
    </xf>
    <xf numFmtId="39" fontId="40" fillId="0" borderId="6" xfId="2" applyFont="1" applyBorder="1" applyAlignment="1">
      <alignment vertical="center"/>
    </xf>
    <xf numFmtId="39" fontId="9" fillId="0" borderId="7" xfId="22" quotePrefix="1" applyFont="1" applyBorder="1"/>
    <xf numFmtId="39" fontId="40" fillId="0" borderId="0" xfId="11" applyFont="1" applyFill="1" applyBorder="1"/>
    <xf numFmtId="39" fontId="21" fillId="0" borderId="19" xfId="11" applyFont="1" applyFill="1" applyBorder="1"/>
    <xf numFmtId="43" fontId="21" fillId="0" borderId="0" xfId="3" applyFont="1" applyFill="1"/>
    <xf numFmtId="0" fontId="21" fillId="0" borderId="1" xfId="11" applyNumberFormat="1" applyFont="1" applyFill="1" applyBorder="1" applyAlignment="1">
      <alignment horizontal="center"/>
    </xf>
    <xf numFmtId="0" fontId="21" fillId="0" borderId="0" xfId="11" applyNumberFormat="1" applyFont="1" applyFill="1" applyAlignment="1">
      <alignment horizontal="center"/>
    </xf>
    <xf numFmtId="39" fontId="9" fillId="0" borderId="0" xfId="2" applyFont="1" applyAlignment="1">
      <alignment horizontal="left" vertical="center"/>
    </xf>
    <xf numFmtId="39" fontId="30" fillId="0" borderId="7" xfId="22" quotePrefix="1" applyFont="1" applyBorder="1"/>
    <xf numFmtId="39" fontId="23" fillId="0" borderId="0" xfId="2" applyFont="1" applyAlignment="1">
      <alignment vertical="center"/>
    </xf>
    <xf numFmtId="37" fontId="9" fillId="0" borderId="0" xfId="2" applyNumberFormat="1" applyFont="1" applyFill="1" applyBorder="1" applyAlignment="1" applyProtection="1">
      <alignment horizontal="center"/>
    </xf>
    <xf numFmtId="39" fontId="23" fillId="0" borderId="0" xfId="2" applyFont="1" applyAlignment="1">
      <alignment horizontal="center" vertical="center"/>
    </xf>
    <xf numFmtId="39" fontId="24" fillId="0" borderId="9" xfId="2" quotePrefix="1" applyFont="1" applyBorder="1" applyAlignment="1" applyProtection="1">
      <alignment horizontal="center"/>
    </xf>
    <xf numFmtId="39" fontId="43" fillId="0" borderId="0" xfId="22" applyFont="1" applyAlignment="1">
      <alignment horizontal="left"/>
    </xf>
    <xf numFmtId="39" fontId="24" fillId="0" borderId="0" xfId="22" applyFont="1" applyFill="1" applyAlignment="1">
      <alignment horizontal="left"/>
    </xf>
    <xf numFmtId="39" fontId="23" fillId="0" borderId="0" xfId="2" quotePrefix="1" applyFont="1" applyFill="1" applyAlignment="1">
      <alignment horizontal="left"/>
    </xf>
    <xf numFmtId="39" fontId="23" fillId="10" borderId="0" xfId="2" quotePrefix="1" applyFont="1" applyFill="1" applyAlignment="1">
      <alignment horizontal="left"/>
    </xf>
    <xf numFmtId="4" fontId="9" fillId="0" borderId="7" xfId="3" applyNumberFormat="1" applyFont="1" applyFill="1" applyBorder="1" applyProtection="1">
      <protection locked="0"/>
    </xf>
    <xf numFmtId="4" fontId="9" fillId="0" borderId="7" xfId="3" applyNumberFormat="1" applyFont="1" applyFill="1" applyBorder="1"/>
    <xf numFmtId="0" fontId="9" fillId="0" borderId="9" xfId="6" applyFont="1" applyBorder="1" applyAlignment="1" applyProtection="1">
      <alignment horizontal="left"/>
    </xf>
    <xf numFmtId="39" fontId="40" fillId="10" borderId="1" xfId="11" applyFont="1" applyFill="1" applyBorder="1" applyAlignment="1">
      <alignment horizontal="center"/>
    </xf>
    <xf numFmtId="39" fontId="21" fillId="10" borderId="0" xfId="11" applyFont="1" applyFill="1" applyAlignment="1">
      <alignment horizontal="center"/>
    </xf>
    <xf numFmtId="39" fontId="21" fillId="10" borderId="0" xfId="11" applyFont="1" applyFill="1"/>
    <xf numFmtId="0" fontId="21" fillId="10" borderId="0" xfId="4" applyFont="1" applyFill="1" applyAlignment="1"/>
    <xf numFmtId="39" fontId="40" fillId="10" borderId="19" xfId="11" applyFont="1" applyFill="1" applyBorder="1" applyAlignment="1">
      <alignment horizontal="center"/>
    </xf>
    <xf numFmtId="37" fontId="21" fillId="10" borderId="0" xfId="11" applyNumberFormat="1" applyFont="1" applyFill="1" applyAlignment="1">
      <alignment horizontal="center"/>
    </xf>
    <xf numFmtId="0" fontId="21" fillId="10" borderId="0" xfId="4" applyFont="1" applyFill="1" applyAlignment="1">
      <alignment horizontal="right"/>
    </xf>
    <xf numFmtId="39" fontId="40" fillId="10" borderId="0" xfId="11" applyFont="1" applyFill="1" applyAlignment="1">
      <alignment horizontal="left"/>
    </xf>
    <xf numFmtId="0" fontId="9" fillId="0" borderId="11" xfId="23" quotePrefix="1" applyFont="1" applyBorder="1" applyAlignment="1">
      <alignment horizontal="center"/>
    </xf>
    <xf numFmtId="39" fontId="28" fillId="0" borderId="8" xfId="2" applyFont="1" applyBorder="1"/>
    <xf numFmtId="39" fontId="5" fillId="0" borderId="2" xfId="2" applyFont="1" applyFill="1" applyBorder="1" applyProtection="1">
      <protection locked="0"/>
    </xf>
    <xf numFmtId="39" fontId="5" fillId="0" borderId="2" xfId="2" applyFont="1" applyFill="1" applyBorder="1"/>
    <xf numFmtId="39" fontId="5" fillId="0" borderId="8" xfId="2" applyFont="1" applyFill="1" applyBorder="1" applyAlignment="1">
      <alignment horizontal="center"/>
    </xf>
    <xf numFmtId="164" fontId="5" fillId="0" borderId="8" xfId="2" applyNumberFormat="1" applyFont="1" applyFill="1" applyBorder="1" applyAlignment="1" applyProtection="1">
      <alignment horizontal="left"/>
      <protection locked="0"/>
    </xf>
    <xf numFmtId="39" fontId="5" fillId="0" borderId="8" xfId="2" applyFont="1" applyFill="1" applyBorder="1"/>
    <xf numFmtId="49" fontId="5" fillId="0" borderId="8" xfId="10" applyNumberFormat="1" applyFont="1" applyBorder="1" applyAlignment="1" applyProtection="1">
      <protection locked="0"/>
    </xf>
    <xf numFmtId="49" fontId="5" fillId="0" borderId="2" xfId="10" applyNumberFormat="1" applyFont="1" applyBorder="1" applyAlignment="1" applyProtection="1">
      <protection locked="0"/>
    </xf>
    <xf numFmtId="39" fontId="5" fillId="0" borderId="9" xfId="2" applyFont="1" applyFill="1" applyBorder="1" applyProtection="1">
      <protection locked="0"/>
    </xf>
    <xf numFmtId="39" fontId="5" fillId="0" borderId="9" xfId="2" applyFont="1" applyFill="1" applyBorder="1" applyAlignment="1" applyProtection="1">
      <alignment horizontal="center"/>
      <protection locked="0"/>
    </xf>
    <xf numFmtId="39" fontId="5" fillId="0" borderId="7" xfId="2" applyFont="1" applyFill="1" applyBorder="1" applyAlignment="1">
      <alignment horizontal="center"/>
    </xf>
    <xf numFmtId="39" fontId="14" fillId="0" borderId="7" xfId="2" applyFont="1" applyFill="1" applyBorder="1" applyAlignment="1" applyProtection="1">
      <alignment horizontal="left"/>
      <protection locked="0"/>
    </xf>
    <xf numFmtId="39" fontId="5" fillId="0" borderId="7" xfId="2" applyFont="1" applyFill="1" applyBorder="1" applyAlignment="1" applyProtection="1">
      <alignment horizontal="left"/>
      <protection locked="0"/>
    </xf>
    <xf numFmtId="49" fontId="5" fillId="0" borderId="7" xfId="10" applyNumberFormat="1" applyFont="1" applyBorder="1" applyAlignment="1" applyProtection="1">
      <protection locked="0"/>
    </xf>
    <xf numFmtId="49" fontId="5" fillId="0" borderId="9" xfId="10" applyNumberFormat="1" applyFont="1" applyBorder="1" applyAlignment="1" applyProtection="1">
      <protection locked="0"/>
    </xf>
    <xf numFmtId="39" fontId="5" fillId="0" borderId="10" xfId="2" applyFont="1" applyFill="1" applyBorder="1" applyAlignment="1" applyProtection="1">
      <alignment horizontal="center"/>
      <protection locked="0"/>
    </xf>
    <xf numFmtId="39" fontId="14" fillId="0" borderId="9" xfId="2" applyFont="1" applyFill="1" applyBorder="1"/>
    <xf numFmtId="39" fontId="5" fillId="0" borderId="0" xfId="2" applyFont="1" applyFill="1" applyBorder="1" applyProtection="1">
      <protection locked="0"/>
    </xf>
    <xf numFmtId="39" fontId="5" fillId="0" borderId="7" xfId="2" applyFont="1" applyFill="1" applyBorder="1" applyProtection="1">
      <protection locked="0"/>
    </xf>
    <xf numFmtId="39" fontId="14" fillId="0" borderId="7" xfId="2" applyFont="1" applyFill="1" applyBorder="1"/>
    <xf numFmtId="39" fontId="5" fillId="0" borderId="7" xfId="2" applyFont="1" applyFill="1" applyBorder="1"/>
    <xf numFmtId="39" fontId="14" fillId="0" borderId="9" xfId="2" applyFont="1" applyFill="1" applyBorder="1" applyAlignment="1" applyProtection="1">
      <alignment horizontal="left"/>
      <protection locked="0"/>
    </xf>
    <xf numFmtId="49" fontId="5" fillId="9" borderId="9" xfId="10" quotePrefix="1" applyNumberFormat="1" applyFont="1" applyFill="1" applyBorder="1" applyAlignment="1" applyProtection="1">
      <alignment horizontal="center"/>
      <protection locked="0"/>
    </xf>
    <xf numFmtId="39" fontId="5" fillId="0" borderId="9" xfId="10" applyFont="1" applyBorder="1" applyAlignment="1" applyProtection="1">
      <alignment horizontal="right"/>
      <protection locked="0"/>
    </xf>
    <xf numFmtId="39" fontId="14" fillId="0" borderId="9" xfId="10" applyFont="1" applyBorder="1" applyAlignment="1" applyProtection="1">
      <alignment horizontal="left"/>
      <protection locked="0"/>
    </xf>
    <xf numFmtId="39" fontId="5" fillId="0" borderId="7" xfId="10" applyFont="1" applyBorder="1" applyAlignment="1" applyProtection="1">
      <alignment horizontal="left"/>
      <protection locked="0"/>
    </xf>
    <xf numFmtId="39" fontId="5" fillId="0" borderId="0" xfId="2" applyFont="1" applyFill="1" applyBorder="1" applyAlignment="1" applyProtection="1">
      <alignment horizontal="left"/>
      <protection locked="0"/>
    </xf>
    <xf numFmtId="39" fontId="5" fillId="0" borderId="11" xfId="2" applyFont="1" applyFill="1" applyBorder="1" applyProtection="1">
      <protection locked="0"/>
    </xf>
    <xf numFmtId="39" fontId="5" fillId="0" borderId="11" xfId="2" applyFont="1" applyBorder="1" applyProtection="1">
      <protection locked="0"/>
    </xf>
    <xf numFmtId="39" fontId="5" fillId="0" borderId="7" xfId="2" applyFont="1" applyBorder="1" applyAlignment="1" applyProtection="1">
      <alignment horizontal="left"/>
      <protection locked="0"/>
    </xf>
    <xf numFmtId="39" fontId="5" fillId="9" borderId="11" xfId="2" applyFont="1" applyFill="1" applyBorder="1" applyProtection="1">
      <protection locked="0"/>
    </xf>
    <xf numFmtId="39" fontId="5" fillId="0" borderId="7" xfId="2" applyFont="1" applyBorder="1"/>
    <xf numFmtId="39" fontId="5" fillId="0" borderId="13" xfId="2" applyFont="1" applyBorder="1"/>
    <xf numFmtId="49" fontId="5" fillId="0" borderId="13" xfId="10" applyNumberFormat="1" applyFont="1" applyBorder="1" applyAlignment="1" applyProtection="1">
      <protection locked="0"/>
    </xf>
    <xf numFmtId="49" fontId="5" fillId="0" borderId="11" xfId="10" applyNumberFormat="1" applyFont="1" applyBorder="1" applyAlignment="1" applyProtection="1">
      <protection locked="0"/>
    </xf>
    <xf numFmtId="39" fontId="21" fillId="0" borderId="0" xfId="11" quotePrefix="1" applyFont="1"/>
    <xf numFmtId="39" fontId="30" fillId="0" borderId="7" xfId="12" applyFont="1" applyBorder="1" applyAlignment="1" applyProtection="1">
      <alignment horizontal="center"/>
    </xf>
    <xf numFmtId="43" fontId="9" fillId="0" borderId="0" xfId="3" applyFont="1" applyFill="1" applyBorder="1" applyProtection="1"/>
    <xf numFmtId="43" fontId="9" fillId="0" borderId="0" xfId="3" applyFont="1" applyBorder="1"/>
    <xf numFmtId="166" fontId="9" fillId="0" borderId="10" xfId="12" applyNumberFormat="1" applyFont="1" applyBorder="1" applyAlignment="1" applyProtection="1">
      <alignment horizontal="left"/>
    </xf>
    <xf numFmtId="43" fontId="24" fillId="9" borderId="0" xfId="3" applyFont="1" applyFill="1" applyBorder="1" applyProtection="1"/>
    <xf numFmtId="43" fontId="9" fillId="0" borderId="7" xfId="3" applyFont="1" applyBorder="1" applyAlignment="1" applyProtection="1">
      <alignment horizontal="fill"/>
    </xf>
    <xf numFmtId="39" fontId="40" fillId="0" borderId="0" xfId="11" applyFont="1" applyAlignment="1"/>
    <xf numFmtId="0" fontId="21" fillId="10" borderId="0" xfId="4" applyFont="1" applyFill="1"/>
    <xf numFmtId="39" fontId="46" fillId="0" borderId="0" xfId="2" quotePrefix="1" applyFont="1" applyFill="1" applyAlignment="1">
      <alignment horizontal="center"/>
    </xf>
    <xf numFmtId="39" fontId="46" fillId="0" borderId="0" xfId="2" quotePrefix="1" applyFont="1" applyAlignment="1">
      <alignment horizontal="center"/>
    </xf>
    <xf numFmtId="4" fontId="9" fillId="0" borderId="2" xfId="47" applyNumberFormat="1" applyFont="1" applyBorder="1"/>
    <xf numFmtId="4" fontId="9" fillId="0" borderId="12" xfId="47" applyNumberFormat="1" applyFont="1" applyBorder="1"/>
    <xf numFmtId="4" fontId="9" fillId="9" borderId="0" xfId="2" applyNumberFormat="1" applyFont="1" applyFill="1" applyBorder="1" applyProtection="1"/>
    <xf numFmtId="4" fontId="9" fillId="0" borderId="9" xfId="2" applyNumberFormat="1" applyFont="1" applyFill="1" applyBorder="1" applyProtection="1">
      <protection locked="0"/>
    </xf>
    <xf numFmtId="0" fontId="9" fillId="0" borderId="0" xfId="6" applyFont="1" applyBorder="1"/>
    <xf numFmtId="4" fontId="9" fillId="0" borderId="9" xfId="47" applyNumberFormat="1" applyFont="1" applyBorder="1"/>
    <xf numFmtId="4" fontId="9" fillId="0" borderId="10" xfId="47" applyNumberFormat="1" applyFont="1" applyBorder="1"/>
    <xf numFmtId="39" fontId="40" fillId="0" borderId="0" xfId="11" applyFont="1" applyFill="1" applyBorder="1" applyAlignment="1">
      <alignment horizontal="center"/>
    </xf>
    <xf numFmtId="39" fontId="21" fillId="0" borderId="0" xfId="11" applyFont="1" applyFill="1" applyBorder="1"/>
    <xf numFmtId="0" fontId="21" fillId="0" borderId="0" xfId="4" applyFont="1" applyFill="1" applyBorder="1"/>
    <xf numFmtId="37" fontId="21" fillId="0" borderId="0" xfId="11" applyNumberFormat="1" applyFont="1" applyFill="1" applyBorder="1" applyAlignment="1">
      <alignment horizontal="center"/>
    </xf>
    <xf numFmtId="0" fontId="21" fillId="0" borderId="0" xfId="4" applyFont="1" applyFill="1" applyBorder="1" applyAlignment="1">
      <alignment horizontal="right"/>
    </xf>
    <xf numFmtId="4" fontId="21" fillId="0" borderId="0" xfId="4" applyNumberFormat="1" applyFont="1" applyFill="1" applyBorder="1" applyAlignment="1">
      <alignment horizontal="right"/>
    </xf>
    <xf numFmtId="4" fontId="9" fillId="0" borderId="9" xfId="47" applyNumberFormat="1" applyFont="1" applyFill="1" applyBorder="1"/>
    <xf numFmtId="39" fontId="40" fillId="0" borderId="0" xfId="11" applyFont="1" applyFill="1" applyBorder="1" applyAlignment="1">
      <alignment horizontal="left"/>
    </xf>
    <xf numFmtId="4" fontId="9" fillId="0" borderId="10" xfId="3" applyNumberFormat="1" applyFont="1" applyBorder="1"/>
    <xf numFmtId="4" fontId="31" fillId="0" borderId="10" xfId="2" applyNumberFormat="1" applyFont="1" applyBorder="1" applyAlignment="1">
      <alignment vertical="center"/>
    </xf>
    <xf numFmtId="0" fontId="26" fillId="0" borderId="11" xfId="23" quotePrefix="1" applyFont="1" applyBorder="1" applyAlignment="1">
      <alignment horizontal="center"/>
    </xf>
    <xf numFmtId="0" fontId="28" fillId="0" borderId="10" xfId="23" applyFont="1" applyBorder="1"/>
    <xf numFmtId="39" fontId="23" fillId="9" borderId="9" xfId="2" applyFont="1" applyFill="1" applyBorder="1" applyAlignment="1" applyProtection="1">
      <alignment vertical="center"/>
    </xf>
    <xf numFmtId="0" fontId="7" fillId="17" borderId="0" xfId="4" quotePrefix="1" applyNumberFormat="1" applyFill="1" applyAlignment="1">
      <alignment horizontal="center"/>
    </xf>
    <xf numFmtId="0" fontId="7" fillId="3" borderId="0" xfId="4" quotePrefix="1" applyNumberFormat="1" applyFill="1" applyAlignment="1">
      <alignment horizontal="center"/>
    </xf>
    <xf numFmtId="16" fontId="7" fillId="17" borderId="0" xfId="4" quotePrefix="1" applyNumberFormat="1" applyFill="1" applyAlignment="1">
      <alignment horizontal="center"/>
    </xf>
    <xf numFmtId="16" fontId="7" fillId="3" borderId="0" xfId="4" quotePrefix="1" applyNumberFormat="1" applyFill="1" applyAlignment="1">
      <alignment horizontal="center"/>
    </xf>
    <xf numFmtId="39" fontId="73" fillId="18" borderId="0" xfId="2" applyFont="1" applyFill="1" applyAlignment="1">
      <alignment horizontal="center"/>
    </xf>
    <xf numFmtId="39" fontId="33" fillId="19" borderId="0" xfId="7" quotePrefix="1" applyFont="1" applyFill="1" applyAlignment="1">
      <alignment horizontal="center"/>
    </xf>
    <xf numFmtId="43" fontId="2" fillId="6" borderId="0" xfId="3" applyFont="1" applyFill="1" applyAlignment="1">
      <alignment horizontal="center"/>
    </xf>
    <xf numFmtId="0" fontId="2" fillId="20" borderId="0" xfId="4" applyNumberFormat="1" applyFont="1" applyFill="1" applyAlignment="1">
      <alignment horizontal="center"/>
    </xf>
    <xf numFmtId="43" fontId="5" fillId="0" borderId="0" xfId="3" applyFont="1" applyBorder="1" applyAlignment="1" applyProtection="1">
      <alignment horizontal="center"/>
      <protection locked="0"/>
    </xf>
    <xf numFmtId="43" fontId="14" fillId="0" borderId="1" xfId="3" applyFont="1" applyBorder="1" applyAlignment="1" applyProtection="1">
      <alignment horizontal="center"/>
      <protection locked="0"/>
    </xf>
    <xf numFmtId="43" fontId="14" fillId="0" borderId="1" xfId="3" applyFont="1" applyFill="1" applyBorder="1" applyAlignment="1" applyProtection="1">
      <alignment horizontal="center"/>
      <protection locked="0"/>
    </xf>
    <xf numFmtId="43" fontId="14" fillId="0" borderId="0" xfId="3" applyFont="1" applyFill="1" applyBorder="1" applyAlignment="1" applyProtection="1">
      <alignment horizontal="center"/>
      <protection locked="0"/>
    </xf>
    <xf numFmtId="43" fontId="14" fillId="0" borderId="0" xfId="3" applyFont="1" applyBorder="1" applyAlignment="1" applyProtection="1">
      <alignment horizontal="center"/>
      <protection locked="0"/>
    </xf>
    <xf numFmtId="43" fontId="13" fillId="0" borderId="0" xfId="3" applyFont="1" applyFill="1" applyBorder="1" applyAlignment="1" applyProtection="1">
      <alignment horizontal="center"/>
      <protection locked="0"/>
    </xf>
    <xf numFmtId="39" fontId="14" fillId="17" borderId="0" xfId="2" applyFont="1" applyFill="1"/>
    <xf numFmtId="39" fontId="34" fillId="0" borderId="0" xfId="2" applyFont="1" applyFill="1"/>
    <xf numFmtId="39" fontId="5" fillId="10" borderId="0" xfId="2" applyFont="1" applyFill="1"/>
    <xf numFmtId="49" fontId="5" fillId="0" borderId="0" xfId="15" applyNumberFormat="1" applyFont="1" applyFill="1" applyBorder="1" applyAlignment="1" applyProtection="1">
      <alignment horizontal="center"/>
      <protection locked="0"/>
    </xf>
    <xf numFmtId="43" fontId="63" fillId="0" borderId="0" xfId="3" applyFont="1" applyFill="1"/>
    <xf numFmtId="39" fontId="5" fillId="0" borderId="0" xfId="28" applyFont="1" applyFill="1" applyBorder="1" applyAlignment="1" applyProtection="1">
      <alignment horizontal="left"/>
      <protection locked="0"/>
    </xf>
    <xf numFmtId="49" fontId="5" fillId="0" borderId="0" xfId="10" quotePrefix="1" applyNumberFormat="1" applyFont="1" applyFill="1" applyBorder="1" applyAlignment="1" applyProtection="1">
      <alignment horizontal="center"/>
      <protection locked="0"/>
    </xf>
    <xf numFmtId="39" fontId="5" fillId="0" borderId="12" xfId="8" applyFont="1" applyFill="1" applyBorder="1" applyProtection="1">
      <protection locked="0"/>
    </xf>
    <xf numFmtId="39" fontId="14" fillId="0" borderId="9" xfId="15" applyFont="1" applyFill="1" applyBorder="1" applyAlignment="1" applyProtection="1">
      <alignment horizontal="left"/>
      <protection locked="0"/>
    </xf>
    <xf numFmtId="43" fontId="14" fillId="0" borderId="0" xfId="3" applyFont="1" applyFill="1" applyBorder="1" applyProtection="1">
      <protection locked="0"/>
    </xf>
    <xf numFmtId="43" fontId="14" fillId="0" borderId="0" xfId="3" quotePrefix="1" applyFont="1" applyFill="1" applyBorder="1" applyAlignment="1" applyProtection="1">
      <alignment horizontal="center"/>
      <protection locked="0"/>
    </xf>
    <xf numFmtId="39" fontId="92" fillId="0" borderId="0" xfId="2" applyFont="1" applyFill="1" applyBorder="1" applyAlignment="1" applyProtection="1">
      <alignment horizontal="center"/>
      <protection locked="0"/>
    </xf>
    <xf numFmtId="39" fontId="14" fillId="0" borderId="2" xfId="2" applyFont="1" applyFill="1" applyBorder="1" applyAlignment="1" applyProtection="1">
      <alignment horizontal="right"/>
      <protection locked="0"/>
    </xf>
    <xf numFmtId="43" fontId="14" fillId="0" borderId="2" xfId="3" applyFont="1" applyFill="1" applyBorder="1" applyProtection="1">
      <protection locked="0"/>
    </xf>
    <xf numFmtId="39" fontId="14" fillId="0" borderId="8" xfId="2" applyFont="1" applyFill="1" applyBorder="1" applyAlignment="1" applyProtection="1">
      <alignment horizontal="center"/>
      <protection locked="0"/>
    </xf>
    <xf numFmtId="39" fontId="14" fillId="0" borderId="2" xfId="2" applyFont="1" applyFill="1" applyBorder="1" applyAlignment="1" applyProtection="1">
      <alignment horizontal="left"/>
      <protection locked="0"/>
    </xf>
    <xf numFmtId="43" fontId="63" fillId="0" borderId="2" xfId="3" applyFont="1" applyFill="1" applyBorder="1"/>
    <xf numFmtId="49" fontId="5" fillId="0" borderId="2" xfId="28" applyNumberFormat="1" applyFont="1" applyFill="1" applyBorder="1" applyAlignment="1" applyProtection="1">
      <alignment horizontal="center"/>
      <protection locked="0"/>
    </xf>
    <xf numFmtId="43" fontId="5" fillId="0" borderId="2" xfId="3" applyFont="1" applyFill="1" applyBorder="1" applyAlignment="1" applyProtection="1">
      <alignment horizontal="center"/>
      <protection locked="0"/>
    </xf>
    <xf numFmtId="43" fontId="0" fillId="0" borderId="2" xfId="3" applyFont="1" applyFill="1" applyBorder="1"/>
    <xf numFmtId="39" fontId="14" fillId="0" borderId="12" xfId="28" applyFont="1" applyFill="1" applyBorder="1" applyAlignment="1" applyProtection="1"/>
    <xf numFmtId="39" fontId="5" fillId="0" borderId="12" xfId="28" applyFont="1" applyFill="1" applyBorder="1" applyAlignment="1" applyProtection="1">
      <alignment horizontal="left"/>
      <protection locked="0"/>
    </xf>
    <xf numFmtId="43" fontId="63" fillId="0" borderId="9" xfId="3" applyFont="1" applyFill="1" applyBorder="1"/>
    <xf numFmtId="49" fontId="5" fillId="0" borderId="9" xfId="28" applyNumberFormat="1" applyFont="1" applyFill="1" applyBorder="1" applyAlignment="1" applyProtection="1">
      <alignment horizontal="center"/>
      <protection locked="0"/>
    </xf>
    <xf numFmtId="43" fontId="5" fillId="0" borderId="7" xfId="3" applyFont="1" applyFill="1" applyBorder="1" applyAlignment="1" applyProtection="1">
      <alignment horizontal="center"/>
      <protection locked="0"/>
    </xf>
    <xf numFmtId="43" fontId="0" fillId="0" borderId="9" xfId="3" applyFont="1" applyFill="1" applyBorder="1"/>
    <xf numFmtId="39" fontId="14" fillId="0" borderId="10" xfId="28" applyFont="1" applyFill="1" applyBorder="1" applyAlignment="1" applyProtection="1">
      <protection locked="0"/>
    </xf>
    <xf numFmtId="39" fontId="5" fillId="0" borderId="10" xfId="28" applyFont="1" applyFill="1" applyBorder="1" applyAlignment="1" applyProtection="1">
      <protection locked="0"/>
    </xf>
    <xf numFmtId="39" fontId="14" fillId="0" borderId="10" xfId="28" applyFont="1" applyFill="1" applyBorder="1" applyAlignment="1" applyProtection="1">
      <alignment horizontal="left"/>
    </xf>
    <xf numFmtId="39" fontId="5" fillId="0" borderId="10" xfId="28" applyFont="1" applyFill="1" applyBorder="1" applyAlignment="1"/>
    <xf numFmtId="39" fontId="14" fillId="0" borderId="10" xfId="28" applyFont="1" applyFill="1" applyBorder="1" applyAlignment="1"/>
    <xf numFmtId="39" fontId="5" fillId="0" borderId="10" xfId="28" applyFont="1" applyFill="1" applyBorder="1" applyAlignment="1" applyProtection="1">
      <alignment horizontal="left"/>
      <protection locked="0"/>
    </xf>
    <xf numFmtId="49" fontId="5" fillId="0" borderId="9" xfId="28" quotePrefix="1" applyNumberFormat="1" applyFont="1" applyFill="1" applyBorder="1" applyAlignment="1" applyProtection="1">
      <alignment horizontal="center"/>
      <protection locked="0"/>
    </xf>
    <xf numFmtId="39" fontId="14" fillId="0" borderId="10" xfId="28" applyFont="1" applyFill="1" applyBorder="1" applyAlignment="1" applyProtection="1">
      <alignment horizontal="left"/>
      <protection locked="0"/>
    </xf>
    <xf numFmtId="49" fontId="5" fillId="0" borderId="9" xfId="28" applyNumberFormat="1" applyFont="1" applyFill="1" applyBorder="1" applyAlignment="1">
      <alignment horizontal="center"/>
    </xf>
    <xf numFmtId="43" fontId="6" fillId="0" borderId="9" xfId="3" applyFont="1" applyFill="1" applyBorder="1"/>
    <xf numFmtId="39" fontId="15" fillId="0" borderId="10" xfId="28" applyFont="1" applyFill="1" applyBorder="1" applyAlignment="1" applyProtection="1">
      <protection locked="0"/>
    </xf>
    <xf numFmtId="49" fontId="5" fillId="0" borderId="9" xfId="28" applyNumberFormat="1" applyFont="1" applyFill="1" applyBorder="1" applyAlignment="1" applyProtection="1">
      <protection locked="0"/>
    </xf>
    <xf numFmtId="49" fontId="5" fillId="0" borderId="9" xfId="28" quotePrefix="1" applyNumberFormat="1" applyFont="1" applyFill="1" applyBorder="1" applyAlignment="1" applyProtection="1">
      <alignment horizontal="center"/>
    </xf>
    <xf numFmtId="39" fontId="14" fillId="0" borderId="10" xfId="28" applyFont="1" applyFill="1" applyBorder="1" applyAlignment="1" applyProtection="1"/>
    <xf numFmtId="39" fontId="5" fillId="0" borderId="10" xfId="28" applyFont="1" applyFill="1" applyBorder="1" applyAlignment="1" applyProtection="1"/>
    <xf numFmtId="39" fontId="93" fillId="0" borderId="10" xfId="28" applyFont="1" applyFill="1" applyBorder="1" applyAlignment="1" applyProtection="1">
      <alignment horizontal="left"/>
      <protection locked="0"/>
    </xf>
    <xf numFmtId="39" fontId="94" fillId="0" borderId="10" xfId="28" applyFont="1" applyFill="1" applyBorder="1" applyAlignment="1" applyProtection="1">
      <alignment horizontal="left"/>
      <protection locked="0"/>
    </xf>
    <xf numFmtId="49" fontId="5" fillId="0" borderId="9" xfId="28" applyNumberFormat="1" applyFont="1" applyFill="1" applyBorder="1" applyAlignment="1" applyProtection="1">
      <alignment horizontal="center"/>
    </xf>
    <xf numFmtId="39" fontId="12" fillId="0" borderId="10" xfId="28" applyFont="1" applyFill="1" applyBorder="1" applyAlignment="1" applyProtection="1">
      <alignment horizontal="left"/>
      <protection locked="0"/>
    </xf>
    <xf numFmtId="43" fontId="67" fillId="0" borderId="9" xfId="3" applyFont="1" applyFill="1" applyBorder="1"/>
    <xf numFmtId="39" fontId="5" fillId="0" borderId="18" xfId="2" applyFont="1" applyFill="1" applyBorder="1" applyAlignment="1">
      <alignment horizontal="right"/>
    </xf>
    <xf numFmtId="43" fontId="63" fillId="0" borderId="11" xfId="3" applyFont="1" applyFill="1" applyBorder="1"/>
    <xf numFmtId="49" fontId="5" fillId="0" borderId="11" xfId="28" applyNumberFormat="1" applyFont="1" applyFill="1" applyBorder="1" applyAlignment="1" applyProtection="1">
      <alignment horizontal="center"/>
      <protection locked="0"/>
    </xf>
    <xf numFmtId="43" fontId="5" fillId="0" borderId="13" xfId="3" applyFont="1" applyFill="1" applyBorder="1" applyAlignment="1" applyProtection="1">
      <alignment horizontal="center"/>
      <protection locked="0"/>
    </xf>
    <xf numFmtId="43" fontId="0" fillId="0" borderId="11" xfId="3" applyFont="1" applyFill="1" applyBorder="1"/>
    <xf numFmtId="39" fontId="14" fillId="0" borderId="14" xfId="28" applyFont="1" applyFill="1" applyBorder="1" applyAlignment="1" applyProtection="1">
      <alignment horizontal="left"/>
      <protection locked="0"/>
    </xf>
    <xf numFmtId="39" fontId="5" fillId="0" borderId="14" xfId="28" applyFont="1" applyFill="1" applyBorder="1" applyAlignment="1" applyProtection="1">
      <alignment horizontal="left"/>
      <protection locked="0"/>
    </xf>
    <xf numFmtId="39" fontId="14" fillId="18" borderId="8" xfId="10" applyFont="1" applyFill="1" applyBorder="1" applyAlignment="1">
      <alignment horizontal="center"/>
    </xf>
    <xf numFmtId="39" fontId="14" fillId="18" borderId="6" xfId="2" applyFont="1" applyFill="1" applyBorder="1" applyAlignment="1" applyProtection="1">
      <alignment horizontal="center"/>
      <protection locked="0"/>
    </xf>
    <xf numFmtId="39" fontId="14" fillId="21" borderId="6" xfId="10" applyFont="1" applyFill="1" applyBorder="1"/>
    <xf numFmtId="39" fontId="14" fillId="21" borderId="12" xfId="2" applyFont="1" applyFill="1" applyBorder="1" applyAlignment="1" applyProtection="1">
      <alignment horizontal="center"/>
      <protection locked="0"/>
    </xf>
    <xf numFmtId="39" fontId="14" fillId="22" borderId="6" xfId="10" applyFont="1" applyFill="1" applyBorder="1" applyAlignment="1">
      <alignment horizontal="center"/>
    </xf>
    <xf numFmtId="39" fontId="14" fillId="11" borderId="6" xfId="10" applyFont="1" applyFill="1" applyBorder="1"/>
    <xf numFmtId="39" fontId="14" fillId="11" borderId="12" xfId="2" applyFont="1" applyFill="1" applyBorder="1" applyAlignment="1" applyProtection="1">
      <alignment horizontal="center"/>
      <protection locked="0"/>
    </xf>
    <xf numFmtId="39" fontId="11" fillId="0" borderId="6" xfId="2" applyFont="1" applyFill="1" applyBorder="1" applyAlignment="1" applyProtection="1">
      <protection locked="0"/>
    </xf>
    <xf numFmtId="39" fontId="5" fillId="0" borderId="11" xfId="7" applyFont="1" applyFill="1" applyBorder="1"/>
    <xf numFmtId="39" fontId="14" fillId="0" borderId="0" xfId="2" quotePrefix="1" applyFont="1"/>
    <xf numFmtId="9" fontId="73" fillId="0" borderId="0" xfId="24" applyFont="1" applyBorder="1" applyAlignment="1">
      <alignment horizontal="center"/>
    </xf>
    <xf numFmtId="39" fontId="14" fillId="0" borderId="0" xfId="2" applyFont="1" applyFill="1" applyBorder="1" applyAlignment="1" applyProtection="1">
      <protection locked="0"/>
    </xf>
    <xf numFmtId="39" fontId="14" fillId="16" borderId="0" xfId="28" applyFont="1" applyFill="1" applyAlignment="1"/>
    <xf numFmtId="9" fontId="73" fillId="0" borderId="0" xfId="24" applyFont="1" applyFill="1" applyBorder="1" applyAlignment="1">
      <alignment horizontal="center"/>
    </xf>
    <xf numFmtId="39" fontId="14" fillId="0" borderId="0" xfId="28" applyFont="1" applyFill="1" applyAlignment="1"/>
    <xf numFmtId="39" fontId="95" fillId="0" borderId="0" xfId="11" applyFont="1"/>
    <xf numFmtId="0" fontId="29" fillId="0" borderId="0" xfId="4" applyFont="1"/>
    <xf numFmtId="39" fontId="9" fillId="0" borderId="0" xfId="2" applyFont="1" applyAlignment="1">
      <alignment horizontal="center"/>
    </xf>
    <xf numFmtId="39" fontId="24" fillId="0" borderId="15" xfId="2" applyNumberFormat="1" applyFont="1" applyFill="1" applyBorder="1" applyAlignment="1" applyProtection="1">
      <alignment vertical="center" wrapText="1"/>
    </xf>
    <xf numFmtId="39" fontId="24" fillId="0" borderId="15" xfId="2" applyNumberFormat="1" applyFont="1" applyBorder="1" applyAlignment="1" applyProtection="1">
      <alignment vertical="center" wrapText="1"/>
    </xf>
    <xf numFmtId="39" fontId="30" fillId="0" borderId="7" xfId="3" applyNumberFormat="1" applyFont="1" applyFill="1" applyBorder="1" applyAlignment="1" applyProtection="1">
      <alignment horizontal="right"/>
    </xf>
    <xf numFmtId="39" fontId="30" fillId="0" borderId="8" xfId="3" applyNumberFormat="1" applyFont="1" applyFill="1" applyBorder="1" applyProtection="1"/>
    <xf numFmtId="39" fontId="9" fillId="0" borderId="8" xfId="3" applyNumberFormat="1" applyFont="1" applyFill="1" applyBorder="1" applyProtection="1"/>
    <xf numFmtId="0" fontId="27" fillId="0" borderId="2" xfId="14" applyNumberFormat="1" applyFont="1" applyFill="1" applyBorder="1" applyAlignment="1">
      <alignment horizontal="center"/>
    </xf>
    <xf numFmtId="39" fontId="9" fillId="0" borderId="8" xfId="28" applyFont="1" applyFill="1" applyBorder="1" applyAlignment="1" applyProtection="1">
      <alignment horizontal="left"/>
    </xf>
    <xf numFmtId="39" fontId="9" fillId="0" borderId="12" xfId="28" applyFont="1" applyFill="1" applyBorder="1" applyAlignment="1" applyProtection="1">
      <alignment horizontal="left"/>
    </xf>
    <xf numFmtId="39" fontId="30" fillId="0" borderId="7" xfId="3" applyNumberFormat="1" applyFont="1" applyFill="1" applyBorder="1" applyProtection="1"/>
    <xf numFmtId="39" fontId="26" fillId="0" borderId="9" xfId="28" applyFont="1" applyFill="1" applyBorder="1" applyAlignment="1" applyProtection="1">
      <alignment horizontal="center"/>
    </xf>
    <xf numFmtId="39" fontId="9" fillId="0" borderId="10" xfId="28" applyFont="1" applyFill="1" applyBorder="1" applyAlignment="1" applyProtection="1">
      <alignment horizontal="left"/>
    </xf>
    <xf numFmtId="43" fontId="31" fillId="0" borderId="0" xfId="3" applyFont="1" applyFill="1" applyAlignment="1">
      <alignment vertical="center"/>
    </xf>
    <xf numFmtId="0" fontId="27" fillId="0" borderId="9" xfId="14" applyNumberFormat="1" applyFont="1" applyFill="1" applyBorder="1" applyAlignment="1">
      <alignment horizontal="center"/>
    </xf>
    <xf numFmtId="39" fontId="30" fillId="0" borderId="7" xfId="28" quotePrefix="1" applyFont="1" applyFill="1" applyBorder="1" applyAlignment="1" applyProtection="1">
      <alignment horizontal="left"/>
    </xf>
    <xf numFmtId="39" fontId="39" fillId="0" borderId="10" xfId="14" applyFont="1" applyFill="1" applyBorder="1" applyAlignment="1" applyProtection="1">
      <alignment horizontal="left"/>
    </xf>
    <xf numFmtId="39" fontId="24" fillId="0" borderId="24" xfId="2" applyFont="1" applyFill="1" applyBorder="1" applyAlignment="1">
      <alignment vertical="center"/>
    </xf>
    <xf numFmtId="43" fontId="23" fillId="0" borderId="0" xfId="3" applyFont="1" applyFill="1" applyAlignment="1">
      <alignment horizontal="right" vertical="center"/>
    </xf>
    <xf numFmtId="0" fontId="27" fillId="0" borderId="9" xfId="14" applyNumberFormat="1" applyFont="1" applyFill="1" applyBorder="1" applyAlignment="1" applyProtection="1">
      <alignment horizontal="center"/>
    </xf>
    <xf numFmtId="39" fontId="24" fillId="0" borderId="6" xfId="2" applyFont="1" applyFill="1" applyBorder="1" applyAlignment="1">
      <alignment vertical="center"/>
    </xf>
    <xf numFmtId="39" fontId="9" fillId="0" borderId="7" xfId="28" quotePrefix="1" applyFont="1" applyFill="1" applyBorder="1" applyAlignment="1" applyProtection="1">
      <alignment horizontal="left"/>
    </xf>
    <xf numFmtId="39" fontId="24" fillId="0" borderId="0" xfId="2" applyFont="1" applyFill="1" applyBorder="1" applyAlignment="1">
      <alignment vertical="center"/>
    </xf>
    <xf numFmtId="39" fontId="39" fillId="0" borderId="7" xfId="14" quotePrefix="1" applyFont="1" applyFill="1" applyBorder="1" applyAlignment="1" applyProtection="1">
      <alignment horizontal="left"/>
    </xf>
    <xf numFmtId="39" fontId="23" fillId="0" borderId="19" xfId="2" applyFont="1" applyFill="1" applyBorder="1" applyAlignment="1">
      <alignment vertical="center"/>
    </xf>
    <xf numFmtId="39" fontId="50" fillId="0" borderId="9" xfId="14" applyFont="1" applyFill="1" applyBorder="1" applyAlignment="1" applyProtection="1">
      <alignment horizontal="left"/>
    </xf>
    <xf numFmtId="39" fontId="23" fillId="0" borderId="0" xfId="2" applyFont="1" applyFill="1" applyAlignment="1">
      <alignment vertical="center"/>
    </xf>
    <xf numFmtId="39" fontId="30" fillId="0" borderId="0" xfId="2" applyFont="1" applyFill="1" applyAlignment="1">
      <alignment vertical="center"/>
    </xf>
    <xf numFmtId="39" fontId="24" fillId="0" borderId="0" xfId="2" quotePrefix="1" applyFont="1" applyFill="1" applyBorder="1" applyAlignment="1">
      <alignment horizontal="center" vertical="center"/>
    </xf>
    <xf numFmtId="39" fontId="24" fillId="0" borderId="0" xfId="2" quotePrefix="1" applyFont="1" applyFill="1" applyAlignment="1">
      <alignment horizontal="center" vertical="center"/>
    </xf>
    <xf numFmtId="43" fontId="5" fillId="0" borderId="0" xfId="3" applyFont="1"/>
    <xf numFmtId="39" fontId="44" fillId="0" borderId="0" xfId="2" applyFont="1" applyFill="1" applyAlignment="1">
      <alignment horizontal="right" vertical="center"/>
    </xf>
    <xf numFmtId="39" fontId="96" fillId="0" borderId="0" xfId="2" applyFont="1" applyFill="1" applyBorder="1" applyAlignment="1">
      <alignment vertical="center"/>
    </xf>
    <xf numFmtId="39" fontId="97" fillId="0" borderId="0" xfId="2" applyFont="1" applyFill="1" applyAlignment="1">
      <alignment horizontal="right" vertical="center"/>
    </xf>
    <xf numFmtId="39" fontId="30" fillId="0" borderId="9" xfId="28" applyFont="1" applyFill="1" applyBorder="1" applyAlignment="1" applyProtection="1">
      <alignment horizontal="center"/>
    </xf>
    <xf numFmtId="43" fontId="9" fillId="10" borderId="0" xfId="3" applyFont="1" applyFill="1" applyAlignment="1">
      <alignment vertical="center"/>
    </xf>
    <xf numFmtId="39" fontId="30" fillId="0" borderId="7" xfId="12" applyFont="1" applyFill="1" applyBorder="1" applyAlignment="1" applyProtection="1">
      <alignment horizontal="right"/>
    </xf>
    <xf numFmtId="43" fontId="30" fillId="0" borderId="7" xfId="3" applyFont="1" applyFill="1" applyBorder="1" applyProtection="1"/>
    <xf numFmtId="43" fontId="30" fillId="0" borderId="9" xfId="3" applyFont="1" applyFill="1" applyBorder="1" applyProtection="1"/>
    <xf numFmtId="43" fontId="9" fillId="0" borderId="7" xfId="3" applyFont="1" applyFill="1" applyBorder="1" applyProtection="1">
      <protection locked="0"/>
    </xf>
    <xf numFmtId="39" fontId="9" fillId="0" borderId="10" xfId="28" applyFont="1" applyFill="1" applyBorder="1" applyAlignment="1"/>
    <xf numFmtId="39" fontId="30" fillId="0" borderId="9" xfId="28" applyFont="1" applyFill="1" applyBorder="1" applyAlignment="1">
      <alignment horizontal="center"/>
    </xf>
    <xf numFmtId="39" fontId="30" fillId="0" borderId="7" xfId="2" applyFont="1" applyFill="1" applyBorder="1" applyAlignment="1" applyProtection="1">
      <alignment horizontal="right"/>
    </xf>
    <xf numFmtId="39" fontId="30" fillId="0" borderId="10" xfId="28" applyFont="1" applyFill="1" applyBorder="1" applyAlignment="1" applyProtection="1">
      <alignment horizontal="left"/>
    </xf>
    <xf numFmtId="39" fontId="9" fillId="0" borderId="13" xfId="28" applyFont="1" applyFill="1" applyBorder="1" applyAlignment="1" applyProtection="1">
      <alignment horizontal="left"/>
    </xf>
    <xf numFmtId="39" fontId="9" fillId="0" borderId="14" xfId="28" applyFont="1" applyFill="1" applyBorder="1" applyAlignment="1" applyProtection="1">
      <alignment horizontal="left"/>
    </xf>
    <xf numFmtId="43" fontId="31" fillId="0" borderId="0" xfId="3" applyFont="1" applyFill="1"/>
    <xf numFmtId="39" fontId="24" fillId="0" borderId="3" xfId="2" applyFont="1" applyFill="1" applyBorder="1"/>
    <xf numFmtId="43" fontId="24" fillId="0" borderId="3" xfId="3" applyFont="1" applyFill="1" applyBorder="1" applyAlignment="1" applyProtection="1">
      <alignment vertical="center"/>
    </xf>
    <xf numFmtId="39" fontId="32" fillId="0" borderId="3" xfId="2" applyFont="1" applyFill="1" applyBorder="1" applyAlignment="1" applyProtection="1">
      <alignment horizontal="center" vertical="center"/>
    </xf>
    <xf numFmtId="39" fontId="28" fillId="0" borderId="13" xfId="2" applyFont="1" applyFill="1" applyBorder="1" applyAlignment="1">
      <alignment vertical="center"/>
    </xf>
    <xf numFmtId="39" fontId="23" fillId="0" borderId="14" xfId="2" applyFont="1" applyFill="1" applyBorder="1" applyAlignment="1" applyProtection="1">
      <alignment horizontal="left" vertical="center"/>
    </xf>
    <xf numFmtId="4" fontId="30" fillId="0" borderId="2" xfId="12" applyNumberFormat="1" applyFont="1" applyFill="1" applyBorder="1"/>
    <xf numFmtId="4" fontId="30" fillId="0" borderId="12" xfId="3" applyNumberFormat="1" applyFont="1" applyBorder="1"/>
    <xf numFmtId="4" fontId="30" fillId="9" borderId="12" xfId="3" applyNumberFormat="1" applyFont="1" applyFill="1" applyBorder="1" applyProtection="1"/>
    <xf numFmtId="4" fontId="9" fillId="0" borderId="12" xfId="3" applyNumberFormat="1" applyFont="1" applyBorder="1" applyProtection="1">
      <protection locked="0"/>
    </xf>
    <xf numFmtId="0" fontId="27" fillId="0" borderId="2" xfId="14" quotePrefix="1" applyNumberFormat="1" applyFont="1" applyFill="1" applyBorder="1" applyAlignment="1" applyProtection="1">
      <alignment horizontal="center"/>
    </xf>
    <xf numFmtId="39" fontId="9" fillId="0" borderId="8" xfId="28" applyFont="1" applyBorder="1" applyAlignment="1" applyProtection="1">
      <alignment horizontal="left"/>
    </xf>
    <xf numFmtId="39" fontId="9" fillId="0" borderId="12" xfId="28" applyFont="1" applyBorder="1" applyAlignment="1" applyProtection="1">
      <alignment horizontal="left"/>
    </xf>
    <xf numFmtId="4" fontId="30" fillId="0" borderId="9" xfId="12" applyNumberFormat="1" applyFont="1" applyFill="1" applyBorder="1"/>
    <xf numFmtId="4" fontId="30" fillId="0" borderId="10" xfId="3" applyNumberFormat="1" applyFont="1" applyBorder="1"/>
    <xf numFmtId="4" fontId="30" fillId="9" borderId="10" xfId="3" applyNumberFormat="1" applyFont="1" applyFill="1" applyBorder="1" applyProtection="1"/>
    <xf numFmtId="4" fontId="9" fillId="0" borderId="10" xfId="3" applyNumberFormat="1" applyFont="1" applyBorder="1" applyProtection="1">
      <protection locked="0"/>
    </xf>
    <xf numFmtId="39" fontId="9" fillId="0" borderId="7" xfId="28" applyFont="1" applyBorder="1" applyAlignment="1" applyProtection="1">
      <alignment horizontal="left"/>
    </xf>
    <xf numFmtId="39" fontId="9" fillId="0" borderId="10" xfId="28" applyFont="1" applyBorder="1" applyAlignment="1" applyProtection="1">
      <alignment horizontal="left"/>
    </xf>
    <xf numFmtId="39" fontId="30" fillId="0" borderId="10" xfId="28" applyFont="1" applyBorder="1" applyAlignment="1" applyProtection="1">
      <alignment horizontal="left"/>
    </xf>
    <xf numFmtId="39" fontId="30" fillId="0" borderId="7" xfId="28" applyFont="1" applyBorder="1" applyAlignment="1" applyProtection="1">
      <alignment horizontal="left"/>
    </xf>
    <xf numFmtId="4" fontId="30" fillId="0" borderId="10" xfId="3" applyNumberFormat="1" applyFont="1" applyBorder="1" applyProtection="1"/>
    <xf numFmtId="39" fontId="9" fillId="0" borderId="7" xfId="28" applyFont="1" applyBorder="1" applyAlignment="1"/>
    <xf numFmtId="39" fontId="9" fillId="0" borderId="10" xfId="28" applyFont="1" applyBorder="1" applyAlignment="1"/>
    <xf numFmtId="39" fontId="9" fillId="0" borderId="0" xfId="28" applyFont="1" applyFill="1" applyBorder="1" applyAlignment="1" applyProtection="1">
      <alignment horizontal="left"/>
    </xf>
    <xf numFmtId="4" fontId="30" fillId="0" borderId="9" xfId="10" applyNumberFormat="1" applyFont="1" applyFill="1" applyBorder="1" applyProtection="1"/>
    <xf numFmtId="0" fontId="39" fillId="0" borderId="9" xfId="14" quotePrefix="1" applyNumberFormat="1" applyFont="1" applyFill="1" applyBorder="1" applyAlignment="1" applyProtection="1">
      <alignment horizontal="center" wrapText="1"/>
    </xf>
    <xf numFmtId="4" fontId="30" fillId="0" borderId="9" xfId="12" applyNumberFormat="1" applyFont="1" applyFill="1" applyBorder="1" applyProtection="1"/>
    <xf numFmtId="0" fontId="39" fillId="0" borderId="9" xfId="14" applyNumberFormat="1" applyFont="1" applyFill="1" applyBorder="1" applyAlignment="1" applyProtection="1">
      <alignment horizontal="center" wrapText="1"/>
    </xf>
    <xf numFmtId="39" fontId="9" fillId="0" borderId="0" xfId="28" applyFont="1" applyBorder="1" applyAlignment="1" applyProtection="1">
      <alignment horizontal="left"/>
    </xf>
    <xf numFmtId="43" fontId="30" fillId="0" borderId="0" xfId="3" applyFont="1" applyBorder="1"/>
    <xf numFmtId="39" fontId="30" fillId="0" borderId="9" xfId="28" applyFont="1" applyBorder="1" applyAlignment="1" applyProtection="1">
      <alignment horizontal="center" wrapText="1"/>
    </xf>
    <xf numFmtId="39" fontId="23" fillId="0" borderId="10" xfId="28" applyFont="1" applyBorder="1" applyAlignment="1" applyProtection="1">
      <alignment horizontal="left"/>
    </xf>
    <xf numFmtId="39" fontId="98" fillId="0" borderId="0" xfId="2" applyFont="1" applyFill="1" applyBorder="1"/>
    <xf numFmtId="39" fontId="30" fillId="0" borderId="0" xfId="2" applyFont="1" applyFill="1" applyBorder="1"/>
    <xf numFmtId="39" fontId="30" fillId="0" borderId="0" xfId="12" applyFont="1" applyFill="1" applyBorder="1"/>
    <xf numFmtId="4" fontId="30" fillId="0" borderId="9" xfId="3" applyNumberFormat="1" applyFont="1" applyFill="1" applyBorder="1" applyProtection="1"/>
    <xf numFmtId="39" fontId="22" fillId="0" borderId="0" xfId="2" applyFont="1" applyFill="1" applyBorder="1"/>
    <xf numFmtId="4" fontId="30" fillId="0" borderId="9" xfId="28" applyNumberFormat="1" applyFont="1" applyFill="1" applyBorder="1" applyAlignment="1" applyProtection="1"/>
    <xf numFmtId="4" fontId="30" fillId="0" borderId="9" xfId="2" applyNumberFormat="1" applyFont="1" applyFill="1" applyBorder="1" applyProtection="1"/>
    <xf numFmtId="4" fontId="30" fillId="0" borderId="10" xfId="3" applyNumberFormat="1" applyFont="1" applyBorder="1" applyAlignment="1" applyProtection="1">
      <alignment wrapText="1"/>
    </xf>
    <xf numFmtId="4" fontId="30" fillId="0" borderId="10" xfId="3" applyNumberFormat="1" applyFont="1" applyBorder="1" applyAlignment="1" applyProtection="1">
      <alignment wrapText="1"/>
      <protection locked="0"/>
    </xf>
    <xf numFmtId="39" fontId="9" fillId="0" borderId="13" xfId="2" applyFont="1" applyFill="1" applyBorder="1" applyAlignment="1" applyProtection="1">
      <alignment horizontal="fill"/>
    </xf>
    <xf numFmtId="39" fontId="30" fillId="0" borderId="11" xfId="2" applyFont="1" applyFill="1" applyBorder="1" applyAlignment="1" applyProtection="1">
      <alignment horizontal="fill"/>
    </xf>
    <xf numFmtId="43" fontId="30" fillId="0" borderId="14" xfId="3" applyFont="1" applyBorder="1" applyAlignment="1" applyProtection="1">
      <alignment horizontal="fill"/>
    </xf>
    <xf numFmtId="43" fontId="9" fillId="0" borderId="14" xfId="3" applyFont="1" applyBorder="1" applyAlignment="1" applyProtection="1">
      <alignment horizontal="fill"/>
    </xf>
    <xf numFmtId="39" fontId="30" fillId="0" borderId="11" xfId="2" applyFont="1" applyBorder="1" applyAlignment="1" applyProtection="1">
      <alignment horizontal="fill" wrapText="1"/>
    </xf>
    <xf numFmtId="39" fontId="9" fillId="0" borderId="18" xfId="28" applyFont="1" applyBorder="1" applyAlignment="1" applyProtection="1">
      <alignment horizontal="fill"/>
    </xf>
    <xf numFmtId="39" fontId="23" fillId="0" borderId="14" xfId="28" applyFont="1" applyBorder="1" applyAlignment="1" applyProtection="1">
      <alignment horizontal="left"/>
    </xf>
    <xf numFmtId="39" fontId="24" fillId="0" borderId="9" xfId="2" applyFont="1" applyFill="1" applyBorder="1" applyProtection="1"/>
    <xf numFmtId="39" fontId="24" fillId="0" borderId="9" xfId="2" applyFont="1" applyFill="1" applyBorder="1" applyAlignment="1" applyProtection="1">
      <alignment wrapText="1"/>
    </xf>
    <xf numFmtId="39" fontId="32" fillId="0" borderId="9" xfId="2" applyFont="1" applyBorder="1" applyAlignment="1" applyProtection="1">
      <alignment horizontal="center"/>
    </xf>
    <xf numFmtId="39" fontId="23" fillId="0" borderId="9" xfId="2" applyFont="1" applyFill="1" applyBorder="1"/>
    <xf numFmtId="39" fontId="32" fillId="0" borderId="9" xfId="2" applyFont="1" applyBorder="1"/>
    <xf numFmtId="43" fontId="28" fillId="10" borderId="3" xfId="3" quotePrefix="1" applyFont="1" applyFill="1" applyBorder="1" applyAlignment="1" applyProtection="1">
      <alignment horizontal="center"/>
    </xf>
    <xf numFmtId="9" fontId="24" fillId="10" borderId="0" xfId="3" applyNumberFormat="1" applyFont="1" applyFill="1" applyAlignment="1">
      <alignment horizontal="center"/>
    </xf>
    <xf numFmtId="39" fontId="40" fillId="0" borderId="0" xfId="2" applyFont="1" applyProtection="1">
      <protection locked="0"/>
    </xf>
    <xf numFmtId="39" fontId="100" fillId="0" borderId="0" xfId="2" applyFont="1"/>
    <xf numFmtId="39" fontId="100" fillId="0" borderId="0" xfId="2" applyFont="1" applyBorder="1"/>
    <xf numFmtId="39" fontId="100" fillId="0" borderId="0" xfId="2" applyFont="1" applyBorder="1" applyAlignment="1">
      <alignment horizontal="right"/>
    </xf>
    <xf numFmtId="39" fontId="101" fillId="0" borderId="0" xfId="2" applyFont="1" applyAlignment="1">
      <alignment horizontal="right"/>
    </xf>
    <xf numFmtId="39" fontId="102" fillId="0" borderId="0" xfId="2" applyFont="1" applyBorder="1"/>
    <xf numFmtId="43" fontId="41" fillId="0" borderId="21" xfId="49" applyFont="1" applyFill="1" applyBorder="1" applyAlignment="1">
      <alignment vertical="center"/>
    </xf>
    <xf numFmtId="39" fontId="102" fillId="0" borderId="17" xfId="2" applyFont="1" applyBorder="1" applyAlignment="1" applyProtection="1">
      <alignment vertical="center"/>
    </xf>
    <xf numFmtId="43" fontId="103" fillId="0" borderId="8" xfId="49" applyFont="1" applyFill="1" applyBorder="1" applyAlignment="1" applyProtection="1">
      <alignment horizontal="left"/>
    </xf>
    <xf numFmtId="39" fontId="104" fillId="0" borderId="8" xfId="14" applyFont="1" applyBorder="1" applyAlignment="1" applyProtection="1">
      <alignment horizontal="left"/>
    </xf>
    <xf numFmtId="39" fontId="103" fillId="0" borderId="12" xfId="14" applyFont="1" applyBorder="1" applyAlignment="1" applyProtection="1">
      <alignment horizontal="left"/>
    </xf>
    <xf numFmtId="43" fontId="103" fillId="0" borderId="7" xfId="49" applyFont="1" applyFill="1" applyBorder="1" applyAlignment="1" applyProtection="1">
      <alignment horizontal="left"/>
    </xf>
    <xf numFmtId="39" fontId="104" fillId="0" borderId="7" xfId="14" applyFont="1" applyBorder="1" applyAlignment="1" applyProtection="1">
      <alignment horizontal="left"/>
    </xf>
    <xf numFmtId="39" fontId="103" fillId="0" borderId="10" xfId="14" applyFont="1" applyBorder="1" applyAlignment="1" applyProtection="1">
      <alignment horizontal="left"/>
    </xf>
    <xf numFmtId="39" fontId="105" fillId="0" borderId="7" xfId="20" applyFont="1" applyBorder="1" applyAlignment="1"/>
    <xf numFmtId="39" fontId="103" fillId="0" borderId="10" xfId="14" applyFont="1" applyBorder="1" applyAlignment="1"/>
    <xf numFmtId="39" fontId="104" fillId="0" borderId="7" xfId="14" applyFont="1" applyFill="1" applyBorder="1" applyAlignment="1" applyProtection="1">
      <alignment horizontal="left"/>
    </xf>
    <xf numFmtId="39" fontId="103" fillId="0" borderId="10" xfId="14" applyFont="1" applyFill="1" applyBorder="1" applyAlignment="1" applyProtection="1">
      <alignment horizontal="left"/>
    </xf>
    <xf numFmtId="39" fontId="104" fillId="0" borderId="7" xfId="14" applyFont="1" applyFill="1" applyBorder="1" applyAlignment="1"/>
    <xf numFmtId="39" fontId="103" fillId="0" borderId="10" xfId="14" applyFont="1" applyFill="1" applyBorder="1" applyAlignment="1"/>
    <xf numFmtId="39" fontId="105" fillId="0" borderId="7" xfId="20" applyFont="1" applyBorder="1" applyAlignment="1">
      <alignment horizontal="left" shrinkToFit="1"/>
    </xf>
    <xf numFmtId="43" fontId="48" fillId="0" borderId="7" xfId="49" applyFont="1" applyFill="1" applyBorder="1" applyAlignment="1">
      <alignment horizontal="center" vertical="center"/>
    </xf>
    <xf numFmtId="39" fontId="103" fillId="0" borderId="7" xfId="14" applyFont="1" applyBorder="1" applyAlignment="1" applyProtection="1">
      <alignment horizontal="left"/>
    </xf>
    <xf numFmtId="39" fontId="19" fillId="0" borderId="7" xfId="2" applyFont="1" applyBorder="1" applyAlignment="1">
      <alignment horizontal="center" vertical="center"/>
    </xf>
    <xf numFmtId="39" fontId="17" fillId="0" borderId="0" xfId="2" applyFont="1" applyBorder="1" applyProtection="1">
      <protection locked="0"/>
    </xf>
    <xf numFmtId="39" fontId="100" fillId="0" borderId="0" xfId="2" applyFont="1" applyBorder="1" applyAlignment="1">
      <alignment horizontal="left"/>
    </xf>
    <xf numFmtId="39" fontId="5" fillId="0" borderId="0" xfId="2" applyFont="1" applyAlignment="1" applyProtection="1"/>
    <xf numFmtId="39" fontId="14" fillId="0" borderId="0" xfId="2" applyFont="1" applyAlignment="1" applyProtection="1">
      <alignment horizontal="left"/>
    </xf>
    <xf numFmtId="39" fontId="21" fillId="0" borderId="0" xfId="17" applyFont="1" applyAlignment="1" applyProtection="1"/>
    <xf numFmtId="39" fontId="9" fillId="0" borderId="9" xfId="20" applyFont="1" applyBorder="1" applyAlignment="1"/>
    <xf numFmtId="4" fontId="9" fillId="9" borderId="10" xfId="2" applyNumberFormat="1" applyFont="1" applyFill="1" applyBorder="1" applyProtection="1"/>
    <xf numFmtId="4" fontId="9" fillId="0" borderId="0" xfId="2" applyNumberFormat="1" applyFont="1" applyBorder="1" applyProtection="1">
      <protection locked="0"/>
    </xf>
    <xf numFmtId="4" fontId="9" fillId="0" borderId="7" xfId="1" applyNumberFormat="1" applyFont="1" applyBorder="1" applyProtection="1"/>
    <xf numFmtId="4" fontId="9" fillId="9" borderId="9" xfId="1" applyNumberFormat="1" applyFont="1" applyFill="1" applyBorder="1" applyProtection="1"/>
    <xf numFmtId="4" fontId="9" fillId="9" borderId="10" xfId="1" applyNumberFormat="1" applyFont="1" applyFill="1" applyBorder="1" applyProtection="1"/>
    <xf numFmtId="4" fontId="9" fillId="0" borderId="13" xfId="1" applyNumberFormat="1" applyFont="1" applyFill="1" applyBorder="1" applyProtection="1"/>
    <xf numFmtId="4" fontId="9" fillId="9" borderId="11" xfId="1" applyNumberFormat="1" applyFont="1" applyFill="1" applyBorder="1" applyProtection="1"/>
    <xf numFmtId="4" fontId="9" fillId="9" borderId="14" xfId="1" applyNumberFormat="1" applyFont="1" applyFill="1" applyBorder="1" applyProtection="1"/>
    <xf numFmtId="4" fontId="9" fillId="0" borderId="18" xfId="2" applyNumberFormat="1" applyFont="1" applyBorder="1" applyProtection="1">
      <protection locked="0"/>
    </xf>
    <xf numFmtId="39" fontId="23" fillId="0" borderId="3" xfId="2" applyFont="1" applyBorder="1" applyAlignment="1">
      <alignment vertical="center"/>
    </xf>
    <xf numFmtId="39" fontId="23" fillId="0" borderId="3" xfId="2" applyFont="1" applyBorder="1" applyAlignment="1" applyProtection="1">
      <alignment horizontal="left" vertical="center"/>
    </xf>
    <xf numFmtId="39" fontId="23" fillId="0" borderId="3" xfId="2" applyFont="1" applyBorder="1" applyAlignment="1" applyProtection="1">
      <alignment horizontal="left"/>
    </xf>
    <xf numFmtId="4" fontId="23" fillId="0" borderId="15" xfId="2" applyNumberFormat="1" applyFont="1" applyFill="1" applyBorder="1" applyAlignment="1" applyProtection="1">
      <alignment vertical="center"/>
    </xf>
    <xf numFmtId="4" fontId="23" fillId="0" borderId="15" xfId="2" applyNumberFormat="1" applyFont="1" applyBorder="1" applyAlignment="1" applyProtection="1">
      <alignment vertical="center"/>
    </xf>
    <xf numFmtId="4" fontId="23" fillId="0" borderId="17" xfId="1" applyNumberFormat="1" applyFont="1" applyBorder="1" applyAlignment="1" applyProtection="1">
      <alignment vertical="center"/>
    </xf>
    <xf numFmtId="4" fontId="23" fillId="0" borderId="15" xfId="1" applyNumberFormat="1" applyFont="1" applyBorder="1" applyAlignment="1" applyProtection="1">
      <alignment vertical="center"/>
    </xf>
    <xf numFmtId="4" fontId="9" fillId="0" borderId="8" xfId="2" applyNumberFormat="1" applyFont="1" applyFill="1" applyBorder="1" applyProtection="1"/>
    <xf numFmtId="4" fontId="9" fillId="0" borderId="8" xfId="12" applyNumberFormat="1" applyFont="1" applyBorder="1" applyProtection="1"/>
    <xf numFmtId="4" fontId="9" fillId="0" borderId="2" xfId="1" applyNumberFormat="1" applyFont="1" applyBorder="1" applyProtection="1"/>
    <xf numFmtId="4" fontId="9" fillId="9" borderId="12" xfId="1" applyNumberFormat="1" applyFont="1" applyFill="1" applyBorder="1" applyProtection="1"/>
    <xf numFmtId="4" fontId="9" fillId="0" borderId="6" xfId="1" applyNumberFormat="1" applyFont="1" applyBorder="1" applyProtection="1">
      <protection locked="0"/>
    </xf>
    <xf numFmtId="4" fontId="9" fillId="0" borderId="9" xfId="1" applyNumberFormat="1" applyFont="1" applyBorder="1" applyProtection="1"/>
    <xf numFmtId="4" fontId="9" fillId="0" borderId="0" xfId="1" applyNumberFormat="1" applyFont="1" applyBorder="1" applyProtection="1">
      <protection locked="0"/>
    </xf>
    <xf numFmtId="4" fontId="9" fillId="0" borderId="7" xfId="1" applyNumberFormat="1" applyFont="1" applyFill="1" applyBorder="1" applyProtection="1"/>
    <xf numFmtId="39" fontId="50" fillId="0" borderId="0" xfId="14" applyFont="1" applyBorder="1" applyAlignment="1" applyProtection="1">
      <alignment horizontal="left"/>
    </xf>
    <xf numFmtId="4" fontId="9" fillId="0" borderId="13" xfId="2" applyNumberFormat="1" applyFont="1" applyFill="1" applyBorder="1" applyProtection="1"/>
    <xf numFmtId="4" fontId="9" fillId="0" borderId="18" xfId="1" applyNumberFormat="1" applyFont="1" applyBorder="1" applyProtection="1">
      <protection locked="0"/>
    </xf>
    <xf numFmtId="4" fontId="23" fillId="9" borderId="11" xfId="1" applyNumberFormat="1" applyFont="1" applyFill="1" applyBorder="1" applyAlignment="1" applyProtection="1">
      <alignment vertical="center"/>
    </xf>
    <xf numFmtId="39" fontId="28" fillId="0" borderId="3" xfId="2" applyFont="1" applyBorder="1" applyAlignment="1">
      <alignment vertical="center"/>
    </xf>
    <xf numFmtId="39" fontId="28" fillId="0" borderId="3" xfId="2" applyFont="1" applyBorder="1"/>
    <xf numFmtId="4" fontId="9" fillId="0" borderId="9" xfId="1" applyNumberFormat="1" applyFont="1" applyFill="1" applyBorder="1" applyProtection="1"/>
    <xf numFmtId="4" fontId="9" fillId="0" borderId="10" xfId="1" applyNumberFormat="1" applyFont="1" applyFill="1" applyBorder="1" applyProtection="1"/>
    <xf numFmtId="4" fontId="9" fillId="0" borderId="0" xfId="2" applyNumberFormat="1" applyFont="1" applyFill="1" applyBorder="1" applyProtection="1">
      <protection locked="0"/>
    </xf>
    <xf numFmtId="4" fontId="24" fillId="0" borderId="15" xfId="2" applyNumberFormat="1" applyFont="1" applyBorder="1" applyAlignment="1" applyProtection="1">
      <alignment vertical="center"/>
    </xf>
    <xf numFmtId="4" fontId="9" fillId="0" borderId="2" xfId="2" applyNumberFormat="1" applyFont="1" applyBorder="1" applyProtection="1"/>
    <xf numFmtId="4" fontId="9" fillId="9" borderId="12" xfId="2" applyNumberFormat="1" applyFont="1" applyFill="1" applyBorder="1" applyProtection="1"/>
    <xf numFmtId="4" fontId="9" fillId="0" borderId="6" xfId="2" applyNumberFormat="1" applyFont="1" applyBorder="1" applyProtection="1">
      <protection locked="0"/>
    </xf>
    <xf numFmtId="39" fontId="9" fillId="0" borderId="10" xfId="2" applyFont="1" applyBorder="1"/>
    <xf numFmtId="39" fontId="50" fillId="0" borderId="13" xfId="14" applyFont="1" applyBorder="1" applyAlignment="1" applyProtection="1">
      <alignment horizontal="left"/>
    </xf>
    <xf numFmtId="0" fontId="50" fillId="0" borderId="7" xfId="14" applyNumberFormat="1" applyFont="1" applyFill="1" applyBorder="1" applyAlignment="1" applyProtection="1">
      <alignment horizontal="center"/>
    </xf>
    <xf numFmtId="39" fontId="9" fillId="0" borderId="12" xfId="2" applyFont="1" applyBorder="1"/>
    <xf numFmtId="4" fontId="30" fillId="9" borderId="7" xfId="1" applyNumberFormat="1" applyFont="1" applyFill="1" applyBorder="1" applyAlignment="1" applyProtection="1">
      <alignment wrapText="1"/>
    </xf>
    <xf numFmtId="4" fontId="30" fillId="0" borderId="9" xfId="2" applyNumberFormat="1" applyFont="1" applyBorder="1" applyProtection="1"/>
    <xf numFmtId="0" fontId="50" fillId="0" borderId="9" xfId="14" applyNumberFormat="1" applyFont="1" applyFill="1" applyBorder="1" applyAlignment="1" applyProtection="1">
      <alignment horizontal="center" wrapText="1"/>
    </xf>
    <xf numFmtId="39" fontId="9" fillId="0" borderId="13" xfId="28" applyFont="1" applyBorder="1" applyAlignment="1" applyProtection="1">
      <alignment horizontal="left"/>
    </xf>
    <xf numFmtId="39" fontId="9" fillId="0" borderId="14" xfId="2" applyFont="1" applyBorder="1"/>
    <xf numFmtId="4" fontId="24" fillId="9" borderId="3" xfId="2" applyNumberFormat="1" applyFont="1" applyFill="1" applyBorder="1" applyAlignment="1" applyProtection="1">
      <alignment vertical="center"/>
    </xf>
    <xf numFmtId="43" fontId="23" fillId="0" borderId="15" xfId="1" applyFont="1" applyFill="1" applyBorder="1" applyAlignment="1" applyProtection="1">
      <alignment vertical="center"/>
    </xf>
    <xf numFmtId="43" fontId="23" fillId="0" borderId="15" xfId="1" applyFont="1" applyBorder="1" applyAlignment="1" applyProtection="1">
      <alignment vertical="center"/>
    </xf>
    <xf numFmtId="43" fontId="23" fillId="0" borderId="17" xfId="1" applyFont="1" applyBorder="1" applyAlignment="1" applyProtection="1">
      <alignment vertical="center"/>
    </xf>
    <xf numFmtId="39" fontId="23" fillId="0" borderId="15" xfId="1" applyNumberFormat="1" applyFont="1" applyBorder="1" applyAlignment="1" applyProtection="1">
      <alignment vertical="center"/>
    </xf>
    <xf numFmtId="43" fontId="9" fillId="0" borderId="8" xfId="1" applyFont="1" applyFill="1" applyBorder="1" applyProtection="1"/>
    <xf numFmtId="43" fontId="9" fillId="0" borderId="8" xfId="1" applyFont="1" applyBorder="1" applyProtection="1"/>
    <xf numFmtId="43" fontId="9" fillId="0" borderId="2" xfId="1" applyFont="1" applyBorder="1" applyProtection="1"/>
    <xf numFmtId="43" fontId="9" fillId="9" borderId="12" xfId="1" applyFont="1" applyFill="1" applyBorder="1" applyProtection="1"/>
    <xf numFmtId="43" fontId="9" fillId="0" borderId="6" xfId="1" applyFont="1" applyBorder="1" applyProtection="1">
      <protection locked="0"/>
    </xf>
    <xf numFmtId="43" fontId="9" fillId="0" borderId="7" xfId="1" applyFont="1" applyFill="1" applyBorder="1" applyProtection="1"/>
    <xf numFmtId="43" fontId="9" fillId="0" borderId="7" xfId="1" applyFont="1" applyBorder="1" applyProtection="1"/>
    <xf numFmtId="43" fontId="9" fillId="0" borderId="9" xfId="1" applyFont="1" applyBorder="1" applyProtection="1"/>
    <xf numFmtId="43" fontId="9" fillId="9" borderId="10" xfId="1" applyFont="1" applyFill="1" applyBorder="1" applyProtection="1"/>
    <xf numFmtId="43" fontId="9" fillId="0" borderId="0" xfId="1" applyFont="1" applyBorder="1" applyProtection="1">
      <protection locked="0"/>
    </xf>
    <xf numFmtId="4" fontId="9" fillId="0" borderId="0" xfId="1" applyNumberFormat="1" applyFont="1" applyBorder="1" applyProtection="1"/>
    <xf numFmtId="39" fontId="9" fillId="0" borderId="9" xfId="1" applyNumberFormat="1" applyFont="1" applyFill="1" applyBorder="1" applyProtection="1"/>
    <xf numFmtId="39" fontId="9" fillId="9" borderId="9" xfId="1" applyNumberFormat="1" applyFont="1" applyFill="1" applyBorder="1" applyProtection="1"/>
    <xf numFmtId="39" fontId="9" fillId="9" borderId="10" xfId="1" applyNumberFormat="1" applyFont="1" applyFill="1" applyBorder="1" applyProtection="1"/>
    <xf numFmtId="39" fontId="9" fillId="0" borderId="0" xfId="1" applyNumberFormat="1" applyFont="1" applyBorder="1" applyProtection="1">
      <protection locked="0"/>
    </xf>
    <xf numFmtId="39" fontId="9" fillId="0" borderId="11" xfId="1" applyNumberFormat="1" applyFont="1" applyFill="1" applyBorder="1" applyProtection="1"/>
    <xf numFmtId="39" fontId="9" fillId="9" borderId="11" xfId="1" applyNumberFormat="1" applyFont="1" applyFill="1" applyBorder="1" applyProtection="1"/>
    <xf numFmtId="39" fontId="9" fillId="9" borderId="14" xfId="1" applyNumberFormat="1" applyFont="1" applyFill="1" applyBorder="1" applyProtection="1"/>
    <xf numFmtId="39" fontId="9" fillId="0" borderId="18" xfId="1" applyNumberFormat="1" applyFont="1" applyBorder="1" applyProtection="1">
      <protection locked="0"/>
    </xf>
    <xf numFmtId="0" fontId="50" fillId="0" borderId="7" xfId="14" quotePrefix="1" applyNumberFormat="1" applyFont="1" applyFill="1" applyBorder="1" applyAlignment="1" applyProtection="1">
      <alignment horizontal="center"/>
    </xf>
    <xf numFmtId="39" fontId="50" fillId="0" borderId="14" xfId="14" applyFont="1" applyBorder="1" applyAlignment="1" applyProtection="1">
      <alignment horizontal="left"/>
    </xf>
    <xf numFmtId="39" fontId="23" fillId="9" borderId="11" xfId="1" applyNumberFormat="1" applyFont="1" applyFill="1" applyBorder="1" applyAlignment="1" applyProtection="1">
      <alignment vertical="center"/>
    </xf>
    <xf numFmtId="39" fontId="9" fillId="0" borderId="12" xfId="2" applyFont="1" applyBorder="1" applyProtection="1"/>
    <xf numFmtId="43" fontId="9" fillId="0" borderId="12" xfId="1" applyFont="1" applyBorder="1" applyProtection="1">
      <protection locked="0"/>
    </xf>
    <xf numFmtId="0" fontId="50" fillId="0" borderId="6" xfId="14" applyNumberFormat="1" applyFont="1" applyFill="1" applyBorder="1" applyAlignment="1" applyProtection="1">
      <alignment horizontal="center"/>
    </xf>
    <xf numFmtId="39" fontId="9" fillId="0" borderId="10" xfId="2" applyFont="1" applyBorder="1" applyProtection="1"/>
    <xf numFmtId="43" fontId="9" fillId="0" borderId="10" xfId="1" applyFont="1" applyBorder="1" applyProtection="1">
      <protection locked="0"/>
    </xf>
    <xf numFmtId="39" fontId="9" fillId="0" borderId="0" xfId="20" applyFont="1" applyBorder="1" applyAlignment="1"/>
    <xf numFmtId="0" fontId="9" fillId="0" borderId="0" xfId="21" applyNumberFormat="1" applyFont="1" applyFill="1" applyBorder="1" applyAlignment="1">
      <alignment horizontal="center"/>
    </xf>
    <xf numFmtId="39" fontId="9" fillId="0" borderId="10" xfId="1" applyNumberFormat="1" applyFont="1" applyBorder="1" applyProtection="1">
      <protection locked="0"/>
    </xf>
    <xf numFmtId="0" fontId="50" fillId="0" borderId="0" xfId="14" quotePrefix="1" applyNumberFormat="1" applyFont="1" applyFill="1" applyBorder="1" applyAlignment="1" applyProtection="1">
      <alignment horizontal="center"/>
    </xf>
    <xf numFmtId="0" fontId="50" fillId="0" borderId="0" xfId="14" applyNumberFormat="1" applyFont="1" applyFill="1" applyBorder="1" applyAlignment="1" applyProtection="1">
      <alignment horizontal="center"/>
    </xf>
    <xf numFmtId="39" fontId="9" fillId="0" borderId="14" xfId="1" applyNumberFormat="1" applyFont="1" applyBorder="1" applyProtection="1">
      <protection locked="0"/>
    </xf>
    <xf numFmtId="39" fontId="23" fillId="0" borderId="4" xfId="2" applyFont="1" applyBorder="1"/>
    <xf numFmtId="0" fontId="50" fillId="0" borderId="8" xfId="14" applyNumberFormat="1" applyFont="1" applyFill="1" applyBorder="1" applyAlignment="1" applyProtection="1">
      <alignment horizontal="center"/>
    </xf>
    <xf numFmtId="0" fontId="50" fillId="0" borderId="7" xfId="14" applyNumberFormat="1" applyFont="1" applyFill="1" applyBorder="1" applyAlignment="1">
      <alignment horizontal="center"/>
    </xf>
    <xf numFmtId="4" fontId="23" fillId="9" borderId="4" xfId="2" applyNumberFormat="1" applyFont="1" applyFill="1" applyBorder="1" applyAlignment="1" applyProtection="1">
      <alignment vertical="center"/>
    </xf>
    <xf numFmtId="39" fontId="23" fillId="0" borderId="11" xfId="2" applyFont="1" applyBorder="1" applyAlignment="1" applyProtection="1">
      <alignment horizontal="left" vertical="center"/>
    </xf>
    <xf numFmtId="39" fontId="9" fillId="0" borderId="9" xfId="28" applyFont="1" applyBorder="1" applyAlignment="1" applyProtection="1">
      <alignment horizontal="center"/>
    </xf>
    <xf numFmtId="43" fontId="9" fillId="9" borderId="9" xfId="1" applyFont="1" applyFill="1" applyBorder="1" applyProtection="1"/>
    <xf numFmtId="43" fontId="9" fillId="9" borderId="11" xfId="1" applyFont="1" applyFill="1" applyBorder="1" applyProtection="1"/>
    <xf numFmtId="4" fontId="23" fillId="0" borderId="17" xfId="2" applyNumberFormat="1" applyFont="1" applyBorder="1" applyAlignment="1" applyProtection="1">
      <alignment vertical="center"/>
    </xf>
    <xf numFmtId="4" fontId="9" fillId="0" borderId="8" xfId="1" applyNumberFormat="1" applyFont="1" applyFill="1" applyBorder="1" applyProtection="1"/>
    <xf numFmtId="4" fontId="9" fillId="0" borderId="8" xfId="1" applyNumberFormat="1" applyFont="1" applyBorder="1" applyProtection="1"/>
    <xf numFmtId="39" fontId="9" fillId="0" borderId="6" xfId="20" applyFont="1" applyBorder="1" applyAlignment="1">
      <alignment horizontal="left" shrinkToFit="1"/>
    </xf>
    <xf numFmtId="39" fontId="30" fillId="0" borderId="0" xfId="20" applyFont="1" applyBorder="1" applyAlignment="1"/>
    <xf numFmtId="39" fontId="50" fillId="0" borderId="0" xfId="14" applyFont="1" applyFill="1" applyBorder="1" applyAlignment="1"/>
    <xf numFmtId="39" fontId="50" fillId="0" borderId="0" xfId="14" applyFont="1" applyFill="1" applyBorder="1" applyAlignment="1" applyProtection="1">
      <alignment horizontal="left"/>
    </xf>
    <xf numFmtId="4" fontId="23" fillId="9" borderId="3" xfId="1" applyNumberFormat="1" applyFont="1" applyFill="1" applyBorder="1" applyAlignment="1" applyProtection="1">
      <alignment vertical="center"/>
    </xf>
    <xf numFmtId="4" fontId="23" fillId="9" borderId="4" xfId="1" applyNumberFormat="1" applyFont="1" applyFill="1" applyBorder="1" applyAlignment="1" applyProtection="1">
      <alignment vertical="center"/>
    </xf>
    <xf numFmtId="39" fontId="28" fillId="0" borderId="19" xfId="2" applyFont="1" applyBorder="1" applyAlignment="1">
      <alignment vertical="center"/>
    </xf>
    <xf numFmtId="43" fontId="23" fillId="0" borderId="13" xfId="1" applyFont="1" applyBorder="1"/>
    <xf numFmtId="43" fontId="23" fillId="0" borderId="11" xfId="1" applyFont="1" applyBorder="1"/>
    <xf numFmtId="43" fontId="9" fillId="0" borderId="6" xfId="1" applyFont="1" applyBorder="1" applyProtection="1"/>
    <xf numFmtId="43" fontId="9" fillId="0" borderId="0" xfId="1" applyFont="1" applyBorder="1" applyProtection="1"/>
    <xf numFmtId="39" fontId="9" fillId="0" borderId="7" xfId="1" applyNumberFormat="1" applyFont="1" applyFill="1" applyBorder="1" applyProtection="1"/>
    <xf numFmtId="39" fontId="9" fillId="0" borderId="9" xfId="1" applyNumberFormat="1" applyFont="1" applyBorder="1" applyProtection="1"/>
    <xf numFmtId="39" fontId="9" fillId="0" borderId="0" xfId="1" applyNumberFormat="1" applyFont="1" applyBorder="1" applyProtection="1"/>
    <xf numFmtId="39" fontId="9" fillId="0" borderId="13" xfId="1" applyNumberFormat="1" applyFont="1" applyFill="1" applyBorder="1" applyProtection="1"/>
    <xf numFmtId="39" fontId="9" fillId="0" borderId="11" xfId="1" applyNumberFormat="1" applyFont="1" applyBorder="1" applyProtection="1"/>
    <xf numFmtId="0" fontId="39" fillId="0" borderId="2" xfId="14" applyNumberFormat="1" applyFont="1" applyFill="1" applyBorder="1" applyAlignment="1" applyProtection="1">
      <alignment horizontal="center"/>
    </xf>
    <xf numFmtId="0" fontId="50" fillId="0" borderId="11" xfId="14" quotePrefix="1" applyNumberFormat="1" applyFont="1" applyFill="1" applyBorder="1" applyAlignment="1" applyProtection="1">
      <alignment horizontal="center"/>
    </xf>
    <xf numFmtId="39" fontId="21" fillId="0" borderId="0" xfId="2" applyFont="1" applyAlignment="1">
      <alignment horizontal="left"/>
    </xf>
    <xf numFmtId="39" fontId="23" fillId="0" borderId="17" xfId="1" applyNumberFormat="1" applyFont="1" applyBorder="1" applyAlignment="1" applyProtection="1">
      <alignment vertical="center"/>
    </xf>
    <xf numFmtId="4" fontId="9" fillId="0" borderId="11" xfId="1" applyNumberFormat="1" applyFont="1" applyBorder="1" applyProtection="1"/>
    <xf numFmtId="39" fontId="9" fillId="0" borderId="19" xfId="2" applyFont="1" applyBorder="1"/>
    <xf numFmtId="4" fontId="23" fillId="0" borderId="17" xfId="1" applyNumberFormat="1" applyFont="1" applyFill="1" applyBorder="1" applyAlignment="1" applyProtection="1">
      <alignment vertical="center"/>
    </xf>
    <xf numFmtId="4" fontId="9" fillId="0" borderId="2" xfId="1" applyNumberFormat="1" applyFont="1" applyFill="1" applyBorder="1" applyProtection="1"/>
    <xf numFmtId="4" fontId="9" fillId="0" borderId="12" xfId="1" applyNumberFormat="1" applyFont="1" applyBorder="1" applyProtection="1"/>
    <xf numFmtId="4" fontId="9" fillId="0" borderId="12" xfId="2" applyNumberFormat="1" applyFont="1" applyBorder="1" applyProtection="1">
      <protection locked="0"/>
    </xf>
    <xf numFmtId="4" fontId="9" fillId="0" borderId="10" xfId="1" applyNumberFormat="1" applyFont="1" applyBorder="1" applyProtection="1"/>
    <xf numFmtId="4" fontId="9" fillId="0" borderId="10" xfId="2" applyNumberFormat="1" applyFont="1" applyBorder="1" applyProtection="1">
      <protection locked="0"/>
    </xf>
    <xf numFmtId="4" fontId="24" fillId="9" borderId="3" xfId="1" applyNumberFormat="1" applyFont="1" applyFill="1" applyBorder="1" applyAlignment="1" applyProtection="1">
      <alignment vertical="center"/>
    </xf>
    <xf numFmtId="4" fontId="9" fillId="0" borderId="0" xfId="1" applyNumberFormat="1" applyFont="1" applyFill="1" applyBorder="1" applyProtection="1">
      <protection locked="0"/>
    </xf>
    <xf numFmtId="39" fontId="9" fillId="0" borderId="9" xfId="2" applyFont="1" applyBorder="1" applyAlignment="1">
      <alignment horizontal="right"/>
    </xf>
    <xf numFmtId="39" fontId="50" fillId="0" borderId="11" xfId="14" applyFont="1" applyBorder="1" applyAlignment="1" applyProtection="1">
      <alignment horizontal="left"/>
    </xf>
    <xf numFmtId="39" fontId="30" fillId="0" borderId="0" xfId="35" applyFont="1"/>
    <xf numFmtId="39" fontId="38" fillId="0" borderId="0" xfId="35" applyFont="1"/>
    <xf numFmtId="39" fontId="43" fillId="0" borderId="0" xfId="40" applyFont="1"/>
    <xf numFmtId="0" fontId="21" fillId="0" borderId="0" xfId="50" applyFont="1"/>
    <xf numFmtId="39" fontId="21" fillId="0" borderId="25" xfId="40" applyFont="1" applyBorder="1" applyAlignment="1">
      <alignment horizontal="center"/>
    </xf>
    <xf numFmtId="39" fontId="21" fillId="0" borderId="26" xfId="40" applyFont="1" applyBorder="1" applyAlignment="1">
      <alignment horizontal="center"/>
    </xf>
    <xf numFmtId="39" fontId="43" fillId="0" borderId="26" xfId="40" applyFont="1" applyBorder="1"/>
    <xf numFmtId="0" fontId="21" fillId="0" borderId="27" xfId="50" applyFont="1" applyBorder="1"/>
    <xf numFmtId="39" fontId="21" fillId="0" borderId="0" xfId="40" applyFont="1" applyAlignment="1">
      <alignment vertical="center"/>
    </xf>
    <xf numFmtId="39" fontId="21" fillId="0" borderId="28" xfId="35" applyFont="1" applyBorder="1" applyAlignment="1" applyProtection="1">
      <alignment horizontal="center" vertical="center"/>
    </xf>
    <xf numFmtId="39" fontId="21" fillId="0" borderId="0" xfId="35" applyFont="1" applyBorder="1" applyAlignment="1" applyProtection="1">
      <alignment horizontal="center" vertical="center"/>
    </xf>
    <xf numFmtId="39" fontId="21" fillId="0" borderId="0" xfId="40" applyFont="1" applyBorder="1" applyAlignment="1">
      <alignment horizontal="center" vertical="center"/>
    </xf>
    <xf numFmtId="39" fontId="21" fillId="0" borderId="29" xfId="40" applyFont="1" applyBorder="1" applyAlignment="1">
      <alignment horizontal="center" vertical="center"/>
    </xf>
    <xf numFmtId="39" fontId="21" fillId="0" borderId="29" xfId="40" applyFont="1" applyBorder="1" applyAlignment="1">
      <alignment horizontal="left" vertical="center"/>
    </xf>
    <xf numFmtId="39" fontId="23" fillId="0" borderId="29" xfId="35" applyFont="1" applyBorder="1" applyAlignment="1">
      <alignment horizontal="left" vertical="center"/>
    </xf>
    <xf numFmtId="39" fontId="31" fillId="0" borderId="0" xfId="35" applyFont="1" applyAlignment="1">
      <alignment vertical="center"/>
    </xf>
    <xf numFmtId="39" fontId="31" fillId="0" borderId="28" xfId="35" applyFont="1" applyBorder="1" applyAlignment="1">
      <alignment vertical="center"/>
    </xf>
    <xf numFmtId="0" fontId="30" fillId="0" borderId="0" xfId="50" applyFont="1" applyBorder="1" applyAlignment="1">
      <alignment vertical="center"/>
    </xf>
    <xf numFmtId="39" fontId="9" fillId="0" borderId="29" xfId="35" applyFont="1" applyBorder="1" applyAlignment="1">
      <alignment vertical="center"/>
    </xf>
    <xf numFmtId="39" fontId="9" fillId="0" borderId="0" xfId="35" applyFont="1" applyBorder="1" applyAlignment="1" applyProtection="1">
      <alignment vertical="center"/>
    </xf>
    <xf numFmtId="39" fontId="30" fillId="0" borderId="0" xfId="35" applyFont="1" applyBorder="1" applyAlignment="1">
      <alignment vertical="center"/>
    </xf>
    <xf numFmtId="39" fontId="9" fillId="0" borderId="29" xfId="35" applyFont="1" applyBorder="1" applyAlignment="1">
      <alignment horizontal="left" vertical="center"/>
    </xf>
    <xf numFmtId="39" fontId="30" fillId="0" borderId="0" xfId="35" applyFont="1" applyAlignment="1">
      <alignment vertical="center"/>
    </xf>
    <xf numFmtId="39" fontId="24" fillId="0" borderId="0" xfId="35" applyFont="1" applyAlignment="1">
      <alignment vertical="center"/>
    </xf>
    <xf numFmtId="39" fontId="28" fillId="0" borderId="30" xfId="35" applyFont="1" applyBorder="1" applyAlignment="1" applyProtection="1">
      <alignment vertical="center"/>
    </xf>
    <xf numFmtId="39" fontId="24" fillId="0" borderId="17" xfId="35" applyFont="1" applyBorder="1" applyAlignment="1">
      <alignment vertical="center"/>
    </xf>
    <xf numFmtId="39" fontId="28" fillId="0" borderId="31" xfId="35" applyFont="1" applyBorder="1" applyAlignment="1" applyProtection="1">
      <alignment vertical="center"/>
    </xf>
    <xf numFmtId="39" fontId="26" fillId="0" borderId="32" xfId="3" applyNumberFormat="1" applyFont="1" applyBorder="1" applyAlignment="1" applyProtection="1">
      <alignment horizontal="right" vertical="center"/>
    </xf>
    <xf numFmtId="43" fontId="106" fillId="0" borderId="33" xfId="1" applyFont="1" applyBorder="1"/>
    <xf numFmtId="4" fontId="106" fillId="0" borderId="33" xfId="3" applyNumberFormat="1" applyFont="1" applyBorder="1"/>
    <xf numFmtId="0" fontId="30" fillId="0" borderId="34" xfId="50" applyFont="1" applyFill="1" applyBorder="1" applyAlignment="1">
      <alignment horizontal="center"/>
    </xf>
    <xf numFmtId="0" fontId="30" fillId="0" borderId="35" xfId="50" applyFont="1" applyBorder="1"/>
    <xf numFmtId="39" fontId="26" fillId="0" borderId="36" xfId="3" applyNumberFormat="1" applyFont="1" applyBorder="1" applyAlignment="1" applyProtection="1">
      <alignment horizontal="right" vertical="center"/>
    </xf>
    <xf numFmtId="4" fontId="106" fillId="0" borderId="3" xfId="3" applyNumberFormat="1" applyFont="1" applyBorder="1"/>
    <xf numFmtId="43" fontId="106" fillId="0" borderId="3" xfId="1" applyFont="1" applyBorder="1"/>
    <xf numFmtId="0" fontId="30" fillId="0" borderId="4" xfId="50" applyFont="1" applyFill="1" applyBorder="1" applyAlignment="1">
      <alignment horizontal="center"/>
    </xf>
    <xf numFmtId="0" fontId="30" fillId="0" borderId="37" xfId="50" applyFont="1" applyBorder="1"/>
    <xf numFmtId="39" fontId="106" fillId="0" borderId="3" xfId="3" applyNumberFormat="1" applyFont="1" applyBorder="1"/>
    <xf numFmtId="39" fontId="28" fillId="0" borderId="38" xfId="35" applyNumberFormat="1" applyFont="1" applyBorder="1" applyAlignment="1" applyProtection="1">
      <alignment vertical="center" wrapText="1"/>
      <protection locked="0"/>
    </xf>
    <xf numFmtId="39" fontId="28" fillId="0" borderId="2" xfId="35" applyNumberFormat="1" applyFont="1" applyBorder="1" applyAlignment="1" applyProtection="1">
      <alignment vertical="center" wrapText="1"/>
      <protection locked="0"/>
    </xf>
    <xf numFmtId="0" fontId="24" fillId="0" borderId="8" xfId="50" applyFont="1" applyBorder="1" applyAlignment="1">
      <alignment horizontal="center" vertical="center"/>
    </xf>
    <xf numFmtId="0" fontId="28" fillId="0" borderId="39" xfId="50" applyFont="1" applyBorder="1" applyAlignment="1">
      <alignment vertical="center"/>
    </xf>
    <xf numFmtId="39" fontId="106" fillId="0" borderId="33" xfId="3" applyNumberFormat="1" applyFont="1" applyBorder="1"/>
    <xf numFmtId="0" fontId="30" fillId="0" borderId="40" xfId="0" applyFont="1" applyFill="1" applyBorder="1" applyAlignment="1">
      <alignment horizontal="center"/>
    </xf>
    <xf numFmtId="0" fontId="30" fillId="0" borderId="35" xfId="0" applyFont="1" applyBorder="1"/>
    <xf numFmtId="0" fontId="30" fillId="0" borderId="4" xfId="0" applyFont="1" applyFill="1" applyBorder="1" applyAlignment="1">
      <alignment horizontal="center"/>
    </xf>
    <xf numFmtId="0" fontId="30" fillId="0" borderId="37" xfId="0" applyFont="1" applyBorder="1"/>
    <xf numFmtId="0" fontId="26" fillId="0" borderId="4" xfId="0" applyFont="1" applyFill="1" applyBorder="1" applyAlignment="1">
      <alignment horizontal="center"/>
    </xf>
    <xf numFmtId="0" fontId="26" fillId="0" borderId="37" xfId="0" applyFont="1" applyBorder="1"/>
    <xf numFmtId="0" fontId="26" fillId="0" borderId="4" xfId="0" quotePrefix="1" applyFont="1" applyFill="1" applyBorder="1" applyAlignment="1">
      <alignment horizontal="center"/>
    </xf>
    <xf numFmtId="0" fontId="26" fillId="0" borderId="8" xfId="0" applyFont="1" applyFill="1" applyBorder="1" applyAlignment="1">
      <alignment horizontal="center"/>
    </xf>
    <xf numFmtId="0" fontId="26" fillId="0" borderId="39" xfId="0" applyFont="1" applyBorder="1"/>
    <xf numFmtId="39" fontId="28" fillId="0" borderId="41" xfId="35" applyNumberFormat="1" applyFont="1" applyBorder="1" applyAlignment="1" applyProtection="1">
      <alignment vertical="center"/>
      <protection locked="0"/>
    </xf>
    <xf numFmtId="0" fontId="24" fillId="0" borderId="42" xfId="50" applyFont="1" applyBorder="1" applyAlignment="1">
      <alignment horizontal="center" vertical="center"/>
    </xf>
    <xf numFmtId="0" fontId="28" fillId="0" borderId="43" xfId="50" applyFont="1" applyBorder="1" applyAlignment="1">
      <alignment vertical="center"/>
    </xf>
    <xf numFmtId="39" fontId="31" fillId="0" borderId="0" xfId="35" applyFont="1" applyBorder="1" applyAlignment="1">
      <alignment vertical="center"/>
    </xf>
    <xf numFmtId="39" fontId="26" fillId="0" borderId="0" xfId="3" applyNumberFormat="1" applyFont="1" applyBorder="1" applyAlignment="1" applyProtection="1">
      <alignment horizontal="right" vertical="center"/>
    </xf>
    <xf numFmtId="43" fontId="106" fillId="0" borderId="0" xfId="3" applyFont="1" applyBorder="1"/>
    <xf numFmtId="0" fontId="26" fillId="0" borderId="0" xfId="50" applyFont="1" applyFill="1" applyBorder="1" applyAlignment="1">
      <alignment horizontal="center"/>
    </xf>
    <xf numFmtId="0" fontId="26" fillId="0" borderId="0" xfId="50" applyFont="1" applyBorder="1"/>
    <xf numFmtId="4" fontId="26" fillId="0" borderId="32" xfId="3" applyNumberFormat="1" applyFont="1" applyBorder="1" applyAlignment="1" applyProtection="1">
      <alignment horizontal="right" vertical="center"/>
    </xf>
    <xf numFmtId="0" fontId="26" fillId="0" borderId="33" xfId="50" quotePrefix="1" applyFont="1" applyFill="1" applyBorder="1" applyAlignment="1">
      <alignment horizontal="center"/>
    </xf>
    <xf numFmtId="0" fontId="26" fillId="0" borderId="40" xfId="50" applyFont="1" applyBorder="1"/>
    <xf numFmtId="4" fontId="26" fillId="0" borderId="36" xfId="3" applyNumberFormat="1" applyFont="1" applyBorder="1" applyAlignment="1" applyProtection="1">
      <alignment horizontal="right" vertical="center"/>
    </xf>
    <xf numFmtId="0" fontId="26" fillId="0" borderId="3" xfId="50" applyFont="1" applyFill="1" applyBorder="1" applyAlignment="1">
      <alignment horizontal="center"/>
    </xf>
    <xf numFmtId="0" fontId="26" fillId="0" borderId="47" xfId="50" applyFont="1" applyBorder="1"/>
    <xf numFmtId="39" fontId="106" fillId="0" borderId="3" xfId="1" applyNumberFormat="1" applyFont="1" applyBorder="1"/>
    <xf numFmtId="0" fontId="26" fillId="0" borderId="3" xfId="50" quotePrefix="1" applyFont="1" applyFill="1" applyBorder="1" applyAlignment="1">
      <alignment horizontal="center"/>
    </xf>
    <xf numFmtId="0" fontId="26" fillId="0" borderId="47" xfId="50" applyFont="1" applyFill="1" applyBorder="1"/>
    <xf numFmtId="39" fontId="9" fillId="0" borderId="0" xfId="35" applyFont="1" applyFill="1" applyAlignment="1">
      <alignment vertical="center"/>
    </xf>
    <xf numFmtId="39" fontId="23" fillId="0" borderId="0" xfId="35" applyFont="1" applyFill="1" applyBorder="1" applyAlignment="1">
      <alignment vertical="center"/>
    </xf>
    <xf numFmtId="39" fontId="9" fillId="0" borderId="0" xfId="35" applyFont="1" applyFill="1" applyBorder="1" applyAlignment="1">
      <alignment vertical="center"/>
    </xf>
    <xf numFmtId="39" fontId="106" fillId="0" borderId="3" xfId="1" applyNumberFormat="1" applyFont="1" applyFill="1" applyBorder="1"/>
    <xf numFmtId="39" fontId="31" fillId="0" borderId="0" xfId="35" applyFont="1" applyFill="1" applyAlignment="1">
      <alignment vertical="center"/>
    </xf>
    <xf numFmtId="4" fontId="106" fillId="0" borderId="3" xfId="3" applyNumberFormat="1" applyFont="1" applyFill="1" applyBorder="1"/>
    <xf numFmtId="4" fontId="26" fillId="0" borderId="48" xfId="3" applyNumberFormat="1" applyFont="1" applyBorder="1" applyAlignment="1" applyProtection="1">
      <alignment horizontal="right" vertical="center"/>
    </xf>
    <xf numFmtId="0" fontId="26" fillId="0" borderId="41" xfId="50" applyFont="1" applyFill="1" applyBorder="1" applyAlignment="1">
      <alignment horizontal="center"/>
    </xf>
    <xf numFmtId="0" fontId="26" fillId="0" borderId="49" xfId="50" applyFont="1" applyFill="1" applyBorder="1"/>
    <xf numFmtId="43" fontId="106" fillId="0" borderId="0" xfId="3" applyFont="1" applyFill="1" applyBorder="1"/>
    <xf numFmtId="0" fontId="26" fillId="0" borderId="0" xfId="50" applyFont="1" applyFill="1" applyBorder="1"/>
    <xf numFmtId="39" fontId="106" fillId="0" borderId="33" xfId="1" applyNumberFormat="1" applyFont="1" applyBorder="1"/>
    <xf numFmtId="0" fontId="26" fillId="0" borderId="33" xfId="50" applyFont="1" applyFill="1" applyBorder="1" applyAlignment="1">
      <alignment horizontal="center"/>
    </xf>
    <xf numFmtId="0" fontId="26" fillId="0" borderId="40" xfId="50" applyFont="1" applyFill="1" applyBorder="1"/>
    <xf numFmtId="4" fontId="26" fillId="0" borderId="36" xfId="3" applyNumberFormat="1" applyFont="1" applyFill="1" applyBorder="1" applyAlignment="1" applyProtection="1">
      <alignment horizontal="right" vertical="center"/>
    </xf>
    <xf numFmtId="4" fontId="26" fillId="0" borderId="0" xfId="3" applyNumberFormat="1" applyFont="1" applyFill="1" applyBorder="1" applyAlignment="1" applyProtection="1">
      <alignment horizontal="right" vertical="center"/>
    </xf>
    <xf numFmtId="4" fontId="106" fillId="0" borderId="0" xfId="3" applyNumberFormat="1" applyFont="1" applyFill="1" applyBorder="1"/>
    <xf numFmtId="4" fontId="106" fillId="0" borderId="0" xfId="3" applyNumberFormat="1" applyFont="1" applyBorder="1"/>
    <xf numFmtId="4" fontId="26" fillId="0" borderId="32" xfId="3" applyNumberFormat="1" applyFont="1" applyFill="1" applyBorder="1" applyAlignment="1" applyProtection="1">
      <alignment horizontal="right" vertical="center"/>
    </xf>
    <xf numFmtId="4" fontId="106" fillId="0" borderId="33" xfId="3" applyNumberFormat="1" applyFont="1" applyFill="1" applyBorder="1"/>
    <xf numFmtId="39" fontId="106" fillId="0" borderId="33" xfId="1" applyNumberFormat="1" applyFont="1" applyFill="1" applyBorder="1"/>
    <xf numFmtId="39" fontId="96" fillId="0" borderId="0" xfId="35" applyFont="1" applyFill="1" applyAlignment="1">
      <alignment vertical="center"/>
    </xf>
    <xf numFmtId="43" fontId="106" fillId="0" borderId="3" xfId="1" applyFont="1" applyFill="1" applyBorder="1"/>
    <xf numFmtId="0" fontId="22" fillId="0" borderId="3" xfId="50" applyFont="1" applyFill="1" applyBorder="1" applyAlignment="1">
      <alignment horizontal="center"/>
    </xf>
    <xf numFmtId="39" fontId="30" fillId="0" borderId="0" xfId="35" applyFont="1" applyFill="1" applyAlignment="1">
      <alignment vertical="center"/>
    </xf>
    <xf numFmtId="39" fontId="24" fillId="0" borderId="0" xfId="35" applyFont="1" applyFill="1" applyAlignment="1">
      <alignment horizontal="center" vertical="center"/>
    </xf>
    <xf numFmtId="39" fontId="28" fillId="0" borderId="36" xfId="35" applyFont="1" applyFill="1" applyBorder="1" applyAlignment="1" applyProtection="1">
      <alignment vertical="center"/>
    </xf>
    <xf numFmtId="39" fontId="28" fillId="0" borderId="3" xfId="35" applyFont="1" applyFill="1" applyBorder="1" applyAlignment="1" applyProtection="1">
      <alignment vertical="center"/>
    </xf>
    <xf numFmtId="39" fontId="28" fillId="9" borderId="3" xfId="35" applyFont="1" applyFill="1" applyBorder="1" applyAlignment="1" applyProtection="1">
      <alignment vertical="center"/>
    </xf>
    <xf numFmtId="39" fontId="24" fillId="0" borderId="3" xfId="35" applyFont="1" applyBorder="1" applyAlignment="1" applyProtection="1">
      <alignment horizontal="center" vertical="center"/>
    </xf>
    <xf numFmtId="39" fontId="28" fillId="0" borderId="47" xfId="35" applyFont="1" applyBorder="1" applyAlignment="1" applyProtection="1">
      <alignment horizontal="left" vertical="center"/>
    </xf>
    <xf numFmtId="0" fontId="26" fillId="0" borderId="3" xfId="50" applyFont="1" applyFill="1" applyBorder="1" applyAlignment="1">
      <alignment horizontal="center" vertical="center"/>
    </xf>
    <xf numFmtId="0" fontId="26" fillId="0" borderId="47" xfId="50" applyFont="1" applyBorder="1" applyAlignment="1">
      <alignment vertical="center"/>
    </xf>
    <xf numFmtId="0" fontId="108" fillId="0" borderId="50" xfId="50" applyFont="1" applyBorder="1"/>
    <xf numFmtId="39" fontId="26" fillId="0" borderId="3" xfId="35" applyNumberFormat="1" applyFont="1" applyBorder="1" applyAlignment="1" applyProtection="1">
      <alignment vertical="center"/>
    </xf>
    <xf numFmtId="4" fontId="26" fillId="0" borderId="3" xfId="35" applyNumberFormat="1" applyFont="1" applyBorder="1" applyAlignment="1" applyProtection="1">
      <alignment vertical="center"/>
      <protection locked="0"/>
    </xf>
    <xf numFmtId="0" fontId="108" fillId="0" borderId="47" xfId="50" applyFont="1" applyBorder="1" applyAlignment="1">
      <alignment vertical="center"/>
    </xf>
    <xf numFmtId="39" fontId="26" fillId="0" borderId="0" xfId="35" applyFont="1" applyAlignment="1">
      <alignment vertical="center"/>
    </xf>
    <xf numFmtId="39" fontId="28" fillId="0" borderId="0" xfId="35" applyFont="1" applyAlignment="1">
      <alignment vertical="center"/>
    </xf>
    <xf numFmtId="43" fontId="28" fillId="0" borderId="36" xfId="3" applyFont="1" applyFill="1" applyBorder="1" applyAlignment="1" applyProtection="1">
      <alignment vertical="center" wrapText="1"/>
    </xf>
    <xf numFmtId="43" fontId="28" fillId="0" borderId="3" xfId="3" applyFont="1" applyFill="1" applyBorder="1" applyAlignment="1" applyProtection="1">
      <alignment vertical="center"/>
    </xf>
    <xf numFmtId="43" fontId="28" fillId="0" borderId="3" xfId="3" applyFont="1" applyFill="1" applyBorder="1" applyAlignment="1" applyProtection="1">
      <alignment vertical="center" wrapText="1"/>
    </xf>
    <xf numFmtId="39" fontId="24" fillId="0" borderId="48" xfId="35" applyFont="1" applyBorder="1" applyAlignment="1">
      <alignment vertical="center"/>
    </xf>
    <xf numFmtId="39" fontId="24" fillId="0" borderId="41" xfId="35" applyFont="1" applyBorder="1" applyAlignment="1">
      <alignment vertical="center"/>
    </xf>
    <xf numFmtId="39" fontId="28" fillId="0" borderId="49" xfId="35" applyFont="1" applyBorder="1" applyAlignment="1" applyProtection="1">
      <alignment horizontal="left" vertical="center"/>
    </xf>
    <xf numFmtId="39" fontId="24" fillId="0" borderId="28" xfId="35" applyFont="1" applyBorder="1" applyAlignment="1" applyProtection="1">
      <alignment vertical="center"/>
    </xf>
    <xf numFmtId="39" fontId="24" fillId="0" borderId="0" xfId="35" applyFont="1" applyBorder="1" applyAlignment="1">
      <alignment vertical="center"/>
    </xf>
    <xf numFmtId="39" fontId="24" fillId="0" borderId="29" xfId="35" applyFont="1" applyBorder="1" applyAlignment="1" applyProtection="1">
      <alignment vertical="center"/>
    </xf>
    <xf numFmtId="39" fontId="24" fillId="0" borderId="31" xfId="35" applyFont="1" applyBorder="1" applyAlignment="1" applyProtection="1">
      <alignment vertical="center"/>
    </xf>
    <xf numFmtId="39" fontId="26" fillId="0" borderId="54" xfId="3" applyNumberFormat="1" applyFont="1" applyBorder="1" applyAlignment="1" applyProtection="1">
      <alignment horizontal="right" vertical="center"/>
    </xf>
    <xf numFmtId="39" fontId="106" fillId="0" borderId="55" xfId="3" applyNumberFormat="1" applyFont="1" applyBorder="1" applyAlignment="1">
      <alignment vertical="center"/>
    </xf>
    <xf numFmtId="39" fontId="26" fillId="0" borderId="55" xfId="38" applyNumberFormat="1" applyFont="1" applyBorder="1" applyAlignment="1" applyProtection="1">
      <alignment vertical="center"/>
    </xf>
    <xf numFmtId="0" fontId="109" fillId="0" borderId="55" xfId="50" quotePrefix="1" applyFont="1" applyBorder="1" applyAlignment="1">
      <alignment horizontal="center" vertical="center"/>
    </xf>
    <xf numFmtId="0" fontId="30" fillId="0" borderId="27" xfId="50" applyFont="1" applyBorder="1" applyAlignment="1">
      <alignment vertical="center"/>
    </xf>
    <xf numFmtId="39" fontId="28" fillId="0" borderId="36" xfId="35" applyNumberFormat="1" applyFont="1" applyBorder="1" applyAlignment="1" applyProtection="1">
      <alignment vertical="center"/>
      <protection locked="0"/>
    </xf>
    <xf numFmtId="39" fontId="28" fillId="0" borderId="3" xfId="35" applyNumberFormat="1" applyFont="1" applyBorder="1" applyAlignment="1" applyProtection="1">
      <alignment vertical="center"/>
      <protection locked="0"/>
    </xf>
    <xf numFmtId="0" fontId="24" fillId="0" borderId="3" xfId="50" applyFont="1" applyBorder="1" applyAlignment="1">
      <alignment horizontal="center" vertical="center"/>
    </xf>
    <xf numFmtId="0" fontId="24" fillId="0" borderId="47" xfId="50" applyFont="1" applyBorder="1" applyAlignment="1">
      <alignment vertical="center"/>
    </xf>
    <xf numFmtId="4" fontId="26" fillId="0" borderId="56" xfId="3" applyNumberFormat="1" applyFont="1" applyBorder="1" applyAlignment="1" applyProtection="1">
      <alignment horizontal="right" vertical="center"/>
    </xf>
    <xf numFmtId="4" fontId="106" fillId="0" borderId="11" xfId="3" applyNumberFormat="1" applyFont="1" applyBorder="1" applyAlignment="1">
      <alignment vertical="center"/>
    </xf>
    <xf numFmtId="4" fontId="26" fillId="0" borderId="11" xfId="38" applyNumberFormat="1" applyFont="1" applyBorder="1" applyAlignment="1" applyProtection="1">
      <alignment vertical="center"/>
    </xf>
    <xf numFmtId="0" fontId="26" fillId="0" borderId="11" xfId="50" applyFont="1" applyFill="1" applyBorder="1" applyAlignment="1">
      <alignment horizontal="center" vertical="center"/>
    </xf>
    <xf numFmtId="0" fontId="26" fillId="0" borderId="57" xfId="50" applyFont="1" applyBorder="1" applyAlignment="1">
      <alignment vertical="center"/>
    </xf>
    <xf numFmtId="4" fontId="106" fillId="0" borderId="3" xfId="3" applyNumberFormat="1" applyFont="1" applyBorder="1" applyAlignment="1">
      <alignment vertical="center"/>
    </xf>
    <xf numFmtId="4" fontId="26" fillId="0" borderId="3" xfId="38" applyNumberFormat="1" applyFont="1" applyBorder="1" applyAlignment="1" applyProtection="1">
      <alignment vertical="center"/>
    </xf>
    <xf numFmtId="0" fontId="26" fillId="0" borderId="50" xfId="50" applyFont="1" applyBorder="1" applyAlignment="1">
      <alignment vertical="center"/>
    </xf>
    <xf numFmtId="4" fontId="26" fillId="0" borderId="0" xfId="3" applyNumberFormat="1" applyFont="1" applyBorder="1" applyAlignment="1" applyProtection="1">
      <alignment horizontal="right" vertical="center"/>
    </xf>
    <xf numFmtId="4" fontId="106" fillId="0" borderId="0" xfId="3" applyNumberFormat="1" applyFont="1" applyBorder="1" applyAlignment="1">
      <alignment vertical="center"/>
    </xf>
    <xf numFmtId="4" fontId="26" fillId="0" borderId="0" xfId="38" applyNumberFormat="1" applyFont="1" applyBorder="1" applyAlignment="1" applyProtection="1">
      <alignment vertical="center"/>
    </xf>
    <xf numFmtId="0" fontId="26" fillId="0" borderId="0" xfId="50" applyFont="1" applyFill="1" applyBorder="1" applyAlignment="1">
      <alignment horizontal="center" vertical="center"/>
    </xf>
    <xf numFmtId="0" fontId="26" fillId="0" borderId="0" xfId="50" applyFont="1" applyBorder="1" applyAlignment="1">
      <alignment vertical="center"/>
    </xf>
    <xf numFmtId="4" fontId="106" fillId="0" borderId="33" xfId="3" applyNumberFormat="1" applyFont="1" applyBorder="1" applyAlignment="1">
      <alignment vertical="center"/>
    </xf>
    <xf numFmtId="4" fontId="26" fillId="0" borderId="33" xfId="38" applyNumberFormat="1" applyFont="1" applyBorder="1" applyAlignment="1" applyProtection="1">
      <alignment vertical="center"/>
    </xf>
    <xf numFmtId="0" fontId="26" fillId="0" borderId="33" xfId="50" applyFont="1" applyFill="1" applyBorder="1" applyAlignment="1">
      <alignment horizontal="center" vertical="center"/>
    </xf>
    <xf numFmtId="0" fontId="26" fillId="0" borderId="59" xfId="50" applyFont="1" applyBorder="1" applyAlignment="1">
      <alignment vertical="center"/>
    </xf>
    <xf numFmtId="0" fontId="26" fillId="0" borderId="3" xfId="50" quotePrefix="1" applyFont="1" applyFill="1" applyBorder="1" applyAlignment="1">
      <alignment horizontal="center" vertical="center"/>
    </xf>
    <xf numFmtId="4" fontId="26" fillId="0" borderId="38" xfId="3" applyNumberFormat="1" applyFont="1" applyBorder="1" applyAlignment="1" applyProtection="1">
      <alignment horizontal="right" vertical="center"/>
    </xf>
    <xf numFmtId="4" fontId="106" fillId="0" borderId="2" xfId="3" applyNumberFormat="1" applyFont="1" applyBorder="1" applyAlignment="1">
      <alignment vertical="center"/>
    </xf>
    <xf numFmtId="4" fontId="26" fillId="0" borderId="2" xfId="38" applyNumberFormat="1" applyFont="1" applyBorder="1" applyAlignment="1" applyProtection="1">
      <alignment vertical="center"/>
    </xf>
    <xf numFmtId="0" fontId="26" fillId="0" borderId="2" xfId="50" applyFont="1" applyFill="1" applyBorder="1" applyAlignment="1">
      <alignment horizontal="center" vertical="center"/>
    </xf>
    <xf numFmtId="0" fontId="26" fillId="0" borderId="58" xfId="50" applyFont="1" applyBorder="1" applyAlignment="1">
      <alignment vertical="center"/>
    </xf>
    <xf numFmtId="39" fontId="28" fillId="9" borderId="36" xfId="35" applyFont="1" applyFill="1" applyBorder="1" applyAlignment="1" applyProtection="1">
      <alignment vertical="center"/>
    </xf>
    <xf numFmtId="39" fontId="24" fillId="0" borderId="47" xfId="35" applyFont="1" applyBorder="1" applyAlignment="1" applyProtection="1">
      <alignment horizontal="left" vertical="center"/>
    </xf>
    <xf numFmtId="39" fontId="26" fillId="0" borderId="56" xfId="3" applyNumberFormat="1" applyFont="1" applyBorder="1" applyAlignment="1" applyProtection="1">
      <alignment horizontal="right" vertical="center"/>
    </xf>
    <xf numFmtId="0" fontId="26" fillId="0" borderId="11" xfId="50" quotePrefix="1" applyFont="1" applyFill="1" applyBorder="1" applyAlignment="1">
      <alignment horizontal="center" vertical="center"/>
    </xf>
    <xf numFmtId="0" fontId="108" fillId="0" borderId="50" xfId="50" applyFont="1" applyBorder="1" applyAlignment="1">
      <alignment vertical="center"/>
    </xf>
    <xf numFmtId="43" fontId="28" fillId="0" borderId="38" xfId="3" applyFont="1" applyFill="1" applyBorder="1" applyAlignment="1" applyProtection="1">
      <alignment vertical="center" wrapText="1"/>
    </xf>
    <xf numFmtId="4" fontId="28" fillId="0" borderId="2" xfId="3" applyNumberFormat="1" applyFont="1" applyFill="1" applyBorder="1" applyAlignment="1" applyProtection="1">
      <alignment vertical="center"/>
    </xf>
    <xf numFmtId="4" fontId="28" fillId="0" borderId="2" xfId="3" applyNumberFormat="1" applyFont="1" applyFill="1" applyBorder="1" applyAlignment="1" applyProtection="1">
      <alignment vertical="center" wrapText="1"/>
    </xf>
    <xf numFmtId="39" fontId="24" fillId="0" borderId="2" xfId="35" applyFont="1" applyBorder="1" applyAlignment="1" applyProtection="1">
      <alignment horizontal="center" vertical="center"/>
    </xf>
    <xf numFmtId="39" fontId="24" fillId="0" borderId="29" xfId="35" applyFont="1" applyBorder="1" applyAlignment="1" applyProtection="1">
      <alignment horizontal="left" vertical="center"/>
    </xf>
    <xf numFmtId="39" fontId="24" fillId="0" borderId="60" xfId="35" applyFont="1" applyBorder="1" applyAlignment="1">
      <alignment vertical="center"/>
    </xf>
    <xf numFmtId="39" fontId="24" fillId="0" borderId="8" xfId="35" applyFont="1" applyBorder="1" applyAlignment="1">
      <alignment vertical="center"/>
    </xf>
    <xf numFmtId="39" fontId="24" fillId="0" borderId="2" xfId="35" applyFont="1" applyBorder="1" applyAlignment="1">
      <alignment vertical="center"/>
    </xf>
    <xf numFmtId="39" fontId="24" fillId="0" borderId="58" xfId="35" applyFont="1" applyBorder="1" applyAlignment="1" applyProtection="1">
      <alignment horizontal="left" vertical="center"/>
    </xf>
    <xf numFmtId="39" fontId="21" fillId="0" borderId="27" xfId="40" applyFont="1" applyBorder="1" applyAlignment="1">
      <alignment horizontal="left" vertical="center"/>
    </xf>
    <xf numFmtId="4" fontId="28" fillId="0" borderId="30" xfId="35" applyNumberFormat="1" applyFont="1" applyBorder="1" applyAlignment="1" applyProtection="1">
      <alignment vertical="center"/>
    </xf>
    <xf numFmtId="4" fontId="28" fillId="0" borderId="17" xfId="35" applyNumberFormat="1" applyFont="1" applyBorder="1" applyAlignment="1" applyProtection="1">
      <alignment vertical="center"/>
    </xf>
    <xf numFmtId="4" fontId="26" fillId="0" borderId="54" xfId="3" applyNumberFormat="1" applyFont="1" applyBorder="1" applyAlignment="1" applyProtection="1">
      <alignment horizontal="right"/>
    </xf>
    <xf numFmtId="4" fontId="106" fillId="0" borderId="55" xfId="3" applyNumberFormat="1" applyFont="1" applyBorder="1"/>
    <xf numFmtId="4" fontId="26" fillId="0" borderId="55" xfId="38" applyNumberFormat="1" applyFont="1" applyBorder="1" applyProtection="1"/>
    <xf numFmtId="0" fontId="109" fillId="0" borderId="55" xfId="50" quotePrefix="1" applyFont="1" applyBorder="1" applyAlignment="1">
      <alignment horizontal="center"/>
    </xf>
    <xf numFmtId="0" fontId="30" fillId="0" borderId="27" xfId="50" applyFont="1" applyBorder="1"/>
    <xf numFmtId="4" fontId="28" fillId="0" borderId="36" xfId="35" applyNumberFormat="1" applyFont="1" applyBorder="1" applyProtection="1">
      <protection locked="0"/>
    </xf>
    <xf numFmtId="4" fontId="28" fillId="0" borderId="3" xfId="35" applyNumberFormat="1" applyFont="1" applyBorder="1" applyProtection="1">
      <protection locked="0"/>
    </xf>
    <xf numFmtId="0" fontId="24" fillId="0" borderId="3" xfId="50" applyFont="1" applyBorder="1" applyAlignment="1">
      <alignment horizontal="center"/>
    </xf>
    <xf numFmtId="0" fontId="24" fillId="0" borderId="47" xfId="50" applyFont="1" applyBorder="1"/>
    <xf numFmtId="4" fontId="26" fillId="0" borderId="36" xfId="3" applyNumberFormat="1" applyFont="1" applyBorder="1" applyAlignment="1" applyProtection="1">
      <alignment horizontal="right"/>
    </xf>
    <xf numFmtId="4" fontId="26" fillId="0" borderId="3" xfId="38" applyNumberFormat="1" applyFont="1" applyBorder="1" applyProtection="1"/>
    <xf numFmtId="0" fontId="26" fillId="0" borderId="50" xfId="50" applyFont="1" applyBorder="1"/>
    <xf numFmtId="4" fontId="26" fillId="0" borderId="38" xfId="3" applyNumberFormat="1" applyFont="1" applyBorder="1" applyAlignment="1" applyProtection="1">
      <alignment horizontal="right"/>
    </xf>
    <xf numFmtId="4" fontId="106" fillId="0" borderId="2" xfId="3" applyNumberFormat="1" applyFont="1" applyBorder="1"/>
    <xf numFmtId="4" fontId="26" fillId="0" borderId="2" xfId="38" applyNumberFormat="1" applyFont="1" applyBorder="1" applyProtection="1"/>
    <xf numFmtId="0" fontId="26" fillId="0" borderId="2" xfId="50" applyFont="1" applyFill="1" applyBorder="1" applyAlignment="1">
      <alignment horizontal="center"/>
    </xf>
    <xf numFmtId="0" fontId="26" fillId="0" borderId="58" xfId="50" applyFont="1" applyBorder="1"/>
    <xf numFmtId="4" fontId="28" fillId="9" borderId="36" xfId="35" applyNumberFormat="1" applyFont="1" applyFill="1" applyBorder="1" applyAlignment="1" applyProtection="1">
      <alignment vertical="center"/>
    </xf>
    <xf numFmtId="4" fontId="28" fillId="9" borderId="3" xfId="35" applyNumberFormat="1" applyFont="1" applyFill="1" applyBorder="1" applyAlignment="1" applyProtection="1">
      <alignment vertical="center"/>
    </xf>
    <xf numFmtId="39" fontId="24" fillId="0" borderId="0" xfId="35" applyFont="1"/>
    <xf numFmtId="4" fontId="28" fillId="0" borderId="38" xfId="3" applyNumberFormat="1" applyFont="1" applyFill="1" applyBorder="1" applyAlignment="1" applyProtection="1">
      <alignment wrapText="1"/>
    </xf>
    <xf numFmtId="4" fontId="28" fillId="0" borderId="2" xfId="3" applyNumberFormat="1" applyFont="1" applyFill="1" applyBorder="1" applyAlignment="1" applyProtection="1"/>
    <xf numFmtId="4" fontId="28" fillId="0" borderId="2" xfId="3" applyNumberFormat="1" applyFont="1" applyFill="1" applyBorder="1" applyAlignment="1" applyProtection="1">
      <alignment wrapText="1"/>
    </xf>
    <xf numFmtId="39" fontId="24" fillId="0" borderId="2" xfId="35" applyFont="1" applyBorder="1" applyAlignment="1" applyProtection="1">
      <alignment horizontal="center"/>
    </xf>
    <xf numFmtId="39" fontId="24" fillId="0" borderId="29" xfId="35" applyFont="1" applyBorder="1" applyAlignment="1" applyProtection="1">
      <alignment horizontal="left"/>
    </xf>
    <xf numFmtId="39" fontId="24" fillId="0" borderId="61" xfId="35" applyFont="1" applyBorder="1"/>
    <xf numFmtId="39" fontId="24" fillId="0" borderId="4" xfId="35" applyFont="1" applyBorder="1"/>
    <xf numFmtId="39" fontId="24" fillId="0" borderId="3" xfId="35" applyFont="1" applyBorder="1"/>
    <xf numFmtId="39" fontId="24" fillId="0" borderId="50" xfId="35" applyFont="1" applyBorder="1" applyAlignment="1" applyProtection="1">
      <alignment horizontal="left"/>
    </xf>
    <xf numFmtId="39" fontId="21" fillId="0" borderId="0" xfId="40" applyFont="1" applyBorder="1"/>
    <xf numFmtId="39" fontId="21" fillId="0" borderId="0" xfId="40" applyFont="1" applyBorder="1" applyAlignment="1">
      <alignment horizontal="center"/>
    </xf>
    <xf numFmtId="39" fontId="43" fillId="0" borderId="0" xfId="40" applyFont="1" applyBorder="1"/>
    <xf numFmtId="0" fontId="21" fillId="0" borderId="0" xfId="50" applyFont="1" applyBorder="1"/>
    <xf numFmtId="39" fontId="31" fillId="0" borderId="66" xfId="35" applyFont="1" applyBorder="1" applyAlignment="1">
      <alignment vertical="center"/>
    </xf>
    <xf numFmtId="39" fontId="9" fillId="0" borderId="22" xfId="35" applyFont="1" applyBorder="1" applyAlignment="1">
      <alignment vertical="center"/>
    </xf>
    <xf numFmtId="39" fontId="9" fillId="0" borderId="22" xfId="35" applyFont="1" applyBorder="1" applyAlignment="1" applyProtection="1">
      <alignment vertical="center"/>
    </xf>
    <xf numFmtId="39" fontId="30" fillId="0" borderId="22" xfId="35" applyFont="1" applyBorder="1" applyAlignment="1">
      <alignment vertical="center"/>
    </xf>
    <xf numFmtId="0" fontId="30" fillId="0" borderId="22" xfId="50" applyFont="1" applyBorder="1" applyAlignment="1">
      <alignment vertical="center"/>
    </xf>
    <xf numFmtId="39" fontId="9" fillId="0" borderId="67" xfId="35" applyFont="1" applyBorder="1" applyAlignment="1">
      <alignment vertical="center"/>
    </xf>
    <xf numFmtId="39" fontId="28" fillId="0" borderId="15" xfId="35" applyFont="1" applyBorder="1" applyAlignment="1" applyProtection="1">
      <alignment vertical="center"/>
    </xf>
    <xf numFmtId="39" fontId="24" fillId="0" borderId="15" xfId="35" applyFont="1" applyBorder="1" applyAlignment="1">
      <alignment vertical="center"/>
    </xf>
    <xf numFmtId="39" fontId="24" fillId="0" borderId="68" xfId="35" applyFont="1" applyBorder="1" applyAlignment="1" applyProtection="1">
      <alignment vertical="center"/>
    </xf>
    <xf numFmtId="39" fontId="26" fillId="0" borderId="36" xfId="3" applyNumberFormat="1" applyFont="1" applyFill="1" applyBorder="1" applyAlignment="1" applyProtection="1">
      <alignment horizontal="right"/>
    </xf>
    <xf numFmtId="39" fontId="106" fillId="0" borderId="3" xfId="3" applyNumberFormat="1" applyFont="1" applyFill="1" applyBorder="1"/>
    <xf numFmtId="39" fontId="26" fillId="0" borderId="3" xfId="38" applyNumberFormat="1" applyFont="1" applyFill="1" applyBorder="1" applyProtection="1"/>
    <xf numFmtId="0" fontId="30" fillId="0" borderId="50" xfId="50" applyFont="1" applyFill="1" applyBorder="1"/>
    <xf numFmtId="39" fontId="26" fillId="0" borderId="38" xfId="3" applyNumberFormat="1" applyFont="1" applyBorder="1" applyAlignment="1" applyProtection="1">
      <alignment horizontal="right"/>
    </xf>
    <xf numFmtId="39" fontId="106" fillId="0" borderId="2" xfId="3" applyNumberFormat="1" applyFont="1" applyBorder="1"/>
    <xf numFmtId="39" fontId="26" fillId="0" borderId="2" xfId="38" applyNumberFormat="1" applyFont="1" applyBorder="1" applyProtection="1"/>
    <xf numFmtId="0" fontId="30" fillId="0" borderId="58" xfId="50" applyFont="1" applyBorder="1"/>
    <xf numFmtId="39" fontId="28" fillId="0" borderId="36" xfId="35" applyNumberFormat="1" applyFont="1" applyBorder="1" applyProtection="1">
      <protection locked="0"/>
    </xf>
    <xf numFmtId="39" fontId="28" fillId="0" borderId="3" xfId="35" applyNumberFormat="1" applyFont="1" applyBorder="1" applyProtection="1">
      <protection locked="0"/>
    </xf>
    <xf numFmtId="39" fontId="26" fillId="0" borderId="36" xfId="3" applyNumberFormat="1" applyFont="1" applyBorder="1" applyAlignment="1" applyProtection="1">
      <alignment horizontal="right"/>
    </xf>
    <xf numFmtId="43" fontId="106" fillId="0" borderId="3" xfId="3" applyFont="1" applyBorder="1"/>
    <xf numFmtId="39" fontId="26" fillId="0" borderId="3" xfId="38" applyNumberFormat="1" applyFont="1" applyBorder="1" applyProtection="1"/>
    <xf numFmtId="43" fontId="106" fillId="0" borderId="2" xfId="3" applyFont="1" applyBorder="1"/>
    <xf numFmtId="39" fontId="28" fillId="0" borderId="2" xfId="3" applyNumberFormat="1" applyFont="1" applyFill="1" applyBorder="1" applyAlignment="1" applyProtection="1">
      <alignment wrapText="1"/>
    </xf>
    <xf numFmtId="39" fontId="26" fillId="0" borderId="32" xfId="3" applyNumberFormat="1" applyFont="1" applyBorder="1" applyAlignment="1" applyProtection="1">
      <alignment horizontal="right"/>
    </xf>
    <xf numFmtId="4" fontId="26" fillId="0" borderId="33" xfId="38" applyNumberFormat="1" applyFont="1" applyBorder="1" applyProtection="1"/>
    <xf numFmtId="0" fontId="30" fillId="0" borderId="59" xfId="50" applyFont="1" applyFill="1" applyBorder="1"/>
    <xf numFmtId="43" fontId="28" fillId="0" borderId="38" xfId="3" applyFont="1" applyFill="1" applyBorder="1" applyAlignment="1" applyProtection="1">
      <alignment wrapText="1"/>
    </xf>
    <xf numFmtId="43" fontId="28" fillId="0" borderId="2" xfId="3" applyFont="1" applyFill="1" applyBorder="1" applyAlignment="1" applyProtection="1"/>
    <xf numFmtId="39" fontId="100" fillId="0" borderId="0" xfId="35" applyFont="1"/>
    <xf numFmtId="39" fontId="18" fillId="0" borderId="0" xfId="40" applyFont="1"/>
    <xf numFmtId="0" fontId="18" fillId="0" borderId="0" xfId="50" applyFont="1"/>
    <xf numFmtId="39" fontId="18" fillId="0" borderId="0" xfId="40" applyFont="1" applyAlignment="1">
      <alignment horizontal="center"/>
    </xf>
    <xf numFmtId="0" fontId="43" fillId="0" borderId="0" xfId="50" applyFont="1"/>
    <xf numFmtId="39" fontId="43" fillId="0" borderId="0" xfId="40" applyFont="1" applyAlignment="1" applyProtection="1">
      <alignment horizontal="left"/>
    </xf>
    <xf numFmtId="39" fontId="22" fillId="0" borderId="0" xfId="40" applyFont="1"/>
    <xf numFmtId="0" fontId="22" fillId="0" borderId="0" xfId="50" applyFont="1"/>
    <xf numFmtId="39" fontId="43" fillId="0" borderId="0" xfId="35" applyFont="1" applyAlignment="1" applyProtection="1"/>
    <xf numFmtId="39" fontId="9" fillId="0" borderId="0" xfId="35" applyFont="1" applyAlignment="1">
      <alignment horizontal="center"/>
    </xf>
    <xf numFmtId="39" fontId="23" fillId="0" borderId="0" xfId="35" applyFont="1" applyAlignment="1" applyProtection="1">
      <alignment horizontal="left"/>
    </xf>
    <xf numFmtId="39" fontId="26" fillId="0" borderId="0" xfId="35" applyFont="1"/>
    <xf numFmtId="39" fontId="23" fillId="0" borderId="0" xfId="35" applyFont="1" applyAlignment="1" applyProtection="1"/>
    <xf numFmtId="0" fontId="26" fillId="0" borderId="0" xfId="50" applyFont="1"/>
    <xf numFmtId="39" fontId="30" fillId="0" borderId="0" xfId="35" applyFont="1" applyAlignment="1" applyProtection="1">
      <alignment horizontal="left"/>
    </xf>
    <xf numFmtId="39" fontId="30" fillId="0" borderId="22" xfId="35" applyFont="1" applyBorder="1" applyAlignment="1" applyProtection="1">
      <alignment horizontal="left"/>
    </xf>
    <xf numFmtId="39" fontId="23" fillId="0" borderId="15" xfId="35" applyFont="1" applyBorder="1" applyAlignment="1" applyProtection="1">
      <alignment horizontal="right" vertical="center"/>
    </xf>
    <xf numFmtId="39" fontId="24" fillId="0" borderId="16" xfId="35" applyFont="1" applyBorder="1" applyAlignment="1">
      <alignment vertical="center"/>
    </xf>
    <xf numFmtId="39" fontId="23" fillId="0" borderId="15" xfId="35" applyFont="1" applyBorder="1" applyAlignment="1" applyProtection="1">
      <alignment vertical="center"/>
    </xf>
    <xf numFmtId="39" fontId="23" fillId="0" borderId="0" xfId="35" applyFont="1"/>
    <xf numFmtId="39" fontId="9" fillId="0" borderId="9" xfId="35" quotePrefix="1" applyFont="1" applyBorder="1" applyAlignment="1" applyProtection="1">
      <alignment horizontal="right" vertical="center"/>
    </xf>
    <xf numFmtId="39" fontId="9" fillId="9" borderId="7" xfId="35" applyFont="1" applyFill="1" applyBorder="1" applyAlignment="1" applyProtection="1">
      <alignment horizontal="right" vertical="center"/>
    </xf>
    <xf numFmtId="39" fontId="23" fillId="0" borderId="9" xfId="35" quotePrefix="1" applyFont="1" applyBorder="1" applyAlignment="1" applyProtection="1">
      <alignment horizontal="center" vertical="center"/>
    </xf>
    <xf numFmtId="39" fontId="23" fillId="0" borderId="7" xfId="35" applyFont="1" applyBorder="1" applyAlignment="1">
      <alignment vertical="center"/>
    </xf>
    <xf numFmtId="39" fontId="9" fillId="0" borderId="0" xfId="51" applyFont="1" applyBorder="1" applyAlignment="1" applyProtection="1">
      <alignment horizontal="left" vertical="center"/>
    </xf>
    <xf numFmtId="39" fontId="9" fillId="0" borderId="0" xfId="51" applyFont="1" applyBorder="1" applyAlignment="1" applyProtection="1">
      <alignment vertical="center"/>
    </xf>
    <xf numFmtId="39" fontId="21" fillId="0" borderId="10" xfId="51" quotePrefix="1" applyFont="1" applyBorder="1" applyAlignment="1" applyProtection="1">
      <alignment vertical="center"/>
    </xf>
    <xf numFmtId="39" fontId="9" fillId="0" borderId="10" xfId="51" quotePrefix="1" applyFont="1" applyBorder="1" applyAlignment="1" applyProtection="1">
      <alignment vertical="center"/>
    </xf>
    <xf numFmtId="39" fontId="28" fillId="0" borderId="0" xfId="35" applyFont="1"/>
    <xf numFmtId="39" fontId="9" fillId="0" borderId="9" xfId="35" quotePrefix="1" applyFont="1" applyBorder="1" applyAlignment="1" applyProtection="1">
      <alignment horizontal="center" vertical="center"/>
    </xf>
    <xf numFmtId="39" fontId="9" fillId="0" borderId="7" xfId="35" applyFont="1" applyFill="1" applyBorder="1" applyAlignment="1" applyProtection="1">
      <alignment horizontal="right" vertical="center"/>
    </xf>
    <xf numFmtId="39" fontId="9" fillId="0" borderId="7" xfId="35" applyFont="1" applyBorder="1" applyAlignment="1">
      <alignment vertical="center"/>
    </xf>
    <xf numFmtId="39" fontId="9" fillId="0" borderId="7" xfId="35" quotePrefix="1" applyFont="1" applyBorder="1" applyAlignment="1" applyProtection="1">
      <alignment horizontal="center" vertical="center"/>
    </xf>
    <xf numFmtId="39" fontId="9" fillId="0" borderId="7" xfId="35" applyFont="1" applyFill="1" applyBorder="1" applyAlignment="1" applyProtection="1">
      <alignment horizontal="left" vertical="center"/>
    </xf>
    <xf numFmtId="43" fontId="9" fillId="0" borderId="7" xfId="3" applyFont="1" applyBorder="1" applyAlignment="1">
      <alignment horizontal="left" vertical="center"/>
    </xf>
    <xf numFmtId="39" fontId="9" fillId="9" borderId="7" xfId="35" applyFont="1" applyFill="1" applyBorder="1" applyAlignment="1" applyProtection="1">
      <alignment horizontal="left" vertical="center"/>
    </xf>
    <xf numFmtId="39" fontId="9" fillId="0" borderId="9" xfId="35" applyFont="1" applyBorder="1" applyAlignment="1" applyProtection="1">
      <alignment horizontal="left" vertical="center"/>
      <protection locked="0"/>
    </xf>
    <xf numFmtId="0" fontId="9" fillId="0" borderId="9" xfId="35" quotePrefix="1" applyNumberFormat="1" applyFont="1" applyBorder="1" applyAlignment="1" applyProtection="1">
      <alignment horizontal="center" vertical="center"/>
      <protection locked="0"/>
    </xf>
    <xf numFmtId="39" fontId="9" fillId="0" borderId="13" xfId="35" applyFont="1" applyBorder="1" applyAlignment="1">
      <alignment vertical="center"/>
    </xf>
    <xf numFmtId="39" fontId="110" fillId="0" borderId="18" xfId="35" applyFont="1" applyBorder="1" applyAlignment="1" applyProtection="1">
      <alignment horizontal="left"/>
    </xf>
    <xf numFmtId="39" fontId="110" fillId="0" borderId="18" xfId="35" applyFont="1" applyBorder="1" applyAlignment="1" applyProtection="1"/>
    <xf numFmtId="39" fontId="110" fillId="0" borderId="14" xfId="35" applyFont="1" applyBorder="1" applyAlignment="1" applyProtection="1"/>
    <xf numFmtId="39" fontId="24" fillId="0" borderId="0" xfId="35" applyFont="1" applyAlignment="1">
      <alignment horizontal="right"/>
    </xf>
    <xf numFmtId="39" fontId="23" fillId="9" borderId="2" xfId="35" applyFont="1" applyFill="1" applyBorder="1" applyAlignment="1" applyProtection="1">
      <alignment horizontal="right" vertical="center"/>
    </xf>
    <xf numFmtId="39" fontId="23" fillId="0" borderId="2" xfId="35" applyFont="1" applyBorder="1" applyAlignment="1" applyProtection="1">
      <alignment horizontal="right" vertical="center"/>
    </xf>
    <xf numFmtId="39" fontId="23" fillId="0" borderId="8" xfId="35" applyFont="1" applyBorder="1" applyAlignment="1">
      <alignment horizontal="right" vertical="center"/>
    </xf>
    <xf numFmtId="39" fontId="23" fillId="0" borderId="6" xfId="35" applyFont="1" applyBorder="1" applyAlignment="1" applyProtection="1">
      <alignment horizontal="right" vertical="center"/>
    </xf>
    <xf numFmtId="39" fontId="23" fillId="0" borderId="6" xfId="35" quotePrefix="1" applyFont="1" applyBorder="1" applyAlignment="1" applyProtection="1">
      <alignment horizontal="right" vertical="center"/>
    </xf>
    <xf numFmtId="39" fontId="24" fillId="0" borderId="10" xfId="35" quotePrefix="1" applyFont="1" applyBorder="1" applyAlignment="1" applyProtection="1">
      <alignment horizontal="left"/>
    </xf>
    <xf numFmtId="39" fontId="110" fillId="0" borderId="0" xfId="35" applyFont="1" applyBorder="1"/>
    <xf numFmtId="39" fontId="23" fillId="0" borderId="10" xfId="35" quotePrefix="1" applyFont="1" applyBorder="1" applyAlignment="1" applyProtection="1">
      <alignment horizontal="left"/>
    </xf>
    <xf numFmtId="0" fontId="9" fillId="0" borderId="2" xfId="50" quotePrefix="1" applyFont="1" applyBorder="1" applyAlignment="1" applyProtection="1">
      <alignment horizontal="center"/>
    </xf>
    <xf numFmtId="0" fontId="23" fillId="0" borderId="6" xfId="50" applyFont="1" applyBorder="1" applyAlignment="1" applyProtection="1">
      <alignment horizontal="left"/>
    </xf>
    <xf numFmtId="0" fontId="23" fillId="0" borderId="2" xfId="50" applyFont="1" applyBorder="1" applyAlignment="1">
      <alignment horizontal="center"/>
    </xf>
    <xf numFmtId="0" fontId="23" fillId="0" borderId="9" xfId="50" quotePrefix="1" applyFont="1" applyBorder="1" applyAlignment="1">
      <alignment horizontal="center"/>
    </xf>
    <xf numFmtId="0" fontId="28" fillId="0" borderId="9" xfId="50" quotePrefix="1" applyFont="1" applyBorder="1" applyAlignment="1">
      <alignment horizontal="center"/>
    </xf>
    <xf numFmtId="0" fontId="23" fillId="0" borderId="9" xfId="50" applyFont="1" applyBorder="1" applyAlignment="1">
      <alignment horizontal="center"/>
    </xf>
    <xf numFmtId="0" fontId="24" fillId="0" borderId="11" xfId="50" applyFont="1" applyBorder="1" applyAlignment="1">
      <alignment horizontal="center"/>
    </xf>
    <xf numFmtId="0" fontId="23" fillId="0" borderId="11" xfId="50" applyFont="1" applyFill="1" applyBorder="1" applyAlignment="1">
      <alignment horizontal="center"/>
    </xf>
    <xf numFmtId="0" fontId="23" fillId="0" borderId="11" xfId="50" applyFont="1" applyBorder="1" applyAlignment="1">
      <alignment horizontal="center"/>
    </xf>
    <xf numFmtId="39" fontId="23" fillId="0" borderId="0" xfId="35" applyFont="1" applyProtection="1">
      <protection locked="0"/>
    </xf>
    <xf numFmtId="39" fontId="9" fillId="0" borderId="0" xfId="35" applyFont="1" applyAlignment="1">
      <alignment horizontal="left"/>
    </xf>
    <xf numFmtId="39" fontId="9" fillId="0" borderId="0" xfId="35" applyFont="1" applyAlignment="1" applyProtection="1">
      <alignment horizontal="left"/>
    </xf>
    <xf numFmtId="39" fontId="29" fillId="0" borderId="0" xfId="35" applyFont="1"/>
    <xf numFmtId="39" fontId="21" fillId="0" borderId="0" xfId="35" applyFont="1" applyAlignment="1" applyProtection="1">
      <alignment horizontal="left"/>
    </xf>
    <xf numFmtId="39" fontId="21" fillId="0" borderId="0" xfId="35" applyFont="1"/>
    <xf numFmtId="39" fontId="100" fillId="0" borderId="0" xfId="35" applyFont="1" applyFill="1"/>
    <xf numFmtId="39" fontId="100" fillId="0" borderId="0" xfId="35" applyFont="1" applyBorder="1"/>
    <xf numFmtId="39" fontId="100" fillId="0" borderId="0" xfId="35" applyFont="1" applyFill="1" applyBorder="1"/>
    <xf numFmtId="39" fontId="18" fillId="0" borderId="0" xfId="40" applyFont="1" applyBorder="1"/>
    <xf numFmtId="39" fontId="18" fillId="0" borderId="0" xfId="40" applyFont="1" applyFill="1" applyBorder="1"/>
    <xf numFmtId="0" fontId="18" fillId="0" borderId="0" xfId="50" applyFont="1" applyBorder="1"/>
    <xf numFmtId="39" fontId="14" fillId="0" borderId="0" xfId="42" applyFont="1" applyBorder="1" applyAlignment="1"/>
    <xf numFmtId="0" fontId="5" fillId="0" borderId="0" xfId="50" applyFont="1" applyBorder="1"/>
    <xf numFmtId="39" fontId="111" fillId="0" borderId="0" xfId="35" applyFont="1" applyBorder="1" applyAlignment="1" applyProtection="1">
      <alignment vertical="center"/>
    </xf>
    <xf numFmtId="39" fontId="111" fillId="0" borderId="0" xfId="35" applyFont="1" applyBorder="1" applyAlignment="1">
      <alignment vertical="center"/>
    </xf>
    <xf numFmtId="39" fontId="92" fillId="0" borderId="0" xfId="35" applyFont="1" applyBorder="1" applyAlignment="1" applyProtection="1">
      <alignment vertical="center"/>
    </xf>
    <xf numFmtId="39" fontId="35" fillId="0" borderId="0" xfId="35" applyFont="1" applyFill="1" applyBorder="1" applyProtection="1"/>
    <xf numFmtId="39" fontId="35" fillId="0" borderId="0" xfId="35" applyFont="1" applyBorder="1" applyProtection="1"/>
    <xf numFmtId="39" fontId="35" fillId="0" borderId="0" xfId="35" applyFont="1" applyBorder="1" applyProtection="1">
      <protection locked="0"/>
    </xf>
    <xf numFmtId="39" fontId="35" fillId="0" borderId="0" xfId="35" quotePrefix="1" applyFont="1" applyBorder="1" applyAlignment="1" applyProtection="1">
      <alignment horizontal="center"/>
    </xf>
    <xf numFmtId="39" fontId="5" fillId="0" borderId="0" xfId="46" applyFont="1" applyBorder="1"/>
    <xf numFmtId="39" fontId="35" fillId="9" borderId="0" xfId="35" applyFont="1" applyFill="1" applyBorder="1" applyProtection="1"/>
    <xf numFmtId="0" fontId="112" fillId="0" borderId="0" xfId="14" quotePrefix="1" applyNumberFormat="1" applyFont="1" applyFill="1" applyBorder="1" applyAlignment="1" applyProtection="1">
      <alignment horizontal="center"/>
    </xf>
    <xf numFmtId="39" fontId="5" fillId="0" borderId="0" xfId="42" applyFont="1" applyBorder="1" applyAlignment="1" applyProtection="1">
      <alignment horizontal="left"/>
    </xf>
    <xf numFmtId="39" fontId="5" fillId="0" borderId="0" xfId="46" quotePrefix="1" applyFont="1" applyBorder="1" applyAlignment="1" applyProtection="1">
      <alignment horizontal="left"/>
    </xf>
    <xf numFmtId="39" fontId="35" fillId="9" borderId="0" xfId="35" applyFont="1" applyFill="1" applyBorder="1" applyAlignment="1" applyProtection="1">
      <alignment vertical="center"/>
    </xf>
    <xf numFmtId="39" fontId="5" fillId="0" borderId="0" xfId="46" applyFont="1" applyBorder="1" applyAlignment="1" applyProtection="1">
      <alignment horizontal="left"/>
    </xf>
    <xf numFmtId="0" fontId="112" fillId="0" borderId="0" xfId="14" applyNumberFormat="1" applyFont="1" applyFill="1" applyBorder="1" applyAlignment="1" applyProtection="1">
      <alignment horizontal="center"/>
    </xf>
    <xf numFmtId="39" fontId="111" fillId="9" borderId="0" xfId="35" applyFont="1" applyFill="1" applyBorder="1" applyAlignment="1" applyProtection="1">
      <alignment vertical="center"/>
    </xf>
    <xf numFmtId="39" fontId="111" fillId="0" borderId="0" xfId="35" applyFont="1" applyBorder="1" applyAlignment="1" applyProtection="1">
      <alignment horizontal="center" vertical="center"/>
    </xf>
    <xf numFmtId="39" fontId="92" fillId="0" borderId="0" xfId="35" applyFont="1" applyBorder="1" applyAlignment="1">
      <alignment vertical="center"/>
    </xf>
    <xf numFmtId="39" fontId="92" fillId="0" borderId="0" xfId="35" applyFont="1" applyBorder="1" applyAlignment="1" applyProtection="1">
      <alignment horizontal="left" vertical="center"/>
    </xf>
    <xf numFmtId="0" fontId="16" fillId="0" borderId="0" xfId="50" quotePrefix="1" applyFont="1" applyBorder="1" applyAlignment="1" applyProtection="1">
      <alignment horizontal="center"/>
    </xf>
    <xf numFmtId="0" fontId="92" fillId="0" borderId="0" xfId="50" applyFont="1" applyBorder="1" applyAlignment="1" applyProtection="1">
      <alignment horizontal="centerContinuous"/>
    </xf>
    <xf numFmtId="0" fontId="92" fillId="0" borderId="0" xfId="50" applyFont="1" applyBorder="1" applyAlignment="1">
      <alignment horizontal="center"/>
    </xf>
    <xf numFmtId="0" fontId="92" fillId="0" borderId="0" xfId="50" quotePrefix="1" applyFont="1" applyBorder="1" applyAlignment="1">
      <alignment horizontal="center"/>
    </xf>
    <xf numFmtId="0" fontId="113" fillId="0" borderId="0" xfId="50" applyFont="1" applyBorder="1" applyAlignment="1">
      <alignment horizontal="center"/>
    </xf>
    <xf numFmtId="0" fontId="92" fillId="0" borderId="0" xfId="50" applyFont="1" applyFill="1" applyBorder="1" applyAlignment="1">
      <alignment horizontal="center"/>
    </xf>
    <xf numFmtId="39" fontId="35" fillId="9" borderId="0" xfId="35" applyFont="1" applyFill="1" applyBorder="1"/>
    <xf numFmtId="39" fontId="20" fillId="0" borderId="0" xfId="35" applyFont="1" applyBorder="1" applyAlignment="1" applyProtection="1">
      <alignment horizontal="left"/>
    </xf>
    <xf numFmtId="39" fontId="35" fillId="0" borderId="0" xfId="35" quotePrefix="1" applyFont="1" applyFill="1" applyBorder="1" applyAlignment="1" applyProtection="1">
      <alignment horizontal="center"/>
    </xf>
    <xf numFmtId="39" fontId="114" fillId="0" borderId="0" xfId="35" applyFont="1" applyFill="1" applyBorder="1"/>
    <xf numFmtId="39" fontId="20" fillId="0" borderId="0" xfId="35" applyFont="1" applyBorder="1"/>
    <xf numFmtId="39" fontId="18" fillId="0" borderId="0" xfId="40" applyFont="1" applyBorder="1" applyAlignment="1">
      <alignment horizontal="center"/>
    </xf>
    <xf numFmtId="39" fontId="17" fillId="0" borderId="0" xfId="35" applyFont="1" applyBorder="1" applyProtection="1">
      <protection locked="0"/>
    </xf>
    <xf numFmtId="39" fontId="100" fillId="0" borderId="0" xfId="35" applyFont="1" applyBorder="1" applyAlignment="1">
      <alignment horizontal="left"/>
    </xf>
    <xf numFmtId="39" fontId="35" fillId="0" borderId="0" xfId="35" applyFont="1" applyFill="1" applyBorder="1"/>
    <xf numFmtId="39" fontId="35" fillId="0" borderId="0" xfId="35" applyFont="1" applyFill="1" applyBorder="1" applyProtection="1">
      <protection locked="0"/>
    </xf>
    <xf numFmtId="39" fontId="114" fillId="0" borderId="0" xfId="35" applyFont="1" applyBorder="1"/>
    <xf numFmtId="39" fontId="16" fillId="0" borderId="0" xfId="35" quotePrefix="1" applyFont="1" applyBorder="1"/>
    <xf numFmtId="39" fontId="16" fillId="0" borderId="0" xfId="42" applyFont="1" applyBorder="1" applyAlignment="1" applyProtection="1">
      <alignment horizontal="left"/>
    </xf>
    <xf numFmtId="39" fontId="5" fillId="0" borderId="0" xfId="35" quotePrefix="1" applyFont="1" applyBorder="1"/>
    <xf numFmtId="39" fontId="14" fillId="0" borderId="0" xfId="35" applyFont="1" applyBorder="1"/>
    <xf numFmtId="39" fontId="18" fillId="0" borderId="0" xfId="40" applyFont="1" applyFill="1" applyBorder="1" applyAlignment="1">
      <alignment horizontal="center"/>
    </xf>
    <xf numFmtId="0" fontId="18" fillId="0" borderId="0" xfId="50" applyFont="1" applyFill="1" applyBorder="1"/>
    <xf numFmtId="0" fontId="5" fillId="0" borderId="0" xfId="50" applyFont="1" applyFill="1" applyBorder="1"/>
    <xf numFmtId="39" fontId="18" fillId="0" borderId="0" xfId="40" applyFont="1" applyFill="1"/>
    <xf numFmtId="39" fontId="22" fillId="0" borderId="0" xfId="42" applyFont="1"/>
    <xf numFmtId="0" fontId="29" fillId="0" borderId="0" xfId="50" applyFont="1"/>
    <xf numFmtId="39" fontId="9" fillId="0" borderId="0" xfId="35" applyFont="1" applyAlignment="1"/>
    <xf numFmtId="39" fontId="23" fillId="0" borderId="15" xfId="35" applyFont="1" applyBorder="1" applyAlignment="1">
      <alignment vertical="center"/>
    </xf>
    <xf numFmtId="39" fontId="23" fillId="0" borderId="16" xfId="35" applyFont="1" applyBorder="1" applyAlignment="1" applyProtection="1">
      <alignment vertical="center"/>
    </xf>
    <xf numFmtId="39" fontId="9" fillId="0" borderId="2" xfId="35" quotePrefix="1" applyFont="1" applyBorder="1" applyAlignment="1" applyProtection="1">
      <alignment horizontal="center"/>
    </xf>
    <xf numFmtId="39" fontId="9" fillId="0" borderId="7" xfId="46" applyFont="1" applyBorder="1"/>
    <xf numFmtId="39" fontId="9" fillId="0" borderId="10" xfId="46" applyFont="1" applyBorder="1"/>
    <xf numFmtId="39" fontId="26" fillId="0" borderId="7" xfId="35" applyFont="1" applyBorder="1"/>
    <xf numFmtId="39" fontId="26" fillId="0" borderId="10" xfId="42" applyFont="1" applyBorder="1" applyAlignment="1" applyProtection="1">
      <alignment horizontal="left"/>
    </xf>
    <xf numFmtId="39" fontId="30" fillId="0" borderId="9" xfId="35" quotePrefix="1" applyFont="1" applyBorder="1" applyAlignment="1" applyProtection="1">
      <alignment horizontal="center"/>
    </xf>
    <xf numFmtId="39" fontId="9" fillId="0" borderId="10" xfId="42" applyFont="1" applyBorder="1" applyAlignment="1" applyProtection="1">
      <alignment horizontal="left"/>
    </xf>
    <xf numFmtId="39" fontId="9" fillId="9" borderId="11" xfId="35" applyFont="1" applyFill="1" applyBorder="1" applyAlignment="1" applyProtection="1">
      <alignment vertical="center"/>
    </xf>
    <xf numFmtId="39" fontId="9" fillId="9" borderId="13" xfId="35" applyFont="1" applyFill="1" applyBorder="1" applyAlignment="1" applyProtection="1">
      <alignment vertical="center"/>
    </xf>
    <xf numFmtId="39" fontId="9" fillId="0" borderId="11" xfId="35" applyFont="1" applyBorder="1" applyProtection="1"/>
    <xf numFmtId="0" fontId="39" fillId="0" borderId="14" xfId="14" quotePrefix="1" applyNumberFormat="1" applyFont="1" applyFill="1" applyBorder="1" applyAlignment="1" applyProtection="1">
      <alignment horizontal="center"/>
    </xf>
    <xf numFmtId="39" fontId="9" fillId="0" borderId="13" xfId="46" applyFont="1" applyBorder="1" applyAlignment="1" applyProtection="1">
      <alignment horizontal="left"/>
    </xf>
    <xf numFmtId="39" fontId="9" fillId="0" borderId="14" xfId="46" applyFont="1" applyBorder="1" applyAlignment="1" applyProtection="1">
      <alignment horizontal="left"/>
    </xf>
    <xf numFmtId="39" fontId="23" fillId="9" borderId="3" xfId="35" applyFont="1" applyFill="1" applyBorder="1" applyAlignment="1" applyProtection="1">
      <alignment vertical="center"/>
    </xf>
    <xf numFmtId="39" fontId="49" fillId="0" borderId="2" xfId="35" applyFont="1" applyBorder="1" applyAlignment="1" applyProtection="1">
      <alignment horizontal="center" vertical="center"/>
    </xf>
    <xf numFmtId="39" fontId="49" fillId="0" borderId="4" xfId="35" applyFont="1" applyBorder="1" applyAlignment="1">
      <alignment vertical="center"/>
    </xf>
    <xf numFmtId="39" fontId="23" fillId="0" borderId="12" xfId="43" applyFont="1" applyBorder="1" applyAlignment="1" applyProtection="1">
      <alignment horizontal="left" vertical="center"/>
    </xf>
    <xf numFmtId="0" fontId="26" fillId="0" borderId="2" xfId="50" quotePrefix="1" applyFont="1" applyBorder="1" applyAlignment="1" applyProtection="1">
      <alignment horizontal="center"/>
    </xf>
    <xf numFmtId="0" fontId="23" fillId="0" borderId="6" xfId="50" applyFont="1" applyBorder="1" applyAlignment="1" applyProtection="1">
      <alignment horizontal="centerContinuous"/>
    </xf>
    <xf numFmtId="0" fontId="28" fillId="0" borderId="2" xfId="50" applyFont="1" applyBorder="1" applyAlignment="1">
      <alignment horizontal="center"/>
    </xf>
    <xf numFmtId="39" fontId="23" fillId="0" borderId="8" xfId="43" applyFont="1" applyBorder="1" applyAlignment="1" applyProtection="1">
      <alignment horizontal="center" vertical="center"/>
    </xf>
    <xf numFmtId="0" fontId="28" fillId="0" borderId="9" xfId="50" applyFont="1" applyBorder="1" applyAlignment="1">
      <alignment horizontal="center"/>
    </xf>
    <xf numFmtId="0" fontId="28" fillId="0" borderId="11" xfId="50" applyFont="1" applyBorder="1" applyAlignment="1">
      <alignment horizontal="center"/>
    </xf>
    <xf numFmtId="0" fontId="28" fillId="0" borderId="11" xfId="50" applyFont="1" applyFill="1" applyBorder="1" applyAlignment="1">
      <alignment horizontal="center"/>
    </xf>
    <xf numFmtId="39" fontId="9" fillId="9" borderId="0" xfId="35" applyFont="1" applyFill="1" applyBorder="1"/>
    <xf numFmtId="39" fontId="26" fillId="0" borderId="0" xfId="35" applyFont="1" applyBorder="1" applyProtection="1">
      <protection locked="0"/>
    </xf>
    <xf numFmtId="39" fontId="9" fillId="0" borderId="0" xfId="35" quotePrefix="1" applyFont="1" applyBorder="1" applyAlignment="1" applyProtection="1">
      <alignment horizontal="center"/>
    </xf>
    <xf numFmtId="39" fontId="115" fillId="0" borderId="0" xfId="35" applyFont="1" applyProtection="1">
      <protection locked="0"/>
    </xf>
    <xf numFmtId="39" fontId="29" fillId="0" borderId="0" xfId="35" applyFont="1" applyAlignment="1" applyProtection="1">
      <alignment horizontal="center"/>
    </xf>
    <xf numFmtId="39" fontId="43" fillId="0" borderId="0" xfId="35" applyFont="1" applyAlignment="1" applyProtection="1">
      <alignment horizontal="left"/>
    </xf>
    <xf numFmtId="39" fontId="43" fillId="0" borderId="0" xfId="35" applyFont="1"/>
    <xf numFmtId="39" fontId="21" fillId="0" borderId="0" xfId="40" applyFont="1" applyFill="1"/>
    <xf numFmtId="39" fontId="23" fillId="0" borderId="20" xfId="35" applyFont="1" applyBorder="1" applyAlignment="1" applyProtection="1">
      <alignment vertical="center"/>
    </xf>
    <xf numFmtId="39" fontId="30" fillId="0" borderId="7" xfId="35" applyFont="1" applyFill="1" applyBorder="1" applyProtection="1"/>
    <xf numFmtId="39" fontId="30" fillId="9" borderId="7" xfId="35" applyFont="1" applyFill="1" applyBorder="1" applyProtection="1"/>
    <xf numFmtId="39" fontId="9" fillId="0" borderId="9" xfId="35" quotePrefix="1" applyFont="1" applyBorder="1" applyAlignment="1" applyProtection="1">
      <alignment horizontal="center"/>
    </xf>
    <xf numFmtId="39" fontId="9" fillId="0" borderId="7" xfId="35" quotePrefix="1" applyFont="1" applyBorder="1"/>
    <xf numFmtId="39" fontId="24" fillId="0" borderId="3" xfId="35" applyFont="1" applyFill="1" applyBorder="1" applyAlignment="1" applyProtection="1">
      <alignment vertical="center"/>
    </xf>
    <xf numFmtId="0" fontId="28" fillId="0" borderId="6" xfId="50" applyFont="1" applyBorder="1" applyAlignment="1" applyProtection="1">
      <alignment horizontal="centerContinuous"/>
    </xf>
    <xf numFmtId="0" fontId="68" fillId="0" borderId="2" xfId="50" applyFont="1" applyBorder="1" applyAlignment="1">
      <alignment horizontal="center"/>
    </xf>
    <xf numFmtId="0" fontId="68" fillId="0" borderId="9" xfId="50" applyFont="1" applyBorder="1" applyAlignment="1">
      <alignment horizontal="center"/>
    </xf>
    <xf numFmtId="0" fontId="68" fillId="0" borderId="11" xfId="50" applyFont="1" applyBorder="1" applyAlignment="1">
      <alignment horizontal="center"/>
    </xf>
    <xf numFmtId="0" fontId="5" fillId="0" borderId="0" xfId="50" applyFont="1"/>
    <xf numFmtId="39" fontId="9" fillId="0" borderId="7" xfId="42" applyFont="1" applyBorder="1" applyAlignment="1" applyProtection="1">
      <alignment horizontal="left"/>
    </xf>
    <xf numFmtId="39" fontId="111" fillId="0" borderId="2" xfId="35" applyFont="1" applyBorder="1" applyAlignment="1" applyProtection="1">
      <alignment horizontal="center" vertical="center"/>
    </xf>
    <xf numFmtId="39" fontId="116" fillId="0" borderId="4" xfId="35" applyFont="1" applyBorder="1" applyAlignment="1">
      <alignment vertical="center"/>
    </xf>
    <xf numFmtId="0" fontId="16" fillId="0" borderId="2" xfId="50" quotePrefix="1" applyFont="1" applyBorder="1" applyAlignment="1" applyProtection="1">
      <alignment horizontal="center"/>
    </xf>
    <xf numFmtId="0" fontId="92" fillId="0" borderId="6" xfId="50" applyFont="1" applyBorder="1" applyAlignment="1" applyProtection="1">
      <alignment horizontal="centerContinuous"/>
    </xf>
    <xf numFmtId="0" fontId="92" fillId="0" borderId="2" xfId="50" applyFont="1" applyBorder="1" applyAlignment="1">
      <alignment horizontal="center"/>
    </xf>
    <xf numFmtId="39" fontId="14" fillId="0" borderId="8" xfId="43" applyFont="1" applyBorder="1" applyAlignment="1" applyProtection="1">
      <alignment horizontal="center" vertical="center"/>
    </xf>
    <xf numFmtId="0" fontId="92" fillId="0" borderId="9" xfId="50" quotePrefix="1" applyFont="1" applyBorder="1" applyAlignment="1">
      <alignment horizontal="center"/>
    </xf>
    <xf numFmtId="0" fontId="113" fillId="0" borderId="9" xfId="50" applyFont="1" applyBorder="1" applyAlignment="1">
      <alignment horizontal="center"/>
    </xf>
    <xf numFmtId="0" fontId="92" fillId="0" borderId="11" xfId="50" applyFont="1" applyBorder="1" applyAlignment="1">
      <alignment horizontal="center"/>
    </xf>
    <xf numFmtId="0" fontId="92" fillId="0" borderId="11" xfId="50" applyFont="1" applyFill="1" applyBorder="1" applyAlignment="1">
      <alignment horizontal="center"/>
    </xf>
    <xf numFmtId="0" fontId="113" fillId="0" borderId="11" xfId="50" applyFont="1" applyBorder="1" applyAlignment="1">
      <alignment horizontal="center"/>
    </xf>
    <xf numFmtId="39" fontId="21" fillId="0" borderId="10" xfId="40" applyFont="1" applyFill="1" applyBorder="1"/>
    <xf numFmtId="39" fontId="26" fillId="0" borderId="7" xfId="35" quotePrefix="1" applyFont="1" applyBorder="1" applyAlignment="1">
      <alignment horizontal="center"/>
    </xf>
    <xf numFmtId="39" fontId="9" fillId="0" borderId="10" xfId="42" applyFont="1" applyBorder="1" applyAlignment="1" applyProtection="1">
      <alignment horizontal="center"/>
    </xf>
    <xf numFmtId="39" fontId="26" fillId="0" borderId="9" xfId="42" applyFont="1" applyBorder="1" applyAlignment="1" applyProtection="1">
      <alignment horizontal="left"/>
    </xf>
    <xf numFmtId="39" fontId="23" fillId="0" borderId="4" xfId="35" applyFont="1" applyBorder="1" applyAlignment="1">
      <alignment vertical="center"/>
    </xf>
    <xf numFmtId="0" fontId="29" fillId="0" borderId="2" xfId="50" quotePrefix="1" applyFont="1" applyBorder="1" applyAlignment="1" applyProtection="1">
      <alignment horizontal="center"/>
    </xf>
    <xf numFmtId="0" fontId="32" fillId="0" borderId="9" xfId="50" quotePrefix="1" applyFont="1" applyBorder="1" applyAlignment="1">
      <alignment horizontal="center"/>
    </xf>
    <xf numFmtId="39" fontId="48" fillId="9" borderId="0" xfId="35" applyFont="1" applyFill="1" applyBorder="1"/>
    <xf numFmtId="39" fontId="44" fillId="0" borderId="0" xfId="35" applyFont="1" applyAlignment="1" applyProtection="1">
      <alignment horizontal="left"/>
    </xf>
    <xf numFmtId="39" fontId="48" fillId="0" borderId="0" xfId="35" applyFont="1" applyBorder="1" applyProtection="1"/>
    <xf numFmtId="39" fontId="48" fillId="0" borderId="0" xfId="35" applyFont="1" applyBorder="1" applyProtection="1">
      <protection locked="0"/>
    </xf>
    <xf numFmtId="39" fontId="48" fillId="0" borderId="0" xfId="35" quotePrefix="1" applyFont="1" applyBorder="1" applyAlignment="1" applyProtection="1">
      <alignment horizontal="center"/>
    </xf>
    <xf numFmtId="39" fontId="100" fillId="0" borderId="0" xfId="35" applyFont="1" applyAlignment="1">
      <alignment vertical="center"/>
    </xf>
    <xf numFmtId="39" fontId="100" fillId="0" borderId="0" xfId="35" applyFont="1" applyFill="1" applyAlignment="1">
      <alignment vertical="center"/>
    </xf>
    <xf numFmtId="39" fontId="100" fillId="0" borderId="0" xfId="35" applyFont="1" applyBorder="1" applyAlignment="1">
      <alignment vertical="center"/>
    </xf>
    <xf numFmtId="39" fontId="100" fillId="0" borderId="0" xfId="35" applyFont="1" applyFill="1" applyBorder="1" applyAlignment="1">
      <alignment vertical="center"/>
    </xf>
    <xf numFmtId="39" fontId="5" fillId="0" borderId="0" xfId="46" applyFont="1" applyFill="1" applyBorder="1" applyAlignment="1" applyProtection="1">
      <alignment horizontal="left"/>
    </xf>
    <xf numFmtId="39" fontId="111" fillId="0" borderId="15" xfId="35" applyFont="1" applyBorder="1" applyAlignment="1">
      <alignment vertical="center"/>
    </xf>
    <xf numFmtId="39" fontId="14" fillId="0" borderId="16" xfId="35" applyFont="1" applyBorder="1" applyAlignment="1" applyProtection="1">
      <alignment vertical="center"/>
    </xf>
    <xf numFmtId="39" fontId="5" fillId="0" borderId="0" xfId="42" applyFont="1" applyFill="1" applyBorder="1"/>
    <xf numFmtId="39" fontId="5" fillId="0" borderId="0" xfId="42" applyFont="1" applyFill="1" applyBorder="1" applyAlignment="1" applyProtection="1">
      <alignment horizontal="left"/>
    </xf>
    <xf numFmtId="39" fontId="5" fillId="0" borderId="0" xfId="38" applyFont="1" applyFill="1" applyBorder="1" applyProtection="1"/>
    <xf numFmtId="39" fontId="14" fillId="0" borderId="0" xfId="35" applyFont="1" applyFill="1" applyBorder="1" applyAlignment="1">
      <alignment horizontal="center"/>
    </xf>
    <xf numFmtId="39" fontId="14" fillId="0" borderId="0" xfId="35" applyFont="1" applyFill="1" applyBorder="1"/>
    <xf numFmtId="39" fontId="5" fillId="0" borderId="0" xfId="42" applyFont="1" applyFill="1" applyBorder="1" applyProtection="1"/>
    <xf numFmtId="43" fontId="5" fillId="0" borderId="0" xfId="3" applyFont="1" applyFill="1" applyBorder="1" applyProtection="1"/>
    <xf numFmtId="39" fontId="12" fillId="0" borderId="0" xfId="42" applyFont="1" applyFill="1" applyBorder="1"/>
    <xf numFmtId="39" fontId="113" fillId="0" borderId="4" xfId="35" applyFont="1" applyBorder="1" applyAlignment="1">
      <alignment vertical="center"/>
    </xf>
    <xf numFmtId="39" fontId="12" fillId="0" borderId="0" xfId="42" applyFont="1" applyFill="1" applyBorder="1" applyProtection="1"/>
    <xf numFmtId="39" fontId="12" fillId="0" borderId="0" xfId="3" applyNumberFormat="1" applyFont="1" applyFill="1" applyBorder="1" applyProtection="1"/>
    <xf numFmtId="39" fontId="12" fillId="0" borderId="0" xfId="35" applyFont="1" applyFill="1" applyBorder="1"/>
    <xf numFmtId="39" fontId="23" fillId="0" borderId="3" xfId="35" applyFont="1" applyBorder="1" applyProtection="1">
      <protection locked="0"/>
    </xf>
    <xf numFmtId="0" fontId="50" fillId="0" borderId="3" xfId="14" quotePrefix="1" applyNumberFormat="1" applyFont="1" applyFill="1" applyBorder="1" applyAlignment="1" applyProtection="1">
      <alignment horizontal="center"/>
    </xf>
    <xf numFmtId="39" fontId="23" fillId="0" borderId="4" xfId="35" applyFont="1" applyBorder="1"/>
    <xf numFmtId="39" fontId="9" fillId="0" borderId="5" xfId="42" applyFont="1" applyBorder="1" applyAlignment="1" applyProtection="1">
      <alignment horizontal="left"/>
    </xf>
    <xf numFmtId="39" fontId="9" fillId="0" borderId="9" xfId="35" applyFont="1" applyBorder="1" applyAlignment="1" applyProtection="1">
      <alignment horizontal="center"/>
    </xf>
    <xf numFmtId="39" fontId="12" fillId="0" borderId="0" xfId="38" applyFont="1" applyFill="1" applyBorder="1" applyProtection="1"/>
    <xf numFmtId="39" fontId="9" fillId="9" borderId="7" xfId="35" applyFont="1" applyFill="1" applyBorder="1" applyAlignment="1" applyProtection="1">
      <alignment horizontal="center" vertical="center"/>
    </xf>
    <xf numFmtId="39" fontId="9" fillId="9" borderId="9" xfId="35" applyFont="1" applyFill="1" applyBorder="1" applyAlignment="1" applyProtection="1">
      <alignment horizontal="center" vertical="center"/>
    </xf>
    <xf numFmtId="39" fontId="23" fillId="0" borderId="8" xfId="35" applyFont="1" applyBorder="1" applyAlignment="1">
      <alignment vertical="center"/>
    </xf>
    <xf numFmtId="39" fontId="23" fillId="0" borderId="12" xfId="35" applyFont="1" applyBorder="1" applyAlignment="1" applyProtection="1">
      <alignment horizontal="left" vertical="center"/>
    </xf>
    <xf numFmtId="43" fontId="12" fillId="0" borderId="0" xfId="3" applyFont="1" applyFill="1" applyBorder="1" applyProtection="1"/>
    <xf numFmtId="39" fontId="92" fillId="0" borderId="0" xfId="35" applyFont="1" applyFill="1" applyBorder="1" applyAlignment="1">
      <alignment horizontal="center"/>
    </xf>
    <xf numFmtId="39" fontId="9" fillId="9" borderId="7" xfId="35" applyFont="1" applyFill="1" applyBorder="1" applyAlignment="1" applyProtection="1">
      <alignment vertical="center"/>
    </xf>
    <xf numFmtId="39" fontId="9" fillId="9" borderId="9" xfId="35" applyFont="1" applyFill="1" applyBorder="1" applyAlignment="1" applyProtection="1">
      <alignment vertical="center"/>
    </xf>
    <xf numFmtId="39" fontId="9" fillId="0" borderId="9" xfId="35" applyFont="1" applyBorder="1" applyAlignment="1" applyProtection="1"/>
    <xf numFmtId="39" fontId="28" fillId="0" borderId="8" xfId="35" applyFont="1" applyBorder="1" applyAlignment="1">
      <alignment vertical="center"/>
    </xf>
    <xf numFmtId="39" fontId="92" fillId="0" borderId="16" xfId="35" applyFont="1" applyBorder="1" applyAlignment="1" applyProtection="1">
      <alignment vertical="center"/>
    </xf>
    <xf numFmtId="0" fontId="30" fillId="0" borderId="2" xfId="50" quotePrefix="1" applyFont="1" applyBorder="1" applyAlignment="1" applyProtection="1">
      <alignment horizontal="center"/>
    </xf>
    <xf numFmtId="0" fontId="24" fillId="0" borderId="6" xfId="50" applyFont="1" applyBorder="1" applyAlignment="1" applyProtection="1">
      <alignment horizontal="centerContinuous"/>
    </xf>
    <xf numFmtId="0" fontId="24" fillId="0" borderId="2" xfId="50" applyFont="1" applyBorder="1" applyAlignment="1">
      <alignment horizontal="center"/>
    </xf>
    <xf numFmtId="0" fontId="24" fillId="0" borderId="9" xfId="50" quotePrefix="1" applyFont="1" applyBorder="1" applyAlignment="1">
      <alignment horizontal="center"/>
    </xf>
    <xf numFmtId="0" fontId="24" fillId="0" borderId="9" xfId="50" applyFont="1" applyBorder="1" applyAlignment="1">
      <alignment horizontal="center"/>
    </xf>
    <xf numFmtId="0" fontId="24" fillId="0" borderId="11" xfId="50" applyFont="1" applyFill="1" applyBorder="1" applyAlignment="1">
      <alignment horizontal="center"/>
    </xf>
    <xf numFmtId="39" fontId="30" fillId="0" borderId="2" xfId="35" quotePrefix="1" applyFont="1" applyBorder="1" applyAlignment="1" applyProtection="1">
      <alignment horizontal="center"/>
    </xf>
    <xf numFmtId="39" fontId="9" fillId="0" borderId="8" xfId="46" applyFont="1" applyBorder="1"/>
    <xf numFmtId="39" fontId="9" fillId="0" borderId="12" xfId="46" applyFont="1" applyBorder="1"/>
    <xf numFmtId="39" fontId="9" fillId="0" borderId="0" xfId="42" applyFont="1" applyBorder="1" applyAlignment="1" applyProtection="1"/>
    <xf numFmtId="39" fontId="9" fillId="0" borderId="10" xfId="35" applyFont="1" applyBorder="1" applyAlignment="1"/>
    <xf numFmtId="39" fontId="9" fillId="0" borderId="0" xfId="46" applyFont="1" applyBorder="1" applyAlignment="1" applyProtection="1">
      <alignment horizontal="left"/>
    </xf>
    <xf numFmtId="39" fontId="30" fillId="0" borderId="0" xfId="35" quotePrefix="1" applyFont="1" applyBorder="1" applyAlignment="1" applyProtection="1">
      <alignment horizontal="center" vertical="center"/>
    </xf>
    <xf numFmtId="39" fontId="9" fillId="0" borderId="10" xfId="35" applyFont="1" applyBorder="1" applyAlignment="1" applyProtection="1">
      <alignment horizontal="left" vertical="center"/>
    </xf>
    <xf numFmtId="39" fontId="35" fillId="0" borderId="7" xfId="35" applyFont="1" applyFill="1" applyBorder="1" applyProtection="1"/>
    <xf numFmtId="39" fontId="35" fillId="0" borderId="9" xfId="35" applyFont="1" applyBorder="1" applyProtection="1"/>
    <xf numFmtId="39" fontId="35" fillId="0" borderId="9" xfId="35" applyFont="1" applyBorder="1" applyProtection="1">
      <protection locked="0"/>
    </xf>
    <xf numFmtId="39" fontId="35" fillId="0" borderId="2" xfId="35" quotePrefix="1" applyFont="1" applyBorder="1" applyAlignment="1" applyProtection="1">
      <alignment horizontal="center"/>
    </xf>
    <xf numFmtId="39" fontId="30" fillId="0" borderId="7" xfId="46" applyFont="1" applyBorder="1"/>
    <xf numFmtId="39" fontId="30" fillId="0" borderId="10" xfId="46" applyFont="1" applyBorder="1"/>
    <xf numFmtId="39" fontId="35" fillId="9" borderId="7" xfId="35" applyFont="1" applyFill="1" applyBorder="1" applyProtection="1"/>
    <xf numFmtId="0" fontId="112" fillId="0" borderId="9" xfId="14" quotePrefix="1" applyNumberFormat="1" applyFont="1" applyFill="1" applyBorder="1" applyAlignment="1" applyProtection="1">
      <alignment horizontal="center"/>
    </xf>
    <xf numFmtId="39" fontId="30" fillId="0" borderId="7" xfId="42" applyFont="1" applyBorder="1" applyAlignment="1" applyProtection="1">
      <alignment horizontal="left"/>
    </xf>
    <xf numFmtId="39" fontId="30" fillId="0" borderId="10" xfId="46" quotePrefix="1" applyFont="1" applyBorder="1" applyAlignment="1" applyProtection="1">
      <alignment horizontal="left"/>
    </xf>
    <xf numFmtId="39" fontId="30" fillId="0" borderId="7" xfId="35" applyFont="1" applyBorder="1"/>
    <xf numFmtId="39" fontId="30" fillId="0" borderId="10" xfId="42" applyFont="1" applyBorder="1" applyAlignment="1" applyProtection="1">
      <alignment horizontal="left"/>
    </xf>
    <xf numFmtId="39" fontId="30" fillId="0" borderId="7" xfId="46" applyFont="1" applyBorder="1" applyAlignment="1" applyProtection="1">
      <alignment horizontal="left"/>
    </xf>
    <xf numFmtId="39" fontId="30" fillId="0" borderId="10" xfId="46" applyFont="1" applyBorder="1" applyAlignment="1" applyProtection="1">
      <alignment horizontal="left"/>
    </xf>
    <xf numFmtId="39" fontId="30" fillId="9" borderId="7" xfId="35" applyFont="1" applyFill="1" applyBorder="1" applyAlignment="1" applyProtection="1">
      <alignment vertical="center"/>
    </xf>
    <xf numFmtId="39" fontId="30" fillId="9" borderId="9" xfId="35" applyFont="1" applyFill="1" applyBorder="1" applyAlignment="1" applyProtection="1">
      <alignment vertical="center"/>
    </xf>
    <xf numFmtId="39" fontId="30" fillId="0" borderId="13" xfId="46" applyFont="1" applyBorder="1" applyAlignment="1" applyProtection="1">
      <alignment horizontal="left"/>
    </xf>
    <xf numFmtId="39" fontId="9" fillId="0" borderId="7" xfId="42" applyFont="1" applyFill="1" applyBorder="1" applyAlignment="1" applyProtection="1">
      <alignment horizontal="left"/>
    </xf>
    <xf numFmtId="39" fontId="9" fillId="0" borderId="10" xfId="46" quotePrefix="1" applyFont="1" applyFill="1" applyBorder="1" applyAlignment="1" applyProtection="1">
      <alignment horizontal="left"/>
    </xf>
    <xf numFmtId="39" fontId="9" fillId="0" borderId="10" xfId="46" applyFont="1" applyFill="1" applyBorder="1" applyAlignment="1" applyProtection="1">
      <alignment horizontal="left"/>
    </xf>
    <xf numFmtId="39" fontId="30" fillId="0" borderId="10" xfId="35" applyFont="1" applyBorder="1" applyAlignment="1"/>
    <xf numFmtId="0" fontId="6" fillId="0" borderId="0" xfId="50"/>
    <xf numFmtId="39" fontId="95" fillId="0" borderId="0" xfId="40" applyFont="1"/>
    <xf numFmtId="39" fontId="21" fillId="0" borderId="0" xfId="42" applyFont="1"/>
    <xf numFmtId="39" fontId="23" fillId="0" borderId="0" xfId="42" applyFont="1"/>
    <xf numFmtId="39" fontId="23" fillId="0" borderId="0" xfId="35" applyFont="1" applyBorder="1" applyAlignment="1" applyProtection="1">
      <alignment vertical="center"/>
    </xf>
    <xf numFmtId="39" fontId="32" fillId="0" borderId="0" xfId="35" applyFont="1" applyBorder="1" applyAlignment="1">
      <alignment vertical="center"/>
    </xf>
    <xf numFmtId="39" fontId="30" fillId="0" borderId="0" xfId="35" applyNumberFormat="1" applyFont="1" applyBorder="1" applyAlignment="1" applyProtection="1">
      <alignment vertical="center" wrapText="1"/>
    </xf>
    <xf numFmtId="39" fontId="28" fillId="0" borderId="0" xfId="35" applyFont="1" applyBorder="1" applyAlignment="1">
      <alignment vertical="center"/>
    </xf>
    <xf numFmtId="0" fontId="27" fillId="0" borderId="0" xfId="14" applyNumberFormat="1" applyFont="1" applyFill="1" applyBorder="1" applyAlignment="1">
      <alignment horizontal="center"/>
    </xf>
    <xf numFmtId="39" fontId="26" fillId="0" borderId="0" xfId="28" applyFont="1" applyFill="1" applyBorder="1" applyAlignment="1">
      <alignment horizontal="center"/>
    </xf>
    <xf numFmtId="0" fontId="27" fillId="0" borderId="0" xfId="14" quotePrefix="1" applyNumberFormat="1" applyFont="1" applyFill="1" applyBorder="1" applyAlignment="1">
      <alignment horizontal="center"/>
    </xf>
    <xf numFmtId="39" fontId="41" fillId="0" borderId="0" xfId="35" applyFont="1" applyBorder="1"/>
    <xf numFmtId="39" fontId="22" fillId="0" borderId="0" xfId="35" applyFont="1" applyBorder="1" applyAlignment="1" applyProtection="1">
      <alignment horizontal="left"/>
    </xf>
    <xf numFmtId="0" fontId="45" fillId="0" borderId="0" xfId="14" applyNumberFormat="1" applyFont="1" applyFill="1" applyBorder="1" applyAlignment="1">
      <alignment horizontal="center"/>
    </xf>
    <xf numFmtId="39" fontId="22" fillId="0" borderId="0" xfId="35" applyFont="1" applyBorder="1"/>
    <xf numFmtId="39" fontId="44" fillId="0" borderId="0" xfId="40" applyFont="1"/>
    <xf numFmtId="39" fontId="43" fillId="0" borderId="0" xfId="42" applyFont="1"/>
    <xf numFmtId="39" fontId="24" fillId="0" borderId="0" xfId="35" applyNumberFormat="1" applyFont="1" applyBorder="1" applyAlignment="1" applyProtection="1">
      <alignment vertical="center" wrapText="1"/>
    </xf>
    <xf numFmtId="39" fontId="24" fillId="0" borderId="15" xfId="35" applyNumberFormat="1" applyFont="1" applyBorder="1" applyAlignment="1" applyProtection="1">
      <alignment vertical="center" wrapText="1"/>
    </xf>
    <xf numFmtId="39" fontId="28" fillId="0" borderId="16" xfId="35" applyFont="1" applyBorder="1" applyAlignment="1">
      <alignment vertical="center"/>
    </xf>
    <xf numFmtId="43" fontId="30" fillId="0" borderId="7" xfId="3" applyFont="1" applyBorder="1" applyProtection="1"/>
    <xf numFmtId="43" fontId="30" fillId="9" borderId="7" xfId="3" applyFont="1" applyFill="1" applyBorder="1" applyProtection="1"/>
    <xf numFmtId="39" fontId="30" fillId="0" borderId="9" xfId="3" applyNumberFormat="1" applyFont="1" applyBorder="1" applyProtection="1">
      <protection locked="0"/>
    </xf>
    <xf numFmtId="0" fontId="29" fillId="0" borderId="7" xfId="28" quotePrefix="1" applyNumberFormat="1" applyFont="1" applyFill="1" applyBorder="1" applyAlignment="1" applyProtection="1">
      <alignment horizontal="center"/>
    </xf>
    <xf numFmtId="39" fontId="30" fillId="0" borderId="7" xfId="28" applyFont="1" applyFill="1" applyBorder="1" applyAlignment="1" applyProtection="1"/>
    <xf numFmtId="39" fontId="30" fillId="0" borderId="10" xfId="28" applyFont="1" applyFill="1" applyBorder="1" applyAlignment="1" applyProtection="1"/>
    <xf numFmtId="0" fontId="45" fillId="0" borderId="0" xfId="14" quotePrefix="1" applyNumberFormat="1" applyFont="1" applyFill="1" applyBorder="1" applyAlignment="1">
      <alignment horizontal="center"/>
    </xf>
    <xf numFmtId="43" fontId="30" fillId="0" borderId="9" xfId="3" applyFont="1" applyBorder="1" applyProtection="1">
      <protection locked="0"/>
    </xf>
    <xf numFmtId="39" fontId="29" fillId="0" borderId="7" xfId="28" quotePrefix="1" applyFont="1" applyFill="1" applyBorder="1" applyAlignment="1" applyProtection="1">
      <alignment horizontal="center"/>
    </xf>
    <xf numFmtId="39" fontId="23" fillId="0" borderId="70" xfId="3" applyNumberFormat="1" applyFont="1" applyBorder="1" applyProtection="1">
      <protection locked="0"/>
    </xf>
    <xf numFmtId="43" fontId="23" fillId="0" borderId="70" xfId="3" applyFont="1" applyBorder="1" applyProtection="1">
      <protection locked="0"/>
    </xf>
    <xf numFmtId="0" fontId="117" fillId="0" borderId="71" xfId="14" quotePrefix="1" applyNumberFormat="1" applyFont="1" applyFill="1" applyBorder="1" applyAlignment="1">
      <alignment horizontal="center"/>
    </xf>
    <xf numFmtId="39" fontId="24" fillId="0" borderId="72" xfId="28" applyFont="1" applyFill="1" applyBorder="1" applyAlignment="1" applyProtection="1">
      <alignment horizontal="left"/>
    </xf>
    <xf numFmtId="39" fontId="30" fillId="0" borderId="73" xfId="28" applyFont="1" applyFill="1" applyBorder="1" applyAlignment="1" applyProtection="1">
      <alignment horizontal="left"/>
    </xf>
    <xf numFmtId="39" fontId="30" fillId="0" borderId="74" xfId="35" applyFont="1" applyFill="1" applyBorder="1" applyProtection="1"/>
    <xf numFmtId="43" fontId="30" fillId="0" borderId="74" xfId="3" applyFont="1" applyBorder="1" applyProtection="1"/>
    <xf numFmtId="43" fontId="30" fillId="0" borderId="55" xfId="3" applyFont="1" applyBorder="1" applyProtection="1"/>
    <xf numFmtId="43" fontId="30" fillId="9" borderId="74" xfId="3" applyFont="1" applyFill="1" applyBorder="1" applyProtection="1"/>
    <xf numFmtId="43" fontId="30" fillId="0" borderId="55" xfId="3" applyFont="1" applyBorder="1" applyProtection="1">
      <protection locked="0"/>
    </xf>
    <xf numFmtId="39" fontId="29" fillId="0" borderId="74" xfId="28" applyFont="1" applyFill="1" applyBorder="1" applyAlignment="1" applyProtection="1">
      <alignment horizontal="center"/>
    </xf>
    <xf numFmtId="39" fontId="30" fillId="0" borderId="74" xfId="28" applyFont="1" applyFill="1" applyBorder="1" applyAlignment="1" applyProtection="1">
      <alignment horizontal="left"/>
    </xf>
    <xf numFmtId="39" fontId="30" fillId="0" borderId="75" xfId="28" applyFont="1" applyFill="1" applyBorder="1" applyAlignment="1" applyProtection="1">
      <alignment horizontal="left"/>
    </xf>
    <xf numFmtId="39" fontId="30" fillId="0" borderId="7" xfId="28" applyFont="1" applyFill="1" applyBorder="1" applyAlignment="1" applyProtection="1">
      <alignment horizontal="left"/>
    </xf>
    <xf numFmtId="39" fontId="29" fillId="0" borderId="7" xfId="28" applyFont="1" applyFill="1" applyBorder="1" applyAlignment="1" applyProtection="1">
      <alignment horizontal="center"/>
    </xf>
    <xf numFmtId="39" fontId="30" fillId="0" borderId="13" xfId="35" applyFont="1" applyFill="1" applyBorder="1" applyProtection="1"/>
    <xf numFmtId="43" fontId="30" fillId="0" borderId="13" xfId="3" applyFont="1" applyBorder="1" applyProtection="1"/>
    <xf numFmtId="43" fontId="30" fillId="0" borderId="11" xfId="3" applyFont="1" applyBorder="1" applyProtection="1"/>
    <xf numFmtId="43" fontId="30" fillId="9" borderId="13" xfId="3" applyFont="1" applyFill="1" applyBorder="1" applyProtection="1"/>
    <xf numFmtId="43" fontId="30" fillId="0" borderId="11" xfId="3" applyFont="1" applyBorder="1" applyProtection="1">
      <protection locked="0"/>
    </xf>
    <xf numFmtId="0" fontId="45" fillId="0" borderId="18" xfId="14" applyNumberFormat="1" applyFont="1" applyFill="1" applyBorder="1" applyAlignment="1">
      <alignment horizontal="center"/>
    </xf>
    <xf numFmtId="39" fontId="30" fillId="0" borderId="13" xfId="28" applyFont="1" applyFill="1" applyBorder="1" applyAlignment="1" applyProtection="1">
      <alignment horizontal="left"/>
    </xf>
    <xf numFmtId="39" fontId="30" fillId="0" borderId="14" xfId="28" applyFont="1" applyFill="1" applyBorder="1" applyAlignment="1" applyProtection="1">
      <alignment horizontal="left"/>
    </xf>
    <xf numFmtId="0" fontId="32" fillId="0" borderId="2" xfId="50" applyFont="1" applyBorder="1" applyAlignment="1">
      <alignment horizontal="center"/>
    </xf>
    <xf numFmtId="0" fontId="38" fillId="0" borderId="9" xfId="50" quotePrefix="1" applyFont="1" applyBorder="1" applyAlignment="1">
      <alignment horizontal="center"/>
    </xf>
    <xf numFmtId="0" fontId="29" fillId="0" borderId="9" xfId="50" applyFont="1" applyBorder="1" applyAlignment="1">
      <alignment horizontal="center"/>
    </xf>
    <xf numFmtId="0" fontId="32" fillId="0" borderId="9" xfId="50" applyFont="1" applyBorder="1" applyAlignment="1">
      <alignment horizontal="center"/>
    </xf>
    <xf numFmtId="0" fontId="32" fillId="0" borderId="11" xfId="50" applyFont="1" applyBorder="1" applyAlignment="1">
      <alignment horizontal="center"/>
    </xf>
    <xf numFmtId="39" fontId="30" fillId="0" borderId="0" xfId="35" applyFont="1" applyFill="1" applyBorder="1" applyProtection="1"/>
    <xf numFmtId="43" fontId="30" fillId="0" borderId="0" xfId="3" applyFont="1" applyBorder="1" applyProtection="1">
      <protection locked="0"/>
    </xf>
    <xf numFmtId="39" fontId="30" fillId="0" borderId="0" xfId="28" quotePrefix="1" applyFont="1" applyBorder="1" applyAlignment="1" applyProtection="1">
      <alignment horizontal="left"/>
    </xf>
    <xf numFmtId="39" fontId="39" fillId="0" borderId="0" xfId="14" applyFont="1" applyFill="1" applyBorder="1" applyAlignment="1" applyProtection="1">
      <alignment horizontal="left"/>
    </xf>
    <xf numFmtId="39" fontId="30" fillId="0" borderId="8" xfId="35" applyFont="1" applyFill="1" applyBorder="1" applyProtection="1"/>
    <xf numFmtId="43" fontId="30" fillId="0" borderId="8" xfId="3" applyFont="1" applyBorder="1" applyProtection="1"/>
    <xf numFmtId="43" fontId="30" fillId="0" borderId="2" xfId="3" applyFont="1" applyBorder="1" applyProtection="1"/>
    <xf numFmtId="39" fontId="30" fillId="9" borderId="2" xfId="3" applyNumberFormat="1" applyFont="1" applyFill="1" applyBorder="1" applyProtection="1"/>
    <xf numFmtId="43" fontId="30" fillId="0" borderId="2" xfId="3" applyFont="1" applyBorder="1" applyProtection="1">
      <protection locked="0"/>
    </xf>
    <xf numFmtId="0" fontId="45" fillId="0" borderId="6" xfId="14" quotePrefix="1" applyNumberFormat="1" applyFont="1" applyFill="1" applyBorder="1" applyAlignment="1" applyProtection="1">
      <alignment horizontal="center"/>
    </xf>
    <xf numFmtId="39" fontId="30" fillId="0" borderId="8" xfId="28" quotePrefix="1" applyFont="1" applyBorder="1" applyAlignment="1" applyProtection="1">
      <alignment horizontal="left"/>
    </xf>
    <xf numFmtId="39" fontId="39" fillId="0" borderId="12" xfId="14" applyFont="1" applyFill="1" applyBorder="1" applyAlignment="1" applyProtection="1">
      <alignment horizontal="left"/>
    </xf>
    <xf numFmtId="39" fontId="30" fillId="9" borderId="7" xfId="3" applyNumberFormat="1" applyFont="1" applyFill="1" applyBorder="1" applyProtection="1"/>
    <xf numFmtId="39" fontId="30" fillId="0" borderId="7" xfId="28" quotePrefix="1" applyFont="1" applyBorder="1" applyAlignment="1" applyProtection="1">
      <alignment horizontal="left"/>
    </xf>
    <xf numFmtId="0" fontId="45" fillId="0" borderId="9" xfId="14" quotePrefix="1" applyNumberFormat="1" applyFont="1" applyFill="1" applyBorder="1" applyAlignment="1" applyProtection="1">
      <alignment horizontal="center"/>
    </xf>
    <xf numFmtId="0" fontId="45" fillId="0" borderId="9" xfId="14" applyNumberFormat="1" applyFont="1" applyFill="1" applyBorder="1" applyAlignment="1" applyProtection="1">
      <alignment horizontal="center"/>
    </xf>
    <xf numFmtId="39" fontId="39" fillId="0" borderId="7" xfId="14" applyFont="1" applyFill="1" applyBorder="1" applyAlignment="1" applyProtection="1">
      <alignment horizontal="left"/>
    </xf>
    <xf numFmtId="39" fontId="39" fillId="0" borderId="9" xfId="14" applyFont="1" applyFill="1" applyBorder="1" applyAlignment="1" applyProtection="1">
      <alignment horizontal="left"/>
    </xf>
    <xf numFmtId="39" fontId="30" fillId="0" borderId="7" xfId="3" applyNumberFormat="1" applyFont="1" applyBorder="1" applyProtection="1"/>
    <xf numFmtId="39" fontId="30" fillId="0" borderId="7" xfId="42" applyFont="1" applyBorder="1" applyProtection="1"/>
    <xf numFmtId="39" fontId="30" fillId="0" borderId="10" xfId="28" applyFont="1" applyBorder="1" applyAlignment="1"/>
    <xf numFmtId="39" fontId="30" fillId="0" borderId="13" xfId="28" applyFont="1" applyBorder="1" applyAlignment="1" applyProtection="1">
      <alignment horizontal="left"/>
    </xf>
    <xf numFmtId="39" fontId="30" fillId="0" borderId="14" xfId="28" applyFont="1" applyBorder="1" applyAlignment="1" applyProtection="1">
      <alignment horizontal="left"/>
    </xf>
    <xf numFmtId="43" fontId="23" fillId="9" borderId="3" xfId="3" applyFont="1" applyFill="1" applyBorder="1" applyAlignment="1" applyProtection="1">
      <alignment vertical="center"/>
    </xf>
    <xf numFmtId="39" fontId="32" fillId="0" borderId="3" xfId="35" applyFont="1" applyBorder="1" applyAlignment="1" applyProtection="1">
      <alignment horizontal="center" vertical="center"/>
    </xf>
    <xf numFmtId="39" fontId="28" fillId="0" borderId="13" xfId="35" applyFont="1" applyBorder="1" applyAlignment="1">
      <alignment vertical="center"/>
    </xf>
    <xf numFmtId="39" fontId="23" fillId="0" borderId="14" xfId="35" applyFont="1" applyBorder="1" applyAlignment="1" applyProtection="1">
      <alignment horizontal="left" vertical="center"/>
    </xf>
    <xf numFmtId="4" fontId="9" fillId="0" borderId="2" xfId="42" applyNumberFormat="1" applyFont="1" applyFill="1" applyBorder="1"/>
    <xf numFmtId="4" fontId="9" fillId="0" borderId="12" xfId="3" applyNumberFormat="1" applyFont="1" applyFill="1" applyBorder="1"/>
    <xf numFmtId="4" fontId="9" fillId="0" borderId="12" xfId="3" applyNumberFormat="1" applyFont="1" applyFill="1" applyBorder="1" applyProtection="1"/>
    <xf numFmtId="4" fontId="9" fillId="9" borderId="12" xfId="3" applyNumberFormat="1" applyFont="1" applyFill="1" applyBorder="1" applyProtection="1"/>
    <xf numFmtId="0" fontId="45" fillId="0" borderId="2" xfId="14" quotePrefix="1" applyNumberFormat="1" applyFont="1" applyFill="1" applyBorder="1" applyAlignment="1" applyProtection="1">
      <alignment horizontal="center"/>
    </xf>
    <xf numFmtId="39" fontId="30" fillId="0" borderId="6" xfId="28" applyFont="1" applyBorder="1" applyAlignment="1" applyProtection="1">
      <alignment horizontal="left"/>
    </xf>
    <xf numFmtId="39" fontId="30" fillId="0" borderId="12" xfId="28" applyFont="1" applyBorder="1" applyAlignment="1" applyProtection="1">
      <alignment horizontal="left"/>
    </xf>
    <xf numFmtId="4" fontId="9" fillId="0" borderId="9" xfId="42" applyNumberFormat="1" applyFont="1" applyFill="1" applyBorder="1"/>
    <xf numFmtId="4" fontId="9" fillId="0" borderId="10" xfId="3" applyNumberFormat="1" applyFont="1" applyFill="1" applyBorder="1"/>
    <xf numFmtId="4" fontId="9" fillId="0" borderId="10" xfId="3" applyNumberFormat="1" applyFont="1" applyFill="1" applyBorder="1" applyProtection="1"/>
    <xf numFmtId="4" fontId="9" fillId="9" borderId="10" xfId="3" applyNumberFormat="1" applyFont="1" applyFill="1" applyBorder="1" applyProtection="1"/>
    <xf numFmtId="39" fontId="30" fillId="0" borderId="0" xfId="28" applyFont="1" applyBorder="1" applyAlignment="1" applyProtection="1">
      <alignment horizontal="left"/>
    </xf>
    <xf numFmtId="39" fontId="30" fillId="0" borderId="0" xfId="28" applyFont="1" applyBorder="1" applyAlignment="1"/>
    <xf numFmtId="0" fontId="27" fillId="0" borderId="9" xfId="14" quotePrefix="1" applyNumberFormat="1" applyFont="1" applyFill="1" applyBorder="1" applyAlignment="1" applyProtection="1">
      <alignment horizontal="center" wrapText="1"/>
    </xf>
    <xf numFmtId="4" fontId="9" fillId="0" borderId="9" xfId="42" applyNumberFormat="1" applyFont="1" applyFill="1" applyBorder="1" applyProtection="1"/>
    <xf numFmtId="0" fontId="27" fillId="0" borderId="9" xfId="14" applyNumberFormat="1" applyFont="1" applyFill="1" applyBorder="1" applyAlignment="1" applyProtection="1">
      <alignment horizontal="center" wrapText="1"/>
    </xf>
    <xf numFmtId="39" fontId="26" fillId="0" borderId="9" xfId="28" applyFont="1" applyBorder="1" applyAlignment="1" applyProtection="1">
      <alignment horizontal="center" wrapText="1"/>
    </xf>
    <xf numFmtId="39" fontId="39" fillId="0" borderId="10" xfId="14" applyFont="1" applyBorder="1" applyAlignment="1" applyProtection="1">
      <alignment horizontal="left"/>
    </xf>
    <xf numFmtId="4" fontId="9" fillId="0" borderId="10" xfId="3" applyNumberFormat="1" applyFont="1" applyBorder="1" applyProtection="1"/>
    <xf numFmtId="4" fontId="9" fillId="0" borderId="9" xfId="28" applyNumberFormat="1" applyFont="1" applyFill="1" applyBorder="1" applyAlignment="1" applyProtection="1"/>
    <xf numFmtId="4" fontId="9" fillId="0" borderId="9" xfId="35" applyNumberFormat="1" applyFont="1" applyFill="1" applyBorder="1" applyProtection="1"/>
    <xf numFmtId="4" fontId="9" fillId="0" borderId="10" xfId="3" applyNumberFormat="1" applyFont="1" applyFill="1" applyBorder="1" applyAlignment="1" applyProtection="1">
      <alignment wrapText="1"/>
    </xf>
    <xf numFmtId="4" fontId="9" fillId="0" borderId="10" xfId="3" applyNumberFormat="1" applyFont="1" applyBorder="1" applyAlignment="1" applyProtection="1">
      <alignment wrapText="1"/>
      <protection locked="0"/>
    </xf>
    <xf numFmtId="39" fontId="9" fillId="0" borderId="11" xfId="35" applyFont="1" applyBorder="1" applyAlignment="1" applyProtection="1">
      <alignment horizontal="fill"/>
    </xf>
    <xf numFmtId="39" fontId="26" fillId="0" borderId="11" xfId="35" applyFont="1" applyBorder="1" applyAlignment="1" applyProtection="1">
      <alignment horizontal="fill" wrapText="1"/>
    </xf>
    <xf numFmtId="39" fontId="23" fillId="0" borderId="9" xfId="35" applyFont="1" applyFill="1" applyBorder="1" applyAlignment="1" applyProtection="1">
      <alignment wrapText="1"/>
    </xf>
    <xf numFmtId="39" fontId="32" fillId="0" borderId="9" xfId="35" applyFont="1" applyBorder="1" applyAlignment="1" applyProtection="1">
      <alignment horizontal="center"/>
    </xf>
    <xf numFmtId="39" fontId="23" fillId="0" borderId="11" xfId="35" applyFont="1" applyBorder="1"/>
    <xf numFmtId="39" fontId="32" fillId="0" borderId="9" xfId="35" applyFont="1" applyBorder="1"/>
    <xf numFmtId="39" fontId="9" fillId="0" borderId="0" xfId="35" applyFont="1" applyAlignment="1" applyProtection="1"/>
    <xf numFmtId="39" fontId="29" fillId="0" borderId="0" xfId="35" applyFont="1" applyAlignment="1" applyProtection="1"/>
    <xf numFmtId="0" fontId="118" fillId="0" borderId="0" xfId="52"/>
    <xf numFmtId="39" fontId="118" fillId="0" borderId="0" xfId="52" applyNumberFormat="1"/>
    <xf numFmtId="0" fontId="118" fillId="0" borderId="0" xfId="52" applyBorder="1"/>
    <xf numFmtId="0" fontId="62" fillId="0" borderId="0" xfId="52" applyFont="1"/>
    <xf numFmtId="39" fontId="62" fillId="0" borderId="0" xfId="52" applyNumberFormat="1" applyFont="1"/>
    <xf numFmtId="0" fontId="62" fillId="0" borderId="0" xfId="52" applyFont="1" applyBorder="1"/>
    <xf numFmtId="43" fontId="0" fillId="0" borderId="0" xfId="53" applyFont="1" applyBorder="1"/>
    <xf numFmtId="43" fontId="6" fillId="0" borderId="0" xfId="53" applyFont="1" applyBorder="1"/>
    <xf numFmtId="0" fontId="6" fillId="0" borderId="0" xfId="52" applyFont="1"/>
    <xf numFmtId="0" fontId="71" fillId="0" borderId="0" xfId="52" applyFont="1" applyAlignment="1">
      <alignment horizontal="center"/>
    </xf>
    <xf numFmtId="0" fontId="67" fillId="0" borderId="0" xfId="52" applyFont="1" applyAlignment="1">
      <alignment horizontal="center"/>
    </xf>
    <xf numFmtId="39" fontId="6" fillId="0" borderId="0" xfId="52" applyNumberFormat="1" applyFont="1"/>
    <xf numFmtId="0" fontId="6" fillId="0" borderId="0" xfId="52" applyFont="1" applyBorder="1"/>
    <xf numFmtId="0" fontId="118" fillId="0" borderId="0" xfId="52" applyFont="1"/>
    <xf numFmtId="39" fontId="119" fillId="0" borderId="0" xfId="37" applyFont="1" applyBorder="1" applyProtection="1"/>
    <xf numFmtId="39" fontId="118" fillId="0" borderId="0" xfId="52" applyNumberFormat="1" applyFont="1" applyBorder="1"/>
    <xf numFmtId="0" fontId="118" fillId="0" borderId="0" xfId="52" applyFont="1" applyBorder="1"/>
    <xf numFmtId="39" fontId="120" fillId="0" borderId="0" xfId="37" quotePrefix="1" applyFont="1" applyBorder="1" applyAlignment="1" applyProtection="1">
      <alignment horizontal="center"/>
    </xf>
    <xf numFmtId="39" fontId="120" fillId="0" borderId="0" xfId="37" applyFont="1" applyBorder="1" applyAlignment="1" applyProtection="1">
      <alignment horizontal="left"/>
    </xf>
    <xf numFmtId="39" fontId="120" fillId="0" borderId="0" xfId="37" applyFont="1" applyAlignment="1" applyProtection="1">
      <alignment horizontal="left"/>
    </xf>
    <xf numFmtId="0" fontId="9" fillId="0" borderId="0" xfId="52" applyFont="1"/>
    <xf numFmtId="39" fontId="23" fillId="0" borderId="0" xfId="54" applyFont="1" applyBorder="1" applyProtection="1"/>
    <xf numFmtId="39" fontId="23" fillId="0" borderId="0" xfId="37" applyFont="1" applyBorder="1" applyProtection="1"/>
    <xf numFmtId="39" fontId="23" fillId="0" borderId="0" xfId="37" applyNumberFormat="1" applyFont="1" applyBorder="1" applyProtection="1"/>
    <xf numFmtId="39" fontId="9" fillId="0" borderId="0" xfId="37" quotePrefix="1" applyFont="1" applyBorder="1" applyAlignment="1" applyProtection="1">
      <alignment horizontal="center"/>
    </xf>
    <xf numFmtId="39" fontId="23" fillId="0" borderId="0" xfId="37" applyFont="1" applyBorder="1" applyAlignment="1" applyProtection="1">
      <alignment horizontal="left"/>
    </xf>
    <xf numFmtId="39" fontId="9" fillId="0" borderId="0" xfId="37" applyFont="1" applyAlignment="1" applyProtection="1">
      <alignment horizontal="left"/>
    </xf>
    <xf numFmtId="39" fontId="23" fillId="0" borderId="3" xfId="54" applyFont="1" applyBorder="1" applyProtection="1"/>
    <xf numFmtId="39" fontId="23" fillId="0" borderId="3" xfId="37" applyFont="1" applyBorder="1" applyProtection="1"/>
    <xf numFmtId="39" fontId="23" fillId="0" borderId="3" xfId="37" applyNumberFormat="1" applyFont="1" applyBorder="1" applyProtection="1"/>
    <xf numFmtId="0" fontId="9" fillId="9" borderId="0" xfId="52" applyFont="1" applyFill="1"/>
    <xf numFmtId="39" fontId="9" fillId="9" borderId="3" xfId="54" applyFont="1" applyFill="1" applyBorder="1" applyProtection="1">
      <protection locked="0"/>
    </xf>
    <xf numFmtId="4" fontId="9" fillId="9" borderId="3" xfId="52" applyNumberFormat="1" applyFont="1" applyFill="1" applyBorder="1" applyAlignment="1">
      <alignment horizontal="right" vertical="center"/>
    </xf>
    <xf numFmtId="39" fontId="9" fillId="9" borderId="3" xfId="52" applyNumberFormat="1" applyFont="1" applyFill="1" applyBorder="1" applyAlignment="1">
      <alignment horizontal="right" vertical="center"/>
    </xf>
    <xf numFmtId="39" fontId="9" fillId="9" borderId="0" xfId="37" applyFont="1" applyFill="1" applyBorder="1" applyAlignment="1" applyProtection="1">
      <alignment horizontal="center"/>
    </xf>
    <xf numFmtId="39" fontId="9" fillId="9" borderId="0" xfId="54" applyFont="1" applyFill="1"/>
    <xf numFmtId="39" fontId="9" fillId="9" borderId="0" xfId="54" applyFont="1" applyFill="1" applyAlignment="1" applyProtection="1">
      <alignment horizontal="left"/>
    </xf>
    <xf numFmtId="39" fontId="9" fillId="9" borderId="0" xfId="37" quotePrefix="1" applyFont="1" applyFill="1" applyBorder="1" applyAlignment="1" applyProtection="1">
      <alignment horizontal="center"/>
    </xf>
    <xf numFmtId="0" fontId="118" fillId="0" borderId="3" xfId="52" applyBorder="1" applyAlignment="1">
      <alignment horizontal="center"/>
    </xf>
    <xf numFmtId="39" fontId="118" fillId="0" borderId="2" xfId="52" applyNumberFormat="1" applyBorder="1" applyAlignment="1">
      <alignment horizontal="center"/>
    </xf>
    <xf numFmtId="0" fontId="118" fillId="0" borderId="2" xfId="52" applyBorder="1" applyAlignment="1">
      <alignment horizontal="center"/>
    </xf>
    <xf numFmtId="0" fontId="67" fillId="0" borderId="0" xfId="52" applyFont="1"/>
    <xf numFmtId="0" fontId="64" fillId="23" borderId="2" xfId="52" applyFont="1" applyFill="1" applyBorder="1" applyAlignment="1">
      <alignment horizontal="center" vertical="center"/>
    </xf>
    <xf numFmtId="39" fontId="121" fillId="24" borderId="2" xfId="52" applyNumberFormat="1" applyFont="1" applyFill="1" applyBorder="1" applyAlignment="1">
      <alignment horizontal="center"/>
    </xf>
    <xf numFmtId="0" fontId="121" fillId="24" borderId="12" xfId="52" applyFont="1" applyFill="1" applyBorder="1" applyAlignment="1">
      <alignment horizontal="center"/>
    </xf>
    <xf numFmtId="0" fontId="64" fillId="23" borderId="9" xfId="52" applyFont="1" applyFill="1" applyBorder="1" applyAlignment="1">
      <alignment horizontal="center" vertical="center"/>
    </xf>
    <xf numFmtId="39" fontId="122" fillId="24" borderId="9" xfId="52" applyNumberFormat="1" applyFont="1" applyFill="1" applyBorder="1" applyAlignment="1">
      <alignment horizontal="center"/>
    </xf>
    <xf numFmtId="0" fontId="121" fillId="24" borderId="10" xfId="52" applyFont="1" applyFill="1" applyBorder="1" applyAlignment="1">
      <alignment horizontal="center"/>
    </xf>
    <xf numFmtId="39" fontId="122" fillId="24" borderId="11" xfId="52" applyNumberFormat="1" applyFont="1" applyFill="1" applyBorder="1" applyAlignment="1">
      <alignment horizontal="center"/>
    </xf>
    <xf numFmtId="0" fontId="121" fillId="24" borderId="14" xfId="52" applyFont="1" applyFill="1" applyBorder="1" applyAlignment="1">
      <alignment horizontal="center"/>
    </xf>
    <xf numFmtId="0" fontId="123" fillId="23" borderId="3" xfId="52" applyFont="1" applyFill="1" applyBorder="1" applyAlignment="1">
      <alignment horizontal="center"/>
    </xf>
    <xf numFmtId="0" fontId="125" fillId="0" borderId="0" xfId="52" applyFont="1" applyAlignment="1">
      <alignment horizontal="center"/>
    </xf>
    <xf numFmtId="39" fontId="125" fillId="0" borderId="0" xfId="52" applyNumberFormat="1" applyFont="1" applyAlignment="1">
      <alignment horizontal="center"/>
    </xf>
    <xf numFmtId="43" fontId="0" fillId="0" borderId="0" xfId="53" applyFont="1"/>
    <xf numFmtId="43" fontId="62" fillId="0" borderId="0" xfId="53" applyFont="1"/>
    <xf numFmtId="43" fontId="71" fillId="0" borderId="0" xfId="53" applyFont="1" applyAlignment="1">
      <alignment horizontal="center"/>
    </xf>
    <xf numFmtId="43" fontId="67" fillId="0" borderId="0" xfId="53" applyFont="1" applyAlignment="1">
      <alignment horizontal="center"/>
    </xf>
    <xf numFmtId="43" fontId="6" fillId="0" borderId="0" xfId="53" applyFont="1"/>
    <xf numFmtId="43" fontId="119" fillId="0" borderId="0" xfId="53" applyFont="1" applyBorder="1" applyProtection="1"/>
    <xf numFmtId="43" fontId="23" fillId="0" borderId="0" xfId="53" applyFont="1" applyBorder="1" applyProtection="1"/>
    <xf numFmtId="43" fontId="23" fillId="0" borderId="3" xfId="53" applyFont="1" applyBorder="1" applyProtection="1"/>
    <xf numFmtId="43" fontId="9" fillId="9" borderId="3" xfId="53" applyFont="1" applyFill="1" applyBorder="1" applyProtection="1">
      <protection locked="0"/>
    </xf>
    <xf numFmtId="39" fontId="30" fillId="9" borderId="0" xfId="54" applyFont="1" applyFill="1" applyAlignment="1" applyProtection="1">
      <alignment horizontal="left"/>
    </xf>
    <xf numFmtId="43" fontId="0" fillId="0" borderId="3" xfId="53" applyFont="1" applyBorder="1" applyAlignment="1">
      <alignment horizontal="center"/>
    </xf>
    <xf numFmtId="0" fontId="6" fillId="0" borderId="0" xfId="52" quotePrefix="1" applyFont="1" applyAlignment="1">
      <alignment horizontal="center"/>
    </xf>
    <xf numFmtId="43" fontId="125" fillId="0" borderId="0" xfId="53" applyFont="1" applyAlignment="1">
      <alignment horizontal="center"/>
    </xf>
    <xf numFmtId="43" fontId="9" fillId="0" borderId="3" xfId="53" applyFont="1" applyBorder="1" applyAlignment="1">
      <alignment horizontal="center"/>
    </xf>
    <xf numFmtId="0" fontId="127" fillId="0" borderId="0" xfId="0" applyFont="1" applyAlignment="1">
      <alignment horizontal="center"/>
    </xf>
    <xf numFmtId="39" fontId="128" fillId="0" borderId="0" xfId="40" applyFont="1" applyFill="1" applyBorder="1" applyAlignment="1">
      <alignment horizontal="center"/>
    </xf>
    <xf numFmtId="0" fontId="18" fillId="0" borderId="0" xfId="0" applyFont="1" applyBorder="1"/>
    <xf numFmtId="0" fontId="0" fillId="0" borderId="0" xfId="0" applyFill="1"/>
    <xf numFmtId="39" fontId="128" fillId="0" borderId="0" xfId="40" applyFont="1" applyFill="1" applyAlignment="1">
      <alignment horizontal="center"/>
    </xf>
    <xf numFmtId="39" fontId="21" fillId="0" borderId="0" xfId="40" applyFont="1" applyFill="1" applyAlignment="1">
      <alignment horizontal="center"/>
    </xf>
    <xf numFmtId="0" fontId="18" fillId="0" borderId="0" xfId="0" applyFont="1" applyFill="1"/>
    <xf numFmtId="39" fontId="21" fillId="0" borderId="0" xfId="42" applyFont="1" applyFill="1"/>
    <xf numFmtId="39" fontId="9" fillId="0" borderId="0" xfId="35" applyFont="1" applyFill="1"/>
    <xf numFmtId="39" fontId="9" fillId="0" borderId="0" xfId="35" applyFont="1" applyFill="1" applyAlignment="1" applyProtection="1">
      <alignment horizontal="center"/>
    </xf>
    <xf numFmtId="0" fontId="9" fillId="0" borderId="0" xfId="0" applyFont="1" applyFill="1"/>
    <xf numFmtId="0" fontId="1" fillId="0" borderId="0" xfId="0" applyFont="1" applyFill="1"/>
    <xf numFmtId="39" fontId="129" fillId="0" borderId="0" xfId="40" applyFont="1" applyFill="1"/>
    <xf numFmtId="39" fontId="130" fillId="0" borderId="0" xfId="40" applyFont="1" applyFill="1" applyAlignment="1">
      <alignment horizontal="center"/>
    </xf>
    <xf numFmtId="39" fontId="48" fillId="0" borderId="0" xfId="35" applyFont="1" applyFill="1"/>
    <xf numFmtId="39" fontId="48" fillId="0" borderId="0" xfId="35" applyFont="1" applyFill="1" applyAlignment="1" applyProtection="1">
      <alignment horizontal="center"/>
    </xf>
    <xf numFmtId="0" fontId="48" fillId="0" borderId="0" xfId="0" applyFont="1" applyFill="1"/>
    <xf numFmtId="39" fontId="23" fillId="0" borderId="0" xfId="35" applyFont="1" applyFill="1" applyBorder="1" applyAlignment="1" applyProtection="1">
      <alignment vertical="center"/>
    </xf>
    <xf numFmtId="39" fontId="28" fillId="0" borderId="0" xfId="35" applyFont="1" applyFill="1" applyBorder="1" applyAlignment="1" applyProtection="1">
      <alignment vertical="center"/>
    </xf>
    <xf numFmtId="39" fontId="26" fillId="0" borderId="0" xfId="35" applyFont="1" applyFill="1" applyBorder="1" applyAlignment="1" applyProtection="1">
      <alignment vertical="center"/>
    </xf>
    <xf numFmtId="39" fontId="24" fillId="0" borderId="0" xfId="35" applyFont="1" applyFill="1" applyBorder="1" applyAlignment="1" applyProtection="1">
      <alignment vertical="center"/>
    </xf>
    <xf numFmtId="39" fontId="23" fillId="0" borderId="0" xfId="35" applyFont="1" applyFill="1" applyBorder="1" applyAlignment="1" applyProtection="1">
      <alignment horizontal="center" vertical="center"/>
    </xf>
    <xf numFmtId="39" fontId="41" fillId="0" borderId="0" xfId="35" applyFont="1" applyFill="1" applyBorder="1" applyAlignment="1" applyProtection="1">
      <alignment horizontal="left" vertical="center"/>
    </xf>
    <xf numFmtId="39" fontId="128" fillId="0" borderId="10" xfId="40" applyFont="1" applyFill="1" applyBorder="1" applyAlignment="1">
      <alignment horizontal="center"/>
    </xf>
    <xf numFmtId="39" fontId="24" fillId="0" borderId="2" xfId="35" applyFont="1" applyFill="1" applyBorder="1" applyAlignment="1" applyProtection="1">
      <alignment vertical="center"/>
    </xf>
    <xf numFmtId="39" fontId="24" fillId="0" borderId="12" xfId="35" applyFont="1" applyFill="1" applyBorder="1" applyAlignment="1" applyProtection="1">
      <alignment vertical="center"/>
    </xf>
    <xf numFmtId="39" fontId="23" fillId="0" borderId="12" xfId="35" applyFont="1" applyFill="1" applyBorder="1" applyAlignment="1">
      <alignment vertical="center"/>
    </xf>
    <xf numFmtId="39" fontId="23" fillId="0" borderId="6" xfId="35" applyFont="1" applyFill="1" applyBorder="1" applyAlignment="1" applyProtection="1">
      <alignment horizontal="center" vertical="center"/>
    </xf>
    <xf numFmtId="39" fontId="41" fillId="0" borderId="12" xfId="35" applyFont="1" applyFill="1" applyBorder="1" applyAlignment="1" applyProtection="1">
      <alignment horizontal="left" vertical="center"/>
    </xf>
    <xf numFmtId="39" fontId="30" fillId="0" borderId="3" xfId="35" applyFont="1" applyFill="1" applyBorder="1" applyProtection="1"/>
    <xf numFmtId="39" fontId="30" fillId="0" borderId="5" xfId="35" applyFont="1" applyFill="1" applyBorder="1" applyProtection="1"/>
    <xf numFmtId="39" fontId="9" fillId="0" borderId="5" xfId="35" applyFont="1" applyFill="1" applyBorder="1" applyProtection="1"/>
    <xf numFmtId="39" fontId="9" fillId="0" borderId="5" xfId="35" applyFont="1" applyFill="1" applyBorder="1" applyProtection="1">
      <protection locked="0"/>
    </xf>
    <xf numFmtId="39" fontId="26" fillId="0" borderId="5" xfId="35" applyFont="1" applyFill="1" applyBorder="1" applyAlignment="1" applyProtection="1">
      <alignment horizontal="center"/>
    </xf>
    <xf numFmtId="39" fontId="30" fillId="0" borderId="19" xfId="35" applyFont="1" applyFill="1" applyBorder="1"/>
    <xf numFmtId="39" fontId="9" fillId="0" borderId="5" xfId="42" applyFont="1" applyFill="1" applyBorder="1" applyAlignment="1" applyProtection="1">
      <alignment horizontal="left"/>
    </xf>
    <xf numFmtId="39" fontId="24" fillId="0" borderId="2" xfId="35" applyFont="1" applyFill="1" applyBorder="1" applyProtection="1">
      <protection locked="0"/>
    </xf>
    <xf numFmtId="39" fontId="24" fillId="0" borderId="12" xfId="35" applyFont="1" applyFill="1" applyBorder="1" applyProtection="1">
      <protection locked="0"/>
    </xf>
    <xf numFmtId="39" fontId="26" fillId="0" borderId="12" xfId="35" quotePrefix="1" applyFont="1" applyFill="1" applyBorder="1" applyAlignment="1" applyProtection="1">
      <alignment horizontal="center"/>
    </xf>
    <xf numFmtId="39" fontId="46" fillId="0" borderId="6" xfId="35" applyFont="1" applyFill="1" applyBorder="1"/>
    <xf numFmtId="39" fontId="46" fillId="0" borderId="12" xfId="42" applyFont="1" applyFill="1" applyBorder="1" applyAlignment="1" applyProtection="1">
      <alignment horizontal="left"/>
    </xf>
    <xf numFmtId="39" fontId="24" fillId="0" borderId="12" xfId="35" applyFont="1" applyFill="1" applyBorder="1" applyProtection="1"/>
    <xf numFmtId="39" fontId="26" fillId="0" borderId="12" xfId="35" applyFont="1" applyFill="1" applyBorder="1" applyAlignment="1" applyProtection="1">
      <alignment horizontal="center"/>
    </xf>
    <xf numFmtId="39" fontId="24" fillId="0" borderId="3" xfId="35" applyFont="1" applyFill="1" applyBorder="1" applyProtection="1">
      <protection locked="0"/>
    </xf>
    <xf numFmtId="39" fontId="24" fillId="0" borderId="5" xfId="35" applyFont="1" applyFill="1" applyBorder="1" applyProtection="1">
      <protection locked="0"/>
    </xf>
    <xf numFmtId="39" fontId="26" fillId="0" borderId="5" xfId="35" quotePrefix="1" applyFont="1" applyFill="1" applyBorder="1" applyAlignment="1" applyProtection="1">
      <alignment horizontal="center"/>
    </xf>
    <xf numFmtId="39" fontId="46" fillId="0" borderId="19" xfId="35" applyFont="1" applyFill="1" applyBorder="1"/>
    <xf numFmtId="39" fontId="46" fillId="0" borderId="5" xfId="42" applyFont="1" applyFill="1" applyBorder="1" applyAlignment="1" applyProtection="1">
      <alignment horizontal="left"/>
    </xf>
    <xf numFmtId="39" fontId="30" fillId="0" borderId="9" xfId="35" applyFont="1" applyFill="1" applyBorder="1" applyProtection="1"/>
    <xf numFmtId="39" fontId="30" fillId="0" borderId="10" xfId="35" applyFont="1" applyFill="1" applyBorder="1" applyProtection="1"/>
    <xf numFmtId="39" fontId="9" fillId="0" borderId="10" xfId="35" applyFont="1" applyFill="1" applyBorder="1" applyProtection="1">
      <protection locked="0"/>
    </xf>
    <xf numFmtId="0" fontId="27" fillId="0" borderId="10" xfId="14" applyNumberFormat="1" applyFont="1" applyFill="1" applyBorder="1" applyAlignment="1" applyProtection="1">
      <alignment horizontal="center"/>
    </xf>
    <xf numFmtId="4" fontId="9" fillId="0" borderId="0" xfId="0" applyNumberFormat="1" applyFont="1" applyFill="1" applyBorder="1"/>
    <xf numFmtId="0" fontId="30" fillId="0" borderId="10" xfId="0" applyFont="1" applyFill="1" applyBorder="1"/>
    <xf numFmtId="0" fontId="26" fillId="0" borderId="10" xfId="0" applyFont="1" applyFill="1" applyBorder="1"/>
    <xf numFmtId="0" fontId="9" fillId="0" borderId="10" xfId="0" applyFont="1" applyFill="1" applyBorder="1"/>
    <xf numFmtId="0" fontId="0" fillId="0" borderId="10" xfId="0" applyFill="1" applyBorder="1"/>
    <xf numFmtId="4" fontId="26" fillId="0" borderId="0" xfId="0" applyNumberFormat="1" applyFont="1" applyFill="1" applyBorder="1"/>
    <xf numFmtId="39" fontId="26" fillId="0" borderId="10" xfId="35" applyFont="1" applyFill="1" applyBorder="1" applyAlignment="1" applyProtection="1">
      <alignment horizontal="center"/>
    </xf>
    <xf numFmtId="39" fontId="30" fillId="0" borderId="0" xfId="35" applyFont="1" applyFill="1" applyBorder="1"/>
    <xf numFmtId="39" fontId="9" fillId="0" borderId="0" xfId="46" applyFont="1" applyFill="1" applyBorder="1" applyAlignment="1" applyProtection="1">
      <alignment horizontal="left"/>
    </xf>
    <xf numFmtId="39" fontId="30" fillId="0" borderId="10" xfId="46" applyFont="1" applyFill="1" applyBorder="1" applyAlignment="1" applyProtection="1">
      <alignment horizontal="left"/>
    </xf>
    <xf numFmtId="39" fontId="0" fillId="0" borderId="0" xfId="0" applyNumberFormat="1" applyFill="1"/>
    <xf numFmtId="39" fontId="30" fillId="0" borderId="9" xfId="35" applyFont="1" applyFill="1" applyBorder="1" applyAlignment="1" applyProtection="1">
      <alignment vertical="center"/>
    </xf>
    <xf numFmtId="39" fontId="30" fillId="0" borderId="10" xfId="35" applyFont="1" applyFill="1" applyBorder="1" applyAlignment="1" applyProtection="1">
      <alignment vertical="center"/>
    </xf>
    <xf numFmtId="39" fontId="9" fillId="0" borderId="10" xfId="35" applyFont="1" applyFill="1" applyBorder="1" applyAlignment="1" applyProtection="1">
      <alignment vertical="center"/>
    </xf>
    <xf numFmtId="0" fontId="18" fillId="0" borderId="0" xfId="40" applyNumberFormat="1" applyFont="1" applyFill="1" applyAlignment="1">
      <alignment horizontal="center"/>
    </xf>
    <xf numFmtId="39" fontId="9" fillId="0" borderId="10" xfId="42" applyFont="1" applyFill="1" applyBorder="1" applyAlignment="1" applyProtection="1">
      <alignment horizontal="left"/>
    </xf>
    <xf numFmtId="39" fontId="30" fillId="0" borderId="11" xfId="35" applyFont="1" applyFill="1" applyBorder="1" applyProtection="1"/>
    <xf numFmtId="39" fontId="30" fillId="0" borderId="14" xfId="35" applyFont="1" applyFill="1" applyBorder="1" applyProtection="1"/>
    <xf numFmtId="39" fontId="9" fillId="0" borderId="14" xfId="35" applyFont="1" applyFill="1" applyBorder="1" applyProtection="1"/>
    <xf numFmtId="39" fontId="9" fillId="0" borderId="14" xfId="35" applyFont="1" applyFill="1" applyBorder="1" applyProtection="1">
      <protection locked="0"/>
    </xf>
    <xf numFmtId="39" fontId="26" fillId="0" borderId="14" xfId="35" applyFont="1" applyFill="1" applyBorder="1" applyAlignment="1" applyProtection="1">
      <alignment horizontal="center"/>
    </xf>
    <xf numFmtId="4" fontId="9" fillId="0" borderId="18" xfId="0" applyNumberFormat="1" applyFont="1" applyFill="1" applyBorder="1"/>
    <xf numFmtId="0" fontId="9" fillId="0" borderId="14" xfId="0" applyFont="1" applyFill="1" applyBorder="1"/>
    <xf numFmtId="39" fontId="24" fillId="9" borderId="19" xfId="35" applyFont="1" applyFill="1" applyBorder="1" applyAlignment="1" applyProtection="1">
      <alignment vertical="center"/>
    </xf>
    <xf numFmtId="39" fontId="23" fillId="0" borderId="19" xfId="35" applyFont="1" applyBorder="1" applyAlignment="1">
      <alignment vertical="center"/>
    </xf>
    <xf numFmtId="39" fontId="23" fillId="9" borderId="4" xfId="35" applyFont="1" applyFill="1" applyBorder="1" applyAlignment="1" applyProtection="1">
      <alignment vertical="center"/>
    </xf>
    <xf numFmtId="39" fontId="23" fillId="9" borderId="19" xfId="35" applyFont="1" applyFill="1" applyBorder="1" applyAlignment="1" applyProtection="1">
      <alignment vertical="center"/>
    </xf>
    <xf numFmtId="0" fontId="0" fillId="0" borderId="0" xfId="0" applyAlignment="1">
      <alignment vertical="center"/>
    </xf>
    <xf numFmtId="39" fontId="18" fillId="0" borderId="0" xfId="40" applyFont="1" applyFill="1" applyAlignment="1">
      <alignment vertical="center"/>
    </xf>
    <xf numFmtId="39" fontId="128" fillId="0" borderId="0" xfId="40" applyFont="1" applyFill="1" applyAlignment="1">
      <alignment horizontal="center" vertical="center"/>
    </xf>
    <xf numFmtId="0" fontId="26" fillId="0" borderId="2" xfId="0" quotePrefix="1" applyFont="1" applyBorder="1" applyAlignment="1" applyProtection="1">
      <alignment horizontal="center" vertical="center"/>
    </xf>
    <xf numFmtId="0" fontId="28" fillId="0" borderId="2" xfId="0" applyFont="1" applyBorder="1" applyAlignment="1">
      <alignment horizontal="center" vertical="center"/>
    </xf>
    <xf numFmtId="0" fontId="28" fillId="0" borderId="9" xfId="0" quotePrefix="1" applyFont="1" applyBorder="1" applyAlignment="1">
      <alignment horizontal="center" vertical="center"/>
    </xf>
    <xf numFmtId="0" fontId="28" fillId="0" borderId="11" xfId="0" quotePrefix="1" applyFont="1" applyBorder="1" applyAlignment="1">
      <alignment horizontal="center" vertical="center"/>
    </xf>
    <xf numFmtId="0" fontId="28" fillId="0" borderId="11" xfId="0" applyFont="1" applyBorder="1" applyAlignment="1">
      <alignment horizontal="center" vertical="center"/>
    </xf>
    <xf numFmtId="0" fontId="28" fillId="0" borderId="9" xfId="0" applyFont="1" applyBorder="1" applyAlignment="1">
      <alignment horizontal="center" vertical="center"/>
    </xf>
    <xf numFmtId="0" fontId="28" fillId="0" borderId="11" xfId="0" applyFont="1" applyFill="1" applyBorder="1" applyAlignment="1">
      <alignment horizontal="center" vertical="center"/>
    </xf>
    <xf numFmtId="39" fontId="9" fillId="0" borderId="0" xfId="35" applyFont="1" applyBorder="1"/>
    <xf numFmtId="39" fontId="18" fillId="0" borderId="0" xfId="40" applyFont="1" applyFill="1" applyAlignment="1"/>
    <xf numFmtId="39" fontId="5" fillId="0" borderId="0" xfId="35" applyFont="1" applyAlignment="1" applyProtection="1"/>
    <xf numFmtId="39" fontId="131" fillId="0" borderId="0" xfId="35" applyFont="1" applyAlignment="1" applyProtection="1">
      <alignment horizontal="center"/>
    </xf>
    <xf numFmtId="39" fontId="132" fillId="0" borderId="0" xfId="35" applyFont="1" applyFill="1" applyBorder="1" applyAlignment="1">
      <alignment horizontal="center"/>
    </xf>
    <xf numFmtId="39" fontId="30" fillId="9" borderId="0" xfId="35" applyFont="1" applyFill="1" applyBorder="1"/>
    <xf numFmtId="0" fontId="133" fillId="0" borderId="0" xfId="0" applyFont="1"/>
    <xf numFmtId="43" fontId="0" fillId="0" borderId="0" xfId="1" applyFont="1"/>
    <xf numFmtId="39" fontId="134" fillId="0" borderId="0" xfId="40" applyFont="1" applyBorder="1" applyAlignment="1">
      <alignment horizontal="center"/>
    </xf>
    <xf numFmtId="39" fontId="20" fillId="0" borderId="0" xfId="40" applyFont="1" applyBorder="1"/>
    <xf numFmtId="39" fontId="30" fillId="0" borderId="0" xfId="35" applyFont="1" applyBorder="1" applyAlignment="1" applyProtection="1">
      <alignment vertical="center"/>
    </xf>
    <xf numFmtId="39" fontId="24" fillId="0" borderId="3" xfId="35" applyFont="1" applyBorder="1" applyAlignment="1" applyProtection="1">
      <alignment vertical="center"/>
    </xf>
    <xf numFmtId="39" fontId="28" fillId="0" borderId="2" xfId="35" applyFont="1" applyBorder="1" applyAlignment="1">
      <alignment vertical="center"/>
    </xf>
    <xf numFmtId="39" fontId="23" fillId="0" borderId="6" xfId="35" applyFont="1" applyBorder="1" applyAlignment="1" applyProtection="1">
      <alignment horizontal="center" vertical="center"/>
    </xf>
    <xf numFmtId="39" fontId="41" fillId="0" borderId="12" xfId="35" applyFont="1" applyBorder="1" applyAlignment="1" applyProtection="1">
      <alignment horizontal="center" vertical="center"/>
    </xf>
    <xf numFmtId="0" fontId="0" fillId="0" borderId="0" xfId="0" applyAlignment="1">
      <alignment horizontal="center" vertical="center"/>
    </xf>
    <xf numFmtId="39" fontId="18" fillId="0" borderId="0" xfId="40" applyFont="1" applyFill="1" applyAlignment="1">
      <alignment horizontal="center" vertical="center"/>
    </xf>
    <xf numFmtId="39" fontId="128" fillId="0" borderId="0" xfId="40" applyFont="1" applyFill="1" applyBorder="1" applyAlignment="1">
      <alignment horizontal="center" vertical="center"/>
    </xf>
    <xf numFmtId="39" fontId="24" fillId="0" borderId="2" xfId="35" applyFont="1" applyBorder="1" applyAlignment="1" applyProtection="1">
      <alignment horizontal="center" vertical="center"/>
      <protection locked="0"/>
    </xf>
    <xf numFmtId="0" fontId="27" fillId="0" borderId="2" xfId="14" applyNumberFormat="1" applyFont="1" applyFill="1" applyBorder="1" applyAlignment="1" applyProtection="1">
      <alignment horizontal="center" vertical="center"/>
    </xf>
    <xf numFmtId="39" fontId="9" fillId="0" borderId="6" xfId="35" applyFont="1" applyBorder="1" applyAlignment="1">
      <alignment horizontal="center" vertical="center"/>
    </xf>
    <xf numFmtId="39" fontId="30" fillId="0" borderId="6" xfId="35" applyFont="1" applyFill="1" applyBorder="1"/>
    <xf numFmtId="39" fontId="9" fillId="0" borderId="12" xfId="42" applyFont="1" applyFill="1" applyBorder="1" applyAlignment="1" applyProtection="1">
      <alignment horizontal="left"/>
    </xf>
    <xf numFmtId="39" fontId="24" fillId="0" borderId="11" xfId="35" applyFont="1" applyBorder="1" applyAlignment="1" applyProtection="1">
      <alignment horizontal="center" vertical="center"/>
      <protection locked="0"/>
    </xf>
    <xf numFmtId="39" fontId="24" fillId="0" borderId="18" xfId="35" applyFont="1" applyBorder="1" applyAlignment="1" applyProtection="1">
      <alignment horizontal="center" vertical="center"/>
      <protection locked="0"/>
    </xf>
    <xf numFmtId="0" fontId="27" fillId="0" borderId="18" xfId="14" applyNumberFormat="1" applyFont="1" applyFill="1" applyBorder="1" applyAlignment="1" applyProtection="1">
      <alignment horizontal="center" vertical="center"/>
    </xf>
    <xf numFmtId="39" fontId="9" fillId="0" borderId="13" xfId="35" applyFont="1" applyBorder="1" applyAlignment="1">
      <alignment horizontal="center" vertical="center"/>
    </xf>
    <xf numFmtId="0" fontId="27" fillId="0" borderId="11" xfId="14" applyNumberFormat="1" applyFont="1" applyFill="1" applyBorder="1" applyAlignment="1" applyProtection="1">
      <alignment horizontal="center" vertical="center"/>
    </xf>
    <xf numFmtId="39" fontId="9" fillId="0" borderId="18" xfId="35" applyFont="1" applyBorder="1" applyAlignment="1">
      <alignment horizontal="center" vertical="center"/>
    </xf>
    <xf numFmtId="39" fontId="24" fillId="0" borderId="14" xfId="35" applyFont="1" applyBorder="1" applyAlignment="1" applyProtection="1">
      <alignment horizontal="left" vertical="center"/>
    </xf>
    <xf numFmtId="39" fontId="9" fillId="0" borderId="0" xfId="35" applyFont="1" applyFill="1" applyBorder="1" applyProtection="1">
      <protection locked="0"/>
    </xf>
    <xf numFmtId="39" fontId="24" fillId="9" borderId="13" xfId="35" applyFont="1" applyFill="1" applyBorder="1" applyAlignment="1" applyProtection="1">
      <alignment vertical="center"/>
    </xf>
    <xf numFmtId="39" fontId="24" fillId="9" borderId="11" xfId="35" applyFont="1" applyFill="1" applyBorder="1" applyAlignment="1" applyProtection="1">
      <alignment vertical="center"/>
    </xf>
    <xf numFmtId="39" fontId="24" fillId="9" borderId="18" xfId="35" applyFont="1" applyFill="1" applyBorder="1" applyAlignment="1" applyProtection="1">
      <alignment vertical="center"/>
    </xf>
    <xf numFmtId="39" fontId="28" fillId="0" borderId="11" xfId="35" applyFont="1" applyBorder="1" applyAlignment="1" applyProtection="1">
      <alignment horizontal="center" vertical="center"/>
    </xf>
    <xf numFmtId="39" fontId="23" fillId="0" borderId="18" xfId="35" applyFont="1" applyBorder="1" applyAlignment="1">
      <alignment vertical="center"/>
    </xf>
    <xf numFmtId="39" fontId="28" fillId="0" borderId="3" xfId="35" applyFont="1" applyBorder="1" applyAlignment="1" applyProtection="1">
      <alignment horizontal="center" vertical="center"/>
    </xf>
    <xf numFmtId="39" fontId="26" fillId="0" borderId="0" xfId="35" quotePrefix="1" applyFont="1" applyBorder="1" applyAlignment="1" applyProtection="1">
      <alignment horizontal="center"/>
    </xf>
    <xf numFmtId="39" fontId="16" fillId="0" borderId="0" xfId="35" applyFont="1" applyFill="1" applyBorder="1"/>
    <xf numFmtId="43" fontId="21" fillId="0" borderId="0" xfId="3" applyFont="1" applyBorder="1"/>
    <xf numFmtId="0" fontId="21" fillId="0" borderId="0" xfId="50" applyFont="1" applyFill="1" applyBorder="1"/>
    <xf numFmtId="39" fontId="21" fillId="0" borderId="0" xfId="41" applyFont="1" applyAlignment="1" applyProtection="1">
      <alignment horizontal="left"/>
    </xf>
    <xf numFmtId="39" fontId="23" fillId="0" borderId="0" xfId="42" applyFont="1" applyAlignment="1">
      <alignment horizontal="left"/>
    </xf>
    <xf numFmtId="0" fontId="9" fillId="0" borderId="0" xfId="50" applyFont="1"/>
    <xf numFmtId="39" fontId="26" fillId="0" borderId="9" xfId="42" applyFont="1" applyFill="1" applyBorder="1" applyProtection="1"/>
    <xf numFmtId="39" fontId="26" fillId="0" borderId="9" xfId="35" applyFont="1" applyBorder="1" applyProtection="1"/>
    <xf numFmtId="39" fontId="26" fillId="9" borderId="9" xfId="35" applyFont="1" applyFill="1" applyBorder="1" applyProtection="1"/>
    <xf numFmtId="0" fontId="27" fillId="0" borderId="7" xfId="14" quotePrefix="1" applyNumberFormat="1" applyFont="1" applyFill="1" applyBorder="1" applyAlignment="1">
      <alignment horizontal="center"/>
    </xf>
    <xf numFmtId="39" fontId="26" fillId="0" borderId="7" xfId="55" applyFont="1" applyBorder="1" applyAlignment="1">
      <alignment shrinkToFit="1"/>
    </xf>
    <xf numFmtId="39" fontId="27" fillId="0" borderId="10" xfId="14" applyFont="1" applyFill="1" applyBorder="1" applyAlignment="1" applyProtection="1"/>
    <xf numFmtId="39" fontId="30" fillId="0" borderId="2" xfId="42" applyFont="1" applyFill="1" applyBorder="1" applyProtection="1"/>
    <xf numFmtId="39" fontId="30" fillId="0" borderId="2" xfId="42" applyFont="1" applyBorder="1" applyProtection="1"/>
    <xf numFmtId="39" fontId="30" fillId="0" borderId="2" xfId="35" applyFont="1" applyBorder="1" applyProtection="1"/>
    <xf numFmtId="39" fontId="30" fillId="9" borderId="2" xfId="35" applyFont="1" applyFill="1" applyBorder="1" applyProtection="1"/>
    <xf numFmtId="39" fontId="30" fillId="0" borderId="6" xfId="35" applyFont="1" applyBorder="1" applyProtection="1">
      <protection locked="0"/>
    </xf>
    <xf numFmtId="0" fontId="27" fillId="0" borderId="2" xfId="14" quotePrefix="1" applyNumberFormat="1" applyFont="1" applyFill="1" applyBorder="1" applyAlignment="1">
      <alignment horizontal="center"/>
    </xf>
    <xf numFmtId="39" fontId="30" fillId="0" borderId="8" xfId="55" applyFont="1" applyBorder="1" applyAlignment="1">
      <alignment horizontal="left" shrinkToFit="1"/>
    </xf>
    <xf numFmtId="39" fontId="30" fillId="0" borderId="9" xfId="42" applyFont="1" applyBorder="1" applyProtection="1"/>
    <xf numFmtId="39" fontId="30" fillId="9" borderId="9" xfId="35" applyFont="1" applyFill="1" applyBorder="1" applyProtection="1"/>
    <xf numFmtId="39" fontId="30" fillId="0" borderId="0" xfId="35" applyFont="1" applyBorder="1" applyProtection="1">
      <protection locked="0"/>
    </xf>
    <xf numFmtId="39" fontId="39" fillId="0" borderId="7" xfId="14" applyFont="1" applyBorder="1" applyAlignment="1"/>
    <xf numFmtId="39" fontId="39" fillId="0" borderId="10" xfId="14" applyFont="1" applyBorder="1" applyAlignment="1"/>
    <xf numFmtId="0" fontId="27" fillId="0" borderId="9" xfId="14" quotePrefix="1" applyNumberFormat="1" applyFont="1" applyFill="1" applyBorder="1" applyAlignment="1">
      <alignment horizontal="center"/>
    </xf>
    <xf numFmtId="39" fontId="29" fillId="0" borderId="7" xfId="55" applyFont="1" applyBorder="1" applyAlignment="1">
      <alignment horizontal="center"/>
    </xf>
    <xf numFmtId="39" fontId="39" fillId="0" borderId="10" xfId="14" applyFont="1" applyBorder="1" applyAlignment="1">
      <alignment horizontal="center"/>
    </xf>
    <xf numFmtId="39" fontId="39" fillId="0" borderId="7" xfId="14" applyFont="1" applyFill="1" applyBorder="1" applyAlignment="1"/>
    <xf numFmtId="39" fontId="39" fillId="0" borderId="10" xfId="14" applyFont="1" applyFill="1" applyBorder="1" applyAlignment="1"/>
    <xf numFmtId="39" fontId="26" fillId="0" borderId="9" xfId="35" applyFont="1" applyBorder="1" applyAlignment="1">
      <alignment vertical="center"/>
    </xf>
    <xf numFmtId="4" fontId="30" fillId="9" borderId="9" xfId="3" applyNumberFormat="1" applyFont="1" applyFill="1" applyBorder="1" applyProtection="1"/>
    <xf numFmtId="4" fontId="30" fillId="9" borderId="9" xfId="35" applyNumberFormat="1" applyFont="1" applyFill="1" applyBorder="1" applyProtection="1"/>
    <xf numFmtId="4" fontId="30" fillId="0" borderId="9" xfId="35" applyNumberFormat="1" applyFont="1" applyFill="1" applyBorder="1" applyProtection="1"/>
    <xf numFmtId="39" fontId="30" fillId="0" borderId="0" xfId="35" applyFont="1" applyFill="1" applyBorder="1" applyProtection="1">
      <protection locked="0"/>
    </xf>
    <xf numFmtId="0" fontId="26" fillId="0" borderId="9" xfId="21" applyNumberFormat="1" applyFont="1" applyFill="1" applyBorder="1" applyAlignment="1">
      <alignment horizontal="center"/>
    </xf>
    <xf numFmtId="39" fontId="39" fillId="0" borderId="7" xfId="14" applyFont="1" applyBorder="1" applyAlignment="1" applyProtection="1">
      <alignment horizontal="left"/>
    </xf>
    <xf numFmtId="39" fontId="26" fillId="0" borderId="7" xfId="35" quotePrefix="1" applyFont="1" applyBorder="1" applyAlignment="1" applyProtection="1">
      <alignment horizontal="center"/>
    </xf>
    <xf numFmtId="39" fontId="30" fillId="0" borderId="9" xfId="42" applyFont="1" applyBorder="1" applyAlignment="1" applyProtection="1">
      <alignment horizontal="left"/>
    </xf>
    <xf numFmtId="39" fontId="30" fillId="0" borderId="0" xfId="42" applyFont="1" applyBorder="1" applyProtection="1"/>
    <xf numFmtId="4" fontId="30" fillId="0" borderId="0" xfId="3" applyNumberFormat="1" applyFont="1" applyFill="1" applyBorder="1" applyProtection="1"/>
    <xf numFmtId="39" fontId="30" fillId="9" borderId="11" xfId="35" applyFont="1" applyFill="1" applyBorder="1" applyProtection="1"/>
    <xf numFmtId="39" fontId="30" fillId="0" borderId="18" xfId="35" applyFont="1" applyBorder="1" applyProtection="1">
      <protection locked="0"/>
    </xf>
    <xf numFmtId="0" fontId="27" fillId="0" borderId="11" xfId="14" applyNumberFormat="1" applyFont="1" applyFill="1" applyBorder="1" applyAlignment="1" applyProtection="1">
      <alignment horizontal="center"/>
    </xf>
    <xf numFmtId="39" fontId="39" fillId="0" borderId="13" xfId="14" applyFont="1" applyBorder="1" applyAlignment="1" applyProtection="1">
      <alignment horizontal="left"/>
    </xf>
    <xf numFmtId="39" fontId="39" fillId="0" borderId="14" xfId="14" applyFont="1" applyBorder="1" applyAlignment="1" applyProtection="1">
      <alignment horizontal="left"/>
    </xf>
    <xf numFmtId="39" fontId="23" fillId="9" borderId="11" xfId="35" applyFont="1" applyFill="1" applyBorder="1" applyAlignment="1" applyProtection="1">
      <alignment vertical="center"/>
    </xf>
    <xf numFmtId="39" fontId="23" fillId="0" borderId="11" xfId="35" applyFont="1" applyBorder="1" applyAlignment="1" applyProtection="1">
      <alignment horizontal="center" vertical="center"/>
    </xf>
    <xf numFmtId="39" fontId="24" fillId="0" borderId="13" xfId="35" applyFont="1" applyBorder="1" applyAlignment="1">
      <alignment vertical="center"/>
    </xf>
    <xf numFmtId="39" fontId="24" fillId="0" borderId="5" xfId="35" applyFont="1" applyBorder="1" applyAlignment="1" applyProtection="1">
      <alignment horizontal="left" vertical="center"/>
    </xf>
    <xf numFmtId="39" fontId="9" fillId="0" borderId="9" xfId="42" applyFont="1" applyBorder="1"/>
    <xf numFmtId="0" fontId="27" fillId="0" borderId="9" xfId="14" quotePrefix="1" applyNumberFormat="1" applyFont="1" applyFill="1" applyBorder="1" applyAlignment="1" applyProtection="1">
      <alignment horizontal="centerContinuous"/>
    </xf>
    <xf numFmtId="39" fontId="30" fillId="0" borderId="7" xfId="56" applyFont="1" applyBorder="1" applyAlignment="1"/>
    <xf numFmtId="39" fontId="30" fillId="0" borderId="9" xfId="56" applyFont="1" applyBorder="1" applyAlignment="1"/>
    <xf numFmtId="39" fontId="30" fillId="0" borderId="7" xfId="56" applyFont="1" applyBorder="1" applyAlignment="1" applyProtection="1">
      <alignment horizontal="left"/>
    </xf>
    <xf numFmtId="39" fontId="30" fillId="0" borderId="10" xfId="56" applyFont="1" applyBorder="1" applyAlignment="1" applyProtection="1">
      <alignment horizontal="left"/>
    </xf>
    <xf numFmtId="0" fontId="27" fillId="0" borderId="9" xfId="14" applyNumberFormat="1" applyFont="1" applyFill="1" applyBorder="1" applyAlignment="1" applyProtection="1">
      <alignment horizontal="centerContinuous"/>
    </xf>
    <xf numFmtId="39" fontId="26" fillId="0" borderId="0" xfId="45" applyFont="1" applyFill="1" applyBorder="1" applyProtection="1"/>
    <xf numFmtId="39" fontId="9" fillId="0" borderId="9" xfId="38" applyFont="1" applyBorder="1" applyProtection="1"/>
    <xf numFmtId="39" fontId="30" fillId="0" borderId="9" xfId="56" applyFont="1" applyBorder="1" applyAlignment="1" applyProtection="1">
      <alignment horizontal="left"/>
    </xf>
    <xf numFmtId="39" fontId="9" fillId="0" borderId="0" xfId="56" applyFont="1" applyFill="1" applyBorder="1" applyAlignment="1" applyProtection="1">
      <alignment horizontal="left"/>
    </xf>
    <xf numFmtId="39" fontId="9" fillId="0" borderId="9" xfId="38" applyFont="1" applyFill="1" applyBorder="1" applyProtection="1"/>
    <xf numFmtId="39" fontId="9" fillId="0" borderId="0" xfId="38" applyFont="1" applyFill="1" applyBorder="1" applyProtection="1"/>
    <xf numFmtId="39" fontId="9" fillId="0" borderId="0" xfId="42" applyFont="1" applyFill="1" applyBorder="1" applyProtection="1"/>
    <xf numFmtId="39" fontId="26" fillId="0" borderId="9" xfId="56" applyFont="1" applyBorder="1" applyAlignment="1" applyProtection="1">
      <alignment horizontal="centerContinuous"/>
    </xf>
    <xf numFmtId="39" fontId="24" fillId="0" borderId="10" xfId="56" applyFont="1" applyBorder="1" applyAlignment="1" applyProtection="1">
      <alignment horizontal="left"/>
    </xf>
    <xf numFmtId="39" fontId="23" fillId="0" borderId="0" xfId="35" applyFont="1" applyFill="1" applyBorder="1" applyAlignment="1">
      <alignment horizontal="center"/>
    </xf>
    <xf numFmtId="39" fontId="9" fillId="0" borderId="9" xfId="42" applyFont="1" applyFill="1" applyBorder="1"/>
    <xf numFmtId="39" fontId="9" fillId="0" borderId="0" xfId="3" applyNumberFormat="1" applyFont="1" applyFill="1" applyBorder="1" applyProtection="1"/>
    <xf numFmtId="39" fontId="9" fillId="0" borderId="9" xfId="3" applyNumberFormat="1" applyFont="1" applyFill="1" applyBorder="1" applyProtection="1"/>
    <xf numFmtId="39" fontId="9" fillId="0" borderId="0" xfId="55" applyFont="1" applyFill="1" applyBorder="1" applyProtection="1"/>
    <xf numFmtId="39" fontId="9" fillId="0" borderId="9" xfId="55" applyFont="1" applyFill="1" applyBorder="1" applyProtection="1"/>
    <xf numFmtId="39" fontId="9" fillId="0" borderId="0" xfId="35" applyFont="1" applyFill="1" applyBorder="1" applyAlignment="1" applyProtection="1">
      <alignment horizontal="fill"/>
    </xf>
    <xf numFmtId="39" fontId="26" fillId="0" borderId="11" xfId="35" applyFont="1" applyBorder="1" applyAlignment="1" applyProtection="1">
      <alignment horizontal="fill"/>
    </xf>
    <xf numFmtId="39" fontId="30" fillId="0" borderId="7" xfId="56" applyFont="1" applyBorder="1" applyAlignment="1" applyProtection="1">
      <alignment horizontal="fill"/>
    </xf>
    <xf numFmtId="39" fontId="24" fillId="0" borderId="0" xfId="35" applyFont="1" applyFill="1" applyBorder="1" applyProtection="1"/>
    <xf numFmtId="39" fontId="23" fillId="0" borderId="8" xfId="35" applyFont="1" applyBorder="1"/>
    <xf numFmtId="39" fontId="23" fillId="0" borderId="13" xfId="35" applyFont="1" applyBorder="1"/>
    <xf numFmtId="39" fontId="23" fillId="0" borderId="14" xfId="35" applyFont="1" applyBorder="1" applyAlignment="1" applyProtection="1">
      <alignment horizontal="left"/>
    </xf>
    <xf numFmtId="43" fontId="9" fillId="0" borderId="0" xfId="3" quotePrefix="1" applyFont="1" applyBorder="1" applyAlignment="1" applyProtection="1">
      <alignment horizontal="center"/>
    </xf>
    <xf numFmtId="0" fontId="30" fillId="0" borderId="0" xfId="50" quotePrefix="1" applyFont="1" applyFill="1" applyBorder="1" applyAlignment="1" applyProtection="1">
      <alignment horizontal="center"/>
    </xf>
    <xf numFmtId="0" fontId="24" fillId="0" borderId="0" xfId="50" quotePrefix="1" applyFont="1" applyFill="1" applyBorder="1" applyAlignment="1">
      <alignment horizontal="center"/>
    </xf>
    <xf numFmtId="0" fontId="24" fillId="0" borderId="0" xfId="50" applyFont="1" applyFill="1" applyBorder="1" applyAlignment="1">
      <alignment horizontal="center"/>
    </xf>
    <xf numFmtId="39" fontId="23" fillId="0" borderId="17" xfId="35" applyFont="1" applyBorder="1" applyAlignment="1" applyProtection="1">
      <alignment vertical="center"/>
    </xf>
    <xf numFmtId="39" fontId="9" fillId="0" borderId="8" xfId="42" applyFont="1" applyBorder="1" applyProtection="1"/>
    <xf numFmtId="39" fontId="9" fillId="0" borderId="2" xfId="35" applyFont="1" applyBorder="1" applyProtection="1"/>
    <xf numFmtId="39" fontId="9" fillId="0" borderId="6" xfId="35" applyFont="1" applyBorder="1" applyProtection="1">
      <protection locked="0"/>
    </xf>
    <xf numFmtId="0" fontId="50" fillId="0" borderId="2" xfId="14" quotePrefix="1" applyNumberFormat="1" applyFont="1" applyFill="1" applyBorder="1" applyAlignment="1" applyProtection="1">
      <alignment horizontal="center"/>
    </xf>
    <xf numFmtId="39" fontId="9" fillId="0" borderId="8" xfId="55" applyFont="1" applyBorder="1" applyAlignment="1">
      <alignment horizontal="left" shrinkToFit="1"/>
    </xf>
    <xf numFmtId="39" fontId="9" fillId="0" borderId="9" xfId="55" applyFont="1" applyBorder="1" applyAlignment="1"/>
    <xf numFmtId="39" fontId="9" fillId="0" borderId="7" xfId="55" applyFont="1" applyBorder="1" applyAlignment="1"/>
    <xf numFmtId="39" fontId="9" fillId="0" borderId="0" xfId="35" quotePrefix="1" applyFont="1"/>
    <xf numFmtId="0" fontId="50" fillId="0" borderId="9" xfId="14" quotePrefix="1" applyNumberFormat="1" applyFont="1" applyFill="1" applyBorder="1" applyAlignment="1">
      <alignment horizontal="center"/>
    </xf>
    <xf numFmtId="39" fontId="9" fillId="0" borderId="7" xfId="35" quotePrefix="1" applyFont="1" applyBorder="1" applyAlignment="1" applyProtection="1">
      <alignment horizontal="center"/>
    </xf>
    <xf numFmtId="39" fontId="9" fillId="0" borderId="13" xfId="35" applyFont="1" applyFill="1" applyBorder="1" applyProtection="1"/>
    <xf numFmtId="39" fontId="9" fillId="9" borderId="11" xfId="35" applyFont="1" applyFill="1" applyBorder="1" applyProtection="1"/>
    <xf numFmtId="39" fontId="9" fillId="9" borderId="14" xfId="35" applyFont="1" applyFill="1" applyBorder="1" applyProtection="1"/>
    <xf numFmtId="39" fontId="9" fillId="0" borderId="18" xfId="35" applyFont="1" applyBorder="1" applyProtection="1">
      <protection locked="0"/>
    </xf>
    <xf numFmtId="39" fontId="40" fillId="0" borderId="0" xfId="35" applyFont="1" applyProtection="1">
      <protection locked="0"/>
    </xf>
    <xf numFmtId="39" fontId="30" fillId="0" borderId="9" xfId="55" applyFont="1" applyBorder="1" applyAlignment="1"/>
    <xf numFmtId="39" fontId="30" fillId="0" borderId="7" xfId="55" applyFont="1" applyBorder="1" applyAlignment="1"/>
    <xf numFmtId="39" fontId="9" fillId="0" borderId="11" xfId="35" applyFont="1" applyFill="1" applyBorder="1" applyProtection="1"/>
    <xf numFmtId="39" fontId="9" fillId="0" borderId="14" xfId="42" applyFont="1" applyBorder="1" applyProtection="1"/>
    <xf numFmtId="39" fontId="28" fillId="0" borderId="13" xfId="35" applyFont="1" applyBorder="1"/>
    <xf numFmtId="39" fontId="31" fillId="0" borderId="0" xfId="35" applyFont="1" applyAlignment="1">
      <alignment horizontal="left"/>
    </xf>
    <xf numFmtId="39" fontId="50" fillId="0" borderId="8" xfId="14" applyFont="1" applyFill="1" applyBorder="1" applyAlignment="1"/>
    <xf numFmtId="39" fontId="50" fillId="0" borderId="12" xfId="14" applyFont="1" applyFill="1" applyBorder="1" applyAlignment="1"/>
    <xf numFmtId="39" fontId="9" fillId="0" borderId="0" xfId="35" applyFont="1" applyAlignment="1">
      <alignment horizontal="right"/>
    </xf>
    <xf numFmtId="0" fontId="49" fillId="0" borderId="9" xfId="50" quotePrefix="1" applyFont="1" applyBorder="1" applyAlignment="1">
      <alignment horizontal="center"/>
    </xf>
    <xf numFmtId="39" fontId="9" fillId="0" borderId="2" xfId="42" applyFont="1" applyBorder="1" applyProtection="1"/>
    <xf numFmtId="39" fontId="9" fillId="0" borderId="6" xfId="35" applyFont="1" applyBorder="1" applyProtection="1"/>
    <xf numFmtId="39" fontId="9" fillId="9" borderId="2" xfId="35" applyFont="1" applyFill="1" applyBorder="1" applyProtection="1"/>
    <xf numFmtId="39" fontId="31" fillId="0" borderId="9" xfId="35" applyFont="1" applyBorder="1"/>
    <xf numFmtId="0" fontId="9" fillId="0" borderId="11" xfId="14" quotePrefix="1" applyNumberFormat="1" applyFont="1" applyFill="1" applyBorder="1" applyAlignment="1" applyProtection="1">
      <alignment horizontal="center"/>
    </xf>
    <xf numFmtId="39" fontId="136" fillId="0" borderId="0" xfId="35" applyFont="1"/>
    <xf numFmtId="39" fontId="9" fillId="0" borderId="9" xfId="42" applyFont="1" applyFill="1" applyBorder="1" applyAlignment="1" applyProtection="1">
      <alignment horizontal="left"/>
    </xf>
    <xf numFmtId="39" fontId="9" fillId="0" borderId="0" xfId="3" applyNumberFormat="1" applyFont="1" applyBorder="1" applyProtection="1"/>
    <xf numFmtId="0" fontId="9" fillId="0" borderId="9" xfId="14" applyNumberFormat="1" applyFont="1" applyFill="1" applyBorder="1" applyAlignment="1">
      <alignment horizontal="center"/>
    </xf>
    <xf numFmtId="39" fontId="9" fillId="0" borderId="10" xfId="14" applyFont="1" applyFill="1" applyBorder="1" applyAlignment="1"/>
    <xf numFmtId="43" fontId="9" fillId="0" borderId="6" xfId="3" applyFont="1" applyBorder="1" applyProtection="1"/>
    <xf numFmtId="43" fontId="9" fillId="0" borderId="0" xfId="3" applyFont="1" applyBorder="1" applyProtection="1"/>
    <xf numFmtId="39" fontId="9" fillId="0" borderId="9" xfId="35" quotePrefix="1" applyFont="1" applyFill="1" applyBorder="1" applyAlignment="1" applyProtection="1">
      <alignment horizontal="center"/>
    </xf>
    <xf numFmtId="39" fontId="9" fillId="0" borderId="7" xfId="46" applyFont="1" applyFill="1" applyBorder="1" applyAlignment="1" applyProtection="1">
      <alignment horizontal="left"/>
    </xf>
    <xf numFmtId="39" fontId="9" fillId="0" borderId="13" xfId="14" applyFont="1" applyFill="1" applyBorder="1" applyAlignment="1" applyProtection="1">
      <alignment horizontal="left"/>
    </xf>
    <xf numFmtId="39" fontId="9" fillId="0" borderId="14" xfId="14" applyFont="1" applyFill="1" applyBorder="1" applyAlignment="1" applyProtection="1">
      <alignment horizontal="left"/>
    </xf>
    <xf numFmtId="43" fontId="24" fillId="9" borderId="3" xfId="3" applyFont="1" applyFill="1" applyBorder="1" applyAlignment="1" applyProtection="1">
      <alignment vertical="center"/>
    </xf>
    <xf numFmtId="43" fontId="23" fillId="0" borderId="13" xfId="3" applyFont="1" applyBorder="1"/>
    <xf numFmtId="43" fontId="23" fillId="0" borderId="15" xfId="3" applyFont="1" applyBorder="1" applyAlignment="1" applyProtection="1">
      <alignment vertical="center"/>
    </xf>
    <xf numFmtId="39" fontId="89" fillId="0" borderId="0" xfId="35" applyFont="1" applyProtection="1">
      <protection locked="0"/>
    </xf>
    <xf numFmtId="39" fontId="9" fillId="9" borderId="0" xfId="35" applyFont="1" applyFill="1"/>
    <xf numFmtId="39" fontId="30" fillId="9" borderId="0" xfId="35" applyFont="1" applyFill="1"/>
    <xf numFmtId="39" fontId="30" fillId="0" borderId="0" xfId="37" applyFont="1"/>
    <xf numFmtId="39" fontId="30" fillId="9" borderId="0" xfId="37" applyFont="1" applyFill="1" applyAlignment="1" applyProtection="1">
      <alignment horizontal="left"/>
      <protection locked="0"/>
    </xf>
    <xf numFmtId="39" fontId="9" fillId="9" borderId="0" xfId="37" applyFont="1" applyFill="1" applyAlignment="1" applyProtection="1">
      <alignment horizontal="left"/>
      <protection locked="0"/>
    </xf>
    <xf numFmtId="39" fontId="9" fillId="9" borderId="0" xfId="37" applyFont="1" applyFill="1"/>
    <xf numFmtId="39" fontId="9" fillId="9" borderId="0" xfId="37" applyFont="1" applyFill="1" applyAlignment="1" applyProtection="1">
      <alignment horizontal="left"/>
    </xf>
    <xf numFmtId="0" fontId="30" fillId="9" borderId="0" xfId="50" applyFont="1" applyFill="1"/>
    <xf numFmtId="39" fontId="30" fillId="0" borderId="0" xfId="57" applyFont="1"/>
    <xf numFmtId="39" fontId="24" fillId="9" borderId="0" xfId="37" applyFont="1" applyFill="1" applyAlignment="1" applyProtection="1">
      <alignment horizontal="left"/>
    </xf>
    <xf numFmtId="39" fontId="23" fillId="9" borderId="0" xfId="37" applyFont="1" applyFill="1" applyAlignment="1" applyProtection="1">
      <alignment horizontal="left"/>
    </xf>
    <xf numFmtId="39" fontId="23" fillId="9" borderId="0" xfId="37" applyFont="1" applyFill="1"/>
    <xf numFmtId="39" fontId="24" fillId="0" borderId="0" xfId="57" applyFont="1"/>
    <xf numFmtId="39" fontId="30" fillId="9" borderId="0" xfId="37" applyFont="1" applyFill="1" applyAlignment="1" applyProtection="1">
      <alignment horizontal="left"/>
    </xf>
    <xf numFmtId="39" fontId="30" fillId="9" borderId="0" xfId="37" applyFont="1" applyFill="1"/>
    <xf numFmtId="39" fontId="30" fillId="0" borderId="0" xfId="57" applyFont="1" applyAlignment="1" applyProtection="1">
      <alignment horizontal="left"/>
    </xf>
    <xf numFmtId="39" fontId="24" fillId="9" borderId="0" xfId="35" applyFont="1" applyFill="1" applyBorder="1" applyAlignment="1" applyProtection="1">
      <alignment vertical="center"/>
    </xf>
    <xf numFmtId="39" fontId="24" fillId="9" borderId="0" xfId="35" applyFont="1" applyFill="1" applyBorder="1" applyAlignment="1">
      <alignment vertical="center"/>
    </xf>
    <xf numFmtId="39" fontId="24" fillId="9" borderId="15" xfId="35" applyFont="1" applyFill="1" applyBorder="1" applyAlignment="1" applyProtection="1">
      <alignment vertical="center"/>
    </xf>
    <xf numFmtId="39" fontId="24" fillId="9" borderId="16" xfId="35" applyFont="1" applyFill="1" applyBorder="1" applyAlignment="1">
      <alignment vertical="center"/>
    </xf>
    <xf numFmtId="39" fontId="30" fillId="9" borderId="9" xfId="35" applyFont="1" applyFill="1" applyBorder="1" applyProtection="1">
      <protection locked="0"/>
    </xf>
    <xf numFmtId="39" fontId="30" fillId="9" borderId="2" xfId="37" quotePrefix="1" applyFont="1" applyFill="1" applyBorder="1" applyAlignment="1" applyProtection="1">
      <alignment horizontal="centerContinuous"/>
    </xf>
    <xf numFmtId="39" fontId="30" fillId="0" borderId="0" xfId="37" applyFont="1" applyBorder="1"/>
    <xf numFmtId="0" fontId="30" fillId="9" borderId="10" xfId="58" quotePrefix="1" applyFont="1" applyFill="1" applyBorder="1" applyAlignment="1">
      <alignment horizontal="left" vertical="center"/>
    </xf>
    <xf numFmtId="39" fontId="30" fillId="9" borderId="9" xfId="37" quotePrefix="1" applyFont="1" applyFill="1" applyBorder="1" applyAlignment="1" applyProtection="1">
      <alignment horizontal="centerContinuous"/>
    </xf>
    <xf numFmtId="39" fontId="30" fillId="9" borderId="7" xfId="37" quotePrefix="1" applyFont="1" applyFill="1" applyBorder="1" applyAlignment="1" applyProtection="1">
      <alignment horizontal="centerContinuous"/>
    </xf>
    <xf numFmtId="39" fontId="30" fillId="0" borderId="7" xfId="37" applyFont="1" applyBorder="1"/>
    <xf numFmtId="39" fontId="30" fillId="0" borderId="10" xfId="37" applyFont="1" applyBorder="1"/>
    <xf numFmtId="0" fontId="30" fillId="0" borderId="10" xfId="58" quotePrefix="1" applyFont="1" applyFill="1" applyBorder="1" applyAlignment="1">
      <alignment horizontal="left" vertical="center"/>
    </xf>
    <xf numFmtId="39" fontId="24" fillId="9" borderId="5" xfId="35" applyFont="1" applyFill="1" applyBorder="1" applyAlignment="1" applyProtection="1">
      <alignment vertical="center"/>
    </xf>
    <xf numFmtId="39" fontId="24" fillId="9" borderId="3" xfId="35" applyFont="1" applyFill="1" applyBorder="1" applyAlignment="1" applyProtection="1">
      <alignment horizontal="center" vertical="center"/>
    </xf>
    <xf numFmtId="39" fontId="24" fillId="0" borderId="4" xfId="35" applyFont="1" applyBorder="1" applyAlignment="1">
      <alignment vertical="center"/>
    </xf>
    <xf numFmtId="39" fontId="24" fillId="9" borderId="5" xfId="35" applyFont="1" applyFill="1" applyBorder="1" applyAlignment="1" applyProtection="1">
      <alignment horizontal="left" vertical="center"/>
    </xf>
    <xf numFmtId="39" fontId="30" fillId="9" borderId="8" xfId="35" applyFont="1" applyFill="1" applyBorder="1" applyProtection="1"/>
    <xf numFmtId="39" fontId="109" fillId="9" borderId="8" xfId="35" applyFont="1" applyFill="1" applyBorder="1" applyProtection="1"/>
    <xf numFmtId="39" fontId="30" fillId="9" borderId="2" xfId="35" applyFont="1" applyFill="1" applyBorder="1" applyProtection="1">
      <protection locked="0"/>
    </xf>
    <xf numFmtId="0" fontId="30" fillId="9" borderId="2" xfId="37" quotePrefix="1" applyNumberFormat="1" applyFont="1" applyFill="1" applyBorder="1" applyAlignment="1">
      <alignment horizontal="center"/>
    </xf>
    <xf numFmtId="39" fontId="30" fillId="0" borderId="6" xfId="37" applyFont="1" applyBorder="1"/>
    <xf numFmtId="39" fontId="30" fillId="0" borderId="2" xfId="37" applyFont="1" applyBorder="1"/>
    <xf numFmtId="39" fontId="109" fillId="9" borderId="7" xfId="35" applyFont="1" applyFill="1" applyBorder="1" applyProtection="1"/>
    <xf numFmtId="0" fontId="30" fillId="9" borderId="9" xfId="37" quotePrefix="1" applyNumberFormat="1" applyFont="1" applyFill="1" applyBorder="1" applyAlignment="1">
      <alignment horizontal="center"/>
    </xf>
    <xf numFmtId="39" fontId="30" fillId="9" borderId="0" xfId="37" applyFont="1" applyFill="1" applyBorder="1" applyAlignment="1" applyProtection="1">
      <alignment horizontal="left"/>
    </xf>
    <xf numFmtId="39" fontId="30" fillId="9" borderId="10" xfId="37" applyFont="1" applyFill="1" applyBorder="1" applyAlignment="1" applyProtection="1">
      <alignment horizontal="left"/>
    </xf>
    <xf numFmtId="39" fontId="30" fillId="9" borderId="10" xfId="37" quotePrefix="1" applyFont="1" applyFill="1" applyBorder="1" applyAlignment="1" applyProtection="1">
      <alignment horizontal="centerContinuous"/>
    </xf>
    <xf numFmtId="39" fontId="30" fillId="9" borderId="0" xfId="37" quotePrefix="1" applyFont="1" applyFill="1" applyBorder="1" applyAlignment="1" applyProtection="1">
      <alignment horizontal="left"/>
    </xf>
    <xf numFmtId="39" fontId="30" fillId="9" borderId="7" xfId="37" applyFont="1" applyFill="1" applyBorder="1" applyAlignment="1" applyProtection="1">
      <alignment horizontal="left"/>
    </xf>
    <xf numFmtId="39" fontId="30" fillId="9" borderId="9" xfId="37" applyFont="1" applyFill="1" applyBorder="1" applyAlignment="1" applyProtection="1">
      <alignment horizontal="left"/>
    </xf>
    <xf numFmtId="39" fontId="30" fillId="9" borderId="7" xfId="37" quotePrefix="1" applyFont="1" applyFill="1" applyBorder="1" applyAlignment="1" applyProtection="1">
      <alignment horizontal="left"/>
    </xf>
    <xf numFmtId="39" fontId="30" fillId="0" borderId="7" xfId="37" applyFont="1" applyBorder="1" applyAlignment="1" applyProtection="1">
      <alignment horizontal="left"/>
    </xf>
    <xf numFmtId="39" fontId="30" fillId="0" borderId="10" xfId="37" applyFont="1" applyBorder="1" applyAlignment="1" applyProtection="1">
      <alignment horizontal="left"/>
    </xf>
    <xf numFmtId="39" fontId="30" fillId="0" borderId="7" xfId="37" quotePrefix="1" applyFont="1" applyBorder="1" applyAlignment="1" applyProtection="1">
      <alignment horizontal="left"/>
    </xf>
    <xf numFmtId="39" fontId="30" fillId="0" borderId="9" xfId="37" applyFont="1" applyBorder="1" applyAlignment="1" applyProtection="1">
      <alignment horizontal="left"/>
    </xf>
    <xf numFmtId="39" fontId="30" fillId="9" borderId="0" xfId="37" quotePrefix="1" applyFont="1" applyFill="1" applyBorder="1" applyAlignment="1" applyProtection="1">
      <alignment horizontal="centerContinuous"/>
    </xf>
    <xf numFmtId="39" fontId="30" fillId="10" borderId="0" xfId="35" applyFont="1" applyFill="1" applyAlignment="1">
      <alignment vertical="center"/>
    </xf>
    <xf numFmtId="39" fontId="30" fillId="0" borderId="0" xfId="35" applyFont="1" applyAlignment="1">
      <alignment horizontal="center" vertical="center"/>
    </xf>
    <xf numFmtId="0" fontId="26" fillId="9" borderId="2" xfId="50" quotePrefix="1" applyFont="1" applyFill="1" applyBorder="1" applyAlignment="1" applyProtection="1">
      <alignment horizontal="center"/>
    </xf>
    <xf numFmtId="0" fontId="28" fillId="9" borderId="6" xfId="50" applyFont="1" applyFill="1" applyBorder="1" applyAlignment="1" applyProtection="1">
      <alignment horizontal="centerContinuous"/>
    </xf>
    <xf numFmtId="0" fontId="28" fillId="9" borderId="2" xfId="50" applyFont="1" applyFill="1" applyBorder="1" applyAlignment="1">
      <alignment horizontal="center"/>
    </xf>
    <xf numFmtId="0" fontId="28" fillId="9" borderId="9" xfId="50" quotePrefix="1" applyFont="1" applyFill="1" applyBorder="1" applyAlignment="1">
      <alignment horizontal="center"/>
    </xf>
    <xf numFmtId="0" fontId="28" fillId="9" borderId="9" xfId="50" applyFont="1" applyFill="1" applyBorder="1" applyAlignment="1">
      <alignment horizontal="center"/>
    </xf>
    <xf numFmtId="0" fontId="28" fillId="9" borderId="11" xfId="50" applyFont="1" applyFill="1" applyBorder="1" applyAlignment="1">
      <alignment horizontal="center"/>
    </xf>
    <xf numFmtId="39" fontId="22" fillId="9" borderId="0" xfId="35" applyFont="1" applyFill="1" applyAlignment="1" applyProtection="1">
      <alignment horizontal="left"/>
    </xf>
    <xf numFmtId="39" fontId="30" fillId="9" borderId="0" xfId="35" applyFont="1" applyFill="1" applyBorder="1" applyProtection="1"/>
    <xf numFmtId="39" fontId="30" fillId="9" borderId="0" xfId="45" applyFont="1" applyFill="1" applyBorder="1" applyProtection="1"/>
    <xf numFmtId="39" fontId="30" fillId="9" borderId="0" xfId="35" applyFont="1" applyFill="1" applyBorder="1" applyProtection="1">
      <protection locked="0"/>
    </xf>
    <xf numFmtId="39" fontId="30" fillId="9" borderId="0" xfId="37" quotePrefix="1" applyFont="1" applyFill="1" applyBorder="1" applyAlignment="1" applyProtection="1">
      <alignment horizontal="center"/>
    </xf>
    <xf numFmtId="39" fontId="22" fillId="9" borderId="0" xfId="35" applyFont="1" applyFill="1"/>
    <xf numFmtId="39" fontId="109" fillId="9" borderId="0" xfId="35" applyFont="1" applyFill="1" applyBorder="1" applyProtection="1"/>
    <xf numFmtId="39" fontId="30" fillId="0" borderId="0" xfId="37" applyFont="1" applyBorder="1" applyAlignment="1" applyProtection="1">
      <alignment horizontal="left"/>
    </xf>
    <xf numFmtId="39" fontId="30" fillId="9" borderId="12" xfId="35" applyFont="1" applyFill="1" applyBorder="1" applyProtection="1">
      <protection locked="0"/>
    </xf>
    <xf numFmtId="39" fontId="30" fillId="9" borderId="6" xfId="37" quotePrefix="1" applyFont="1" applyFill="1" applyBorder="1" applyAlignment="1" applyProtection="1">
      <alignment horizontal="centerContinuous"/>
    </xf>
    <xf numFmtId="39" fontId="30" fillId="0" borderId="8" xfId="37" applyFont="1" applyBorder="1" applyAlignment="1" applyProtection="1">
      <alignment horizontal="left"/>
    </xf>
    <xf numFmtId="39" fontId="30" fillId="0" borderId="12" xfId="37" applyFont="1" applyBorder="1" applyAlignment="1" applyProtection="1">
      <alignment horizontal="left"/>
    </xf>
    <xf numFmtId="39" fontId="30" fillId="9" borderId="10" xfId="35" applyFont="1" applyFill="1" applyBorder="1" applyProtection="1">
      <protection locked="0"/>
    </xf>
    <xf numFmtId="39" fontId="109" fillId="9" borderId="10" xfId="35" applyFont="1" applyFill="1" applyBorder="1" applyProtection="1"/>
    <xf numFmtId="39" fontId="109" fillId="9" borderId="14" xfId="35" applyFont="1" applyFill="1" applyBorder="1" applyProtection="1"/>
    <xf numFmtId="39" fontId="30" fillId="9" borderId="11" xfId="37" quotePrefix="1" applyFont="1" applyFill="1" applyBorder="1" applyAlignment="1" applyProtection="1">
      <alignment horizontal="centerContinuous"/>
    </xf>
    <xf numFmtId="39" fontId="24" fillId="0" borderId="19" xfId="35" applyFont="1" applyBorder="1" applyAlignment="1">
      <alignment vertical="center"/>
    </xf>
    <xf numFmtId="39" fontId="30" fillId="9" borderId="3" xfId="35" applyFont="1" applyFill="1" applyBorder="1" applyProtection="1"/>
    <xf numFmtId="39" fontId="137" fillId="9" borderId="5" xfId="35" applyFont="1" applyFill="1" applyBorder="1" applyProtection="1"/>
    <xf numFmtId="39" fontId="30" fillId="9" borderId="5" xfId="35" applyFont="1" applyFill="1" applyBorder="1" applyProtection="1"/>
    <xf numFmtId="39" fontId="30" fillId="9" borderId="5" xfId="35" applyFont="1" applyFill="1" applyBorder="1" applyProtection="1">
      <protection locked="0"/>
    </xf>
    <xf numFmtId="39" fontId="30" fillId="9" borderId="3" xfId="37" quotePrefix="1" applyFont="1" applyFill="1" applyBorder="1" applyAlignment="1" applyProtection="1">
      <alignment horizontal="centerContinuous"/>
    </xf>
    <xf numFmtId="39" fontId="30" fillId="0" borderId="19" xfId="37" quotePrefix="1" applyFont="1" applyBorder="1"/>
    <xf numFmtId="39" fontId="24" fillId="0" borderId="5" xfId="37" quotePrefix="1" applyFont="1" applyBorder="1"/>
    <xf numFmtId="39" fontId="24" fillId="9" borderId="3" xfId="35" applyFont="1" applyFill="1" applyBorder="1" applyProtection="1"/>
    <xf numFmtId="39" fontId="24" fillId="9" borderId="5" xfId="35" applyFont="1" applyFill="1" applyBorder="1" applyProtection="1"/>
    <xf numFmtId="39" fontId="24" fillId="9" borderId="5" xfId="35" applyFont="1" applyFill="1" applyBorder="1" applyProtection="1">
      <protection locked="0"/>
    </xf>
    <xf numFmtId="39" fontId="24" fillId="9" borderId="3" xfId="37" quotePrefix="1" applyFont="1" applyFill="1" applyBorder="1" applyAlignment="1" applyProtection="1">
      <alignment horizontal="centerContinuous"/>
    </xf>
    <xf numFmtId="39" fontId="9" fillId="9" borderId="10" xfId="35" applyFont="1" applyFill="1" applyBorder="1"/>
    <xf numFmtId="39" fontId="30" fillId="9" borderId="2" xfId="45" applyFont="1" applyFill="1" applyBorder="1" applyProtection="1"/>
    <xf numFmtId="39" fontId="30" fillId="9" borderId="2" xfId="37" quotePrefix="1" applyFont="1" applyFill="1" applyBorder="1" applyAlignment="1" applyProtection="1">
      <alignment horizontal="center"/>
    </xf>
    <xf numFmtId="39" fontId="9" fillId="9" borderId="6" xfId="37" applyFont="1" applyFill="1" applyBorder="1" applyAlignment="1" applyProtection="1">
      <alignment horizontal="left"/>
    </xf>
    <xf numFmtId="39" fontId="9" fillId="9" borderId="12" xfId="37" applyFont="1" applyFill="1" applyBorder="1" applyAlignment="1" applyProtection="1">
      <alignment horizontal="left"/>
    </xf>
    <xf numFmtId="39" fontId="30" fillId="9" borderId="10" xfId="45" applyFont="1" applyFill="1" applyBorder="1" applyProtection="1"/>
    <xf numFmtId="39" fontId="30" fillId="9" borderId="9" xfId="37" quotePrefix="1" applyFont="1" applyFill="1" applyBorder="1" applyAlignment="1" applyProtection="1">
      <alignment horizontal="center"/>
    </xf>
    <xf numFmtId="39" fontId="9" fillId="9" borderId="7" xfId="37" applyFont="1" applyFill="1" applyBorder="1"/>
    <xf numFmtId="39" fontId="9" fillId="9" borderId="10" xfId="37" applyFont="1" applyFill="1" applyBorder="1"/>
    <xf numFmtId="39" fontId="9" fillId="9" borderId="7" xfId="37" applyFont="1" applyFill="1" applyBorder="1" applyAlignment="1" applyProtection="1">
      <alignment horizontal="left"/>
    </xf>
    <xf numFmtId="39" fontId="9" fillId="9" borderId="9" xfId="37" applyFont="1" applyFill="1" applyBorder="1" applyAlignment="1" applyProtection="1">
      <alignment horizontal="left"/>
    </xf>
    <xf numFmtId="39" fontId="30" fillId="9" borderId="9" xfId="45" applyFont="1" applyFill="1" applyBorder="1" applyProtection="1"/>
    <xf numFmtId="39" fontId="23" fillId="9" borderId="10" xfId="37" applyFont="1" applyFill="1" applyBorder="1" applyAlignment="1" applyProtection="1">
      <alignment horizontal="left"/>
    </xf>
    <xf numFmtId="39" fontId="30" fillId="9" borderId="7" xfId="45" applyFont="1" applyFill="1" applyBorder="1" applyProtection="1"/>
    <xf numFmtId="39" fontId="9" fillId="9" borderId="12" xfId="35" applyFont="1" applyFill="1" applyBorder="1"/>
    <xf numFmtId="39" fontId="30" fillId="9" borderId="9" xfId="35" applyFont="1" applyFill="1" applyBorder="1"/>
    <xf numFmtId="39" fontId="30" fillId="9" borderId="7" xfId="35" applyFont="1" applyFill="1" applyBorder="1"/>
    <xf numFmtId="0" fontId="30" fillId="9" borderId="0" xfId="37" quotePrefix="1" applyNumberFormat="1" applyFont="1" applyFill="1" applyBorder="1" applyAlignment="1" applyProtection="1">
      <alignment horizontal="centerContinuous"/>
    </xf>
    <xf numFmtId="39" fontId="30" fillId="9" borderId="7" xfId="35" applyFont="1" applyFill="1" applyBorder="1" applyAlignment="1" applyProtection="1">
      <alignment horizontal="fill"/>
    </xf>
    <xf numFmtId="39" fontId="30" fillId="9" borderId="9" xfId="35" applyFont="1" applyFill="1" applyBorder="1" applyAlignment="1" applyProtection="1">
      <alignment horizontal="fill"/>
    </xf>
    <xf numFmtId="39" fontId="23" fillId="9" borderId="13" xfId="37" applyFont="1" applyFill="1" applyBorder="1" applyAlignment="1" applyProtection="1"/>
    <xf numFmtId="39" fontId="23" fillId="9" borderId="14" xfId="37" applyFont="1" applyFill="1" applyBorder="1" applyAlignment="1" applyProtection="1"/>
    <xf numFmtId="39" fontId="24" fillId="9" borderId="3" xfId="35" applyFont="1" applyFill="1" applyBorder="1" applyAlignment="1" applyProtection="1">
      <alignment horizontal="center"/>
    </xf>
    <xf numFmtId="39" fontId="23" fillId="9" borderId="4" xfId="35" applyFont="1" applyFill="1" applyBorder="1"/>
    <xf numFmtId="39" fontId="23" fillId="9" borderId="5" xfId="35" applyFont="1" applyFill="1" applyBorder="1" applyAlignment="1" applyProtection="1">
      <alignment horizontal="left"/>
    </xf>
    <xf numFmtId="39" fontId="24" fillId="9" borderId="7" xfId="35" applyFont="1" applyFill="1" applyBorder="1"/>
    <xf numFmtId="39" fontId="24" fillId="9" borderId="9" xfId="35" applyFont="1" applyFill="1" applyBorder="1"/>
    <xf numFmtId="39" fontId="23" fillId="9" borderId="7" xfId="35" applyFont="1" applyFill="1" applyBorder="1"/>
    <xf numFmtId="39" fontId="23" fillId="9" borderId="10" xfId="35" applyFont="1" applyFill="1" applyBorder="1" applyAlignment="1" applyProtection="1">
      <alignment horizontal="left"/>
    </xf>
    <xf numFmtId="0" fontId="24" fillId="9" borderId="2" xfId="50" applyFont="1" applyFill="1" applyBorder="1" applyAlignment="1">
      <alignment horizontal="center"/>
    </xf>
    <xf numFmtId="0" fontId="24" fillId="9" borderId="9" xfId="50" applyFont="1" applyFill="1" applyBorder="1" applyAlignment="1">
      <alignment horizontal="center"/>
    </xf>
    <xf numFmtId="0" fontId="24" fillId="9" borderId="11" xfId="50" applyFont="1" applyFill="1" applyBorder="1" applyAlignment="1">
      <alignment horizontal="center"/>
    </xf>
    <xf numFmtId="39" fontId="23" fillId="9" borderId="0" xfId="35" applyFont="1" applyFill="1" applyProtection="1">
      <protection locked="0"/>
    </xf>
    <xf numFmtId="39" fontId="30" fillId="9" borderId="0" xfId="35" applyFont="1" applyFill="1" applyAlignment="1" applyProtection="1">
      <alignment horizontal="center"/>
    </xf>
    <xf numFmtId="39" fontId="9" fillId="9" borderId="0" xfId="35" applyFont="1" applyFill="1" applyAlignment="1" applyProtection="1">
      <alignment horizontal="center"/>
    </xf>
    <xf numFmtId="39" fontId="43" fillId="9" borderId="0" xfId="35" applyFont="1" applyFill="1" applyAlignment="1" applyProtection="1">
      <alignment horizontal="left"/>
    </xf>
    <xf numFmtId="39" fontId="43" fillId="9" borderId="0" xfId="35" applyFont="1" applyFill="1"/>
    <xf numFmtId="39" fontId="21" fillId="9" borderId="0" xfId="40" applyFont="1" applyFill="1"/>
    <xf numFmtId="39" fontId="43" fillId="9" borderId="0" xfId="40" applyFont="1" applyFill="1" applyAlignment="1">
      <alignment horizontal="center"/>
    </xf>
    <xf numFmtId="39" fontId="43" fillId="9" borderId="0" xfId="40" applyFont="1" applyFill="1"/>
    <xf numFmtId="0" fontId="21" fillId="9" borderId="0" xfId="50" applyFont="1" applyFill="1"/>
    <xf numFmtId="39" fontId="30" fillId="9" borderId="0" xfId="35" applyFont="1" applyFill="1" applyAlignment="1">
      <alignment vertical="center"/>
    </xf>
    <xf numFmtId="39" fontId="24" fillId="9" borderId="19" xfId="35" applyFont="1" applyFill="1" applyBorder="1" applyAlignment="1">
      <alignment vertical="center"/>
    </xf>
    <xf numFmtId="39" fontId="30" fillId="9" borderId="9" xfId="37" quotePrefix="1" applyFont="1" applyFill="1" applyBorder="1" applyAlignment="1">
      <alignment horizontal="center"/>
    </xf>
    <xf numFmtId="39" fontId="30" fillId="9" borderId="7" xfId="37" applyFont="1" applyFill="1" applyBorder="1"/>
    <xf numFmtId="39" fontId="30" fillId="9" borderId="10" xfId="37" applyFont="1" applyFill="1" applyBorder="1"/>
    <xf numFmtId="39" fontId="30" fillId="9" borderId="10" xfId="37" quotePrefix="1" applyFont="1" applyFill="1" applyBorder="1" applyAlignment="1" applyProtection="1">
      <alignment horizontal="left"/>
    </xf>
    <xf numFmtId="39" fontId="109" fillId="9" borderId="9" xfId="35" applyFont="1" applyFill="1" applyBorder="1" applyProtection="1"/>
    <xf numFmtId="39" fontId="30" fillId="9" borderId="0" xfId="35" applyFont="1" applyFill="1" applyBorder="1" applyAlignment="1">
      <alignment vertical="center"/>
    </xf>
    <xf numFmtId="39" fontId="30" fillId="9" borderId="12" xfId="37" quotePrefix="1" applyFont="1" applyFill="1" applyBorder="1" applyAlignment="1" applyProtection="1">
      <alignment horizontal="centerContinuous"/>
    </xf>
    <xf numFmtId="39" fontId="30" fillId="9" borderId="6" xfId="37" quotePrefix="1" applyFont="1" applyFill="1" applyBorder="1" applyAlignment="1" applyProtection="1">
      <alignment horizontal="left"/>
    </xf>
    <xf numFmtId="39" fontId="30" fillId="9" borderId="12" xfId="37" applyFont="1" applyFill="1" applyBorder="1" applyAlignment="1" applyProtection="1">
      <alignment horizontal="left"/>
    </xf>
    <xf numFmtId="39" fontId="30" fillId="9" borderId="10" xfId="35" applyFont="1" applyFill="1" applyBorder="1" applyProtection="1"/>
    <xf numFmtId="39" fontId="30" fillId="9" borderId="14" xfId="35" applyFont="1" applyFill="1" applyBorder="1" applyProtection="1"/>
    <xf numFmtId="39" fontId="30" fillId="9" borderId="18" xfId="35" applyFont="1" applyFill="1" applyBorder="1" applyProtection="1">
      <protection locked="0"/>
    </xf>
    <xf numFmtId="39" fontId="30" fillId="9" borderId="18" xfId="37" applyFont="1" applyFill="1" applyBorder="1" applyAlignment="1" applyProtection="1">
      <alignment horizontal="left"/>
    </xf>
    <xf numFmtId="39" fontId="30" fillId="9" borderId="14" xfId="37" applyFont="1" applyFill="1" applyBorder="1" applyAlignment="1" applyProtection="1">
      <alignment horizontal="left"/>
    </xf>
    <xf numFmtId="39" fontId="30" fillId="9" borderId="12" xfId="45" applyFont="1" applyFill="1" applyBorder="1" applyProtection="1"/>
    <xf numFmtId="39" fontId="9" fillId="9" borderId="8" xfId="37" applyFont="1" applyFill="1" applyBorder="1" applyAlignment="1" applyProtection="1">
      <alignment horizontal="left"/>
    </xf>
    <xf numFmtId="39" fontId="9" fillId="9" borderId="12" xfId="37" applyFont="1" applyFill="1" applyBorder="1"/>
    <xf numFmtId="39" fontId="9" fillId="9" borderId="0" xfId="37" applyFont="1" applyFill="1" applyBorder="1" applyAlignment="1" applyProtection="1">
      <alignment horizontal="left"/>
    </xf>
    <xf numFmtId="39" fontId="9" fillId="9" borderId="10" xfId="37" applyFont="1" applyFill="1" applyBorder="1" applyAlignment="1" applyProtection="1">
      <alignment horizontal="left"/>
    </xf>
    <xf numFmtId="39" fontId="139" fillId="9" borderId="0" xfId="37" applyFont="1" applyFill="1"/>
    <xf numFmtId="39" fontId="139" fillId="9" borderId="0" xfId="37" applyFont="1" applyFill="1" applyAlignment="1">
      <alignment horizontal="right"/>
    </xf>
    <xf numFmtId="39" fontId="30" fillId="9" borderId="0" xfId="37" applyFont="1" applyFill="1" applyAlignment="1">
      <alignment horizontal="center"/>
    </xf>
    <xf numFmtId="39" fontId="139" fillId="9" borderId="0" xfId="59" applyFont="1" applyFill="1"/>
    <xf numFmtId="2" fontId="30" fillId="9" borderId="0" xfId="52" applyNumberFormat="1" applyFont="1" applyFill="1" applyAlignment="1" applyProtection="1">
      <alignment horizontal="center"/>
      <protection locked="0"/>
    </xf>
    <xf numFmtId="49" fontId="139" fillId="9" borderId="0" xfId="52" applyNumberFormat="1" applyFont="1" applyFill="1" applyAlignment="1" applyProtection="1">
      <alignment horizontal="center"/>
      <protection locked="0"/>
    </xf>
    <xf numFmtId="2" fontId="139" fillId="9" borderId="0" xfId="52" applyNumberFormat="1" applyFont="1" applyFill="1" applyProtection="1">
      <protection locked="0"/>
    </xf>
    <xf numFmtId="39" fontId="5" fillId="9" borderId="0" xfId="37" applyFont="1" applyFill="1"/>
    <xf numFmtId="49" fontId="139" fillId="9" borderId="0" xfId="52" quotePrefix="1" applyNumberFormat="1" applyFont="1" applyFill="1" applyAlignment="1" applyProtection="1">
      <alignment horizontal="center"/>
      <protection locked="0"/>
    </xf>
    <xf numFmtId="39" fontId="140" fillId="9" borderId="0" xfId="37" applyFont="1" applyFill="1"/>
    <xf numFmtId="39" fontId="140" fillId="9" borderId="6" xfId="37" applyFont="1" applyFill="1" applyBorder="1"/>
    <xf numFmtId="39" fontId="139" fillId="9" borderId="0" xfId="37" quotePrefix="1" applyFont="1" applyFill="1" applyAlignment="1">
      <alignment horizontal="right"/>
    </xf>
    <xf numFmtId="49" fontId="139" fillId="9" borderId="0" xfId="52" applyNumberFormat="1" applyFont="1" applyFill="1" applyAlignment="1" applyProtection="1">
      <alignment horizontal="right"/>
      <protection locked="0"/>
    </xf>
    <xf numFmtId="39" fontId="140" fillId="9" borderId="0" xfId="37" applyFont="1" applyFill="1" applyAlignment="1">
      <alignment horizontal="right"/>
    </xf>
    <xf numFmtId="49" fontId="140" fillId="9" borderId="0" xfId="52" quotePrefix="1" applyNumberFormat="1" applyFont="1" applyFill="1" applyAlignment="1" applyProtection="1">
      <alignment horizontal="right"/>
      <protection locked="0"/>
    </xf>
    <xf numFmtId="39" fontId="140" fillId="9" borderId="0" xfId="36" applyFont="1" applyFill="1"/>
    <xf numFmtId="39" fontId="140" fillId="9" borderId="0" xfId="37" applyFont="1" applyFill="1" applyBorder="1"/>
    <xf numFmtId="39" fontId="139" fillId="9" borderId="0" xfId="37" applyFont="1" applyFill="1" applyBorder="1"/>
    <xf numFmtId="39" fontId="140" fillId="9" borderId="0" xfId="37" applyFont="1" applyFill="1" applyBorder="1" applyAlignment="1">
      <alignment horizontal="right"/>
    </xf>
    <xf numFmtId="49" fontId="119" fillId="9" borderId="0" xfId="52" applyNumberFormat="1" applyFont="1" applyFill="1" applyAlignment="1" applyProtection="1">
      <alignment horizontal="right"/>
      <protection locked="0"/>
    </xf>
    <xf numFmtId="39" fontId="140" fillId="9" borderId="0" xfId="36" applyFont="1" applyFill="1" applyAlignment="1">
      <alignment horizontal="right"/>
    </xf>
    <xf numFmtId="39" fontId="139" fillId="9" borderId="0" xfId="60" applyFont="1" applyFill="1"/>
    <xf numFmtId="49" fontId="140" fillId="9" borderId="0" xfId="52" applyNumberFormat="1" applyFont="1" applyFill="1" applyAlignment="1" applyProtection="1">
      <alignment horizontal="right"/>
      <protection locked="0"/>
    </xf>
    <xf numFmtId="49" fontId="139" fillId="9" borderId="0" xfId="52" applyNumberFormat="1" applyFont="1" applyFill="1"/>
    <xf numFmtId="49" fontId="139" fillId="9" borderId="0" xfId="52" applyNumberFormat="1" applyFont="1" applyFill="1" applyAlignment="1" applyProtection="1">
      <alignment horizontal="left"/>
    </xf>
    <xf numFmtId="39" fontId="41" fillId="9" borderId="0" xfId="37" applyFont="1" applyFill="1"/>
    <xf numFmtId="39" fontId="23" fillId="9" borderId="0" xfId="61" applyFont="1" applyFill="1"/>
    <xf numFmtId="39" fontId="9" fillId="9" borderId="0" xfId="62" applyFont="1" applyFill="1"/>
    <xf numFmtId="39" fontId="23" fillId="9" borderId="0" xfId="61" applyFont="1" applyFill="1" applyAlignment="1" applyProtection="1">
      <alignment horizontal="center"/>
    </xf>
    <xf numFmtId="39" fontId="23" fillId="9" borderId="0" xfId="37" applyFont="1" applyFill="1" applyAlignment="1" applyProtection="1">
      <alignment horizontal="right"/>
    </xf>
    <xf numFmtId="0" fontId="32" fillId="9" borderId="0" xfId="52" applyFont="1" applyFill="1" applyAlignment="1">
      <alignment horizontal="center"/>
    </xf>
    <xf numFmtId="0" fontId="30" fillId="9" borderId="0" xfId="52" applyFont="1" applyFill="1" applyAlignment="1">
      <alignment horizontal="center"/>
    </xf>
    <xf numFmtId="39" fontId="24" fillId="9" borderId="0" xfId="37" applyFont="1" applyFill="1" applyAlignment="1" applyProtection="1">
      <alignment horizontal="center"/>
    </xf>
    <xf numFmtId="39" fontId="23" fillId="9" borderId="0" xfId="37" applyFont="1" applyFill="1" applyBorder="1"/>
    <xf numFmtId="39" fontId="24" fillId="9" borderId="0" xfId="37" applyFont="1" applyFill="1" applyBorder="1"/>
    <xf numFmtId="39" fontId="139" fillId="9" borderId="0" xfId="37" applyFont="1" applyFill="1" applyAlignment="1">
      <alignment vertical="top"/>
    </xf>
    <xf numFmtId="39" fontId="23" fillId="9" borderId="0" xfId="35" applyFont="1" applyFill="1" applyAlignment="1">
      <alignment vertical="top"/>
    </xf>
    <xf numFmtId="39" fontId="23" fillId="9" borderId="0" xfId="61" applyFont="1" applyFill="1" applyAlignment="1" applyProtection="1">
      <alignment horizontal="left" vertical="top"/>
    </xf>
    <xf numFmtId="39" fontId="23" fillId="9" borderId="0" xfId="61" applyFont="1" applyFill="1" applyAlignment="1" applyProtection="1">
      <alignment horizontal="center" vertical="top"/>
    </xf>
    <xf numFmtId="39" fontId="14" fillId="9" borderId="0" xfId="35" applyFont="1" applyFill="1" applyAlignment="1">
      <alignment vertical="top"/>
    </xf>
    <xf numFmtId="39" fontId="23" fillId="9" borderId="0" xfId="37" applyFont="1" applyFill="1" applyAlignment="1" applyProtection="1">
      <alignment horizontal="right" vertical="top"/>
    </xf>
    <xf numFmtId="0" fontId="24" fillId="9" borderId="0" xfId="52" applyFont="1" applyFill="1" applyAlignment="1">
      <alignment horizontal="center" vertical="top"/>
    </xf>
    <xf numFmtId="39" fontId="23" fillId="9" borderId="0" xfId="35" applyFont="1" applyFill="1" applyAlignment="1">
      <alignment horizontal="left" vertical="top"/>
    </xf>
    <xf numFmtId="39" fontId="30" fillId="9" borderId="0" xfId="59" applyFont="1" applyFill="1" applyAlignment="1">
      <alignment horizontal="center" vertical="top"/>
    </xf>
    <xf numFmtId="0" fontId="141" fillId="9" borderId="0" xfId="52" applyFont="1" applyFill="1" applyAlignment="1">
      <alignment horizontal="left" vertical="top"/>
    </xf>
    <xf numFmtId="39" fontId="31" fillId="9" borderId="0" xfId="38" applyFont="1" applyFill="1"/>
    <xf numFmtId="39" fontId="23" fillId="9" borderId="0" xfId="61" applyFont="1" applyFill="1" applyAlignment="1" applyProtection="1">
      <alignment horizontal="left"/>
    </xf>
    <xf numFmtId="39" fontId="5" fillId="9" borderId="0" xfId="35" applyFont="1" applyFill="1"/>
    <xf numFmtId="0" fontId="23" fillId="9" borderId="0" xfId="52" applyFont="1" applyFill="1" applyAlignment="1">
      <alignment horizontal="center"/>
    </xf>
    <xf numFmtId="0" fontId="23" fillId="9" borderId="0" xfId="52" applyFont="1" applyFill="1" applyAlignment="1">
      <alignment horizontal="left"/>
    </xf>
    <xf numFmtId="39" fontId="23" fillId="9" borderId="0" xfId="37" applyFont="1" applyFill="1" applyAlignment="1" applyProtection="1">
      <alignment horizontal="center"/>
    </xf>
    <xf numFmtId="39" fontId="9" fillId="9" borderId="0" xfId="61" applyFont="1" applyFill="1" applyAlignment="1">
      <alignment horizontal="right"/>
    </xf>
    <xf numFmtId="39" fontId="100" fillId="9" borderId="0" xfId="35" applyFont="1" applyFill="1"/>
    <xf numFmtId="39" fontId="9" fillId="9" borderId="0" xfId="61" applyFont="1" applyFill="1"/>
    <xf numFmtId="49" fontId="9" fillId="9" borderId="0" xfId="61" applyNumberFormat="1" applyFont="1" applyFill="1"/>
    <xf numFmtId="39" fontId="9" fillId="9" borderId="0" xfId="61" applyFont="1" applyFill="1" applyAlignment="1">
      <alignment horizontal="left"/>
    </xf>
    <xf numFmtId="39" fontId="9" fillId="9" borderId="0" xfId="63" applyFont="1" applyFill="1"/>
    <xf numFmtId="39" fontId="9" fillId="9" borderId="0" xfId="61" applyFont="1" applyFill="1" applyAlignment="1" applyProtection="1">
      <alignment horizontal="left"/>
    </xf>
    <xf numFmtId="49" fontId="9" fillId="9" borderId="0" xfId="61" applyNumberFormat="1" applyFont="1" applyFill="1" applyAlignment="1" applyProtection="1">
      <alignment horizontal="left"/>
    </xf>
    <xf numFmtId="39" fontId="30" fillId="9" borderId="0" xfId="63" applyFont="1" applyFill="1" applyAlignment="1">
      <alignment horizontal="center"/>
    </xf>
    <xf numFmtId="39" fontId="9" fillId="9" borderId="0" xfId="37" applyFont="1" applyFill="1" applyBorder="1" applyAlignment="1">
      <alignment vertical="center"/>
    </xf>
    <xf numFmtId="39" fontId="142" fillId="9" borderId="0" xfId="37" applyFont="1" applyFill="1" applyBorder="1" applyAlignment="1">
      <alignment vertical="center"/>
    </xf>
    <xf numFmtId="39" fontId="143" fillId="9" borderId="0" xfId="37" applyFont="1" applyFill="1" applyBorder="1" applyAlignment="1">
      <alignment vertical="center"/>
    </xf>
    <xf numFmtId="39" fontId="23" fillId="9" borderId="18" xfId="37" applyFont="1" applyFill="1" applyBorder="1"/>
    <xf numFmtId="39" fontId="23" fillId="10" borderId="18" xfId="37" applyFont="1" applyFill="1" applyBorder="1"/>
    <xf numFmtId="1" fontId="24" fillId="9" borderId="0" xfId="37" applyNumberFormat="1" applyFont="1" applyFill="1" applyBorder="1" applyAlignment="1">
      <alignment horizontal="center" vertical="center"/>
    </xf>
    <xf numFmtId="1" fontId="23" fillId="9" borderId="0" xfId="37" applyNumberFormat="1" applyFont="1" applyFill="1" applyBorder="1" applyAlignment="1">
      <alignment horizontal="center" vertical="center"/>
    </xf>
    <xf numFmtId="39" fontId="9" fillId="9" borderId="17" xfId="37" applyFont="1" applyFill="1" applyBorder="1"/>
    <xf numFmtId="39" fontId="9" fillId="9" borderId="17" xfId="37" applyFont="1" applyFill="1" applyBorder="1" applyAlignment="1">
      <alignment horizontal="right"/>
    </xf>
    <xf numFmtId="39" fontId="23" fillId="9" borderId="9" xfId="52" applyNumberFormat="1" applyFont="1" applyFill="1" applyBorder="1"/>
    <xf numFmtId="39" fontId="9" fillId="9" borderId="0" xfId="37" applyFont="1" applyFill="1" applyBorder="1" applyAlignment="1">
      <alignment horizontal="right"/>
    </xf>
    <xf numFmtId="39" fontId="23" fillId="9" borderId="9" xfId="37" applyFont="1" applyFill="1" applyBorder="1" applyAlignment="1">
      <alignment horizontal="right"/>
    </xf>
    <xf numFmtId="39" fontId="23" fillId="9" borderId="9" xfId="37" applyFont="1" applyFill="1" applyBorder="1"/>
    <xf numFmtId="39" fontId="9" fillId="9" borderId="11" xfId="37" applyFont="1" applyFill="1" applyBorder="1" applyProtection="1">
      <protection locked="0"/>
    </xf>
    <xf numFmtId="39" fontId="9" fillId="9" borderId="18" xfId="37" quotePrefix="1" applyFont="1" applyFill="1" applyBorder="1" applyAlignment="1">
      <alignment horizontal="right"/>
    </xf>
    <xf numFmtId="49" fontId="9" fillId="9" borderId="11" xfId="37" quotePrefix="1" applyNumberFormat="1" applyFont="1" applyFill="1" applyBorder="1" applyAlignment="1">
      <alignment horizontal="right"/>
    </xf>
    <xf numFmtId="39" fontId="9" fillId="9" borderId="11" xfId="37" applyFont="1" applyFill="1" applyBorder="1"/>
    <xf numFmtId="39" fontId="144" fillId="9" borderId="0" xfId="37" applyFont="1" applyFill="1"/>
    <xf numFmtId="39" fontId="9" fillId="9" borderId="0" xfId="64" applyFont="1" applyFill="1"/>
    <xf numFmtId="39" fontId="31" fillId="9" borderId="0" xfId="37" applyFont="1" applyFill="1"/>
    <xf numFmtId="39" fontId="23" fillId="9" borderId="9" xfId="37" applyFont="1" applyFill="1" applyBorder="1" applyAlignment="1" applyProtection="1">
      <alignment horizontal="right"/>
      <protection locked="0"/>
    </xf>
    <xf numFmtId="39" fontId="23" fillId="9" borderId="9" xfId="37" applyFont="1" applyFill="1" applyBorder="1" applyProtection="1">
      <protection locked="0"/>
    </xf>
    <xf numFmtId="39" fontId="23" fillId="10" borderId="9" xfId="37" quotePrefix="1" applyFont="1" applyFill="1" applyBorder="1" applyAlignment="1">
      <alignment horizontal="right"/>
    </xf>
    <xf numFmtId="39" fontId="23" fillId="9" borderId="9" xfId="37" quotePrefix="1" applyFont="1" applyFill="1" applyBorder="1" applyAlignment="1">
      <alignment horizontal="right"/>
    </xf>
    <xf numFmtId="39" fontId="23" fillId="9" borderId="9" xfId="37" applyFont="1" applyFill="1" applyBorder="1" applyAlignment="1" applyProtection="1">
      <alignment horizontal="left"/>
    </xf>
    <xf numFmtId="39" fontId="23" fillId="10" borderId="7" xfId="37" applyFont="1" applyFill="1" applyBorder="1"/>
    <xf numFmtId="1" fontId="24" fillId="9" borderId="9" xfId="37" applyNumberFormat="1" applyFont="1" applyFill="1" applyBorder="1" applyAlignment="1" applyProtection="1">
      <alignment horizontal="center"/>
      <protection locked="0"/>
    </xf>
    <xf numFmtId="39" fontId="9" fillId="9" borderId="9" xfId="37" applyFont="1" applyFill="1" applyBorder="1" applyAlignment="1" applyProtection="1">
      <alignment horizontal="right"/>
      <protection locked="0"/>
    </xf>
    <xf numFmtId="39" fontId="9" fillId="9" borderId="9" xfId="37" applyFont="1" applyFill="1" applyBorder="1" applyProtection="1">
      <protection locked="0"/>
    </xf>
    <xf numFmtId="39" fontId="9" fillId="9" borderId="0" xfId="37" quotePrefix="1" applyFont="1" applyFill="1" applyBorder="1" applyAlignment="1">
      <alignment horizontal="right"/>
    </xf>
    <xf numFmtId="39" fontId="9" fillId="9" borderId="9" xfId="37" quotePrefix="1" applyFont="1" applyFill="1" applyBorder="1" applyAlignment="1">
      <alignment horizontal="right"/>
    </xf>
    <xf numFmtId="39" fontId="110" fillId="9" borderId="9" xfId="37" applyFont="1" applyFill="1" applyBorder="1" applyAlignment="1" applyProtection="1">
      <alignment horizontal="left"/>
      <protection locked="0"/>
    </xf>
    <xf numFmtId="1" fontId="30" fillId="9" borderId="9" xfId="37" applyNumberFormat="1" applyFont="1" applyFill="1" applyBorder="1" applyAlignment="1" applyProtection="1">
      <alignment horizontal="center"/>
      <protection locked="0"/>
    </xf>
    <xf numFmtId="39" fontId="9" fillId="10" borderId="9" xfId="37" quotePrefix="1" applyFont="1" applyFill="1" applyBorder="1" applyAlignment="1">
      <alignment horizontal="right"/>
    </xf>
    <xf numFmtId="39" fontId="24" fillId="9" borderId="9" xfId="37" applyFont="1" applyFill="1" applyBorder="1" applyAlignment="1" applyProtection="1">
      <alignment horizontal="left"/>
    </xf>
    <xf numFmtId="39" fontId="9" fillId="9" borderId="9" xfId="37" applyFont="1" applyFill="1" applyBorder="1"/>
    <xf numFmtId="39" fontId="9" fillId="9" borderId="9" xfId="37" quotePrefix="1" applyFont="1" applyFill="1" applyBorder="1" applyAlignment="1" applyProtection="1">
      <alignment horizontal="right"/>
    </xf>
    <xf numFmtId="39" fontId="9" fillId="9" borderId="7" xfId="37" quotePrefix="1" applyFont="1" applyFill="1" applyBorder="1" applyAlignment="1" applyProtection="1">
      <alignment horizontal="center"/>
    </xf>
    <xf numFmtId="39" fontId="23" fillId="10" borderId="9" xfId="37" applyFont="1" applyFill="1" applyBorder="1" applyProtection="1">
      <protection locked="0"/>
    </xf>
    <xf numFmtId="39" fontId="23" fillId="9" borderId="9" xfId="37" quotePrefix="1" applyFont="1" applyFill="1" applyBorder="1" applyAlignment="1" applyProtection="1">
      <alignment horizontal="right"/>
    </xf>
    <xf numFmtId="39" fontId="23" fillId="9" borderId="7" xfId="37" quotePrefix="1" applyFont="1" applyFill="1" applyBorder="1" applyAlignment="1" applyProtection="1">
      <alignment horizontal="center"/>
    </xf>
    <xf numFmtId="39" fontId="23" fillId="10" borderId="9" xfId="37" applyFont="1" applyFill="1" applyBorder="1" applyAlignment="1" applyProtection="1">
      <alignment horizontal="left"/>
    </xf>
    <xf numFmtId="39" fontId="23" fillId="10" borderId="9" xfId="37" applyFont="1" applyFill="1" applyBorder="1"/>
    <xf numFmtId="39" fontId="23" fillId="9" borderId="7" xfId="37" applyFont="1" applyFill="1" applyBorder="1"/>
    <xf numFmtId="37" fontId="30" fillId="9" borderId="9" xfId="37" quotePrefix="1" applyNumberFormat="1" applyFont="1" applyFill="1" applyBorder="1" applyAlignment="1" applyProtection="1">
      <alignment horizontal="center"/>
    </xf>
    <xf numFmtId="39" fontId="9" fillId="9" borderId="0" xfId="37" applyFont="1" applyFill="1" applyBorder="1" applyProtection="1">
      <protection locked="0"/>
    </xf>
    <xf numFmtId="39" fontId="23" fillId="9" borderId="9" xfId="37" applyFont="1" applyFill="1" applyBorder="1" applyAlignment="1" applyProtection="1">
      <alignment horizontal="left"/>
      <protection locked="0"/>
    </xf>
    <xf numFmtId="39" fontId="144" fillId="9" borderId="0" xfId="37" applyFont="1" applyFill="1" applyAlignment="1">
      <alignment vertical="center"/>
    </xf>
    <xf numFmtId="39" fontId="23" fillId="9" borderId="0" xfId="37" applyFont="1" applyFill="1" applyBorder="1" applyProtection="1">
      <protection locked="0"/>
    </xf>
    <xf numFmtId="1" fontId="23" fillId="9" borderId="9" xfId="37" applyNumberFormat="1" applyFont="1" applyFill="1" applyBorder="1" applyAlignment="1" applyProtection="1">
      <alignment horizontal="center"/>
      <protection locked="0"/>
    </xf>
    <xf numFmtId="39" fontId="139" fillId="9" borderId="0" xfId="37" applyFont="1" applyFill="1" applyAlignment="1">
      <alignment vertical="center"/>
    </xf>
    <xf numFmtId="1" fontId="9" fillId="9" borderId="9" xfId="37" applyNumberFormat="1" applyFont="1" applyFill="1" applyBorder="1" applyAlignment="1" applyProtection="1">
      <alignment horizontal="center"/>
      <protection locked="0"/>
    </xf>
    <xf numFmtId="39" fontId="9" fillId="9" borderId="9" xfId="37" applyFont="1" applyFill="1" applyBorder="1" applyAlignment="1">
      <alignment horizontal="left"/>
    </xf>
    <xf numFmtId="39" fontId="23" fillId="9" borderId="7" xfId="37" applyFont="1" applyFill="1" applyBorder="1" applyAlignment="1" applyProtection="1">
      <alignment horizontal="left"/>
      <protection locked="0"/>
    </xf>
    <xf numFmtId="39" fontId="139" fillId="9" borderId="9" xfId="37" applyFont="1" applyFill="1" applyBorder="1" applyAlignment="1">
      <alignment vertical="center"/>
    </xf>
    <xf numFmtId="39" fontId="139" fillId="9" borderId="9" xfId="37" applyFont="1" applyFill="1" applyBorder="1" applyAlignment="1">
      <alignment horizontal="right" vertical="center"/>
    </xf>
    <xf numFmtId="0" fontId="61" fillId="9" borderId="9" xfId="52" applyFont="1" applyFill="1" applyBorder="1" applyAlignment="1">
      <alignment vertical="center"/>
    </xf>
    <xf numFmtId="39" fontId="30" fillId="9" borderId="9" xfId="37" applyFont="1" applyFill="1" applyBorder="1" applyAlignment="1">
      <alignment horizontal="center" vertical="center"/>
    </xf>
    <xf numFmtId="39" fontId="9" fillId="9" borderId="8" xfId="37" quotePrefix="1" applyFont="1" applyFill="1" applyBorder="1" applyAlignment="1" applyProtection="1">
      <alignment horizontal="center"/>
    </xf>
    <xf numFmtId="39" fontId="9" fillId="9" borderId="2" xfId="37" quotePrefix="1" applyFont="1" applyFill="1" applyBorder="1" applyAlignment="1" applyProtection="1">
      <alignment horizontal="center"/>
    </xf>
    <xf numFmtId="39" fontId="9" fillId="9" borderId="12" xfId="37" quotePrefix="1" applyFont="1" applyFill="1" applyBorder="1" applyAlignment="1" applyProtection="1">
      <alignment horizontal="center"/>
    </xf>
    <xf numFmtId="39" fontId="9" fillId="9" borderId="9" xfId="37" quotePrefix="1" applyFont="1" applyFill="1" applyBorder="1" applyAlignment="1" applyProtection="1">
      <alignment horizontal="center"/>
    </xf>
    <xf numFmtId="39" fontId="9" fillId="9" borderId="7" xfId="37" applyFont="1" applyFill="1" applyBorder="1" applyAlignment="1" applyProtection="1">
      <alignment horizontal="center"/>
    </xf>
    <xf numFmtId="39" fontId="9" fillId="9" borderId="9" xfId="37" applyFont="1" applyFill="1" applyBorder="1" applyAlignment="1" applyProtection="1">
      <alignment horizontal="center"/>
    </xf>
    <xf numFmtId="39" fontId="145" fillId="9" borderId="9" xfId="39" applyFont="1" applyFill="1" applyBorder="1"/>
    <xf numFmtId="39" fontId="30" fillId="9" borderId="8" xfId="37" applyFont="1" applyFill="1" applyBorder="1" applyAlignment="1" applyProtection="1">
      <alignment horizontal="center"/>
    </xf>
    <xf numFmtId="39" fontId="30" fillId="9" borderId="12" xfId="37" applyFont="1" applyFill="1" applyBorder="1" applyAlignment="1" applyProtection="1">
      <alignment horizontal="center"/>
    </xf>
    <xf numFmtId="39" fontId="30" fillId="9" borderId="7" xfId="37" applyFont="1" applyFill="1" applyBorder="1" applyAlignment="1">
      <alignment horizontal="center"/>
    </xf>
    <xf numFmtId="39" fontId="9" fillId="9" borderId="10" xfId="37" applyFont="1" applyFill="1" applyBorder="1" applyAlignment="1">
      <alignment horizontal="centerContinuous"/>
    </xf>
    <xf numFmtId="39" fontId="9" fillId="9" borderId="11" xfId="37" applyFont="1" applyFill="1" applyBorder="1" applyAlignment="1" applyProtection="1">
      <alignment horizontal="center"/>
    </xf>
    <xf numFmtId="39" fontId="9" fillId="9" borderId="14" xfId="37" applyFont="1" applyFill="1" applyBorder="1"/>
    <xf numFmtId="39" fontId="30" fillId="9" borderId="13" xfId="37" applyFont="1" applyFill="1" applyBorder="1" applyAlignment="1">
      <alignment horizontal="center"/>
    </xf>
    <xf numFmtId="39" fontId="9" fillId="9" borderId="0" xfId="65" applyFont="1" applyFill="1" applyBorder="1"/>
    <xf numFmtId="39" fontId="9" fillId="9" borderId="0" xfId="65" applyFont="1" applyFill="1" applyBorder="1" applyProtection="1">
      <protection locked="0"/>
    </xf>
    <xf numFmtId="39" fontId="9" fillId="9" borderId="0" xfId="37" applyFont="1" applyFill="1" applyBorder="1"/>
    <xf numFmtId="39" fontId="30" fillId="9" borderId="0" xfId="65" applyFont="1" applyFill="1" applyAlignment="1" applyProtection="1">
      <alignment horizontal="center"/>
      <protection locked="0"/>
    </xf>
    <xf numFmtId="1" fontId="9" fillId="9" borderId="0" xfId="37" applyNumberFormat="1" applyFont="1" applyFill="1" applyBorder="1" applyAlignment="1" applyProtection="1">
      <alignment horizontal="center"/>
      <protection locked="0"/>
    </xf>
    <xf numFmtId="39" fontId="30" fillId="9" borderId="0" xfId="65" applyFont="1" applyFill="1" applyBorder="1" applyAlignment="1" applyProtection="1">
      <alignment horizontal="center"/>
    </xf>
    <xf numFmtId="39" fontId="9" fillId="9" borderId="0" xfId="37" quotePrefix="1" applyFont="1" applyFill="1" applyBorder="1" applyAlignment="1" applyProtection="1">
      <alignment horizontal="right"/>
    </xf>
    <xf numFmtId="37" fontId="30" fillId="9" borderId="0" xfId="37" quotePrefix="1" applyNumberFormat="1" applyFont="1" applyFill="1" applyBorder="1" applyAlignment="1" applyProtection="1">
      <alignment horizontal="center"/>
    </xf>
    <xf numFmtId="37" fontId="9" fillId="9" borderId="0" xfId="37" quotePrefix="1" applyNumberFormat="1" applyFont="1" applyFill="1" applyBorder="1" applyAlignment="1" applyProtection="1">
      <alignment horizontal="center"/>
    </xf>
    <xf numFmtId="39" fontId="9" fillId="9" borderId="2" xfId="37" applyFont="1" applyFill="1" applyBorder="1" applyAlignment="1" applyProtection="1">
      <alignment horizontal="right"/>
      <protection locked="0"/>
    </xf>
    <xf numFmtId="39" fontId="9" fillId="9" borderId="2" xfId="37" applyFont="1" applyFill="1" applyBorder="1" applyProtection="1">
      <protection locked="0"/>
    </xf>
    <xf numFmtId="39" fontId="9" fillId="9" borderId="2" xfId="37" quotePrefix="1" applyFont="1" applyFill="1" applyBorder="1" applyAlignment="1">
      <alignment horizontal="right"/>
    </xf>
    <xf numFmtId="39" fontId="23" fillId="9" borderId="2" xfId="37" applyFont="1" applyFill="1" applyBorder="1" applyAlignment="1" applyProtection="1">
      <alignment horizontal="left"/>
    </xf>
    <xf numFmtId="39" fontId="9" fillId="9" borderId="2" xfId="37" applyFont="1" applyFill="1" applyBorder="1"/>
    <xf numFmtId="1" fontId="9" fillId="9" borderId="2" xfId="37" applyNumberFormat="1" applyFont="1" applyFill="1" applyBorder="1" applyAlignment="1" applyProtection="1">
      <alignment horizontal="center"/>
      <protection locked="0"/>
    </xf>
    <xf numFmtId="39" fontId="30" fillId="9" borderId="9" xfId="37" applyFont="1" applyFill="1" applyBorder="1"/>
    <xf numFmtId="39" fontId="110" fillId="9" borderId="9" xfId="37" applyFont="1" applyFill="1" applyBorder="1" applyAlignment="1" applyProtection="1">
      <alignment horizontal="left"/>
    </xf>
    <xf numFmtId="37" fontId="24" fillId="9" borderId="9" xfId="37" quotePrefix="1" applyNumberFormat="1" applyFont="1" applyFill="1" applyBorder="1" applyAlignment="1" applyProtection="1">
      <alignment horizontal="center"/>
    </xf>
    <xf numFmtId="39" fontId="9" fillId="9" borderId="10" xfId="37" quotePrefix="1" applyFont="1" applyFill="1" applyBorder="1" applyAlignment="1" applyProtection="1">
      <alignment horizontal="center"/>
    </xf>
    <xf numFmtId="39" fontId="23" fillId="9" borderId="0" xfId="37" applyFont="1" applyFill="1" applyBorder="1" applyAlignment="1" applyProtection="1">
      <alignment horizontal="right"/>
      <protection locked="0"/>
    </xf>
    <xf numFmtId="39" fontId="23" fillId="9" borderId="0" xfId="37" quotePrefix="1" applyFont="1" applyFill="1" applyBorder="1" applyAlignment="1">
      <alignment horizontal="right"/>
    </xf>
    <xf numFmtId="39" fontId="23" fillId="9" borderId="0" xfId="37" applyFont="1" applyFill="1" applyBorder="1" applyAlignment="1" applyProtection="1">
      <alignment horizontal="left"/>
    </xf>
    <xf numFmtId="1" fontId="24" fillId="9" borderId="0" xfId="37" applyNumberFormat="1" applyFont="1" applyFill="1" applyBorder="1" applyAlignment="1" applyProtection="1">
      <alignment horizontal="center"/>
      <protection locked="0"/>
    </xf>
    <xf numFmtId="1" fontId="23" fillId="9" borderId="0" xfId="37" applyNumberFormat="1" applyFont="1" applyFill="1" applyBorder="1" applyAlignment="1" applyProtection="1">
      <alignment horizontal="center"/>
      <protection locked="0"/>
    </xf>
    <xf numFmtId="1" fontId="30" fillId="9" borderId="2" xfId="37" applyNumberFormat="1" applyFont="1" applyFill="1" applyBorder="1" applyAlignment="1" applyProtection="1">
      <alignment horizontal="center"/>
      <protection locked="0"/>
    </xf>
    <xf numFmtId="39" fontId="9" fillId="9" borderId="7" xfId="37" quotePrefix="1" applyFont="1" applyFill="1" applyBorder="1" applyAlignment="1" applyProtection="1">
      <alignment horizontal="right"/>
    </xf>
    <xf numFmtId="39" fontId="110" fillId="9" borderId="9" xfId="37" applyFont="1" applyFill="1" applyBorder="1"/>
    <xf numFmtId="39" fontId="23" fillId="9" borderId="7" xfId="37" applyFont="1" applyFill="1" applyBorder="1" applyAlignment="1" applyProtection="1">
      <alignment horizontal="right"/>
      <protection locked="0"/>
    </xf>
    <xf numFmtId="39" fontId="23" fillId="9" borderId="7" xfId="37" applyFont="1" applyFill="1" applyBorder="1" applyProtection="1">
      <protection locked="0"/>
    </xf>
    <xf numFmtId="39" fontId="23" fillId="9" borderId="7" xfId="37" quotePrefix="1" applyFont="1" applyFill="1" applyBorder="1" applyAlignment="1">
      <alignment horizontal="right"/>
    </xf>
    <xf numFmtId="1" fontId="24" fillId="9" borderId="9" xfId="37" quotePrefix="1" applyNumberFormat="1" applyFont="1" applyFill="1" applyBorder="1" applyAlignment="1" applyProtection="1">
      <alignment horizontal="center"/>
    </xf>
    <xf numFmtId="1" fontId="30" fillId="9" borderId="9" xfId="37" quotePrefix="1" applyNumberFormat="1" applyFont="1" applyFill="1" applyBorder="1" applyAlignment="1" applyProtection="1">
      <alignment horizontal="center"/>
    </xf>
    <xf numFmtId="39" fontId="9" fillId="9" borderId="9" xfId="65" applyFont="1" applyFill="1" applyBorder="1" applyProtection="1">
      <protection locked="0"/>
    </xf>
    <xf numFmtId="49" fontId="9" fillId="9" borderId="9" xfId="65" applyNumberFormat="1" applyFont="1" applyFill="1" applyBorder="1" applyAlignment="1" applyProtection="1">
      <alignment horizontal="right"/>
    </xf>
    <xf numFmtId="1" fontId="9" fillId="9" borderId="9" xfId="37" quotePrefix="1" applyNumberFormat="1" applyFont="1" applyFill="1" applyBorder="1" applyAlignment="1" applyProtection="1">
      <alignment horizontal="center"/>
    </xf>
    <xf numFmtId="39" fontId="25" fillId="9" borderId="9" xfId="37" applyFont="1" applyFill="1" applyBorder="1"/>
    <xf numFmtId="39" fontId="26" fillId="9" borderId="7" xfId="37" applyFont="1" applyFill="1" applyBorder="1"/>
    <xf numFmtId="39" fontId="147" fillId="9" borderId="9" xfId="37" applyFont="1" applyFill="1" applyBorder="1" applyAlignment="1" applyProtection="1">
      <alignment horizontal="left"/>
    </xf>
    <xf numFmtId="1" fontId="24" fillId="9" borderId="10" xfId="37" applyNumberFormat="1" applyFont="1" applyFill="1" applyBorder="1" applyAlignment="1" applyProtection="1">
      <alignment horizontal="center"/>
      <protection locked="0"/>
    </xf>
    <xf numFmtId="39" fontId="23" fillId="9" borderId="9" xfId="37" applyFont="1" applyFill="1" applyBorder="1" applyAlignment="1" applyProtection="1">
      <alignment vertical="center"/>
      <protection locked="0"/>
    </xf>
    <xf numFmtId="39" fontId="23" fillId="9" borderId="9" xfId="37" quotePrefix="1" applyFont="1" applyFill="1" applyBorder="1" applyAlignment="1">
      <alignment horizontal="right" vertical="center"/>
    </xf>
    <xf numFmtId="39" fontId="23" fillId="9" borderId="9" xfId="65" applyFont="1" applyFill="1" applyBorder="1" applyProtection="1">
      <protection locked="0"/>
    </xf>
    <xf numFmtId="49" fontId="23" fillId="9" borderId="9" xfId="65" applyNumberFormat="1" applyFont="1" applyFill="1" applyBorder="1" applyAlignment="1" applyProtection="1">
      <alignment horizontal="right"/>
    </xf>
    <xf numFmtId="39" fontId="23" fillId="9" borderId="9" xfId="37" applyFont="1" applyFill="1" applyBorder="1" applyAlignment="1" applyProtection="1">
      <alignment horizontal="left" vertical="center"/>
    </xf>
    <xf numFmtId="4" fontId="23" fillId="9" borderId="9" xfId="37" applyNumberFormat="1" applyFont="1" applyFill="1" applyBorder="1" applyAlignment="1" applyProtection="1">
      <alignment horizontal="left"/>
    </xf>
    <xf numFmtId="39" fontId="24" fillId="9" borderId="9" xfId="37" applyFont="1" applyFill="1" applyBorder="1"/>
    <xf numFmtId="39" fontId="23" fillId="9" borderId="8" xfId="37" quotePrefix="1" applyFont="1" applyFill="1" applyBorder="1" applyAlignment="1" applyProtection="1">
      <alignment horizontal="center"/>
    </xf>
    <xf numFmtId="39" fontId="23" fillId="9" borderId="2" xfId="37" quotePrefix="1" applyFont="1" applyFill="1" applyBorder="1" applyAlignment="1" applyProtection="1">
      <alignment horizontal="center"/>
    </xf>
    <xf numFmtId="39" fontId="24" fillId="9" borderId="2" xfId="37" quotePrefix="1" applyFont="1" applyFill="1" applyBorder="1" applyAlignment="1" applyProtection="1">
      <alignment horizontal="center"/>
    </xf>
    <xf numFmtId="39" fontId="23" fillId="9" borderId="12" xfId="37" quotePrefix="1" applyFont="1" applyFill="1" applyBorder="1" applyAlignment="1" applyProtection="1">
      <alignment horizontal="center"/>
    </xf>
    <xf numFmtId="39" fontId="23" fillId="9" borderId="9" xfId="37" quotePrefix="1" applyFont="1" applyFill="1" applyBorder="1" applyAlignment="1" applyProtection="1">
      <alignment horizontal="center"/>
    </xf>
    <xf numFmtId="39" fontId="23" fillId="9" borderId="7" xfId="37" applyFont="1" applyFill="1" applyBorder="1" applyAlignment="1" applyProtection="1">
      <alignment horizontal="center"/>
    </xf>
    <xf numFmtId="39" fontId="23" fillId="9" borderId="9" xfId="37" applyFont="1" applyFill="1" applyBorder="1" applyAlignment="1" applyProtection="1">
      <alignment horizontal="center"/>
    </xf>
    <xf numFmtId="39" fontId="148" fillId="9" borderId="9" xfId="39" applyFont="1" applyFill="1" applyBorder="1"/>
    <xf numFmtId="39" fontId="24" fillId="9" borderId="8" xfId="37" applyFont="1" applyFill="1" applyBorder="1" applyAlignment="1" applyProtection="1">
      <alignment horizontal="center"/>
    </xf>
    <xf numFmtId="39" fontId="24" fillId="9" borderId="12" xfId="37" applyFont="1" applyFill="1" applyBorder="1" applyAlignment="1" applyProtection="1">
      <alignment horizontal="center"/>
    </xf>
    <xf numFmtId="39" fontId="23" fillId="9" borderId="10" xfId="37" applyFont="1" applyFill="1" applyBorder="1"/>
    <xf numFmtId="39" fontId="24" fillId="9" borderId="7" xfId="37" applyFont="1" applyFill="1" applyBorder="1" applyAlignment="1">
      <alignment horizontal="center"/>
    </xf>
    <xf numFmtId="39" fontId="23" fillId="9" borderId="10" xfId="37" applyFont="1" applyFill="1" applyBorder="1" applyAlignment="1">
      <alignment horizontal="centerContinuous"/>
    </xf>
    <xf numFmtId="39" fontId="23" fillId="9" borderId="11" xfId="37" applyFont="1" applyFill="1" applyBorder="1" applyAlignment="1" applyProtection="1">
      <alignment horizontal="center"/>
    </xf>
    <xf numFmtId="39" fontId="23" fillId="9" borderId="14" xfId="37" applyFont="1" applyFill="1" applyBorder="1"/>
    <xf numFmtId="39" fontId="23" fillId="9" borderId="11" xfId="37" applyFont="1" applyFill="1" applyBorder="1"/>
    <xf numFmtId="39" fontId="24" fillId="9" borderId="13" xfId="37" applyFont="1" applyFill="1" applyBorder="1" applyAlignment="1">
      <alignment horizontal="center"/>
    </xf>
    <xf numFmtId="39" fontId="23" fillId="9" borderId="0" xfId="65" applyFont="1" applyFill="1" applyBorder="1"/>
    <xf numFmtId="39" fontId="23" fillId="9" borderId="0" xfId="65" applyFont="1" applyFill="1" applyBorder="1" applyProtection="1">
      <protection locked="0"/>
    </xf>
    <xf numFmtId="39" fontId="23" fillId="9" borderId="0" xfId="37" applyFont="1" applyFill="1" applyBorder="1" applyAlignment="1">
      <alignment horizontal="right"/>
    </xf>
    <xf numFmtId="39" fontId="24" fillId="9" borderId="0" xfId="65" applyFont="1" applyFill="1" applyAlignment="1" applyProtection="1">
      <alignment horizontal="center"/>
      <protection locked="0"/>
    </xf>
    <xf numFmtId="39" fontId="24" fillId="9" borderId="0" xfId="65" applyFont="1" applyFill="1" applyBorder="1" applyAlignment="1" applyProtection="1">
      <alignment horizontal="center"/>
    </xf>
    <xf numFmtId="39" fontId="23" fillId="9" borderId="0" xfId="37" applyFont="1" applyFill="1" applyBorder="1" applyAlignment="1">
      <alignment horizontal="left"/>
    </xf>
    <xf numFmtId="39" fontId="23" fillId="10" borderId="0" xfId="37" applyFont="1" applyFill="1" applyBorder="1" applyAlignment="1" applyProtection="1">
      <alignment horizontal="left"/>
    </xf>
    <xf numFmtId="39" fontId="23" fillId="10" borderId="0" xfId="37" applyFont="1" applyFill="1" applyBorder="1"/>
    <xf numFmtId="39" fontId="23" fillId="9" borderId="2" xfId="37" applyFont="1" applyFill="1" applyBorder="1" applyAlignment="1" applyProtection="1">
      <alignment vertical="center"/>
      <protection locked="0"/>
    </xf>
    <xf numFmtId="39" fontId="23" fillId="9" borderId="2" xfId="37" quotePrefix="1" applyFont="1" applyFill="1" applyBorder="1" applyAlignment="1">
      <alignment horizontal="right" vertical="center"/>
    </xf>
    <xf numFmtId="39" fontId="23" fillId="9" borderId="2" xfId="37" applyFont="1" applyFill="1" applyBorder="1" applyAlignment="1" applyProtection="1">
      <alignment horizontal="left" vertical="center"/>
    </xf>
    <xf numFmtId="39" fontId="24" fillId="9" borderId="8" xfId="37" applyFont="1" applyFill="1" applyBorder="1" applyAlignment="1">
      <alignment vertical="center" wrapText="1"/>
    </xf>
    <xf numFmtId="1" fontId="24" fillId="9" borderId="2" xfId="37" applyNumberFormat="1" applyFont="1" applyFill="1" applyBorder="1" applyAlignment="1" applyProtection="1">
      <alignment horizontal="center"/>
      <protection locked="0"/>
    </xf>
    <xf numFmtId="39" fontId="24" fillId="9" borderId="7" xfId="37" applyFont="1" applyFill="1" applyBorder="1"/>
    <xf numFmtId="39" fontId="9" fillId="9" borderId="9" xfId="37" applyFont="1" applyFill="1" applyBorder="1" applyAlignment="1">
      <alignment horizontal="right"/>
    </xf>
    <xf numFmtId="39" fontId="150" fillId="9" borderId="7" xfId="37" applyFont="1" applyFill="1" applyBorder="1"/>
    <xf numFmtId="1" fontId="30" fillId="9" borderId="9" xfId="37" quotePrefix="1" applyNumberFormat="1" applyFont="1" applyFill="1" applyBorder="1" applyAlignment="1" applyProtection="1">
      <alignment horizontal="center"/>
      <protection locked="0"/>
    </xf>
    <xf numFmtId="1" fontId="30" fillId="9" borderId="10" xfId="37" quotePrefix="1" applyNumberFormat="1" applyFont="1" applyFill="1" applyBorder="1" applyAlignment="1" applyProtection="1">
      <alignment horizontal="center"/>
      <protection locked="0"/>
    </xf>
    <xf numFmtId="39" fontId="110" fillId="9" borderId="7" xfId="37" applyFont="1" applyFill="1" applyBorder="1"/>
    <xf numFmtId="39" fontId="9" fillId="9" borderId="7" xfId="37" quotePrefix="1" applyFont="1" applyFill="1" applyBorder="1" applyAlignment="1" applyProtection="1">
      <alignment horizontal="center" vertical="center"/>
    </xf>
    <xf numFmtId="39" fontId="9" fillId="9" borderId="9" xfId="37" quotePrefix="1" applyFont="1" applyFill="1" applyBorder="1" applyAlignment="1" applyProtection="1">
      <alignment horizontal="center" vertical="center"/>
    </xf>
    <xf numFmtId="39" fontId="30" fillId="9" borderId="10" xfId="37" quotePrefix="1" applyFont="1" applyFill="1" applyBorder="1" applyAlignment="1" applyProtection="1">
      <alignment horizontal="center" vertical="center"/>
    </xf>
    <xf numFmtId="39" fontId="31" fillId="9" borderId="0" xfId="37" quotePrefix="1" applyFont="1" applyFill="1" applyBorder="1" applyAlignment="1" applyProtection="1">
      <alignment horizontal="left"/>
      <protection locked="0"/>
    </xf>
    <xf numFmtId="39" fontId="9" fillId="9" borderId="0" xfId="37" applyFont="1" applyFill="1" applyBorder="1" applyAlignment="1" applyProtection="1">
      <alignment horizontal="right"/>
      <protection locked="0"/>
    </xf>
    <xf numFmtId="39" fontId="23" fillId="9" borderId="9" xfId="37" quotePrefix="1" applyFont="1" applyFill="1" applyBorder="1" applyAlignment="1" applyProtection="1">
      <alignment horizontal="left"/>
    </xf>
    <xf numFmtId="39" fontId="30" fillId="9" borderId="9" xfId="37" applyFont="1" applyFill="1" applyBorder="1" applyAlignment="1">
      <alignment horizontal="center"/>
    </xf>
    <xf numFmtId="39" fontId="41" fillId="9" borderId="0" xfId="37" quotePrefix="1" applyFont="1" applyFill="1" applyBorder="1" applyAlignment="1" applyProtection="1">
      <alignment horizontal="left"/>
      <protection locked="0"/>
    </xf>
    <xf numFmtId="39" fontId="147" fillId="9" borderId="7" xfId="37" applyFont="1" applyFill="1" applyBorder="1"/>
    <xf numFmtId="39" fontId="24" fillId="10" borderId="9" xfId="40" applyFont="1" applyFill="1" applyBorder="1" applyAlignment="1" applyProtection="1">
      <alignment horizontal="left"/>
      <protection locked="0"/>
    </xf>
    <xf numFmtId="39" fontId="23" fillId="9" borderId="9" xfId="35" applyFont="1" applyFill="1" applyBorder="1" applyProtection="1">
      <protection locked="0"/>
    </xf>
    <xf numFmtId="39" fontId="9" fillId="9" borderId="6" xfId="37" applyFont="1" applyFill="1" applyBorder="1" applyAlignment="1">
      <alignment horizontal="right"/>
    </xf>
    <xf numFmtId="39" fontId="9" fillId="9" borderId="6" xfId="37" applyFont="1" applyFill="1" applyBorder="1"/>
    <xf numFmtId="39" fontId="23" fillId="9" borderId="6" xfId="37" applyFont="1" applyFill="1" applyBorder="1" applyProtection="1">
      <protection locked="0"/>
    </xf>
    <xf numFmtId="39" fontId="9" fillId="9" borderId="6" xfId="37" applyFont="1" applyFill="1" applyBorder="1" applyProtection="1">
      <protection locked="0"/>
    </xf>
    <xf numFmtId="1" fontId="30" fillId="9" borderId="6" xfId="37" applyNumberFormat="1" applyFont="1" applyFill="1" applyBorder="1" applyAlignment="1" applyProtection="1">
      <alignment horizontal="center"/>
      <protection locked="0"/>
    </xf>
    <xf numFmtId="1" fontId="9" fillId="9" borderId="6" xfId="37" applyNumberFormat="1" applyFont="1" applyFill="1" applyBorder="1" applyAlignment="1" applyProtection="1">
      <alignment horizontal="center"/>
      <protection locked="0"/>
    </xf>
    <xf numFmtId="1" fontId="30" fillId="9" borderId="0" xfId="37" applyNumberFormat="1" applyFont="1" applyFill="1" applyBorder="1" applyAlignment="1" applyProtection="1">
      <alignment horizontal="center"/>
      <protection locked="0"/>
    </xf>
    <xf numFmtId="39" fontId="152" fillId="9" borderId="0" xfId="37" applyFont="1" applyFill="1"/>
    <xf numFmtId="39" fontId="152" fillId="9" borderId="0" xfId="37" quotePrefix="1" applyFont="1" applyFill="1" applyBorder="1" applyAlignment="1" applyProtection="1">
      <alignment horizontal="left"/>
      <protection locked="0"/>
    </xf>
    <xf numFmtId="39" fontId="9" fillId="9" borderId="2" xfId="37" applyFont="1" applyFill="1" applyBorder="1" applyAlignment="1" applyProtection="1">
      <alignment horizontal="left"/>
    </xf>
    <xf numFmtId="39" fontId="23" fillId="10" borderId="9" xfId="37" applyFont="1" applyFill="1" applyBorder="1" applyAlignment="1" applyProtection="1">
      <alignment horizontal="left"/>
      <protection locked="0"/>
    </xf>
    <xf numFmtId="39" fontId="9" fillId="9" borderId="9" xfId="52" applyNumberFormat="1" applyFont="1" applyFill="1" applyBorder="1" applyAlignment="1">
      <alignment horizontal="right"/>
    </xf>
    <xf numFmtId="49" fontId="9" fillId="10" borderId="9" xfId="37" applyNumberFormat="1" applyFont="1" applyFill="1" applyBorder="1" applyAlignment="1" applyProtection="1">
      <alignment horizontal="right"/>
    </xf>
    <xf numFmtId="49" fontId="9" fillId="9" borderId="9" xfId="37" applyNumberFormat="1" applyFont="1" applyFill="1" applyBorder="1" applyAlignment="1" applyProtection="1">
      <alignment horizontal="right"/>
    </xf>
    <xf numFmtId="1" fontId="9" fillId="9" borderId="10" xfId="37" quotePrefix="1" applyNumberFormat="1" applyFont="1" applyFill="1" applyBorder="1" applyAlignment="1" applyProtection="1">
      <alignment horizontal="center"/>
      <protection locked="0"/>
    </xf>
    <xf numFmtId="39" fontId="9" fillId="9" borderId="9" xfId="37" applyFont="1" applyFill="1" applyBorder="1" applyAlignment="1" applyProtection="1">
      <alignment horizontal="left"/>
      <protection locked="0"/>
    </xf>
    <xf numFmtId="39" fontId="9" fillId="9" borderId="7" xfId="37" applyFont="1" applyFill="1" applyBorder="1" applyProtection="1">
      <protection locked="0"/>
    </xf>
    <xf numFmtId="39" fontId="9" fillId="9" borderId="7" xfId="37" quotePrefix="1" applyFont="1" applyFill="1" applyBorder="1" applyAlignment="1">
      <alignment horizontal="right"/>
    </xf>
    <xf numFmtId="39" fontId="30" fillId="9" borderId="10" xfId="37" quotePrefix="1" applyFont="1" applyFill="1" applyBorder="1" applyAlignment="1" applyProtection="1">
      <alignment horizontal="center"/>
    </xf>
    <xf numFmtId="39" fontId="24" fillId="10" borderId="0" xfId="37" applyFont="1" applyFill="1"/>
    <xf numFmtId="39" fontId="23" fillId="10" borderId="0" xfId="37" applyFont="1" applyFill="1" applyBorder="1" applyProtection="1">
      <protection locked="0"/>
    </xf>
    <xf numFmtId="39" fontId="24" fillId="9" borderId="0" xfId="37" applyFont="1" applyFill="1" applyAlignment="1">
      <alignment horizontal="center"/>
    </xf>
    <xf numFmtId="39" fontId="9" fillId="9" borderId="2" xfId="37" applyFont="1" applyFill="1" applyBorder="1" applyAlignment="1">
      <alignment horizontal="right"/>
    </xf>
    <xf numFmtId="39" fontId="23" fillId="9" borderId="2" xfId="37" applyFont="1" applyFill="1" applyBorder="1"/>
    <xf numFmtId="1" fontId="30" fillId="9" borderId="2" xfId="37" quotePrefix="1" applyNumberFormat="1" applyFont="1" applyFill="1" applyBorder="1" applyAlignment="1" applyProtection="1">
      <alignment horizontal="center"/>
      <protection locked="0"/>
    </xf>
    <xf numFmtId="39" fontId="9" fillId="9" borderId="9" xfId="37" applyFont="1" applyFill="1" applyBorder="1" applyAlignment="1"/>
    <xf numFmtId="1" fontId="30" fillId="9" borderId="10" xfId="37" applyNumberFormat="1" applyFont="1" applyFill="1" applyBorder="1" applyAlignment="1" applyProtection="1">
      <alignment horizontal="center"/>
      <protection locked="0"/>
    </xf>
    <xf numFmtId="39" fontId="23" fillId="9" borderId="9" xfId="37" applyFont="1" applyFill="1" applyBorder="1" applyAlignment="1" applyProtection="1"/>
    <xf numFmtId="164" fontId="41" fillId="9" borderId="0" xfId="37" applyNumberFormat="1" applyFont="1" applyFill="1" applyBorder="1" applyAlignment="1" applyProtection="1">
      <alignment horizontal="left"/>
      <protection locked="0"/>
    </xf>
    <xf numFmtId="39" fontId="23" fillId="9" borderId="9" xfId="37" quotePrefix="1" applyFont="1" applyFill="1" applyBorder="1" applyAlignment="1"/>
    <xf numFmtId="164" fontId="31" fillId="9" borderId="0" xfId="37" applyNumberFormat="1" applyFont="1" applyFill="1" applyBorder="1" applyAlignment="1" applyProtection="1">
      <alignment horizontal="left"/>
      <protection locked="0"/>
    </xf>
    <xf numFmtId="39" fontId="9" fillId="9" borderId="9" xfId="37" quotePrefix="1" applyFont="1" applyFill="1" applyBorder="1" applyAlignment="1"/>
    <xf numFmtId="39" fontId="31" fillId="9" borderId="0" xfId="37" applyFont="1" applyFill="1" applyAlignment="1">
      <alignment vertical="center"/>
    </xf>
    <xf numFmtId="39" fontId="48" fillId="9" borderId="0" xfId="37" applyFont="1" applyFill="1" applyAlignment="1">
      <alignment vertical="center"/>
    </xf>
    <xf numFmtId="39" fontId="48" fillId="9" borderId="0" xfId="37" quotePrefix="1" applyFont="1" applyFill="1" applyBorder="1" applyAlignment="1" applyProtection="1">
      <alignment horizontal="left" vertical="center"/>
    </xf>
    <xf numFmtId="39" fontId="61" fillId="9" borderId="0" xfId="37" applyFont="1" applyFill="1" applyAlignment="1">
      <alignment vertical="center"/>
    </xf>
    <xf numFmtId="39" fontId="30" fillId="9" borderId="9" xfId="37" quotePrefix="1" applyFont="1" applyFill="1" applyBorder="1" applyAlignment="1" applyProtection="1">
      <alignment horizontal="center" vertical="center"/>
    </xf>
    <xf numFmtId="39" fontId="9" fillId="9" borderId="10" xfId="37" quotePrefix="1" applyFont="1" applyFill="1" applyBorder="1" applyAlignment="1" applyProtection="1">
      <alignment horizontal="center" vertical="center"/>
    </xf>
    <xf numFmtId="39" fontId="48" fillId="9" borderId="0" xfId="37" applyFont="1" applyFill="1"/>
    <xf numFmtId="39" fontId="48" fillId="9" borderId="0" xfId="37" quotePrefix="1" applyFont="1" applyFill="1" applyBorder="1" applyAlignment="1" applyProtection="1">
      <alignment horizontal="left"/>
    </xf>
    <xf numFmtId="39" fontId="48" fillId="9" borderId="0" xfId="37" applyFont="1" applyFill="1" applyBorder="1"/>
    <xf numFmtId="39" fontId="9" fillId="9" borderId="0" xfId="37" applyFont="1" applyFill="1" applyAlignment="1" applyProtection="1">
      <alignment horizontal="right"/>
      <protection locked="0"/>
    </xf>
    <xf numFmtId="39" fontId="9" fillId="9" borderId="0" xfId="37" applyFont="1" applyFill="1" applyAlignment="1">
      <alignment horizontal="right"/>
    </xf>
    <xf numFmtId="0" fontId="48" fillId="9" borderId="0" xfId="52" applyFont="1" applyFill="1"/>
    <xf numFmtId="39" fontId="23" fillId="9" borderId="0" xfId="63" applyFont="1" applyFill="1" applyAlignment="1">
      <alignment horizontal="right"/>
    </xf>
    <xf numFmtId="39" fontId="47" fillId="9" borderId="0" xfId="37" applyFont="1" applyFill="1"/>
    <xf numFmtId="39" fontId="23" fillId="9" borderId="0" xfId="63" applyFont="1" applyFill="1" applyAlignment="1" applyProtection="1">
      <alignment horizontal="left"/>
      <protection locked="0"/>
    </xf>
    <xf numFmtId="39" fontId="110" fillId="9" borderId="0" xfId="63" applyFont="1" applyFill="1"/>
    <xf numFmtId="39" fontId="24" fillId="9" borderId="0" xfId="63" applyFont="1" applyFill="1" applyAlignment="1">
      <alignment horizontal="center"/>
    </xf>
    <xf numFmtId="39" fontId="23" fillId="9" borderId="0" xfId="63" applyFont="1" applyFill="1" applyAlignment="1" applyProtection="1"/>
    <xf numFmtId="39" fontId="48" fillId="9" borderId="0" xfId="37" applyFont="1" applyFill="1" applyAlignment="1" applyProtection="1">
      <alignment horizontal="centerContinuous"/>
      <protection locked="0"/>
    </xf>
    <xf numFmtId="39" fontId="9" fillId="9" borderId="0" xfId="62" applyFont="1" applyFill="1" applyAlignment="1" applyProtection="1">
      <alignment horizontal="center"/>
    </xf>
    <xf numFmtId="39" fontId="48" fillId="9" borderId="0" xfId="37" applyFont="1" applyFill="1" applyAlignment="1">
      <alignment horizontal="centerContinuous"/>
    </xf>
    <xf numFmtId="39" fontId="9" fillId="9" borderId="0" xfId="65" applyFont="1" applyFill="1"/>
    <xf numFmtId="39" fontId="9" fillId="9" borderId="0" xfId="65" applyFont="1" applyFill="1" applyProtection="1">
      <protection locked="0"/>
    </xf>
    <xf numFmtId="39" fontId="55" fillId="9" borderId="0" xfId="62" applyFont="1" applyFill="1"/>
    <xf numFmtId="39" fontId="30" fillId="9" borderId="0" xfId="65" applyFont="1" applyFill="1" applyAlignment="1" applyProtection="1">
      <alignment horizontal="center"/>
    </xf>
    <xf numFmtId="39" fontId="26" fillId="9" borderId="0" xfId="35" applyFont="1" applyFill="1"/>
    <xf numFmtId="39" fontId="22" fillId="9" borderId="0" xfId="40" applyFont="1" applyFill="1" applyAlignment="1">
      <alignment horizontal="center"/>
    </xf>
    <xf numFmtId="39" fontId="22" fillId="9" borderId="0" xfId="40" applyFont="1" applyFill="1"/>
    <xf numFmtId="0" fontId="9" fillId="9" borderId="0" xfId="50" applyFont="1" applyFill="1"/>
    <xf numFmtId="39" fontId="9" fillId="0" borderId="0" xfId="57" applyFont="1"/>
    <xf numFmtId="39" fontId="28" fillId="9" borderId="16" xfId="35" applyFont="1" applyFill="1" applyBorder="1" applyAlignment="1">
      <alignment vertical="center"/>
    </xf>
    <xf numFmtId="39" fontId="30" fillId="9" borderId="7" xfId="35" applyFont="1" applyFill="1" applyBorder="1" applyProtection="1">
      <protection locked="0"/>
    </xf>
    <xf numFmtId="39" fontId="26" fillId="9" borderId="9" xfId="37" applyFont="1" applyFill="1" applyBorder="1"/>
    <xf numFmtId="0" fontId="30" fillId="0" borderId="0" xfId="50" applyFont="1" applyBorder="1"/>
    <xf numFmtId="39" fontId="26" fillId="9" borderId="9" xfId="37" quotePrefix="1" applyFont="1" applyFill="1" applyBorder="1" applyAlignment="1">
      <alignment horizontal="center"/>
    </xf>
    <xf numFmtId="39" fontId="9" fillId="9" borderId="0" xfId="35" quotePrefix="1" applyFont="1" applyFill="1"/>
    <xf numFmtId="0" fontId="30" fillId="9" borderId="0" xfId="50" applyFont="1" applyFill="1" applyBorder="1"/>
    <xf numFmtId="39" fontId="30" fillId="9" borderId="0" xfId="37" applyFont="1" applyFill="1" applyBorder="1"/>
    <xf numFmtId="39" fontId="23" fillId="9" borderId="0" xfId="35" applyFont="1" applyFill="1"/>
    <xf numFmtId="39" fontId="24" fillId="9" borderId="72" xfId="35" applyFont="1" applyFill="1" applyBorder="1" applyProtection="1">
      <protection locked="0"/>
    </xf>
    <xf numFmtId="39" fontId="28" fillId="9" borderId="70" xfId="37" applyFont="1" applyFill="1" applyBorder="1"/>
    <xf numFmtId="39" fontId="24" fillId="9" borderId="71" xfId="37" quotePrefix="1" applyFont="1" applyFill="1" applyBorder="1"/>
    <xf numFmtId="39" fontId="24" fillId="9" borderId="76" xfId="37" applyFont="1" applyFill="1" applyBorder="1" applyAlignment="1" applyProtection="1">
      <alignment horizontal="left"/>
    </xf>
    <xf numFmtId="39" fontId="26" fillId="9" borderId="9" xfId="37" quotePrefix="1" applyFont="1" applyFill="1" applyBorder="1" applyAlignment="1" applyProtection="1">
      <alignment horizontal="centerContinuous"/>
    </xf>
    <xf numFmtId="39" fontId="24" fillId="9" borderId="10" xfId="41" applyFont="1" applyFill="1" applyBorder="1" applyAlignment="1" applyProtection="1">
      <alignment horizontal="left"/>
    </xf>
    <xf numFmtId="39" fontId="9" fillId="9" borderId="0" xfId="35" applyFont="1" applyFill="1" applyAlignment="1">
      <alignment vertical="center"/>
    </xf>
    <xf numFmtId="39" fontId="26" fillId="9" borderId="0" xfId="37" quotePrefix="1" applyFont="1" applyFill="1" applyBorder="1" applyAlignment="1" applyProtection="1">
      <alignment horizontal="centerContinuous"/>
    </xf>
    <xf numFmtId="39" fontId="28" fillId="9" borderId="7" xfId="41" quotePrefix="1" applyFont="1" applyFill="1" applyBorder="1" applyAlignment="1">
      <alignment horizontal="center"/>
    </xf>
    <xf numFmtId="39" fontId="30" fillId="9" borderId="7" xfId="41" applyFont="1" applyFill="1" applyBorder="1"/>
    <xf numFmtId="39" fontId="26" fillId="9" borderId="7" xfId="41" quotePrefix="1" applyFont="1" applyFill="1" applyBorder="1" applyAlignment="1">
      <alignment horizontal="center"/>
    </xf>
    <xf numFmtId="39" fontId="9" fillId="9" borderId="0" xfId="35" quotePrefix="1" applyFont="1" applyFill="1" applyAlignment="1">
      <alignment vertical="center"/>
    </xf>
    <xf numFmtId="39" fontId="30" fillId="9" borderId="7" xfId="37" quotePrefix="1" applyFont="1" applyFill="1" applyBorder="1"/>
    <xf numFmtId="39" fontId="30" fillId="9" borderId="10" xfId="37" quotePrefix="1" applyFont="1" applyFill="1" applyBorder="1"/>
    <xf numFmtId="39" fontId="9" fillId="9" borderId="0" xfId="35" applyFont="1" applyFill="1" applyBorder="1" applyAlignment="1">
      <alignment vertical="center"/>
    </xf>
    <xf numFmtId="39" fontId="30" fillId="9" borderId="8" xfId="37" applyFont="1" applyFill="1" applyBorder="1" applyAlignment="1" applyProtection="1">
      <alignment horizontal="left"/>
    </xf>
    <xf numFmtId="39" fontId="30" fillId="9" borderId="2" xfId="37" applyFont="1" applyFill="1" applyBorder="1" applyAlignment="1" applyProtection="1">
      <alignment horizontal="left"/>
    </xf>
    <xf numFmtId="39" fontId="149" fillId="9" borderId="10" xfId="37" applyFont="1" applyFill="1" applyBorder="1" applyAlignment="1" applyProtection="1">
      <alignment horizontal="left"/>
    </xf>
    <xf numFmtId="0" fontId="30" fillId="9" borderId="10" xfId="37" quotePrefix="1" applyNumberFormat="1" applyFont="1" applyFill="1" applyBorder="1" applyAlignment="1">
      <alignment horizontal="center"/>
    </xf>
    <xf numFmtId="39" fontId="30" fillId="9" borderId="7" xfId="41" quotePrefix="1" applyFont="1" applyFill="1" applyBorder="1"/>
    <xf numFmtId="39" fontId="30" fillId="9" borderId="10" xfId="41" applyFont="1" applyFill="1" applyBorder="1"/>
    <xf numFmtId="39" fontId="30" fillId="9" borderId="9" xfId="41" applyFont="1" applyFill="1" applyBorder="1"/>
    <xf numFmtId="39" fontId="30" fillId="9" borderId="9" xfId="41" quotePrefix="1" applyFont="1" applyFill="1" applyBorder="1" applyAlignment="1">
      <alignment horizontal="center"/>
    </xf>
    <xf numFmtId="39" fontId="30" fillId="9" borderId="0" xfId="41" applyFont="1" applyFill="1" applyBorder="1"/>
    <xf numFmtId="0" fontId="30" fillId="0" borderId="7" xfId="50" applyFont="1" applyBorder="1"/>
    <xf numFmtId="39" fontId="30" fillId="9" borderId="13" xfId="35" applyFont="1" applyFill="1" applyBorder="1" applyProtection="1">
      <protection locked="0"/>
    </xf>
    <xf numFmtId="39" fontId="24" fillId="9" borderId="5" xfId="35" quotePrefix="1" applyFont="1" applyFill="1" applyBorder="1" applyAlignment="1" applyProtection="1">
      <alignment horizontal="left" vertical="center"/>
    </xf>
    <xf numFmtId="39" fontId="9" fillId="9" borderId="0" xfId="37" quotePrefix="1" applyFont="1" applyFill="1" applyBorder="1" applyAlignment="1" applyProtection="1">
      <alignment horizontal="centerContinuous"/>
    </xf>
    <xf numFmtId="39" fontId="24" fillId="9" borderId="10" xfId="37" applyFont="1" applyFill="1" applyBorder="1" applyAlignment="1" applyProtection="1">
      <alignment horizontal="left"/>
    </xf>
    <xf numFmtId="39" fontId="9" fillId="10" borderId="0" xfId="35" applyFont="1" applyFill="1"/>
    <xf numFmtId="0" fontId="9" fillId="9" borderId="0" xfId="37" quotePrefix="1" applyNumberFormat="1" applyFont="1" applyFill="1" applyBorder="1" applyAlignment="1" applyProtection="1">
      <alignment horizontal="centerContinuous"/>
    </xf>
    <xf numFmtId="39" fontId="26" fillId="9" borderId="7" xfId="35" applyFont="1" applyFill="1" applyBorder="1" applyAlignment="1" applyProtection="1">
      <alignment horizontal="fill"/>
    </xf>
    <xf numFmtId="39" fontId="26" fillId="9" borderId="9" xfId="35" applyFont="1" applyFill="1" applyBorder="1" applyAlignment="1" applyProtection="1">
      <alignment horizontal="fill"/>
    </xf>
    <xf numFmtId="39" fontId="24" fillId="9" borderId="13" xfId="37" applyFont="1" applyFill="1" applyBorder="1" applyAlignment="1" applyProtection="1"/>
    <xf numFmtId="39" fontId="24" fillId="9" borderId="14" xfId="37" applyFont="1" applyFill="1" applyBorder="1" applyAlignment="1" applyProtection="1"/>
    <xf numFmtId="39" fontId="24" fillId="9" borderId="2" xfId="35" applyFont="1" applyFill="1" applyBorder="1" applyProtection="1"/>
    <xf numFmtId="39" fontId="28" fillId="9" borderId="2" xfId="35" applyFont="1" applyFill="1" applyBorder="1" applyAlignment="1" applyProtection="1">
      <alignment horizontal="center"/>
    </xf>
    <xf numFmtId="39" fontId="23" fillId="9" borderId="8" xfId="35" applyFont="1" applyFill="1" applyBorder="1"/>
    <xf numFmtId="39" fontId="23" fillId="9" borderId="12" xfId="35" quotePrefix="1" applyFont="1" applyFill="1" applyBorder="1" applyAlignment="1" applyProtection="1">
      <alignment horizontal="left"/>
    </xf>
    <xf numFmtId="39" fontId="28" fillId="9" borderId="7" xfId="35" applyFont="1" applyFill="1" applyBorder="1"/>
    <xf numFmtId="39" fontId="28" fillId="9" borderId="9" xfId="35" applyFont="1" applyFill="1" applyBorder="1"/>
    <xf numFmtId="39" fontId="9" fillId="9" borderId="0" xfId="35" applyFont="1" applyFill="1" applyAlignment="1">
      <alignment horizontal="left"/>
    </xf>
    <xf numFmtId="0" fontId="43" fillId="9" borderId="0" xfId="50" applyFont="1" applyFill="1"/>
    <xf numFmtId="39" fontId="24" fillId="9" borderId="17" xfId="35" applyFont="1" applyFill="1" applyBorder="1" applyAlignment="1" applyProtection="1">
      <alignment vertical="center"/>
    </xf>
    <xf numFmtId="39" fontId="24" fillId="9" borderId="21" xfId="35" applyFont="1" applyFill="1" applyBorder="1" applyAlignment="1">
      <alignment vertical="center"/>
    </xf>
    <xf numFmtId="39" fontId="109" fillId="9" borderId="3" xfId="35" applyFont="1" applyFill="1" applyBorder="1" applyProtection="1"/>
    <xf numFmtId="39" fontId="30" fillId="9" borderId="3" xfId="35" applyFont="1" applyFill="1" applyBorder="1" applyProtection="1">
      <protection locked="0"/>
    </xf>
    <xf numFmtId="0" fontId="30" fillId="0" borderId="3" xfId="50" applyFont="1" applyBorder="1"/>
    <xf numFmtId="39" fontId="30" fillId="9" borderId="64" xfId="35" applyFont="1" applyFill="1" applyBorder="1" applyProtection="1">
      <protection locked="0"/>
    </xf>
    <xf numFmtId="39" fontId="30" fillId="9" borderId="64" xfId="37" quotePrefix="1" applyFont="1" applyFill="1" applyBorder="1" applyAlignment="1" applyProtection="1">
      <alignment horizontal="centerContinuous"/>
    </xf>
    <xf numFmtId="0" fontId="30" fillId="0" borderId="53" xfId="50" applyFont="1" applyBorder="1"/>
    <xf numFmtId="39" fontId="24" fillId="0" borderId="0" xfId="35" applyFont="1" applyBorder="1"/>
    <xf numFmtId="39" fontId="24" fillId="9" borderId="70" xfId="35" applyFont="1" applyFill="1" applyBorder="1" applyProtection="1">
      <protection locked="0"/>
    </xf>
    <xf numFmtId="39" fontId="24" fillId="9" borderId="72" xfId="37" quotePrefix="1" applyFont="1" applyFill="1" applyBorder="1" applyAlignment="1" applyProtection="1">
      <alignment horizontal="centerContinuous"/>
    </xf>
    <xf numFmtId="0" fontId="24" fillId="0" borderId="72" xfId="50" applyFont="1" applyBorder="1"/>
    <xf numFmtId="0" fontId="24" fillId="0" borderId="76" xfId="50" applyFont="1" applyBorder="1"/>
    <xf numFmtId="39" fontId="30" fillId="0" borderId="0" xfId="37" quotePrefix="1" applyFont="1" applyBorder="1" applyAlignment="1" applyProtection="1">
      <alignment horizontal="left"/>
    </xf>
    <xf numFmtId="39" fontId="109" fillId="9" borderId="0" xfId="37" applyFont="1" applyFill="1" applyBorder="1" applyAlignment="1" applyProtection="1">
      <alignment horizontal="left"/>
    </xf>
    <xf numFmtId="39" fontId="30" fillId="9" borderId="8" xfId="45" applyFont="1" applyFill="1" applyBorder="1" applyProtection="1"/>
    <xf numFmtId="39" fontId="30" fillId="9" borderId="8" xfId="35" applyFont="1" applyFill="1" applyBorder="1" applyProtection="1">
      <protection locked="0"/>
    </xf>
    <xf numFmtId="39" fontId="30" fillId="9" borderId="8" xfId="37" applyFont="1" applyFill="1" applyBorder="1"/>
    <xf numFmtId="39" fontId="30" fillId="9" borderId="12" xfId="37" applyFont="1" applyFill="1" applyBorder="1"/>
    <xf numFmtId="39" fontId="30" fillId="25" borderId="0" xfId="42" applyFont="1" applyFill="1" applyBorder="1"/>
    <xf numFmtId="39" fontId="30" fillId="25" borderId="0" xfId="45" applyFont="1" applyFill="1" applyBorder="1" applyProtection="1"/>
    <xf numFmtId="39" fontId="30" fillId="10" borderId="0" xfId="38" applyFont="1" applyFill="1" applyBorder="1" applyProtection="1"/>
    <xf numFmtId="39" fontId="30" fillId="25" borderId="0" xfId="35" applyFont="1" applyFill="1" applyBorder="1" applyProtection="1"/>
    <xf numFmtId="39" fontId="30" fillId="25" borderId="12" xfId="35" applyFont="1" applyFill="1" applyBorder="1" applyProtection="1"/>
    <xf numFmtId="39" fontId="30" fillId="25" borderId="0" xfId="38" applyFont="1" applyFill="1" applyBorder="1" applyProtection="1"/>
    <xf numFmtId="39" fontId="30" fillId="25" borderId="0" xfId="35" applyFont="1" applyFill="1" applyBorder="1" applyAlignment="1" applyProtection="1">
      <alignment horizontal="fill"/>
    </xf>
    <xf numFmtId="39" fontId="24" fillId="9" borderId="4" xfId="35" applyFont="1" applyFill="1" applyBorder="1"/>
    <xf numFmtId="39" fontId="24" fillId="9" borderId="5" xfId="35" applyFont="1" applyFill="1" applyBorder="1" applyAlignment="1" applyProtection="1">
      <alignment horizontal="left"/>
    </xf>
    <xf numFmtId="39" fontId="30" fillId="25" borderId="0" xfId="35" applyFont="1" applyFill="1" applyBorder="1"/>
    <xf numFmtId="39" fontId="24" fillId="9" borderId="10" xfId="35" applyFont="1" applyFill="1" applyBorder="1" applyAlignment="1" applyProtection="1">
      <alignment horizontal="left"/>
    </xf>
    <xf numFmtId="0" fontId="24" fillId="25" borderId="0" xfId="50" quotePrefix="1" applyFont="1" applyFill="1" applyBorder="1" applyAlignment="1" applyProtection="1">
      <alignment horizontal="center"/>
    </xf>
    <xf numFmtId="0" fontId="24" fillId="0" borderId="0" xfId="50" quotePrefix="1" applyFont="1" applyBorder="1" applyAlignment="1">
      <alignment horizontal="center"/>
    </xf>
    <xf numFmtId="0" fontId="24" fillId="0" borderId="0" xfId="50" applyFont="1" applyBorder="1" applyAlignment="1">
      <alignment horizontal="center"/>
    </xf>
    <xf numFmtId="39" fontId="24" fillId="9" borderId="0" xfId="35" applyFont="1" applyFill="1" applyProtection="1">
      <protection locked="0"/>
    </xf>
    <xf numFmtId="39" fontId="30" fillId="9" borderId="0" xfId="35" applyFont="1" applyFill="1" applyAlignment="1">
      <alignment horizontal="left"/>
    </xf>
    <xf numFmtId="39" fontId="31" fillId="9" borderId="0" xfId="35" applyFont="1" applyFill="1"/>
    <xf numFmtId="39" fontId="21" fillId="9" borderId="0" xfId="40" applyFont="1" applyFill="1" applyAlignment="1">
      <alignment horizontal="center"/>
    </xf>
    <xf numFmtId="39" fontId="23" fillId="9" borderId="0" xfId="35" applyFont="1" applyFill="1" applyBorder="1" applyAlignment="1" applyProtection="1">
      <alignment vertical="center"/>
    </xf>
    <xf numFmtId="39" fontId="28" fillId="9" borderId="0" xfId="35" applyFont="1" applyFill="1" applyBorder="1" applyAlignment="1">
      <alignment vertical="center"/>
    </xf>
    <xf numFmtId="39" fontId="28" fillId="9" borderId="0" xfId="35" applyFont="1" applyFill="1" applyBorder="1" applyAlignment="1" applyProtection="1">
      <alignment vertical="center"/>
    </xf>
    <xf numFmtId="39" fontId="23" fillId="9" borderId="15" xfId="35" applyFont="1" applyFill="1" applyBorder="1" applyAlignment="1" applyProtection="1">
      <alignment vertical="center"/>
    </xf>
    <xf numFmtId="39" fontId="46" fillId="0" borderId="16" xfId="35" applyFont="1" applyBorder="1" applyAlignment="1" applyProtection="1">
      <alignment vertical="center"/>
    </xf>
    <xf numFmtId="39" fontId="46" fillId="0" borderId="20" xfId="35" applyFont="1" applyBorder="1" applyAlignment="1" applyProtection="1">
      <alignment vertical="center"/>
    </xf>
    <xf numFmtId="39" fontId="9" fillId="9" borderId="7" xfId="35" applyFont="1" applyFill="1" applyBorder="1" applyAlignment="1" applyProtection="1">
      <alignment horizontal="right"/>
    </xf>
    <xf numFmtId="39" fontId="9" fillId="9" borderId="9" xfId="35" applyFont="1" applyFill="1" applyBorder="1" applyProtection="1">
      <protection locked="0"/>
    </xf>
    <xf numFmtId="39" fontId="41" fillId="0" borderId="0" xfId="35" applyFont="1" applyAlignment="1">
      <alignment vertical="center"/>
    </xf>
    <xf numFmtId="39" fontId="23" fillId="9" borderId="3" xfId="35" applyFont="1" applyFill="1" applyBorder="1" applyProtection="1">
      <protection locked="0"/>
    </xf>
    <xf numFmtId="39" fontId="28" fillId="9" borderId="3" xfId="37" quotePrefix="1" applyFont="1" applyFill="1" applyBorder="1" applyAlignment="1" applyProtection="1">
      <alignment horizontal="centerContinuous"/>
    </xf>
    <xf numFmtId="39" fontId="28" fillId="9" borderId="19" xfId="35" applyFont="1" applyFill="1" applyBorder="1" applyAlignment="1">
      <alignment vertical="center"/>
    </xf>
    <xf numFmtId="39" fontId="23" fillId="9" borderId="5" xfId="35" applyFont="1" applyFill="1" applyBorder="1" applyAlignment="1" applyProtection="1">
      <alignment horizontal="left" vertical="center"/>
    </xf>
    <xf numFmtId="39" fontId="9" fillId="0" borderId="7" xfId="37" applyFont="1" applyBorder="1" applyAlignment="1" applyProtection="1">
      <alignment horizontal="left"/>
    </xf>
    <xf numFmtId="39" fontId="31" fillId="9" borderId="0" xfId="35" applyFont="1" applyFill="1" applyAlignment="1">
      <alignment vertical="center"/>
    </xf>
    <xf numFmtId="39" fontId="9" fillId="9" borderId="10" xfId="35" applyFont="1" applyFill="1" applyBorder="1" applyProtection="1">
      <protection locked="0"/>
    </xf>
    <xf numFmtId="39" fontId="28" fillId="9" borderId="3" xfId="35" applyFont="1" applyFill="1" applyBorder="1" applyAlignment="1" applyProtection="1">
      <alignment horizontal="center" vertical="center"/>
    </xf>
    <xf numFmtId="39" fontId="23" fillId="0" borderId="6" xfId="43" applyFont="1" applyBorder="1" applyAlignment="1" applyProtection="1">
      <alignment horizontal="center" vertical="center"/>
    </xf>
    <xf numFmtId="39" fontId="41" fillId="9" borderId="0" xfId="35" applyFont="1" applyFill="1" applyProtection="1">
      <protection locked="0"/>
    </xf>
    <xf numFmtId="39" fontId="26" fillId="9" borderId="0" xfId="35" applyFont="1" applyFill="1" applyAlignment="1" applyProtection="1">
      <alignment horizontal="center"/>
    </xf>
    <xf numFmtId="39" fontId="5" fillId="9" borderId="0" xfId="40" applyFont="1" applyFill="1"/>
    <xf numFmtId="49" fontId="5" fillId="9" borderId="0" xfId="40" applyNumberFormat="1" applyFont="1" applyFill="1"/>
    <xf numFmtId="39" fontId="5" fillId="9" borderId="0" xfId="59" applyFont="1" applyFill="1"/>
    <xf numFmtId="2" fontId="5" fillId="9" borderId="0" xfId="66" applyNumberFormat="1" applyFont="1" applyFill="1" applyProtection="1">
      <protection locked="0"/>
    </xf>
    <xf numFmtId="49" fontId="5" fillId="9" borderId="0" xfId="66" applyNumberFormat="1" applyFont="1" applyFill="1" applyAlignment="1" applyProtection="1">
      <alignment horizontal="center"/>
      <protection locked="0"/>
    </xf>
    <xf numFmtId="2" fontId="139" fillId="9" borderId="0" xfId="66" applyNumberFormat="1" applyFont="1" applyFill="1" applyProtection="1">
      <protection locked="0"/>
    </xf>
    <xf numFmtId="49" fontId="139" fillId="9" borderId="0" xfId="66" applyNumberFormat="1" applyFont="1" applyFill="1" applyAlignment="1" applyProtection="1">
      <alignment horizontal="center"/>
      <protection locked="0"/>
    </xf>
    <xf numFmtId="49" fontId="139" fillId="9" borderId="0" xfId="66" quotePrefix="1" applyNumberFormat="1" applyFont="1" applyFill="1" applyAlignment="1" applyProtection="1">
      <alignment horizontal="center"/>
      <protection locked="0"/>
    </xf>
    <xf numFmtId="39" fontId="5" fillId="9" borderId="0" xfId="36" applyFont="1" applyFill="1"/>
    <xf numFmtId="39" fontId="5" fillId="9" borderId="0" xfId="37" quotePrefix="1" applyFont="1" applyFill="1" applyAlignment="1">
      <alignment horizontal="center"/>
    </xf>
    <xf numFmtId="39" fontId="5" fillId="9" borderId="0" xfId="40" applyFont="1" applyFill="1" applyBorder="1"/>
    <xf numFmtId="39" fontId="5" fillId="9" borderId="6" xfId="40" applyFont="1" applyFill="1" applyBorder="1"/>
    <xf numFmtId="49" fontId="5" fillId="9" borderId="0" xfId="66" quotePrefix="1" applyNumberFormat="1" applyFont="1" applyFill="1" applyAlignment="1" applyProtection="1">
      <alignment horizontal="center"/>
      <protection locked="0"/>
    </xf>
    <xf numFmtId="39" fontId="5" fillId="9" borderId="0" xfId="37" applyFont="1" applyFill="1" applyBorder="1"/>
    <xf numFmtId="39" fontId="5" fillId="9" borderId="10" xfId="40" applyFont="1" applyFill="1" applyBorder="1"/>
    <xf numFmtId="39" fontId="5" fillId="9" borderId="10" xfId="40" applyFont="1" applyFill="1" applyBorder="1" applyProtection="1">
      <protection locked="0"/>
    </xf>
    <xf numFmtId="39" fontId="14" fillId="9" borderId="10" xfId="40" applyFont="1" applyFill="1" applyBorder="1"/>
    <xf numFmtId="39" fontId="5" fillId="9" borderId="10" xfId="40" quotePrefix="1" applyFont="1" applyFill="1" applyBorder="1" applyAlignment="1" applyProtection="1">
      <alignment horizontal="left"/>
      <protection locked="0"/>
    </xf>
    <xf numFmtId="39" fontId="5" fillId="9" borderId="10" xfId="40" quotePrefix="1" applyFont="1" applyFill="1" applyBorder="1" applyAlignment="1" applyProtection="1">
      <alignment horizontal="left"/>
    </xf>
    <xf numFmtId="39" fontId="155" fillId="9" borderId="10" xfId="40" quotePrefix="1" applyFont="1" applyFill="1" applyBorder="1" applyAlignment="1" applyProtection="1">
      <alignment horizontal="left"/>
      <protection locked="0"/>
    </xf>
    <xf numFmtId="39" fontId="155" fillId="9" borderId="10" xfId="40" quotePrefix="1" applyFont="1" applyFill="1" applyBorder="1" applyAlignment="1" applyProtection="1">
      <alignment horizontal="left"/>
    </xf>
    <xf numFmtId="164" fontId="5" fillId="9" borderId="10" xfId="40" quotePrefix="1" applyNumberFormat="1" applyFont="1" applyFill="1" applyBorder="1" applyAlignment="1" applyProtection="1">
      <alignment horizontal="left"/>
      <protection locked="0"/>
    </xf>
    <xf numFmtId="39" fontId="5" fillId="9" borderId="0" xfId="40" applyFont="1" applyFill="1" applyBorder="1" applyAlignment="1" applyProtection="1">
      <alignment horizontal="fill"/>
    </xf>
    <xf numFmtId="49" fontId="139" fillId="9" borderId="0" xfId="66" applyNumberFormat="1" applyFont="1" applyFill="1"/>
    <xf numFmtId="49" fontId="139" fillId="9" borderId="0" xfId="66" applyNumberFormat="1" applyFont="1" applyFill="1" applyAlignment="1" applyProtection="1">
      <alignment horizontal="left"/>
    </xf>
    <xf numFmtId="39" fontId="5" fillId="9" borderId="0" xfId="40" quotePrefix="1" applyFont="1" applyFill="1" applyBorder="1" applyAlignment="1" applyProtection="1">
      <alignment horizontal="left"/>
      <protection locked="0"/>
    </xf>
    <xf numFmtId="49" fontId="5" fillId="9" borderId="0" xfId="40" applyNumberFormat="1" applyFont="1" applyFill="1" applyAlignment="1" applyProtection="1">
      <alignment horizontal="left"/>
    </xf>
    <xf numFmtId="39" fontId="5" fillId="9" borderId="0" xfId="40" applyFont="1" applyFill="1" applyAlignment="1" applyProtection="1">
      <alignment horizontal="centerContinuous"/>
    </xf>
    <xf numFmtId="39" fontId="23" fillId="9" borderId="0" xfId="40" applyFont="1" applyFill="1"/>
    <xf numFmtId="39" fontId="23" fillId="9" borderId="0" xfId="40" applyFont="1" applyFill="1" applyBorder="1"/>
    <xf numFmtId="39" fontId="23" fillId="9" borderId="0" xfId="40" quotePrefix="1" applyFont="1" applyFill="1" applyBorder="1" applyAlignment="1" applyProtection="1">
      <alignment horizontal="left"/>
      <protection locked="0"/>
    </xf>
    <xf numFmtId="39" fontId="14" fillId="9" borderId="0" xfId="35" applyFont="1" applyFill="1"/>
    <xf numFmtId="0" fontId="24" fillId="9" borderId="0" xfId="66" applyFont="1" applyFill="1" applyAlignment="1">
      <alignment horizontal="center"/>
    </xf>
    <xf numFmtId="0" fontId="24" fillId="9" borderId="0" xfId="66" applyFont="1" applyFill="1" applyAlignment="1">
      <alignment horizontal="left"/>
    </xf>
    <xf numFmtId="39" fontId="9" fillId="9" borderId="0" xfId="40" applyFont="1" applyFill="1"/>
    <xf numFmtId="39" fontId="9" fillId="9" borderId="0" xfId="40" applyFont="1" applyFill="1" applyBorder="1"/>
    <xf numFmtId="39" fontId="9" fillId="9" borderId="0" xfId="40" quotePrefix="1" applyFont="1" applyFill="1" applyBorder="1" applyAlignment="1" applyProtection="1">
      <alignment horizontal="left"/>
      <protection locked="0"/>
    </xf>
    <xf numFmtId="0" fontId="23" fillId="9" borderId="0" xfId="66" applyFont="1" applyFill="1" applyAlignment="1">
      <alignment horizontal="center"/>
    </xf>
    <xf numFmtId="0" fontId="23" fillId="9" borderId="0" xfId="66" applyFont="1" applyFill="1" applyAlignment="1">
      <alignment horizontal="left"/>
    </xf>
    <xf numFmtId="164" fontId="9" fillId="9" borderId="0" xfId="40" quotePrefix="1" applyNumberFormat="1" applyFont="1" applyFill="1" applyBorder="1" applyAlignment="1" applyProtection="1">
      <alignment horizontal="left"/>
      <protection locked="0"/>
    </xf>
    <xf numFmtId="39" fontId="9" fillId="9" borderId="0" xfId="63" quotePrefix="1" applyFont="1" applyFill="1" applyBorder="1" applyAlignment="1" applyProtection="1">
      <alignment horizontal="left"/>
      <protection locked="0"/>
    </xf>
    <xf numFmtId="39" fontId="9" fillId="9" borderId="0" xfId="63" applyFont="1" applyFill="1" applyBorder="1" applyProtection="1">
      <protection locked="0"/>
    </xf>
    <xf numFmtId="39" fontId="9" fillId="9" borderId="0" xfId="40" applyFont="1" applyFill="1" applyBorder="1" applyAlignment="1" applyProtection="1">
      <alignment horizontal="fill"/>
    </xf>
    <xf numFmtId="39" fontId="9" fillId="10" borderId="0" xfId="40" applyFont="1" applyFill="1" applyBorder="1"/>
    <xf numFmtId="39" fontId="23" fillId="10" borderId="0" xfId="40" applyFont="1" applyFill="1" applyBorder="1"/>
    <xf numFmtId="1" fontId="23" fillId="9" borderId="0" xfId="40" applyNumberFormat="1" applyFont="1" applyFill="1" applyBorder="1" applyAlignment="1">
      <alignment horizontal="center"/>
    </xf>
    <xf numFmtId="39" fontId="9" fillId="9" borderId="17" xfId="40" applyFont="1" applyFill="1" applyBorder="1"/>
    <xf numFmtId="39" fontId="23" fillId="9" borderId="21" xfId="40" applyFont="1" applyFill="1" applyBorder="1"/>
    <xf numFmtId="39" fontId="23" fillId="9" borderId="9" xfId="40" applyFont="1" applyFill="1" applyBorder="1"/>
    <xf numFmtId="49" fontId="23" fillId="9" borderId="9" xfId="40" applyNumberFormat="1" applyFont="1" applyFill="1" applyBorder="1"/>
    <xf numFmtId="39" fontId="9" fillId="9" borderId="7" xfId="40" applyFont="1" applyFill="1" applyBorder="1" applyAlignment="1" applyProtection="1">
      <alignment horizontal="left"/>
      <protection locked="0"/>
    </xf>
    <xf numFmtId="1" fontId="9" fillId="9" borderId="7" xfId="40" applyNumberFormat="1" applyFont="1" applyFill="1" applyBorder="1" applyAlignment="1">
      <alignment horizontal="center"/>
    </xf>
    <xf numFmtId="1" fontId="9" fillId="9" borderId="10" xfId="40" applyNumberFormat="1" applyFont="1" applyFill="1" applyBorder="1" applyAlignment="1">
      <alignment horizontal="center"/>
    </xf>
    <xf numFmtId="39" fontId="9" fillId="9" borderId="11" xfId="40" applyFont="1" applyFill="1" applyBorder="1" applyAlignment="1">
      <alignment horizontal="right"/>
    </xf>
    <xf numFmtId="39" fontId="9" fillId="9" borderId="11" xfId="40" applyFont="1" applyFill="1" applyBorder="1" applyProtection="1">
      <protection locked="0"/>
    </xf>
    <xf numFmtId="49" fontId="9" fillId="9" borderId="11" xfId="40" applyNumberFormat="1" applyFont="1" applyFill="1" applyBorder="1" applyAlignment="1" applyProtection="1">
      <alignment horizontal="center"/>
      <protection locked="0"/>
    </xf>
    <xf numFmtId="39" fontId="23" fillId="9" borderId="11" xfId="40" applyFont="1" applyFill="1" applyBorder="1" applyAlignment="1" applyProtection="1">
      <alignment horizontal="left"/>
      <protection locked="0"/>
    </xf>
    <xf numFmtId="39" fontId="9" fillId="9" borderId="13" xfId="40" applyFont="1" applyFill="1" applyBorder="1" applyAlignment="1" applyProtection="1">
      <alignment horizontal="left"/>
      <protection locked="0"/>
    </xf>
    <xf numFmtId="1" fontId="9" fillId="9" borderId="13" xfId="40" applyNumberFormat="1" applyFont="1" applyFill="1" applyBorder="1" applyAlignment="1">
      <alignment horizontal="center"/>
    </xf>
    <xf numFmtId="1" fontId="9" fillId="9" borderId="14" xfId="40" applyNumberFormat="1" applyFont="1" applyFill="1" applyBorder="1" applyAlignment="1">
      <alignment horizontal="center"/>
    </xf>
    <xf numFmtId="39" fontId="9" fillId="9" borderId="9" xfId="40" applyFont="1" applyFill="1" applyBorder="1" applyAlignment="1">
      <alignment horizontal="right"/>
    </xf>
    <xf numFmtId="39" fontId="9" fillId="9" borderId="9" xfId="40" applyFont="1" applyFill="1" applyBorder="1" applyProtection="1">
      <protection locked="0"/>
    </xf>
    <xf numFmtId="49" fontId="9" fillId="9" borderId="9" xfId="40" applyNumberFormat="1" applyFont="1" applyFill="1" applyBorder="1" applyAlignment="1" applyProtection="1">
      <alignment horizontal="right"/>
      <protection locked="0"/>
    </xf>
    <xf numFmtId="39" fontId="9" fillId="9" borderId="9" xfId="40" applyFont="1" applyFill="1" applyBorder="1" applyAlignment="1" applyProtection="1">
      <alignment horizontal="left"/>
      <protection locked="0"/>
    </xf>
    <xf numFmtId="39" fontId="9" fillId="9" borderId="9" xfId="40" quotePrefix="1" applyFont="1" applyFill="1" applyBorder="1" applyAlignment="1" applyProtection="1">
      <alignment horizontal="right"/>
    </xf>
    <xf numFmtId="39" fontId="9" fillId="9" borderId="9" xfId="40" applyFont="1" applyFill="1" applyBorder="1" applyAlignment="1" applyProtection="1"/>
    <xf numFmtId="39" fontId="23" fillId="9" borderId="9" xfId="40" applyFont="1" applyFill="1" applyBorder="1" applyAlignment="1" applyProtection="1">
      <alignment horizontal="left"/>
      <protection locked="0"/>
    </xf>
    <xf numFmtId="49" fontId="9" fillId="9" borderId="9" xfId="40" applyNumberFormat="1" applyFont="1" applyFill="1" applyBorder="1" applyAlignment="1" applyProtection="1">
      <alignment horizontal="right"/>
    </xf>
    <xf numFmtId="39" fontId="23" fillId="9" borderId="7" xfId="40" applyFont="1" applyFill="1" applyBorder="1"/>
    <xf numFmtId="39" fontId="9" fillId="9" borderId="9" xfId="40" applyFont="1" applyFill="1" applyBorder="1" applyAlignment="1" applyProtection="1">
      <alignment horizontal="left"/>
    </xf>
    <xf numFmtId="39" fontId="23" fillId="9" borderId="9" xfId="40" applyFont="1" applyFill="1" applyBorder="1" applyProtection="1">
      <protection locked="0"/>
    </xf>
    <xf numFmtId="49" fontId="9" fillId="9" borderId="9" xfId="40" quotePrefix="1" applyNumberFormat="1" applyFont="1" applyFill="1" applyBorder="1" applyAlignment="1" applyProtection="1">
      <alignment horizontal="right"/>
      <protection locked="0"/>
    </xf>
    <xf numFmtId="39" fontId="110" fillId="9" borderId="9" xfId="40" applyFont="1" applyFill="1" applyBorder="1" applyAlignment="1" applyProtection="1">
      <alignment horizontal="left"/>
      <protection locked="0"/>
    </xf>
    <xf numFmtId="39" fontId="23" fillId="9" borderId="9" xfId="40" applyFont="1" applyFill="1" applyBorder="1" applyAlignment="1">
      <alignment horizontal="right"/>
    </xf>
    <xf numFmtId="49" fontId="23" fillId="10" borderId="9" xfId="40" applyNumberFormat="1" applyFont="1" applyFill="1" applyBorder="1" applyAlignment="1" applyProtection="1">
      <alignment horizontal="right"/>
      <protection locked="0"/>
    </xf>
    <xf numFmtId="49" fontId="23" fillId="9" borderId="9" xfId="40" quotePrefix="1" applyNumberFormat="1" applyFont="1" applyFill="1" applyBorder="1" applyAlignment="1" applyProtection="1">
      <alignment horizontal="right"/>
      <protection locked="0"/>
    </xf>
    <xf numFmtId="39" fontId="23" fillId="10" borderId="7" xfId="40" applyFont="1" applyFill="1" applyBorder="1" applyAlignment="1" applyProtection="1">
      <alignment horizontal="left"/>
      <protection locked="0"/>
    </xf>
    <xf numFmtId="39" fontId="23" fillId="10" borderId="9" xfId="40" applyFont="1" applyFill="1" applyBorder="1" applyAlignment="1" applyProtection="1">
      <protection locked="0"/>
    </xf>
    <xf numFmtId="1" fontId="23" fillId="9" borderId="10" xfId="40" applyNumberFormat="1" applyFont="1" applyFill="1" applyBorder="1" applyAlignment="1">
      <alignment horizontal="center"/>
    </xf>
    <xf numFmtId="49" fontId="9" fillId="10" borderId="9" xfId="40" applyNumberFormat="1" applyFont="1" applyFill="1" applyBorder="1" applyAlignment="1" applyProtection="1">
      <alignment horizontal="right"/>
      <protection locked="0"/>
    </xf>
    <xf numFmtId="39" fontId="9" fillId="9" borderId="9" xfId="40" applyFont="1" applyFill="1" applyBorder="1" applyAlignment="1" applyProtection="1">
      <protection locked="0"/>
    </xf>
    <xf numFmtId="39" fontId="9" fillId="9" borderId="9" xfId="40" quotePrefix="1" applyFont="1" applyFill="1" applyBorder="1" applyAlignment="1">
      <alignment horizontal="right"/>
    </xf>
    <xf numFmtId="39" fontId="9" fillId="9" borderId="9" xfId="40" applyFont="1" applyFill="1" applyBorder="1"/>
    <xf numFmtId="39" fontId="23" fillId="9" borderId="7" xfId="40" applyFont="1" applyFill="1" applyBorder="1" applyAlignment="1" applyProtection="1">
      <alignment horizontal="left"/>
    </xf>
    <xf numFmtId="39" fontId="23" fillId="10" borderId="9" xfId="40" applyFont="1" applyFill="1" applyBorder="1" applyProtection="1">
      <protection locked="0"/>
    </xf>
    <xf numFmtId="49" fontId="23" fillId="9" borderId="9" xfId="40" applyNumberFormat="1" applyFont="1" applyFill="1" applyBorder="1" applyAlignment="1" applyProtection="1">
      <alignment horizontal="right"/>
      <protection locked="0"/>
    </xf>
    <xf numFmtId="39" fontId="23" fillId="10" borderId="9" xfId="40" applyFont="1" applyFill="1" applyBorder="1" applyAlignment="1" applyProtection="1">
      <alignment horizontal="left"/>
      <protection locked="0"/>
    </xf>
    <xf numFmtId="39" fontId="23" fillId="9" borderId="7" xfId="40" applyFont="1" applyFill="1" applyBorder="1" applyProtection="1">
      <protection locked="0"/>
    </xf>
    <xf numFmtId="49" fontId="9" fillId="9" borderId="9" xfId="40" quotePrefix="1" applyNumberFormat="1" applyFont="1" applyFill="1" applyBorder="1" applyAlignment="1">
      <alignment horizontal="right"/>
    </xf>
    <xf numFmtId="39" fontId="110" fillId="9" borderId="9" xfId="40" applyFont="1" applyFill="1" applyBorder="1" applyAlignment="1" applyProtection="1">
      <alignment horizontal="left"/>
    </xf>
    <xf numFmtId="39" fontId="23" fillId="9" borderId="7" xfId="40" applyFont="1" applyFill="1" applyBorder="1" applyAlignment="1" applyProtection="1">
      <alignment horizontal="left"/>
      <protection locked="0"/>
    </xf>
    <xf numFmtId="39" fontId="23" fillId="10" borderId="9" xfId="40" applyFont="1" applyFill="1" applyBorder="1" applyAlignment="1" applyProtection="1">
      <alignment horizontal="center"/>
      <protection locked="0"/>
    </xf>
    <xf numFmtId="49" fontId="9" fillId="10" borderId="9" xfId="40" quotePrefix="1" applyNumberFormat="1" applyFont="1" applyFill="1" applyBorder="1" applyAlignment="1" applyProtection="1">
      <alignment horizontal="right"/>
      <protection locked="0"/>
    </xf>
    <xf numFmtId="39" fontId="23" fillId="9" borderId="9" xfId="40" applyFont="1" applyFill="1" applyBorder="1" applyAlignment="1" applyProtection="1">
      <alignment horizontal="left"/>
    </xf>
    <xf numFmtId="49" fontId="23" fillId="9" borderId="9" xfId="40" quotePrefix="1" applyNumberFormat="1" applyFont="1" applyFill="1" applyBorder="1" applyAlignment="1" applyProtection="1">
      <alignment horizontal="right"/>
    </xf>
    <xf numFmtId="49" fontId="9" fillId="9" borderId="9" xfId="40" quotePrefix="1" applyNumberFormat="1" applyFont="1" applyFill="1" applyBorder="1" applyAlignment="1" applyProtection="1">
      <alignment horizontal="right"/>
    </xf>
    <xf numFmtId="49" fontId="9" fillId="9" borderId="9" xfId="40" applyNumberFormat="1" applyFont="1" applyFill="1" applyBorder="1" applyAlignment="1">
      <alignment horizontal="right"/>
    </xf>
    <xf numFmtId="39" fontId="110" fillId="9" borderId="9" xfId="40" applyFont="1" applyFill="1" applyBorder="1"/>
    <xf numFmtId="39" fontId="9" fillId="9" borderId="0" xfId="40" quotePrefix="1" applyFont="1" applyFill="1" applyBorder="1" applyAlignment="1" applyProtection="1">
      <alignment horizontal="left"/>
    </xf>
    <xf numFmtId="39" fontId="9" fillId="9" borderId="7" xfId="37" applyFont="1" applyFill="1" applyBorder="1" applyAlignment="1">
      <alignment horizontal="centerContinuous"/>
    </xf>
    <xf numFmtId="39" fontId="9" fillId="9" borderId="13" xfId="37" applyFont="1" applyFill="1" applyBorder="1"/>
    <xf numFmtId="0" fontId="9" fillId="9" borderId="0" xfId="66" applyFont="1" applyFill="1"/>
    <xf numFmtId="39" fontId="156" fillId="9" borderId="0" xfId="40" applyFont="1" applyFill="1"/>
    <xf numFmtId="39" fontId="110" fillId="9" borderId="0" xfId="40" applyFont="1" applyFill="1" applyAlignment="1" applyProtection="1">
      <alignment horizontal="left"/>
      <protection locked="0"/>
    </xf>
    <xf numFmtId="49" fontId="9" fillId="9" borderId="0" xfId="40" applyNumberFormat="1" applyFont="1" applyFill="1"/>
    <xf numFmtId="39" fontId="9" fillId="9" borderId="0" xfId="40" applyFont="1" applyFill="1" applyAlignment="1" applyProtection="1">
      <alignment horizontal="centerContinuous"/>
    </xf>
    <xf numFmtId="39" fontId="110" fillId="9" borderId="0" xfId="40" applyFont="1" applyFill="1" applyAlignment="1">
      <alignment horizontal="centerContinuous"/>
    </xf>
    <xf numFmtId="39" fontId="98" fillId="9" borderId="0" xfId="40" applyFont="1" applyFill="1"/>
    <xf numFmtId="39" fontId="9" fillId="9" borderId="0" xfId="65" applyFont="1" applyFill="1" applyAlignment="1" applyProtection="1">
      <alignment horizontal="left"/>
      <protection locked="0"/>
    </xf>
    <xf numFmtId="39" fontId="26" fillId="9" borderId="0" xfId="65" applyFont="1" applyFill="1" applyAlignment="1" applyProtection="1">
      <alignment horizontal="left"/>
      <protection locked="0"/>
    </xf>
    <xf numFmtId="39" fontId="9" fillId="9" borderId="0" xfId="65" applyFont="1" applyFill="1" applyAlignment="1" applyProtection="1">
      <alignment horizontal="left"/>
    </xf>
    <xf numFmtId="39" fontId="26" fillId="9" borderId="0" xfId="65" applyFont="1" applyFill="1" applyAlignment="1" applyProtection="1">
      <alignment horizontal="left"/>
    </xf>
    <xf numFmtId="39" fontId="9" fillId="16" borderId="2" xfId="37" quotePrefix="1" applyFont="1" applyFill="1" applyBorder="1" applyAlignment="1" applyProtection="1">
      <alignment horizontal="centerContinuous"/>
    </xf>
    <xf numFmtId="0" fontId="30" fillId="9" borderId="6" xfId="50" applyFont="1" applyFill="1" applyBorder="1"/>
    <xf numFmtId="39" fontId="9" fillId="16" borderId="9" xfId="37" quotePrefix="1" applyFont="1" applyFill="1" applyBorder="1" applyAlignment="1" applyProtection="1">
      <alignment horizontal="centerContinuous"/>
    </xf>
    <xf numFmtId="39" fontId="28" fillId="9" borderId="77" xfId="37" applyFont="1" applyFill="1" applyBorder="1"/>
    <xf numFmtId="39" fontId="24" fillId="9" borderId="73" xfId="37" applyFont="1" applyFill="1" applyBorder="1" applyAlignment="1" applyProtection="1">
      <alignment horizontal="left"/>
    </xf>
    <xf numFmtId="39" fontId="9" fillId="0" borderId="7" xfId="37" quotePrefix="1" applyFont="1" applyBorder="1"/>
    <xf numFmtId="39" fontId="9" fillId="0" borderId="12" xfId="37" applyFont="1" applyBorder="1"/>
    <xf numFmtId="39" fontId="9" fillId="0" borderId="7" xfId="37" applyFont="1" applyBorder="1"/>
    <xf numFmtId="39" fontId="9" fillId="0" borderId="9" xfId="37" applyFont="1" applyBorder="1"/>
    <xf numFmtId="39" fontId="9" fillId="0" borderId="0" xfId="37" applyFont="1" applyBorder="1"/>
    <xf numFmtId="39" fontId="110" fillId="9" borderId="10" xfId="37" applyFont="1" applyFill="1" applyBorder="1" applyAlignment="1" applyProtection="1">
      <alignment horizontal="left"/>
    </xf>
    <xf numFmtId="39" fontId="9" fillId="0" borderId="10" xfId="37" applyFont="1" applyBorder="1"/>
    <xf numFmtId="39" fontId="30" fillId="9" borderId="13" xfId="35" applyFont="1" applyFill="1" applyBorder="1" applyProtection="1"/>
    <xf numFmtId="39" fontId="109" fillId="9" borderId="13" xfId="35" applyFont="1" applyFill="1" applyBorder="1" applyProtection="1"/>
    <xf numFmtId="39" fontId="30" fillId="9" borderId="11" xfId="35" applyFont="1" applyFill="1" applyBorder="1" applyProtection="1">
      <protection locked="0"/>
    </xf>
    <xf numFmtId="0" fontId="30" fillId="9" borderId="11" xfId="37" quotePrefix="1" applyNumberFormat="1" applyFont="1" applyFill="1" applyBorder="1" applyAlignment="1">
      <alignment horizontal="center"/>
    </xf>
    <xf numFmtId="39" fontId="9" fillId="0" borderId="18" xfId="37" applyFont="1" applyBorder="1"/>
    <xf numFmtId="39" fontId="9" fillId="0" borderId="14" xfId="37" applyFont="1" applyBorder="1"/>
    <xf numFmtId="0" fontId="30" fillId="9" borderId="12" xfId="37" quotePrefix="1" applyNumberFormat="1" applyFont="1" applyFill="1" applyBorder="1" applyAlignment="1">
      <alignment horizontal="center"/>
    </xf>
    <xf numFmtId="39" fontId="9" fillId="0" borderId="6" xfId="37" applyFont="1" applyBorder="1"/>
    <xf numFmtId="39" fontId="9" fillId="0" borderId="7" xfId="37" quotePrefix="1" applyFont="1" applyBorder="1" applyAlignment="1" applyProtection="1">
      <alignment horizontal="left"/>
    </xf>
    <xf numFmtId="39" fontId="9" fillId="0" borderId="13" xfId="37" applyFont="1" applyBorder="1" applyAlignment="1" applyProtection="1">
      <alignment horizontal="left"/>
    </xf>
    <xf numFmtId="39" fontId="9" fillId="0" borderId="11" xfId="37" applyFont="1" applyBorder="1" applyAlignment="1" applyProtection="1">
      <alignment horizontal="left"/>
    </xf>
    <xf numFmtId="39" fontId="9" fillId="0" borderId="0" xfId="37" applyFont="1" applyBorder="1" applyAlignment="1" applyProtection="1">
      <alignment horizontal="left"/>
    </xf>
    <xf numFmtId="39" fontId="9" fillId="0" borderId="2" xfId="37" applyFont="1" applyBorder="1" applyAlignment="1" applyProtection="1">
      <alignment horizontal="left"/>
    </xf>
    <xf numFmtId="39" fontId="9" fillId="0" borderId="14" xfId="37" applyFont="1" applyBorder="1" applyAlignment="1" applyProtection="1">
      <alignment horizontal="left"/>
    </xf>
    <xf numFmtId="39" fontId="28" fillId="0" borderId="19" xfId="35" applyFont="1" applyBorder="1" applyAlignment="1">
      <alignment vertical="center"/>
    </xf>
    <xf numFmtId="39" fontId="9" fillId="0" borderId="8" xfId="37" applyFont="1" applyBorder="1"/>
    <xf numFmtId="39" fontId="26" fillId="0" borderId="10" xfId="37" applyFont="1" applyBorder="1" applyAlignment="1" applyProtection="1">
      <alignment horizontal="left"/>
    </xf>
    <xf numFmtId="39" fontId="31" fillId="18" borderId="0" xfId="35" applyFont="1" applyFill="1"/>
    <xf numFmtId="39" fontId="24" fillId="9" borderId="2" xfId="35" applyFont="1" applyFill="1" applyBorder="1" applyAlignment="1" applyProtection="1">
      <alignment horizontal="center"/>
    </xf>
    <xf numFmtId="39" fontId="28" fillId="0" borderId="8" xfId="35" applyFont="1" applyBorder="1"/>
    <xf numFmtId="39" fontId="23" fillId="9" borderId="12" xfId="35" applyFont="1" applyFill="1" applyBorder="1" applyAlignment="1" applyProtection="1">
      <alignment horizontal="left"/>
    </xf>
    <xf numFmtId="39" fontId="30" fillId="0" borderId="0" xfId="35" applyFont="1" applyAlignment="1" applyProtection="1">
      <alignment horizontal="center"/>
    </xf>
    <xf numFmtId="0" fontId="118" fillId="0" borderId="0" xfId="66"/>
    <xf numFmtId="39" fontId="118" fillId="0" borderId="0" xfId="66" applyNumberFormat="1"/>
    <xf numFmtId="0" fontId="118" fillId="0" borderId="0" xfId="66" applyBorder="1"/>
    <xf numFmtId="0" fontId="62" fillId="0" borderId="0" xfId="66" applyFont="1"/>
    <xf numFmtId="39" fontId="62" fillId="0" borderId="0" xfId="66" applyNumberFormat="1" applyFont="1"/>
    <xf numFmtId="0" fontId="62" fillId="0" borderId="0" xfId="66" applyFont="1" applyBorder="1"/>
    <xf numFmtId="0" fontId="6" fillId="0" borderId="0" xfId="66" applyFont="1"/>
    <xf numFmtId="0" fontId="71" fillId="0" borderId="0" xfId="66" applyFont="1" applyAlignment="1">
      <alignment horizontal="center"/>
    </xf>
    <xf numFmtId="0" fontId="67" fillId="0" borderId="0" xfId="66" applyFont="1" applyAlignment="1">
      <alignment horizontal="center"/>
    </xf>
    <xf numFmtId="39" fontId="6" fillId="0" borderId="0" xfId="66" applyNumberFormat="1" applyFont="1"/>
    <xf numFmtId="0" fontId="6" fillId="0" borderId="0" xfId="66" applyFont="1" applyBorder="1"/>
    <xf numFmtId="0" fontId="118" fillId="0" borderId="0" xfId="66" applyFont="1"/>
    <xf numFmtId="39" fontId="118" fillId="0" borderId="0" xfId="66" applyNumberFormat="1" applyFont="1" applyBorder="1"/>
    <xf numFmtId="0" fontId="118" fillId="0" borderId="0" xfId="66" applyFont="1" applyBorder="1"/>
    <xf numFmtId="0" fontId="9" fillId="0" borderId="0" xfId="66" applyFont="1"/>
    <xf numFmtId="39" fontId="55" fillId="0" borderId="3" xfId="54" applyFont="1" applyBorder="1" applyProtection="1"/>
    <xf numFmtId="39" fontId="9" fillId="9" borderId="4" xfId="54" applyFont="1" applyFill="1" applyBorder="1" applyProtection="1">
      <protection locked="0"/>
    </xf>
    <xf numFmtId="39" fontId="9" fillId="9" borderId="3" xfId="66" applyNumberFormat="1" applyFont="1" applyFill="1" applyBorder="1"/>
    <xf numFmtId="39" fontId="9" fillId="0" borderId="0" xfId="37" quotePrefix="1" applyFont="1" applyBorder="1"/>
    <xf numFmtId="4" fontId="9" fillId="9" borderId="3" xfId="66" applyNumberFormat="1" applyFont="1" applyFill="1" applyBorder="1" applyAlignment="1">
      <alignment horizontal="right" vertical="center"/>
    </xf>
    <xf numFmtId="39" fontId="9" fillId="9" borderId="3" xfId="66" applyNumberFormat="1" applyFont="1" applyFill="1" applyBorder="1" applyAlignment="1">
      <alignment horizontal="right" vertical="center"/>
    </xf>
    <xf numFmtId="39" fontId="9" fillId="9" borderId="2" xfId="54" applyFont="1" applyFill="1" applyBorder="1" applyProtection="1">
      <protection locked="0"/>
    </xf>
    <xf numFmtId="39" fontId="9" fillId="9" borderId="8" xfId="54" applyFont="1" applyFill="1" applyBorder="1" applyProtection="1">
      <protection locked="0"/>
    </xf>
    <xf numFmtId="4" fontId="9" fillId="9" borderId="2" xfId="66" applyNumberFormat="1" applyFont="1" applyFill="1" applyBorder="1" applyAlignment="1">
      <alignment horizontal="right" vertical="center"/>
    </xf>
    <xf numFmtId="39" fontId="9" fillId="9" borderId="2" xfId="66" applyNumberFormat="1" applyFont="1" applyFill="1" applyBorder="1" applyAlignment="1">
      <alignment horizontal="right" vertical="center"/>
    </xf>
    <xf numFmtId="0" fontId="30" fillId="9" borderId="0" xfId="37" quotePrefix="1" applyNumberFormat="1" applyFont="1" applyFill="1" applyBorder="1" applyAlignment="1">
      <alignment horizontal="center"/>
    </xf>
    <xf numFmtId="39" fontId="110" fillId="9" borderId="0" xfId="37" applyFont="1" applyFill="1" applyBorder="1" applyAlignment="1" applyProtection="1">
      <alignment horizontal="left"/>
    </xf>
    <xf numFmtId="0" fontId="64" fillId="23" borderId="2" xfId="66" applyFont="1" applyFill="1" applyBorder="1" applyAlignment="1">
      <alignment horizontal="center" vertical="center"/>
    </xf>
    <xf numFmtId="39" fontId="121" fillId="24" borderId="2" xfId="66" applyNumberFormat="1" applyFont="1" applyFill="1" applyBorder="1" applyAlignment="1">
      <alignment horizontal="center"/>
    </xf>
    <xf numFmtId="0" fontId="121" fillId="24" borderId="12" xfId="66" applyFont="1" applyFill="1" applyBorder="1" applyAlignment="1">
      <alignment horizontal="center"/>
    </xf>
    <xf numFmtId="0" fontId="64" fillId="23" borderId="9" xfId="66" applyFont="1" applyFill="1" applyBorder="1" applyAlignment="1">
      <alignment horizontal="center" vertical="center"/>
    </xf>
    <xf numFmtId="39" fontId="122" fillId="24" borderId="9" xfId="66" applyNumberFormat="1" applyFont="1" applyFill="1" applyBorder="1" applyAlignment="1">
      <alignment horizontal="center"/>
    </xf>
    <xf numFmtId="0" fontId="121" fillId="24" borderId="10" xfId="66" applyFont="1" applyFill="1" applyBorder="1" applyAlignment="1">
      <alignment horizontal="center"/>
    </xf>
    <xf numFmtId="0" fontId="64" fillId="23" borderId="11" xfId="66" applyFont="1" applyFill="1" applyBorder="1" applyAlignment="1">
      <alignment horizontal="center" vertical="center"/>
    </xf>
    <xf numFmtId="39" fontId="122" fillId="24" borderId="11" xfId="66" applyNumberFormat="1" applyFont="1" applyFill="1" applyBorder="1" applyAlignment="1">
      <alignment horizontal="center"/>
    </xf>
    <xf numFmtId="0" fontId="121" fillId="24" borderId="14" xfId="66" applyFont="1" applyFill="1" applyBorder="1" applyAlignment="1">
      <alignment horizontal="center"/>
    </xf>
    <xf numFmtId="0" fontId="123" fillId="23" borderId="3" xfId="66" applyFont="1" applyFill="1" applyBorder="1" applyAlignment="1">
      <alignment horizontal="center"/>
    </xf>
    <xf numFmtId="39" fontId="9" fillId="9" borderId="0" xfId="54" applyFont="1" applyFill="1" applyBorder="1" applyProtection="1">
      <protection locked="0"/>
    </xf>
    <xf numFmtId="4" fontId="9" fillId="9" borderId="0" xfId="66" applyNumberFormat="1" applyFont="1" applyFill="1" applyBorder="1" applyAlignment="1">
      <alignment horizontal="right" vertical="center"/>
    </xf>
    <xf numFmtId="39" fontId="9" fillId="9" borderId="0" xfId="66" applyNumberFormat="1" applyFont="1" applyFill="1" applyBorder="1" applyAlignment="1">
      <alignment horizontal="right" vertical="center"/>
    </xf>
    <xf numFmtId="0" fontId="30" fillId="9" borderId="7" xfId="37" quotePrefix="1" applyNumberFormat="1" applyFont="1" applyFill="1" applyBorder="1" applyAlignment="1">
      <alignment horizontal="center"/>
    </xf>
    <xf numFmtId="39" fontId="9" fillId="0" borderId="0" xfId="37" quotePrefix="1" applyFont="1" applyBorder="1" applyAlignment="1" applyProtection="1">
      <alignment horizontal="left"/>
    </xf>
    <xf numFmtId="0" fontId="118" fillId="0" borderId="3" xfId="66" applyBorder="1" applyAlignment="1">
      <alignment horizontal="center"/>
    </xf>
    <xf numFmtId="39" fontId="118" fillId="0" borderId="2" xfId="66" applyNumberFormat="1" applyBorder="1" applyAlignment="1">
      <alignment horizontal="center"/>
    </xf>
    <xf numFmtId="0" fontId="118" fillId="0" borderId="2" xfId="66" applyBorder="1" applyAlignment="1">
      <alignment horizontal="center"/>
    </xf>
    <xf numFmtId="0" fontId="67" fillId="0" borderId="0" xfId="66" applyFont="1"/>
    <xf numFmtId="39" fontId="5" fillId="9" borderId="0" xfId="64" applyFont="1" applyFill="1"/>
    <xf numFmtId="39" fontId="5" fillId="9" borderId="0" xfId="64" applyFont="1" applyFill="1" applyAlignment="1">
      <alignment horizontal="center"/>
    </xf>
    <xf numFmtId="49" fontId="5" fillId="9" borderId="0" xfId="64" applyNumberFormat="1" applyFont="1" applyFill="1"/>
    <xf numFmtId="2" fontId="5" fillId="9" borderId="0" xfId="64" applyNumberFormat="1" applyFont="1" applyFill="1" applyProtection="1">
      <protection locked="0"/>
    </xf>
    <xf numFmtId="2" fontId="139" fillId="9" borderId="0" xfId="66" applyNumberFormat="1" applyFont="1" applyFill="1" applyAlignment="1" applyProtection="1">
      <alignment horizontal="right"/>
      <protection locked="0"/>
    </xf>
    <xf numFmtId="49" fontId="139" fillId="9" borderId="0" xfId="66" applyNumberFormat="1" applyFont="1" applyFill="1" applyAlignment="1" applyProtection="1">
      <alignment horizontal="right"/>
      <protection locked="0"/>
    </xf>
    <xf numFmtId="39" fontId="5" fillId="9" borderId="0" xfId="56" applyFont="1" applyFill="1"/>
    <xf numFmtId="39" fontId="5" fillId="9" borderId="0" xfId="37" applyFont="1" applyFill="1" applyAlignment="1">
      <alignment horizontal="center"/>
    </xf>
    <xf numFmtId="39" fontId="5" fillId="9" borderId="6" xfId="37" applyFont="1" applyFill="1" applyBorder="1"/>
    <xf numFmtId="39" fontId="5" fillId="9" borderId="0" xfId="37" applyFont="1" applyFill="1" applyBorder="1" applyAlignment="1">
      <alignment horizontal="center"/>
    </xf>
    <xf numFmtId="39" fontId="5" fillId="9" borderId="0" xfId="56" quotePrefix="1" applyFont="1" applyFill="1" applyAlignment="1">
      <alignment horizontal="center"/>
    </xf>
    <xf numFmtId="39" fontId="5" fillId="9" borderId="0" xfId="36" applyFont="1" applyFill="1" applyAlignment="1">
      <alignment horizontal="center"/>
    </xf>
    <xf numFmtId="39" fontId="5" fillId="9" borderId="0" xfId="64" applyFont="1" applyFill="1" applyProtection="1">
      <protection locked="0"/>
    </xf>
    <xf numFmtId="39" fontId="5" fillId="9" borderId="0" xfId="64" applyFont="1" applyFill="1" applyAlignment="1" applyProtection="1">
      <alignment horizontal="centerContinuous"/>
    </xf>
    <xf numFmtId="39" fontId="5" fillId="9" borderId="0" xfId="64" applyFont="1" applyFill="1" applyAlignment="1" applyProtection="1"/>
    <xf numFmtId="49" fontId="5" fillId="9" borderId="0" xfId="64" applyNumberFormat="1" applyFont="1" applyFill="1" applyAlignment="1" applyProtection="1">
      <alignment horizontal="left"/>
    </xf>
    <xf numFmtId="39" fontId="14" fillId="9" borderId="0" xfId="61" applyFont="1" applyFill="1"/>
    <xf numFmtId="39" fontId="14" fillId="9" borderId="0" xfId="61" applyFont="1" applyFill="1" applyAlignment="1" applyProtection="1">
      <alignment horizontal="right"/>
    </xf>
    <xf numFmtId="39" fontId="14" fillId="9" borderId="0" xfId="61" applyFont="1" applyFill="1" applyAlignment="1">
      <alignment horizontal="right"/>
    </xf>
    <xf numFmtId="39" fontId="14" fillId="9" borderId="0" xfId="37" applyFont="1" applyFill="1" applyAlignment="1" applyProtection="1">
      <alignment horizontal="center"/>
    </xf>
    <xf numFmtId="0" fontId="14" fillId="9" borderId="0" xfId="66" applyFont="1" applyFill="1"/>
    <xf numFmtId="39" fontId="14" fillId="9" borderId="0" xfId="37" applyFont="1" applyFill="1"/>
    <xf numFmtId="39" fontId="14" fillId="9" borderId="0" xfId="37" applyFont="1" applyFill="1" applyAlignment="1" applyProtection="1">
      <alignment horizontal="left"/>
    </xf>
    <xf numFmtId="39" fontId="23" fillId="9" borderId="0" xfId="64" applyFont="1" applyFill="1" applyAlignment="1">
      <alignment vertical="top"/>
    </xf>
    <xf numFmtId="39" fontId="23" fillId="9" borderId="0" xfId="64" applyFont="1" applyFill="1" applyAlignment="1" applyProtection="1">
      <alignment vertical="top"/>
      <protection locked="0"/>
    </xf>
    <xf numFmtId="39" fontId="30" fillId="9" borderId="0" xfId="36" applyFont="1" applyFill="1" applyAlignment="1">
      <alignment vertical="top"/>
    </xf>
    <xf numFmtId="39" fontId="23" fillId="9" borderId="0" xfId="37" applyFont="1" applyFill="1" applyAlignment="1" applyProtection="1">
      <alignment horizontal="center" vertical="top"/>
    </xf>
    <xf numFmtId="0" fontId="24" fillId="9" borderId="0" xfId="66" applyFont="1" applyFill="1" applyAlignment="1">
      <alignment horizontal="center" vertical="top"/>
    </xf>
    <xf numFmtId="0" fontId="23" fillId="9" borderId="0" xfId="66" applyFont="1" applyFill="1" applyAlignment="1">
      <alignment horizontal="left" vertical="top"/>
    </xf>
    <xf numFmtId="39" fontId="9" fillId="9" borderId="0" xfId="64" applyFont="1" applyFill="1" applyProtection="1">
      <protection locked="0"/>
    </xf>
    <xf numFmtId="39" fontId="30" fillId="9" borderId="0" xfId="36" applyFont="1" applyFill="1"/>
    <xf numFmtId="39" fontId="9" fillId="9" borderId="0" xfId="56" applyFont="1" applyFill="1"/>
    <xf numFmtId="39" fontId="9" fillId="9" borderId="0" xfId="61" applyFont="1" applyFill="1" applyAlignment="1">
      <alignment horizontal="center"/>
    </xf>
    <xf numFmtId="39" fontId="9" fillId="10" borderId="0" xfId="64" applyFont="1" applyFill="1"/>
    <xf numFmtId="39" fontId="30" fillId="9" borderId="0" xfId="36" applyFont="1" applyFill="1" applyAlignment="1" applyProtection="1">
      <alignment horizontal="left"/>
    </xf>
    <xf numFmtId="39" fontId="9" fillId="9" borderId="0" xfId="64" applyFont="1" applyFill="1" applyAlignment="1">
      <alignment vertical="center"/>
    </xf>
    <xf numFmtId="39" fontId="9" fillId="9" borderId="0" xfId="64" applyFont="1" applyFill="1" applyBorder="1" applyAlignment="1">
      <alignment horizontal="right" vertical="center"/>
    </xf>
    <xf numFmtId="39" fontId="23" fillId="9" borderId="0" xfId="64" applyFont="1" applyFill="1" applyBorder="1" applyAlignment="1">
      <alignment horizontal="left" vertical="center"/>
    </xf>
    <xf numFmtId="39" fontId="23" fillId="9" borderId="0" xfId="64" applyFont="1" applyFill="1" applyAlignment="1">
      <alignment vertical="center"/>
    </xf>
    <xf numFmtId="39" fontId="9" fillId="9" borderId="0" xfId="64" applyFont="1" applyFill="1" applyBorder="1" applyAlignment="1">
      <alignment vertical="center"/>
    </xf>
    <xf numFmtId="49" fontId="23" fillId="9" borderId="0" xfId="64" applyNumberFormat="1" applyFont="1" applyFill="1" applyBorder="1" applyAlignment="1">
      <alignment vertical="center"/>
    </xf>
    <xf numFmtId="39" fontId="9" fillId="9" borderId="17" xfId="64" applyFont="1" applyFill="1" applyBorder="1" applyAlignment="1">
      <alignment horizontal="right"/>
    </xf>
    <xf numFmtId="39" fontId="9" fillId="9" borderId="17" xfId="64" applyFont="1" applyFill="1" applyBorder="1" applyAlignment="1">
      <alignment horizontal="center"/>
    </xf>
    <xf numFmtId="39" fontId="9" fillId="9" borderId="17" xfId="64" applyFont="1" applyFill="1" applyBorder="1"/>
    <xf numFmtId="39" fontId="23" fillId="9" borderId="21" xfId="64" applyFont="1" applyFill="1" applyBorder="1"/>
    <xf numFmtId="49" fontId="23" fillId="9" borderId="21" xfId="64" applyNumberFormat="1" applyFont="1" applyFill="1" applyBorder="1" applyAlignment="1"/>
    <xf numFmtId="49" fontId="23" fillId="9" borderId="23" xfId="64" applyNumberFormat="1" applyFont="1" applyFill="1" applyBorder="1" applyAlignment="1"/>
    <xf numFmtId="39" fontId="23" fillId="9" borderId="9" xfId="64" applyFont="1" applyFill="1" applyBorder="1" applyAlignment="1">
      <alignment horizontal="right" vertical="center"/>
    </xf>
    <xf numFmtId="49" fontId="23" fillId="9" borderId="9" xfId="64" applyNumberFormat="1" applyFont="1" applyFill="1" applyBorder="1" applyAlignment="1">
      <alignment horizontal="center" vertical="center"/>
    </xf>
    <xf numFmtId="39" fontId="23" fillId="9" borderId="9" xfId="64" applyFont="1" applyFill="1" applyBorder="1" applyAlignment="1">
      <alignment vertical="center"/>
    </xf>
    <xf numFmtId="39" fontId="9" fillId="9" borderId="7" xfId="64" applyFont="1" applyFill="1" applyBorder="1" applyAlignment="1">
      <alignment vertical="center"/>
    </xf>
    <xf numFmtId="49" fontId="9" fillId="9" borderId="7" xfId="64" applyNumberFormat="1" applyFont="1" applyFill="1" applyBorder="1" applyAlignment="1">
      <alignment vertical="center"/>
    </xf>
    <xf numFmtId="49" fontId="9" fillId="9" borderId="10" xfId="64" applyNumberFormat="1" applyFont="1" applyFill="1" applyBorder="1" applyAlignment="1">
      <alignment vertical="center"/>
    </xf>
    <xf numFmtId="39" fontId="9" fillId="9" borderId="11" xfId="64" applyFont="1" applyFill="1" applyBorder="1" applyAlignment="1">
      <alignment horizontal="right"/>
    </xf>
    <xf numFmtId="49" fontId="9" fillId="9" borderId="11" xfId="64" applyNumberFormat="1" applyFont="1" applyFill="1" applyBorder="1" applyAlignment="1">
      <alignment horizontal="center"/>
    </xf>
    <xf numFmtId="39" fontId="9" fillId="9" borderId="11" xfId="64" applyFont="1" applyFill="1" applyBorder="1"/>
    <xf numFmtId="39" fontId="23" fillId="9" borderId="13" xfId="64" applyFont="1" applyFill="1" applyBorder="1"/>
    <xf numFmtId="49" fontId="9" fillId="9" borderId="13" xfId="64" applyNumberFormat="1" applyFont="1" applyFill="1" applyBorder="1" applyAlignment="1"/>
    <xf numFmtId="49" fontId="9" fillId="9" borderId="14" xfId="64" applyNumberFormat="1" applyFont="1" applyFill="1" applyBorder="1" applyAlignment="1"/>
    <xf numFmtId="39" fontId="23" fillId="9" borderId="0" xfId="64" applyFont="1" applyFill="1"/>
    <xf numFmtId="39" fontId="9" fillId="9" borderId="0" xfId="64" applyFont="1" applyFill="1" applyBorder="1"/>
    <xf numFmtId="39" fontId="23" fillId="9" borderId="9" xfId="64" quotePrefix="1" applyFont="1" applyFill="1" applyBorder="1" applyAlignment="1" applyProtection="1">
      <alignment horizontal="right"/>
      <protection locked="0"/>
    </xf>
    <xf numFmtId="39" fontId="23" fillId="9" borderId="9" xfId="64" applyFont="1" applyFill="1" applyBorder="1" applyAlignment="1" applyProtection="1">
      <alignment horizontal="right"/>
      <protection locked="0"/>
    </xf>
    <xf numFmtId="49" fontId="23" fillId="9" borderId="9" xfId="64" quotePrefix="1" applyNumberFormat="1" applyFont="1" applyFill="1" applyBorder="1" applyAlignment="1" applyProtection="1">
      <alignment horizontal="right"/>
      <protection locked="0"/>
    </xf>
    <xf numFmtId="49" fontId="23" fillId="9" borderId="9" xfId="64" quotePrefix="1" applyNumberFormat="1" applyFont="1" applyFill="1" applyBorder="1" applyAlignment="1" applyProtection="1">
      <alignment horizontal="center"/>
      <protection locked="0"/>
    </xf>
    <xf numFmtId="39" fontId="23" fillId="9" borderId="2" xfId="64" applyFont="1" applyFill="1" applyBorder="1"/>
    <xf numFmtId="39" fontId="23" fillId="9" borderId="2" xfId="64" applyFont="1" applyFill="1" applyBorder="1" applyAlignment="1" applyProtection="1">
      <alignment horizontal="left"/>
      <protection locked="0"/>
    </xf>
    <xf numFmtId="49" fontId="23" fillId="9" borderId="2" xfId="64" applyNumberFormat="1" applyFont="1" applyFill="1" applyBorder="1" applyAlignment="1">
      <alignment horizontal="center"/>
    </xf>
    <xf numFmtId="39" fontId="9" fillId="9" borderId="9" xfId="64" quotePrefix="1" applyFont="1" applyFill="1" applyBorder="1" applyAlignment="1" applyProtection="1">
      <alignment horizontal="right"/>
      <protection locked="0"/>
    </xf>
    <xf numFmtId="39" fontId="9" fillId="9" borderId="9" xfId="64" applyFont="1" applyFill="1" applyBorder="1" applyAlignment="1" applyProtection="1">
      <alignment horizontal="right"/>
      <protection locked="0"/>
    </xf>
    <xf numFmtId="49" fontId="9" fillId="9" borderId="9" xfId="64" quotePrefix="1" applyNumberFormat="1" applyFont="1" applyFill="1" applyBorder="1" applyAlignment="1" applyProtection="1">
      <alignment horizontal="center"/>
      <protection locked="0"/>
    </xf>
    <xf numFmtId="39" fontId="23" fillId="9" borderId="9" xfId="64" applyFont="1" applyFill="1" applyBorder="1" applyAlignment="1" applyProtection="1">
      <alignment horizontal="left"/>
      <protection locked="0"/>
    </xf>
    <xf numFmtId="39" fontId="9" fillId="9" borderId="9" xfId="64" applyFont="1" applyFill="1" applyBorder="1"/>
    <xf numFmtId="0" fontId="9" fillId="9" borderId="9" xfId="64" quotePrefix="1" applyNumberFormat="1" applyFont="1" applyFill="1" applyBorder="1" applyAlignment="1">
      <alignment horizontal="center"/>
    </xf>
    <xf numFmtId="49" fontId="9" fillId="9" borderId="9" xfId="64" applyNumberFormat="1" applyFont="1" applyFill="1" applyBorder="1" applyAlignment="1">
      <alignment horizontal="center"/>
    </xf>
    <xf numFmtId="39" fontId="9" fillId="9" borderId="9" xfId="64" applyFont="1" applyFill="1" applyBorder="1" applyAlignment="1" applyProtection="1">
      <alignment horizontal="left"/>
    </xf>
    <xf numFmtId="39" fontId="9" fillId="9" borderId="9" xfId="64" applyFont="1" applyFill="1" applyBorder="1" applyAlignment="1">
      <alignment horizontal="right"/>
    </xf>
    <xf numFmtId="39" fontId="9" fillId="9" borderId="9" xfId="64" applyFont="1" applyFill="1" applyBorder="1" applyAlignment="1">
      <alignment horizontal="center"/>
    </xf>
    <xf numFmtId="39" fontId="23" fillId="9" borderId="10" xfId="64" applyFont="1" applyFill="1" applyBorder="1"/>
    <xf numFmtId="39" fontId="23" fillId="9" borderId="9" xfId="64" applyFont="1" applyFill="1" applyBorder="1"/>
    <xf numFmtId="39" fontId="9" fillId="9" borderId="10" xfId="64" applyFont="1" applyFill="1" applyBorder="1" applyAlignment="1" applyProtection="1">
      <alignment horizontal="left"/>
      <protection locked="0"/>
    </xf>
    <xf numFmtId="49" fontId="9" fillId="10" borderId="9" xfId="64" quotePrefix="1" applyNumberFormat="1" applyFont="1" applyFill="1" applyBorder="1" applyAlignment="1" applyProtection="1">
      <alignment horizontal="center"/>
      <protection locked="0"/>
    </xf>
    <xf numFmtId="39" fontId="23" fillId="10" borderId="9" xfId="64" applyFont="1" applyFill="1" applyBorder="1"/>
    <xf numFmtId="49" fontId="9" fillId="9" borderId="9" xfId="64" applyNumberFormat="1" applyFont="1" applyFill="1" applyBorder="1" applyAlignment="1" applyProtection="1">
      <alignment horizontal="center"/>
      <protection locked="0"/>
    </xf>
    <xf numFmtId="39" fontId="23" fillId="10" borderId="9" xfId="64" applyFont="1" applyFill="1" applyBorder="1" applyAlignment="1" applyProtection="1">
      <alignment horizontal="left"/>
      <protection locked="0"/>
    </xf>
    <xf numFmtId="39" fontId="23" fillId="9" borderId="0" xfId="64" applyFont="1" applyFill="1" applyAlignment="1"/>
    <xf numFmtId="39" fontId="23" fillId="9" borderId="9" xfId="64" quotePrefix="1" applyFont="1" applyFill="1" applyBorder="1" applyAlignment="1" applyProtection="1">
      <protection locked="0"/>
    </xf>
    <xf numFmtId="39" fontId="23" fillId="9" borderId="9" xfId="64" applyFont="1" applyFill="1" applyBorder="1" applyAlignment="1" applyProtection="1">
      <protection locked="0"/>
    </xf>
    <xf numFmtId="49" fontId="23" fillId="9" borderId="9" xfId="64" quotePrefix="1" applyNumberFormat="1" applyFont="1" applyFill="1" applyBorder="1" applyAlignment="1" applyProtection="1">
      <protection locked="0"/>
    </xf>
    <xf numFmtId="49" fontId="23" fillId="9" borderId="9" xfId="64" quotePrefix="1" applyNumberFormat="1" applyFont="1" applyFill="1" applyBorder="1" applyAlignment="1" applyProtection="1"/>
    <xf numFmtId="39" fontId="23" fillId="9" borderId="9" xfId="64" applyFont="1" applyFill="1" applyBorder="1" applyAlignment="1"/>
    <xf numFmtId="49" fontId="23" fillId="9" borderId="9" xfId="64" applyNumberFormat="1" applyFont="1" applyFill="1" applyBorder="1" applyAlignment="1"/>
    <xf numFmtId="39" fontId="23" fillId="10" borderId="9" xfId="64" applyFont="1" applyFill="1" applyBorder="1" applyAlignment="1"/>
    <xf numFmtId="39" fontId="9" fillId="9" borderId="10" xfId="64" applyFont="1" applyFill="1" applyBorder="1"/>
    <xf numFmtId="39" fontId="9" fillId="9" borderId="8" xfId="37" applyFont="1" applyFill="1" applyBorder="1" applyAlignment="1" applyProtection="1">
      <alignment horizontal="center"/>
    </xf>
    <xf numFmtId="39" fontId="9" fillId="9" borderId="12" xfId="37" applyFont="1" applyFill="1" applyBorder="1" applyAlignment="1" applyProtection="1">
      <alignment horizontal="center"/>
    </xf>
    <xf numFmtId="39" fontId="9" fillId="9" borderId="6" xfId="64" quotePrefix="1" applyFont="1" applyFill="1" applyBorder="1" applyAlignment="1" applyProtection="1">
      <alignment horizontal="right"/>
      <protection locked="0"/>
    </xf>
    <xf numFmtId="39" fontId="23" fillId="9" borderId="6" xfId="64" applyFont="1" applyFill="1" applyBorder="1"/>
    <xf numFmtId="49" fontId="23" fillId="9" borderId="6" xfId="64" applyNumberFormat="1" applyFont="1" applyFill="1" applyBorder="1" applyAlignment="1" applyProtection="1">
      <alignment horizontal="center"/>
      <protection locked="0"/>
    </xf>
    <xf numFmtId="39" fontId="9" fillId="9" borderId="6" xfId="64" applyFont="1" applyFill="1" applyBorder="1"/>
    <xf numFmtId="37" fontId="9" fillId="9" borderId="6" xfId="37" quotePrefix="1" applyNumberFormat="1" applyFont="1" applyFill="1" applyBorder="1" applyAlignment="1" applyProtection="1">
      <alignment horizontal="center"/>
    </xf>
    <xf numFmtId="39" fontId="9" fillId="9" borderId="0" xfId="64" quotePrefix="1" applyFont="1" applyFill="1" applyBorder="1" applyAlignment="1" applyProtection="1">
      <alignment horizontal="right"/>
      <protection locked="0"/>
    </xf>
    <xf numFmtId="39" fontId="23" fillId="9" borderId="0" xfId="64" applyFont="1" applyFill="1" applyBorder="1"/>
    <xf numFmtId="49" fontId="23" fillId="9" borderId="0" xfId="64" applyNumberFormat="1" applyFont="1" applyFill="1" applyBorder="1" applyAlignment="1" applyProtection="1">
      <alignment horizontal="center"/>
      <protection locked="0"/>
    </xf>
    <xf numFmtId="39" fontId="26" fillId="9" borderId="0" xfId="65" applyFont="1" applyFill="1" applyBorder="1" applyAlignment="1" applyProtection="1">
      <alignment horizontal="left"/>
      <protection locked="0"/>
    </xf>
    <xf numFmtId="39" fontId="26" fillId="9" borderId="0" xfId="65" applyFont="1" applyFill="1" applyBorder="1" applyAlignment="1" applyProtection="1">
      <alignment horizontal="left"/>
    </xf>
    <xf numFmtId="39" fontId="9" fillId="9" borderId="18" xfId="64" quotePrefix="1" applyFont="1" applyFill="1" applyBorder="1" applyAlignment="1" applyProtection="1">
      <alignment horizontal="right"/>
      <protection locked="0"/>
    </xf>
    <xf numFmtId="39" fontId="9" fillId="9" borderId="18" xfId="64" applyFont="1" applyFill="1" applyBorder="1" applyProtection="1">
      <protection locked="0"/>
    </xf>
    <xf numFmtId="49" fontId="9" fillId="9" borderId="18" xfId="64" quotePrefix="1" applyNumberFormat="1" applyFont="1" applyFill="1" applyBorder="1" applyAlignment="1">
      <alignment horizontal="center"/>
    </xf>
    <xf numFmtId="39" fontId="23" fillId="9" borderId="18" xfId="64" applyFont="1" applyFill="1" applyBorder="1" applyAlignment="1" applyProtection="1">
      <alignment horizontal="left" vertical="center"/>
      <protection locked="0"/>
    </xf>
    <xf numFmtId="49" fontId="9" fillId="9" borderId="18" xfId="64" applyNumberFormat="1" applyFont="1" applyFill="1" applyBorder="1" applyAlignment="1" applyProtection="1">
      <alignment horizontal="center"/>
      <protection locked="0"/>
    </xf>
    <xf numFmtId="39" fontId="9" fillId="9" borderId="2" xfId="64" quotePrefix="1" applyFont="1" applyFill="1" applyBorder="1" applyAlignment="1" applyProtection="1">
      <alignment horizontal="right"/>
      <protection locked="0"/>
    </xf>
    <xf numFmtId="39" fontId="9" fillId="9" borderId="2" xfId="64" applyFont="1" applyFill="1" applyBorder="1" applyAlignment="1" applyProtection="1">
      <alignment horizontal="right"/>
      <protection locked="0"/>
    </xf>
    <xf numFmtId="49" fontId="9" fillId="9" borderId="2" xfId="64" quotePrefix="1" applyNumberFormat="1" applyFont="1" applyFill="1" applyBorder="1" applyAlignment="1" applyProtection="1">
      <alignment horizontal="right"/>
      <protection locked="0"/>
    </xf>
    <xf numFmtId="49" fontId="9" fillId="9" borderId="2" xfId="64" quotePrefix="1" applyNumberFormat="1" applyFont="1" applyFill="1" applyBorder="1" applyAlignment="1" applyProtection="1">
      <alignment horizontal="center"/>
      <protection locked="0"/>
    </xf>
    <xf numFmtId="39" fontId="50" fillId="9" borderId="2" xfId="64" applyFont="1" applyFill="1" applyBorder="1" applyAlignment="1" applyProtection="1">
      <alignment horizontal="left"/>
      <protection locked="0"/>
    </xf>
    <xf numFmtId="49" fontId="9" fillId="9" borderId="2" xfId="64" applyNumberFormat="1" applyFont="1" applyFill="1" applyBorder="1" applyAlignment="1" applyProtection="1">
      <alignment horizontal="center"/>
      <protection locked="0"/>
    </xf>
    <xf numFmtId="39" fontId="9" fillId="9" borderId="10" xfId="64" applyFont="1" applyFill="1" applyBorder="1" applyAlignment="1" applyProtection="1">
      <alignment horizontal="left"/>
    </xf>
    <xf numFmtId="39" fontId="25" fillId="9" borderId="9" xfId="64" applyFont="1" applyFill="1" applyBorder="1"/>
    <xf numFmtId="39" fontId="110" fillId="9" borderId="10" xfId="64" applyFont="1" applyFill="1" applyBorder="1"/>
    <xf numFmtId="39" fontId="50" fillId="9" borderId="9" xfId="64" applyFont="1" applyFill="1" applyBorder="1" applyAlignment="1" applyProtection="1">
      <alignment horizontal="left"/>
      <protection locked="0"/>
    </xf>
    <xf numFmtId="39" fontId="23" fillId="9" borderId="9" xfId="64" applyFont="1" applyFill="1" applyBorder="1" applyAlignment="1" applyProtection="1">
      <alignment horizontal="left" vertical="center"/>
      <protection locked="0"/>
    </xf>
    <xf numFmtId="39" fontId="9" fillId="9" borderId="9" xfId="64" quotePrefix="1" applyFont="1" applyFill="1" applyBorder="1" applyAlignment="1" applyProtection="1">
      <alignment horizontal="right" vertical="center"/>
      <protection locked="0"/>
    </xf>
    <xf numFmtId="39" fontId="9" fillId="9" borderId="9" xfId="64" applyFont="1" applyFill="1" applyBorder="1" applyAlignment="1" applyProtection="1">
      <alignment horizontal="right" vertical="center"/>
      <protection locked="0"/>
    </xf>
    <xf numFmtId="49" fontId="9" fillId="9" borderId="9" xfId="64" quotePrefix="1" applyNumberFormat="1" applyFont="1" applyFill="1" applyBorder="1" applyAlignment="1" applyProtection="1">
      <alignment horizontal="center" vertical="center"/>
      <protection locked="0"/>
    </xf>
    <xf numFmtId="39" fontId="23" fillId="10" borderId="9" xfId="64" applyFont="1" applyFill="1" applyBorder="1" applyAlignment="1" applyProtection="1">
      <alignment horizontal="left" vertical="center"/>
      <protection locked="0"/>
    </xf>
    <xf numFmtId="39" fontId="9" fillId="9" borderId="9" xfId="63" applyFont="1" applyFill="1" applyBorder="1" applyAlignment="1" applyProtection="1">
      <alignment horizontal="left" vertical="center" wrapText="1"/>
    </xf>
    <xf numFmtId="49" fontId="9" fillId="9" borderId="9" xfId="64" applyNumberFormat="1" applyFont="1" applyFill="1" applyBorder="1" applyAlignment="1">
      <alignment horizontal="center" vertical="center"/>
    </xf>
    <xf numFmtId="39" fontId="40" fillId="9" borderId="9" xfId="64" applyFont="1" applyFill="1" applyBorder="1"/>
    <xf numFmtId="39" fontId="9" fillId="9" borderId="0" xfId="64" applyFont="1" applyFill="1" applyAlignment="1"/>
    <xf numFmtId="39" fontId="9" fillId="9" borderId="9" xfId="64" applyFont="1" applyFill="1" applyBorder="1" applyAlignment="1"/>
    <xf numFmtId="39" fontId="9" fillId="9" borderId="9" xfId="64" applyFont="1" applyFill="1" applyBorder="1" applyAlignment="1" applyProtection="1">
      <alignment horizontal="left"/>
      <protection locked="0"/>
    </xf>
    <xf numFmtId="39" fontId="9" fillId="9" borderId="10" xfId="64" applyFont="1" applyFill="1" applyBorder="1" applyAlignment="1" applyProtection="1">
      <alignment horizontal="left" vertical="center" wrapText="1"/>
    </xf>
    <xf numFmtId="39" fontId="5" fillId="9" borderId="9" xfId="64" applyFont="1" applyFill="1" applyBorder="1"/>
    <xf numFmtId="39" fontId="5" fillId="9" borderId="9" xfId="64" applyFont="1" applyFill="1" applyBorder="1" applyAlignment="1">
      <alignment horizontal="center"/>
    </xf>
    <xf numFmtId="49" fontId="5" fillId="9" borderId="9" xfId="64" applyNumberFormat="1" applyFont="1" applyFill="1" applyBorder="1"/>
    <xf numFmtId="39" fontId="9" fillId="9" borderId="9" xfId="64" applyFont="1" applyFill="1" applyBorder="1" applyAlignment="1" applyProtection="1">
      <alignment horizontal="left" vertical="center"/>
    </xf>
    <xf numFmtId="49" fontId="9" fillId="9" borderId="9" xfId="64" applyNumberFormat="1" applyFont="1" applyFill="1" applyBorder="1" applyAlignment="1" applyProtection="1">
      <alignment horizontal="right"/>
      <protection locked="0"/>
    </xf>
    <xf numFmtId="49" fontId="23" fillId="9" borderId="18" xfId="64" applyNumberFormat="1" applyFont="1" applyFill="1" applyBorder="1" applyAlignment="1">
      <alignment horizontal="center"/>
    </xf>
    <xf numFmtId="39" fontId="23" fillId="9" borderId="18" xfId="64" applyFont="1" applyFill="1" applyBorder="1" applyAlignment="1">
      <alignment vertical="center"/>
    </xf>
    <xf numFmtId="39" fontId="9" fillId="9" borderId="18" xfId="64" applyFont="1" applyFill="1" applyBorder="1" applyAlignment="1" applyProtection="1">
      <alignment horizontal="right"/>
      <protection locked="0"/>
    </xf>
    <xf numFmtId="39" fontId="23" fillId="9" borderId="18" xfId="64" applyFont="1" applyFill="1" applyBorder="1" applyAlignment="1" applyProtection="1">
      <alignment horizontal="left"/>
      <protection locked="0"/>
    </xf>
    <xf numFmtId="39" fontId="9" fillId="9" borderId="2" xfId="64" applyFont="1" applyFill="1" applyBorder="1" applyAlignment="1" applyProtection="1">
      <alignment horizontal="left"/>
    </xf>
    <xf numFmtId="49" fontId="9" fillId="9" borderId="9" xfId="64" quotePrefix="1" applyNumberFormat="1" applyFont="1" applyFill="1" applyBorder="1" applyAlignment="1" applyProtection="1">
      <alignment horizontal="center"/>
    </xf>
    <xf numFmtId="49" fontId="9" fillId="9" borderId="9" xfId="64" applyNumberFormat="1" applyFont="1" applyFill="1" applyBorder="1" applyAlignment="1" applyProtection="1">
      <alignment horizontal="center"/>
    </xf>
    <xf numFmtId="39" fontId="23" fillId="9" borderId="9" xfId="64" applyFont="1" applyFill="1" applyBorder="1" applyAlignment="1" applyProtection="1"/>
    <xf numFmtId="49" fontId="9" fillId="10" borderId="9" xfId="64" quotePrefix="1" applyNumberFormat="1" applyFont="1" applyFill="1" applyBorder="1" applyAlignment="1" applyProtection="1">
      <alignment horizontal="center"/>
    </xf>
    <xf numFmtId="39" fontId="23" fillId="10" borderId="9" xfId="64" applyFont="1" applyFill="1" applyBorder="1" applyAlignment="1" applyProtection="1"/>
    <xf numFmtId="39" fontId="159" fillId="9" borderId="0" xfId="64" applyFont="1" applyFill="1" applyBorder="1" applyAlignment="1" applyProtection="1">
      <alignment horizontal="left"/>
      <protection locked="0"/>
    </xf>
    <xf numFmtId="39" fontId="23" fillId="9" borderId="9" xfId="64" applyFont="1" applyFill="1" applyBorder="1" applyProtection="1">
      <protection locked="0"/>
    </xf>
    <xf numFmtId="39" fontId="23" fillId="9" borderId="0" xfId="64" applyFont="1" applyFill="1" applyBorder="1" applyAlignment="1" applyProtection="1">
      <alignment horizontal="left"/>
      <protection locked="0"/>
    </xf>
    <xf numFmtId="39" fontId="23" fillId="9" borderId="9" xfId="64" applyFont="1" applyFill="1" applyBorder="1" applyAlignment="1">
      <alignment horizontal="right"/>
    </xf>
    <xf numFmtId="49" fontId="9" fillId="9" borderId="9" xfId="64" quotePrefix="1" applyNumberFormat="1" applyFont="1" applyFill="1" applyBorder="1" applyAlignment="1">
      <alignment horizontal="center"/>
    </xf>
    <xf numFmtId="49" fontId="9" fillId="10" borderId="9" xfId="64" quotePrefix="1" applyNumberFormat="1" applyFont="1" applyFill="1" applyBorder="1" applyAlignment="1">
      <alignment horizontal="center"/>
    </xf>
    <xf numFmtId="39" fontId="23" fillId="10" borderId="10" xfId="64" applyFont="1" applyFill="1" applyBorder="1"/>
    <xf numFmtId="39" fontId="110" fillId="9" borderId="7" xfId="64" applyFont="1" applyFill="1" applyBorder="1" applyAlignment="1" applyProtection="1">
      <alignment horizontal="left"/>
    </xf>
    <xf numFmtId="39" fontId="9" fillId="9" borderId="7" xfId="64" quotePrefix="1" applyFont="1" applyFill="1" applyBorder="1" applyAlignment="1" applyProtection="1">
      <alignment horizontal="right"/>
      <protection locked="0"/>
    </xf>
    <xf numFmtId="39" fontId="9" fillId="9" borderId="7" xfId="64" applyFont="1" applyFill="1" applyBorder="1" applyAlignment="1" applyProtection="1">
      <alignment horizontal="right"/>
      <protection locked="0"/>
    </xf>
    <xf numFmtId="39" fontId="23" fillId="9" borderId="0" xfId="64" applyFont="1" applyFill="1" applyBorder="1" applyAlignment="1" applyProtection="1">
      <alignment horizontal="left"/>
    </xf>
    <xf numFmtId="39" fontId="9" fillId="9" borderId="7" xfId="64" applyFont="1" applyFill="1" applyBorder="1" applyAlignment="1" applyProtection="1">
      <alignment horizontal="left"/>
      <protection locked="0"/>
    </xf>
    <xf numFmtId="39" fontId="23" fillId="9" borderId="10" xfId="64" applyFont="1" applyFill="1" applyBorder="1" applyAlignment="1" applyProtection="1">
      <alignment horizontal="left"/>
    </xf>
    <xf numFmtId="39" fontId="23" fillId="9" borderId="0" xfId="64" applyFont="1" applyFill="1" applyBorder="1" applyAlignment="1" applyProtection="1"/>
    <xf numFmtId="49" fontId="23" fillId="9" borderId="9" xfId="64" quotePrefix="1" applyNumberFormat="1" applyFont="1" applyFill="1" applyBorder="1" applyAlignment="1" applyProtection="1">
      <alignment horizontal="center"/>
    </xf>
    <xf numFmtId="39" fontId="23" fillId="10" borderId="10" xfId="64" applyFont="1" applyFill="1" applyBorder="1" applyAlignment="1" applyProtection="1">
      <alignment horizontal="left"/>
    </xf>
    <xf numFmtId="39" fontId="23" fillId="9" borderId="7" xfId="64" applyFont="1" applyFill="1" applyBorder="1" applyAlignment="1" applyProtection="1">
      <alignment horizontal="left"/>
      <protection locked="0"/>
    </xf>
    <xf numFmtId="49" fontId="23" fillId="9" borderId="9" xfId="64" applyNumberFormat="1" applyFont="1" applyFill="1" applyBorder="1" applyAlignment="1" applyProtection="1">
      <alignment horizontal="center"/>
      <protection locked="0"/>
    </xf>
    <xf numFmtId="39" fontId="23" fillId="9" borderId="2" xfId="64" quotePrefix="1" applyFont="1" applyFill="1" applyBorder="1" applyAlignment="1" applyProtection="1">
      <alignment horizontal="right"/>
      <protection locked="0"/>
    </xf>
    <xf numFmtId="39" fontId="23" fillId="9" borderId="2" xfId="64" applyFont="1" applyFill="1" applyBorder="1" applyAlignment="1" applyProtection="1">
      <alignment horizontal="right"/>
      <protection locked="0"/>
    </xf>
    <xf numFmtId="49" fontId="23" fillId="9" borderId="2" xfId="64" quotePrefix="1" applyNumberFormat="1" applyFont="1" applyFill="1" applyBorder="1" applyAlignment="1" applyProtection="1">
      <alignment horizontal="center"/>
      <protection locked="0"/>
    </xf>
    <xf numFmtId="49" fontId="23" fillId="9" borderId="2" xfId="64" applyNumberFormat="1" applyFont="1" applyFill="1" applyBorder="1" applyAlignment="1" applyProtection="1">
      <alignment horizontal="center"/>
      <protection locked="0"/>
    </xf>
    <xf numFmtId="39" fontId="23" fillId="9" borderId="10" xfId="64" applyFont="1" applyFill="1" applyBorder="1" applyAlignment="1" applyProtection="1">
      <alignment horizontal="left"/>
      <protection locked="0"/>
    </xf>
    <xf numFmtId="39" fontId="23" fillId="9" borderId="10" xfId="64" applyFont="1" applyFill="1" applyBorder="1" applyAlignment="1" applyProtection="1"/>
    <xf numFmtId="39" fontId="23" fillId="9" borderId="9" xfId="64" applyFont="1" applyFill="1" applyBorder="1" applyAlignment="1" applyProtection="1">
      <alignment horizontal="left"/>
    </xf>
    <xf numFmtId="39" fontId="23" fillId="9" borderId="0" xfId="64" applyFont="1" applyFill="1" applyAlignment="1">
      <alignment vertical="center" wrapText="1"/>
    </xf>
    <xf numFmtId="39" fontId="23" fillId="9" borderId="9" xfId="64" quotePrefix="1" applyFont="1" applyFill="1" applyBorder="1" applyAlignment="1" applyProtection="1">
      <alignment horizontal="right" vertical="center"/>
      <protection locked="0"/>
    </xf>
    <xf numFmtId="39" fontId="23" fillId="9" borderId="9" xfId="64" applyFont="1" applyFill="1" applyBorder="1" applyAlignment="1" applyProtection="1">
      <alignment horizontal="right" vertical="center"/>
      <protection locked="0"/>
    </xf>
    <xf numFmtId="49" fontId="23" fillId="9" borderId="9" xfId="64" quotePrefix="1" applyNumberFormat="1" applyFont="1" applyFill="1" applyBorder="1" applyAlignment="1" applyProtection="1">
      <alignment horizontal="center" vertical="center"/>
      <protection locked="0"/>
    </xf>
    <xf numFmtId="49" fontId="23" fillId="9" borderId="9" xfId="64" applyNumberFormat="1" applyFont="1" applyFill="1" applyBorder="1" applyAlignment="1" applyProtection="1">
      <alignment horizontal="center" vertical="center"/>
      <protection locked="0"/>
    </xf>
    <xf numFmtId="39" fontId="23" fillId="9" borderId="9" xfId="64" applyFont="1" applyFill="1" applyBorder="1" applyAlignment="1" applyProtection="1">
      <alignment horizontal="left" vertical="center" wrapText="1"/>
    </xf>
    <xf numFmtId="49" fontId="23" fillId="9" borderId="9" xfId="64" applyNumberFormat="1" applyFont="1" applyFill="1" applyBorder="1" applyAlignment="1" applyProtection="1">
      <alignment horizontal="center" vertical="center" wrapText="1"/>
      <protection locked="0"/>
    </xf>
    <xf numFmtId="39" fontId="9" fillId="10" borderId="0" xfId="64" applyFont="1" applyFill="1" applyAlignment="1">
      <alignment vertical="center" wrapText="1"/>
    </xf>
    <xf numFmtId="39" fontId="9" fillId="10" borderId="9" xfId="64" quotePrefix="1" applyFont="1" applyFill="1" applyBorder="1" applyAlignment="1" applyProtection="1">
      <alignment horizontal="right" vertical="center"/>
      <protection locked="0"/>
    </xf>
    <xf numFmtId="39" fontId="9" fillId="10" borderId="9" xfId="64" applyFont="1" applyFill="1" applyBorder="1" applyAlignment="1" applyProtection="1">
      <alignment horizontal="right" vertical="center"/>
      <protection locked="0"/>
    </xf>
    <xf numFmtId="49" fontId="9" fillId="10" borderId="9" xfId="64" quotePrefix="1" applyNumberFormat="1" applyFont="1" applyFill="1" applyBorder="1" applyAlignment="1" applyProtection="1">
      <alignment horizontal="center" vertical="center"/>
      <protection locked="0"/>
    </xf>
    <xf numFmtId="49" fontId="9" fillId="10" borderId="9" xfId="64" applyNumberFormat="1" applyFont="1" applyFill="1" applyBorder="1" applyAlignment="1" applyProtection="1">
      <alignment horizontal="center" vertical="center"/>
      <protection locked="0"/>
    </xf>
    <xf numFmtId="39" fontId="23" fillId="10" borderId="9" xfId="64" applyFont="1" applyFill="1" applyBorder="1" applyAlignment="1">
      <alignment vertical="center"/>
    </xf>
    <xf numFmtId="39" fontId="9" fillId="10" borderId="9" xfId="64" applyFont="1" applyFill="1" applyBorder="1" applyAlignment="1" applyProtection="1">
      <alignment horizontal="left" vertical="center" wrapText="1"/>
    </xf>
    <xf numFmtId="49" fontId="9" fillId="10" borderId="9" xfId="64" applyNumberFormat="1" applyFont="1" applyFill="1" applyBorder="1" applyAlignment="1" applyProtection="1">
      <alignment horizontal="center" vertical="center" wrapText="1"/>
      <protection locked="0"/>
    </xf>
    <xf numFmtId="49" fontId="23" fillId="9" borderId="9" xfId="64" quotePrefix="1" applyNumberFormat="1" applyFont="1" applyFill="1" applyBorder="1" applyAlignment="1" applyProtection="1">
      <alignment horizontal="right"/>
    </xf>
    <xf numFmtId="49" fontId="9" fillId="9" borderId="9" xfId="64" quotePrefix="1" applyNumberFormat="1" applyFont="1" applyFill="1" applyBorder="1" applyAlignment="1" applyProtection="1">
      <alignment horizontal="right"/>
    </xf>
    <xf numFmtId="49" fontId="9" fillId="9" borderId="18" xfId="64" quotePrefix="1" applyNumberFormat="1" applyFont="1" applyFill="1" applyBorder="1" applyAlignment="1">
      <alignment horizontal="right"/>
    </xf>
    <xf numFmtId="39" fontId="23" fillId="9" borderId="18" xfId="64" applyFont="1" applyFill="1" applyBorder="1"/>
    <xf numFmtId="39" fontId="24" fillId="9" borderId="9" xfId="64" applyFont="1" applyFill="1" applyBorder="1" applyAlignment="1" applyProtection="1">
      <alignment horizontal="left"/>
      <protection locked="0"/>
    </xf>
    <xf numFmtId="49" fontId="9" fillId="9" borderId="9" xfId="64" quotePrefix="1" applyNumberFormat="1" applyFont="1" applyFill="1" applyBorder="1" applyAlignment="1" applyProtection="1">
      <alignment horizontal="right"/>
      <protection locked="0"/>
    </xf>
    <xf numFmtId="39" fontId="9" fillId="0" borderId="0" xfId="64" applyFont="1" applyFill="1"/>
    <xf numFmtId="39" fontId="9" fillId="0" borderId="9" xfId="64" quotePrefix="1" applyFont="1" applyFill="1" applyBorder="1" applyAlignment="1" applyProtection="1">
      <alignment horizontal="right"/>
      <protection locked="0"/>
    </xf>
    <xf numFmtId="39" fontId="9" fillId="0" borderId="9" xfId="64" applyFont="1" applyFill="1" applyBorder="1" applyAlignment="1" applyProtection="1">
      <alignment horizontal="right"/>
      <protection locked="0"/>
    </xf>
    <xf numFmtId="49" fontId="9" fillId="0" borderId="9" xfId="64" quotePrefix="1" applyNumberFormat="1" applyFont="1" applyFill="1" applyBorder="1" applyAlignment="1" applyProtection="1">
      <alignment horizontal="right"/>
      <protection locked="0"/>
    </xf>
    <xf numFmtId="49" fontId="9" fillId="0" borderId="9" xfId="64" applyNumberFormat="1" applyFont="1" applyFill="1" applyBorder="1" applyAlignment="1" applyProtection="1">
      <alignment horizontal="center"/>
      <protection locked="0"/>
    </xf>
    <xf numFmtId="39" fontId="23" fillId="0" borderId="9" xfId="64" applyFont="1" applyFill="1" applyBorder="1" applyAlignment="1" applyProtection="1">
      <alignment horizontal="left"/>
      <protection locked="0"/>
    </xf>
    <xf numFmtId="39" fontId="9" fillId="0" borderId="9" xfId="64" applyFont="1" applyFill="1" applyBorder="1" applyAlignment="1" applyProtection="1">
      <alignment horizontal="left"/>
    </xf>
    <xf numFmtId="39" fontId="23" fillId="9" borderId="7" xfId="64" applyFont="1" applyFill="1" applyBorder="1" applyAlignment="1" applyProtection="1">
      <alignment horizontal="left"/>
    </xf>
    <xf numFmtId="49" fontId="9" fillId="9" borderId="9" xfId="64" applyNumberFormat="1" applyFont="1" applyFill="1" applyBorder="1" applyAlignment="1" applyProtection="1">
      <alignment horizontal="right"/>
    </xf>
    <xf numFmtId="39" fontId="23" fillId="9" borderId="7" xfId="64" applyFont="1" applyFill="1" applyBorder="1" applyAlignment="1" applyProtection="1"/>
    <xf numFmtId="39" fontId="110" fillId="9" borderId="9" xfId="64" applyFont="1" applyFill="1" applyBorder="1"/>
    <xf numFmtId="39" fontId="9" fillId="10" borderId="9" xfId="64" quotePrefix="1" applyFont="1" applyFill="1" applyBorder="1" applyAlignment="1" applyProtection="1">
      <alignment horizontal="right"/>
      <protection locked="0"/>
    </xf>
    <xf numFmtId="39" fontId="9" fillId="10" borderId="9" xfId="64" applyFont="1" applyFill="1" applyBorder="1" applyAlignment="1" applyProtection="1">
      <alignment horizontal="right"/>
      <protection locked="0"/>
    </xf>
    <xf numFmtId="49" fontId="9" fillId="10" borderId="9" xfId="64" quotePrefix="1" applyNumberFormat="1" applyFont="1" applyFill="1" applyBorder="1" applyAlignment="1" applyProtection="1">
      <alignment horizontal="right"/>
      <protection locked="0"/>
    </xf>
    <xf numFmtId="39" fontId="9" fillId="10" borderId="9" xfId="64" applyFont="1" applyFill="1" applyBorder="1" applyAlignment="1">
      <alignment horizontal="right"/>
    </xf>
    <xf numFmtId="39" fontId="9" fillId="10" borderId="9" xfId="64" applyFont="1" applyFill="1" applyBorder="1" applyAlignment="1">
      <alignment horizontal="center"/>
    </xf>
    <xf numFmtId="39" fontId="9" fillId="10" borderId="9" xfId="64" applyFont="1" applyFill="1" applyBorder="1"/>
    <xf numFmtId="37" fontId="9" fillId="10" borderId="9" xfId="37" quotePrefix="1" applyNumberFormat="1" applyFont="1" applyFill="1" applyBorder="1" applyAlignment="1" applyProtection="1">
      <alignment horizontal="center"/>
    </xf>
    <xf numFmtId="37" fontId="9" fillId="9" borderId="9" xfId="37" quotePrefix="1" applyNumberFormat="1" applyFont="1" applyFill="1" applyBorder="1" applyAlignment="1" applyProtection="1">
      <alignment horizontal="center"/>
    </xf>
    <xf numFmtId="49" fontId="9" fillId="9" borderId="18" xfId="64" quotePrefix="1" applyNumberFormat="1" applyFont="1" applyFill="1" applyBorder="1" applyAlignment="1">
      <alignment horizontal="right" vertical="center"/>
    </xf>
    <xf numFmtId="39" fontId="24" fillId="9" borderId="18" xfId="64" applyFont="1" applyFill="1" applyBorder="1" applyAlignment="1">
      <alignment horizontal="center" vertical="center"/>
    </xf>
    <xf numFmtId="49" fontId="9" fillId="9" borderId="18" xfId="64" applyNumberFormat="1" applyFont="1" applyFill="1" applyBorder="1" applyAlignment="1" applyProtection="1">
      <alignment horizontal="center" vertical="center"/>
      <protection locked="0"/>
    </xf>
    <xf numFmtId="49" fontId="9" fillId="9" borderId="2" xfId="64" quotePrefix="1" applyNumberFormat="1" applyFont="1" applyFill="1" applyBorder="1" applyAlignment="1" applyProtection="1">
      <alignment horizontal="right"/>
    </xf>
    <xf numFmtId="49" fontId="9" fillId="9" borderId="2" xfId="64" applyNumberFormat="1" applyFont="1" applyFill="1" applyBorder="1" applyAlignment="1" applyProtection="1">
      <alignment horizontal="center"/>
    </xf>
    <xf numFmtId="39" fontId="159" fillId="9" borderId="2" xfId="64" applyFont="1" applyFill="1" applyBorder="1" applyAlignment="1" applyProtection="1">
      <alignment horizontal="left"/>
      <protection locked="0"/>
    </xf>
    <xf numFmtId="39" fontId="9" fillId="9" borderId="12" xfId="64" applyFont="1" applyFill="1" applyBorder="1" applyAlignment="1" applyProtection="1">
      <alignment horizontal="left"/>
    </xf>
    <xf numFmtId="37" fontId="9" fillId="9" borderId="12" xfId="37" quotePrefix="1" applyNumberFormat="1" applyFont="1" applyFill="1" applyBorder="1" applyAlignment="1" applyProtection="1">
      <alignment horizontal="center"/>
    </xf>
    <xf numFmtId="39" fontId="23" fillId="10" borderId="9" xfId="64" applyFont="1" applyFill="1" applyBorder="1" applyAlignment="1" applyProtection="1">
      <alignment horizontal="left"/>
    </xf>
    <xf numFmtId="39" fontId="9" fillId="10" borderId="10" xfId="64" applyFont="1" applyFill="1" applyBorder="1" applyAlignment="1" applyProtection="1">
      <alignment horizontal="left"/>
    </xf>
    <xf numFmtId="37" fontId="9" fillId="10" borderId="10" xfId="37" quotePrefix="1" applyNumberFormat="1" applyFont="1" applyFill="1" applyBorder="1" applyAlignment="1" applyProtection="1">
      <alignment horizontal="center"/>
    </xf>
    <xf numFmtId="39" fontId="50" fillId="9" borderId="9" xfId="64" applyFont="1" applyFill="1" applyBorder="1" applyAlignment="1" applyProtection="1">
      <alignment horizontal="left"/>
    </xf>
    <xf numFmtId="37" fontId="9" fillId="9" borderId="10" xfId="37" quotePrefix="1" applyNumberFormat="1" applyFont="1" applyFill="1" applyBorder="1" applyAlignment="1" applyProtection="1">
      <alignment horizontal="center"/>
    </xf>
    <xf numFmtId="39" fontId="159" fillId="9" borderId="9" xfId="64" applyFont="1" applyFill="1" applyBorder="1" applyAlignment="1" applyProtection="1">
      <alignment horizontal="left"/>
      <protection locked="0"/>
    </xf>
    <xf numFmtId="49" fontId="9" fillId="10" borderId="9" xfId="64" quotePrefix="1" applyNumberFormat="1" applyFont="1" applyFill="1" applyBorder="1" applyAlignment="1" applyProtection="1">
      <alignment horizontal="right"/>
    </xf>
    <xf numFmtId="49" fontId="9" fillId="10" borderId="9" xfId="64" applyNumberFormat="1" applyFont="1" applyFill="1" applyBorder="1" applyAlignment="1" applyProtection="1">
      <alignment horizontal="center"/>
    </xf>
    <xf numFmtId="39" fontId="50" fillId="10" borderId="9" xfId="64" applyFont="1" applyFill="1" applyBorder="1" applyAlignment="1" applyProtection="1">
      <alignment horizontal="left"/>
    </xf>
    <xf numFmtId="39" fontId="23" fillId="10" borderId="9" xfId="64" quotePrefix="1" applyFont="1" applyFill="1" applyBorder="1" applyAlignment="1" applyProtection="1">
      <alignment horizontal="right"/>
      <protection locked="0"/>
    </xf>
    <xf numFmtId="39" fontId="23" fillId="10" borderId="9" xfId="64" applyFont="1" applyFill="1" applyBorder="1" applyAlignment="1" applyProtection="1">
      <alignment horizontal="right"/>
      <protection locked="0"/>
    </xf>
    <xf numFmtId="49" fontId="23" fillId="10" borderId="9" xfId="64" applyNumberFormat="1" applyFont="1" applyFill="1" applyBorder="1" applyAlignment="1" applyProtection="1">
      <alignment horizontal="right"/>
      <protection locked="0"/>
    </xf>
    <xf numFmtId="49" fontId="23" fillId="10" borderId="9" xfId="64" quotePrefix="1" applyNumberFormat="1" applyFont="1" applyFill="1" applyBorder="1" applyAlignment="1" applyProtection="1">
      <alignment horizontal="center"/>
      <protection locked="0"/>
    </xf>
    <xf numFmtId="39" fontId="23" fillId="10" borderId="9" xfId="64" applyFont="1" applyFill="1" applyBorder="1" applyAlignment="1" applyProtection="1">
      <protection locked="0"/>
    </xf>
    <xf numFmtId="39" fontId="9" fillId="9" borderId="9" xfId="64" applyFont="1" applyFill="1" applyBorder="1" applyAlignment="1" applyProtection="1">
      <protection locked="0"/>
    </xf>
    <xf numFmtId="39" fontId="9" fillId="9" borderId="0" xfId="64" applyFont="1" applyFill="1" applyAlignment="1" applyProtection="1">
      <alignment horizontal="center"/>
      <protection locked="0"/>
    </xf>
    <xf numFmtId="39" fontId="110" fillId="9" borderId="9" xfId="64" applyFont="1" applyFill="1" applyBorder="1" applyProtection="1">
      <protection locked="0"/>
    </xf>
    <xf numFmtId="39" fontId="9" fillId="9" borderId="0" xfId="64" applyFont="1" applyFill="1" applyBorder="1" applyAlignment="1" applyProtection="1">
      <alignment horizontal="fill"/>
    </xf>
    <xf numFmtId="39" fontId="9" fillId="9" borderId="0" xfId="64" applyFont="1" applyFill="1" applyBorder="1" applyAlignment="1" applyProtection="1">
      <alignment horizontal="centerContinuous"/>
    </xf>
    <xf numFmtId="39" fontId="9" fillId="9" borderId="0" xfId="64" applyFont="1" applyFill="1" applyBorder="1" applyAlignment="1" applyProtection="1">
      <alignment horizontal="center"/>
    </xf>
    <xf numFmtId="39" fontId="9" fillId="9" borderId="0" xfId="64" applyFont="1" applyFill="1" applyAlignment="1">
      <alignment horizontal="center"/>
    </xf>
    <xf numFmtId="39" fontId="23" fillId="9" borderId="0" xfId="64" applyFont="1" applyFill="1" applyAlignment="1" applyProtection="1">
      <alignment horizontal="left"/>
      <protection locked="0"/>
    </xf>
    <xf numFmtId="49" fontId="23" fillId="9" borderId="0" xfId="64" applyNumberFormat="1" applyFont="1" applyFill="1"/>
    <xf numFmtId="49" fontId="23" fillId="9" borderId="0" xfId="64" applyNumberFormat="1" applyFont="1" applyFill="1" applyAlignment="1" applyProtection="1">
      <alignment horizontal="left"/>
    </xf>
    <xf numFmtId="0" fontId="156" fillId="9" borderId="0" xfId="66" applyFont="1" applyFill="1" applyAlignment="1">
      <alignment horizontal="center"/>
    </xf>
    <xf numFmtId="39" fontId="110" fillId="9" borderId="0" xfId="64" applyFont="1" applyFill="1" applyAlignment="1" applyProtection="1">
      <alignment horizontal="left"/>
    </xf>
    <xf numFmtId="39" fontId="160" fillId="9" borderId="0" xfId="65" applyFont="1" applyFill="1" applyProtection="1">
      <protection locked="0"/>
    </xf>
    <xf numFmtId="39" fontId="160" fillId="9" borderId="0" xfId="64" applyFont="1" applyFill="1"/>
    <xf numFmtId="39" fontId="9" fillId="9" borderId="0" xfId="62" applyFont="1" applyFill="1" applyAlignment="1">
      <alignment horizontal="center"/>
    </xf>
    <xf numFmtId="0" fontId="161" fillId="9" borderId="0" xfId="66" applyFont="1" applyFill="1"/>
    <xf numFmtId="39" fontId="160" fillId="9" borderId="0" xfId="65" applyFont="1" applyFill="1"/>
    <xf numFmtId="39" fontId="55" fillId="9" borderId="0" xfId="64" applyFont="1" applyFill="1"/>
    <xf numFmtId="39" fontId="9" fillId="0" borderId="0" xfId="37" applyFont="1"/>
    <xf numFmtId="0" fontId="30" fillId="0" borderId="0" xfId="50" applyFont="1" applyAlignment="1">
      <alignment horizontal="center"/>
    </xf>
    <xf numFmtId="39" fontId="30" fillId="0" borderId="0" xfId="37" applyFont="1" applyAlignment="1" applyProtection="1">
      <alignment horizontal="left"/>
    </xf>
    <xf numFmtId="39" fontId="24" fillId="9" borderId="0" xfId="37" applyFont="1" applyFill="1"/>
    <xf numFmtId="0" fontId="30" fillId="0" borderId="0" xfId="50" applyFont="1"/>
    <xf numFmtId="39" fontId="24" fillId="0" borderId="0" xfId="37" applyFont="1" applyAlignment="1" applyProtection="1">
      <alignment horizontal="left"/>
    </xf>
    <xf numFmtId="39" fontId="24" fillId="9" borderId="12" xfId="35" applyFont="1" applyFill="1" applyBorder="1" applyAlignment="1" applyProtection="1">
      <alignment vertical="center"/>
    </xf>
    <xf numFmtId="39" fontId="28" fillId="9" borderId="2" xfId="35" applyFont="1" applyFill="1" applyBorder="1" applyAlignment="1" applyProtection="1">
      <alignment horizontal="center" vertical="center"/>
    </xf>
    <xf numFmtId="39" fontId="24" fillId="9" borderId="6" xfId="35" applyFont="1" applyFill="1" applyBorder="1" applyAlignment="1">
      <alignment vertical="center"/>
    </xf>
    <xf numFmtId="39" fontId="24" fillId="9" borderId="12" xfId="35" applyFont="1" applyFill="1" applyBorder="1" applyAlignment="1" applyProtection="1">
      <alignment horizontal="left" vertical="center"/>
    </xf>
    <xf numFmtId="39" fontId="26" fillId="9" borderId="2" xfId="37" quotePrefix="1" applyFont="1" applyFill="1" applyBorder="1" applyAlignment="1" applyProtection="1">
      <alignment horizontal="centerContinuous"/>
    </xf>
    <xf numFmtId="39" fontId="30" fillId="0" borderId="9" xfId="37" applyFont="1" applyBorder="1"/>
    <xf numFmtId="0" fontId="26" fillId="9" borderId="9" xfId="37" quotePrefix="1" applyNumberFormat="1" applyFont="1" applyFill="1" applyBorder="1" applyAlignment="1">
      <alignment horizontal="center"/>
    </xf>
    <xf numFmtId="39" fontId="26" fillId="9" borderId="10" xfId="37" quotePrefix="1" applyFont="1" applyFill="1" applyBorder="1" applyAlignment="1" applyProtection="1">
      <alignment horizontal="centerContinuous"/>
    </xf>
    <xf numFmtId="39" fontId="26" fillId="0" borderId="0" xfId="35" applyFont="1" applyBorder="1" applyAlignment="1">
      <alignment vertical="center"/>
    </xf>
    <xf numFmtId="39" fontId="22" fillId="9" borderId="6" xfId="35" applyFont="1" applyFill="1" applyBorder="1" applyAlignment="1" applyProtection="1">
      <alignment horizontal="left"/>
    </xf>
    <xf numFmtId="39" fontId="26" fillId="9" borderId="6" xfId="35" applyFont="1" applyFill="1" applyBorder="1" applyProtection="1"/>
    <xf numFmtId="39" fontId="26" fillId="9" borderId="6" xfId="35" applyFont="1" applyFill="1" applyBorder="1" applyProtection="1">
      <protection locked="0"/>
    </xf>
    <xf numFmtId="39" fontId="26" fillId="9" borderId="6" xfId="37" quotePrefix="1" applyFont="1" applyFill="1" applyBorder="1" applyAlignment="1" applyProtection="1">
      <alignment horizontal="centerContinuous"/>
    </xf>
    <xf numFmtId="39" fontId="26" fillId="0" borderId="0" xfId="37" quotePrefix="1" applyFont="1" applyBorder="1" applyAlignment="1" applyProtection="1">
      <alignment horizontal="left"/>
    </xf>
    <xf numFmtId="39" fontId="22" fillId="9" borderId="0" xfId="35" applyFont="1" applyFill="1" applyBorder="1" applyAlignment="1" applyProtection="1">
      <alignment horizontal="left"/>
    </xf>
    <xf numFmtId="39" fontId="22" fillId="9" borderId="0" xfId="35" applyFont="1" applyFill="1" applyBorder="1"/>
    <xf numFmtId="39" fontId="26" fillId="9" borderId="0" xfId="35" applyFont="1" applyFill="1" applyBorder="1" applyProtection="1"/>
    <xf numFmtId="39" fontId="26" fillId="9" borderId="0" xfId="35" applyFont="1" applyFill="1" applyBorder="1" applyProtection="1">
      <protection locked="0"/>
    </xf>
    <xf numFmtId="39" fontId="21" fillId="9" borderId="0" xfId="35" applyFont="1" applyFill="1" applyBorder="1" applyAlignment="1" applyProtection="1">
      <alignment horizontal="left"/>
    </xf>
    <xf numFmtId="39" fontId="21" fillId="9" borderId="0" xfId="35" applyFont="1" applyFill="1" applyBorder="1"/>
    <xf numFmtId="39" fontId="30" fillId="0" borderId="6" xfId="37" applyFont="1" applyBorder="1" applyAlignment="1" applyProtection="1">
      <alignment horizontal="left"/>
    </xf>
    <xf numFmtId="39" fontId="26" fillId="9" borderId="11" xfId="37" quotePrefix="1" applyFont="1" applyFill="1" applyBorder="1" applyAlignment="1" applyProtection="1">
      <alignment horizontal="centerContinuous"/>
    </xf>
    <xf numFmtId="39" fontId="26" fillId="9" borderId="2" xfId="37" quotePrefix="1" applyFont="1" applyFill="1" applyBorder="1" applyAlignment="1" applyProtection="1">
      <alignment horizontal="center"/>
    </xf>
    <xf numFmtId="39" fontId="30" fillId="0" borderId="12" xfId="37" applyFont="1" applyBorder="1"/>
    <xf numFmtId="39" fontId="26" fillId="9" borderId="9" xfId="37" quotePrefix="1" applyFont="1" applyFill="1" applyBorder="1" applyAlignment="1" applyProtection="1">
      <alignment horizontal="center"/>
    </xf>
    <xf numFmtId="39" fontId="30" fillId="10" borderId="0" xfId="35" applyFont="1" applyFill="1"/>
    <xf numFmtId="39" fontId="30" fillId="0" borderId="12" xfId="35" applyFont="1" applyBorder="1"/>
    <xf numFmtId="0" fontId="26" fillId="9" borderId="0" xfId="37" quotePrefix="1" applyNumberFormat="1" applyFont="1" applyFill="1" applyBorder="1" applyAlignment="1" applyProtection="1">
      <alignment horizontal="centerContinuous"/>
    </xf>
    <xf numFmtId="39" fontId="23" fillId="9" borderId="9" xfId="35" applyFont="1" applyFill="1" applyBorder="1"/>
    <xf numFmtId="39" fontId="21" fillId="9" borderId="0" xfId="35" applyFont="1" applyFill="1" applyAlignment="1" applyProtection="1">
      <alignment horizontal="left"/>
    </xf>
    <xf numFmtId="39" fontId="55" fillId="0" borderId="0" xfId="54" applyFont="1" applyBorder="1" applyProtection="1"/>
    <xf numFmtId="39" fontId="55" fillId="9" borderId="3" xfId="54" applyFont="1" applyFill="1" applyBorder="1" applyProtection="1"/>
    <xf numFmtId="39" fontId="55" fillId="0" borderId="4" xfId="54" applyFont="1" applyBorder="1" applyProtection="1"/>
    <xf numFmtId="39" fontId="9" fillId="0" borderId="7" xfId="37" quotePrefix="1" applyFont="1" applyBorder="1" applyAlignment="1" applyProtection="1">
      <alignment horizontal="center"/>
    </xf>
    <xf numFmtId="39" fontId="9" fillId="9" borderId="3" xfId="64" applyFont="1" applyFill="1" applyBorder="1" applyProtection="1">
      <protection locked="0"/>
    </xf>
    <xf numFmtId="39" fontId="9" fillId="9" borderId="4" xfId="64" applyFont="1" applyFill="1" applyBorder="1" applyProtection="1">
      <protection locked="0"/>
    </xf>
    <xf numFmtId="39" fontId="9" fillId="10" borderId="3" xfId="64" applyFont="1" applyFill="1" applyBorder="1" applyProtection="1">
      <protection locked="0"/>
    </xf>
    <xf numFmtId="0" fontId="125" fillId="0" borderId="0" xfId="66" applyFont="1" applyAlignment="1"/>
    <xf numFmtId="39" fontId="31" fillId="0" borderId="0" xfId="37" applyFont="1"/>
    <xf numFmtId="39" fontId="23" fillId="9" borderId="4" xfId="35" applyFont="1" applyFill="1" applyBorder="1" applyAlignment="1">
      <alignment vertical="center"/>
    </xf>
    <xf numFmtId="39" fontId="46" fillId="0" borderId="3" xfId="35" applyFont="1" applyBorder="1" applyAlignment="1" applyProtection="1">
      <alignment vertical="center"/>
    </xf>
    <xf numFmtId="39" fontId="46" fillId="0" borderId="2" xfId="35" applyFont="1" applyBorder="1" applyAlignment="1" applyProtection="1">
      <alignment vertical="center"/>
    </xf>
    <xf numFmtId="39" fontId="162" fillId="9" borderId="7" xfId="35" applyFont="1" applyFill="1" applyBorder="1" applyProtection="1"/>
    <xf numFmtId="39" fontId="9" fillId="9" borderId="9" xfId="37" quotePrefix="1" applyFont="1" applyFill="1" applyBorder="1" applyAlignment="1" applyProtection="1">
      <alignment horizontal="centerContinuous"/>
    </xf>
    <xf numFmtId="39" fontId="9" fillId="0" borderId="12" xfId="37" applyFont="1" applyBorder="1" applyAlignment="1" applyProtection="1">
      <alignment horizontal="left"/>
    </xf>
    <xf numFmtId="39" fontId="31" fillId="0" borderId="10" xfId="35" applyFont="1" applyBorder="1" applyAlignment="1">
      <alignment vertical="center"/>
    </xf>
    <xf numFmtId="39" fontId="162" fillId="9" borderId="10" xfId="35" applyFont="1" applyFill="1" applyBorder="1" applyProtection="1"/>
    <xf numFmtId="39" fontId="9" fillId="9" borderId="10" xfId="37" quotePrefix="1" applyFont="1" applyFill="1" applyBorder="1" applyAlignment="1" applyProtection="1">
      <alignment horizontal="centerContinuous"/>
    </xf>
    <xf numFmtId="39" fontId="162" fillId="9" borderId="14" xfId="35" applyFont="1" applyFill="1" applyBorder="1" applyProtection="1"/>
    <xf numFmtId="39" fontId="9" fillId="9" borderId="0" xfId="35" applyFont="1" applyFill="1" applyBorder="1" applyProtection="1">
      <protection locked="0"/>
    </xf>
    <xf numFmtId="39" fontId="9" fillId="9" borderId="11" xfId="37" quotePrefix="1" applyFont="1" applyFill="1" applyBorder="1" applyAlignment="1" applyProtection="1">
      <alignment horizontal="centerContinuous"/>
    </xf>
    <xf numFmtId="39" fontId="23" fillId="9" borderId="3" xfId="35" applyFont="1" applyFill="1" applyBorder="1" applyAlignment="1" applyProtection="1">
      <alignment horizontal="center" vertical="center"/>
    </xf>
    <xf numFmtId="39" fontId="23" fillId="0" borderId="0" xfId="35" applyFont="1" applyAlignment="1" applyProtection="1">
      <alignment horizontal="center"/>
    </xf>
    <xf numFmtId="39" fontId="9" fillId="0" borderId="0" xfId="67" applyFont="1" applyAlignment="1"/>
    <xf numFmtId="39" fontId="9" fillId="0" borderId="0" xfId="67" applyFont="1" applyBorder="1" applyAlignment="1"/>
    <xf numFmtId="39" fontId="9" fillId="16" borderId="0" xfId="67" applyFont="1" applyFill="1" applyAlignment="1"/>
    <xf numFmtId="39" fontId="21" fillId="0" borderId="0" xfId="68" applyFont="1" applyAlignment="1"/>
    <xf numFmtId="39" fontId="21" fillId="0" borderId="0" xfId="68" applyFont="1" applyBorder="1" applyAlignment="1"/>
    <xf numFmtId="0" fontId="21" fillId="0" borderId="0" xfId="69" applyFont="1" applyBorder="1" applyAlignment="1"/>
    <xf numFmtId="39" fontId="21" fillId="16" borderId="0" xfId="68" applyFont="1" applyFill="1" applyAlignment="1">
      <alignment horizontal="center"/>
    </xf>
    <xf numFmtId="39" fontId="21" fillId="16" borderId="0" xfId="68" applyFont="1" applyFill="1" applyAlignment="1"/>
    <xf numFmtId="0" fontId="21" fillId="16" borderId="0" xfId="69" applyFont="1" applyFill="1" applyAlignment="1"/>
    <xf numFmtId="39" fontId="9" fillId="0" borderId="0" xfId="30" applyFont="1" applyAlignment="1"/>
    <xf numFmtId="39" fontId="9" fillId="0" borderId="0" xfId="30" applyFont="1" applyBorder="1" applyAlignment="1"/>
    <xf numFmtId="39" fontId="9" fillId="16" borderId="0" xfId="30" applyFont="1" applyFill="1" applyAlignment="1"/>
    <xf numFmtId="39" fontId="9" fillId="16" borderId="0" xfId="30" applyFont="1" applyFill="1" applyAlignment="1" applyProtection="1">
      <alignment horizontal="left"/>
      <protection locked="0"/>
    </xf>
    <xf numFmtId="39" fontId="9" fillId="9" borderId="0" xfId="30" applyFont="1" applyFill="1" applyAlignment="1" applyProtection="1">
      <alignment horizontal="left"/>
    </xf>
    <xf numFmtId="39" fontId="9" fillId="16" borderId="0" xfId="30" applyFont="1" applyFill="1" applyAlignment="1" applyProtection="1">
      <alignment horizontal="left"/>
    </xf>
    <xf numFmtId="0" fontId="9" fillId="16" borderId="0" xfId="69" applyFont="1" applyFill="1" applyAlignment="1"/>
    <xf numFmtId="39" fontId="23" fillId="16" borderId="0" xfId="30" applyFont="1" applyFill="1" applyAlignment="1" applyProtection="1">
      <alignment horizontal="left"/>
    </xf>
    <xf numFmtId="39" fontId="23" fillId="9" borderId="0" xfId="30" applyFont="1" applyFill="1" applyAlignment="1"/>
    <xf numFmtId="39" fontId="23" fillId="16" borderId="0" xfId="30" applyFont="1" applyFill="1" applyAlignment="1"/>
    <xf numFmtId="39" fontId="23" fillId="9" borderId="0" xfId="26" applyFont="1" applyFill="1" applyBorder="1" applyAlignment="1" applyProtection="1">
      <alignment horizontal="left"/>
      <protection locked="0"/>
    </xf>
    <xf numFmtId="39" fontId="9" fillId="9" borderId="0" xfId="30" applyFont="1" applyFill="1" applyAlignment="1"/>
    <xf numFmtId="39" fontId="23" fillId="9" borderId="0" xfId="67" applyFont="1" applyFill="1" applyBorder="1" applyAlignment="1" applyProtection="1">
      <alignment vertical="center"/>
    </xf>
    <xf numFmtId="39" fontId="23" fillId="16" borderId="0" xfId="67" applyFont="1" applyFill="1" applyBorder="1" applyAlignment="1" applyProtection="1">
      <alignment vertical="center"/>
    </xf>
    <xf numFmtId="39" fontId="23" fillId="16" borderId="0" xfId="67" applyFont="1" applyFill="1" applyBorder="1" applyAlignment="1">
      <alignment vertical="center"/>
    </xf>
    <xf numFmtId="39" fontId="23" fillId="9" borderId="15" xfId="67" applyFont="1" applyFill="1" applyBorder="1" applyAlignment="1" applyProtection="1">
      <alignment vertical="center"/>
    </xf>
    <xf numFmtId="39" fontId="23" fillId="16" borderId="15" xfId="67" applyFont="1" applyFill="1" applyBorder="1" applyAlignment="1" applyProtection="1">
      <alignment vertical="center"/>
    </xf>
    <xf numFmtId="39" fontId="23" fillId="16" borderId="16" xfId="67" applyFont="1" applyFill="1" applyBorder="1" applyAlignment="1">
      <alignment vertical="center"/>
    </xf>
    <xf numFmtId="39" fontId="23" fillId="0" borderId="15" xfId="67" applyFont="1" applyBorder="1" applyAlignment="1" applyProtection="1">
      <alignment vertical="center"/>
    </xf>
    <xf numFmtId="39" fontId="9" fillId="0" borderId="0" xfId="67" applyFont="1" applyAlignment="1">
      <alignment vertical="center"/>
    </xf>
    <xf numFmtId="39" fontId="9" fillId="0" borderId="0" xfId="67" applyFont="1" applyBorder="1" applyAlignment="1">
      <alignment vertical="center"/>
    </xf>
    <xf numFmtId="39" fontId="9" fillId="9" borderId="9" xfId="67" applyFont="1" applyFill="1" applyBorder="1" applyAlignment="1" applyProtection="1"/>
    <xf numFmtId="39" fontId="50" fillId="16" borderId="7" xfId="67" applyFont="1" applyFill="1" applyBorder="1" applyAlignment="1" applyProtection="1"/>
    <xf numFmtId="39" fontId="9" fillId="16" borderId="9" xfId="67" applyFont="1" applyFill="1" applyBorder="1" applyAlignment="1" applyProtection="1"/>
    <xf numFmtId="39" fontId="9" fillId="16" borderId="7" xfId="67" applyFont="1" applyFill="1" applyBorder="1" applyAlignment="1" applyProtection="1">
      <protection locked="0"/>
    </xf>
    <xf numFmtId="39" fontId="9" fillId="16" borderId="2" xfId="30" quotePrefix="1" applyFont="1" applyFill="1" applyBorder="1" applyAlignment="1" applyProtection="1">
      <alignment horizontal="centerContinuous"/>
    </xf>
    <xf numFmtId="39" fontId="9" fillId="16" borderId="7" xfId="30" applyFont="1" applyFill="1" applyBorder="1" applyAlignment="1" applyProtection="1">
      <alignment horizontal="left"/>
    </xf>
    <xf numFmtId="39" fontId="9" fillId="16" borderId="9" xfId="30" applyFont="1" applyFill="1" applyBorder="1" applyAlignment="1" applyProtection="1">
      <alignment horizontal="left"/>
    </xf>
    <xf numFmtId="39" fontId="9" fillId="16" borderId="9" xfId="30" quotePrefix="1" applyFont="1" applyFill="1" applyBorder="1" applyAlignment="1" applyProtection="1">
      <alignment horizontal="centerContinuous"/>
    </xf>
    <xf numFmtId="39" fontId="9" fillId="0" borderId="7" xfId="30" applyFont="1" applyBorder="1" applyAlignment="1" applyProtection="1">
      <alignment horizontal="left"/>
    </xf>
    <xf numFmtId="39" fontId="9" fillId="0" borderId="10" xfId="30" applyFont="1" applyBorder="1" applyAlignment="1" applyProtection="1">
      <alignment horizontal="left"/>
    </xf>
    <xf numFmtId="39" fontId="9" fillId="10" borderId="0" xfId="67" applyFont="1" applyFill="1" applyBorder="1" applyAlignment="1">
      <alignment vertical="center"/>
    </xf>
    <xf numFmtId="39" fontId="9" fillId="0" borderId="9" xfId="30" applyFont="1" applyBorder="1" applyAlignment="1" applyProtection="1">
      <alignment horizontal="left"/>
    </xf>
    <xf numFmtId="39" fontId="9" fillId="0" borderId="0" xfId="67" applyFont="1" applyBorder="1" applyAlignment="1">
      <alignment horizontal="center" vertical="center"/>
    </xf>
    <xf numFmtId="39" fontId="9" fillId="16" borderId="10" xfId="30" applyFont="1" applyFill="1" applyBorder="1" applyAlignment="1" applyProtection="1">
      <alignment horizontal="left"/>
    </xf>
    <xf numFmtId="39" fontId="50" fillId="16" borderId="0" xfId="67" applyFont="1" applyFill="1" applyBorder="1" applyAlignment="1" applyProtection="1"/>
    <xf numFmtId="39" fontId="9" fillId="9" borderId="11" xfId="67" applyFont="1" applyFill="1" applyBorder="1" applyAlignment="1" applyProtection="1"/>
    <xf numFmtId="39" fontId="50" fillId="16" borderId="14" xfId="67" applyFont="1" applyFill="1" applyBorder="1" applyAlignment="1" applyProtection="1"/>
    <xf numFmtId="39" fontId="9" fillId="16" borderId="0" xfId="67" applyFont="1" applyFill="1" applyBorder="1" applyAlignment="1" applyProtection="1">
      <protection locked="0"/>
    </xf>
    <xf numFmtId="39" fontId="9" fillId="16" borderId="11" xfId="30" quotePrefix="1" applyFont="1" applyFill="1" applyBorder="1" applyAlignment="1" applyProtection="1">
      <alignment horizontal="centerContinuous"/>
    </xf>
    <xf numFmtId="39" fontId="23" fillId="16" borderId="3" xfId="67" applyFont="1" applyFill="1" applyBorder="1" applyAlignment="1" applyProtection="1">
      <alignment vertical="center"/>
    </xf>
    <xf numFmtId="39" fontId="23" fillId="16" borderId="3" xfId="67" applyFont="1" applyFill="1" applyBorder="1" applyAlignment="1" applyProtection="1">
      <alignment horizontal="center" vertical="center"/>
    </xf>
    <xf numFmtId="39" fontId="23" fillId="16" borderId="4" xfId="67" applyFont="1" applyFill="1" applyBorder="1" applyAlignment="1">
      <alignment vertical="center"/>
    </xf>
    <xf numFmtId="39" fontId="23" fillId="16" borderId="5" xfId="67" applyFont="1" applyFill="1" applyBorder="1" applyAlignment="1" applyProtection="1">
      <alignment horizontal="left" vertical="center"/>
    </xf>
    <xf numFmtId="39" fontId="23" fillId="16" borderId="9" xfId="67" applyFont="1" applyFill="1" applyBorder="1" applyAlignment="1"/>
    <xf numFmtId="39" fontId="23" fillId="16" borderId="7" xfId="67" applyFont="1" applyFill="1" applyBorder="1" applyAlignment="1"/>
    <xf numFmtId="39" fontId="23" fillId="0" borderId="10" xfId="67" applyFont="1" applyBorder="1" applyAlignment="1" applyProtection="1">
      <alignment horizontal="left"/>
    </xf>
    <xf numFmtId="0" fontId="9" fillId="16" borderId="2" xfId="69" quotePrefix="1" applyFont="1" applyFill="1" applyBorder="1" applyAlignment="1" applyProtection="1">
      <alignment horizontal="center"/>
    </xf>
    <xf numFmtId="0" fontId="23" fillId="16" borderId="6" xfId="69" applyFont="1" applyFill="1" applyBorder="1" applyAlignment="1" applyProtection="1">
      <alignment horizontal="centerContinuous"/>
    </xf>
    <xf numFmtId="0" fontId="23" fillId="16" borderId="2" xfId="69" applyFont="1" applyFill="1" applyBorder="1" applyAlignment="1">
      <alignment horizontal="center"/>
    </xf>
    <xf numFmtId="0" fontId="23" fillId="16" borderId="9" xfId="69" quotePrefix="1" applyFont="1" applyFill="1" applyBorder="1" applyAlignment="1">
      <alignment horizontal="center"/>
    </xf>
    <xf numFmtId="0" fontId="23" fillId="16" borderId="9" xfId="69" applyFont="1" applyFill="1" applyBorder="1" applyAlignment="1">
      <alignment horizontal="center"/>
    </xf>
    <xf numFmtId="0" fontId="23" fillId="16" borderId="11" xfId="69" applyFont="1" applyFill="1" applyBorder="1" applyAlignment="1">
      <alignment horizontal="center"/>
    </xf>
    <xf numFmtId="39" fontId="21" fillId="16" borderId="0" xfId="67" applyFont="1" applyFill="1" applyAlignment="1" applyProtection="1">
      <protection locked="0"/>
    </xf>
    <xf numFmtId="39" fontId="23" fillId="16" borderId="0" xfId="67" applyFont="1" applyFill="1" applyAlignment="1" applyProtection="1">
      <protection locked="0"/>
    </xf>
    <xf numFmtId="39" fontId="9" fillId="0" borderId="0" xfId="67" applyFont="1" applyAlignment="1" applyProtection="1"/>
    <xf numFmtId="39" fontId="21" fillId="16" borderId="0" xfId="67" applyFont="1" applyFill="1" applyAlignment="1" applyProtection="1">
      <alignment horizontal="left"/>
    </xf>
    <xf numFmtId="39" fontId="26" fillId="0" borderId="0" xfId="67" applyFont="1" applyAlignment="1"/>
    <xf numFmtId="39" fontId="26" fillId="0" borderId="0" xfId="67" applyFont="1" applyBorder="1" applyAlignment="1"/>
    <xf numFmtId="39" fontId="22" fillId="16" borderId="0" xfId="67" applyFont="1" applyFill="1" applyAlignment="1" applyProtection="1">
      <alignment horizontal="left"/>
    </xf>
    <xf numFmtId="39" fontId="26" fillId="16" borderId="0" xfId="67" applyFont="1" applyFill="1" applyAlignment="1"/>
    <xf numFmtId="39" fontId="22" fillId="16" borderId="0" xfId="67" applyFont="1" applyFill="1" applyAlignment="1"/>
    <xf numFmtId="0" fontId="21" fillId="0" borderId="0" xfId="69" applyFont="1" applyAlignment="1"/>
    <xf numFmtId="39" fontId="9" fillId="16" borderId="0" xfId="68" applyFont="1" applyFill="1" applyAlignment="1"/>
    <xf numFmtId="39" fontId="9" fillId="16" borderId="7" xfId="30" quotePrefix="1" applyFont="1" applyFill="1" applyBorder="1" applyAlignment="1" applyProtection="1">
      <alignment horizontal="centerContinuous"/>
    </xf>
    <xf numFmtId="0" fontId="30" fillId="0" borderId="10" xfId="69" applyFont="1" applyBorder="1" applyAlignment="1"/>
    <xf numFmtId="39" fontId="23" fillId="0" borderId="0" xfId="67" applyFont="1" applyAlignment="1">
      <alignment vertical="center"/>
    </xf>
    <xf numFmtId="39" fontId="23" fillId="0" borderId="0" xfId="67" applyFont="1" applyBorder="1" applyAlignment="1">
      <alignment vertical="center"/>
    </xf>
    <xf numFmtId="39" fontId="159" fillId="16" borderId="72" xfId="67" applyFont="1" applyFill="1" applyBorder="1" applyAlignment="1" applyProtection="1"/>
    <xf numFmtId="39" fontId="23" fillId="16" borderId="72" xfId="30" quotePrefix="1" applyFont="1" applyFill="1" applyBorder="1" applyAlignment="1" applyProtection="1">
      <alignment horizontal="centerContinuous"/>
    </xf>
    <xf numFmtId="39" fontId="23" fillId="16" borderId="72" xfId="30" applyFont="1" applyFill="1" applyBorder="1" applyAlignment="1" applyProtection="1">
      <alignment horizontal="left"/>
    </xf>
    <xf numFmtId="39" fontId="23" fillId="16" borderId="73" xfId="67" applyFont="1" applyFill="1" applyBorder="1" applyAlignment="1" applyProtection="1">
      <alignment horizontal="left" vertical="center"/>
    </xf>
    <xf numFmtId="39" fontId="9" fillId="9" borderId="0" xfId="67" applyFont="1" applyFill="1" applyAlignment="1">
      <alignment vertical="center"/>
    </xf>
    <xf numFmtId="39" fontId="9" fillId="9" borderId="0" xfId="67" applyFont="1" applyFill="1" applyBorder="1" applyAlignment="1">
      <alignment vertical="center"/>
    </xf>
    <xf numFmtId="39" fontId="50" fillId="9" borderId="0" xfId="67" applyFont="1" applyFill="1" applyBorder="1" applyAlignment="1" applyProtection="1"/>
    <xf numFmtId="39" fontId="9" fillId="9" borderId="7" xfId="67" applyFont="1" applyFill="1" applyBorder="1" applyAlignment="1" applyProtection="1">
      <protection locked="0"/>
    </xf>
    <xf numFmtId="39" fontId="9" fillId="9" borderId="9" xfId="30" quotePrefix="1" applyFont="1" applyFill="1" applyBorder="1" applyAlignment="1" applyProtection="1">
      <alignment horizontal="centerContinuous"/>
    </xf>
    <xf numFmtId="39" fontId="9" fillId="9" borderId="7" xfId="30" applyFont="1" applyFill="1" applyBorder="1" applyAlignment="1" applyProtection="1">
      <alignment horizontal="left"/>
    </xf>
    <xf numFmtId="39" fontId="9" fillId="9" borderId="9" xfId="30" applyFont="1" applyFill="1" applyBorder="1" applyAlignment="1" applyProtection="1">
      <alignment horizontal="left"/>
    </xf>
    <xf numFmtId="0" fontId="9" fillId="0" borderId="0" xfId="69" applyFont="1" applyBorder="1" applyAlignment="1"/>
    <xf numFmtId="39" fontId="9" fillId="0" borderId="10" xfId="67" applyFont="1" applyBorder="1" applyAlignment="1">
      <alignment vertical="center"/>
    </xf>
    <xf numFmtId="39" fontId="9" fillId="16" borderId="0" xfId="67" applyFont="1" applyFill="1" applyAlignment="1">
      <alignment horizontal="left"/>
    </xf>
    <xf numFmtId="39" fontId="21" fillId="16" borderId="0" xfId="67" applyFont="1" applyFill="1" applyAlignment="1"/>
    <xf numFmtId="39" fontId="5" fillId="0" borderId="0" xfId="26" applyFont="1" applyBorder="1" applyAlignment="1" applyProtection="1">
      <alignment horizontal="left"/>
      <protection locked="0"/>
    </xf>
    <xf numFmtId="39" fontId="23" fillId="0" borderId="0" xfId="26" applyFont="1" applyBorder="1" applyAlignment="1" applyProtection="1">
      <alignment horizontal="left"/>
      <protection locked="0"/>
    </xf>
    <xf numFmtId="39" fontId="23" fillId="9" borderId="72" xfId="67" applyFont="1" applyFill="1" applyBorder="1" applyAlignment="1" applyProtection="1">
      <protection locked="0"/>
    </xf>
    <xf numFmtId="39" fontId="23" fillId="16" borderId="72" xfId="67" applyFont="1" applyFill="1" applyBorder="1" applyAlignment="1" applyProtection="1">
      <protection locked="0"/>
    </xf>
    <xf numFmtId="0" fontId="30" fillId="9" borderId="9" xfId="69" applyFont="1" applyFill="1" applyBorder="1" applyAlignment="1"/>
    <xf numFmtId="39" fontId="9" fillId="16" borderId="9" xfId="30" applyFont="1" applyFill="1" applyBorder="1" applyAlignment="1" applyProtection="1">
      <alignment horizontal="centerContinuous"/>
    </xf>
    <xf numFmtId="39" fontId="9" fillId="0" borderId="0" xfId="67" applyFont="1" applyAlignment="1" applyProtection="1">
      <alignment horizontal="center"/>
    </xf>
    <xf numFmtId="39" fontId="9" fillId="16" borderId="0" xfId="67" applyFont="1" applyFill="1" applyBorder="1" applyAlignment="1"/>
    <xf numFmtId="39" fontId="21" fillId="16" borderId="0" xfId="68" applyFont="1" applyFill="1" applyBorder="1" applyAlignment="1">
      <alignment horizontal="center"/>
    </xf>
    <xf numFmtId="39" fontId="21" fillId="16" borderId="0" xfId="68" applyFont="1" applyFill="1" applyBorder="1" applyAlignment="1"/>
    <xf numFmtId="0" fontId="21" fillId="16" borderId="0" xfId="69" applyFont="1" applyFill="1" applyBorder="1" applyAlignment="1"/>
    <xf numFmtId="39" fontId="23" fillId="0" borderId="17" xfId="67" applyFont="1" applyBorder="1" applyAlignment="1" applyProtection="1">
      <alignment vertical="center"/>
    </xf>
    <xf numFmtId="39" fontId="50" fillId="9" borderId="7" xfId="67" applyFont="1" applyFill="1" applyBorder="1" applyAlignment="1" applyProtection="1"/>
    <xf numFmtId="39" fontId="9" fillId="16" borderId="14" xfId="30" applyFont="1" applyFill="1" applyBorder="1" applyAlignment="1" applyProtection="1">
      <alignment horizontal="left"/>
    </xf>
    <xf numFmtId="39" fontId="23" fillId="9" borderId="3" xfId="67" applyFont="1" applyFill="1" applyBorder="1" applyAlignment="1" applyProtection="1">
      <alignment vertical="center"/>
    </xf>
    <xf numFmtId="39" fontId="50" fillId="9" borderId="9" xfId="67" applyFont="1" applyFill="1" applyBorder="1" applyAlignment="1" applyProtection="1"/>
    <xf numFmtId="39" fontId="50" fillId="9" borderId="11" xfId="67" applyFont="1" applyFill="1" applyBorder="1" applyAlignment="1" applyProtection="1"/>
    <xf numFmtId="39" fontId="9" fillId="0" borderId="10" xfId="67" applyFont="1" applyBorder="1" applyAlignment="1"/>
    <xf numFmtId="0" fontId="21" fillId="9" borderId="0" xfId="69" applyFont="1" applyFill="1" applyAlignment="1"/>
    <xf numFmtId="39" fontId="21" fillId="9" borderId="0" xfId="68" applyFont="1" applyFill="1" applyAlignment="1">
      <alignment horizontal="center"/>
    </xf>
    <xf numFmtId="39" fontId="21" fillId="16" borderId="0" xfId="30" applyFont="1" applyFill="1" applyAlignment="1" applyProtection="1">
      <alignment horizontal="left"/>
    </xf>
    <xf numFmtId="39" fontId="9" fillId="0" borderId="7" xfId="30" quotePrefix="1" applyFont="1" applyBorder="1" applyAlignment="1" applyProtection="1">
      <alignment horizontal="left"/>
    </xf>
    <xf numFmtId="39" fontId="9" fillId="9" borderId="0" xfId="67" applyFont="1" applyFill="1" applyBorder="1" applyAlignment="1" applyProtection="1"/>
    <xf numFmtId="39" fontId="9" fillId="10" borderId="0" xfId="67" applyFont="1" applyFill="1" applyAlignment="1">
      <alignment vertical="center"/>
    </xf>
    <xf numFmtId="39" fontId="9" fillId="0" borderId="0" xfId="67" applyFont="1" applyAlignment="1">
      <alignment horizontal="center" vertical="center"/>
    </xf>
    <xf numFmtId="39" fontId="50" fillId="16" borderId="9" xfId="67" applyFont="1" applyFill="1" applyBorder="1" applyAlignment="1" applyProtection="1"/>
    <xf numFmtId="39" fontId="9" fillId="16" borderId="11" xfId="67" applyFont="1" applyFill="1" applyBorder="1" applyAlignment="1" applyProtection="1"/>
    <xf numFmtId="39" fontId="30" fillId="16" borderId="0" xfId="67" applyFont="1" applyFill="1" applyAlignment="1"/>
    <xf numFmtId="39" fontId="43" fillId="16" borderId="0" xfId="68" applyFont="1" applyFill="1" applyAlignment="1">
      <alignment horizontal="center"/>
    </xf>
    <xf numFmtId="39" fontId="30" fillId="16" borderId="0" xfId="30" applyFont="1" applyFill="1" applyAlignment="1"/>
    <xf numFmtId="39" fontId="24" fillId="16" borderId="0" xfId="67" applyFont="1" applyFill="1" applyBorder="1" applyAlignment="1" applyProtection="1">
      <alignment vertical="center"/>
    </xf>
    <xf numFmtId="39" fontId="24" fillId="9" borderId="15" xfId="67" applyFont="1" applyFill="1" applyBorder="1" applyAlignment="1" applyProtection="1">
      <alignment vertical="center"/>
    </xf>
    <xf numFmtId="39" fontId="24" fillId="16" borderId="15" xfId="67" applyFont="1" applyFill="1" applyBorder="1" applyAlignment="1" applyProtection="1">
      <alignment vertical="center"/>
    </xf>
    <xf numFmtId="39" fontId="30" fillId="9" borderId="9" xfId="67" applyFont="1" applyFill="1" applyBorder="1" applyAlignment="1" applyProtection="1"/>
    <xf numFmtId="39" fontId="39" fillId="16" borderId="7" xfId="67" applyFont="1" applyFill="1" applyBorder="1" applyAlignment="1" applyProtection="1"/>
    <xf numFmtId="39" fontId="30" fillId="16" borderId="9" xfId="67" applyFont="1" applyFill="1" applyBorder="1" applyAlignment="1" applyProtection="1"/>
    <xf numFmtId="39" fontId="39" fillId="16" borderId="0" xfId="67" applyFont="1" applyFill="1" applyBorder="1" applyAlignment="1" applyProtection="1"/>
    <xf numFmtId="39" fontId="30" fillId="16" borderId="7" xfId="67" applyFont="1" applyFill="1" applyBorder="1" applyAlignment="1" applyProtection="1"/>
    <xf numFmtId="39" fontId="30" fillId="16" borderId="7" xfId="67" applyFont="1" applyFill="1" applyBorder="1" applyAlignment="1" applyProtection="1">
      <protection locked="0"/>
    </xf>
    <xf numFmtId="39" fontId="24" fillId="16" borderId="3" xfId="67" applyFont="1" applyFill="1" applyBorder="1" applyAlignment="1" applyProtection="1">
      <alignment vertical="center"/>
    </xf>
    <xf numFmtId="39" fontId="24" fillId="16" borderId="9" xfId="67" applyFont="1" applyFill="1" applyBorder="1" applyAlignment="1"/>
    <xf numFmtId="39" fontId="24" fillId="16" borderId="7" xfId="67" applyFont="1" applyFill="1" applyBorder="1" applyAlignment="1"/>
    <xf numFmtId="39" fontId="30" fillId="0" borderId="0" xfId="67" applyFont="1" applyAlignment="1" applyProtection="1">
      <alignment horizontal="center"/>
    </xf>
    <xf numFmtId="39" fontId="43" fillId="16" borderId="0" xfId="67" applyFont="1" applyFill="1" applyAlignment="1" applyProtection="1">
      <alignment horizontal="left"/>
    </xf>
    <xf numFmtId="39" fontId="43" fillId="16" borderId="0" xfId="67" applyFont="1" applyFill="1" applyAlignment="1"/>
    <xf numFmtId="39" fontId="30" fillId="9" borderId="11" xfId="67" applyFont="1" applyFill="1" applyBorder="1" applyAlignment="1" applyProtection="1"/>
    <xf numFmtId="39" fontId="39" fillId="16" borderId="14" xfId="67" applyFont="1" applyFill="1" applyBorder="1" applyAlignment="1" applyProtection="1"/>
    <xf numFmtId="39" fontId="30" fillId="16" borderId="0" xfId="67" applyFont="1" applyFill="1" applyBorder="1" applyAlignment="1" applyProtection="1">
      <protection locked="0"/>
    </xf>
    <xf numFmtId="39" fontId="162" fillId="9" borderId="0" xfId="30" applyFont="1" applyFill="1" applyAlignment="1"/>
    <xf numFmtId="39" fontId="164" fillId="9" borderId="0" xfId="30" applyFont="1" applyFill="1" applyAlignment="1"/>
    <xf numFmtId="39" fontId="159" fillId="9" borderId="72" xfId="67" applyFont="1" applyFill="1" applyBorder="1" applyAlignment="1" applyProtection="1"/>
    <xf numFmtId="39" fontId="23" fillId="16" borderId="70" xfId="67" applyFont="1" applyFill="1" applyBorder="1" applyAlignment="1" applyProtection="1"/>
    <xf numFmtId="39" fontId="9" fillId="9" borderId="9" xfId="30" applyFont="1" applyFill="1" applyBorder="1" applyAlignment="1" applyProtection="1">
      <alignment horizontal="centerContinuous"/>
    </xf>
    <xf numFmtId="39" fontId="9" fillId="9" borderId="0" xfId="30" applyFont="1" applyFill="1" applyBorder="1" applyAlignment="1" applyProtection="1">
      <alignment horizontal="left"/>
    </xf>
    <xf numFmtId="39" fontId="9" fillId="9" borderId="10" xfId="30" applyFont="1" applyFill="1" applyBorder="1" applyAlignment="1" applyProtection="1">
      <alignment horizontal="left"/>
    </xf>
    <xf numFmtId="39" fontId="9" fillId="9" borderId="11" xfId="30" applyFont="1" applyFill="1" applyBorder="1" applyAlignment="1" applyProtection="1">
      <alignment horizontal="left"/>
    </xf>
    <xf numFmtId="39" fontId="23" fillId="16" borderId="19" xfId="67" applyFont="1" applyFill="1" applyBorder="1" applyAlignment="1">
      <alignment vertical="center"/>
    </xf>
    <xf numFmtId="39" fontId="23" fillId="16" borderId="14" xfId="67" applyFont="1" applyFill="1" applyBorder="1" applyAlignment="1" applyProtection="1">
      <alignment horizontal="left" vertical="center"/>
    </xf>
    <xf numFmtId="39" fontId="23" fillId="0" borderId="0" xfId="67" applyFont="1" applyFill="1" applyBorder="1" applyAlignment="1" applyProtection="1">
      <alignment vertical="center"/>
    </xf>
    <xf numFmtId="39" fontId="23" fillId="16" borderId="15" xfId="67" applyFont="1" applyFill="1" applyBorder="1" applyAlignment="1">
      <alignment vertical="center"/>
    </xf>
    <xf numFmtId="39" fontId="50" fillId="16" borderId="2" xfId="67" applyFont="1" applyFill="1" applyBorder="1" applyAlignment="1" applyProtection="1"/>
    <xf numFmtId="39" fontId="50" fillId="16" borderId="11" xfId="67" applyFont="1" applyFill="1" applyBorder="1" applyAlignment="1" applyProtection="1"/>
    <xf numFmtId="39" fontId="9" fillId="0" borderId="0" xfId="30" applyFont="1" applyBorder="1" applyAlignment="1" applyProtection="1">
      <alignment horizontal="left"/>
    </xf>
    <xf numFmtId="39" fontId="23" fillId="0" borderId="14" xfId="67" applyFont="1" applyBorder="1" applyAlignment="1" applyProtection="1">
      <alignment horizontal="left"/>
    </xf>
    <xf numFmtId="39" fontId="9" fillId="9" borderId="0" xfId="67" applyFont="1" applyFill="1" applyAlignment="1"/>
    <xf numFmtId="39" fontId="9" fillId="16" borderId="0" xfId="30" applyFont="1" applyFill="1" applyBorder="1" applyAlignment="1" applyProtection="1">
      <alignment horizontal="left"/>
    </xf>
    <xf numFmtId="0" fontId="23" fillId="16" borderId="0" xfId="69" applyFont="1" applyFill="1" applyAlignment="1"/>
    <xf numFmtId="39" fontId="23" fillId="9" borderId="9" xfId="67" applyFont="1" applyFill="1" applyBorder="1" applyAlignment="1"/>
    <xf numFmtId="39" fontId="9" fillId="9" borderId="0" xfId="67" applyFont="1" applyFill="1" applyAlignment="1" applyProtection="1">
      <alignment horizontal="center"/>
    </xf>
    <xf numFmtId="39" fontId="21" fillId="9" borderId="0" xfId="67" applyFont="1" applyFill="1" applyAlignment="1" applyProtection="1">
      <alignment horizontal="left"/>
    </xf>
    <xf numFmtId="39" fontId="21" fillId="9" borderId="0" xfId="67" applyFont="1" applyFill="1" applyAlignment="1"/>
    <xf numFmtId="39" fontId="165" fillId="0" borderId="0" xfId="67" applyFont="1" applyAlignment="1"/>
    <xf numFmtId="39" fontId="165" fillId="16" borderId="0" xfId="67" applyFont="1" applyFill="1" applyAlignment="1"/>
    <xf numFmtId="39" fontId="166" fillId="0" borderId="0" xfId="68" applyFont="1" applyAlignment="1"/>
    <xf numFmtId="39" fontId="166" fillId="16" borderId="0" xfId="68" applyFont="1" applyFill="1" applyAlignment="1">
      <alignment horizontal="center"/>
    </xf>
    <xf numFmtId="39" fontId="166" fillId="16" borderId="0" xfId="68" applyFont="1" applyFill="1" applyAlignment="1"/>
    <xf numFmtId="0" fontId="166" fillId="16" borderId="0" xfId="69" applyFont="1" applyFill="1" applyAlignment="1"/>
    <xf numFmtId="39" fontId="165" fillId="0" borderId="0" xfId="30" applyFont="1" applyAlignment="1"/>
    <xf numFmtId="39" fontId="167" fillId="16" borderId="0" xfId="30" applyFont="1" applyFill="1" applyAlignment="1" applyProtection="1">
      <alignment horizontal="left"/>
    </xf>
    <xf numFmtId="0" fontId="167" fillId="16" borderId="0" xfId="69" applyFont="1" applyFill="1" applyAlignment="1"/>
    <xf numFmtId="39" fontId="167" fillId="16" borderId="0" xfId="30" applyFont="1" applyFill="1" applyAlignment="1"/>
    <xf numFmtId="39" fontId="168" fillId="16" borderId="0" xfId="30" applyFont="1" applyFill="1" applyAlignment="1"/>
    <xf numFmtId="39" fontId="168" fillId="16" borderId="0" xfId="67" applyFont="1" applyFill="1" applyBorder="1" applyAlignment="1" applyProtection="1">
      <alignment vertical="center"/>
    </xf>
    <xf numFmtId="39" fontId="168" fillId="16" borderId="0" xfId="67" applyFont="1" applyFill="1" applyBorder="1" applyAlignment="1">
      <alignment vertical="center"/>
    </xf>
    <xf numFmtId="39" fontId="169" fillId="16" borderId="0" xfId="67" applyFont="1" applyFill="1" applyBorder="1" applyAlignment="1" applyProtection="1">
      <alignment vertical="center"/>
    </xf>
    <xf numFmtId="39" fontId="165" fillId="0" borderId="0" xfId="67" applyFont="1" applyAlignment="1">
      <alignment vertical="center"/>
    </xf>
    <xf numFmtId="39" fontId="165" fillId="0" borderId="0" xfId="67" applyFont="1" applyBorder="1" applyAlignment="1">
      <alignment vertical="center"/>
    </xf>
    <xf numFmtId="39" fontId="165" fillId="0" borderId="0" xfId="67" applyFont="1" applyBorder="1" applyAlignment="1"/>
    <xf numFmtId="39" fontId="23" fillId="16" borderId="4" xfId="67" applyFont="1" applyFill="1" applyBorder="1" applyAlignment="1"/>
    <xf numFmtId="39" fontId="23" fillId="0" borderId="5" xfId="67" applyFont="1" applyBorder="1" applyAlignment="1" applyProtection="1">
      <alignment horizontal="left"/>
    </xf>
    <xf numFmtId="39" fontId="23" fillId="9" borderId="17" xfId="67" applyFont="1" applyFill="1" applyBorder="1" applyAlignment="1" applyProtection="1">
      <alignment vertical="center"/>
    </xf>
    <xf numFmtId="39" fontId="23" fillId="16" borderId="17" xfId="67" applyFont="1" applyFill="1" applyBorder="1" applyAlignment="1" applyProtection="1">
      <alignment vertical="center"/>
    </xf>
    <xf numFmtId="39" fontId="23" fillId="16" borderId="21" xfId="67" applyFont="1" applyFill="1" applyBorder="1" applyAlignment="1">
      <alignment vertical="center"/>
    </xf>
    <xf numFmtId="39" fontId="9" fillId="9" borderId="3" xfId="67" applyFont="1" applyFill="1" applyBorder="1" applyAlignment="1" applyProtection="1"/>
    <xf numFmtId="39" fontId="50" fillId="16" borderId="3" xfId="67" applyFont="1" applyFill="1" applyBorder="1" applyAlignment="1" applyProtection="1"/>
    <xf numFmtId="39" fontId="9" fillId="16" borderId="3" xfId="67" applyFont="1" applyFill="1" applyBorder="1" applyAlignment="1" applyProtection="1"/>
    <xf numFmtId="39" fontId="9" fillId="16" borderId="3" xfId="67" applyFont="1" applyFill="1" applyBorder="1" applyAlignment="1" applyProtection="1">
      <protection locked="0"/>
    </xf>
    <xf numFmtId="39" fontId="9" fillId="16" borderId="3" xfId="30" quotePrefix="1" applyFont="1" applyFill="1" applyBorder="1" applyAlignment="1" applyProtection="1">
      <alignment horizontal="centerContinuous"/>
    </xf>
    <xf numFmtId="39" fontId="9" fillId="16" borderId="19" xfId="30" applyFont="1" applyFill="1" applyBorder="1" applyAlignment="1" applyProtection="1">
      <alignment horizontal="left"/>
    </xf>
    <xf numFmtId="39" fontId="9" fillId="16" borderId="5" xfId="30" applyFont="1" applyFill="1" applyBorder="1" applyAlignment="1" applyProtection="1">
      <alignment horizontal="left"/>
    </xf>
    <xf numFmtId="39" fontId="159" fillId="9" borderId="4" xfId="67" applyFont="1" applyFill="1" applyBorder="1" applyAlignment="1" applyProtection="1"/>
    <xf numFmtId="39" fontId="159" fillId="16" borderId="4" xfId="67" applyFont="1" applyFill="1" applyBorder="1" applyAlignment="1" applyProtection="1"/>
    <xf numFmtId="39" fontId="23" fillId="16" borderId="3" xfId="30" quotePrefix="1" applyFont="1" applyFill="1" applyBorder="1" applyAlignment="1" applyProtection="1">
      <alignment horizontal="centerContinuous"/>
    </xf>
    <xf numFmtId="39" fontId="23" fillId="16" borderId="19" xfId="30" applyFont="1" applyFill="1" applyBorder="1" applyAlignment="1" applyProtection="1">
      <alignment horizontal="left"/>
    </xf>
    <xf numFmtId="39" fontId="9" fillId="9" borderId="0" xfId="67" applyFont="1" applyFill="1" applyAlignment="1">
      <alignment horizontal="center" vertical="center"/>
    </xf>
    <xf numFmtId="0" fontId="21" fillId="9" borderId="0" xfId="23" applyFont="1" applyFill="1"/>
    <xf numFmtId="39" fontId="9" fillId="0" borderId="0" xfId="71" applyFont="1"/>
    <xf numFmtId="39" fontId="9" fillId="9" borderId="0" xfId="71" applyFont="1" applyFill="1" applyAlignment="1" applyProtection="1">
      <alignment horizontal="left"/>
      <protection locked="0"/>
    </xf>
    <xf numFmtId="39" fontId="9" fillId="9" borderId="0" xfId="71" applyFont="1" applyFill="1"/>
    <xf numFmtId="39" fontId="9" fillId="9" borderId="0" xfId="71" applyFont="1" applyFill="1" applyAlignment="1" applyProtection="1">
      <alignment horizontal="left"/>
    </xf>
    <xf numFmtId="39" fontId="23" fillId="9" borderId="0" xfId="71" applyFont="1" applyFill="1" applyAlignment="1" applyProtection="1">
      <alignment horizontal="left"/>
    </xf>
    <xf numFmtId="39" fontId="23" fillId="9" borderId="0" xfId="71" applyFont="1" applyFill="1" applyAlignment="1"/>
    <xf numFmtId="39" fontId="23" fillId="9" borderId="0" xfId="71" applyFont="1" applyFill="1"/>
    <xf numFmtId="39" fontId="23" fillId="9" borderId="0" xfId="35" applyFont="1" applyFill="1" applyBorder="1" applyAlignment="1">
      <alignment vertical="center"/>
    </xf>
    <xf numFmtId="39" fontId="23" fillId="9" borderId="16" xfId="35" applyFont="1" applyFill="1" applyBorder="1" applyAlignment="1">
      <alignment vertical="center"/>
    </xf>
    <xf numFmtId="39" fontId="9" fillId="9" borderId="7" xfId="35" applyFont="1" applyFill="1" applyBorder="1" applyProtection="1">
      <protection locked="0"/>
    </xf>
    <xf numFmtId="39" fontId="9" fillId="9" borderId="2" xfId="71" quotePrefix="1" applyFont="1" applyFill="1" applyBorder="1" applyAlignment="1" applyProtection="1">
      <alignment horizontal="centerContinuous"/>
    </xf>
    <xf numFmtId="39" fontId="9" fillId="9" borderId="7" xfId="71" applyFont="1" applyFill="1" applyBorder="1" applyAlignment="1" applyProtection="1">
      <alignment horizontal="left"/>
    </xf>
    <xf numFmtId="39" fontId="30" fillId="9" borderId="78" xfId="71" applyFont="1" applyFill="1" applyBorder="1" applyAlignment="1" applyProtection="1">
      <alignment horizontal="left"/>
    </xf>
    <xf numFmtId="39" fontId="9" fillId="9" borderId="7" xfId="45" applyFont="1" applyFill="1" applyBorder="1" applyProtection="1"/>
    <xf numFmtId="0" fontId="9" fillId="9" borderId="0" xfId="71" quotePrefix="1" applyNumberFormat="1" applyFont="1" applyFill="1" applyBorder="1" applyAlignment="1" applyProtection="1">
      <alignment horizontal="centerContinuous"/>
    </xf>
    <xf numFmtId="39" fontId="9" fillId="9" borderId="10" xfId="71" applyFont="1" applyFill="1" applyBorder="1" applyAlignment="1" applyProtection="1">
      <alignment horizontal="left"/>
    </xf>
    <xf numFmtId="39" fontId="23" fillId="9" borderId="3" xfId="35" applyFont="1" applyFill="1" applyBorder="1"/>
    <xf numFmtId="0" fontId="9" fillId="9" borderId="2" xfId="23" quotePrefix="1" applyFont="1" applyFill="1" applyBorder="1" applyAlignment="1" applyProtection="1">
      <alignment horizontal="center"/>
    </xf>
    <xf numFmtId="0" fontId="23" fillId="9" borderId="6" xfId="23" applyFont="1" applyFill="1" applyBorder="1" applyAlignment="1" applyProtection="1">
      <alignment horizontal="centerContinuous"/>
    </xf>
    <xf numFmtId="0" fontId="23" fillId="9" borderId="2" xfId="23" applyFont="1" applyFill="1" applyBorder="1" applyAlignment="1">
      <alignment horizontal="center"/>
    </xf>
    <xf numFmtId="0" fontId="23" fillId="9" borderId="9" xfId="23" quotePrefix="1" applyFont="1" applyFill="1" applyBorder="1" applyAlignment="1">
      <alignment horizontal="center"/>
    </xf>
    <xf numFmtId="0" fontId="23" fillId="9" borderId="0" xfId="23" quotePrefix="1" applyFont="1" applyFill="1" applyBorder="1" applyAlignment="1">
      <alignment horizontal="center"/>
    </xf>
    <xf numFmtId="0" fontId="23" fillId="9" borderId="9" xfId="23" applyFont="1" applyFill="1" applyBorder="1" applyAlignment="1">
      <alignment horizontal="center"/>
    </xf>
    <xf numFmtId="0" fontId="23" fillId="9" borderId="11" xfId="23" applyFont="1" applyFill="1" applyBorder="1" applyAlignment="1">
      <alignment horizontal="center"/>
    </xf>
    <xf numFmtId="39" fontId="21" fillId="9" borderId="0" xfId="35" applyFont="1" applyFill="1" applyProtection="1">
      <protection locked="0"/>
    </xf>
    <xf numFmtId="39" fontId="21" fillId="9" borderId="0" xfId="35" applyFont="1" applyFill="1"/>
    <xf numFmtId="0" fontId="163" fillId="0" borderId="0" xfId="69" applyAlignment="1"/>
    <xf numFmtId="39" fontId="9" fillId="9" borderId="9" xfId="71" quotePrefix="1" applyFont="1" applyFill="1" applyBorder="1" applyAlignment="1" applyProtection="1">
      <alignment horizontal="centerContinuous"/>
    </xf>
    <xf numFmtId="39" fontId="9" fillId="9" borderId="0" xfId="71" applyFont="1" applyFill="1" applyBorder="1" applyAlignment="1" applyProtection="1">
      <alignment horizontal="left"/>
    </xf>
    <xf numFmtId="39" fontId="9" fillId="9" borderId="9" xfId="71" applyFont="1" applyFill="1" applyBorder="1" applyAlignment="1" applyProtection="1">
      <alignment horizontal="left"/>
    </xf>
    <xf numFmtId="39" fontId="30" fillId="9" borderId="9" xfId="71" quotePrefix="1" applyFont="1" applyFill="1" applyBorder="1" applyAlignment="1">
      <alignment horizontal="center"/>
    </xf>
    <xf numFmtId="39" fontId="30" fillId="9" borderId="7" xfId="71" applyFont="1" applyFill="1" applyBorder="1"/>
    <xf numFmtId="39" fontId="30" fillId="9" borderId="9" xfId="71" applyFont="1" applyFill="1" applyBorder="1"/>
    <xf numFmtId="39" fontId="9" fillId="10" borderId="0" xfId="35" applyFont="1" applyFill="1" applyAlignment="1">
      <alignment vertical="center"/>
    </xf>
    <xf numFmtId="39" fontId="9" fillId="0" borderId="7" xfId="71" applyFont="1" applyBorder="1" applyAlignment="1" applyProtection="1">
      <alignment horizontal="left"/>
    </xf>
    <xf numFmtId="39" fontId="9" fillId="0" borderId="9" xfId="71" applyFont="1" applyBorder="1" applyAlignment="1" applyProtection="1">
      <alignment horizontal="left"/>
    </xf>
    <xf numFmtId="39" fontId="9" fillId="0" borderId="0" xfId="35" applyFont="1" applyAlignment="1">
      <alignment horizontal="center" vertical="center"/>
    </xf>
    <xf numFmtId="39" fontId="162" fillId="9" borderId="0" xfId="35" applyFont="1" applyFill="1" applyBorder="1" applyProtection="1"/>
    <xf numFmtId="39" fontId="9" fillId="0" borderId="10" xfId="71" applyFont="1" applyBorder="1" applyAlignment="1" applyProtection="1">
      <alignment horizontal="left"/>
    </xf>
    <xf numFmtId="39" fontId="9" fillId="9" borderId="11" xfId="71" quotePrefix="1" applyFont="1" applyFill="1" applyBorder="1" applyAlignment="1" applyProtection="1">
      <alignment horizontal="centerContinuous"/>
    </xf>
    <xf numFmtId="0" fontId="9" fillId="9" borderId="2" xfId="50" quotePrefix="1" applyFont="1" applyFill="1" applyBorder="1" applyAlignment="1" applyProtection="1">
      <alignment horizontal="center"/>
    </xf>
    <xf numFmtId="0" fontId="23" fillId="9" borderId="6" xfId="50" applyFont="1" applyFill="1" applyBorder="1" applyAlignment="1" applyProtection="1">
      <alignment horizontal="centerContinuous"/>
    </xf>
    <xf numFmtId="0" fontId="23" fillId="9" borderId="2" xfId="50" applyFont="1" applyFill="1" applyBorder="1" applyAlignment="1">
      <alignment horizontal="center"/>
    </xf>
    <xf numFmtId="0" fontId="23" fillId="9" borderId="9" xfId="50" quotePrefix="1" applyFont="1" applyFill="1" applyBorder="1" applyAlignment="1">
      <alignment horizontal="center"/>
    </xf>
    <xf numFmtId="0" fontId="23" fillId="9" borderId="0" xfId="50" quotePrefix="1" applyFont="1" applyFill="1" applyBorder="1" applyAlignment="1">
      <alignment horizontal="center"/>
    </xf>
    <xf numFmtId="0" fontId="23" fillId="9" borderId="9" xfId="50" applyFont="1" applyFill="1" applyBorder="1" applyAlignment="1">
      <alignment horizontal="center"/>
    </xf>
    <xf numFmtId="0" fontId="23" fillId="9" borderId="11" xfId="50" applyFont="1" applyFill="1" applyBorder="1" applyAlignment="1">
      <alignment horizontal="center"/>
    </xf>
    <xf numFmtId="39" fontId="162" fillId="9" borderId="9" xfId="35" applyFont="1" applyFill="1" applyBorder="1" applyProtection="1"/>
    <xf numFmtId="39" fontId="162" fillId="9" borderId="2" xfId="35" applyFont="1" applyFill="1" applyBorder="1" applyProtection="1"/>
    <xf numFmtId="39" fontId="162" fillId="9" borderId="11" xfId="35" applyFont="1" applyFill="1" applyBorder="1" applyProtection="1"/>
    <xf numFmtId="39" fontId="9" fillId="9" borderId="9" xfId="35" applyFont="1" applyFill="1" applyBorder="1" applyAlignment="1" applyProtection="1"/>
    <xf numFmtId="39" fontId="50" fillId="16" borderId="7" xfId="35" applyFont="1" applyFill="1" applyBorder="1" applyAlignment="1" applyProtection="1"/>
    <xf numFmtId="39" fontId="9" fillId="16" borderId="7" xfId="35" applyFont="1" applyFill="1" applyBorder="1" applyAlignment="1" applyProtection="1">
      <protection locked="0"/>
    </xf>
    <xf numFmtId="39" fontId="9" fillId="16" borderId="7" xfId="71" quotePrefix="1" applyFont="1" applyFill="1" applyBorder="1" applyAlignment="1" applyProtection="1">
      <alignment horizontal="centerContinuous"/>
    </xf>
    <xf numFmtId="39" fontId="9" fillId="16" borderId="7" xfId="71" applyFont="1" applyFill="1" applyBorder="1" applyAlignment="1" applyProtection="1">
      <alignment horizontal="left"/>
    </xf>
    <xf numFmtId="0" fontId="30" fillId="0" borderId="10" xfId="50" applyFont="1" applyBorder="1" applyAlignment="1"/>
    <xf numFmtId="39" fontId="23" fillId="9" borderId="72" xfId="35" applyFont="1" applyFill="1" applyBorder="1" applyAlignment="1" applyProtection="1">
      <protection locked="0"/>
    </xf>
    <xf numFmtId="39" fontId="23" fillId="16" borderId="72" xfId="35" applyFont="1" applyFill="1" applyBorder="1" applyAlignment="1" applyProtection="1">
      <protection locked="0"/>
    </xf>
    <xf numFmtId="39" fontId="23" fillId="16" borderId="72" xfId="71" quotePrefix="1" applyFont="1" applyFill="1" applyBorder="1" applyAlignment="1" applyProtection="1">
      <alignment horizontal="centerContinuous"/>
    </xf>
    <xf numFmtId="39" fontId="23" fillId="16" borderId="72" xfId="71" applyFont="1" applyFill="1" applyBorder="1" applyAlignment="1" applyProtection="1">
      <alignment horizontal="left"/>
    </xf>
    <xf numFmtId="39" fontId="23" fillId="16" borderId="73" xfId="35" applyFont="1" applyFill="1" applyBorder="1" applyAlignment="1" applyProtection="1">
      <alignment horizontal="left" vertical="center"/>
    </xf>
    <xf numFmtId="39" fontId="23" fillId="9" borderId="12" xfId="35" applyFont="1" applyFill="1" applyBorder="1" applyAlignment="1" applyProtection="1">
      <alignment horizontal="left" vertical="center"/>
    </xf>
    <xf numFmtId="39" fontId="9" fillId="9" borderId="7" xfId="45" applyFont="1" applyFill="1" applyBorder="1" applyAlignment="1" applyProtection="1"/>
    <xf numFmtId="39" fontId="9" fillId="16" borderId="7" xfId="45" applyFont="1" applyFill="1" applyBorder="1" applyAlignment="1" applyProtection="1"/>
    <xf numFmtId="39" fontId="9" fillId="16" borderId="9" xfId="35" applyFont="1" applyFill="1" applyBorder="1" applyAlignment="1" applyProtection="1"/>
    <xf numFmtId="39" fontId="9" fillId="16" borderId="9" xfId="45" applyFont="1" applyFill="1" applyBorder="1" applyAlignment="1" applyProtection="1"/>
    <xf numFmtId="39" fontId="9" fillId="16" borderId="9" xfId="35" applyFont="1" applyFill="1" applyBorder="1" applyAlignment="1" applyProtection="1">
      <protection locked="0"/>
    </xf>
    <xf numFmtId="0" fontId="9" fillId="16" borderId="0" xfId="71" quotePrefix="1" applyNumberFormat="1" applyFont="1" applyFill="1" applyBorder="1" applyAlignment="1" applyProtection="1">
      <alignment horizontal="centerContinuous"/>
    </xf>
    <xf numFmtId="39" fontId="9" fillId="16" borderId="5" xfId="71" applyFont="1" applyFill="1" applyBorder="1" applyAlignment="1" applyProtection="1">
      <alignment horizontal="left"/>
    </xf>
    <xf numFmtId="39" fontId="9" fillId="0" borderId="7" xfId="71" quotePrefix="1" applyFont="1" applyBorder="1" applyAlignment="1" applyProtection="1">
      <alignment horizontal="left"/>
    </xf>
    <xf numFmtId="39" fontId="9" fillId="0" borderId="0" xfId="71" applyFont="1" applyBorder="1" applyAlignment="1" applyProtection="1">
      <alignment horizontal="left"/>
    </xf>
    <xf numFmtId="39" fontId="23" fillId="9" borderId="3" xfId="35" applyFont="1" applyFill="1" applyBorder="1" applyAlignment="1">
      <alignment vertical="center"/>
    </xf>
    <xf numFmtId="39" fontId="23" fillId="9" borderId="3" xfId="35" applyFont="1" applyFill="1" applyBorder="1" applyAlignment="1" applyProtection="1">
      <alignment horizontal="left" vertical="center"/>
    </xf>
    <xf numFmtId="39" fontId="9" fillId="16" borderId="10" xfId="71" applyFont="1" applyFill="1" applyBorder="1" applyAlignment="1" applyProtection="1">
      <alignment horizontal="left"/>
    </xf>
    <xf numFmtId="0" fontId="9" fillId="9" borderId="9" xfId="50" quotePrefix="1" applyFont="1" applyFill="1" applyBorder="1" applyAlignment="1" applyProtection="1">
      <alignment horizontal="center"/>
    </xf>
    <xf numFmtId="0" fontId="23" fillId="9" borderId="0" xfId="50" applyFont="1" applyFill="1" applyBorder="1" applyAlignment="1" applyProtection="1">
      <alignment horizontal="centerContinuous"/>
    </xf>
    <xf numFmtId="0" fontId="9" fillId="9" borderId="7" xfId="50" quotePrefix="1" applyFont="1" applyFill="1" applyBorder="1" applyAlignment="1" applyProtection="1">
      <alignment horizontal="center"/>
    </xf>
    <xf numFmtId="39" fontId="23" fillId="0" borderId="7" xfId="43" applyFont="1" applyBorder="1" applyAlignment="1" applyProtection="1">
      <alignment vertical="center"/>
    </xf>
    <xf numFmtId="39" fontId="23" fillId="0" borderId="10" xfId="43" applyFont="1" applyBorder="1" applyAlignment="1" applyProtection="1">
      <alignment vertical="center"/>
    </xf>
    <xf numFmtId="0" fontId="23" fillId="9" borderId="7" xfId="50" applyFont="1" applyFill="1" applyBorder="1" applyAlignment="1">
      <alignment horizontal="center"/>
    </xf>
    <xf numFmtId="39" fontId="23" fillId="9" borderId="2" xfId="35" applyFont="1" applyFill="1" applyBorder="1" applyAlignment="1" applyProtection="1">
      <alignment vertical="center"/>
    </xf>
    <xf numFmtId="39" fontId="23" fillId="9" borderId="19" xfId="35" applyFont="1" applyFill="1" applyBorder="1" applyAlignment="1">
      <alignment vertical="center"/>
    </xf>
    <xf numFmtId="39" fontId="23" fillId="9" borderId="18" xfId="35" applyFont="1" applyFill="1" applyBorder="1"/>
    <xf numFmtId="39" fontId="23" fillId="9" borderId="10" xfId="35" applyFont="1" applyFill="1" applyBorder="1"/>
    <xf numFmtId="39" fontId="23" fillId="0" borderId="8" xfId="43" applyFont="1" applyBorder="1" applyAlignment="1" applyProtection="1">
      <alignment vertical="center"/>
    </xf>
    <xf numFmtId="39" fontId="23" fillId="0" borderId="12" xfId="43" applyFont="1" applyBorder="1" applyAlignment="1" applyProtection="1">
      <alignment vertical="center"/>
    </xf>
    <xf numFmtId="39" fontId="23" fillId="0" borderId="0" xfId="43" applyFont="1" applyBorder="1" applyAlignment="1" applyProtection="1">
      <alignment vertical="center"/>
    </xf>
    <xf numFmtId="39" fontId="23" fillId="0" borderId="13" xfId="43" applyFont="1" applyBorder="1" applyAlignment="1" applyProtection="1">
      <alignment vertical="center"/>
    </xf>
    <xf numFmtId="39" fontId="23" fillId="0" borderId="14" xfId="43" applyFont="1" applyBorder="1" applyAlignment="1" applyProtection="1">
      <alignment vertical="center"/>
    </xf>
    <xf numFmtId="39" fontId="30" fillId="0" borderId="0" xfId="71" applyFont="1"/>
    <xf numFmtId="39" fontId="30" fillId="9" borderId="0" xfId="71" applyFont="1" applyFill="1" applyAlignment="1" applyProtection="1">
      <alignment horizontal="left"/>
      <protection locked="0"/>
    </xf>
    <xf numFmtId="39" fontId="24" fillId="9" borderId="0" xfId="71" applyFont="1" applyFill="1" applyAlignment="1" applyProtection="1">
      <alignment horizontal="left"/>
    </xf>
    <xf numFmtId="39" fontId="30" fillId="9" borderId="0" xfId="71" applyFont="1" applyFill="1" applyAlignment="1" applyProtection="1">
      <alignment horizontal="left"/>
    </xf>
    <xf numFmtId="39" fontId="30" fillId="9" borderId="0" xfId="71" applyFont="1" applyFill="1"/>
    <xf numFmtId="39" fontId="23" fillId="9" borderId="16" xfId="35" applyFont="1" applyFill="1" applyBorder="1" applyAlignment="1" applyProtection="1">
      <alignment vertical="center"/>
    </xf>
    <xf numFmtId="39" fontId="23" fillId="9" borderId="20" xfId="35" applyFont="1" applyFill="1" applyBorder="1" applyAlignment="1" applyProtection="1">
      <alignment vertical="center"/>
    </xf>
    <xf numFmtId="39" fontId="26" fillId="9" borderId="9" xfId="71" quotePrefix="1" applyFont="1" applyFill="1" applyBorder="1" applyAlignment="1" applyProtection="1">
      <alignment horizontal="centerContinuous"/>
    </xf>
    <xf numFmtId="39" fontId="26" fillId="9" borderId="9" xfId="71" quotePrefix="1" applyFont="1" applyFill="1" applyBorder="1" applyAlignment="1">
      <alignment horizontal="center"/>
    </xf>
    <xf numFmtId="39" fontId="9" fillId="9" borderId="7" xfId="71" applyFont="1" applyFill="1" applyBorder="1"/>
    <xf numFmtId="39" fontId="9" fillId="9" borderId="9" xfId="71" applyFont="1" applyFill="1" applyBorder="1"/>
    <xf numFmtId="39" fontId="162" fillId="9" borderId="7" xfId="35" applyFont="1" applyFill="1" applyBorder="1" applyAlignment="1" applyProtection="1">
      <alignment horizontal="right"/>
    </xf>
    <xf numFmtId="39" fontId="26" fillId="9" borderId="0" xfId="71" quotePrefix="1" applyFont="1" applyFill="1" applyBorder="1" applyAlignment="1" applyProtection="1">
      <alignment horizontal="centerContinuous"/>
    </xf>
    <xf numFmtId="39" fontId="23" fillId="9" borderId="19" xfId="35" applyFont="1" applyFill="1" applyBorder="1" applyAlignment="1" applyProtection="1">
      <alignment horizontal="left" vertical="center"/>
    </xf>
    <xf numFmtId="39" fontId="9" fillId="9" borderId="2" xfId="45" applyFont="1" applyFill="1" applyBorder="1" applyProtection="1"/>
    <xf numFmtId="39" fontId="9" fillId="9" borderId="10" xfId="45" applyFont="1" applyFill="1" applyBorder="1" applyProtection="1"/>
    <xf numFmtId="39" fontId="26" fillId="9" borderId="9" xfId="71" quotePrefix="1" applyFont="1" applyFill="1" applyBorder="1" applyAlignment="1" applyProtection="1">
      <alignment horizontal="center"/>
    </xf>
    <xf numFmtId="39" fontId="9" fillId="9" borderId="10" xfId="71" applyFont="1" applyFill="1" applyBorder="1"/>
    <xf numFmtId="39" fontId="9" fillId="0" borderId="10" xfId="35" applyFont="1" applyBorder="1"/>
    <xf numFmtId="39" fontId="23" fillId="9" borderId="7" xfId="71" applyFont="1" applyFill="1" applyBorder="1" applyAlignment="1" applyProtection="1">
      <alignment horizontal="left"/>
    </xf>
    <xf numFmtId="39" fontId="9" fillId="0" borderId="12" xfId="35" applyFont="1" applyBorder="1"/>
    <xf numFmtId="39" fontId="9" fillId="9" borderId="7" xfId="35" applyFont="1" applyFill="1" applyBorder="1"/>
    <xf numFmtId="39" fontId="9" fillId="9" borderId="9" xfId="35" applyFont="1" applyFill="1" applyBorder="1"/>
    <xf numFmtId="0" fontId="26" fillId="9" borderId="0" xfId="71" quotePrefix="1" applyNumberFormat="1" applyFont="1" applyFill="1" applyBorder="1" applyAlignment="1" applyProtection="1">
      <alignment horizontal="centerContinuous"/>
    </xf>
    <xf numFmtId="39" fontId="24" fillId="9" borderId="10" xfId="71" applyFont="1" applyFill="1" applyBorder="1" applyAlignment="1" applyProtection="1">
      <alignment horizontal="left"/>
    </xf>
    <xf numFmtId="39" fontId="9" fillId="9" borderId="7" xfId="35" applyFont="1" applyFill="1" applyBorder="1" applyAlignment="1" applyProtection="1">
      <alignment horizontal="fill"/>
    </xf>
    <xf numFmtId="39" fontId="9" fillId="9" borderId="9" xfId="35" applyFont="1" applyFill="1" applyBorder="1" applyAlignment="1" applyProtection="1">
      <alignment horizontal="fill"/>
    </xf>
    <xf numFmtId="39" fontId="23" fillId="9" borderId="3" xfId="35" applyFont="1" applyFill="1" applyBorder="1" applyProtection="1"/>
    <xf numFmtId="39" fontId="28" fillId="9" borderId="5" xfId="35" applyFont="1" applyFill="1" applyBorder="1" applyAlignment="1" applyProtection="1">
      <alignment horizontal="center"/>
    </xf>
    <xf numFmtId="0" fontId="26" fillId="9" borderId="11" xfId="50" quotePrefix="1" applyFont="1" applyFill="1" applyBorder="1" applyAlignment="1" applyProtection="1">
      <alignment horizontal="center"/>
    </xf>
    <xf numFmtId="0" fontId="28" fillId="9" borderId="11" xfId="50" applyFont="1" applyFill="1" applyBorder="1" applyAlignment="1" applyProtection="1">
      <alignment horizontal="centerContinuous"/>
    </xf>
    <xf numFmtId="39" fontId="28" fillId="9" borderId="10" xfId="35" applyFont="1" applyFill="1" applyBorder="1"/>
    <xf numFmtId="0" fontId="26" fillId="9" borderId="9" xfId="50" quotePrefix="1" applyFont="1" applyFill="1" applyBorder="1" applyAlignment="1" applyProtection="1">
      <alignment horizontal="center"/>
    </xf>
    <xf numFmtId="0" fontId="28" fillId="9" borderId="0" xfId="50" applyFont="1" applyFill="1" applyBorder="1" applyAlignment="1" applyProtection="1">
      <alignment horizontal="centerContinuous"/>
    </xf>
    <xf numFmtId="39" fontId="43" fillId="9" borderId="0" xfId="40" applyFont="1" applyFill="1" applyBorder="1"/>
    <xf numFmtId="0" fontId="43" fillId="9" borderId="10" xfId="50" applyFont="1" applyFill="1" applyBorder="1"/>
    <xf numFmtId="39" fontId="28" fillId="9" borderId="15" xfId="35" applyFont="1" applyFill="1" applyBorder="1" applyAlignment="1" applyProtection="1">
      <alignment vertical="center"/>
    </xf>
    <xf numFmtId="39" fontId="28" fillId="9" borderId="20" xfId="35" applyFont="1" applyFill="1" applyBorder="1" applyAlignment="1" applyProtection="1">
      <alignment vertical="center"/>
    </xf>
    <xf numFmtId="39" fontId="28" fillId="9" borderId="15" xfId="35" applyFont="1" applyFill="1" applyBorder="1" applyAlignment="1">
      <alignment vertical="center"/>
    </xf>
    <xf numFmtId="39" fontId="24" fillId="9" borderId="1" xfId="35" applyFont="1" applyFill="1" applyBorder="1" applyAlignment="1" applyProtection="1">
      <alignment vertical="center"/>
    </xf>
    <xf numFmtId="39" fontId="30" fillId="9" borderId="1" xfId="35" applyFont="1" applyFill="1" applyBorder="1"/>
    <xf numFmtId="39" fontId="24" fillId="9" borderId="20" xfId="35" applyFont="1" applyFill="1" applyBorder="1" applyAlignment="1" applyProtection="1">
      <alignment vertical="center"/>
    </xf>
    <xf numFmtId="39" fontId="26" fillId="9" borderId="7" xfId="45" applyFont="1" applyFill="1" applyBorder="1" applyProtection="1"/>
    <xf numFmtId="39" fontId="26" fillId="9" borderId="9" xfId="45" applyFont="1" applyFill="1" applyBorder="1" applyProtection="1"/>
    <xf numFmtId="39" fontId="26" fillId="9" borderId="9" xfId="35" applyFont="1" applyFill="1" applyBorder="1" applyProtection="1">
      <protection locked="0"/>
    </xf>
    <xf numFmtId="39" fontId="30" fillId="9" borderId="7" xfId="71" applyFont="1" applyFill="1" applyBorder="1" applyAlignment="1" applyProtection="1">
      <alignment horizontal="left"/>
    </xf>
    <xf numFmtId="39" fontId="30" fillId="9" borderId="0" xfId="71" applyFont="1" applyFill="1" applyBorder="1" applyAlignment="1" applyProtection="1">
      <alignment horizontal="left"/>
    </xf>
    <xf numFmtId="39" fontId="30" fillId="9" borderId="10" xfId="71" applyFont="1" applyFill="1" applyBorder="1" applyAlignment="1" applyProtection="1">
      <alignment horizontal="left"/>
    </xf>
    <xf numFmtId="0" fontId="26" fillId="9" borderId="9" xfId="35" quotePrefix="1" applyNumberFormat="1" applyFont="1" applyFill="1" applyBorder="1" applyAlignment="1">
      <alignment horizontal="center"/>
    </xf>
    <xf numFmtId="0" fontId="26" fillId="9" borderId="10" xfId="35" quotePrefix="1" applyNumberFormat="1" applyFont="1" applyFill="1" applyBorder="1" applyAlignment="1">
      <alignment horizontal="center"/>
    </xf>
    <xf numFmtId="39" fontId="26" fillId="9" borderId="7" xfId="35" applyFont="1" applyFill="1" applyBorder="1" applyProtection="1"/>
    <xf numFmtId="39" fontId="26" fillId="9" borderId="9" xfId="35" applyFont="1" applyFill="1" applyBorder="1" applyAlignment="1">
      <alignment horizontal="center"/>
    </xf>
    <xf numFmtId="39" fontId="30" fillId="9" borderId="0" xfId="42" applyFont="1" applyFill="1" applyBorder="1"/>
    <xf numFmtId="39" fontId="30" fillId="9" borderId="0" xfId="46" applyFont="1" applyFill="1" applyBorder="1" applyAlignment="1" applyProtection="1">
      <alignment horizontal="left"/>
    </xf>
    <xf numFmtId="39" fontId="28" fillId="9" borderId="3" xfId="35" applyFont="1" applyFill="1" applyBorder="1" applyProtection="1">
      <protection locked="0"/>
    </xf>
    <xf numFmtId="0" fontId="26" fillId="9" borderId="19" xfId="71" quotePrefix="1" applyNumberFormat="1" applyFont="1" applyFill="1" applyBorder="1" applyAlignment="1" applyProtection="1">
      <alignment horizontal="centerContinuous"/>
    </xf>
    <xf numFmtId="39" fontId="30" fillId="9" borderId="4" xfId="71" applyFont="1" applyFill="1" applyBorder="1" applyAlignment="1" applyProtection="1">
      <alignment horizontal="left"/>
    </xf>
    <xf numFmtId="39" fontId="24" fillId="9" borderId="19" xfId="71" applyFont="1" applyFill="1" applyBorder="1" applyAlignment="1" applyProtection="1">
      <alignment horizontal="left"/>
    </xf>
    <xf numFmtId="39" fontId="24" fillId="9" borderId="5" xfId="71" applyFont="1" applyFill="1" applyBorder="1" applyAlignment="1" applyProtection="1">
      <alignment horizontal="left"/>
    </xf>
    <xf numFmtId="39" fontId="26" fillId="9" borderId="3" xfId="35" applyFont="1" applyFill="1" applyBorder="1"/>
    <xf numFmtId="39" fontId="26" fillId="9" borderId="5" xfId="35" applyFont="1" applyFill="1" applyBorder="1"/>
    <xf numFmtId="39" fontId="170" fillId="9" borderId="0" xfId="35" applyFont="1" applyFill="1" applyBorder="1" applyProtection="1"/>
    <xf numFmtId="39" fontId="24" fillId="9" borderId="1" xfId="35" applyFont="1" applyFill="1" applyBorder="1"/>
    <xf numFmtId="39" fontId="24" fillId="9" borderId="0" xfId="35" applyFont="1" applyFill="1" applyBorder="1"/>
    <xf numFmtId="39" fontId="30" fillId="9" borderId="9" xfId="71" applyFont="1" applyFill="1" applyBorder="1" applyAlignment="1" applyProtection="1">
      <alignment horizontal="left"/>
    </xf>
    <xf numFmtId="39" fontId="26" fillId="9" borderId="9" xfId="35" applyFont="1" applyFill="1" applyBorder="1"/>
    <xf numFmtId="39" fontId="26" fillId="9" borderId="10" xfId="35" applyFont="1" applyFill="1" applyBorder="1"/>
    <xf numFmtId="39" fontId="26" fillId="9" borderId="8" xfId="35" applyFont="1" applyFill="1" applyBorder="1" applyProtection="1"/>
    <xf numFmtId="39" fontId="26" fillId="9" borderId="2" xfId="35" applyFont="1" applyFill="1" applyBorder="1" applyProtection="1"/>
    <xf numFmtId="39" fontId="26" fillId="9" borderId="2" xfId="35" applyFont="1" applyFill="1" applyBorder="1" applyProtection="1">
      <protection locked="0"/>
    </xf>
    <xf numFmtId="39" fontId="30" fillId="9" borderId="8" xfId="71" applyFont="1" applyFill="1" applyBorder="1" applyAlignment="1" applyProtection="1">
      <alignment horizontal="left"/>
    </xf>
    <xf numFmtId="39" fontId="30" fillId="9" borderId="12" xfId="71" applyFont="1" applyFill="1" applyBorder="1" applyAlignment="1" applyProtection="1">
      <alignment horizontal="left"/>
    </xf>
    <xf numFmtId="39" fontId="24" fillId="9" borderId="7" xfId="71" applyFont="1" applyFill="1" applyBorder="1" applyAlignment="1" applyProtection="1"/>
    <xf numFmtId="39" fontId="30" fillId="9" borderId="0" xfId="71" applyFont="1" applyFill="1" applyBorder="1" applyAlignment="1" applyProtection="1"/>
    <xf numFmtId="39" fontId="30" fillId="9" borderId="10" xfId="71" applyFont="1" applyFill="1" applyBorder="1" applyAlignment="1" applyProtection="1"/>
    <xf numFmtId="0" fontId="26" fillId="9" borderId="9" xfId="71" quotePrefix="1" applyNumberFormat="1" applyFont="1" applyFill="1" applyBorder="1" applyAlignment="1" applyProtection="1">
      <alignment horizontal="centerContinuous"/>
    </xf>
    <xf numFmtId="39" fontId="24" fillId="9" borderId="0" xfId="71" applyFont="1" applyFill="1" applyBorder="1" applyAlignment="1" applyProtection="1"/>
    <xf numFmtId="39" fontId="30" fillId="9" borderId="0" xfId="71" quotePrefix="1" applyFont="1" applyFill="1" applyBorder="1" applyAlignment="1" applyProtection="1">
      <alignment horizontal="left"/>
    </xf>
    <xf numFmtId="39" fontId="30" fillId="9" borderId="0" xfId="35" applyFont="1" applyFill="1" applyBorder="1" applyAlignment="1" applyProtection="1">
      <alignment horizontal="fill"/>
    </xf>
    <xf numFmtId="39" fontId="24" fillId="9" borderId="18" xfId="71" applyFont="1" applyFill="1" applyBorder="1" applyAlignment="1" applyProtection="1"/>
    <xf numFmtId="39" fontId="30" fillId="9" borderId="18" xfId="71" applyFont="1" applyFill="1" applyBorder="1" applyAlignment="1" applyProtection="1"/>
    <xf numFmtId="39" fontId="30" fillId="9" borderId="14" xfId="71" applyFont="1" applyFill="1" applyBorder="1" applyAlignment="1" applyProtection="1"/>
    <xf numFmtId="39" fontId="30" fillId="9" borderId="10" xfId="35" applyFont="1" applyFill="1" applyBorder="1"/>
    <xf numFmtId="39" fontId="28" fillId="9" borderId="2" xfId="35" applyFont="1" applyFill="1" applyBorder="1" applyProtection="1"/>
    <xf numFmtId="39" fontId="28" fillId="9" borderId="3" xfId="35" applyFont="1" applyFill="1" applyBorder="1" applyAlignment="1" applyProtection="1">
      <alignment horizontal="center"/>
    </xf>
    <xf numFmtId="39" fontId="23" fillId="9" borderId="6" xfId="35" applyFont="1" applyFill="1" applyBorder="1"/>
    <xf numFmtId="39" fontId="23" fillId="9" borderId="6" xfId="35" applyFont="1" applyFill="1" applyBorder="1" applyAlignment="1" applyProtection="1">
      <alignment horizontal="left"/>
    </xf>
    <xf numFmtId="39" fontId="9" fillId="9" borderId="3" xfId="35" applyFont="1" applyFill="1" applyBorder="1"/>
    <xf numFmtId="39" fontId="23" fillId="9" borderId="2" xfId="35" applyFont="1" applyFill="1" applyBorder="1" applyAlignment="1" applyProtection="1">
      <alignment horizontal="left"/>
    </xf>
    <xf numFmtId="39" fontId="28" fillId="9" borderId="3" xfId="35" applyFont="1" applyFill="1" applyBorder="1"/>
    <xf numFmtId="39" fontId="23" fillId="9" borderId="19" xfId="35" applyFont="1" applyFill="1" applyBorder="1" applyAlignment="1" applyProtection="1">
      <alignment horizontal="left"/>
    </xf>
    <xf numFmtId="39" fontId="9" fillId="9" borderId="11" xfId="35" applyFont="1" applyFill="1" applyBorder="1"/>
    <xf numFmtId="39" fontId="23" fillId="9" borderId="3" xfId="35" applyFont="1" applyFill="1" applyBorder="1" applyAlignment="1" applyProtection="1">
      <alignment horizontal="left"/>
    </xf>
    <xf numFmtId="0" fontId="23" fillId="9" borderId="0" xfId="50" quotePrefix="1" applyFont="1" applyFill="1" applyBorder="1" applyAlignment="1" applyProtection="1">
      <alignment horizontal="center"/>
    </xf>
    <xf numFmtId="39" fontId="9" fillId="9" borderId="2" xfId="35" applyFont="1" applyFill="1" applyBorder="1"/>
    <xf numFmtId="39" fontId="26" fillId="9" borderId="12" xfId="35" applyFont="1" applyFill="1" applyBorder="1" applyAlignment="1">
      <alignment horizontal="center"/>
    </xf>
    <xf numFmtId="39" fontId="30" fillId="9" borderId="7" xfId="42" applyFont="1" applyFill="1" applyBorder="1" applyAlignment="1" applyProtection="1">
      <alignment horizontal="left"/>
    </xf>
    <xf numFmtId="39" fontId="9" fillId="9" borderId="9" xfId="35" applyFont="1" applyFill="1" applyBorder="1" applyAlignment="1">
      <alignment horizontal="center"/>
    </xf>
    <xf numFmtId="39" fontId="26" fillId="9" borderId="10" xfId="35" applyFont="1" applyFill="1" applyBorder="1" applyAlignment="1">
      <alignment horizontal="center"/>
    </xf>
    <xf numFmtId="39" fontId="24" fillId="9" borderId="0" xfId="35" applyFont="1" applyFill="1" applyBorder="1" applyAlignment="1">
      <alignment horizontal="center"/>
    </xf>
    <xf numFmtId="0" fontId="23" fillId="9" borderId="0" xfId="50" applyFont="1" applyFill="1" applyBorder="1" applyAlignment="1">
      <alignment horizontal="center"/>
    </xf>
    <xf numFmtId="39" fontId="26" fillId="9" borderId="14" xfId="35" applyFont="1" applyFill="1" applyBorder="1" applyAlignment="1">
      <alignment horizontal="center"/>
    </xf>
    <xf numFmtId="0" fontId="0" fillId="0" borderId="0" xfId="0" applyAlignment="1">
      <alignment horizontal="justify" vertical="center"/>
    </xf>
    <xf numFmtId="0" fontId="172" fillId="0" borderId="0" xfId="0" applyFont="1" applyAlignment="1">
      <alignment horizontal="justify" vertical="center"/>
    </xf>
    <xf numFmtId="0" fontId="3" fillId="0" borderId="0" xfId="0" applyFont="1" applyAlignment="1">
      <alignment horizontal="center" vertical="center"/>
    </xf>
    <xf numFmtId="0" fontId="171" fillId="0" borderId="0" xfId="0" applyFont="1" applyAlignment="1">
      <alignment horizontal="center" vertical="center"/>
    </xf>
    <xf numFmtId="39" fontId="5" fillId="0" borderId="12" xfId="7" applyFont="1" applyBorder="1" applyAlignment="1" applyProtection="1">
      <alignment horizontal="center"/>
    </xf>
    <xf numFmtId="39" fontId="5" fillId="0" borderId="8" xfId="7" applyFont="1" applyBorder="1" applyAlignment="1" applyProtection="1">
      <alignment horizontal="center"/>
    </xf>
    <xf numFmtId="39" fontId="11" fillId="8" borderId="0" xfId="2" quotePrefix="1" applyFont="1" applyFill="1" applyAlignment="1">
      <alignment horizontal="center"/>
    </xf>
    <xf numFmtId="39" fontId="5" fillId="0" borderId="14" xfId="7" applyFont="1" applyFill="1" applyBorder="1" applyAlignment="1" applyProtection="1">
      <alignment horizontal="center"/>
    </xf>
    <xf numFmtId="39" fontId="5" fillId="0" borderId="13" xfId="7" applyFont="1" applyFill="1" applyBorder="1" applyAlignment="1" applyProtection="1">
      <alignment horizontal="center"/>
    </xf>
    <xf numFmtId="39" fontId="5" fillId="0" borderId="12" xfId="7" applyFont="1" applyFill="1" applyBorder="1" applyAlignment="1" applyProtection="1">
      <alignment horizontal="center"/>
    </xf>
    <xf numFmtId="39" fontId="5" fillId="0" borderId="8" xfId="7" applyFont="1" applyFill="1" applyBorder="1" applyAlignment="1" applyProtection="1">
      <alignment horizontal="center"/>
    </xf>
    <xf numFmtId="39" fontId="14" fillId="10" borderId="6" xfId="2" applyFont="1" applyFill="1" applyBorder="1" applyAlignment="1">
      <alignment horizontal="center"/>
    </xf>
    <xf numFmtId="39" fontId="14" fillId="11" borderId="10" xfId="2" applyFont="1" applyFill="1" applyBorder="1" applyAlignment="1" applyProtection="1">
      <alignment horizontal="center"/>
      <protection locked="0"/>
    </xf>
    <xf numFmtId="39" fontId="14" fillId="11" borderId="0" xfId="2" applyFont="1" applyFill="1" applyBorder="1" applyAlignment="1" applyProtection="1">
      <alignment horizontal="center"/>
      <protection locked="0"/>
    </xf>
    <xf numFmtId="43" fontId="8" fillId="0" borderId="0" xfId="3" applyFont="1" applyFill="1" applyAlignment="1">
      <alignment horizontal="center"/>
    </xf>
    <xf numFmtId="39" fontId="17" fillId="0" borderId="0" xfId="2" applyFont="1" applyAlignment="1">
      <alignment horizontal="center"/>
    </xf>
    <xf numFmtId="39" fontId="14" fillId="0" borderId="0" xfId="2" applyFont="1" applyFill="1" applyAlignment="1" applyProtection="1">
      <alignment horizontal="center"/>
      <protection locked="0"/>
    </xf>
    <xf numFmtId="39" fontId="5" fillId="0" borderId="0" xfId="2" applyFont="1" applyAlignment="1" applyProtection="1">
      <alignment horizontal="center"/>
    </xf>
    <xf numFmtId="39" fontId="14" fillId="0" borderId="6" xfId="2" applyFont="1" applyFill="1" applyBorder="1" applyAlignment="1">
      <alignment horizontal="center"/>
    </xf>
    <xf numFmtId="39" fontId="5" fillId="0" borderId="14" xfId="7" applyFont="1" applyBorder="1" applyAlignment="1" applyProtection="1">
      <alignment horizontal="center"/>
    </xf>
    <xf numFmtId="39" fontId="5" fillId="0" borderId="13" xfId="7" applyFont="1" applyBorder="1" applyAlignment="1" applyProtection="1">
      <alignment horizontal="center"/>
    </xf>
    <xf numFmtId="39" fontId="22" fillId="0" borderId="0" xfId="11" applyFont="1" applyAlignment="1">
      <alignment horizontal="center"/>
    </xf>
    <xf numFmtId="39" fontId="21" fillId="0" borderId="0" xfId="11" applyFont="1" applyAlignment="1">
      <alignment horizontal="center"/>
    </xf>
    <xf numFmtId="39" fontId="21" fillId="0" borderId="0" xfId="2" applyFont="1" applyAlignment="1" applyProtection="1">
      <alignment horizontal="center"/>
    </xf>
    <xf numFmtId="39" fontId="23" fillId="0" borderId="14" xfId="16" applyFont="1" applyBorder="1" applyAlignment="1" applyProtection="1">
      <alignment horizontal="center" vertical="center"/>
    </xf>
    <xf numFmtId="39" fontId="23" fillId="0" borderId="13" xfId="16" applyFont="1" applyBorder="1" applyAlignment="1" applyProtection="1">
      <alignment horizontal="center" vertical="center"/>
    </xf>
    <xf numFmtId="39" fontId="23" fillId="0" borderId="10" xfId="16" applyFont="1" applyBorder="1" applyAlignment="1" applyProtection="1">
      <alignment horizontal="center" vertical="center"/>
    </xf>
    <xf numFmtId="39" fontId="23" fillId="0" borderId="7" xfId="16" applyFont="1" applyBorder="1" applyAlignment="1" applyProtection="1">
      <alignment horizontal="center" vertical="center"/>
    </xf>
    <xf numFmtId="39" fontId="23" fillId="0" borderId="12" xfId="16" applyFont="1" applyBorder="1" applyAlignment="1" applyProtection="1">
      <alignment horizontal="center" vertical="center"/>
    </xf>
    <xf numFmtId="39" fontId="23" fillId="0" borderId="8" xfId="16" applyFont="1" applyBorder="1" applyAlignment="1" applyProtection="1">
      <alignment horizontal="center" vertical="center"/>
    </xf>
    <xf numFmtId="39" fontId="23" fillId="0" borderId="0" xfId="2" applyFont="1" applyAlignment="1" applyProtection="1">
      <alignment horizontal="center"/>
    </xf>
    <xf numFmtId="39" fontId="9" fillId="0" borderId="0" xfId="2" applyFont="1" applyAlignment="1" applyProtection="1">
      <alignment horizontal="center"/>
    </xf>
    <xf numFmtId="0" fontId="28" fillId="0" borderId="5" xfId="4" applyFont="1" applyBorder="1" applyAlignment="1">
      <alignment horizontal="center" wrapText="1" shrinkToFit="1"/>
    </xf>
    <xf numFmtId="0" fontId="28" fillId="0" borderId="19" xfId="4" applyFont="1" applyBorder="1" applyAlignment="1">
      <alignment horizontal="center" wrapText="1" shrinkToFit="1"/>
    </xf>
    <xf numFmtId="0" fontId="28" fillId="0" borderId="4" xfId="4" applyFont="1" applyBorder="1" applyAlignment="1">
      <alignment horizontal="center" wrapText="1" shrinkToFit="1"/>
    </xf>
    <xf numFmtId="39" fontId="23" fillId="0" borderId="0" xfId="2" applyFont="1" applyAlignment="1">
      <alignment horizontal="center"/>
    </xf>
    <xf numFmtId="39" fontId="34" fillId="0" borderId="0" xfId="2" quotePrefix="1" applyFont="1" applyAlignment="1">
      <alignment horizontal="center"/>
    </xf>
    <xf numFmtId="39" fontId="11" fillId="8" borderId="0" xfId="7" quotePrefix="1" applyFont="1" applyFill="1" applyAlignment="1">
      <alignment horizontal="center"/>
    </xf>
    <xf numFmtId="39" fontId="11" fillId="8" borderId="0" xfId="7" applyFont="1" applyFill="1" applyAlignment="1">
      <alignment horizontal="center"/>
    </xf>
    <xf numFmtId="39" fontId="23" fillId="0" borderId="10" xfId="2" applyFont="1" applyFill="1" applyBorder="1" applyAlignment="1">
      <alignment horizontal="left"/>
    </xf>
    <xf numFmtId="39" fontId="23" fillId="0" borderId="0" xfId="2" applyFont="1" applyFill="1" applyBorder="1" applyAlignment="1">
      <alignment horizontal="left"/>
    </xf>
    <xf numFmtId="39" fontId="9" fillId="0" borderId="0" xfId="2" applyFont="1" applyFill="1" applyBorder="1" applyAlignment="1">
      <alignment horizontal="center"/>
    </xf>
    <xf numFmtId="39" fontId="21" fillId="0" borderId="0" xfId="12" applyFont="1" applyAlignment="1">
      <alignment horizontal="center"/>
    </xf>
    <xf numFmtId="39" fontId="22" fillId="0" borderId="0" xfId="2" applyFont="1" applyAlignment="1">
      <alignment horizontal="left"/>
    </xf>
    <xf numFmtId="39" fontId="22" fillId="0" borderId="0" xfId="2" applyFont="1" applyAlignment="1" applyProtection="1">
      <alignment horizontal="left"/>
    </xf>
    <xf numFmtId="39" fontId="9" fillId="0" borderId="0" xfId="17" applyFont="1" applyAlignment="1" applyProtection="1">
      <alignment horizontal="left"/>
    </xf>
    <xf numFmtId="39" fontId="23" fillId="0" borderId="0" xfId="22" applyFont="1" applyAlignment="1">
      <alignment horizontal="left"/>
    </xf>
    <xf numFmtId="39" fontId="21" fillId="0" borderId="0" xfId="22" applyFont="1" applyAlignment="1">
      <alignment horizontal="left"/>
    </xf>
    <xf numFmtId="39" fontId="41" fillId="0" borderId="0" xfId="2" applyFont="1" applyAlignment="1" applyProtection="1">
      <alignment horizontal="center"/>
    </xf>
    <xf numFmtId="39" fontId="23" fillId="0" borderId="20" xfId="2" applyFont="1" applyBorder="1" applyAlignment="1" applyProtection="1">
      <alignment horizontal="left" vertical="center"/>
    </xf>
    <xf numFmtId="39" fontId="23" fillId="0" borderId="16" xfId="2" applyFont="1" applyBorder="1" applyAlignment="1" applyProtection="1">
      <alignment horizontal="left" vertical="center"/>
    </xf>
    <xf numFmtId="39" fontId="23" fillId="0" borderId="0" xfId="2" applyFont="1" applyAlignment="1">
      <alignment horizontal="left"/>
    </xf>
    <xf numFmtId="39" fontId="22" fillId="0" borderId="0" xfId="11" applyFont="1" applyAlignment="1">
      <alignment horizontal="left"/>
    </xf>
    <xf numFmtId="39" fontId="9" fillId="0" borderId="10" xfId="22" quotePrefix="1" applyFont="1" applyBorder="1" applyAlignment="1">
      <alignment horizontal="center" wrapText="1"/>
    </xf>
    <xf numFmtId="39" fontId="9" fillId="0" borderId="7" xfId="22" applyFont="1" applyBorder="1" applyAlignment="1">
      <alignment horizontal="center" wrapText="1"/>
    </xf>
    <xf numFmtId="39" fontId="43" fillId="0" borderId="0" xfId="11" applyFont="1" applyAlignment="1">
      <alignment horizontal="center"/>
    </xf>
    <xf numFmtId="39" fontId="9" fillId="0" borderId="10" xfId="22" quotePrefix="1" applyFont="1" applyBorder="1" applyAlignment="1">
      <alignment horizontal="left"/>
    </xf>
    <xf numFmtId="39" fontId="9" fillId="0" borderId="7" xfId="22" quotePrefix="1" applyFont="1" applyBorder="1" applyAlignment="1">
      <alignment horizontal="left"/>
    </xf>
    <xf numFmtId="39" fontId="9" fillId="0" borderId="10" xfId="2" quotePrefix="1" applyFont="1" applyBorder="1" applyAlignment="1">
      <alignment horizontal="left"/>
    </xf>
    <xf numFmtId="39" fontId="9" fillId="0" borderId="7" xfId="2" quotePrefix="1" applyFont="1" applyBorder="1" applyAlignment="1">
      <alignment horizontal="left"/>
    </xf>
    <xf numFmtId="39" fontId="23" fillId="0" borderId="0" xfId="2" applyFont="1" applyFill="1" applyBorder="1" applyAlignment="1">
      <alignment horizontal="center"/>
    </xf>
    <xf numFmtId="39" fontId="23" fillId="0" borderId="6" xfId="2" applyFont="1" applyFill="1" applyBorder="1" applyAlignment="1">
      <alignment horizontal="center"/>
    </xf>
    <xf numFmtId="39" fontId="41" fillId="0" borderId="0" xfId="2" applyFont="1" applyFill="1" applyAlignment="1">
      <alignment horizontal="center"/>
    </xf>
    <xf numFmtId="39" fontId="23" fillId="0" borderId="0" xfId="2" applyFont="1" applyFill="1" applyAlignment="1" applyProtection="1">
      <alignment horizontal="center"/>
      <protection locked="0"/>
    </xf>
    <xf numFmtId="39" fontId="9" fillId="0" borderId="0" xfId="2" applyFont="1" applyFill="1" applyAlignment="1" applyProtection="1">
      <alignment horizontal="center"/>
    </xf>
    <xf numFmtId="164" fontId="48" fillId="0" borderId="0" xfId="2" applyNumberFormat="1" applyFont="1" applyFill="1" applyAlignment="1" applyProtection="1">
      <alignment horizontal="center"/>
      <protection locked="0"/>
    </xf>
    <xf numFmtId="39" fontId="9" fillId="0" borderId="14" xfId="7" applyFont="1" applyFill="1" applyBorder="1" applyAlignment="1" applyProtection="1">
      <alignment horizontal="center"/>
    </xf>
    <xf numFmtId="39" fontId="9" fillId="0" borderId="13" xfId="7" applyFont="1" applyFill="1" applyBorder="1" applyAlignment="1" applyProtection="1">
      <alignment horizontal="center"/>
    </xf>
    <xf numFmtId="39" fontId="9" fillId="0" borderId="12" xfId="7" applyFont="1" applyFill="1" applyBorder="1" applyAlignment="1" applyProtection="1">
      <alignment horizontal="center"/>
    </xf>
    <xf numFmtId="39" fontId="9" fillId="0" borderId="8" xfId="7" applyFont="1" applyFill="1" applyBorder="1" applyAlignment="1" applyProtection="1">
      <alignment horizontal="center"/>
    </xf>
    <xf numFmtId="39" fontId="54" fillId="0" borderId="0" xfId="7" quotePrefix="1" applyFont="1" applyFill="1" applyAlignment="1">
      <alignment horizontal="center"/>
    </xf>
    <xf numFmtId="39" fontId="54" fillId="0" borderId="0" xfId="7" applyFont="1" applyFill="1" applyAlignment="1">
      <alignment horizontal="center"/>
    </xf>
    <xf numFmtId="39" fontId="9" fillId="0" borderId="5" xfId="7" applyFont="1" applyFill="1" applyBorder="1" applyAlignment="1" applyProtection="1">
      <alignment horizontal="center"/>
    </xf>
    <xf numFmtId="39" fontId="9" fillId="0" borderId="4" xfId="7" applyFont="1" applyFill="1" applyBorder="1" applyAlignment="1" applyProtection="1">
      <alignment horizontal="center"/>
    </xf>
    <xf numFmtId="39" fontId="57" fillId="0" borderId="0" xfId="2" applyFont="1" applyFill="1" applyAlignment="1">
      <alignment horizontal="left"/>
    </xf>
    <xf numFmtId="39" fontId="56" fillId="0" borderId="0" xfId="11" applyFont="1" applyFill="1" applyAlignment="1">
      <alignment horizontal="left"/>
    </xf>
    <xf numFmtId="39" fontId="44" fillId="0" borderId="0" xfId="11" applyFont="1" applyFill="1" applyAlignment="1">
      <alignment horizontal="center"/>
    </xf>
    <xf numFmtId="39" fontId="48" fillId="0" borderId="0" xfId="2" applyFont="1" applyFill="1" applyAlignment="1" applyProtection="1">
      <alignment horizontal="left"/>
      <protection locked="0"/>
    </xf>
    <xf numFmtId="39" fontId="46" fillId="0" borderId="0" xfId="2" applyFont="1" applyFill="1" applyAlignment="1" applyProtection="1">
      <alignment horizontal="center"/>
      <protection locked="0"/>
    </xf>
    <xf numFmtId="39" fontId="23" fillId="0" borderId="10" xfId="2" applyFont="1" applyFill="1" applyBorder="1" applyAlignment="1" applyProtection="1">
      <alignment horizontal="center"/>
      <protection locked="0"/>
    </xf>
    <xf numFmtId="39" fontId="23" fillId="0" borderId="0" xfId="2" applyFont="1" applyFill="1" applyBorder="1" applyAlignment="1" applyProtection="1">
      <alignment horizontal="center"/>
      <protection locked="0"/>
    </xf>
    <xf numFmtId="39" fontId="55" fillId="0" borderId="0" xfId="2" quotePrefix="1" applyFont="1" applyFill="1" applyAlignment="1">
      <alignment horizontal="center"/>
    </xf>
    <xf numFmtId="39" fontId="23" fillId="0" borderId="0" xfId="2" applyFont="1" applyFill="1" applyAlignment="1">
      <alignment horizontal="center"/>
    </xf>
    <xf numFmtId="39" fontId="22" fillId="0" borderId="0" xfId="11" applyFont="1" applyFill="1" applyAlignment="1">
      <alignment horizontal="center"/>
    </xf>
    <xf numFmtId="39" fontId="46" fillId="0" borderId="0" xfId="2" applyFont="1" applyFill="1" applyAlignment="1">
      <alignment horizontal="left"/>
    </xf>
    <xf numFmtId="39" fontId="44" fillId="0" borderId="0" xfId="11" applyFont="1" applyFill="1" applyAlignment="1">
      <alignment horizontal="left"/>
    </xf>
    <xf numFmtId="39" fontId="44" fillId="0" borderId="0" xfId="2" applyFont="1" applyFill="1" applyAlignment="1" applyProtection="1">
      <alignment horizontal="center"/>
      <protection locked="0"/>
    </xf>
    <xf numFmtId="39" fontId="41" fillId="12" borderId="0" xfId="2" applyFont="1" applyFill="1" applyAlignment="1">
      <alignment horizontal="center"/>
    </xf>
    <xf numFmtId="0" fontId="26" fillId="0" borderId="9" xfId="4" applyFont="1" applyBorder="1" applyAlignment="1">
      <alignment horizontal="left" wrapText="1"/>
    </xf>
    <xf numFmtId="39" fontId="63" fillId="0" borderId="0" xfId="2" applyFont="1" applyAlignment="1" applyProtection="1">
      <alignment horizontal="left" vertical="center" wrapText="1"/>
      <protection locked="0"/>
    </xf>
    <xf numFmtId="0" fontId="26" fillId="0" borderId="9" xfId="4" quotePrefix="1" applyFont="1" applyBorder="1" applyAlignment="1">
      <alignment horizontal="center" wrapText="1"/>
    </xf>
    <xf numFmtId="39" fontId="67" fillId="0" borderId="0" xfId="2" applyFont="1" applyAlignment="1">
      <alignment horizontal="center" vertical="center"/>
    </xf>
    <xf numFmtId="39" fontId="71" fillId="0" borderId="0" xfId="2" applyFont="1" applyAlignment="1" applyProtection="1">
      <alignment horizontal="center"/>
    </xf>
    <xf numFmtId="39" fontId="28" fillId="0" borderId="5" xfId="7" applyFont="1" applyBorder="1" applyAlignment="1" applyProtection="1">
      <alignment horizontal="center" vertical="center"/>
    </xf>
    <xf numFmtId="39" fontId="28" fillId="0" borderId="19" xfId="7" applyFont="1" applyBorder="1" applyAlignment="1" applyProtection="1">
      <alignment horizontal="center" vertical="center"/>
    </xf>
    <xf numFmtId="39" fontId="28" fillId="0" borderId="4" xfId="7" applyFont="1" applyBorder="1" applyAlignment="1" applyProtection="1">
      <alignment horizontal="center" vertical="center"/>
    </xf>
    <xf numFmtId="0" fontId="22" fillId="0" borderId="9" xfId="4" applyFont="1" applyBorder="1" applyAlignment="1">
      <alignment horizontal="center" wrapText="1"/>
    </xf>
    <xf numFmtId="0" fontId="22" fillId="0" borderId="9" xfId="4" applyFont="1" applyBorder="1" applyAlignment="1">
      <alignment horizontal="center" vertical="center"/>
    </xf>
    <xf numFmtId="3" fontId="26" fillId="0" borderId="9" xfId="4" applyNumberFormat="1" applyFont="1" applyBorder="1" applyAlignment="1">
      <alignment horizontal="center" vertical="center"/>
    </xf>
    <xf numFmtId="164" fontId="68" fillId="0" borderId="9" xfId="2" applyNumberFormat="1" applyFont="1" applyFill="1" applyBorder="1" applyAlignment="1" applyProtection="1">
      <alignment horizontal="center" vertical="top" wrapText="1" shrinkToFit="1"/>
      <protection locked="0"/>
    </xf>
    <xf numFmtId="39" fontId="23" fillId="0" borderId="0" xfId="2" applyFont="1" applyAlignment="1" applyProtection="1">
      <alignment horizontal="center"/>
      <protection locked="0"/>
    </xf>
    <xf numFmtId="39" fontId="21" fillId="0" borderId="0" xfId="2" applyFont="1" applyAlignment="1" applyProtection="1">
      <alignment horizontal="center"/>
      <protection locked="0"/>
    </xf>
    <xf numFmtId="39" fontId="21" fillId="0" borderId="0" xfId="2" applyFont="1" applyAlignment="1">
      <alignment horizontal="center"/>
    </xf>
    <xf numFmtId="39" fontId="14" fillId="0" borderId="0" xfId="2" applyFont="1" applyFill="1" applyBorder="1" applyAlignment="1" applyProtection="1">
      <alignment horizontal="center"/>
      <protection locked="0"/>
    </xf>
    <xf numFmtId="39" fontId="21" fillId="0" borderId="0" xfId="17" applyFont="1" applyAlignment="1" applyProtection="1">
      <alignment horizontal="center"/>
    </xf>
    <xf numFmtId="39" fontId="67" fillId="0" borderId="0" xfId="2" applyFont="1" applyAlignment="1" applyProtection="1">
      <alignment horizontal="center"/>
    </xf>
    <xf numFmtId="39" fontId="0" fillId="0" borderId="0" xfId="2" applyFont="1" applyAlignment="1" applyProtection="1">
      <alignment horizontal="center"/>
    </xf>
    <xf numFmtId="39" fontId="67" fillId="0" borderId="14" xfId="16" applyFont="1" applyBorder="1" applyAlignment="1" applyProtection="1">
      <alignment horizontal="center" vertical="center"/>
    </xf>
    <xf numFmtId="39" fontId="67" fillId="0" borderId="13" xfId="16" applyFont="1" applyBorder="1" applyAlignment="1" applyProtection="1">
      <alignment horizontal="center" vertical="center"/>
    </xf>
    <xf numFmtId="39" fontId="67" fillId="0" borderId="10" xfId="16" applyFont="1" applyBorder="1" applyAlignment="1" applyProtection="1">
      <alignment horizontal="center" vertical="center"/>
    </xf>
    <xf numFmtId="39" fontId="67" fillId="0" borderId="7" xfId="16" applyFont="1" applyBorder="1" applyAlignment="1" applyProtection="1">
      <alignment horizontal="center" vertical="center"/>
    </xf>
    <xf numFmtId="39" fontId="67" fillId="0" borderId="12" xfId="16" applyFont="1" applyBorder="1" applyAlignment="1" applyProtection="1">
      <alignment horizontal="center" vertical="center"/>
    </xf>
    <xf numFmtId="39" fontId="67" fillId="0" borderId="8" xfId="16" applyFont="1" applyBorder="1" applyAlignment="1" applyProtection="1">
      <alignment horizontal="center" vertical="center"/>
    </xf>
    <xf numFmtId="39" fontId="23" fillId="0" borderId="0" xfId="2" applyFont="1" applyFill="1" applyAlignment="1" applyProtection="1">
      <alignment horizontal="center"/>
    </xf>
    <xf numFmtId="39" fontId="21" fillId="0" borderId="0" xfId="2" applyFont="1" applyFill="1" applyAlignment="1" applyProtection="1">
      <alignment horizontal="center"/>
    </xf>
    <xf numFmtId="39" fontId="23" fillId="0" borderId="14" xfId="16" applyFont="1" applyFill="1" applyBorder="1" applyAlignment="1" applyProtection="1">
      <alignment horizontal="center" vertical="center"/>
    </xf>
    <xf numFmtId="39" fontId="23" fillId="0" borderId="13" xfId="16" applyFont="1" applyFill="1" applyBorder="1" applyAlignment="1" applyProtection="1">
      <alignment horizontal="center" vertical="center"/>
    </xf>
    <xf numFmtId="39" fontId="23" fillId="0" borderId="10" xfId="16" applyFont="1" applyFill="1" applyBorder="1" applyAlignment="1" applyProtection="1">
      <alignment horizontal="center" vertical="center"/>
    </xf>
    <xf numFmtId="39" fontId="23" fillId="0" borderId="7" xfId="16" applyFont="1" applyFill="1" applyBorder="1" applyAlignment="1" applyProtection="1">
      <alignment horizontal="center" vertical="center"/>
    </xf>
    <xf numFmtId="39" fontId="23" fillId="0" borderId="12" xfId="16" applyFont="1" applyFill="1" applyBorder="1" applyAlignment="1" applyProtection="1">
      <alignment horizontal="center" vertical="center"/>
    </xf>
    <xf numFmtId="39" fontId="23" fillId="0" borderId="8" xfId="16" applyFont="1" applyFill="1" applyBorder="1" applyAlignment="1" applyProtection="1">
      <alignment horizontal="center" vertical="center"/>
    </xf>
    <xf numFmtId="0" fontId="2" fillId="5" borderId="0" xfId="6" applyNumberFormat="1" applyFont="1" applyFill="1" applyAlignment="1">
      <alignment horizontal="center"/>
    </xf>
    <xf numFmtId="39" fontId="78" fillId="14" borderId="0" xfId="30" quotePrefix="1" applyFont="1" applyFill="1" applyAlignment="1">
      <alignment horizontal="center"/>
    </xf>
    <xf numFmtId="39" fontId="5" fillId="0" borderId="14" xfId="37" applyFont="1" applyBorder="1" applyAlignment="1" applyProtection="1">
      <alignment horizontal="center"/>
    </xf>
    <xf numFmtId="39" fontId="5" fillId="0" borderId="13" xfId="37" applyFont="1" applyBorder="1" applyAlignment="1" applyProtection="1">
      <alignment horizontal="center"/>
    </xf>
    <xf numFmtId="39" fontId="5" fillId="0" borderId="14" xfId="37" applyFont="1" applyFill="1" applyBorder="1" applyAlignment="1" applyProtection="1">
      <alignment horizontal="center"/>
    </xf>
    <xf numFmtId="39" fontId="5" fillId="0" borderId="13" xfId="37" applyFont="1" applyFill="1" applyBorder="1" applyAlignment="1" applyProtection="1">
      <alignment horizontal="center"/>
    </xf>
    <xf numFmtId="39" fontId="17" fillId="0" borderId="0" xfId="35" applyFont="1" applyAlignment="1">
      <alignment horizontal="center"/>
    </xf>
    <xf numFmtId="39" fontId="14" fillId="0" borderId="0" xfId="35" applyFont="1" applyFill="1" applyAlignment="1" applyProtection="1">
      <alignment horizontal="center"/>
      <protection locked="0"/>
    </xf>
    <xf numFmtId="39" fontId="5" fillId="0" borderId="0" xfId="35" applyFont="1" applyAlignment="1" applyProtection="1">
      <alignment horizontal="center"/>
    </xf>
    <xf numFmtId="39" fontId="14" fillId="0" borderId="6" xfId="35" applyFont="1" applyFill="1" applyBorder="1" applyAlignment="1">
      <alignment horizontal="center"/>
    </xf>
    <xf numFmtId="39" fontId="5" fillId="0" borderId="12" xfId="37" applyFont="1" applyBorder="1" applyAlignment="1" applyProtection="1">
      <alignment horizontal="center"/>
    </xf>
    <xf numFmtId="39" fontId="5" fillId="0" borderId="8" xfId="37" applyFont="1" applyBorder="1" applyAlignment="1" applyProtection="1">
      <alignment horizontal="center"/>
    </xf>
    <xf numFmtId="39" fontId="5" fillId="0" borderId="12" xfId="37" applyFont="1" applyFill="1" applyBorder="1" applyAlignment="1" applyProtection="1">
      <alignment horizontal="center"/>
    </xf>
    <xf numFmtId="39" fontId="5" fillId="0" borderId="8" xfId="37" applyFont="1" applyFill="1" applyBorder="1" applyAlignment="1" applyProtection="1">
      <alignment horizontal="center"/>
    </xf>
    <xf numFmtId="39" fontId="34" fillId="10" borderId="0" xfId="35" quotePrefix="1" applyFont="1" applyFill="1" applyAlignment="1">
      <alignment horizontal="center"/>
    </xf>
    <xf numFmtId="39" fontId="11" fillId="8" borderId="0" xfId="37" quotePrefix="1" applyFont="1" applyFill="1" applyAlignment="1">
      <alignment horizontal="center"/>
    </xf>
    <xf numFmtId="39" fontId="11" fillId="8" borderId="0" xfId="37" applyFont="1" applyFill="1" applyAlignment="1">
      <alignment horizontal="center"/>
    </xf>
    <xf numFmtId="39" fontId="14" fillId="11" borderId="10" xfId="35" applyFont="1" applyFill="1" applyBorder="1" applyAlignment="1" applyProtection="1">
      <alignment horizontal="center"/>
      <protection locked="0"/>
    </xf>
    <xf numFmtId="39" fontId="14" fillId="11" borderId="0" xfId="35" applyFont="1" applyFill="1" applyBorder="1" applyAlignment="1" applyProtection="1">
      <alignment horizontal="center"/>
      <protection locked="0"/>
    </xf>
    <xf numFmtId="39" fontId="34" fillId="0" borderId="0" xfId="35" quotePrefix="1" applyFont="1" applyAlignment="1">
      <alignment horizontal="center"/>
    </xf>
    <xf numFmtId="39" fontId="23" fillId="0" borderId="0" xfId="35" applyFont="1" applyAlignment="1" applyProtection="1">
      <alignment horizontal="center"/>
    </xf>
    <xf numFmtId="39" fontId="9" fillId="0" borderId="0" xfId="35" applyFont="1" applyAlignment="1" applyProtection="1">
      <alignment horizontal="center"/>
    </xf>
    <xf numFmtId="39" fontId="23" fillId="0" borderId="14" xfId="43" applyFont="1" applyBorder="1" applyAlignment="1" applyProtection="1">
      <alignment horizontal="center" vertical="center"/>
    </xf>
    <xf numFmtId="39" fontId="23" fillId="0" borderId="13" xfId="43" applyFont="1" applyBorder="1" applyAlignment="1" applyProtection="1">
      <alignment horizontal="center" vertical="center"/>
    </xf>
    <xf numFmtId="39" fontId="23" fillId="0" borderId="10" xfId="43" applyFont="1" applyBorder="1" applyAlignment="1" applyProtection="1">
      <alignment horizontal="center" vertical="center"/>
    </xf>
    <xf numFmtId="39" fontId="23" fillId="0" borderId="7" xfId="43" applyFont="1" applyBorder="1" applyAlignment="1" applyProtection="1">
      <alignment horizontal="center" vertical="center"/>
    </xf>
    <xf numFmtId="39" fontId="23" fillId="0" borderId="12" xfId="43" applyFont="1" applyBorder="1" applyAlignment="1" applyProtection="1">
      <alignment horizontal="center" vertical="center"/>
    </xf>
    <xf numFmtId="39" fontId="23" fillId="0" borderId="8" xfId="43" applyFont="1" applyBorder="1" applyAlignment="1" applyProtection="1">
      <alignment horizontal="center" vertical="center"/>
    </xf>
    <xf numFmtId="0" fontId="28" fillId="0" borderId="5" xfId="23" applyFont="1" applyBorder="1" applyAlignment="1">
      <alignment horizontal="center" wrapText="1" shrinkToFit="1"/>
    </xf>
    <xf numFmtId="0" fontId="28" fillId="0" borderId="19" xfId="23" applyFont="1" applyBorder="1" applyAlignment="1">
      <alignment horizontal="center" wrapText="1" shrinkToFit="1"/>
    </xf>
    <xf numFmtId="0" fontId="28" fillId="0" borderId="4" xfId="23" applyFont="1" applyBorder="1" applyAlignment="1">
      <alignment horizontal="center" wrapText="1" shrinkToFit="1"/>
    </xf>
    <xf numFmtId="0" fontId="28" fillId="0" borderId="11" xfId="23" quotePrefix="1" applyFont="1" applyBorder="1" applyAlignment="1">
      <alignment horizontal="center" vertical="center" wrapText="1"/>
    </xf>
    <xf numFmtId="0" fontId="28" fillId="0" borderId="2" xfId="23" quotePrefix="1" applyFont="1" applyBorder="1" applyAlignment="1">
      <alignment horizontal="center" vertical="center" wrapText="1"/>
    </xf>
    <xf numFmtId="39" fontId="21" fillId="0" borderId="0" xfId="40" applyFont="1" applyAlignment="1">
      <alignment horizontal="center"/>
    </xf>
    <xf numFmtId="39" fontId="21" fillId="0" borderId="0" xfId="35" applyFont="1" applyAlignment="1" applyProtection="1">
      <alignment horizontal="center"/>
    </xf>
    <xf numFmtId="39" fontId="9" fillId="0" borderId="0" xfId="41" applyFont="1" applyAlignment="1" applyProtection="1">
      <alignment horizontal="left"/>
    </xf>
    <xf numFmtId="39" fontId="43" fillId="0" borderId="0" xfId="40" applyFont="1" applyAlignment="1">
      <alignment horizontal="center"/>
    </xf>
    <xf numFmtId="0" fontId="9" fillId="0" borderId="10" xfId="23" applyFont="1" applyBorder="1" applyAlignment="1">
      <alignment horizontal="left"/>
    </xf>
    <xf numFmtId="0" fontId="9" fillId="0" borderId="7" xfId="23" applyFont="1" applyBorder="1" applyAlignment="1">
      <alignment horizontal="left"/>
    </xf>
    <xf numFmtId="39" fontId="23" fillId="0" borderId="0" xfId="35" applyFont="1" applyAlignment="1">
      <alignment horizontal="center"/>
    </xf>
    <xf numFmtId="39" fontId="5" fillId="0" borderId="6" xfId="2" applyFont="1" applyFill="1" applyBorder="1" applyAlignment="1">
      <alignment horizontal="center"/>
    </xf>
    <xf numFmtId="0" fontId="24" fillId="0" borderId="5" xfId="4" applyFont="1" applyBorder="1" applyAlignment="1">
      <alignment horizontal="center" wrapText="1" shrinkToFit="1"/>
    </xf>
    <xf numFmtId="0" fontId="24" fillId="0" borderId="19" xfId="4" applyFont="1" applyBorder="1" applyAlignment="1">
      <alignment horizontal="center" wrapText="1" shrinkToFit="1"/>
    </xf>
    <xf numFmtId="0" fontId="24" fillId="0" borderId="4" xfId="4" applyFont="1" applyBorder="1" applyAlignment="1">
      <alignment horizontal="center" wrapText="1" shrinkToFit="1"/>
    </xf>
    <xf numFmtId="0" fontId="9" fillId="0" borderId="10" xfId="6" applyFont="1" applyBorder="1" applyAlignment="1" applyProtection="1">
      <alignment horizontal="left"/>
    </xf>
    <xf numFmtId="0" fontId="9" fillId="0" borderId="7" xfId="6" applyFont="1" applyBorder="1" applyAlignment="1" applyProtection="1">
      <alignment horizontal="left"/>
    </xf>
    <xf numFmtId="39" fontId="23" fillId="0" borderId="0" xfId="2" applyFont="1" applyAlignment="1">
      <alignment horizontal="center" vertical="center"/>
    </xf>
    <xf numFmtId="0" fontId="40" fillId="0" borderId="0" xfId="4" applyFont="1" applyFill="1" applyAlignment="1">
      <alignment horizontal="center"/>
    </xf>
    <xf numFmtId="39" fontId="24" fillId="0" borderId="0" xfId="2" applyFont="1" applyAlignment="1" applyProtection="1">
      <alignment horizontal="center"/>
    </xf>
    <xf numFmtId="39" fontId="43" fillId="0" borderId="0" xfId="2" applyFont="1" applyAlignment="1" applyProtection="1">
      <alignment horizontal="center"/>
    </xf>
    <xf numFmtId="39" fontId="14" fillId="0" borderId="6" xfId="2" applyFont="1" applyFill="1" applyBorder="1" applyAlignment="1" applyProtection="1">
      <alignment horizontal="center"/>
    </xf>
    <xf numFmtId="39" fontId="28" fillId="0" borderId="14" xfId="16" applyFont="1" applyBorder="1" applyAlignment="1" applyProtection="1">
      <alignment horizontal="center" vertical="center"/>
    </xf>
    <xf numFmtId="39" fontId="28" fillId="0" borderId="13" xfId="16" applyFont="1" applyBorder="1" applyAlignment="1" applyProtection="1">
      <alignment horizontal="center" vertical="center"/>
    </xf>
    <xf numFmtId="39" fontId="28" fillId="0" borderId="10" xfId="16" applyFont="1" applyBorder="1" applyAlignment="1" applyProtection="1">
      <alignment horizontal="center" vertical="center"/>
    </xf>
    <xf numFmtId="39" fontId="28" fillId="0" borderId="7" xfId="16" applyFont="1" applyBorder="1" applyAlignment="1" applyProtection="1">
      <alignment horizontal="center" vertical="center"/>
    </xf>
    <xf numFmtId="39" fontId="28" fillId="0" borderId="12" xfId="16" applyFont="1" applyBorder="1" applyAlignment="1" applyProtection="1">
      <alignment horizontal="center" vertical="center"/>
    </xf>
    <xf numFmtId="39" fontId="28" fillId="0" borderId="8" xfId="16" applyFont="1" applyBorder="1" applyAlignment="1" applyProtection="1">
      <alignment horizontal="center" vertical="center"/>
    </xf>
    <xf numFmtId="39" fontId="46" fillId="0" borderId="20" xfId="2" applyFont="1" applyBorder="1" applyAlignment="1" applyProtection="1">
      <alignment horizontal="left" vertical="center"/>
    </xf>
    <xf numFmtId="39" fontId="46" fillId="0" borderId="1" xfId="2" applyFont="1" applyBorder="1" applyAlignment="1" applyProtection="1">
      <alignment horizontal="left" vertical="center"/>
    </xf>
    <xf numFmtId="39" fontId="46" fillId="0" borderId="16" xfId="2" applyFont="1" applyBorder="1" applyAlignment="1" applyProtection="1">
      <alignment horizontal="left" vertical="center"/>
    </xf>
    <xf numFmtId="39" fontId="33" fillId="8" borderId="0" xfId="7" quotePrefix="1" applyFont="1" applyFill="1" applyAlignment="1">
      <alignment horizontal="center"/>
    </xf>
    <xf numFmtId="39" fontId="33" fillId="8" borderId="0" xfId="7" applyFont="1" applyFill="1" applyAlignment="1">
      <alignment horizontal="center"/>
    </xf>
    <xf numFmtId="39" fontId="11" fillId="0" borderId="6" xfId="2" applyFont="1" applyFill="1" applyBorder="1" applyAlignment="1" applyProtection="1">
      <alignment horizontal="center"/>
      <protection locked="0"/>
    </xf>
    <xf numFmtId="39" fontId="11" fillId="19" borderId="5" xfId="10" applyFont="1" applyFill="1" applyBorder="1" applyAlignment="1">
      <alignment horizontal="center"/>
    </xf>
    <xf numFmtId="39" fontId="11" fillId="19" borderId="19" xfId="10" applyFont="1" applyFill="1" applyBorder="1" applyAlignment="1">
      <alignment horizontal="center"/>
    </xf>
    <xf numFmtId="39" fontId="11" fillId="19" borderId="4" xfId="10" applyFont="1" applyFill="1" applyBorder="1" applyAlignment="1">
      <alignment horizontal="center"/>
    </xf>
    <xf numFmtId="39" fontId="14" fillId="10" borderId="5" xfId="10" applyFont="1" applyFill="1" applyBorder="1" applyAlignment="1">
      <alignment horizontal="center"/>
    </xf>
    <xf numFmtId="39" fontId="14" fillId="10" borderId="19" xfId="10" applyFont="1" applyFill="1" applyBorder="1" applyAlignment="1">
      <alignment horizontal="center"/>
    </xf>
    <xf numFmtId="39" fontId="14" fillId="10" borderId="4" xfId="10" applyFont="1" applyFill="1" applyBorder="1" applyAlignment="1">
      <alignment horizontal="center"/>
    </xf>
    <xf numFmtId="39" fontId="99" fillId="0" borderId="0" xfId="2" applyFont="1" applyAlignment="1">
      <alignment horizontal="center"/>
    </xf>
    <xf numFmtId="39" fontId="46" fillId="0" borderId="0" xfId="2" applyFont="1" applyAlignment="1" applyProtection="1">
      <alignment horizontal="center"/>
    </xf>
    <xf numFmtId="39" fontId="19" fillId="0" borderId="14" xfId="2" applyFont="1" applyBorder="1" applyAlignment="1">
      <alignment horizontal="center" vertical="center"/>
    </xf>
    <xf numFmtId="39" fontId="19" fillId="0" borderId="13" xfId="2" applyFont="1" applyBorder="1" applyAlignment="1">
      <alignment horizontal="center" vertical="center"/>
    </xf>
    <xf numFmtId="39" fontId="19" fillId="0" borderId="12" xfId="2" applyFont="1" applyBorder="1" applyAlignment="1">
      <alignment horizontal="center" vertical="center"/>
    </xf>
    <xf numFmtId="39" fontId="19" fillId="0" borderId="8" xfId="2" applyFont="1" applyBorder="1" applyAlignment="1">
      <alignment horizontal="center" vertical="center"/>
    </xf>
    <xf numFmtId="39" fontId="19" fillId="0" borderId="11" xfId="2" applyFont="1" applyBorder="1" applyAlignment="1">
      <alignment horizontal="center" vertical="center"/>
    </xf>
    <xf numFmtId="39" fontId="19" fillId="0" borderId="2" xfId="2" applyFont="1" applyBorder="1" applyAlignment="1">
      <alignment horizontal="center" vertical="center"/>
    </xf>
    <xf numFmtId="39" fontId="19" fillId="0" borderId="0" xfId="2" applyFont="1" applyAlignment="1" applyProtection="1">
      <alignment horizontal="center"/>
      <protection locked="0"/>
    </xf>
    <xf numFmtId="39" fontId="5" fillId="0" borderId="0" xfId="2" applyFont="1" applyAlignment="1">
      <alignment horizontal="center"/>
    </xf>
    <xf numFmtId="39" fontId="102" fillId="0" borderId="0" xfId="2" applyFont="1" applyAlignment="1" applyProtection="1">
      <alignment horizontal="center"/>
    </xf>
    <xf numFmtId="39" fontId="17" fillId="0" borderId="0" xfId="2" applyFont="1" applyAlignment="1" applyProtection="1">
      <alignment horizontal="center"/>
    </xf>
    <xf numFmtId="39" fontId="50" fillId="0" borderId="14" xfId="14" applyFont="1" applyBorder="1" applyAlignment="1" applyProtection="1">
      <alignment horizontal="left"/>
    </xf>
    <xf numFmtId="39" fontId="50" fillId="0" borderId="13" xfId="14" applyFont="1" applyBorder="1" applyAlignment="1" applyProtection="1">
      <alignment horizontal="left"/>
    </xf>
    <xf numFmtId="39" fontId="9" fillId="0" borderId="0" xfId="2" applyFont="1" applyAlignment="1" applyProtection="1">
      <alignment horizontal="left"/>
    </xf>
    <xf numFmtId="39" fontId="9" fillId="0" borderId="0" xfId="2" applyFont="1" applyAlignment="1" applyProtection="1"/>
    <xf numFmtId="0" fontId="28" fillId="0" borderId="45" xfId="50" quotePrefix="1" applyFont="1" applyBorder="1" applyAlignment="1">
      <alignment horizontal="center" vertical="center" wrapText="1"/>
    </xf>
    <xf numFmtId="0" fontId="28" fillId="0" borderId="28" xfId="50" quotePrefix="1" applyFont="1" applyBorder="1" applyAlignment="1">
      <alignment horizontal="center" vertical="center" wrapText="1"/>
    </xf>
    <xf numFmtId="0" fontId="28" fillId="0" borderId="46" xfId="50" quotePrefix="1" applyFont="1" applyBorder="1" applyAlignment="1">
      <alignment horizontal="center" vertical="center" wrapText="1"/>
    </xf>
    <xf numFmtId="0" fontId="28" fillId="0" borderId="44" xfId="50" quotePrefix="1" applyFont="1" applyBorder="1" applyAlignment="1">
      <alignment horizontal="center" vertical="center" wrapText="1"/>
    </xf>
    <xf numFmtId="39" fontId="41" fillId="0" borderId="53" xfId="35" applyFont="1" applyBorder="1" applyAlignment="1" applyProtection="1">
      <alignment horizontal="center"/>
    </xf>
    <xf numFmtId="39" fontId="41" fillId="0" borderId="52" xfId="35" applyFont="1" applyBorder="1" applyAlignment="1" applyProtection="1">
      <alignment horizontal="center"/>
    </xf>
    <xf numFmtId="39" fontId="41" fillId="0" borderId="45" xfId="35" applyFont="1" applyBorder="1" applyAlignment="1" applyProtection="1">
      <alignment horizontal="center"/>
    </xf>
    <xf numFmtId="39" fontId="21" fillId="0" borderId="29" xfId="35" applyFont="1" applyBorder="1" applyAlignment="1" applyProtection="1">
      <alignment horizontal="center"/>
    </xf>
    <xf numFmtId="39" fontId="21" fillId="0" borderId="0" xfId="35" applyFont="1" applyBorder="1" applyAlignment="1" applyProtection="1">
      <alignment horizontal="center"/>
    </xf>
    <xf numFmtId="39" fontId="21" fillId="0" borderId="28" xfId="35" applyFont="1" applyBorder="1" applyAlignment="1" applyProtection="1">
      <alignment horizontal="center"/>
    </xf>
    <xf numFmtId="39" fontId="46" fillId="0" borderId="29" xfId="35" applyFont="1" applyBorder="1" applyAlignment="1" applyProtection="1">
      <alignment horizontal="center"/>
    </xf>
    <xf numFmtId="39" fontId="46" fillId="0" borderId="0" xfId="35" applyFont="1" applyBorder="1" applyAlignment="1" applyProtection="1">
      <alignment horizontal="center"/>
    </xf>
    <xf numFmtId="39" fontId="46" fillId="0" borderId="28" xfId="35" applyFont="1" applyBorder="1" applyAlignment="1" applyProtection="1">
      <alignment horizontal="center"/>
    </xf>
    <xf numFmtId="39" fontId="23" fillId="0" borderId="46" xfId="43" applyFont="1" applyBorder="1" applyAlignment="1" applyProtection="1">
      <alignment horizontal="center" vertical="center"/>
    </xf>
    <xf numFmtId="39" fontId="23" fillId="0" borderId="51" xfId="43" applyFont="1" applyBorder="1" applyAlignment="1" applyProtection="1">
      <alignment horizontal="center" vertical="center"/>
    </xf>
    <xf numFmtId="0" fontId="28" fillId="0" borderId="46" xfId="50" applyFont="1" applyBorder="1" applyAlignment="1">
      <alignment horizontal="center" vertical="center" wrapText="1"/>
    </xf>
    <xf numFmtId="0" fontId="28" fillId="0" borderId="51" xfId="50" applyFont="1" applyBorder="1" applyAlignment="1">
      <alignment horizontal="center" vertical="center" wrapText="1"/>
    </xf>
    <xf numFmtId="0" fontId="28" fillId="0" borderId="51" xfId="50" quotePrefix="1" applyFont="1" applyBorder="1" applyAlignment="1">
      <alignment horizontal="center" vertical="center" wrapText="1"/>
    </xf>
    <xf numFmtId="0" fontId="28" fillId="0" borderId="25" xfId="50" quotePrefix="1" applyFont="1" applyBorder="1" applyAlignment="1">
      <alignment horizontal="center" vertical="center" wrapText="1"/>
    </xf>
    <xf numFmtId="39" fontId="23" fillId="0" borderId="44" xfId="43" applyFont="1" applyBorder="1" applyAlignment="1" applyProtection="1">
      <alignment horizontal="center" vertical="center"/>
    </xf>
    <xf numFmtId="0" fontId="28" fillId="0" borderId="44" xfId="50" applyFont="1" applyBorder="1" applyAlignment="1">
      <alignment horizontal="center" vertical="center" wrapText="1"/>
    </xf>
    <xf numFmtId="39" fontId="23" fillId="0" borderId="0" xfId="35" applyFont="1" applyBorder="1" applyAlignment="1">
      <alignment horizontal="left" vertical="center"/>
    </xf>
    <xf numFmtId="39" fontId="23" fillId="0" borderId="0" xfId="35" applyFont="1" applyBorder="1" applyAlignment="1" applyProtection="1">
      <alignment horizontal="center" vertical="center"/>
    </xf>
    <xf numFmtId="39" fontId="23" fillId="0" borderId="28" xfId="35" applyFont="1" applyBorder="1" applyAlignment="1" applyProtection="1">
      <alignment horizontal="center" vertical="center"/>
    </xf>
    <xf numFmtId="39" fontId="21" fillId="0" borderId="0" xfId="40" applyFont="1" applyBorder="1" applyAlignment="1">
      <alignment horizontal="left" vertical="center"/>
    </xf>
    <xf numFmtId="39" fontId="21" fillId="0" borderId="0" xfId="35" applyFont="1" applyBorder="1" applyAlignment="1" applyProtection="1">
      <alignment horizontal="center" vertical="center"/>
    </xf>
    <xf numFmtId="39" fontId="21" fillId="0" borderId="28" xfId="35" applyFont="1" applyBorder="1" applyAlignment="1" applyProtection="1">
      <alignment horizontal="center" vertical="center"/>
    </xf>
    <xf numFmtId="39" fontId="21" fillId="0" borderId="0" xfId="40" applyFont="1" applyBorder="1" applyAlignment="1">
      <alignment horizontal="center" vertical="center"/>
    </xf>
    <xf numFmtId="39" fontId="23" fillId="0" borderId="0" xfId="35" applyFont="1" applyBorder="1" applyAlignment="1">
      <alignment horizontal="center" vertical="center"/>
    </xf>
    <xf numFmtId="39" fontId="23" fillId="0" borderId="53" xfId="43" applyFont="1" applyBorder="1" applyAlignment="1" applyProtection="1">
      <alignment horizontal="center" vertical="center"/>
    </xf>
    <xf numFmtId="39" fontId="23" fillId="0" borderId="58" xfId="43" applyFont="1" applyBorder="1" applyAlignment="1" applyProtection="1">
      <alignment horizontal="center" vertical="center"/>
    </xf>
    <xf numFmtId="39" fontId="23" fillId="0" borderId="27" xfId="43" applyFont="1" applyBorder="1" applyAlignment="1" applyProtection="1">
      <alignment horizontal="center" vertical="center"/>
    </xf>
    <xf numFmtId="0" fontId="28" fillId="0" borderId="52" xfId="50" quotePrefix="1" applyFont="1" applyBorder="1" applyAlignment="1">
      <alignment horizontal="center" vertical="center" wrapText="1"/>
    </xf>
    <xf numFmtId="0" fontId="28" fillId="0" borderId="26" xfId="50" quotePrefix="1" applyFont="1" applyBorder="1" applyAlignment="1">
      <alignment horizontal="center" vertical="center" wrapText="1"/>
    </xf>
    <xf numFmtId="0" fontId="28" fillId="0" borderId="64" xfId="50" quotePrefix="1" applyFont="1" applyBorder="1" applyAlignment="1">
      <alignment horizontal="center" vertical="center" wrapText="1"/>
    </xf>
    <xf numFmtId="0" fontId="28" fillId="0" borderId="2" xfId="50" quotePrefix="1" applyFont="1" applyBorder="1" applyAlignment="1">
      <alignment horizontal="center" vertical="center" wrapText="1"/>
    </xf>
    <xf numFmtId="0" fontId="28" fillId="0" borderId="63" xfId="50" quotePrefix="1" applyFont="1" applyBorder="1" applyAlignment="1">
      <alignment horizontal="center" vertical="center" wrapText="1"/>
    </xf>
    <xf numFmtId="0" fontId="28" fillId="0" borderId="38" xfId="50" quotePrefix="1" applyFont="1" applyBorder="1" applyAlignment="1">
      <alignment horizontal="center" vertical="center" wrapText="1"/>
    </xf>
    <xf numFmtId="39" fontId="21" fillId="0" borderId="26" xfId="40" applyFont="1" applyBorder="1" applyAlignment="1">
      <alignment horizontal="center" vertical="center"/>
    </xf>
    <xf numFmtId="39" fontId="21" fillId="0" borderId="26" xfId="35" applyFont="1" applyBorder="1" applyAlignment="1" applyProtection="1">
      <alignment horizontal="center" vertical="center"/>
    </xf>
    <xf numFmtId="39" fontId="21" fillId="0" borderId="25" xfId="35" applyFont="1" applyBorder="1" applyAlignment="1" applyProtection="1">
      <alignment horizontal="center" vertical="center"/>
    </xf>
    <xf numFmtId="39" fontId="23" fillId="0" borderId="65" xfId="43" applyFont="1" applyBorder="1" applyAlignment="1" applyProtection="1">
      <alignment horizontal="center" vertical="center"/>
    </xf>
    <xf numFmtId="39" fontId="23" fillId="0" borderId="62" xfId="43" applyFont="1" applyBorder="1" applyAlignment="1" applyProtection="1">
      <alignment horizontal="center" vertical="center"/>
    </xf>
    <xf numFmtId="0" fontId="28" fillId="0" borderId="64" xfId="50" applyFont="1" applyBorder="1" applyAlignment="1">
      <alignment horizontal="center" vertical="center" wrapText="1"/>
    </xf>
    <xf numFmtId="0" fontId="28" fillId="0" borderId="2" xfId="50" applyFont="1" applyBorder="1" applyAlignment="1">
      <alignment horizontal="center" vertical="center" wrapText="1"/>
    </xf>
    <xf numFmtId="39" fontId="46" fillId="0" borderId="58" xfId="35" applyFont="1" applyBorder="1" applyAlignment="1" applyProtection="1">
      <alignment horizontal="center"/>
    </xf>
    <xf numFmtId="39" fontId="46" fillId="0" borderId="6" xfId="35" applyFont="1" applyBorder="1" applyAlignment="1" applyProtection="1">
      <alignment horizontal="center"/>
    </xf>
    <xf numFmtId="39" fontId="46" fillId="0" borderId="60" xfId="35" applyFont="1" applyBorder="1" applyAlignment="1" applyProtection="1">
      <alignment horizontal="center"/>
    </xf>
    <xf numFmtId="39" fontId="23" fillId="0" borderId="69" xfId="43" applyFont="1" applyBorder="1" applyAlignment="1" applyProtection="1">
      <alignment horizontal="center" vertical="center"/>
    </xf>
    <xf numFmtId="0" fontId="28" fillId="0" borderId="11" xfId="50" applyFont="1" applyBorder="1" applyAlignment="1">
      <alignment horizontal="center" vertical="center" wrapText="1"/>
    </xf>
    <xf numFmtId="0" fontId="28" fillId="0" borderId="11" xfId="50" quotePrefix="1" applyFont="1" applyBorder="1" applyAlignment="1">
      <alignment horizontal="center" vertical="center" wrapText="1"/>
    </xf>
    <xf numFmtId="0" fontId="28" fillId="0" borderId="56" xfId="50" quotePrefix="1" applyFont="1" applyBorder="1" applyAlignment="1">
      <alignment horizontal="center" vertical="center" wrapText="1"/>
    </xf>
    <xf numFmtId="0" fontId="28" fillId="0" borderId="11" xfId="50" quotePrefix="1" applyFont="1" applyFill="1" applyBorder="1" applyAlignment="1">
      <alignment horizontal="center" vertical="center" wrapText="1"/>
    </xf>
    <xf numFmtId="0" fontId="28" fillId="0" borderId="2" xfId="50" quotePrefix="1" applyFont="1" applyFill="1" applyBorder="1" applyAlignment="1">
      <alignment horizontal="center" vertical="center" wrapText="1"/>
    </xf>
    <xf numFmtId="39" fontId="43" fillId="0" borderId="0" xfId="35" applyFont="1" applyAlignment="1" applyProtection="1">
      <alignment horizontal="center"/>
    </xf>
    <xf numFmtId="39" fontId="23" fillId="0" borderId="18" xfId="43" applyFont="1" applyBorder="1" applyAlignment="1" applyProtection="1">
      <alignment horizontal="center" vertical="center"/>
    </xf>
    <xf numFmtId="39" fontId="23" fillId="0" borderId="0" xfId="43" applyFont="1" applyBorder="1" applyAlignment="1" applyProtection="1">
      <alignment horizontal="center" vertical="center"/>
    </xf>
    <xf numFmtId="39" fontId="23" fillId="0" borderId="6" xfId="43" applyFont="1" applyBorder="1" applyAlignment="1" applyProtection="1">
      <alignment horizontal="center" vertical="center"/>
    </xf>
    <xf numFmtId="0" fontId="23" fillId="0" borderId="5" xfId="50" applyFont="1" applyBorder="1" applyAlignment="1">
      <alignment horizontal="center" wrapText="1" shrinkToFit="1"/>
    </xf>
    <xf numFmtId="0" fontId="23" fillId="0" borderId="19" xfId="50" applyFont="1" applyBorder="1" applyAlignment="1">
      <alignment horizontal="center" wrapText="1" shrinkToFit="1"/>
    </xf>
    <xf numFmtId="0" fontId="23" fillId="0" borderId="4" xfId="50" applyFont="1" applyBorder="1" applyAlignment="1">
      <alignment horizontal="center" wrapText="1" shrinkToFit="1"/>
    </xf>
    <xf numFmtId="0" fontId="23" fillId="0" borderId="0" xfId="50" applyFont="1" applyAlignment="1">
      <alignment horizontal="center"/>
    </xf>
    <xf numFmtId="39" fontId="44" fillId="0" borderId="0" xfId="35" applyFont="1" applyAlignment="1" applyProtection="1">
      <alignment horizontal="center"/>
    </xf>
    <xf numFmtId="0" fontId="28" fillId="0" borderId="5" xfId="50" applyFont="1" applyBorder="1" applyAlignment="1">
      <alignment horizontal="center" wrapText="1" shrinkToFit="1"/>
    </xf>
    <xf numFmtId="0" fontId="28" fillId="0" borderId="19" xfId="50" applyFont="1" applyBorder="1" applyAlignment="1">
      <alignment horizontal="center" wrapText="1" shrinkToFit="1"/>
    </xf>
    <xf numFmtId="0" fontId="28" fillId="0" borderId="4" xfId="50" applyFont="1" applyBorder="1" applyAlignment="1">
      <alignment horizontal="center" wrapText="1" shrinkToFit="1"/>
    </xf>
    <xf numFmtId="39" fontId="41" fillId="0" borderId="0" xfId="35" applyFont="1" applyAlignment="1" applyProtection="1">
      <alignment horizontal="center"/>
    </xf>
    <xf numFmtId="39" fontId="23" fillId="0" borderId="0" xfId="42" applyFont="1" applyAlignment="1">
      <alignment horizontal="left"/>
    </xf>
    <xf numFmtId="39" fontId="18" fillId="0" borderId="0" xfId="40" applyFont="1" applyBorder="1" applyAlignment="1">
      <alignment horizontal="center"/>
    </xf>
    <xf numFmtId="39" fontId="18" fillId="0" borderId="0" xfId="35" applyFont="1" applyBorder="1" applyAlignment="1" applyProtection="1">
      <alignment horizontal="center"/>
    </xf>
    <xf numFmtId="39" fontId="14" fillId="0" borderId="0" xfId="35" applyFont="1" applyBorder="1" applyAlignment="1" applyProtection="1">
      <alignment horizontal="center"/>
    </xf>
    <xf numFmtId="39" fontId="5" fillId="0" borderId="0" xfId="35" applyFont="1" applyBorder="1" applyAlignment="1" applyProtection="1">
      <alignment horizontal="center"/>
    </xf>
    <xf numFmtId="0" fontId="21" fillId="0" borderId="0" xfId="50" applyFont="1" applyAlignment="1">
      <alignment horizontal="left"/>
    </xf>
    <xf numFmtId="39" fontId="14" fillId="0" borderId="0" xfId="43" applyFont="1" applyBorder="1" applyAlignment="1" applyProtection="1">
      <alignment horizontal="center" vertical="center"/>
    </xf>
    <xf numFmtId="0" fontId="92" fillId="0" borderId="0" xfId="50" applyFont="1" applyBorder="1" applyAlignment="1">
      <alignment horizontal="center" wrapText="1" shrinkToFit="1"/>
    </xf>
    <xf numFmtId="39" fontId="14" fillId="0" borderId="0" xfId="35" applyFont="1" applyBorder="1" applyAlignment="1">
      <alignment horizontal="center"/>
    </xf>
    <xf numFmtId="39" fontId="5" fillId="0" borderId="0" xfId="35" applyFont="1" applyFill="1" applyBorder="1" applyAlignment="1" applyProtection="1">
      <alignment horizontal="center"/>
    </xf>
    <xf numFmtId="39" fontId="28" fillId="0" borderId="14" xfId="43" applyFont="1" applyBorder="1" applyAlignment="1" applyProtection="1">
      <alignment horizontal="center" vertical="center"/>
    </xf>
    <xf numFmtId="39" fontId="28" fillId="0" borderId="13" xfId="43" applyFont="1" applyBorder="1" applyAlignment="1" applyProtection="1">
      <alignment horizontal="center" vertical="center"/>
    </xf>
    <xf numFmtId="39" fontId="28" fillId="0" borderId="10" xfId="43" applyFont="1" applyBorder="1" applyAlignment="1" applyProtection="1">
      <alignment horizontal="center" vertical="center"/>
    </xf>
    <xf numFmtId="39" fontId="28" fillId="0" borderId="7" xfId="43" applyFont="1" applyBorder="1" applyAlignment="1" applyProtection="1">
      <alignment horizontal="center" vertical="center"/>
    </xf>
    <xf numFmtId="39" fontId="28" fillId="0" borderId="12" xfId="43" applyFont="1" applyBorder="1" applyAlignment="1" applyProtection="1">
      <alignment horizontal="center" vertical="center"/>
    </xf>
    <xf numFmtId="39" fontId="28" fillId="0" borderId="8" xfId="43" applyFont="1" applyBorder="1" applyAlignment="1" applyProtection="1">
      <alignment horizontal="center" vertical="center"/>
    </xf>
    <xf numFmtId="39" fontId="14" fillId="0" borderId="0" xfId="35" applyFont="1" applyAlignment="1" applyProtection="1">
      <alignment horizontal="center"/>
    </xf>
    <xf numFmtId="39" fontId="14" fillId="0" borderId="14" xfId="43" applyFont="1" applyBorder="1" applyAlignment="1" applyProtection="1">
      <alignment horizontal="center" vertical="center"/>
    </xf>
    <xf numFmtId="39" fontId="14" fillId="0" borderId="13" xfId="43" applyFont="1" applyBorder="1" applyAlignment="1" applyProtection="1">
      <alignment horizontal="center" vertical="center"/>
    </xf>
    <xf numFmtId="39" fontId="14" fillId="0" borderId="10" xfId="43" applyFont="1" applyBorder="1" applyAlignment="1" applyProtection="1">
      <alignment horizontal="center" vertical="center"/>
    </xf>
    <xf numFmtId="39" fontId="14" fillId="0" borderId="7" xfId="43" applyFont="1" applyBorder="1" applyAlignment="1" applyProtection="1">
      <alignment horizontal="center" vertical="center"/>
    </xf>
    <xf numFmtId="39" fontId="14" fillId="0" borderId="12" xfId="43" applyFont="1" applyBorder="1" applyAlignment="1" applyProtection="1">
      <alignment horizontal="center" vertical="center"/>
    </xf>
    <xf numFmtId="39" fontId="14" fillId="0" borderId="8" xfId="43" applyFont="1" applyBorder="1" applyAlignment="1" applyProtection="1">
      <alignment horizontal="center" vertical="center"/>
    </xf>
    <xf numFmtId="0" fontId="92" fillId="0" borderId="5" xfId="50" applyFont="1" applyBorder="1" applyAlignment="1">
      <alignment horizontal="center" wrapText="1" shrinkToFit="1"/>
    </xf>
    <xf numFmtId="0" fontId="92" fillId="0" borderId="19" xfId="50" applyFont="1" applyBorder="1" applyAlignment="1">
      <alignment horizontal="center" wrapText="1" shrinkToFit="1"/>
    </xf>
    <xf numFmtId="0" fontId="92" fillId="0" borderId="4" xfId="50" applyFont="1" applyBorder="1" applyAlignment="1">
      <alignment horizontal="center" wrapText="1" shrinkToFit="1"/>
    </xf>
    <xf numFmtId="0" fontId="24" fillId="0" borderId="5" xfId="50" applyFont="1" applyBorder="1" applyAlignment="1">
      <alignment horizontal="center" wrapText="1" shrinkToFit="1"/>
    </xf>
    <xf numFmtId="0" fontId="24" fillId="0" borderId="19" xfId="50" applyFont="1" applyBorder="1" applyAlignment="1">
      <alignment horizontal="center" wrapText="1" shrinkToFit="1"/>
    </xf>
    <xf numFmtId="0" fontId="24" fillId="0" borderId="4" xfId="50" applyFont="1" applyBorder="1" applyAlignment="1">
      <alignment horizontal="center" wrapText="1" shrinkToFit="1"/>
    </xf>
    <xf numFmtId="39" fontId="9" fillId="0" borderId="0" xfId="35" applyFont="1" applyAlignment="1">
      <alignment horizontal="center"/>
    </xf>
    <xf numFmtId="0" fontId="64" fillId="2" borderId="11" xfId="52" applyFont="1" applyFill="1" applyBorder="1" applyAlignment="1">
      <alignment horizontal="center" vertical="center"/>
    </xf>
    <xf numFmtId="0" fontId="64" fillId="2" borderId="9" xfId="52" applyFont="1" applyFill="1" applyBorder="1" applyAlignment="1">
      <alignment horizontal="center" vertical="center"/>
    </xf>
    <xf numFmtId="0" fontId="64" fillId="2" borderId="2" xfId="52" applyFont="1" applyFill="1" applyBorder="1" applyAlignment="1">
      <alignment horizontal="center" vertical="center"/>
    </xf>
    <xf numFmtId="0" fontId="126" fillId="0" borderId="0" xfId="52" applyFont="1" applyAlignment="1">
      <alignment horizontal="center"/>
    </xf>
    <xf numFmtId="0" fontId="125" fillId="0" borderId="0" xfId="52" applyFont="1" applyAlignment="1">
      <alignment horizontal="center"/>
    </xf>
    <xf numFmtId="0" fontId="124" fillId="0" borderId="0" xfId="52" applyFont="1" applyAlignment="1">
      <alignment horizontal="center"/>
    </xf>
    <xf numFmtId="0" fontId="123" fillId="24" borderId="5" xfId="52" applyFont="1" applyFill="1" applyBorder="1" applyAlignment="1">
      <alignment horizontal="center"/>
    </xf>
    <xf numFmtId="0" fontId="123" fillId="24" borderId="18" xfId="52" applyFont="1" applyFill="1" applyBorder="1" applyAlignment="1">
      <alignment horizontal="center"/>
    </xf>
    <xf numFmtId="0" fontId="123" fillId="24" borderId="19" xfId="52" applyFont="1" applyFill="1" applyBorder="1" applyAlignment="1">
      <alignment horizontal="center"/>
    </xf>
    <xf numFmtId="0" fontId="123" fillId="24" borderId="4" xfId="52" applyFont="1" applyFill="1" applyBorder="1" applyAlignment="1">
      <alignment horizontal="center"/>
    </xf>
    <xf numFmtId="0" fontId="64" fillId="0" borderId="14" xfId="52" applyFont="1" applyBorder="1" applyAlignment="1">
      <alignment horizontal="center" vertical="center"/>
    </xf>
    <xf numFmtId="0" fontId="64" fillId="0" borderId="10" xfId="52" applyFont="1" applyBorder="1" applyAlignment="1">
      <alignment horizontal="center" vertical="center"/>
    </xf>
    <xf numFmtId="0" fontId="64" fillId="0" borderId="12" xfId="52" applyFont="1" applyBorder="1" applyAlignment="1">
      <alignment horizontal="center" vertical="center"/>
    </xf>
    <xf numFmtId="0" fontId="64" fillId="0" borderId="11" xfId="52" applyFont="1" applyBorder="1" applyAlignment="1">
      <alignment horizontal="center" vertical="center"/>
    </xf>
    <xf numFmtId="0" fontId="64" fillId="0" borderId="9" xfId="52" applyFont="1" applyBorder="1" applyAlignment="1">
      <alignment horizontal="center" vertical="center"/>
    </xf>
    <xf numFmtId="0" fontId="64" fillId="0" borderId="2" xfId="52" applyFont="1" applyBorder="1" applyAlignment="1">
      <alignment horizontal="center" vertical="center"/>
    </xf>
    <xf numFmtId="43" fontId="64" fillId="0" borderId="14" xfId="53" applyFont="1" applyBorder="1" applyAlignment="1">
      <alignment horizontal="center" vertical="center"/>
    </xf>
    <xf numFmtId="43" fontId="64" fillId="0" borderId="10" xfId="53" applyFont="1" applyBorder="1" applyAlignment="1">
      <alignment horizontal="center" vertical="center"/>
    </xf>
    <xf numFmtId="43" fontId="64" fillId="0" borderId="12" xfId="53" applyFont="1" applyBorder="1" applyAlignment="1">
      <alignment horizontal="center" vertical="center"/>
    </xf>
    <xf numFmtId="0" fontId="21" fillId="0" borderId="0" xfId="0" applyFont="1" applyFill="1" applyAlignment="1">
      <alignment horizontal="left"/>
    </xf>
    <xf numFmtId="39" fontId="21" fillId="0" borderId="0" xfId="40" applyFont="1" applyFill="1" applyAlignment="1">
      <alignment horizontal="center"/>
    </xf>
    <xf numFmtId="39" fontId="23" fillId="0" borderId="0" xfId="35" applyFont="1" applyFill="1" applyAlignment="1">
      <alignment horizontal="center"/>
    </xf>
    <xf numFmtId="39" fontId="23" fillId="0" borderId="0" xfId="35" applyFont="1" applyFill="1" applyAlignment="1" applyProtection="1">
      <alignment horizontal="center"/>
    </xf>
    <xf numFmtId="39" fontId="23" fillId="0" borderId="0" xfId="42" applyFont="1" applyFill="1" applyAlignment="1">
      <alignment horizontal="left"/>
    </xf>
    <xf numFmtId="39" fontId="44" fillId="0" borderId="0" xfId="35" applyFont="1" applyFill="1" applyAlignment="1" applyProtection="1">
      <alignment horizontal="center"/>
    </xf>
    <xf numFmtId="39" fontId="17" fillId="0" borderId="0" xfId="35" applyFont="1" applyAlignment="1" applyProtection="1">
      <alignment horizontal="center"/>
    </xf>
    <xf numFmtId="0" fontId="28" fillId="0" borderId="11" xfId="0" quotePrefix="1" applyFont="1" applyBorder="1" applyAlignment="1">
      <alignment horizontal="center" vertical="center"/>
    </xf>
    <xf numFmtId="0" fontId="28" fillId="0" borderId="2" xfId="0" quotePrefix="1" applyFont="1" applyBorder="1" applyAlignment="1">
      <alignment horizontal="center" vertical="center"/>
    </xf>
    <xf numFmtId="0" fontId="28" fillId="0" borderId="5" xfId="0" applyFont="1" applyBorder="1" applyAlignment="1">
      <alignment horizontal="center" vertical="center" wrapText="1" shrinkToFit="1"/>
    </xf>
    <xf numFmtId="0" fontId="28" fillId="0" borderId="19" xfId="0" applyFont="1" applyBorder="1" applyAlignment="1">
      <alignment horizontal="center" vertical="center" wrapText="1" shrinkToFit="1"/>
    </xf>
    <xf numFmtId="0" fontId="28" fillId="0" borderId="4" xfId="0" applyFont="1" applyBorder="1" applyAlignment="1">
      <alignment horizontal="center" vertical="center" wrapText="1" shrinkToFit="1"/>
    </xf>
    <xf numFmtId="39" fontId="24" fillId="0" borderId="14" xfId="43" applyFont="1" applyBorder="1" applyAlignment="1" applyProtection="1">
      <alignment horizontal="center" vertical="center"/>
    </xf>
    <xf numFmtId="39" fontId="24" fillId="0" borderId="13" xfId="43" applyFont="1" applyBorder="1" applyAlignment="1" applyProtection="1">
      <alignment horizontal="center" vertical="center"/>
    </xf>
    <xf numFmtId="39" fontId="24" fillId="0" borderId="10" xfId="43" applyFont="1" applyBorder="1" applyAlignment="1" applyProtection="1">
      <alignment horizontal="center" vertical="center"/>
    </xf>
    <xf numFmtId="39" fontId="24" fillId="0" borderId="7" xfId="43" applyFont="1" applyBorder="1" applyAlignment="1" applyProtection="1">
      <alignment horizontal="center" vertical="center"/>
    </xf>
    <xf numFmtId="39" fontId="24" fillId="0" borderId="12" xfId="43" applyFont="1" applyBorder="1" applyAlignment="1" applyProtection="1">
      <alignment horizontal="center" vertical="center"/>
    </xf>
    <xf numFmtId="39" fontId="24" fillId="0" borderId="8" xfId="43" applyFont="1" applyBorder="1" applyAlignment="1" applyProtection="1">
      <alignment horizontal="center" vertical="center"/>
    </xf>
    <xf numFmtId="39" fontId="23" fillId="9" borderId="0" xfId="35" applyFont="1" applyFill="1" applyAlignment="1" applyProtection="1">
      <alignment horizontal="center"/>
    </xf>
    <xf numFmtId="39" fontId="9" fillId="9" borderId="0" xfId="35" applyFont="1" applyFill="1" applyAlignment="1" applyProtection="1">
      <alignment horizontal="center"/>
    </xf>
    <xf numFmtId="39" fontId="23" fillId="9" borderId="14" xfId="43" applyFont="1" applyFill="1" applyBorder="1" applyAlignment="1" applyProtection="1">
      <alignment horizontal="center" vertical="center"/>
    </xf>
    <xf numFmtId="39" fontId="23" fillId="9" borderId="13" xfId="43" applyFont="1" applyFill="1" applyBorder="1" applyAlignment="1" applyProtection="1">
      <alignment horizontal="center" vertical="center"/>
    </xf>
    <xf numFmtId="39" fontId="23" fillId="9" borderId="10" xfId="43" applyFont="1" applyFill="1" applyBorder="1" applyAlignment="1" applyProtection="1">
      <alignment horizontal="center" vertical="center"/>
    </xf>
    <xf numFmtId="39" fontId="23" fillId="9" borderId="7" xfId="43" applyFont="1" applyFill="1" applyBorder="1" applyAlignment="1" applyProtection="1">
      <alignment horizontal="center" vertical="center"/>
    </xf>
    <xf numFmtId="39" fontId="23" fillId="9" borderId="12" xfId="43" applyFont="1" applyFill="1" applyBorder="1" applyAlignment="1" applyProtection="1">
      <alignment horizontal="center" vertical="center"/>
    </xf>
    <xf numFmtId="39" fontId="23" fillId="9" borderId="8" xfId="43" applyFont="1" applyFill="1" applyBorder="1" applyAlignment="1" applyProtection="1">
      <alignment horizontal="center" vertical="center"/>
    </xf>
    <xf numFmtId="0" fontId="28" fillId="9" borderId="5" xfId="50" applyFont="1" applyFill="1" applyBorder="1" applyAlignment="1">
      <alignment horizontal="center" wrapText="1" shrinkToFit="1"/>
    </xf>
    <xf numFmtId="0" fontId="28" fillId="9" borderId="19" xfId="50" applyFont="1" applyFill="1" applyBorder="1" applyAlignment="1">
      <alignment horizontal="center" wrapText="1" shrinkToFit="1"/>
    </xf>
    <xf numFmtId="0" fontId="28" fillId="9" borderId="4" xfId="50" applyFont="1" applyFill="1" applyBorder="1" applyAlignment="1">
      <alignment horizontal="center" wrapText="1" shrinkToFit="1"/>
    </xf>
    <xf numFmtId="39" fontId="110" fillId="9" borderId="0" xfId="62" applyFont="1" applyFill="1" applyAlignment="1">
      <alignment horizontal="center"/>
    </xf>
    <xf numFmtId="39" fontId="23" fillId="10" borderId="0" xfId="62" applyFont="1" applyFill="1" applyAlignment="1">
      <alignment horizontal="center"/>
    </xf>
    <xf numFmtId="39" fontId="9" fillId="9" borderId="0" xfId="62" applyFont="1" applyFill="1" applyAlignment="1" applyProtection="1">
      <alignment horizontal="center"/>
    </xf>
    <xf numFmtId="39" fontId="9" fillId="9" borderId="14" xfId="37" applyFont="1" applyFill="1" applyBorder="1" applyAlignment="1" applyProtection="1">
      <alignment horizontal="center"/>
    </xf>
    <xf numFmtId="39" fontId="9" fillId="9" borderId="13" xfId="37" applyFont="1" applyFill="1" applyBorder="1" applyAlignment="1" applyProtection="1">
      <alignment horizontal="center"/>
    </xf>
    <xf numFmtId="39" fontId="9" fillId="9" borderId="10" xfId="37" applyFont="1" applyFill="1" applyBorder="1" applyAlignment="1" applyProtection="1">
      <alignment horizontal="center"/>
    </xf>
    <xf numFmtId="39" fontId="9" fillId="9" borderId="7" xfId="37" applyFont="1" applyFill="1" applyBorder="1" applyAlignment="1" applyProtection="1">
      <alignment horizontal="center"/>
    </xf>
    <xf numFmtId="39" fontId="9" fillId="9" borderId="3" xfId="37" applyFont="1" applyFill="1" applyBorder="1" applyAlignment="1" applyProtection="1">
      <alignment horizontal="center"/>
    </xf>
    <xf numFmtId="39" fontId="23" fillId="9" borderId="14" xfId="37" applyFont="1" applyFill="1" applyBorder="1" applyAlignment="1" applyProtection="1">
      <alignment horizontal="center"/>
    </xf>
    <xf numFmtId="39" fontId="23" fillId="9" borderId="13" xfId="37" applyFont="1" applyFill="1" applyBorder="1" applyAlignment="1" applyProtection="1">
      <alignment horizontal="center"/>
    </xf>
    <xf numFmtId="39" fontId="23" fillId="9" borderId="10" xfId="37" applyFont="1" applyFill="1" applyBorder="1" applyAlignment="1" applyProtection="1">
      <alignment horizontal="center"/>
    </xf>
    <xf numFmtId="39" fontId="23" fillId="9" borderId="7" xfId="37" applyFont="1" applyFill="1" applyBorder="1" applyAlignment="1" applyProtection="1">
      <alignment horizontal="center"/>
    </xf>
    <xf numFmtId="39" fontId="9" fillId="9" borderId="12" xfId="37" applyFont="1" applyFill="1" applyBorder="1" applyAlignment="1" applyProtection="1">
      <alignment horizontal="center"/>
    </xf>
    <xf numFmtId="39" fontId="9" fillId="9" borderId="8" xfId="37" applyFont="1" applyFill="1" applyBorder="1" applyAlignment="1" applyProtection="1">
      <alignment horizontal="center"/>
    </xf>
    <xf numFmtId="39" fontId="23" fillId="9" borderId="3" xfId="37" applyFont="1" applyFill="1" applyBorder="1" applyAlignment="1" applyProtection="1">
      <alignment horizontal="center"/>
    </xf>
    <xf numFmtId="39" fontId="9" fillId="9" borderId="5" xfId="37" applyFont="1" applyFill="1" applyBorder="1" applyAlignment="1" applyProtection="1">
      <alignment horizontal="center"/>
    </xf>
    <xf numFmtId="39" fontId="9" fillId="9" borderId="4" xfId="37" applyFont="1" applyFill="1" applyBorder="1" applyAlignment="1" applyProtection="1">
      <alignment horizontal="center"/>
    </xf>
    <xf numFmtId="1" fontId="9" fillId="9" borderId="14" xfId="37" quotePrefix="1" applyNumberFormat="1" applyFont="1" applyFill="1" applyBorder="1" applyAlignment="1" applyProtection="1">
      <alignment horizontal="center"/>
    </xf>
    <xf numFmtId="1" fontId="9" fillId="9" borderId="13" xfId="37" quotePrefix="1" applyNumberFormat="1" applyFont="1" applyFill="1" applyBorder="1" applyAlignment="1" applyProtection="1">
      <alignment horizontal="center"/>
    </xf>
    <xf numFmtId="39" fontId="23" fillId="9" borderId="11" xfId="37" applyFont="1" applyFill="1" applyBorder="1" applyAlignment="1">
      <alignment horizontal="center" vertical="center"/>
    </xf>
    <xf numFmtId="39" fontId="23" fillId="9" borderId="9" xfId="37" applyFont="1" applyFill="1" applyBorder="1" applyAlignment="1">
      <alignment horizontal="center" vertical="center"/>
    </xf>
    <xf numFmtId="39" fontId="23" fillId="9" borderId="17" xfId="37" applyFont="1" applyFill="1" applyBorder="1" applyAlignment="1">
      <alignment horizontal="center" vertical="center"/>
    </xf>
    <xf numFmtId="1" fontId="9" fillId="9" borderId="10" xfId="37" quotePrefix="1" applyNumberFormat="1" applyFont="1" applyFill="1" applyBorder="1" applyAlignment="1" applyProtection="1">
      <alignment horizontal="center"/>
    </xf>
    <xf numFmtId="1" fontId="9" fillId="9" borderId="7" xfId="37" quotePrefix="1" applyNumberFormat="1" applyFont="1" applyFill="1" applyBorder="1" applyAlignment="1" applyProtection="1">
      <alignment horizontal="center"/>
    </xf>
    <xf numFmtId="1" fontId="23" fillId="9" borderId="23" xfId="37" applyNumberFormat="1" applyFont="1" applyFill="1" applyBorder="1" applyAlignment="1">
      <alignment horizontal="center"/>
    </xf>
    <xf numFmtId="1" fontId="23" fillId="9" borderId="21" xfId="37" applyNumberFormat="1" applyFont="1" applyFill="1" applyBorder="1" applyAlignment="1">
      <alignment horizontal="center"/>
    </xf>
    <xf numFmtId="39" fontId="24" fillId="9" borderId="0" xfId="35" applyFont="1" applyFill="1" applyAlignment="1" applyProtection="1">
      <alignment horizontal="center"/>
    </xf>
    <xf numFmtId="39" fontId="30" fillId="9" borderId="0" xfId="35" applyFont="1" applyFill="1" applyAlignment="1" applyProtection="1">
      <alignment horizontal="center"/>
    </xf>
    <xf numFmtId="1" fontId="23" fillId="9" borderId="23" xfId="40" applyNumberFormat="1" applyFont="1" applyFill="1" applyBorder="1" applyAlignment="1">
      <alignment horizontal="center"/>
    </xf>
    <xf numFmtId="1" fontId="23" fillId="9" borderId="21" xfId="40" applyNumberFormat="1" applyFont="1" applyFill="1" applyBorder="1" applyAlignment="1">
      <alignment horizontal="center"/>
    </xf>
    <xf numFmtId="0" fontId="126" fillId="0" borderId="0" xfId="66" applyFont="1" applyAlignment="1">
      <alignment horizontal="center"/>
    </xf>
    <xf numFmtId="0" fontId="125" fillId="0" borderId="0" xfId="66" applyFont="1" applyAlignment="1">
      <alignment horizontal="center"/>
    </xf>
    <xf numFmtId="0" fontId="124" fillId="0" borderId="0" xfId="66" applyFont="1" applyAlignment="1">
      <alignment horizontal="center"/>
    </xf>
    <xf numFmtId="0" fontId="123" fillId="24" borderId="5" xfId="66" applyFont="1" applyFill="1" applyBorder="1" applyAlignment="1">
      <alignment horizontal="center"/>
    </xf>
    <xf numFmtId="0" fontId="123" fillId="24" borderId="19" xfId="66" applyFont="1" applyFill="1" applyBorder="1" applyAlignment="1">
      <alignment horizontal="center"/>
    </xf>
    <xf numFmtId="0" fontId="123" fillId="24" borderId="4" xfId="66" applyFont="1" applyFill="1" applyBorder="1" applyAlignment="1">
      <alignment horizontal="center"/>
    </xf>
    <xf numFmtId="0" fontId="64" fillId="2" borderId="11" xfId="66" applyFont="1" applyFill="1" applyBorder="1" applyAlignment="1">
      <alignment horizontal="center" vertical="center"/>
    </xf>
    <xf numFmtId="0" fontId="64" fillId="2" borderId="9" xfId="66" applyFont="1" applyFill="1" applyBorder="1" applyAlignment="1">
      <alignment horizontal="center" vertical="center"/>
    </xf>
    <xf numFmtId="0" fontId="64" fillId="2" borderId="2" xfId="66" applyFont="1" applyFill="1" applyBorder="1" applyAlignment="1">
      <alignment horizontal="center" vertical="center"/>
    </xf>
    <xf numFmtId="0" fontId="158" fillId="9" borderId="11" xfId="66" applyFont="1" applyFill="1" applyBorder="1" applyAlignment="1">
      <alignment horizontal="center" vertical="center"/>
    </xf>
    <xf numFmtId="0" fontId="158" fillId="9" borderId="9" xfId="66" applyFont="1" applyFill="1" applyBorder="1" applyAlignment="1">
      <alignment horizontal="center" vertical="center"/>
    </xf>
    <xf numFmtId="0" fontId="158" fillId="9" borderId="2" xfId="66" applyFont="1" applyFill="1" applyBorder="1" applyAlignment="1">
      <alignment horizontal="center" vertical="center"/>
    </xf>
    <xf numFmtId="0" fontId="64" fillId="0" borderId="11" xfId="66" applyFont="1" applyBorder="1" applyAlignment="1">
      <alignment horizontal="center" vertical="center"/>
    </xf>
    <xf numFmtId="0" fontId="64" fillId="0" borderId="9" xfId="66" applyFont="1" applyBorder="1" applyAlignment="1">
      <alignment horizontal="center" vertical="center"/>
    </xf>
    <xf numFmtId="0" fontId="64" fillId="0" borderId="2" xfId="66" applyFont="1" applyBorder="1" applyAlignment="1">
      <alignment horizontal="center" vertical="center"/>
    </xf>
    <xf numFmtId="0" fontId="6" fillId="0" borderId="0" xfId="66" applyFont="1" applyAlignment="1">
      <alignment horizontal="center"/>
    </xf>
    <xf numFmtId="0" fontId="67" fillId="0" borderId="0" xfId="66" applyFont="1" applyAlignment="1">
      <alignment horizontal="center"/>
    </xf>
    <xf numFmtId="0" fontId="28" fillId="9" borderId="12" xfId="50" applyFont="1" applyFill="1" applyBorder="1" applyAlignment="1">
      <alignment horizontal="center" wrapText="1" shrinkToFit="1"/>
    </xf>
    <xf numFmtId="0" fontId="28" fillId="9" borderId="6" xfId="50" applyFont="1" applyFill="1" applyBorder="1" applyAlignment="1">
      <alignment horizontal="center" wrapText="1" shrinkToFit="1"/>
    </xf>
    <xf numFmtId="0" fontId="28" fillId="9" borderId="8" xfId="50" applyFont="1" applyFill="1" applyBorder="1" applyAlignment="1">
      <alignment horizontal="center" wrapText="1" shrinkToFit="1"/>
    </xf>
    <xf numFmtId="0" fontId="158" fillId="2" borderId="11" xfId="66" applyFont="1" applyFill="1" applyBorder="1" applyAlignment="1">
      <alignment horizontal="center" vertical="center"/>
    </xf>
    <xf numFmtId="0" fontId="158" fillId="2" borderId="9" xfId="66" applyFont="1" applyFill="1" applyBorder="1" applyAlignment="1">
      <alignment horizontal="center" vertical="center"/>
    </xf>
    <xf numFmtId="0" fontId="158" fillId="2" borderId="2" xfId="66" applyFont="1" applyFill="1" applyBorder="1" applyAlignment="1">
      <alignment horizontal="center" vertical="center"/>
    </xf>
    <xf numFmtId="0" fontId="23" fillId="16" borderId="5" xfId="69" applyFont="1" applyFill="1" applyBorder="1" applyAlignment="1">
      <alignment horizontal="center" wrapText="1" shrinkToFit="1"/>
    </xf>
    <xf numFmtId="0" fontId="23" fillId="16" borderId="19" xfId="69" applyFont="1" applyFill="1" applyBorder="1" applyAlignment="1">
      <alignment horizontal="center" wrapText="1" shrinkToFit="1"/>
    </xf>
    <xf numFmtId="0" fontId="23" fillId="16" borderId="4" xfId="69" applyFont="1" applyFill="1" applyBorder="1" applyAlignment="1">
      <alignment horizontal="center" wrapText="1" shrinkToFit="1"/>
    </xf>
    <xf numFmtId="39" fontId="23" fillId="0" borderId="14" xfId="70" applyFont="1" applyBorder="1" applyAlignment="1" applyProtection="1">
      <alignment horizontal="center" vertical="center"/>
    </xf>
    <xf numFmtId="39" fontId="23" fillId="0" borderId="13" xfId="70" applyFont="1" applyBorder="1" applyAlignment="1" applyProtection="1">
      <alignment horizontal="center" vertical="center"/>
    </xf>
    <xf numFmtId="39" fontId="23" fillId="0" borderId="10" xfId="70" applyFont="1" applyBorder="1" applyAlignment="1" applyProtection="1">
      <alignment horizontal="center" vertical="center"/>
    </xf>
    <xf numFmtId="39" fontId="23" fillId="0" borderId="7" xfId="70" applyFont="1" applyBorder="1" applyAlignment="1" applyProtection="1">
      <alignment horizontal="center" vertical="center"/>
    </xf>
    <xf numFmtId="39" fontId="23" fillId="0" borderId="12" xfId="70" applyFont="1" applyBorder="1" applyAlignment="1" applyProtection="1">
      <alignment horizontal="center" vertical="center"/>
    </xf>
    <xf numFmtId="39" fontId="23" fillId="0" borderId="8" xfId="70" applyFont="1" applyBorder="1" applyAlignment="1" applyProtection="1">
      <alignment horizontal="center" vertical="center"/>
    </xf>
    <xf numFmtId="39" fontId="23" fillId="0" borderId="0" xfId="67" applyFont="1" applyAlignment="1" applyProtection="1">
      <alignment horizontal="center"/>
    </xf>
    <xf numFmtId="39" fontId="9" fillId="0" borderId="0" xfId="67" applyFont="1" applyAlignment="1" applyProtection="1">
      <alignment horizontal="center"/>
    </xf>
    <xf numFmtId="0" fontId="23" fillId="9" borderId="5" xfId="23" applyFont="1" applyFill="1" applyBorder="1" applyAlignment="1">
      <alignment horizontal="center" wrapText="1" shrinkToFit="1"/>
    </xf>
    <xf numFmtId="0" fontId="23" fillId="9" borderId="19" xfId="23" applyFont="1" applyFill="1" applyBorder="1" applyAlignment="1">
      <alignment horizontal="center" wrapText="1" shrinkToFit="1"/>
    </xf>
    <xf numFmtId="0" fontId="23" fillId="9" borderId="4" xfId="23" applyFont="1" applyFill="1" applyBorder="1" applyAlignment="1">
      <alignment horizontal="center" wrapText="1" shrinkToFit="1"/>
    </xf>
    <xf numFmtId="0" fontId="23" fillId="9" borderId="5" xfId="50" applyFont="1" applyFill="1" applyBorder="1" applyAlignment="1">
      <alignment horizontal="center" wrapText="1" shrinkToFit="1"/>
    </xf>
    <xf numFmtId="0" fontId="23" fillId="9" borderId="19" xfId="50" applyFont="1" applyFill="1" applyBorder="1" applyAlignment="1">
      <alignment horizontal="center" wrapText="1" shrinkToFit="1"/>
    </xf>
    <xf numFmtId="0" fontId="23" fillId="9" borderId="4" xfId="50" applyFont="1" applyFill="1" applyBorder="1" applyAlignment="1">
      <alignment horizontal="center" wrapText="1" shrinkToFit="1"/>
    </xf>
    <xf numFmtId="39" fontId="23" fillId="9" borderId="10" xfId="71" applyFont="1" applyFill="1" applyBorder="1" applyAlignment="1" applyProtection="1">
      <alignment horizontal="left"/>
    </xf>
    <xf numFmtId="39" fontId="23" fillId="9" borderId="7" xfId="71" applyFont="1" applyFill="1" applyBorder="1" applyAlignment="1" applyProtection="1">
      <alignment horizontal="left"/>
    </xf>
    <xf numFmtId="39" fontId="23" fillId="9" borderId="18" xfId="43" applyFont="1" applyFill="1" applyBorder="1" applyAlignment="1" applyProtection="1">
      <alignment horizontal="center" vertical="center"/>
    </xf>
    <xf numFmtId="39" fontId="23" fillId="9" borderId="0" xfId="43" applyFont="1" applyFill="1" applyBorder="1" applyAlignment="1" applyProtection="1">
      <alignment horizontal="center" vertical="center"/>
    </xf>
    <xf numFmtId="39" fontId="23" fillId="9" borderId="6" xfId="43" applyFont="1" applyFill="1" applyBorder="1" applyAlignment="1" applyProtection="1">
      <alignment horizontal="center" vertical="center"/>
    </xf>
  </cellXfs>
  <cellStyles count="72">
    <cellStyle name="Comma" xfId="1" builtinId="3"/>
    <cellStyle name="Comma 2" xfId="3"/>
    <cellStyle name="Comma 2 2" xfId="29"/>
    <cellStyle name="Comma 3" xfId="47"/>
    <cellStyle name="Comma 4" xfId="49"/>
    <cellStyle name="Comma 5" xfId="53"/>
    <cellStyle name="Normal" xfId="0" builtinId="0"/>
    <cellStyle name="Normal 2" xfId="4"/>
    <cellStyle name="Normal 2 2" xfId="50"/>
    <cellStyle name="Normal 3" xfId="23"/>
    <cellStyle name="Normal 4" xfId="52"/>
    <cellStyle name="Normal 4 2" xfId="6"/>
    <cellStyle name="Normal 4 2 2" xfId="21"/>
    <cellStyle name="Normal 5" xfId="69"/>
    <cellStyle name="Normal 7" xfId="58"/>
    <cellStyle name="Normal 8" xfId="66"/>
    <cellStyle name="Normal_admin" xfId="9"/>
    <cellStyle name="Normal_admin 2" xfId="63"/>
    <cellStyle name="Normal_AGRI" xfId="20"/>
    <cellStyle name="Normal_AGRI 2" xfId="55"/>
    <cellStyle name="Normal_bfp" xfId="16"/>
    <cellStyle name="Normal_bfp 2" xfId="43"/>
    <cellStyle name="Normal_bfp 3" xfId="70"/>
    <cellStyle name="Normal_bjmp-paoo" xfId="22"/>
    <cellStyle name="Normal_bjmp-paoo 2" xfId="54"/>
    <cellStyle name="Normal_BUD1" xfId="2"/>
    <cellStyle name="Normal_BUD1 2" xfId="35"/>
    <cellStyle name="Normal_BUD1 3" xfId="67"/>
    <cellStyle name="Normal_cao" xfId="19"/>
    <cellStyle name="Normal_cao 2" xfId="26"/>
    <cellStyle name="Normal_CEM" xfId="32"/>
    <cellStyle name="Normal_CEM 2" xfId="62"/>
    <cellStyle name="Normal_CEO-PAOO (2)" xfId="25"/>
    <cellStyle name="Normal_CEO-PAOO (2) 2" xfId="51"/>
    <cellStyle name="Normal_CEOPP" xfId="61"/>
    <cellStyle name="Normal_CEORD" xfId="27"/>
    <cellStyle name="Normal_CHO" xfId="28"/>
    <cellStyle name="Normal_CHO 2" xfId="34"/>
    <cellStyle name="Normal_CHO 3" xfId="56"/>
    <cellStyle name="Normal_CMO" xfId="7"/>
    <cellStyle name="Normal_CMO 2" xfId="30"/>
    <cellStyle name="Normal_CMO 2 2" xfId="71"/>
    <cellStyle name="Normal_CMO 3" xfId="37"/>
    <cellStyle name="Normal_CPDCO" xfId="17"/>
    <cellStyle name="Normal_CPDCO 2" xfId="41"/>
    <cellStyle name="Normal_CTO" xfId="15"/>
    <cellStyle name="Normal_CTO 2" xfId="45"/>
    <cellStyle name="Normal_DSWD2" xfId="57"/>
    <cellStyle name="Normal_GSD" xfId="11"/>
    <cellStyle name="Normal_GSD 2" xfId="40"/>
    <cellStyle name="Normal_GSD 3" xfId="68"/>
    <cellStyle name="Normal_HOSP" xfId="64"/>
    <cellStyle name="Normal_HRMO" xfId="48"/>
    <cellStyle name="Normal_HRMO 2" xfId="59"/>
    <cellStyle name="Normal_LCR" xfId="13"/>
    <cellStyle name="Normal_LCR 2" xfId="46"/>
    <cellStyle name="Normal_LEGAL" xfId="18"/>
    <cellStyle name="Normal_LIB" xfId="10"/>
    <cellStyle name="Normal_LIB 2" xfId="38"/>
    <cellStyle name="Normal_MOOE" xfId="14"/>
    <cellStyle name="Normal_MOOE 2" xfId="44"/>
    <cellStyle name="Normal_MSD-plantilla" xfId="31"/>
    <cellStyle name="Normal_MSD-plantilla 2" xfId="65"/>
    <cellStyle name="Normal_OCA" xfId="8"/>
    <cellStyle name="Normal_Personnel Schedule" xfId="33"/>
    <cellStyle name="Normal_Personnel Schedule 2" xfId="39"/>
    <cellStyle name="Normal_rd" xfId="12"/>
    <cellStyle name="Normal_rd 2" xfId="42"/>
    <cellStyle name="Normal_SPLEG" xfId="5"/>
    <cellStyle name="Normal_SPLEG 2" xfId="36"/>
    <cellStyle name="Normal_SPSec" xfId="60"/>
    <cellStyle name="Percent 2" xfId="2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externalLink" Target="externalLinks/externalLink3.xml"/><Relationship Id="rId205" Type="http://schemas.openxmlformats.org/officeDocument/2006/relationships/externalLink" Target="externalLinks/externalLink17.xml"/><Relationship Id="rId226" Type="http://schemas.openxmlformats.org/officeDocument/2006/relationships/externalLink" Target="externalLinks/externalLink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externalLink" Target="externalLinks/externalLink28.xml"/><Relationship Id="rId237" Type="http://schemas.openxmlformats.org/officeDocument/2006/relationships/externalLink" Target="externalLinks/externalLink4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externalLink" Target="externalLinks/externalLink4.xml"/><Relationship Id="rId206" Type="http://schemas.openxmlformats.org/officeDocument/2006/relationships/externalLink" Target="externalLinks/externalLink18.xml"/><Relationship Id="rId227" Type="http://schemas.openxmlformats.org/officeDocument/2006/relationships/externalLink" Target="externalLinks/externalLink39.xml"/><Relationship Id="rId201" Type="http://schemas.openxmlformats.org/officeDocument/2006/relationships/externalLink" Target="externalLinks/externalLink13.xml"/><Relationship Id="rId222" Type="http://schemas.openxmlformats.org/officeDocument/2006/relationships/externalLink" Target="externalLinks/externalLink3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24.xml"/><Relationship Id="rId233" Type="http://schemas.openxmlformats.org/officeDocument/2006/relationships/externalLink" Target="externalLinks/externalLink45.xml"/><Relationship Id="rId238" Type="http://schemas.openxmlformats.org/officeDocument/2006/relationships/externalLink" Target="externalLinks/externalLink50.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10.xml"/><Relationship Id="rId172" Type="http://schemas.openxmlformats.org/officeDocument/2006/relationships/worksheet" Target="worksheets/sheet172.xml"/><Relationship Id="rId193" Type="http://schemas.openxmlformats.org/officeDocument/2006/relationships/externalLink" Target="externalLinks/externalLink5.xml"/><Relationship Id="rId202" Type="http://schemas.openxmlformats.org/officeDocument/2006/relationships/externalLink" Target="externalLinks/externalLink14.xml"/><Relationship Id="rId207" Type="http://schemas.openxmlformats.org/officeDocument/2006/relationships/externalLink" Target="externalLinks/externalLink19.xml"/><Relationship Id="rId223" Type="http://schemas.openxmlformats.org/officeDocument/2006/relationships/externalLink" Target="externalLinks/externalLink35.xml"/><Relationship Id="rId228" Type="http://schemas.openxmlformats.org/officeDocument/2006/relationships/externalLink" Target="externalLinks/externalLink4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externalLink" Target="externalLinks/externalLink25.xml"/><Relationship Id="rId218" Type="http://schemas.openxmlformats.org/officeDocument/2006/relationships/externalLink" Target="externalLinks/externalLink30.xml"/><Relationship Id="rId234" Type="http://schemas.openxmlformats.org/officeDocument/2006/relationships/externalLink" Target="externalLinks/externalLink46.xml"/><Relationship Id="rId239"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6.xml"/><Relationship Id="rId199" Type="http://schemas.openxmlformats.org/officeDocument/2006/relationships/externalLink" Target="externalLinks/externalLink11.xml"/><Relationship Id="rId203" Type="http://schemas.openxmlformats.org/officeDocument/2006/relationships/externalLink" Target="externalLinks/externalLink15.xml"/><Relationship Id="rId208" Type="http://schemas.openxmlformats.org/officeDocument/2006/relationships/externalLink" Target="externalLinks/externalLink20.xml"/><Relationship Id="rId229" Type="http://schemas.openxmlformats.org/officeDocument/2006/relationships/externalLink" Target="externalLinks/externalLink41.xml"/><Relationship Id="rId19" Type="http://schemas.openxmlformats.org/officeDocument/2006/relationships/worksheet" Target="worksheets/sheet19.xml"/><Relationship Id="rId224" Type="http://schemas.openxmlformats.org/officeDocument/2006/relationships/externalLink" Target="externalLinks/externalLink36.xml"/><Relationship Id="rId240" Type="http://schemas.openxmlformats.org/officeDocument/2006/relationships/styles" Target="styles.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externalLink" Target="externalLinks/externalLink1.xml"/><Relationship Id="rId219" Type="http://schemas.openxmlformats.org/officeDocument/2006/relationships/externalLink" Target="externalLinks/externalLink31.xml"/><Relationship Id="rId3" Type="http://schemas.openxmlformats.org/officeDocument/2006/relationships/worksheet" Target="worksheets/sheet3.xml"/><Relationship Id="rId214" Type="http://schemas.openxmlformats.org/officeDocument/2006/relationships/externalLink" Target="externalLinks/externalLink26.xml"/><Relationship Id="rId230" Type="http://schemas.openxmlformats.org/officeDocument/2006/relationships/externalLink" Target="externalLinks/externalLink42.xml"/><Relationship Id="rId235" Type="http://schemas.openxmlformats.org/officeDocument/2006/relationships/externalLink" Target="externalLinks/externalLink4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externalLink" Target="externalLinks/externalLink7.xml"/><Relationship Id="rId209" Type="http://schemas.openxmlformats.org/officeDocument/2006/relationships/externalLink" Target="externalLinks/externalLink21.xml"/><Relationship Id="rId190" Type="http://schemas.openxmlformats.org/officeDocument/2006/relationships/externalLink" Target="externalLinks/externalLink2.xml"/><Relationship Id="rId204" Type="http://schemas.openxmlformats.org/officeDocument/2006/relationships/externalLink" Target="externalLinks/externalLink16.xml"/><Relationship Id="rId220" Type="http://schemas.openxmlformats.org/officeDocument/2006/relationships/externalLink" Target="externalLinks/externalLink32.xml"/><Relationship Id="rId225" Type="http://schemas.openxmlformats.org/officeDocument/2006/relationships/externalLink" Target="externalLinks/externalLink37.xml"/><Relationship Id="rId241"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externalLink" Target="externalLinks/externalLink22.xml"/><Relationship Id="rId215" Type="http://schemas.openxmlformats.org/officeDocument/2006/relationships/externalLink" Target="externalLinks/externalLink27.xml"/><Relationship Id="rId236" Type="http://schemas.openxmlformats.org/officeDocument/2006/relationships/externalLink" Target="externalLinks/externalLink48.xml"/><Relationship Id="rId26" Type="http://schemas.openxmlformats.org/officeDocument/2006/relationships/worksheet" Target="worksheets/sheet26.xml"/><Relationship Id="rId231" Type="http://schemas.openxmlformats.org/officeDocument/2006/relationships/externalLink" Target="externalLinks/externalLink4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8.xml"/><Relationship Id="rId200" Type="http://schemas.openxmlformats.org/officeDocument/2006/relationships/externalLink" Target="externalLinks/externalLink12.xml"/><Relationship Id="rId16" Type="http://schemas.openxmlformats.org/officeDocument/2006/relationships/worksheet" Target="worksheets/sheet16.xml"/><Relationship Id="rId221" Type="http://schemas.openxmlformats.org/officeDocument/2006/relationships/externalLink" Target="externalLinks/externalLink33.xml"/><Relationship Id="rId242"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externalLink" Target="externalLinks/externalLink23.xml"/><Relationship Id="rId232" Type="http://schemas.openxmlformats.org/officeDocument/2006/relationships/externalLink" Target="externalLinks/externalLink4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589084</xdr:colOff>
      <xdr:row>4</xdr:row>
      <xdr:rowOff>113502</xdr:rowOff>
    </xdr:from>
    <xdr:to>
      <xdr:col>7</xdr:col>
      <xdr:colOff>532382</xdr:colOff>
      <xdr:row>22</xdr:row>
      <xdr:rowOff>114300</xdr:rowOff>
    </xdr:to>
    <xdr:pic>
      <xdr:nvPicPr>
        <xdr:cNvPr id="3" name="Picture 2"/>
        <xdr:cNvPicPr>
          <a:picLocks noChangeAspect="1"/>
        </xdr:cNvPicPr>
      </xdr:nvPicPr>
      <xdr:blipFill>
        <a:blip xmlns:r="http://schemas.openxmlformats.org/officeDocument/2006/relationships" r:embed="rId1"/>
        <a:stretch>
          <a:fillRect/>
        </a:stretch>
      </xdr:blipFill>
      <xdr:spPr>
        <a:xfrm>
          <a:off x="3027484" y="875502"/>
          <a:ext cx="1772098" cy="3429798"/>
        </a:xfrm>
        <a:prstGeom prst="rect">
          <a:avLst/>
        </a:prstGeom>
      </xdr:spPr>
    </xdr:pic>
    <xdr:clientData/>
  </xdr:twoCellAnchor>
  <xdr:twoCellAnchor>
    <xdr:from>
      <xdr:col>1</xdr:col>
      <xdr:colOff>155865</xdr:colOff>
      <xdr:row>2</xdr:row>
      <xdr:rowOff>138545</xdr:rowOff>
    </xdr:from>
    <xdr:to>
      <xdr:col>8</xdr:col>
      <xdr:colOff>457201</xdr:colOff>
      <xdr:row>44</xdr:row>
      <xdr:rowOff>0</xdr:rowOff>
    </xdr:to>
    <xdr:sp macro="" textlink="">
      <xdr:nvSpPr>
        <xdr:cNvPr id="4" name="TextBox 3"/>
        <xdr:cNvSpPr txBox="1"/>
      </xdr:nvSpPr>
      <xdr:spPr>
        <a:xfrm>
          <a:off x="765465" y="519545"/>
          <a:ext cx="4568536" cy="786245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Republic of the Philippines</a:t>
          </a:r>
        </a:p>
        <a:p>
          <a:r>
            <a:rPr lang="en-US" sz="900">
              <a:solidFill>
                <a:schemeClr val="dk1"/>
              </a:solidFill>
              <a:effectLst/>
              <a:latin typeface="+mn-lt"/>
              <a:ea typeface="+mn-ea"/>
              <a:cs typeface="+mn-cs"/>
            </a:rPr>
            <a:t>Negros Occidental</a:t>
          </a:r>
        </a:p>
        <a:p>
          <a:r>
            <a:rPr lang="en-US" sz="900" b="1">
              <a:solidFill>
                <a:schemeClr val="dk1"/>
              </a:solidFill>
              <a:effectLst/>
              <a:latin typeface="+mn-lt"/>
              <a:ea typeface="+mn-ea"/>
              <a:cs typeface="+mn-cs"/>
            </a:rPr>
            <a:t>CITY OF SAN CARLOS</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b="1">
              <a:solidFill>
                <a:schemeClr val="dk1"/>
              </a:solidFill>
              <a:effectLst/>
              <a:latin typeface="+mn-lt"/>
              <a:ea typeface="+mn-ea"/>
              <a:cs typeface="+mn-cs"/>
            </a:rPr>
            <a:t>OFFICE OF THE CITY MAYOR</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Budget Message</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October 13, 2021</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b="1">
              <a:solidFill>
                <a:schemeClr val="dk1"/>
              </a:solidFill>
              <a:effectLst/>
              <a:latin typeface="+mn-lt"/>
              <a:ea typeface="+mn-ea"/>
              <a:cs typeface="+mn-cs"/>
            </a:rPr>
            <a:t>THE SANGGUNIANG PANLUNGSOD</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San Carlos City, Negros Occidental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Thru</a:t>
          </a:r>
          <a:r>
            <a:rPr lang="en-US" sz="900" b="1">
              <a:solidFill>
                <a:schemeClr val="dk1"/>
              </a:solidFill>
              <a:effectLst/>
              <a:latin typeface="+mn-lt"/>
              <a:ea typeface="+mn-ea"/>
              <a:cs typeface="+mn-cs"/>
            </a:rPr>
            <a:t>:  HON.  CHRISTOPHER PAUL S. CARMONA</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City Vice – Mayor &amp; Presiding Officer</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b="1">
              <a:solidFill>
                <a:schemeClr val="dk1"/>
              </a:solidFill>
              <a:effectLst/>
              <a:latin typeface="+mn-lt"/>
              <a:ea typeface="+mn-ea"/>
              <a:cs typeface="+mn-cs"/>
            </a:rPr>
            <a:t>Gentlemen and Ladies:</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I have the honor to present for your scrutiny and approval the proposed </a:t>
          </a:r>
          <a:r>
            <a:rPr lang="en-US" sz="900" b="1">
              <a:solidFill>
                <a:schemeClr val="dk1"/>
              </a:solidFill>
              <a:effectLst/>
              <a:latin typeface="+mn-lt"/>
              <a:ea typeface="+mn-ea"/>
              <a:cs typeface="+mn-cs"/>
            </a:rPr>
            <a:t>Annual Budget for CY 2022</a:t>
          </a:r>
          <a:r>
            <a:rPr lang="en-US" sz="900">
              <a:solidFill>
                <a:schemeClr val="dk1"/>
              </a:solidFill>
              <a:effectLst/>
              <a:latin typeface="+mn-lt"/>
              <a:ea typeface="+mn-ea"/>
              <a:cs typeface="+mn-cs"/>
            </a:rPr>
            <a:t> of the City of San Carlos for both the General Fund and the operation of the Local Economic Enterprises pursuant to Section 318 of RA 7160.</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This executive budget is a result of a detailed deliberation with all concerned offices/departments and other stakeholders to make resource allocation and policy decisions more transparent, participative and democratic.  Thus, I can say that this budget distributes reasonably the limited resources of the city to the different sectors for the various programs, projects and activities needed for an efficient and effective delivery of the basic services.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This Annual Budget contains the programs, projects and activities of CY 2022 Annual Investment Program that ensures continuity and sustainability of developmental plans with careful preparation and coordination.</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b="1">
              <a:solidFill>
                <a:schemeClr val="dk1"/>
              </a:solidFill>
              <a:effectLst/>
              <a:latin typeface="+mn-lt"/>
              <a:ea typeface="+mn-ea"/>
              <a:cs typeface="+mn-cs"/>
            </a:rPr>
            <a:t>POLICY THRUSTS AND PRIORITIES FOR CY 2022</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Consistent with Section 305 (h) of RA 7160 or the Local Government Code and Master Development Plan, the city government shall focus its resources to the attainment of our general objectives, thrusts, policies which are aligned with the four main fronts of the President’s pandemic battle strategy, namely:</a:t>
          </a:r>
        </a:p>
        <a:p>
          <a:r>
            <a:rPr lang="en-US" sz="900">
              <a:solidFill>
                <a:schemeClr val="dk1"/>
              </a:solidFill>
              <a:effectLst/>
              <a:latin typeface="+mn-lt"/>
              <a:ea typeface="+mn-ea"/>
              <a:cs typeface="+mn-cs"/>
            </a:rPr>
            <a:t> </a:t>
          </a:r>
        </a:p>
        <a:p>
          <a:pPr lvl="0"/>
          <a:r>
            <a:rPr lang="en-US" sz="900">
              <a:solidFill>
                <a:schemeClr val="dk1"/>
              </a:solidFill>
              <a:effectLst/>
              <a:latin typeface="+mn-lt"/>
              <a:ea typeface="+mn-ea"/>
              <a:cs typeface="+mn-cs"/>
            </a:rPr>
            <a:t>Health and Nutrition – Strengthen our healthcare system and safeguard our people from widespread virus transmission</a:t>
          </a:r>
        </a:p>
        <a:p>
          <a:pPr lvl="0"/>
          <a:r>
            <a:rPr lang="en-US" sz="900">
              <a:solidFill>
                <a:schemeClr val="dk1"/>
              </a:solidFill>
              <a:effectLst/>
              <a:latin typeface="+mn-lt"/>
              <a:ea typeface="+mn-ea"/>
              <a:cs typeface="+mn-cs"/>
            </a:rPr>
            <a:t>Social Protection – Protecting Filipinos from economic risks and insecurities of life</a:t>
          </a:r>
        </a:p>
        <a:p>
          <a:pPr lvl="0"/>
          <a:r>
            <a:rPr lang="en-US" sz="900">
              <a:solidFill>
                <a:schemeClr val="dk1"/>
              </a:solidFill>
              <a:effectLst/>
              <a:latin typeface="+mn-lt"/>
              <a:ea typeface="+mn-ea"/>
              <a:cs typeface="+mn-cs"/>
            </a:rPr>
            <a:t>Good Governance –  Implementing interventions at the grassroots through LGUs</a:t>
          </a:r>
        </a:p>
        <a:p>
          <a:pPr lvl="0"/>
          <a:r>
            <a:rPr lang="en-US" sz="900">
              <a:solidFill>
                <a:schemeClr val="dk1"/>
              </a:solidFill>
              <a:effectLst/>
              <a:latin typeface="+mn-lt"/>
              <a:ea typeface="+mn-ea"/>
              <a:cs typeface="+mn-cs"/>
            </a:rPr>
            <a:t>Development – Pursuing infrastructure development to support economic recovery and revival</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Our policy thrusts for CY 2022 are focused on our city’s welfare.   We continue to provide for the basic needs and services requirements of the people of San Carlos City particularly in the areas of health, education, water, home lots, livelihood, sanitation and environment, infrastructure, sports development, disaster preparedness and others. </a:t>
          </a:r>
        </a:p>
        <a:p>
          <a:endParaRPr lang="en-US" sz="900"/>
        </a:p>
      </xdr:txBody>
    </xdr:sp>
    <xdr:clientData/>
  </xdr:twoCellAnchor>
  <xdr:twoCellAnchor>
    <xdr:from>
      <xdr:col>9</xdr:col>
      <xdr:colOff>114300</xdr:colOff>
      <xdr:row>2</xdr:row>
      <xdr:rowOff>114300</xdr:rowOff>
    </xdr:from>
    <xdr:to>
      <xdr:col>17</xdr:col>
      <xdr:colOff>152400</xdr:colOff>
      <xdr:row>45</xdr:row>
      <xdr:rowOff>0</xdr:rowOff>
    </xdr:to>
    <xdr:sp macro="" textlink="">
      <xdr:nvSpPr>
        <xdr:cNvPr id="5" name="TextBox 4"/>
        <xdr:cNvSpPr txBox="1"/>
      </xdr:nvSpPr>
      <xdr:spPr>
        <a:xfrm>
          <a:off x="5600700" y="495300"/>
          <a:ext cx="4914900" cy="807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We intend to improve hospital facilities, health services and further strengthen our healthcare system and protect our people from widespread virus transmission by providing a sizable amount for the improvement of the City Hospital and a number of programs for health services.   We persist to continue our sanitation and environmental protection, rehabilitation and restoration efforts so that our constituents will enjoy better facilities and a healthier environment.</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We exert more efforts to create employment and alternative livelihood opportunities among the poor and enhance agricultural productivity to promote food self-sufficiency.  We want our marginalized residents in the rural and urban areas to be the focus of our investments.</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b="1">
              <a:solidFill>
                <a:schemeClr val="dk1"/>
              </a:solidFill>
              <a:effectLst/>
              <a:latin typeface="+mn-lt"/>
              <a:ea typeface="+mn-ea"/>
              <a:cs typeface="+mn-cs"/>
            </a:rPr>
            <a:t>FISCAL TARGETS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For CY 2022, the Local Finance Committee is projecting that total resources will reach </a:t>
          </a:r>
          <a:r>
            <a:rPr lang="en-US" sz="900" b="1">
              <a:solidFill>
                <a:schemeClr val="dk1"/>
              </a:solidFill>
              <a:effectLst/>
              <a:latin typeface="+mn-lt"/>
              <a:ea typeface="+mn-ea"/>
              <a:cs typeface="+mn-cs"/>
            </a:rPr>
            <a:t>ONE BILLION SIX HUNDRED SEVENTEEN MILLION THIRTEEN THOUSAND TWO HUNDRED NINETY-NINE PESOS (</a:t>
          </a:r>
          <a:r>
            <a:rPr lang="en-US" sz="900" b="1" strike="sngStrike">
              <a:solidFill>
                <a:schemeClr val="dk1"/>
              </a:solidFill>
              <a:effectLst/>
              <a:latin typeface="+mn-lt"/>
              <a:ea typeface="+mn-ea"/>
              <a:cs typeface="+mn-cs"/>
            </a:rPr>
            <a:t>P</a:t>
          </a:r>
          <a:r>
            <a:rPr lang="en-US" sz="900" b="1">
              <a:solidFill>
                <a:schemeClr val="dk1"/>
              </a:solidFill>
              <a:effectLst/>
              <a:latin typeface="+mn-lt"/>
              <a:ea typeface="+mn-ea"/>
              <a:cs typeface="+mn-cs"/>
            </a:rPr>
            <a:t>1,617,013,299.00)</a:t>
          </a:r>
          <a:r>
            <a:rPr lang="en-US" sz="900">
              <a:solidFill>
                <a:schemeClr val="dk1"/>
              </a:solidFill>
              <a:effectLst/>
              <a:latin typeface="+mn-lt"/>
              <a:ea typeface="+mn-ea"/>
              <a:cs typeface="+mn-cs"/>
            </a:rPr>
            <a:t> which is 21.78% higher as compared to last year’s </a:t>
          </a:r>
          <a:r>
            <a:rPr lang="en-US" sz="900" b="1" strike="dblStrike">
              <a:solidFill>
                <a:schemeClr val="dk1"/>
              </a:solidFill>
              <a:effectLst/>
              <a:latin typeface="+mn-lt"/>
              <a:ea typeface="+mn-ea"/>
              <a:cs typeface="+mn-cs"/>
            </a:rPr>
            <a:t>P</a:t>
          </a:r>
          <a:r>
            <a:rPr lang="en-US" sz="900" b="1">
              <a:solidFill>
                <a:schemeClr val="dk1"/>
              </a:solidFill>
              <a:effectLst/>
              <a:latin typeface="+mn-lt"/>
              <a:ea typeface="+mn-ea"/>
              <a:cs typeface="+mn-cs"/>
            </a:rPr>
            <a:t>1,327,773,708.00 </a:t>
          </a:r>
          <a:r>
            <a:rPr lang="en-US" sz="900">
              <a:solidFill>
                <a:schemeClr val="dk1"/>
              </a:solidFill>
              <a:effectLst/>
              <a:latin typeface="+mn-lt"/>
              <a:ea typeface="+mn-ea"/>
              <a:cs typeface="+mn-cs"/>
            </a:rPr>
            <a:t>approved budget</a:t>
          </a:r>
          <a:r>
            <a:rPr lang="en-US" sz="900" b="1">
              <a:solidFill>
                <a:schemeClr val="dk1"/>
              </a:solidFill>
              <a:effectLst/>
              <a:latin typeface="+mn-lt"/>
              <a:ea typeface="+mn-ea"/>
              <a:cs typeface="+mn-cs"/>
            </a:rPr>
            <a:t>.  </a:t>
          </a:r>
          <a:r>
            <a:rPr lang="en-US" sz="900">
              <a:solidFill>
                <a:schemeClr val="dk1"/>
              </a:solidFill>
              <a:effectLst/>
              <a:latin typeface="+mn-lt"/>
              <a:ea typeface="+mn-ea"/>
              <a:cs typeface="+mn-cs"/>
            </a:rPr>
            <a:t>Per Local Budget</a:t>
          </a:r>
          <a:r>
            <a:rPr lang="en-US" sz="900" b="1">
              <a:solidFill>
                <a:schemeClr val="dk1"/>
              </a:solidFill>
              <a:effectLst/>
              <a:latin typeface="+mn-lt"/>
              <a:ea typeface="+mn-ea"/>
              <a:cs typeface="+mn-cs"/>
            </a:rPr>
            <a:t> </a:t>
          </a:r>
          <a:r>
            <a:rPr lang="en-US" sz="900">
              <a:solidFill>
                <a:schemeClr val="dk1"/>
              </a:solidFill>
              <a:effectLst/>
              <a:latin typeface="+mn-lt"/>
              <a:ea typeface="+mn-ea"/>
              <a:cs typeface="+mn-cs"/>
            </a:rPr>
            <a:t>Memorandum (LBM) No. 82-A dated August 19, 2021, our National Tax Allotment (NTA), formerly IRA, is </a:t>
          </a:r>
          <a:r>
            <a:rPr lang="en-US" sz="900" b="1" strike="dblStrike">
              <a:solidFill>
                <a:schemeClr val="dk1"/>
              </a:solidFill>
              <a:effectLst/>
              <a:latin typeface="+mn-lt"/>
              <a:ea typeface="+mn-ea"/>
              <a:cs typeface="+mn-cs"/>
            </a:rPr>
            <a:t>P</a:t>
          </a:r>
          <a:r>
            <a:rPr lang="en-US" sz="900" b="1">
              <a:solidFill>
                <a:schemeClr val="dk1"/>
              </a:solidFill>
              <a:effectLst/>
              <a:latin typeface="+mn-lt"/>
              <a:ea typeface="+mn-ea"/>
              <a:cs typeface="+mn-cs"/>
            </a:rPr>
            <a:t>1,340,392,478.00 </a:t>
          </a:r>
          <a:r>
            <a:rPr lang="en-US" sz="900" i="1">
              <a:solidFill>
                <a:schemeClr val="dk1"/>
              </a:solidFill>
              <a:effectLst/>
              <a:latin typeface="+mn-lt"/>
              <a:ea typeface="+mn-ea"/>
              <a:cs typeface="+mn-cs"/>
            </a:rPr>
            <a:t>(Exhibit 1)</a:t>
          </a:r>
          <a:r>
            <a:rPr lang="en-US" sz="900" b="1">
              <a:solidFill>
                <a:schemeClr val="dk1"/>
              </a:solidFill>
              <a:effectLst/>
              <a:latin typeface="+mn-lt"/>
              <a:ea typeface="+mn-ea"/>
              <a:cs typeface="+mn-cs"/>
            </a:rPr>
            <a:t>.  </a:t>
          </a:r>
          <a:r>
            <a:rPr lang="en-US" sz="900">
              <a:solidFill>
                <a:schemeClr val="dk1"/>
              </a:solidFill>
              <a:effectLst/>
              <a:latin typeface="+mn-lt"/>
              <a:ea typeface="+mn-ea"/>
              <a:cs typeface="+mn-cs"/>
            </a:rPr>
            <a:t>However, only </a:t>
          </a:r>
          <a:r>
            <a:rPr lang="en-US" sz="900" b="1" strike="dblStrike">
              <a:solidFill>
                <a:schemeClr val="dk1"/>
              </a:solidFill>
              <a:effectLst/>
              <a:latin typeface="+mn-lt"/>
              <a:ea typeface="+mn-ea"/>
              <a:cs typeface="+mn-cs"/>
            </a:rPr>
            <a:t>P</a:t>
          </a:r>
          <a:r>
            <a:rPr lang="en-US" sz="900" b="1">
              <a:solidFill>
                <a:schemeClr val="dk1"/>
              </a:solidFill>
              <a:effectLst/>
              <a:latin typeface="+mn-lt"/>
              <a:ea typeface="+mn-ea"/>
              <a:cs typeface="+mn-cs"/>
            </a:rPr>
            <a:t>1,308,621,248.00</a:t>
          </a:r>
          <a:r>
            <a:rPr lang="en-US" sz="900">
              <a:solidFill>
                <a:schemeClr val="dk1"/>
              </a:solidFill>
              <a:effectLst/>
              <a:latin typeface="+mn-lt"/>
              <a:ea typeface="+mn-ea"/>
              <a:cs typeface="+mn-cs"/>
            </a:rPr>
            <a:t> is appropriated in the annual budget.  A fraction is reserved for the still undetermined programs, projects and activities of the devolved functions from the National Government Agencies and other necessary expenditures that may arise.</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i="1">
              <a:solidFill>
                <a:schemeClr val="dk1"/>
              </a:solidFill>
              <a:effectLst/>
              <a:latin typeface="+mn-lt"/>
              <a:ea typeface="+mn-ea"/>
              <a:cs typeface="+mn-cs"/>
            </a:rPr>
            <a:t>Exhibit 1</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COMPARATIVE IRA SHARES</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(2013 – 2022)</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endParaRPr lang="en-US" sz="900">
            <a:solidFill>
              <a:schemeClr val="dk1"/>
            </a:solidFill>
            <a:effectLst/>
            <a:latin typeface="+mn-lt"/>
            <a:ea typeface="+mn-ea"/>
            <a:cs typeface="+mn-cs"/>
          </a:endParaRPr>
        </a:p>
        <a:p>
          <a:endParaRPr lang="en-US" sz="900">
            <a:solidFill>
              <a:schemeClr val="dk1"/>
            </a:solidFill>
            <a:effectLst/>
            <a:latin typeface="+mn-lt"/>
            <a:ea typeface="+mn-ea"/>
            <a:cs typeface="+mn-cs"/>
          </a:endParaRPr>
        </a:p>
        <a:p>
          <a:endParaRPr lang="en-US" sz="900">
            <a:solidFill>
              <a:schemeClr val="dk1"/>
            </a:solidFill>
            <a:effectLst/>
            <a:latin typeface="+mn-lt"/>
            <a:ea typeface="+mn-ea"/>
            <a:cs typeface="+mn-cs"/>
          </a:endParaRPr>
        </a:p>
        <a:p>
          <a:endParaRPr lang="en-US" sz="900">
            <a:solidFill>
              <a:schemeClr val="dk1"/>
            </a:solidFill>
            <a:effectLst/>
            <a:latin typeface="+mn-lt"/>
            <a:ea typeface="+mn-ea"/>
            <a:cs typeface="+mn-cs"/>
          </a:endParaRPr>
        </a:p>
        <a:p>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Of the total budget for CY 2022, the NTA is still our highest source of revenue comprising 80.93%  and the remaining THREE HUNDRED EIGHT MILLION THREE HUNDRED NINETY-TWO THOUSAND FIFTY-ONE PESOS </a:t>
          </a:r>
          <a:r>
            <a:rPr lang="en-US" sz="900" b="1">
              <a:solidFill>
                <a:schemeClr val="dk1"/>
              </a:solidFill>
              <a:effectLst/>
              <a:latin typeface="+mn-lt"/>
              <a:ea typeface="+mn-ea"/>
              <a:cs typeface="+mn-cs"/>
            </a:rPr>
            <a:t>(</a:t>
          </a:r>
          <a:r>
            <a:rPr lang="en-US" sz="900" b="1" strike="dblStrike">
              <a:solidFill>
                <a:schemeClr val="dk1"/>
              </a:solidFill>
              <a:effectLst/>
              <a:latin typeface="+mn-lt"/>
              <a:ea typeface="+mn-ea"/>
              <a:cs typeface="+mn-cs"/>
            </a:rPr>
            <a:t>P</a:t>
          </a:r>
          <a:r>
            <a:rPr lang="en-US" sz="900" b="1">
              <a:solidFill>
                <a:schemeClr val="dk1"/>
              </a:solidFill>
              <a:effectLst/>
              <a:latin typeface="+mn-lt"/>
              <a:ea typeface="+mn-ea"/>
              <a:cs typeface="+mn-cs"/>
            </a:rPr>
            <a:t>308,392,051.00</a:t>
          </a:r>
          <a:r>
            <a:rPr lang="en-US" sz="900">
              <a:solidFill>
                <a:schemeClr val="dk1"/>
              </a:solidFill>
              <a:effectLst/>
              <a:latin typeface="+mn-lt"/>
              <a:ea typeface="+mn-ea"/>
              <a:cs typeface="+mn-cs"/>
            </a:rPr>
            <a:t>) comes from various Local Sources </a:t>
          </a:r>
          <a:r>
            <a:rPr lang="en-US" sz="900" i="1">
              <a:solidFill>
                <a:schemeClr val="dk1"/>
              </a:solidFill>
              <a:effectLst/>
              <a:latin typeface="+mn-lt"/>
              <a:ea typeface="+mn-ea"/>
              <a:cs typeface="+mn-cs"/>
            </a:rPr>
            <a:t>(Exhibit 2)</a:t>
          </a:r>
          <a:r>
            <a:rPr lang="en-US" sz="900">
              <a:solidFill>
                <a:schemeClr val="dk1"/>
              </a:solidFill>
              <a:effectLst/>
              <a:latin typeface="+mn-lt"/>
              <a:ea typeface="+mn-ea"/>
              <a:cs typeface="+mn-cs"/>
            </a:rPr>
            <a:t> . Our income projections show slight increase/decrease from the total estimated income derived from the collection of Tax Revenues, Receipts from Economic Enterprises and National Tax Allotment as the major sources.</a:t>
          </a:r>
        </a:p>
        <a:p>
          <a:r>
            <a:rPr lang="en-US" sz="900" i="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i="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DISTRIBUTION BY TYPE OF REVENUE</a:t>
          </a:r>
          <a:r>
            <a:rPr lang="en-US" sz="900">
              <a:solidFill>
                <a:schemeClr val="dk1"/>
              </a:solidFill>
              <a:effectLst/>
              <a:latin typeface="+mn-lt"/>
              <a:ea typeface="+mn-ea"/>
              <a:cs typeface="+mn-cs"/>
            </a:rPr>
            <a:t> </a:t>
          </a:r>
        </a:p>
        <a:p>
          <a:r>
            <a:rPr lang="en-US" sz="900" i="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Our revenue centers play an important role in revenue collection. Their efficient collection efforts will pave the way for more services to be provided to the people of San Carlos. Successful collection of the </a:t>
          </a:r>
          <a:endParaRPr lang="en-US" sz="900"/>
        </a:p>
      </xdr:txBody>
    </xdr:sp>
    <xdr:clientData/>
  </xdr:twoCellAnchor>
  <xdr:twoCellAnchor editAs="oneCell">
    <xdr:from>
      <xdr:col>10</xdr:col>
      <xdr:colOff>412173</xdr:colOff>
      <xdr:row>23</xdr:row>
      <xdr:rowOff>170996</xdr:rowOff>
    </xdr:from>
    <xdr:to>
      <xdr:col>15</xdr:col>
      <xdr:colOff>76200</xdr:colOff>
      <xdr:row>31</xdr:row>
      <xdr:rowOff>10603</xdr:rowOff>
    </xdr:to>
    <xdr:pic>
      <xdr:nvPicPr>
        <xdr:cNvPr id="7" name="Picture 6"/>
        <xdr:cNvPicPr>
          <a:picLocks noChangeAspect="1"/>
        </xdr:cNvPicPr>
      </xdr:nvPicPr>
      <xdr:blipFill>
        <a:blip xmlns:r="http://schemas.openxmlformats.org/officeDocument/2006/relationships" r:embed="rId2"/>
        <a:stretch>
          <a:fillRect/>
        </a:stretch>
      </xdr:blipFill>
      <xdr:spPr>
        <a:xfrm>
          <a:off x="6508173" y="4552496"/>
          <a:ext cx="2712027" cy="1363607"/>
        </a:xfrm>
        <a:prstGeom prst="rect">
          <a:avLst/>
        </a:prstGeom>
      </xdr:spPr>
    </xdr:pic>
    <xdr:clientData/>
  </xdr:twoCellAnchor>
  <xdr:twoCellAnchor>
    <xdr:from>
      <xdr:col>18</xdr:col>
      <xdr:colOff>135083</xdr:colOff>
      <xdr:row>1</xdr:row>
      <xdr:rowOff>27709</xdr:rowOff>
    </xdr:from>
    <xdr:to>
      <xdr:col>26</xdr:col>
      <xdr:colOff>228601</xdr:colOff>
      <xdr:row>44</xdr:row>
      <xdr:rowOff>38100</xdr:rowOff>
    </xdr:to>
    <xdr:sp macro="" textlink="">
      <xdr:nvSpPr>
        <xdr:cNvPr id="21" name="TextBox 20"/>
        <xdr:cNvSpPr txBox="1"/>
      </xdr:nvSpPr>
      <xdr:spPr>
        <a:xfrm>
          <a:off x="11107883" y="218209"/>
          <a:ext cx="4970318" cy="8201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projected revenues is vital to support and implement our budget.  This will ensure that the programs and projects are sufficiently funded.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i="1">
              <a:solidFill>
                <a:schemeClr val="dk1"/>
              </a:solidFill>
              <a:effectLst/>
              <a:latin typeface="+mn-lt"/>
              <a:ea typeface="+mn-ea"/>
              <a:cs typeface="+mn-cs"/>
            </a:rPr>
            <a:t>Exhibit 2</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DISTRIBUTION BY TYPE OF REVENUE</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i="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i="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i="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i="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i="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i="1">
              <a:solidFill>
                <a:schemeClr val="dk1"/>
              </a:solidFill>
              <a:effectLst/>
              <a:latin typeface="+mn-lt"/>
              <a:ea typeface="+mn-ea"/>
              <a:cs typeface="+mn-cs"/>
            </a:rPr>
            <a:t>Exhibit 3</a:t>
          </a:r>
          <a:r>
            <a:rPr lang="en-US" sz="900">
              <a:solidFill>
                <a:schemeClr val="dk1"/>
              </a:solidFill>
              <a:effectLst/>
              <a:latin typeface="+mn-lt"/>
              <a:ea typeface="+mn-ea"/>
              <a:cs typeface="+mn-cs"/>
            </a:rPr>
            <a:t> shows the different sources of estimated income of the city.</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In spite of the significant setback caused by the pandemic on our tax base and tax collections, we will exert more efforts to strengthen our local economy and make sure that funds are available for expenditures that are significantly needed, especially to combat the effects of COVID-19, help those </a:t>
          </a:r>
          <a:endParaRPr lang="en-US" sz="900"/>
        </a:p>
      </xdr:txBody>
    </xdr:sp>
    <xdr:clientData/>
  </xdr:twoCellAnchor>
  <xdr:twoCellAnchor>
    <xdr:from>
      <xdr:col>2</xdr:col>
      <xdr:colOff>533400</xdr:colOff>
      <xdr:row>68</xdr:row>
      <xdr:rowOff>47625</xdr:rowOff>
    </xdr:from>
    <xdr:to>
      <xdr:col>6</xdr:col>
      <xdr:colOff>304800</xdr:colOff>
      <xdr:row>70</xdr:row>
      <xdr:rowOff>123825</xdr:rowOff>
    </xdr:to>
    <xdr:sp macro="" textlink="">
      <xdr:nvSpPr>
        <xdr:cNvPr id="2069" name="Text Box 2"/>
        <xdr:cNvSpPr txBox="1">
          <a:spLocks noChangeArrowheads="1"/>
        </xdr:cNvSpPr>
      </xdr:nvSpPr>
      <xdr:spPr bwMode="auto">
        <a:xfrm>
          <a:off x="1752600" y="16621125"/>
          <a:ext cx="22098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000" b="0" i="1" u="none" strike="noStrike" baseline="0">
              <a:solidFill>
                <a:srgbClr val="000000"/>
              </a:solidFill>
              <a:latin typeface="Calibri"/>
              <a:cs typeface="Calibri"/>
            </a:rPr>
            <a:t>Exhibit 2</a:t>
          </a:r>
          <a:endParaRPr lang="en-US" sz="1100" b="0" i="0" u="none" strike="noStrike" baseline="0">
            <a:solidFill>
              <a:srgbClr val="000000"/>
            </a:solidFill>
            <a:latin typeface="Calibri"/>
            <a:cs typeface="Calibri"/>
          </a:endParaRPr>
        </a:p>
        <a:p>
          <a:pPr algn="l" rtl="0">
            <a:defRPr sz="1000"/>
          </a:pPr>
          <a:r>
            <a:rPr lang="en-US" sz="1000" b="1" i="0" u="none" strike="noStrike" baseline="0">
              <a:solidFill>
                <a:srgbClr val="000000"/>
              </a:solidFill>
              <a:latin typeface="Calibri"/>
              <a:cs typeface="Calibri"/>
            </a:rPr>
            <a:t>DISTRIBUTION BY TYPE OF REVENUE</a:t>
          </a:r>
          <a:endParaRPr lang="en-US" sz="1100" b="0" i="0" u="none" strike="noStrike" baseline="0">
            <a:solidFill>
              <a:srgbClr val="000000"/>
            </a:solidFill>
            <a:latin typeface="Calibri"/>
            <a:cs typeface="Calibri"/>
          </a:endParaRPr>
        </a:p>
        <a:p>
          <a:pPr algn="l" rtl="0">
            <a:defRPr sz="1000"/>
          </a:pPr>
          <a:r>
            <a:rPr lang="en-US" sz="1000" b="1" i="0" u="none" strike="noStrike" baseline="0">
              <a:solidFill>
                <a:srgbClr val="000000"/>
              </a:solidFill>
              <a:latin typeface="Calibri"/>
              <a:cs typeface="Calibri"/>
            </a:rPr>
            <a:t> </a:t>
          </a:r>
          <a:endParaRPr lang="en-US" sz="1100" b="0" i="0" u="none" strike="noStrike" baseline="0">
            <a:solidFill>
              <a:srgbClr val="000000"/>
            </a:solidFill>
            <a:latin typeface="Calibri"/>
            <a:cs typeface="Calibri"/>
          </a:endParaRPr>
        </a:p>
        <a:p>
          <a:pPr algn="l" rtl="0">
            <a:defRPr sz="1000"/>
          </a:pPr>
          <a:r>
            <a:rPr lang="en-US" sz="1000" b="0" i="0" u="none" strike="noStrike" baseline="0">
              <a:solidFill>
                <a:srgbClr val="000000"/>
              </a:solidFill>
              <a:latin typeface="Calibri"/>
              <a:cs typeface="Calibri"/>
            </a:rPr>
            <a:t> </a:t>
          </a:r>
        </a:p>
      </xdr:txBody>
    </xdr:sp>
    <xdr:clientData/>
  </xdr:twoCellAnchor>
  <xdr:twoCellAnchor>
    <xdr:from>
      <xdr:col>1</xdr:col>
      <xdr:colOff>114300</xdr:colOff>
      <xdr:row>50</xdr:row>
      <xdr:rowOff>66675</xdr:rowOff>
    </xdr:from>
    <xdr:to>
      <xdr:col>8</xdr:col>
      <xdr:colOff>180975</xdr:colOff>
      <xdr:row>64</xdr:row>
      <xdr:rowOff>133350</xdr:rowOff>
    </xdr:to>
    <xdr:pic>
      <xdr:nvPicPr>
        <xdr:cNvPr id="29"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82" r="14008"/>
        <a:stretch>
          <a:fillRect/>
        </a:stretch>
      </xdr:blipFill>
      <xdr:spPr bwMode="auto">
        <a:xfrm>
          <a:off x="723900" y="13211175"/>
          <a:ext cx="4333875" cy="273367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457201</xdr:colOff>
      <xdr:row>74</xdr:row>
      <xdr:rowOff>66675</xdr:rowOff>
    </xdr:from>
    <xdr:to>
      <xdr:col>7</xdr:col>
      <xdr:colOff>266701</xdr:colOff>
      <xdr:row>88</xdr:row>
      <xdr:rowOff>122407</xdr:rowOff>
    </xdr:to>
    <xdr:pic>
      <xdr:nvPicPr>
        <xdr:cNvPr id="30" name="Picture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7201" y="14163675"/>
          <a:ext cx="4076700" cy="2722732"/>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550719</xdr:colOff>
      <xdr:row>5</xdr:row>
      <xdr:rowOff>69274</xdr:rowOff>
    </xdr:from>
    <xdr:to>
      <xdr:col>23</xdr:col>
      <xdr:colOff>419100</xdr:colOff>
      <xdr:row>14</xdr:row>
      <xdr:rowOff>190246</xdr:rowOff>
    </xdr:to>
    <xdr:pic>
      <xdr:nvPicPr>
        <xdr:cNvPr id="24" name="Picture 23"/>
        <xdr:cNvPicPr>
          <a:picLocks noChangeAspect="1"/>
        </xdr:cNvPicPr>
      </xdr:nvPicPr>
      <xdr:blipFill>
        <a:blip xmlns:r="http://schemas.openxmlformats.org/officeDocument/2006/relationships" r:embed="rId5"/>
        <a:stretch>
          <a:fillRect/>
        </a:stretch>
      </xdr:blipFill>
      <xdr:spPr>
        <a:xfrm>
          <a:off x="11523519" y="1021774"/>
          <a:ext cx="2916381" cy="1835472"/>
        </a:xfrm>
        <a:prstGeom prst="rect">
          <a:avLst/>
        </a:prstGeom>
      </xdr:spPr>
    </xdr:pic>
    <xdr:clientData/>
  </xdr:twoCellAnchor>
  <xdr:twoCellAnchor editAs="oneCell">
    <xdr:from>
      <xdr:col>18</xdr:col>
      <xdr:colOff>412174</xdr:colOff>
      <xdr:row>27</xdr:row>
      <xdr:rowOff>0</xdr:rowOff>
    </xdr:from>
    <xdr:to>
      <xdr:col>25</xdr:col>
      <xdr:colOff>351931</xdr:colOff>
      <xdr:row>41</xdr:row>
      <xdr:rowOff>129429</xdr:rowOff>
    </xdr:to>
    <xdr:pic>
      <xdr:nvPicPr>
        <xdr:cNvPr id="25" name="Picture 24"/>
        <xdr:cNvPicPr>
          <a:picLocks noChangeAspect="1"/>
        </xdr:cNvPicPr>
      </xdr:nvPicPr>
      <xdr:blipFill>
        <a:blip xmlns:r="http://schemas.openxmlformats.org/officeDocument/2006/relationships" r:embed="rId6"/>
        <a:stretch>
          <a:fillRect/>
        </a:stretch>
      </xdr:blipFill>
      <xdr:spPr>
        <a:xfrm>
          <a:off x="11384974" y="5143500"/>
          <a:ext cx="4206957" cy="2796429"/>
        </a:xfrm>
        <a:prstGeom prst="rect">
          <a:avLst/>
        </a:prstGeom>
      </xdr:spPr>
    </xdr:pic>
    <xdr:clientData/>
  </xdr:twoCellAnchor>
  <xdr:twoCellAnchor>
    <xdr:from>
      <xdr:col>27</xdr:col>
      <xdr:colOff>235527</xdr:colOff>
      <xdr:row>1</xdr:row>
      <xdr:rowOff>55418</xdr:rowOff>
    </xdr:from>
    <xdr:to>
      <xdr:col>35</xdr:col>
      <xdr:colOff>342900</xdr:colOff>
      <xdr:row>45</xdr:row>
      <xdr:rowOff>0</xdr:rowOff>
    </xdr:to>
    <xdr:sp macro="" textlink="">
      <xdr:nvSpPr>
        <xdr:cNvPr id="26" name="TextBox 25"/>
        <xdr:cNvSpPr txBox="1"/>
      </xdr:nvSpPr>
      <xdr:spPr>
        <a:xfrm>
          <a:off x="16694727" y="245918"/>
          <a:ext cx="4984173" cy="8326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who have been most affected by this pandemic and continue to fund infrastructure projects and other relevant programs, projects and activities of the city.</a:t>
          </a: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ALLOCATION OF FUNDS BY SECTOR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The total Annual Budget for CY 2022 is outlined by the following Sectoral Allocations as shown in Exhibit 4 and Exhibit 5 below: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i="1">
              <a:solidFill>
                <a:schemeClr val="dk1"/>
              </a:solidFill>
              <a:effectLst/>
              <a:latin typeface="+mn-lt"/>
              <a:ea typeface="+mn-ea"/>
              <a:cs typeface="+mn-cs"/>
            </a:rPr>
            <a:t>Exhibit 4                                                                      Exhibit 5</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i="1">
              <a:solidFill>
                <a:schemeClr val="dk1"/>
              </a:solidFill>
              <a:effectLst/>
              <a:latin typeface="+mn-lt"/>
              <a:ea typeface="+mn-ea"/>
              <a:cs typeface="+mn-cs"/>
            </a:rPr>
            <a:t>Exhibit 4</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effectLst/>
            </a:rPr>
            <a:t>The total amount appropriated for the proposed expenditures of the General Fund and Special Accounts as found in CY 2022 Annual Budget has not exceeded total estimated income.  In the proposed appropriation of such amount, allocation has been first made for the provision of the basic services and facilities enumerated in Section 17(b) of the Code before applying the same for other purposes.  </a:t>
          </a:r>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b="1">
              <a:solidFill>
                <a:schemeClr val="dk1"/>
              </a:solidFill>
              <a:effectLst/>
              <a:latin typeface="+mn-lt"/>
              <a:ea typeface="+mn-ea"/>
              <a:cs typeface="+mn-cs"/>
            </a:rPr>
            <a:t>GENERAL PUBLIC SERVICES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The General Public Services allocates the amount of </a:t>
          </a:r>
          <a:r>
            <a:rPr lang="en-US" sz="900" b="1" strike="dblStrike">
              <a:solidFill>
                <a:schemeClr val="dk1"/>
              </a:solidFill>
              <a:effectLst/>
              <a:latin typeface="+mn-lt"/>
              <a:ea typeface="+mn-ea"/>
              <a:cs typeface="+mn-cs"/>
            </a:rPr>
            <a:t>P</a:t>
          </a:r>
          <a:r>
            <a:rPr lang="en-US" sz="900" b="1">
              <a:solidFill>
                <a:schemeClr val="dk1"/>
              </a:solidFill>
              <a:effectLst/>
              <a:latin typeface="+mn-lt"/>
              <a:ea typeface="+mn-ea"/>
              <a:cs typeface="+mn-cs"/>
            </a:rPr>
            <a:t>501,056,672.03 </a:t>
          </a:r>
          <a:r>
            <a:rPr lang="en-US" sz="900">
              <a:solidFill>
                <a:schemeClr val="dk1"/>
              </a:solidFill>
              <a:effectLst/>
              <a:latin typeface="+mn-lt"/>
              <a:ea typeface="+mn-ea"/>
              <a:cs typeface="+mn-cs"/>
            </a:rPr>
            <a:t>that represents </a:t>
          </a:r>
          <a:r>
            <a:rPr lang="en-US" sz="900" b="1">
              <a:solidFill>
                <a:schemeClr val="dk1"/>
              </a:solidFill>
              <a:effectLst/>
              <a:latin typeface="+mn-lt"/>
              <a:ea typeface="+mn-ea"/>
              <a:cs typeface="+mn-cs"/>
            </a:rPr>
            <a:t>35.52% </a:t>
          </a:r>
          <a:r>
            <a:rPr lang="en-US" sz="900">
              <a:solidFill>
                <a:schemeClr val="dk1"/>
              </a:solidFill>
              <a:effectLst/>
              <a:latin typeface="+mn-lt"/>
              <a:ea typeface="+mn-ea"/>
              <a:cs typeface="+mn-cs"/>
            </a:rPr>
            <a:t>of the total annual general fund budget intended for expenditures which are mandatory for the existence of the local government unit, its respective departments, divisions and sections. This sector also provides frontline services to the transacting public with regard to public documents. In relation thereto, this sector includes all executive, legislative and judiciary services, planning and general research and all other overall fiscal services. This also includes police, fire protection and maintenance of government facilities.</a:t>
          </a: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SOCIAL SERVICES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The Social Services gets the highest share in our budget amounting to </a:t>
          </a:r>
          <a:r>
            <a:rPr lang="en-US" sz="900" b="1" strike="dblStrike">
              <a:solidFill>
                <a:schemeClr val="dk1"/>
              </a:solidFill>
              <a:effectLst/>
              <a:latin typeface="+mn-lt"/>
              <a:ea typeface="+mn-ea"/>
              <a:cs typeface="+mn-cs"/>
            </a:rPr>
            <a:t>P</a:t>
          </a:r>
          <a:r>
            <a:rPr lang="en-US" sz="900" b="1">
              <a:solidFill>
                <a:schemeClr val="dk1"/>
              </a:solidFill>
              <a:effectLst/>
              <a:latin typeface="+mn-lt"/>
              <a:ea typeface="+mn-ea"/>
              <a:cs typeface="+mn-cs"/>
            </a:rPr>
            <a:t> 528,711,881.97</a:t>
          </a:r>
          <a:r>
            <a:rPr lang="en-US" sz="900">
              <a:solidFill>
                <a:schemeClr val="dk1"/>
              </a:solidFill>
              <a:effectLst/>
              <a:latin typeface="+mn-lt"/>
              <a:ea typeface="+mn-ea"/>
              <a:cs typeface="+mn-cs"/>
            </a:rPr>
            <a:t> or </a:t>
          </a:r>
          <a:r>
            <a:rPr lang="en-US" sz="900" b="1">
              <a:solidFill>
                <a:schemeClr val="dk1"/>
              </a:solidFill>
              <a:effectLst/>
              <a:latin typeface="+mn-lt"/>
              <a:ea typeface="+mn-ea"/>
              <a:cs typeface="+mn-cs"/>
            </a:rPr>
            <a:t>37.48%</a:t>
          </a:r>
          <a:r>
            <a:rPr lang="en-US" sz="900">
              <a:solidFill>
                <a:schemeClr val="dk1"/>
              </a:solidFill>
              <a:effectLst/>
              <a:latin typeface="+mn-lt"/>
              <a:ea typeface="+mn-ea"/>
              <a:cs typeface="+mn-cs"/>
            </a:rPr>
            <a:t> of the annual general fund budget.  It is intended to improve our programs that secure the welfare of the less – fortunate residents of this city especially during this Covid-19 pandemic.  This includes education and manpower development, housing and community development including sanitation, garbage collection and street lighting services, health related programs and activities comprising of various medical, dental, nutrition, population management services and others which are contributory to </a:t>
          </a:r>
          <a:endParaRPr lang="en-US" sz="900"/>
        </a:p>
      </xdr:txBody>
    </xdr:sp>
    <xdr:clientData/>
  </xdr:twoCellAnchor>
  <xdr:twoCellAnchor editAs="oneCell">
    <xdr:from>
      <xdr:col>27</xdr:col>
      <xdr:colOff>516082</xdr:colOff>
      <xdr:row>10</xdr:row>
      <xdr:rowOff>17318</xdr:rowOff>
    </xdr:from>
    <xdr:to>
      <xdr:col>34</xdr:col>
      <xdr:colOff>452094</xdr:colOff>
      <xdr:row>17</xdr:row>
      <xdr:rowOff>0</xdr:rowOff>
    </xdr:to>
    <xdr:pic>
      <xdr:nvPicPr>
        <xdr:cNvPr id="27" name="Picture 26"/>
        <xdr:cNvPicPr>
          <a:picLocks noChangeAspect="1"/>
        </xdr:cNvPicPr>
      </xdr:nvPicPr>
      <xdr:blipFill>
        <a:blip xmlns:r="http://schemas.openxmlformats.org/officeDocument/2006/relationships" r:embed="rId7"/>
        <a:stretch>
          <a:fillRect/>
        </a:stretch>
      </xdr:blipFill>
      <xdr:spPr>
        <a:xfrm>
          <a:off x="16975282" y="1922318"/>
          <a:ext cx="4203212" cy="1316182"/>
        </a:xfrm>
        <a:prstGeom prst="rect">
          <a:avLst/>
        </a:prstGeom>
      </xdr:spPr>
    </xdr:pic>
    <xdr:clientData/>
  </xdr:twoCellAnchor>
  <xdr:twoCellAnchor>
    <xdr:from>
      <xdr:col>36</xdr:col>
      <xdr:colOff>266700</xdr:colOff>
      <xdr:row>1</xdr:row>
      <xdr:rowOff>114300</xdr:rowOff>
    </xdr:from>
    <xdr:to>
      <xdr:col>44</xdr:col>
      <xdr:colOff>152400</xdr:colOff>
      <xdr:row>43</xdr:row>
      <xdr:rowOff>114300</xdr:rowOff>
    </xdr:to>
    <xdr:sp macro="" textlink="">
      <xdr:nvSpPr>
        <xdr:cNvPr id="28" name="TextBox 27"/>
        <xdr:cNvSpPr txBox="1"/>
      </xdr:nvSpPr>
      <xdr:spPr>
        <a:xfrm>
          <a:off x="22212300" y="304800"/>
          <a:ext cx="4762500" cy="800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healthy constituents.  Included in this sector are programs, projects and activities in addressing this continuing pandemic. </a:t>
          </a: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ECONOMIC SERVICES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A total of </a:t>
          </a:r>
          <a:r>
            <a:rPr lang="en-US" sz="900" b="1" strike="dblStrike">
              <a:solidFill>
                <a:schemeClr val="dk1"/>
              </a:solidFill>
              <a:effectLst/>
              <a:latin typeface="+mn-lt"/>
              <a:ea typeface="+mn-ea"/>
              <a:cs typeface="+mn-cs"/>
            </a:rPr>
            <a:t>P</a:t>
          </a:r>
          <a:r>
            <a:rPr lang="en-US" sz="900" b="1">
              <a:solidFill>
                <a:schemeClr val="dk1"/>
              </a:solidFill>
              <a:effectLst/>
              <a:latin typeface="+mn-lt"/>
              <a:ea typeface="+mn-ea"/>
              <a:cs typeface="+mn-cs"/>
            </a:rPr>
            <a:t> 380,994,745.00</a:t>
          </a:r>
          <a:r>
            <a:rPr lang="en-US" sz="900">
              <a:solidFill>
                <a:schemeClr val="dk1"/>
              </a:solidFill>
              <a:effectLst/>
              <a:latin typeface="+mn-lt"/>
              <a:ea typeface="+mn-ea"/>
              <a:cs typeface="+mn-cs"/>
            </a:rPr>
            <a:t> or </a:t>
          </a:r>
          <a:r>
            <a:rPr lang="en-US" sz="900" b="1">
              <a:solidFill>
                <a:schemeClr val="dk1"/>
              </a:solidFill>
              <a:effectLst/>
              <a:latin typeface="+mn-lt"/>
              <a:ea typeface="+mn-ea"/>
              <a:cs typeface="+mn-cs"/>
            </a:rPr>
            <a:t>27.01%</a:t>
          </a:r>
          <a:r>
            <a:rPr lang="en-US" sz="900">
              <a:solidFill>
                <a:schemeClr val="dk1"/>
              </a:solidFill>
              <a:effectLst/>
              <a:latin typeface="+mn-lt"/>
              <a:ea typeface="+mn-ea"/>
              <a:cs typeface="+mn-cs"/>
            </a:rPr>
            <a:t> of the total annual general fund budget is provided for various expenditures under Economic Services. This sector plays an important role in the society since it measures the society’s interaction with regards to economic activities.  Agriculturist’s Office is directly involved with food security. Engineering and Environment and Natural Resources Offices are closely engaged with shelter and safety living. The success of these offices will generate an impression of San Carlos City being a livable city, and thus require us to allocate budget for them to perform their respective functions.</a:t>
          </a: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b="1">
              <a:solidFill>
                <a:schemeClr val="dk1"/>
              </a:solidFill>
              <a:effectLst/>
              <a:latin typeface="+mn-lt"/>
              <a:ea typeface="+mn-ea"/>
              <a:cs typeface="+mn-cs"/>
            </a:rPr>
            <a:t>ALLOCATION BY MAJOR EXPENSE CLASS</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i="1">
              <a:solidFill>
                <a:schemeClr val="dk1"/>
              </a:solidFill>
              <a:effectLst/>
              <a:latin typeface="+mn-lt"/>
              <a:ea typeface="+mn-ea"/>
              <a:cs typeface="+mn-cs"/>
            </a:rPr>
            <a:t>                            Exhibit 6                                                                                       Exhibit 7</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i="1">
              <a:solidFill>
                <a:schemeClr val="dk1"/>
              </a:solidFill>
              <a:effectLst/>
              <a:latin typeface="+mn-lt"/>
              <a:ea typeface="+mn-ea"/>
              <a:cs typeface="+mn-cs"/>
            </a:rPr>
            <a:t>Exhibit 6</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b="1">
              <a:effectLst/>
            </a:rPr>
            <a:t>Personal Services</a:t>
          </a:r>
          <a:r>
            <a:rPr lang="en-US" sz="900">
              <a:effectLst/>
            </a:rPr>
            <a:t> </a:t>
          </a:r>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The total proposed appropriation for Personal Services – General Fund has been set at </a:t>
          </a:r>
          <a:r>
            <a:rPr lang="en-US" sz="900" b="1" strike="dblStrike">
              <a:solidFill>
                <a:schemeClr val="dk1"/>
              </a:solidFill>
              <a:effectLst/>
              <a:latin typeface="+mn-lt"/>
              <a:ea typeface="+mn-ea"/>
              <a:cs typeface="+mn-cs"/>
            </a:rPr>
            <a:t>P</a:t>
          </a:r>
          <a:r>
            <a:rPr lang="en-US" sz="900" b="1">
              <a:solidFill>
                <a:schemeClr val="dk1"/>
              </a:solidFill>
              <a:effectLst/>
              <a:latin typeface="+mn-lt"/>
              <a:ea typeface="+mn-ea"/>
              <a:cs typeface="+mn-cs"/>
            </a:rPr>
            <a:t>446,930,746.00</a:t>
          </a:r>
          <a:r>
            <a:rPr lang="en-US" sz="900">
              <a:solidFill>
                <a:schemeClr val="dk1"/>
              </a:solidFill>
              <a:effectLst/>
              <a:latin typeface="+mn-lt"/>
              <a:ea typeface="+mn-ea"/>
              <a:cs typeface="+mn-cs"/>
            </a:rPr>
            <a:t> (representing </a:t>
          </a:r>
          <a:r>
            <a:rPr lang="en-US" sz="900" b="1">
              <a:solidFill>
                <a:schemeClr val="dk1"/>
              </a:solidFill>
              <a:effectLst/>
              <a:latin typeface="+mn-lt"/>
              <a:ea typeface="+mn-ea"/>
              <a:cs typeface="+mn-cs"/>
            </a:rPr>
            <a:t>31.68%</a:t>
          </a:r>
          <a:r>
            <a:rPr lang="en-US" sz="900">
              <a:solidFill>
                <a:schemeClr val="dk1"/>
              </a:solidFill>
              <a:effectLst/>
              <a:latin typeface="+mn-lt"/>
              <a:ea typeface="+mn-ea"/>
              <a:cs typeface="+mn-cs"/>
            </a:rPr>
            <a:t> of the budget) which is within the Forty-five Percent (45%) salary limitation set by the Code and its implementing DBM Local Budget Circular No. 75 dated July 12, 2002.</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A total appropriation of </a:t>
          </a:r>
          <a:r>
            <a:rPr lang="en-US" sz="900" b="1" strike="sngStrike">
              <a:solidFill>
                <a:schemeClr val="dk1"/>
              </a:solidFill>
              <a:effectLst/>
              <a:latin typeface="+mn-lt"/>
              <a:ea typeface="+mn-ea"/>
              <a:cs typeface="+mn-cs"/>
            </a:rPr>
            <a:t>P</a:t>
          </a:r>
          <a:r>
            <a:rPr lang="en-US" sz="900" b="1">
              <a:solidFill>
                <a:schemeClr val="dk1"/>
              </a:solidFill>
              <a:effectLst/>
              <a:latin typeface="+mn-lt"/>
              <a:ea typeface="+mn-ea"/>
              <a:cs typeface="+mn-cs"/>
            </a:rPr>
            <a:t>33,901,306.00 </a:t>
          </a:r>
          <a:r>
            <a:rPr lang="en-US" sz="900">
              <a:solidFill>
                <a:schemeClr val="dk1"/>
              </a:solidFill>
              <a:effectLst/>
              <a:latin typeface="+mn-lt"/>
              <a:ea typeface="+mn-ea"/>
              <a:cs typeface="+mn-cs"/>
            </a:rPr>
            <a:t>under Other Personnel Benefits in each department is provided in anticipation for salary increases and other benefits that may arise during the year.</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b="1">
              <a:solidFill>
                <a:schemeClr val="dk1"/>
              </a:solidFill>
              <a:effectLst/>
              <a:latin typeface="+mn-lt"/>
              <a:ea typeface="+mn-ea"/>
              <a:cs typeface="+mn-cs"/>
            </a:rPr>
            <a:t>Maintenance and Other Operating Expenses</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The amount of </a:t>
          </a:r>
          <a:r>
            <a:rPr lang="en-US" sz="900" b="1" strike="dblStrike">
              <a:solidFill>
                <a:schemeClr val="dk1"/>
              </a:solidFill>
              <a:effectLst/>
              <a:latin typeface="+mn-lt"/>
              <a:ea typeface="+mn-ea"/>
              <a:cs typeface="+mn-cs"/>
            </a:rPr>
            <a:t>P</a:t>
          </a:r>
          <a:r>
            <a:rPr lang="en-US" sz="900" b="1">
              <a:solidFill>
                <a:schemeClr val="dk1"/>
              </a:solidFill>
              <a:effectLst/>
              <a:latin typeface="+mn-lt"/>
              <a:ea typeface="+mn-ea"/>
              <a:cs typeface="+mn-cs"/>
            </a:rPr>
            <a:t>382,203,109.41 </a:t>
          </a:r>
          <a:r>
            <a:rPr lang="en-US" sz="900">
              <a:solidFill>
                <a:schemeClr val="dk1"/>
              </a:solidFill>
              <a:effectLst/>
              <a:latin typeface="+mn-lt"/>
              <a:ea typeface="+mn-ea"/>
              <a:cs typeface="+mn-cs"/>
            </a:rPr>
            <a:t>has been set aside for Maintenance and Other Operating Expenses(MOOE), representing </a:t>
          </a:r>
          <a:r>
            <a:rPr lang="en-US" sz="900" b="1">
              <a:solidFill>
                <a:schemeClr val="dk1"/>
              </a:solidFill>
              <a:effectLst/>
              <a:latin typeface="+mn-lt"/>
              <a:ea typeface="+mn-ea"/>
              <a:cs typeface="+mn-cs"/>
            </a:rPr>
            <a:t>27.09%</a:t>
          </a:r>
          <a:r>
            <a:rPr lang="en-US" sz="900">
              <a:solidFill>
                <a:schemeClr val="dk1"/>
              </a:solidFill>
              <a:effectLst/>
              <a:latin typeface="+mn-lt"/>
              <a:ea typeface="+mn-ea"/>
              <a:cs typeface="+mn-cs"/>
            </a:rPr>
            <a:t> of the budget.</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A Ten Percent (10%) Reserve from the allotment release of the MOOE except for utilities of every office is being observed to answer for contingencies and/or generate savings and implement an economy measure.  </a:t>
          </a:r>
        </a:p>
        <a:p>
          <a:endParaRPr lang="en-US" sz="900"/>
        </a:p>
      </xdr:txBody>
    </xdr:sp>
    <xdr:clientData/>
  </xdr:twoCellAnchor>
  <xdr:twoCellAnchor editAs="oneCell">
    <xdr:from>
      <xdr:col>36</xdr:col>
      <xdr:colOff>533400</xdr:colOff>
      <xdr:row>15</xdr:row>
      <xdr:rowOff>114300</xdr:rowOff>
    </xdr:from>
    <xdr:to>
      <xdr:col>43</xdr:col>
      <xdr:colOff>495300</xdr:colOff>
      <xdr:row>22</xdr:row>
      <xdr:rowOff>180358</xdr:rowOff>
    </xdr:to>
    <xdr:pic>
      <xdr:nvPicPr>
        <xdr:cNvPr id="31" name="Picture 30"/>
        <xdr:cNvPicPr>
          <a:picLocks noChangeAspect="1"/>
        </xdr:cNvPicPr>
      </xdr:nvPicPr>
      <xdr:blipFill>
        <a:blip xmlns:r="http://schemas.openxmlformats.org/officeDocument/2006/relationships" r:embed="rId8"/>
        <a:stretch>
          <a:fillRect/>
        </a:stretch>
      </xdr:blipFill>
      <xdr:spPr>
        <a:xfrm>
          <a:off x="22479000" y="2971800"/>
          <a:ext cx="4229100" cy="1399558"/>
        </a:xfrm>
        <a:prstGeom prst="rect">
          <a:avLst/>
        </a:prstGeom>
      </xdr:spPr>
    </xdr:pic>
    <xdr:clientData/>
  </xdr:twoCellAnchor>
  <xdr:twoCellAnchor>
    <xdr:from>
      <xdr:col>45</xdr:col>
      <xdr:colOff>228600</xdr:colOff>
      <xdr:row>1</xdr:row>
      <xdr:rowOff>38100</xdr:rowOff>
    </xdr:from>
    <xdr:to>
      <xdr:col>53</xdr:col>
      <xdr:colOff>38100</xdr:colOff>
      <xdr:row>43</xdr:row>
      <xdr:rowOff>114300</xdr:rowOff>
    </xdr:to>
    <xdr:sp macro="" textlink="">
      <xdr:nvSpPr>
        <xdr:cNvPr id="2048" name="TextBox 2047"/>
        <xdr:cNvSpPr txBox="1"/>
      </xdr:nvSpPr>
      <xdr:spPr>
        <a:xfrm>
          <a:off x="27660600" y="228600"/>
          <a:ext cx="4686300" cy="807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50" b="1">
              <a:solidFill>
                <a:schemeClr val="dk1"/>
              </a:solidFill>
              <a:effectLst/>
              <a:latin typeface="+mn-lt"/>
              <a:ea typeface="+mn-ea"/>
              <a:cs typeface="+mn-cs"/>
            </a:rPr>
            <a:t>Capital Outlays</a:t>
          </a:r>
          <a:endParaRPr lang="en-US" sz="850">
            <a:solidFill>
              <a:schemeClr val="dk1"/>
            </a:solidFill>
            <a:effectLst/>
            <a:latin typeface="+mn-lt"/>
            <a:ea typeface="+mn-ea"/>
            <a:cs typeface="+mn-cs"/>
          </a:endParaRPr>
        </a:p>
        <a:p>
          <a:r>
            <a:rPr lang="en-US" sz="850" b="1">
              <a:solidFill>
                <a:schemeClr val="dk1"/>
              </a:solidFill>
              <a:effectLst/>
              <a:latin typeface="+mn-lt"/>
              <a:ea typeface="+mn-ea"/>
              <a:cs typeface="+mn-cs"/>
            </a:rPr>
            <a:t> </a:t>
          </a:r>
          <a:endParaRPr lang="en-US" sz="850">
            <a:solidFill>
              <a:schemeClr val="dk1"/>
            </a:solidFill>
            <a:effectLst/>
            <a:latin typeface="+mn-lt"/>
            <a:ea typeface="+mn-ea"/>
            <a:cs typeface="+mn-cs"/>
          </a:endParaRPr>
        </a:p>
        <a:p>
          <a:r>
            <a:rPr lang="en-US" sz="850">
              <a:solidFill>
                <a:schemeClr val="dk1"/>
              </a:solidFill>
              <a:effectLst/>
              <a:latin typeface="+mn-lt"/>
              <a:ea typeface="+mn-ea"/>
              <a:cs typeface="+mn-cs"/>
            </a:rPr>
            <a:t>A total appropriation of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215,124,475.66 </a:t>
          </a:r>
          <a:r>
            <a:rPr lang="en-US" sz="850">
              <a:solidFill>
                <a:schemeClr val="dk1"/>
              </a:solidFill>
              <a:effectLst/>
              <a:latin typeface="+mn-lt"/>
              <a:ea typeface="+mn-ea"/>
              <a:cs typeface="+mn-cs"/>
            </a:rPr>
            <a:t>is proposed for Capital Outlay --- Capital Outlays (Loans Outlay – CLDO), </a:t>
          </a:r>
          <a:r>
            <a:rPr lang="en-US" sz="850" b="1" i="1" strike="sngStrike">
              <a:solidFill>
                <a:schemeClr val="dk1"/>
              </a:solidFill>
              <a:effectLst/>
              <a:latin typeface="+mn-lt"/>
              <a:ea typeface="+mn-ea"/>
              <a:cs typeface="+mn-cs"/>
            </a:rPr>
            <a:t>P</a:t>
          </a:r>
          <a:r>
            <a:rPr lang="en-US" sz="850" b="1" i="1">
              <a:solidFill>
                <a:schemeClr val="dk1"/>
              </a:solidFill>
              <a:effectLst/>
              <a:latin typeface="+mn-lt"/>
              <a:ea typeface="+mn-ea"/>
              <a:cs typeface="+mn-cs"/>
            </a:rPr>
            <a:t>1,000,000.00</a:t>
          </a:r>
          <a:r>
            <a:rPr lang="en-US" sz="850">
              <a:solidFill>
                <a:schemeClr val="dk1"/>
              </a:solidFill>
              <a:effectLst/>
              <a:latin typeface="+mn-lt"/>
              <a:ea typeface="+mn-ea"/>
              <a:cs typeface="+mn-cs"/>
            </a:rPr>
            <a:t>; Information and Technology Equipment, </a:t>
          </a:r>
          <a:r>
            <a:rPr lang="en-US" sz="850" b="1" i="1" strike="sngStrike">
              <a:solidFill>
                <a:schemeClr val="dk1"/>
              </a:solidFill>
              <a:effectLst/>
              <a:latin typeface="+mn-lt"/>
              <a:ea typeface="+mn-ea"/>
              <a:cs typeface="+mn-cs"/>
            </a:rPr>
            <a:t>P</a:t>
          </a:r>
          <a:r>
            <a:rPr lang="en-US" sz="850" b="1" i="1">
              <a:solidFill>
                <a:schemeClr val="dk1"/>
              </a:solidFill>
              <a:effectLst/>
              <a:latin typeface="+mn-lt"/>
              <a:ea typeface="+mn-ea"/>
              <a:cs typeface="+mn-cs"/>
            </a:rPr>
            <a:t>3,500.000.00</a:t>
          </a:r>
          <a:r>
            <a:rPr lang="en-US" sz="850">
              <a:solidFill>
                <a:schemeClr val="dk1"/>
              </a:solidFill>
              <a:effectLst/>
              <a:latin typeface="+mn-lt"/>
              <a:ea typeface="+mn-ea"/>
              <a:cs typeface="+mn-cs"/>
            </a:rPr>
            <a:t>; Motor Vehicles, </a:t>
          </a:r>
          <a:r>
            <a:rPr lang="en-US" sz="850" b="1" i="1" strike="sngStrike">
              <a:solidFill>
                <a:schemeClr val="dk1"/>
              </a:solidFill>
              <a:effectLst/>
              <a:latin typeface="+mn-lt"/>
              <a:ea typeface="+mn-ea"/>
              <a:cs typeface="+mn-cs"/>
            </a:rPr>
            <a:t>P</a:t>
          </a:r>
          <a:r>
            <a:rPr lang="en-US" sz="850" b="1" i="1">
              <a:solidFill>
                <a:schemeClr val="dk1"/>
              </a:solidFill>
              <a:effectLst/>
              <a:latin typeface="+mn-lt"/>
              <a:ea typeface="+mn-ea"/>
              <a:cs typeface="+mn-cs"/>
            </a:rPr>
            <a:t>14,000,000.00</a:t>
          </a:r>
          <a:r>
            <a:rPr lang="en-US" sz="850">
              <a:solidFill>
                <a:schemeClr val="dk1"/>
              </a:solidFill>
              <a:effectLst/>
              <a:latin typeface="+mn-lt"/>
              <a:ea typeface="+mn-ea"/>
              <a:cs typeface="+mn-cs"/>
            </a:rPr>
            <a:t>; Other Property, Plant and Equipment, </a:t>
          </a:r>
          <a:r>
            <a:rPr lang="en-US" sz="850" b="1" i="1" strike="sngStrike">
              <a:solidFill>
                <a:schemeClr val="dk1"/>
              </a:solidFill>
              <a:effectLst/>
              <a:latin typeface="+mn-lt"/>
              <a:ea typeface="+mn-ea"/>
              <a:cs typeface="+mn-cs"/>
            </a:rPr>
            <a:t>P</a:t>
          </a:r>
          <a:r>
            <a:rPr lang="en-US" sz="850" b="1" i="1">
              <a:solidFill>
                <a:schemeClr val="dk1"/>
              </a:solidFill>
              <a:effectLst/>
              <a:latin typeface="+mn-lt"/>
              <a:ea typeface="+mn-ea"/>
              <a:cs typeface="+mn-cs"/>
            </a:rPr>
            <a:t>10,000,000.00</a:t>
          </a:r>
          <a:r>
            <a:rPr lang="en-US" sz="850">
              <a:solidFill>
                <a:schemeClr val="dk1"/>
              </a:solidFill>
              <a:effectLst/>
              <a:latin typeface="+mn-lt"/>
              <a:ea typeface="+mn-ea"/>
              <a:cs typeface="+mn-cs"/>
            </a:rPr>
            <a:t>; Construction of City Hall Annex Building of the City Engineering Department </a:t>
          </a:r>
          <a:r>
            <a:rPr lang="en-US" sz="850" b="1" i="1" strike="sngStrike">
              <a:solidFill>
                <a:schemeClr val="dk1"/>
              </a:solidFill>
              <a:effectLst/>
              <a:latin typeface="+mn-lt"/>
              <a:ea typeface="+mn-ea"/>
              <a:cs typeface="+mn-cs"/>
            </a:rPr>
            <a:t>P</a:t>
          </a:r>
          <a:r>
            <a:rPr lang="en-US" sz="850" b="1" i="1">
              <a:solidFill>
                <a:schemeClr val="dk1"/>
              </a:solidFill>
              <a:effectLst/>
              <a:latin typeface="+mn-lt"/>
              <a:ea typeface="+mn-ea"/>
              <a:cs typeface="+mn-cs"/>
            </a:rPr>
            <a:t>100,000,000.00</a:t>
          </a:r>
          <a:r>
            <a:rPr lang="en-US" sz="850">
              <a:solidFill>
                <a:schemeClr val="dk1"/>
              </a:solidFill>
              <a:effectLst/>
              <a:latin typeface="+mn-lt"/>
              <a:ea typeface="+mn-ea"/>
              <a:cs typeface="+mn-cs"/>
            </a:rPr>
            <a:t>; Machinery and Equipment</a:t>
          </a:r>
          <a:r>
            <a:rPr lang="en-US" sz="850" b="1" i="1">
              <a:solidFill>
                <a:schemeClr val="dk1"/>
              </a:solidFill>
              <a:effectLst/>
              <a:latin typeface="+mn-lt"/>
              <a:ea typeface="+mn-ea"/>
              <a:cs typeface="+mn-cs"/>
            </a:rPr>
            <a:t>, </a:t>
          </a:r>
          <a:r>
            <a:rPr lang="en-US" sz="850" b="1" i="1" strike="dblStrike">
              <a:solidFill>
                <a:schemeClr val="dk1"/>
              </a:solidFill>
              <a:effectLst/>
              <a:latin typeface="+mn-lt"/>
              <a:ea typeface="+mn-ea"/>
              <a:cs typeface="+mn-cs"/>
            </a:rPr>
            <a:t>P</a:t>
          </a:r>
          <a:r>
            <a:rPr lang="en-US" sz="850" b="1" i="1">
              <a:solidFill>
                <a:schemeClr val="dk1"/>
              </a:solidFill>
              <a:effectLst/>
              <a:latin typeface="+mn-lt"/>
              <a:ea typeface="+mn-ea"/>
              <a:cs typeface="+mn-cs"/>
            </a:rPr>
            <a:t>36,000,000.00; </a:t>
          </a:r>
          <a:r>
            <a:rPr lang="en-US" sz="850">
              <a:solidFill>
                <a:schemeClr val="dk1"/>
              </a:solidFill>
              <a:effectLst/>
              <a:latin typeface="+mn-lt"/>
              <a:ea typeface="+mn-ea"/>
              <a:cs typeface="+mn-cs"/>
            </a:rPr>
            <a:t>Military, Police and Security Equipment</a:t>
          </a:r>
          <a:r>
            <a:rPr lang="en-US" sz="850" b="1" i="1">
              <a:solidFill>
                <a:schemeClr val="dk1"/>
              </a:solidFill>
              <a:effectLst/>
              <a:latin typeface="+mn-lt"/>
              <a:ea typeface="+mn-ea"/>
              <a:cs typeface="+mn-cs"/>
            </a:rPr>
            <a:t>, </a:t>
          </a:r>
          <a:r>
            <a:rPr lang="en-US" sz="850" b="1" i="1" strike="dblStrike">
              <a:solidFill>
                <a:schemeClr val="dk1"/>
              </a:solidFill>
              <a:effectLst/>
              <a:latin typeface="+mn-lt"/>
              <a:ea typeface="+mn-ea"/>
              <a:cs typeface="+mn-cs"/>
            </a:rPr>
            <a:t>P</a:t>
          </a:r>
          <a:r>
            <a:rPr lang="en-US" sz="850" b="1" i="1">
              <a:solidFill>
                <a:schemeClr val="dk1"/>
              </a:solidFill>
              <a:effectLst/>
              <a:latin typeface="+mn-lt"/>
              <a:ea typeface="+mn-ea"/>
              <a:cs typeface="+mn-cs"/>
            </a:rPr>
            <a:t>15,000,000.00; </a:t>
          </a:r>
          <a:r>
            <a:rPr lang="en-US" sz="850">
              <a:solidFill>
                <a:schemeClr val="dk1"/>
              </a:solidFill>
              <a:effectLst/>
              <a:latin typeface="+mn-lt"/>
              <a:ea typeface="+mn-ea"/>
              <a:cs typeface="+mn-cs"/>
            </a:rPr>
            <a:t>Various Development Projects and Other Capital Outlays, </a:t>
          </a:r>
          <a:r>
            <a:rPr lang="en-US" sz="850" b="1" i="1" strike="dblStrike">
              <a:solidFill>
                <a:schemeClr val="dk1"/>
              </a:solidFill>
              <a:effectLst/>
              <a:latin typeface="+mn-lt"/>
              <a:ea typeface="+mn-ea"/>
              <a:cs typeface="+mn-cs"/>
            </a:rPr>
            <a:t>P</a:t>
          </a:r>
          <a:r>
            <a:rPr lang="en-US" sz="850" b="1" i="1">
              <a:solidFill>
                <a:schemeClr val="dk1"/>
              </a:solidFill>
              <a:effectLst/>
              <a:latin typeface="+mn-lt"/>
              <a:ea typeface="+mn-ea"/>
              <a:cs typeface="+mn-cs"/>
            </a:rPr>
            <a:t>21,000,000.00;,</a:t>
          </a:r>
          <a:r>
            <a:rPr lang="en-US" sz="850">
              <a:solidFill>
                <a:schemeClr val="dk1"/>
              </a:solidFill>
              <a:effectLst/>
              <a:latin typeface="+mn-lt"/>
              <a:ea typeface="+mn-ea"/>
              <a:cs typeface="+mn-cs"/>
            </a:rPr>
            <a:t> and other capital outlays, </a:t>
          </a:r>
          <a:r>
            <a:rPr lang="en-US" sz="850" b="1" i="1" strike="dblStrike">
              <a:solidFill>
                <a:schemeClr val="dk1"/>
              </a:solidFill>
              <a:effectLst/>
              <a:latin typeface="+mn-lt"/>
              <a:ea typeface="+mn-ea"/>
              <a:cs typeface="+mn-cs"/>
            </a:rPr>
            <a:t>P</a:t>
          </a:r>
          <a:r>
            <a:rPr lang="en-US" sz="850" b="1" i="1">
              <a:solidFill>
                <a:schemeClr val="dk1"/>
              </a:solidFill>
              <a:effectLst/>
              <a:latin typeface="+mn-lt"/>
              <a:ea typeface="+mn-ea"/>
              <a:cs typeface="+mn-cs"/>
            </a:rPr>
            <a:t>13,624,475.66,</a:t>
          </a:r>
          <a:r>
            <a:rPr lang="en-US" sz="850">
              <a:solidFill>
                <a:schemeClr val="dk1"/>
              </a:solidFill>
              <a:effectLst/>
              <a:latin typeface="+mn-lt"/>
              <a:ea typeface="+mn-ea"/>
              <a:cs typeface="+mn-cs"/>
            </a:rPr>
            <a:t> the details of the above-cited objects of expenditures shall be submitted for your review and approval.</a:t>
          </a: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 </a:t>
          </a:r>
        </a:p>
        <a:p>
          <a:r>
            <a:rPr lang="en-US" sz="850" b="1">
              <a:solidFill>
                <a:schemeClr val="dk1"/>
              </a:solidFill>
              <a:effectLst/>
              <a:latin typeface="+mn-lt"/>
              <a:ea typeface="+mn-ea"/>
              <a:cs typeface="+mn-cs"/>
            </a:rPr>
            <a:t>Special Purpose Appropriations</a:t>
          </a:r>
          <a:endParaRPr lang="en-US" sz="850">
            <a:solidFill>
              <a:schemeClr val="dk1"/>
            </a:solidFill>
            <a:effectLst/>
            <a:latin typeface="+mn-lt"/>
            <a:ea typeface="+mn-ea"/>
            <a:cs typeface="+mn-cs"/>
          </a:endParaRP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Total proposed appropriation for mandatory aid to component barangays has been set at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36,000.00</a:t>
          </a:r>
          <a:r>
            <a:rPr lang="en-US" sz="850">
              <a:solidFill>
                <a:schemeClr val="dk1"/>
              </a:solidFill>
              <a:effectLst/>
              <a:latin typeface="+mn-lt"/>
              <a:ea typeface="+mn-ea"/>
              <a:cs typeface="+mn-cs"/>
            </a:rPr>
            <a:t> which is in conformity with the requirement of the Code that at least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1,000.00</a:t>
          </a:r>
          <a:r>
            <a:rPr lang="en-US" sz="850">
              <a:solidFill>
                <a:schemeClr val="dk1"/>
              </a:solidFill>
              <a:effectLst/>
              <a:latin typeface="+mn-lt"/>
              <a:ea typeface="+mn-ea"/>
              <a:cs typeface="+mn-cs"/>
            </a:rPr>
            <a:t> per barangay be appropriated for the purpose.  However, additional amount of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240,000.00</a:t>
          </a:r>
          <a:r>
            <a:rPr lang="en-US" sz="850">
              <a:solidFill>
                <a:schemeClr val="dk1"/>
              </a:solidFill>
              <a:effectLst/>
              <a:latin typeface="+mn-lt"/>
              <a:ea typeface="+mn-ea"/>
              <a:cs typeface="+mn-cs"/>
            </a:rPr>
            <a:t> and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800,000.00</a:t>
          </a:r>
          <a:r>
            <a:rPr lang="en-US" sz="850">
              <a:solidFill>
                <a:schemeClr val="dk1"/>
              </a:solidFill>
              <a:effectLst/>
              <a:latin typeface="+mn-lt"/>
              <a:ea typeface="+mn-ea"/>
              <a:cs typeface="+mn-cs"/>
            </a:rPr>
            <a:t> are proposed to be appropriated for Aid to Barangay Council, to be shared equitably, and Aid to Three (3) Most Depressed Barangays, respectively.</a:t>
          </a: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A lumpsum amount of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82,439,227.00</a:t>
          </a:r>
          <a:r>
            <a:rPr lang="en-US" sz="850">
              <a:solidFill>
                <a:schemeClr val="dk1"/>
              </a:solidFill>
              <a:effectLst/>
              <a:latin typeface="+mn-lt"/>
              <a:ea typeface="+mn-ea"/>
              <a:cs typeface="+mn-cs"/>
            </a:rPr>
            <a:t> which is equivalent to Five Percent (5%) of the total estimated revenue from regular sources inclusive of special accounts has been set aside as annual appropriation for the City Disaster Risk Reduction Management Fund for unforeseen expenditures arising from the occurrence of calamities; of which 30% is allocated as Quick Response Fund, a standby fund for relief and recovery programs to normalize situation and living conditions of people in areas stricken by disasters, calamities, epidemics or complex emergencies and 70%  is appropriated for Pre-Disaster Preparedness as well as Post-Disaster Activities.</a:t>
          </a: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The total appropriation for development projects has been set at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275,000,000.00</a:t>
          </a:r>
          <a:r>
            <a:rPr lang="en-US" sz="850">
              <a:solidFill>
                <a:schemeClr val="dk1"/>
              </a:solidFill>
              <a:effectLst/>
              <a:latin typeface="+mn-lt"/>
              <a:ea typeface="+mn-ea"/>
              <a:cs typeface="+mn-cs"/>
            </a:rPr>
            <a:t> which is equivalent to 20.516% of the city’s final CY 2022 National Tax Allotment (NTA) as appropriated by Congress.</a:t>
          </a: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The total amount of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421,535.97</a:t>
          </a:r>
          <a:r>
            <a:rPr lang="en-US" sz="850">
              <a:solidFill>
                <a:schemeClr val="dk1"/>
              </a:solidFill>
              <a:effectLst/>
              <a:latin typeface="+mn-lt"/>
              <a:ea typeface="+mn-ea"/>
              <a:cs typeface="+mn-cs"/>
            </a:rPr>
            <a:t> appropriated for discretionary purposes of the undersigned has not exceeded Two Percent (2%) of our actual next preceding year’s receipts from basic real property tax.</a:t>
          </a: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Full provision of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339,623,480.93</a:t>
          </a:r>
          <a:r>
            <a:rPr lang="en-US" sz="850">
              <a:solidFill>
                <a:schemeClr val="dk1"/>
              </a:solidFill>
              <a:effectLst/>
              <a:latin typeface="+mn-lt"/>
              <a:ea typeface="+mn-ea"/>
              <a:cs typeface="+mn-cs"/>
            </a:rPr>
            <a:t> has been made for all statutory and contractual obligations.</a:t>
          </a: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Included in this budget is a proposed appropriation of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600,000.00</a:t>
          </a:r>
          <a:r>
            <a:rPr lang="en-US" sz="850">
              <a:solidFill>
                <a:schemeClr val="dk1"/>
              </a:solidFill>
              <a:effectLst/>
              <a:latin typeface="+mn-lt"/>
              <a:ea typeface="+mn-ea"/>
              <a:cs typeface="+mn-cs"/>
            </a:rPr>
            <a:t> for ABC Federation Fund;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1,000,000.00 </a:t>
          </a:r>
          <a:r>
            <a:rPr lang="en-US" sz="850">
              <a:solidFill>
                <a:schemeClr val="dk1"/>
              </a:solidFill>
              <a:effectLst/>
              <a:latin typeface="+mn-lt"/>
              <a:ea typeface="+mn-ea"/>
              <a:cs typeface="+mn-cs"/>
            </a:rPr>
            <a:t>for Katarungang Pambarangay</a:t>
          </a:r>
          <a:r>
            <a:rPr lang="en-US" sz="850" b="1">
              <a:solidFill>
                <a:schemeClr val="dk1"/>
              </a:solidFill>
              <a:effectLst/>
              <a:latin typeface="+mn-lt"/>
              <a:ea typeface="+mn-ea"/>
              <a:cs typeface="+mn-cs"/>
            </a:rPr>
            <a:t> </a:t>
          </a:r>
          <a:r>
            <a:rPr lang="en-US" sz="850">
              <a:solidFill>
                <a:schemeClr val="dk1"/>
              </a:solidFill>
              <a:effectLst/>
              <a:latin typeface="+mn-lt"/>
              <a:ea typeface="+mn-ea"/>
              <a:cs typeface="+mn-cs"/>
            </a:rPr>
            <a:t>and another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3,278,000.00</a:t>
          </a:r>
          <a:r>
            <a:rPr lang="en-US" sz="850">
              <a:solidFill>
                <a:schemeClr val="dk1"/>
              </a:solidFill>
              <a:effectLst/>
              <a:latin typeface="+mn-lt"/>
              <a:ea typeface="+mn-ea"/>
              <a:cs typeface="+mn-cs"/>
            </a:rPr>
            <a:t> for Barangay Tanods. </a:t>
          </a: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There is also a proposed initial appropriation of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3,000,000.00</a:t>
          </a:r>
          <a:r>
            <a:rPr lang="en-US" sz="850">
              <a:solidFill>
                <a:schemeClr val="dk1"/>
              </a:solidFill>
              <a:effectLst/>
              <a:latin typeface="+mn-lt"/>
              <a:ea typeface="+mn-ea"/>
              <a:cs typeface="+mn-cs"/>
            </a:rPr>
            <a:t> intended for the Hospitalization Assistance Program for the city’s indigents.</a:t>
          </a: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An appropriation of </a:t>
          </a:r>
          <a:r>
            <a:rPr lang="en-US" sz="850" b="1" strike="sngStrike">
              <a:solidFill>
                <a:schemeClr val="dk1"/>
              </a:solidFill>
              <a:effectLst/>
              <a:latin typeface="+mn-lt"/>
              <a:ea typeface="+mn-ea"/>
              <a:cs typeface="+mn-cs"/>
            </a:rPr>
            <a:t>P</a:t>
          </a:r>
          <a:r>
            <a:rPr lang="en-US" sz="850" b="1">
              <a:solidFill>
                <a:schemeClr val="dk1"/>
              </a:solidFill>
              <a:effectLst/>
              <a:latin typeface="+mn-lt"/>
              <a:ea typeface="+mn-ea"/>
              <a:cs typeface="+mn-cs"/>
            </a:rPr>
            <a:t>2,500,000.00 </a:t>
          </a:r>
          <a:r>
            <a:rPr lang="en-US" sz="850">
              <a:solidFill>
                <a:schemeClr val="dk1"/>
              </a:solidFill>
              <a:effectLst/>
              <a:latin typeface="+mn-lt"/>
              <a:ea typeface="+mn-ea"/>
              <a:cs typeface="+mn-cs"/>
            </a:rPr>
            <a:t>is intended for the SCC Anti-Drug Abuse Council in line with the President’s call to fight drug addiction and substance abuse.  Drug testing is made compulsory for all employees of the LGU.</a:t>
          </a: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A total amount of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94,071,965.00</a:t>
          </a:r>
          <a:r>
            <a:rPr lang="en-US" sz="850">
              <a:solidFill>
                <a:schemeClr val="dk1"/>
              </a:solidFill>
              <a:effectLst/>
              <a:latin typeface="+mn-lt"/>
              <a:ea typeface="+mn-ea"/>
              <a:cs typeface="+mn-cs"/>
            </a:rPr>
            <a:t> is allocated for Gender and Development (GAD) related projects/programs/activities, in compliance with RA 7192, Executive Order No. 273 to institutionalize GAD in government, PCW-DILG-DBM-NEDA JMC No. 2016-01, etc.</a:t>
          </a: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An appropriation of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9,936,820.00 </a:t>
          </a:r>
          <a:r>
            <a:rPr lang="en-US" sz="850">
              <a:solidFill>
                <a:schemeClr val="dk1"/>
              </a:solidFill>
              <a:effectLst/>
              <a:latin typeface="+mn-lt"/>
              <a:ea typeface="+mn-ea"/>
              <a:cs typeface="+mn-cs"/>
            </a:rPr>
            <a:t>for the Office of the Senior Citizens Affairs and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618,000.00 </a:t>
          </a:r>
          <a:r>
            <a:rPr lang="en-US" sz="850">
              <a:solidFill>
                <a:schemeClr val="dk1"/>
              </a:solidFill>
              <a:effectLst/>
              <a:latin typeface="+mn-lt"/>
              <a:ea typeface="+mn-ea"/>
              <a:cs typeface="+mn-cs"/>
            </a:rPr>
            <a:t>for Persons With Disabilities is set aside to address the concerns  of older persons and persons with disabilities which is anchored on  the provisions of various laws and administrative issuances.</a:t>
          </a:r>
        </a:p>
        <a:p>
          <a:r>
            <a:rPr lang="en-US" sz="850">
              <a:solidFill>
                <a:schemeClr val="dk1"/>
              </a:solidFill>
              <a:effectLst/>
              <a:latin typeface="+mn-lt"/>
              <a:ea typeface="+mn-ea"/>
              <a:cs typeface="+mn-cs"/>
            </a:rPr>
            <a:t> </a:t>
          </a:r>
        </a:p>
        <a:p>
          <a:r>
            <a:rPr lang="en-US" sz="850">
              <a:solidFill>
                <a:schemeClr val="dk1"/>
              </a:solidFill>
              <a:effectLst/>
              <a:latin typeface="+mn-lt"/>
              <a:ea typeface="+mn-ea"/>
              <a:cs typeface="+mn-cs"/>
            </a:rPr>
            <a:t>An amount of </a:t>
          </a:r>
          <a:r>
            <a:rPr lang="en-US" sz="850" b="1" strike="dblStrike">
              <a:solidFill>
                <a:schemeClr val="dk1"/>
              </a:solidFill>
              <a:effectLst/>
              <a:latin typeface="+mn-lt"/>
              <a:ea typeface="+mn-ea"/>
              <a:cs typeface="+mn-cs"/>
            </a:rPr>
            <a:t>P</a:t>
          </a:r>
          <a:r>
            <a:rPr lang="en-US" sz="850" b="1">
              <a:solidFill>
                <a:schemeClr val="dk1"/>
              </a:solidFill>
              <a:effectLst/>
              <a:latin typeface="+mn-lt"/>
              <a:ea typeface="+mn-ea"/>
              <a:cs typeface="+mn-cs"/>
            </a:rPr>
            <a:t>9,920,737.08</a:t>
          </a:r>
          <a:r>
            <a:rPr lang="en-US" sz="850">
              <a:solidFill>
                <a:schemeClr val="dk1"/>
              </a:solidFill>
              <a:effectLst/>
              <a:latin typeface="+mn-lt"/>
              <a:ea typeface="+mn-ea"/>
              <a:cs typeface="+mn-cs"/>
            </a:rPr>
            <a:t> is appropriated for the strengthening and implementation of the programs, projects and activities of the Local Council for the Protection of Children (LCPC) in compliance with Section 15 of RA 9344. </a:t>
          </a:r>
        </a:p>
        <a:p>
          <a:r>
            <a:rPr lang="en-US" sz="850">
              <a:solidFill>
                <a:schemeClr val="dk1"/>
              </a:solidFill>
              <a:effectLst/>
              <a:latin typeface="+mn-lt"/>
              <a:ea typeface="+mn-ea"/>
              <a:cs typeface="+mn-cs"/>
            </a:rPr>
            <a:t> </a:t>
          </a:r>
        </a:p>
        <a:p>
          <a:endParaRPr lang="en-US" sz="850"/>
        </a:p>
      </xdr:txBody>
    </xdr:sp>
    <xdr:clientData/>
  </xdr:twoCellAnchor>
  <xdr:twoCellAnchor>
    <xdr:from>
      <xdr:col>9</xdr:col>
      <xdr:colOff>228600</xdr:colOff>
      <xdr:row>50</xdr:row>
      <xdr:rowOff>38100</xdr:rowOff>
    </xdr:from>
    <xdr:to>
      <xdr:col>17</xdr:col>
      <xdr:colOff>381000</xdr:colOff>
      <xdr:row>90</xdr:row>
      <xdr:rowOff>114300</xdr:rowOff>
    </xdr:to>
    <xdr:sp macro="" textlink="">
      <xdr:nvSpPr>
        <xdr:cNvPr id="2049" name="TextBox 2048"/>
        <xdr:cNvSpPr txBox="1"/>
      </xdr:nvSpPr>
      <xdr:spPr>
        <a:xfrm>
          <a:off x="5715000" y="9563100"/>
          <a:ext cx="5029200" cy="7696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A total amount of </a:t>
          </a:r>
          <a:r>
            <a:rPr lang="en-US" sz="900" b="1" strike="dblStrike">
              <a:solidFill>
                <a:schemeClr val="dk1"/>
              </a:solidFill>
              <a:effectLst/>
              <a:latin typeface="+mn-lt"/>
              <a:ea typeface="+mn-ea"/>
              <a:cs typeface="+mn-cs"/>
            </a:rPr>
            <a:t>P</a:t>
          </a:r>
          <a:r>
            <a:rPr lang="en-US" sz="900" b="1">
              <a:solidFill>
                <a:schemeClr val="dk1"/>
              </a:solidFill>
              <a:effectLst/>
              <a:latin typeface="+mn-lt"/>
              <a:ea typeface="+mn-ea"/>
              <a:cs typeface="+mn-cs"/>
            </a:rPr>
            <a:t>30,000,000.00 </a:t>
          </a:r>
          <a:r>
            <a:rPr lang="en-US" sz="900">
              <a:solidFill>
                <a:schemeClr val="dk1"/>
              </a:solidFill>
              <a:effectLst/>
              <a:latin typeface="+mn-lt"/>
              <a:ea typeface="+mn-ea"/>
              <a:cs typeface="+mn-cs"/>
            </a:rPr>
            <a:t>is appropriated for  the Anti - Covid 2019 Program to prevent and control the spread of the Corona virus disease.</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The special provisions in the General Appropriations Act on the use of the National Tax Allotment have been strictly observed.</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All procurement activities of the city shall be implemented in accordance with the provisions of RA 9184 otherwise known as the Government Procurement Reform Act.</a:t>
          </a: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OPERATION OF ECONOMIC ENTERPRISES</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Our </a:t>
          </a:r>
          <a:r>
            <a:rPr lang="en-US" sz="900" b="1">
              <a:solidFill>
                <a:schemeClr val="dk1"/>
              </a:solidFill>
              <a:effectLst/>
              <a:latin typeface="+mn-lt"/>
              <a:ea typeface="+mn-ea"/>
              <a:cs typeface="+mn-cs"/>
            </a:rPr>
            <a:t>Local Economic Enterprise (LEE)</a:t>
          </a:r>
          <a:r>
            <a:rPr lang="en-US" sz="900">
              <a:solidFill>
                <a:schemeClr val="dk1"/>
              </a:solidFill>
              <a:effectLst/>
              <a:latin typeface="+mn-lt"/>
              <a:ea typeface="+mn-ea"/>
              <a:cs typeface="+mn-cs"/>
            </a:rPr>
            <a:t> Operations have provided much to the delivery of basic services in our city. For Calendar Year 2022, </a:t>
          </a:r>
          <a:r>
            <a:rPr lang="en-US" sz="900" b="1">
              <a:solidFill>
                <a:schemeClr val="dk1"/>
              </a:solidFill>
              <a:effectLst/>
              <a:latin typeface="+mn-lt"/>
              <a:ea typeface="+mn-ea"/>
              <a:cs typeface="+mn-cs"/>
            </a:rPr>
            <a:t>12.75%</a:t>
          </a:r>
          <a:r>
            <a:rPr lang="en-US" sz="900">
              <a:solidFill>
                <a:schemeClr val="dk1"/>
              </a:solidFill>
              <a:effectLst/>
              <a:latin typeface="+mn-lt"/>
              <a:ea typeface="+mn-ea"/>
              <a:cs typeface="+mn-cs"/>
            </a:rPr>
            <a:t> of the city’s total budget is from our LEEs. We projected a total revenue amounting to TWO HUNDRED SIX MILLION TWO HUNDRED FIFTY THOUSAND PESOS (</a:t>
          </a:r>
          <a:r>
            <a:rPr lang="en-US" sz="900" b="1">
              <a:solidFill>
                <a:schemeClr val="dk1"/>
              </a:solidFill>
              <a:effectLst/>
              <a:latin typeface="+mn-lt"/>
              <a:ea typeface="+mn-ea"/>
              <a:cs typeface="+mn-cs"/>
            </a:rPr>
            <a:t>P206,250,000.00) </a:t>
          </a:r>
          <a:r>
            <a:rPr lang="en-US" sz="900">
              <a:solidFill>
                <a:schemeClr val="dk1"/>
              </a:solidFill>
              <a:effectLst/>
              <a:latin typeface="+mn-lt"/>
              <a:ea typeface="+mn-ea"/>
              <a:cs typeface="+mn-cs"/>
            </a:rPr>
            <a:t>excluding subsidy. The breakdown is graphically shown in Exhibit 8. </a:t>
          </a:r>
        </a:p>
        <a:p>
          <a:r>
            <a:rPr lang="en-US" sz="900" i="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i="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The tables below present a summary of projected revenues and expenditures of the local economic enterprises:</a:t>
          </a: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endParaRPr lang="en-US" sz="900"/>
        </a:p>
      </xdr:txBody>
    </xdr:sp>
    <xdr:clientData/>
  </xdr:twoCellAnchor>
  <xdr:twoCellAnchor editAs="oneCell">
    <xdr:from>
      <xdr:col>11</xdr:col>
      <xdr:colOff>225836</xdr:colOff>
      <xdr:row>64</xdr:row>
      <xdr:rowOff>152401</xdr:rowOff>
    </xdr:from>
    <xdr:to>
      <xdr:col>15</xdr:col>
      <xdr:colOff>73436</xdr:colOff>
      <xdr:row>72</xdr:row>
      <xdr:rowOff>152401</xdr:rowOff>
    </xdr:to>
    <xdr:pic>
      <xdr:nvPicPr>
        <xdr:cNvPr id="2050" name="Picture 2049"/>
        <xdr:cNvPicPr>
          <a:picLocks noChangeAspect="1"/>
        </xdr:cNvPicPr>
      </xdr:nvPicPr>
      <xdr:blipFill>
        <a:blip xmlns:r="http://schemas.openxmlformats.org/officeDocument/2006/relationships" r:embed="rId9"/>
        <a:stretch>
          <a:fillRect/>
        </a:stretch>
      </xdr:blipFill>
      <xdr:spPr>
        <a:xfrm>
          <a:off x="6931436" y="12344401"/>
          <a:ext cx="2286000" cy="1524000"/>
        </a:xfrm>
        <a:prstGeom prst="rect">
          <a:avLst/>
        </a:prstGeom>
      </xdr:spPr>
    </xdr:pic>
    <xdr:clientData/>
  </xdr:twoCellAnchor>
  <xdr:twoCellAnchor editAs="oneCell">
    <xdr:from>
      <xdr:col>9</xdr:col>
      <xdr:colOff>381001</xdr:colOff>
      <xdr:row>76</xdr:row>
      <xdr:rowOff>114301</xdr:rowOff>
    </xdr:from>
    <xdr:to>
      <xdr:col>15</xdr:col>
      <xdr:colOff>495301</xdr:colOff>
      <xdr:row>83</xdr:row>
      <xdr:rowOff>1</xdr:rowOff>
    </xdr:to>
    <xdr:pic>
      <xdr:nvPicPr>
        <xdr:cNvPr id="40" name="Picture 39"/>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867401" y="14592301"/>
          <a:ext cx="3771900" cy="1219200"/>
        </a:xfrm>
        <a:prstGeom prst="rect">
          <a:avLst/>
        </a:prstGeom>
        <a:noFill/>
        <a:ln>
          <a:noFill/>
        </a:ln>
      </xdr:spPr>
    </xdr:pic>
    <xdr:clientData/>
  </xdr:twoCellAnchor>
  <xdr:twoCellAnchor editAs="oneCell">
    <xdr:from>
      <xdr:col>9</xdr:col>
      <xdr:colOff>457200</xdr:colOff>
      <xdr:row>83</xdr:row>
      <xdr:rowOff>152400</xdr:rowOff>
    </xdr:from>
    <xdr:to>
      <xdr:col>16</xdr:col>
      <xdr:colOff>152400</xdr:colOff>
      <xdr:row>89</xdr:row>
      <xdr:rowOff>76200</xdr:rowOff>
    </xdr:to>
    <xdr:pic>
      <xdr:nvPicPr>
        <xdr:cNvPr id="41" name="Picture 40"/>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943600" y="15963900"/>
          <a:ext cx="3962400" cy="1066800"/>
        </a:xfrm>
        <a:prstGeom prst="rect">
          <a:avLst/>
        </a:prstGeom>
        <a:noFill/>
        <a:ln>
          <a:noFill/>
        </a:ln>
      </xdr:spPr>
    </xdr:pic>
    <xdr:clientData/>
  </xdr:twoCellAnchor>
  <xdr:twoCellAnchor>
    <xdr:from>
      <xdr:col>18</xdr:col>
      <xdr:colOff>228600</xdr:colOff>
      <xdr:row>49</xdr:row>
      <xdr:rowOff>38100</xdr:rowOff>
    </xdr:from>
    <xdr:to>
      <xdr:col>26</xdr:col>
      <xdr:colOff>152400</xdr:colOff>
      <xdr:row>92</xdr:row>
      <xdr:rowOff>76200</xdr:rowOff>
    </xdr:to>
    <xdr:sp macro="" textlink="">
      <xdr:nvSpPr>
        <xdr:cNvPr id="2051" name="TextBox 2050"/>
        <xdr:cNvSpPr txBox="1"/>
      </xdr:nvSpPr>
      <xdr:spPr>
        <a:xfrm>
          <a:off x="11201400" y="9372600"/>
          <a:ext cx="4800600" cy="822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The creation of these local economic enterprises is based on their sustained financial viability to support its operations while delivering quality goods and services to the general public. However, the City Hospital is subsidized by the General Fund specially during this pandemic times due to the decrease in the number of patients.   Cash transfers shall not be used to fund the PS requirements of the said economic enterprise.  </a:t>
          </a: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CONCLUSION</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b="1">
              <a:solidFill>
                <a:schemeClr val="dk1"/>
              </a:solidFill>
              <a:effectLst/>
              <a:latin typeface="+mn-lt"/>
              <a:ea typeface="+mn-ea"/>
              <a:cs typeface="+mn-cs"/>
            </a:rPr>
            <a:t> </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Honorable Members of the Sangguniang Panlungsod, the next year will not be easy for us still.  We have suffered and continue to face the effects of this pandemic.  Some have suffered the loss of their loved ones, our health and that of our families are threatened and our finances are stretched to their limits.  We have gone through a lot these past months.   Nevertheless, we will overcome this challenge.  We hope that the worst will be over soon, we hope for an end of COVID – 19.   We hope to rise and recover from this setback.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Gentlemen and lady of the city council, this proposed Annual Budget for CY 2022 shows our commitment to improve and make better the lives of San Carloseños.  With your prompt approval of this proposed Annual Budget, our constituents will be ensured of a free, healthy, comfortable and secure life for all.</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May we always be united in achieving our goals in serving our people.</a:t>
          </a:r>
        </a:p>
        <a:p>
          <a:r>
            <a:rPr lang="en-US" sz="900">
              <a:solidFill>
                <a:schemeClr val="dk1"/>
              </a:solidFill>
              <a:effectLst/>
              <a:latin typeface="+mn-lt"/>
              <a:ea typeface="+mn-ea"/>
              <a:cs typeface="+mn-cs"/>
            </a:rPr>
            <a:t>                                                                                                                                                                                                                                                                                                                                                                                                                                                                                                                                                                                                                       </a:t>
          </a:r>
        </a:p>
        <a:p>
          <a:r>
            <a:rPr lang="en-US" sz="900" i="1">
              <a:solidFill>
                <a:schemeClr val="dk1"/>
              </a:solidFill>
              <a:effectLst/>
              <a:latin typeface="+mn-lt"/>
              <a:ea typeface="+mn-ea"/>
              <a:cs typeface="+mn-cs"/>
            </a:rPr>
            <a:t>Vamos!  San Carlos!</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a:solidFill>
                <a:schemeClr val="dk1"/>
              </a:solidFill>
              <a:effectLst/>
              <a:latin typeface="+mn-lt"/>
              <a:ea typeface="+mn-ea"/>
              <a:cs typeface="+mn-cs"/>
            </a:rPr>
            <a:t> </a:t>
          </a:r>
        </a:p>
        <a:p>
          <a:r>
            <a:rPr lang="en-US" sz="900" b="1">
              <a:solidFill>
                <a:schemeClr val="dk1"/>
              </a:solidFill>
              <a:effectLst/>
              <a:latin typeface="+mn-lt"/>
              <a:ea typeface="+mn-ea"/>
              <a:cs typeface="+mn-cs"/>
            </a:rPr>
            <a:t>(Signed) RENATO Y. GUSTILO</a:t>
          </a: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       City Mayor</a:t>
          </a:r>
        </a:p>
        <a:p>
          <a:endParaRPr lang="en-US" sz="9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676275</xdr:colOff>
      <xdr:row>427</xdr:row>
      <xdr:rowOff>123825</xdr:rowOff>
    </xdr:from>
    <xdr:to>
      <xdr:col>27</xdr:col>
      <xdr:colOff>828675</xdr:colOff>
      <xdr:row>432</xdr:row>
      <xdr:rowOff>38100</xdr:rowOff>
    </xdr:to>
    <xdr:sp macro="" textlink="">
      <xdr:nvSpPr>
        <xdr:cNvPr id="2" name="AutoShape 1"/>
        <xdr:cNvSpPr>
          <a:spLocks/>
        </xdr:cNvSpPr>
      </xdr:nvSpPr>
      <xdr:spPr bwMode="auto">
        <a:xfrm>
          <a:off x="23307675" y="69265800"/>
          <a:ext cx="152400" cy="723900"/>
        </a:xfrm>
        <a:prstGeom prst="rightBrace">
          <a:avLst>
            <a:gd name="adj1" fmla="val 5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809625</xdr:colOff>
      <xdr:row>335</xdr:row>
      <xdr:rowOff>171450</xdr:rowOff>
    </xdr:from>
    <xdr:to>
      <xdr:col>6</xdr:col>
      <xdr:colOff>200025</xdr:colOff>
      <xdr:row>338</xdr:row>
      <xdr:rowOff>0</xdr:rowOff>
    </xdr:to>
    <xdr:sp macro="" textlink="">
      <xdr:nvSpPr>
        <xdr:cNvPr id="3" name="AutoShape 176"/>
        <xdr:cNvSpPr>
          <a:spLocks/>
        </xdr:cNvSpPr>
      </xdr:nvSpPr>
      <xdr:spPr bwMode="auto">
        <a:xfrm>
          <a:off x="5000625" y="54406800"/>
          <a:ext cx="228600" cy="323850"/>
        </a:xfrm>
        <a:prstGeom prst="rightBrace">
          <a:avLst>
            <a:gd name="adj1" fmla="val 1785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819150</xdr:colOff>
      <xdr:row>338</xdr:row>
      <xdr:rowOff>9525</xdr:rowOff>
    </xdr:from>
    <xdr:to>
      <xdr:col>6</xdr:col>
      <xdr:colOff>257175</xdr:colOff>
      <xdr:row>348</xdr:row>
      <xdr:rowOff>171450</xdr:rowOff>
    </xdr:to>
    <xdr:sp macro="" textlink="">
      <xdr:nvSpPr>
        <xdr:cNvPr id="4" name="AutoShape 177"/>
        <xdr:cNvSpPr>
          <a:spLocks/>
        </xdr:cNvSpPr>
      </xdr:nvSpPr>
      <xdr:spPr bwMode="auto">
        <a:xfrm>
          <a:off x="5010150" y="54740175"/>
          <a:ext cx="276225" cy="1771650"/>
        </a:xfrm>
        <a:prstGeom prst="rightBrace">
          <a:avLst>
            <a:gd name="adj1" fmla="val 727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781050</xdr:colOff>
      <xdr:row>349</xdr:row>
      <xdr:rowOff>0</xdr:rowOff>
    </xdr:from>
    <xdr:to>
      <xdr:col>7</xdr:col>
      <xdr:colOff>28575</xdr:colOff>
      <xdr:row>358</xdr:row>
      <xdr:rowOff>180975</xdr:rowOff>
    </xdr:to>
    <xdr:sp macro="" textlink="">
      <xdr:nvSpPr>
        <xdr:cNvPr id="5" name="AutoShape 178"/>
        <xdr:cNvSpPr>
          <a:spLocks/>
        </xdr:cNvSpPr>
      </xdr:nvSpPr>
      <xdr:spPr bwMode="auto">
        <a:xfrm>
          <a:off x="4972050" y="56511825"/>
          <a:ext cx="923925" cy="1619250"/>
        </a:xfrm>
        <a:prstGeom prst="rightBrace">
          <a:avLst>
            <a:gd name="adj1" fmla="val 5977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800100</xdr:colOff>
      <xdr:row>360</xdr:row>
      <xdr:rowOff>19050</xdr:rowOff>
    </xdr:from>
    <xdr:to>
      <xdr:col>6</xdr:col>
      <xdr:colOff>161925</xdr:colOff>
      <xdr:row>361</xdr:row>
      <xdr:rowOff>171450</xdr:rowOff>
    </xdr:to>
    <xdr:sp macro="" textlink="">
      <xdr:nvSpPr>
        <xdr:cNvPr id="6" name="AutoShape 179"/>
        <xdr:cNvSpPr>
          <a:spLocks/>
        </xdr:cNvSpPr>
      </xdr:nvSpPr>
      <xdr:spPr bwMode="auto">
        <a:xfrm>
          <a:off x="4991100" y="58312050"/>
          <a:ext cx="200025" cy="304800"/>
        </a:xfrm>
        <a:prstGeom prst="rightBrace">
          <a:avLst>
            <a:gd name="adj1" fmla="val 1813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733425</xdr:colOff>
      <xdr:row>362</xdr:row>
      <xdr:rowOff>28575</xdr:rowOff>
    </xdr:from>
    <xdr:to>
      <xdr:col>6</xdr:col>
      <xdr:colOff>228600</xdr:colOff>
      <xdr:row>371</xdr:row>
      <xdr:rowOff>19050</xdr:rowOff>
    </xdr:to>
    <xdr:sp macro="" textlink="">
      <xdr:nvSpPr>
        <xdr:cNvPr id="7" name="AutoShape 180"/>
        <xdr:cNvSpPr>
          <a:spLocks/>
        </xdr:cNvSpPr>
      </xdr:nvSpPr>
      <xdr:spPr bwMode="auto">
        <a:xfrm>
          <a:off x="4924425" y="58645425"/>
          <a:ext cx="333375" cy="1447800"/>
        </a:xfrm>
        <a:prstGeom prst="rightBrace">
          <a:avLst>
            <a:gd name="adj1" fmla="val 5402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742950</xdr:colOff>
      <xdr:row>370</xdr:row>
      <xdr:rowOff>180975</xdr:rowOff>
    </xdr:from>
    <xdr:to>
      <xdr:col>6</xdr:col>
      <xdr:colOff>285750</xdr:colOff>
      <xdr:row>380</xdr:row>
      <xdr:rowOff>38100</xdr:rowOff>
    </xdr:to>
    <xdr:sp macro="" textlink="">
      <xdr:nvSpPr>
        <xdr:cNvPr id="8" name="AutoShape 181"/>
        <xdr:cNvSpPr>
          <a:spLocks/>
        </xdr:cNvSpPr>
      </xdr:nvSpPr>
      <xdr:spPr bwMode="auto">
        <a:xfrm>
          <a:off x="4933950" y="60074175"/>
          <a:ext cx="381000" cy="1495425"/>
        </a:xfrm>
        <a:prstGeom prst="rightBrace">
          <a:avLst>
            <a:gd name="adj1" fmla="val 541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762000</xdr:colOff>
      <xdr:row>380</xdr:row>
      <xdr:rowOff>19050</xdr:rowOff>
    </xdr:from>
    <xdr:to>
      <xdr:col>6</xdr:col>
      <xdr:colOff>142875</xdr:colOff>
      <xdr:row>389</xdr:row>
      <xdr:rowOff>0</xdr:rowOff>
    </xdr:to>
    <xdr:sp macro="" textlink="">
      <xdr:nvSpPr>
        <xdr:cNvPr id="9" name="AutoShape 182"/>
        <xdr:cNvSpPr>
          <a:spLocks/>
        </xdr:cNvSpPr>
      </xdr:nvSpPr>
      <xdr:spPr bwMode="auto">
        <a:xfrm>
          <a:off x="4953000" y="61550550"/>
          <a:ext cx="219075" cy="1438275"/>
        </a:xfrm>
        <a:prstGeom prst="rightBrace">
          <a:avLst>
            <a:gd name="adj1" fmla="val 9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752475</xdr:colOff>
      <xdr:row>388</xdr:row>
      <xdr:rowOff>180975</xdr:rowOff>
    </xdr:from>
    <xdr:to>
      <xdr:col>6</xdr:col>
      <xdr:colOff>209550</xdr:colOff>
      <xdr:row>397</xdr:row>
      <xdr:rowOff>0</xdr:rowOff>
    </xdr:to>
    <xdr:sp macro="" textlink="">
      <xdr:nvSpPr>
        <xdr:cNvPr id="10" name="AutoShape 183"/>
        <xdr:cNvSpPr>
          <a:spLocks/>
        </xdr:cNvSpPr>
      </xdr:nvSpPr>
      <xdr:spPr bwMode="auto">
        <a:xfrm>
          <a:off x="4943475" y="62988825"/>
          <a:ext cx="295275" cy="1295400"/>
        </a:xfrm>
        <a:prstGeom prst="rightBrace">
          <a:avLst>
            <a:gd name="adj1" fmla="val 5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714375</xdr:colOff>
      <xdr:row>405</xdr:row>
      <xdr:rowOff>9525</xdr:rowOff>
    </xdr:from>
    <xdr:to>
      <xdr:col>5</xdr:col>
      <xdr:colOff>781050</xdr:colOff>
      <xdr:row>405</xdr:row>
      <xdr:rowOff>85725</xdr:rowOff>
    </xdr:to>
    <xdr:sp macro="" textlink="">
      <xdr:nvSpPr>
        <xdr:cNvPr id="11" name="AutoShape 185"/>
        <xdr:cNvSpPr>
          <a:spLocks/>
        </xdr:cNvSpPr>
      </xdr:nvSpPr>
      <xdr:spPr bwMode="auto">
        <a:xfrm>
          <a:off x="4905375" y="65589150"/>
          <a:ext cx="66675" cy="76200"/>
        </a:xfrm>
        <a:prstGeom prst="rightBrace">
          <a:avLst>
            <a:gd name="adj1" fmla="val 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742950</xdr:colOff>
      <xdr:row>404</xdr:row>
      <xdr:rowOff>180975</xdr:rowOff>
    </xdr:from>
    <xdr:to>
      <xdr:col>6</xdr:col>
      <xdr:colOff>276225</xdr:colOff>
      <xdr:row>407</xdr:row>
      <xdr:rowOff>171450</xdr:rowOff>
    </xdr:to>
    <xdr:sp macro="" textlink="">
      <xdr:nvSpPr>
        <xdr:cNvPr id="12" name="AutoShape 187"/>
        <xdr:cNvSpPr>
          <a:spLocks/>
        </xdr:cNvSpPr>
      </xdr:nvSpPr>
      <xdr:spPr bwMode="auto">
        <a:xfrm>
          <a:off x="4933950" y="65579625"/>
          <a:ext cx="371475" cy="485775"/>
        </a:xfrm>
        <a:prstGeom prst="rightBrace">
          <a:avLst>
            <a:gd name="adj1" fmla="val 17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809625</xdr:colOff>
      <xdr:row>397</xdr:row>
      <xdr:rowOff>9525</xdr:rowOff>
    </xdr:from>
    <xdr:to>
      <xdr:col>6</xdr:col>
      <xdr:colOff>304800</xdr:colOff>
      <xdr:row>400</xdr:row>
      <xdr:rowOff>0</xdr:rowOff>
    </xdr:to>
    <xdr:sp macro="" textlink="">
      <xdr:nvSpPr>
        <xdr:cNvPr id="13" name="AutoShape 188"/>
        <xdr:cNvSpPr>
          <a:spLocks/>
        </xdr:cNvSpPr>
      </xdr:nvSpPr>
      <xdr:spPr bwMode="auto">
        <a:xfrm>
          <a:off x="5000625" y="64293750"/>
          <a:ext cx="333375" cy="476250"/>
        </a:xfrm>
        <a:prstGeom prst="rightBrace">
          <a:avLst>
            <a:gd name="adj1" fmla="val 1987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819150</xdr:colOff>
      <xdr:row>401</xdr:row>
      <xdr:rowOff>19050</xdr:rowOff>
    </xdr:from>
    <xdr:to>
      <xdr:col>6</xdr:col>
      <xdr:colOff>228600</xdr:colOff>
      <xdr:row>404</xdr:row>
      <xdr:rowOff>190500</xdr:rowOff>
    </xdr:to>
    <xdr:sp macro="" textlink="">
      <xdr:nvSpPr>
        <xdr:cNvPr id="14" name="AutoShape 189"/>
        <xdr:cNvSpPr>
          <a:spLocks/>
        </xdr:cNvSpPr>
      </xdr:nvSpPr>
      <xdr:spPr bwMode="auto">
        <a:xfrm>
          <a:off x="5010150" y="64950975"/>
          <a:ext cx="247650" cy="628650"/>
        </a:xfrm>
        <a:prstGeom prst="rightBrace">
          <a:avLst>
            <a:gd name="adj1" fmla="val 28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809625</xdr:colOff>
      <xdr:row>408</xdr:row>
      <xdr:rowOff>190500</xdr:rowOff>
    </xdr:from>
    <xdr:to>
      <xdr:col>7</xdr:col>
      <xdr:colOff>66675</xdr:colOff>
      <xdr:row>412</xdr:row>
      <xdr:rowOff>190500</xdr:rowOff>
    </xdr:to>
    <xdr:sp macro="" textlink="">
      <xdr:nvSpPr>
        <xdr:cNvPr id="15" name="AutoShape 190"/>
        <xdr:cNvSpPr>
          <a:spLocks/>
        </xdr:cNvSpPr>
      </xdr:nvSpPr>
      <xdr:spPr bwMode="auto">
        <a:xfrm>
          <a:off x="5000625" y="66227325"/>
          <a:ext cx="933450" cy="647700"/>
        </a:xfrm>
        <a:prstGeom prst="rightBrace">
          <a:avLst>
            <a:gd name="adj1" fmla="val 2121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828675</xdr:colOff>
      <xdr:row>413</xdr:row>
      <xdr:rowOff>19050</xdr:rowOff>
    </xdr:from>
    <xdr:to>
      <xdr:col>6</xdr:col>
      <xdr:colOff>266700</xdr:colOff>
      <xdr:row>415</xdr:row>
      <xdr:rowOff>180975</xdr:rowOff>
    </xdr:to>
    <xdr:sp macro="" textlink="">
      <xdr:nvSpPr>
        <xdr:cNvPr id="16" name="AutoShape 191"/>
        <xdr:cNvSpPr>
          <a:spLocks/>
        </xdr:cNvSpPr>
      </xdr:nvSpPr>
      <xdr:spPr bwMode="auto">
        <a:xfrm>
          <a:off x="5019675" y="66894075"/>
          <a:ext cx="276225" cy="466725"/>
        </a:xfrm>
        <a:prstGeom prst="rightBrace">
          <a:avLst>
            <a:gd name="adj1" fmla="val 1891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809625</xdr:colOff>
      <xdr:row>417</xdr:row>
      <xdr:rowOff>0</xdr:rowOff>
    </xdr:from>
    <xdr:to>
      <xdr:col>7</xdr:col>
      <xdr:colOff>66675</xdr:colOff>
      <xdr:row>420</xdr:row>
      <xdr:rowOff>171450</xdr:rowOff>
    </xdr:to>
    <xdr:sp macro="" textlink="">
      <xdr:nvSpPr>
        <xdr:cNvPr id="17" name="AutoShape 192"/>
        <xdr:cNvSpPr>
          <a:spLocks/>
        </xdr:cNvSpPr>
      </xdr:nvSpPr>
      <xdr:spPr bwMode="auto">
        <a:xfrm>
          <a:off x="5000625" y="67522725"/>
          <a:ext cx="933450" cy="647700"/>
        </a:xfrm>
        <a:prstGeom prst="rightBrace">
          <a:avLst>
            <a:gd name="adj1" fmla="val 2045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781050</xdr:colOff>
      <xdr:row>421</xdr:row>
      <xdr:rowOff>0</xdr:rowOff>
    </xdr:from>
    <xdr:to>
      <xdr:col>6</xdr:col>
      <xdr:colOff>323850</xdr:colOff>
      <xdr:row>423</xdr:row>
      <xdr:rowOff>190500</xdr:rowOff>
    </xdr:to>
    <xdr:sp macro="" textlink="">
      <xdr:nvSpPr>
        <xdr:cNvPr id="18" name="AutoShape 193"/>
        <xdr:cNvSpPr>
          <a:spLocks/>
        </xdr:cNvSpPr>
      </xdr:nvSpPr>
      <xdr:spPr bwMode="auto">
        <a:xfrm>
          <a:off x="4972050" y="68170425"/>
          <a:ext cx="381000" cy="485775"/>
        </a:xfrm>
        <a:prstGeom prst="rightBrace">
          <a:avLst>
            <a:gd name="adj1" fmla="val 1987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790575</xdr:colOff>
      <xdr:row>425</xdr:row>
      <xdr:rowOff>28575</xdr:rowOff>
    </xdr:from>
    <xdr:to>
      <xdr:col>6</xdr:col>
      <xdr:colOff>323850</xdr:colOff>
      <xdr:row>427</xdr:row>
      <xdr:rowOff>190500</xdr:rowOff>
    </xdr:to>
    <xdr:sp macro="" textlink="">
      <xdr:nvSpPr>
        <xdr:cNvPr id="19" name="AutoShape 194"/>
        <xdr:cNvSpPr>
          <a:spLocks/>
        </xdr:cNvSpPr>
      </xdr:nvSpPr>
      <xdr:spPr bwMode="auto">
        <a:xfrm>
          <a:off x="4981575" y="68846700"/>
          <a:ext cx="371475" cy="457200"/>
        </a:xfrm>
        <a:prstGeom prst="rightBrace">
          <a:avLst>
            <a:gd name="adj1" fmla="val 1891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809625</xdr:colOff>
      <xdr:row>427</xdr:row>
      <xdr:rowOff>190500</xdr:rowOff>
    </xdr:from>
    <xdr:to>
      <xdr:col>6</xdr:col>
      <xdr:colOff>257175</xdr:colOff>
      <xdr:row>430</xdr:row>
      <xdr:rowOff>180975</xdr:rowOff>
    </xdr:to>
    <xdr:sp macro="" textlink="">
      <xdr:nvSpPr>
        <xdr:cNvPr id="20" name="AutoShape 195"/>
        <xdr:cNvSpPr>
          <a:spLocks/>
        </xdr:cNvSpPr>
      </xdr:nvSpPr>
      <xdr:spPr bwMode="auto">
        <a:xfrm>
          <a:off x="5000625" y="69303900"/>
          <a:ext cx="285750" cy="485775"/>
        </a:xfrm>
        <a:prstGeom prst="rightBrace">
          <a:avLst>
            <a:gd name="adj1" fmla="val 1987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838200</xdr:colOff>
      <xdr:row>432</xdr:row>
      <xdr:rowOff>19050</xdr:rowOff>
    </xdr:from>
    <xdr:to>
      <xdr:col>6</xdr:col>
      <xdr:colOff>238125</xdr:colOff>
      <xdr:row>435</xdr:row>
      <xdr:rowOff>19050</xdr:rowOff>
    </xdr:to>
    <xdr:sp macro="" textlink="">
      <xdr:nvSpPr>
        <xdr:cNvPr id="21" name="AutoShape 196"/>
        <xdr:cNvSpPr>
          <a:spLocks/>
        </xdr:cNvSpPr>
      </xdr:nvSpPr>
      <xdr:spPr bwMode="auto">
        <a:xfrm>
          <a:off x="5029200" y="69970650"/>
          <a:ext cx="238125" cy="485775"/>
        </a:xfrm>
        <a:prstGeom prst="rightBrace">
          <a:avLst>
            <a:gd name="adj1" fmla="val 21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809625</xdr:colOff>
      <xdr:row>435</xdr:row>
      <xdr:rowOff>19050</xdr:rowOff>
    </xdr:from>
    <xdr:to>
      <xdr:col>6</xdr:col>
      <xdr:colOff>266700</xdr:colOff>
      <xdr:row>438</xdr:row>
      <xdr:rowOff>180975</xdr:rowOff>
    </xdr:to>
    <xdr:sp macro="" textlink="">
      <xdr:nvSpPr>
        <xdr:cNvPr id="22" name="AutoShape 197"/>
        <xdr:cNvSpPr>
          <a:spLocks/>
        </xdr:cNvSpPr>
      </xdr:nvSpPr>
      <xdr:spPr bwMode="auto">
        <a:xfrm>
          <a:off x="5000625" y="70456425"/>
          <a:ext cx="295275" cy="628650"/>
        </a:xfrm>
        <a:prstGeom prst="rightBrace">
          <a:avLst>
            <a:gd name="adj1" fmla="val 2564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809625</xdr:colOff>
      <xdr:row>440</xdr:row>
      <xdr:rowOff>19050</xdr:rowOff>
    </xdr:from>
    <xdr:to>
      <xdr:col>6</xdr:col>
      <xdr:colOff>209550</xdr:colOff>
      <xdr:row>441</xdr:row>
      <xdr:rowOff>180975</xdr:rowOff>
    </xdr:to>
    <xdr:sp macro="" textlink="">
      <xdr:nvSpPr>
        <xdr:cNvPr id="23" name="AutoShape 198"/>
        <xdr:cNvSpPr>
          <a:spLocks/>
        </xdr:cNvSpPr>
      </xdr:nvSpPr>
      <xdr:spPr bwMode="auto">
        <a:xfrm>
          <a:off x="5000625" y="71266050"/>
          <a:ext cx="238125" cy="304800"/>
        </a:xfrm>
        <a:prstGeom prst="rightBrace">
          <a:avLst>
            <a:gd name="adj1" fmla="val 1439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809625</xdr:colOff>
      <xdr:row>442</xdr:row>
      <xdr:rowOff>0</xdr:rowOff>
    </xdr:from>
    <xdr:to>
      <xdr:col>6</xdr:col>
      <xdr:colOff>295275</xdr:colOff>
      <xdr:row>444</xdr:row>
      <xdr:rowOff>152400</xdr:rowOff>
    </xdr:to>
    <xdr:sp macro="" textlink="">
      <xdr:nvSpPr>
        <xdr:cNvPr id="24" name="AutoShape 199"/>
        <xdr:cNvSpPr>
          <a:spLocks/>
        </xdr:cNvSpPr>
      </xdr:nvSpPr>
      <xdr:spPr bwMode="auto">
        <a:xfrm>
          <a:off x="5000625" y="71570850"/>
          <a:ext cx="323850" cy="476250"/>
        </a:xfrm>
        <a:prstGeom prst="rightBrace">
          <a:avLst>
            <a:gd name="adj1" fmla="val 185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838200</xdr:colOff>
      <xdr:row>444</xdr:row>
      <xdr:rowOff>171450</xdr:rowOff>
    </xdr:from>
    <xdr:to>
      <xdr:col>6</xdr:col>
      <xdr:colOff>200025</xdr:colOff>
      <xdr:row>447</xdr:row>
      <xdr:rowOff>171450</xdr:rowOff>
    </xdr:to>
    <xdr:sp macro="" textlink="">
      <xdr:nvSpPr>
        <xdr:cNvPr id="25" name="AutoShape 200"/>
        <xdr:cNvSpPr>
          <a:spLocks/>
        </xdr:cNvSpPr>
      </xdr:nvSpPr>
      <xdr:spPr bwMode="auto">
        <a:xfrm>
          <a:off x="5029200" y="72056625"/>
          <a:ext cx="200025" cy="485775"/>
        </a:xfrm>
        <a:prstGeom prst="rightBrace">
          <a:avLst>
            <a:gd name="adj1" fmla="val 2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838200</xdr:colOff>
      <xdr:row>449</xdr:row>
      <xdr:rowOff>0</xdr:rowOff>
    </xdr:from>
    <xdr:to>
      <xdr:col>6</xdr:col>
      <xdr:colOff>314325</xdr:colOff>
      <xdr:row>451</xdr:row>
      <xdr:rowOff>180975</xdr:rowOff>
    </xdr:to>
    <xdr:sp macro="" textlink="">
      <xdr:nvSpPr>
        <xdr:cNvPr id="26" name="AutoShape 201"/>
        <xdr:cNvSpPr>
          <a:spLocks/>
        </xdr:cNvSpPr>
      </xdr:nvSpPr>
      <xdr:spPr bwMode="auto">
        <a:xfrm>
          <a:off x="5029200" y="72704325"/>
          <a:ext cx="314325" cy="485775"/>
        </a:xfrm>
        <a:prstGeom prst="rightBrace">
          <a:avLst>
            <a:gd name="adj1" fmla="val 1955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838200</xdr:colOff>
      <xdr:row>452</xdr:row>
      <xdr:rowOff>0</xdr:rowOff>
    </xdr:from>
    <xdr:to>
      <xdr:col>6</xdr:col>
      <xdr:colOff>276225</xdr:colOff>
      <xdr:row>454</xdr:row>
      <xdr:rowOff>0</xdr:rowOff>
    </xdr:to>
    <xdr:sp macro="" textlink="">
      <xdr:nvSpPr>
        <xdr:cNvPr id="27" name="AutoShape 202"/>
        <xdr:cNvSpPr>
          <a:spLocks/>
        </xdr:cNvSpPr>
      </xdr:nvSpPr>
      <xdr:spPr bwMode="auto">
        <a:xfrm>
          <a:off x="5029200" y="73190100"/>
          <a:ext cx="276225" cy="323850"/>
        </a:xfrm>
        <a:prstGeom prst="rightBrace">
          <a:avLst>
            <a:gd name="adj1" fmla="val 134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790575</xdr:colOff>
      <xdr:row>454</xdr:row>
      <xdr:rowOff>9525</xdr:rowOff>
    </xdr:from>
    <xdr:to>
      <xdr:col>6</xdr:col>
      <xdr:colOff>190500</xdr:colOff>
      <xdr:row>456</xdr:row>
      <xdr:rowOff>0</xdr:rowOff>
    </xdr:to>
    <xdr:sp macro="" textlink="">
      <xdr:nvSpPr>
        <xdr:cNvPr id="28" name="AutoShape 203"/>
        <xdr:cNvSpPr>
          <a:spLocks/>
        </xdr:cNvSpPr>
      </xdr:nvSpPr>
      <xdr:spPr bwMode="auto">
        <a:xfrm>
          <a:off x="4981575" y="73523475"/>
          <a:ext cx="238125" cy="314325"/>
        </a:xfrm>
        <a:prstGeom prst="rightBrace">
          <a:avLst>
            <a:gd name="adj1" fmla="val 170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809625</xdr:colOff>
      <xdr:row>456</xdr:row>
      <xdr:rowOff>19050</xdr:rowOff>
    </xdr:from>
    <xdr:to>
      <xdr:col>6</xdr:col>
      <xdr:colOff>228600</xdr:colOff>
      <xdr:row>457</xdr:row>
      <xdr:rowOff>180975</xdr:rowOff>
    </xdr:to>
    <xdr:sp macro="" textlink="">
      <xdr:nvSpPr>
        <xdr:cNvPr id="29" name="AutoShape 204"/>
        <xdr:cNvSpPr>
          <a:spLocks/>
        </xdr:cNvSpPr>
      </xdr:nvSpPr>
      <xdr:spPr bwMode="auto">
        <a:xfrm>
          <a:off x="5000625" y="73856850"/>
          <a:ext cx="257175" cy="304800"/>
        </a:xfrm>
        <a:prstGeom prst="rightBrace">
          <a:avLst>
            <a:gd name="adj1" fmla="val 1319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828675</xdr:colOff>
      <xdr:row>457</xdr:row>
      <xdr:rowOff>190500</xdr:rowOff>
    </xdr:from>
    <xdr:to>
      <xdr:col>6</xdr:col>
      <xdr:colOff>238125</xdr:colOff>
      <xdr:row>460</xdr:row>
      <xdr:rowOff>190500</xdr:rowOff>
    </xdr:to>
    <xdr:sp macro="" textlink="">
      <xdr:nvSpPr>
        <xdr:cNvPr id="30" name="AutoShape 206"/>
        <xdr:cNvSpPr>
          <a:spLocks/>
        </xdr:cNvSpPr>
      </xdr:nvSpPr>
      <xdr:spPr bwMode="auto">
        <a:xfrm>
          <a:off x="5019675" y="74161650"/>
          <a:ext cx="247650" cy="485775"/>
        </a:xfrm>
        <a:prstGeom prst="rightBrace">
          <a:avLst>
            <a:gd name="adj1" fmla="val 21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800100</xdr:colOff>
      <xdr:row>460</xdr:row>
      <xdr:rowOff>190500</xdr:rowOff>
    </xdr:from>
    <xdr:to>
      <xdr:col>6</xdr:col>
      <xdr:colOff>228600</xdr:colOff>
      <xdr:row>462</xdr:row>
      <xdr:rowOff>171450</xdr:rowOff>
    </xdr:to>
    <xdr:sp macro="" textlink="">
      <xdr:nvSpPr>
        <xdr:cNvPr id="31" name="AutoShape 207"/>
        <xdr:cNvSpPr>
          <a:spLocks/>
        </xdr:cNvSpPr>
      </xdr:nvSpPr>
      <xdr:spPr bwMode="auto">
        <a:xfrm>
          <a:off x="4991100" y="74647425"/>
          <a:ext cx="266700" cy="323850"/>
        </a:xfrm>
        <a:prstGeom prst="rightBrace">
          <a:avLst>
            <a:gd name="adj1" fmla="val 1388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465</xdr:row>
      <xdr:rowOff>9525</xdr:rowOff>
    </xdr:from>
    <xdr:to>
      <xdr:col>6</xdr:col>
      <xdr:colOff>228600</xdr:colOff>
      <xdr:row>466</xdr:row>
      <xdr:rowOff>171450</xdr:rowOff>
    </xdr:to>
    <xdr:sp macro="" textlink="">
      <xdr:nvSpPr>
        <xdr:cNvPr id="32" name="AutoShape 208"/>
        <xdr:cNvSpPr>
          <a:spLocks/>
        </xdr:cNvSpPr>
      </xdr:nvSpPr>
      <xdr:spPr bwMode="auto">
        <a:xfrm>
          <a:off x="5029200" y="75304650"/>
          <a:ext cx="228600" cy="314325"/>
        </a:xfrm>
        <a:prstGeom prst="rightBrace">
          <a:avLst>
            <a:gd name="adj1" fmla="val 1319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809625</xdr:colOff>
      <xdr:row>467</xdr:row>
      <xdr:rowOff>0</xdr:rowOff>
    </xdr:from>
    <xdr:to>
      <xdr:col>6</xdr:col>
      <xdr:colOff>219075</xdr:colOff>
      <xdr:row>468</xdr:row>
      <xdr:rowOff>161925</xdr:rowOff>
    </xdr:to>
    <xdr:sp macro="" textlink="">
      <xdr:nvSpPr>
        <xdr:cNvPr id="33" name="AutoShape 209"/>
        <xdr:cNvSpPr>
          <a:spLocks/>
        </xdr:cNvSpPr>
      </xdr:nvSpPr>
      <xdr:spPr bwMode="auto">
        <a:xfrm>
          <a:off x="5000625" y="75618975"/>
          <a:ext cx="247650" cy="323850"/>
        </a:xfrm>
        <a:prstGeom prst="rightBrace">
          <a:avLst>
            <a:gd name="adj1" fmla="val 1376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809625</xdr:colOff>
      <xdr:row>469</xdr:row>
      <xdr:rowOff>0</xdr:rowOff>
    </xdr:from>
    <xdr:to>
      <xdr:col>6</xdr:col>
      <xdr:colOff>314325</xdr:colOff>
      <xdr:row>471</xdr:row>
      <xdr:rowOff>171450</xdr:rowOff>
    </xdr:to>
    <xdr:sp macro="" textlink="">
      <xdr:nvSpPr>
        <xdr:cNvPr id="34" name="AutoShape 210"/>
        <xdr:cNvSpPr>
          <a:spLocks/>
        </xdr:cNvSpPr>
      </xdr:nvSpPr>
      <xdr:spPr bwMode="auto">
        <a:xfrm>
          <a:off x="5000625" y="75942825"/>
          <a:ext cx="342900" cy="485775"/>
        </a:xfrm>
        <a:prstGeom prst="rightBrace">
          <a:avLst>
            <a:gd name="adj1" fmla="val 1923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472</xdr:row>
      <xdr:rowOff>190500</xdr:rowOff>
    </xdr:from>
    <xdr:to>
      <xdr:col>6</xdr:col>
      <xdr:colOff>276225</xdr:colOff>
      <xdr:row>474</xdr:row>
      <xdr:rowOff>190500</xdr:rowOff>
    </xdr:to>
    <xdr:sp macro="" textlink="">
      <xdr:nvSpPr>
        <xdr:cNvPr id="35" name="AutoShape 211"/>
        <xdr:cNvSpPr>
          <a:spLocks/>
        </xdr:cNvSpPr>
      </xdr:nvSpPr>
      <xdr:spPr bwMode="auto">
        <a:xfrm>
          <a:off x="5029200" y="76590525"/>
          <a:ext cx="276225" cy="323850"/>
        </a:xfrm>
        <a:prstGeom prst="rightBrace">
          <a:avLst>
            <a:gd name="adj1" fmla="val 134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800100</xdr:colOff>
      <xdr:row>475</xdr:row>
      <xdr:rowOff>0</xdr:rowOff>
    </xdr:from>
    <xdr:to>
      <xdr:col>6</xdr:col>
      <xdr:colOff>276225</xdr:colOff>
      <xdr:row>477</xdr:row>
      <xdr:rowOff>161925</xdr:rowOff>
    </xdr:to>
    <xdr:sp macro="" textlink="">
      <xdr:nvSpPr>
        <xdr:cNvPr id="36" name="AutoShape 212"/>
        <xdr:cNvSpPr>
          <a:spLocks/>
        </xdr:cNvSpPr>
      </xdr:nvSpPr>
      <xdr:spPr bwMode="auto">
        <a:xfrm>
          <a:off x="4991100" y="76914375"/>
          <a:ext cx="314325" cy="485775"/>
        </a:xfrm>
        <a:prstGeom prst="rightBrace">
          <a:avLst>
            <a:gd name="adj1" fmla="val 1891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819150</xdr:colOff>
      <xdr:row>478</xdr:row>
      <xdr:rowOff>9525</xdr:rowOff>
    </xdr:from>
    <xdr:to>
      <xdr:col>6</xdr:col>
      <xdr:colOff>161925</xdr:colOff>
      <xdr:row>479</xdr:row>
      <xdr:rowOff>190500</xdr:rowOff>
    </xdr:to>
    <xdr:sp macro="" textlink="">
      <xdr:nvSpPr>
        <xdr:cNvPr id="37" name="AutoShape 213"/>
        <xdr:cNvSpPr>
          <a:spLocks/>
        </xdr:cNvSpPr>
      </xdr:nvSpPr>
      <xdr:spPr bwMode="auto">
        <a:xfrm>
          <a:off x="5010150" y="77409675"/>
          <a:ext cx="180975" cy="314325"/>
        </a:xfrm>
        <a:prstGeom prst="rightBrace">
          <a:avLst>
            <a:gd name="adj1" fmla="val 196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838200</xdr:colOff>
      <xdr:row>480</xdr:row>
      <xdr:rowOff>190500</xdr:rowOff>
    </xdr:from>
    <xdr:to>
      <xdr:col>6</xdr:col>
      <xdr:colOff>257175</xdr:colOff>
      <xdr:row>483</xdr:row>
      <xdr:rowOff>171450</xdr:rowOff>
    </xdr:to>
    <xdr:sp macro="" textlink="">
      <xdr:nvSpPr>
        <xdr:cNvPr id="38" name="AutoShape 214"/>
        <xdr:cNvSpPr>
          <a:spLocks/>
        </xdr:cNvSpPr>
      </xdr:nvSpPr>
      <xdr:spPr bwMode="auto">
        <a:xfrm>
          <a:off x="5029200" y="77885925"/>
          <a:ext cx="257175" cy="485775"/>
        </a:xfrm>
        <a:prstGeom prst="rightBrace">
          <a:avLst>
            <a:gd name="adj1" fmla="val 1955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800100</xdr:colOff>
      <xdr:row>483</xdr:row>
      <xdr:rowOff>190500</xdr:rowOff>
    </xdr:from>
    <xdr:to>
      <xdr:col>6</xdr:col>
      <xdr:colOff>161925</xdr:colOff>
      <xdr:row>485</xdr:row>
      <xdr:rowOff>180975</xdr:rowOff>
    </xdr:to>
    <xdr:sp macro="" textlink="">
      <xdr:nvSpPr>
        <xdr:cNvPr id="39" name="AutoShape 215"/>
        <xdr:cNvSpPr>
          <a:spLocks/>
        </xdr:cNvSpPr>
      </xdr:nvSpPr>
      <xdr:spPr bwMode="auto">
        <a:xfrm>
          <a:off x="4991100" y="78371700"/>
          <a:ext cx="200025" cy="323850"/>
        </a:xfrm>
        <a:prstGeom prst="rightBrace">
          <a:avLst>
            <a:gd name="adj1" fmla="val 2009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819150</xdr:colOff>
      <xdr:row>486</xdr:row>
      <xdr:rowOff>0</xdr:rowOff>
    </xdr:from>
    <xdr:to>
      <xdr:col>6</xdr:col>
      <xdr:colOff>190500</xdr:colOff>
      <xdr:row>488</xdr:row>
      <xdr:rowOff>0</xdr:rowOff>
    </xdr:to>
    <xdr:sp macro="" textlink="">
      <xdr:nvSpPr>
        <xdr:cNvPr id="40" name="AutoShape 216"/>
        <xdr:cNvSpPr>
          <a:spLocks/>
        </xdr:cNvSpPr>
      </xdr:nvSpPr>
      <xdr:spPr bwMode="auto">
        <a:xfrm>
          <a:off x="5010150" y="78695550"/>
          <a:ext cx="209550" cy="323850"/>
        </a:xfrm>
        <a:prstGeom prst="rightBrace">
          <a:avLst>
            <a:gd name="adj1" fmla="val 1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838200</xdr:colOff>
      <xdr:row>488</xdr:row>
      <xdr:rowOff>9525</xdr:rowOff>
    </xdr:from>
    <xdr:to>
      <xdr:col>6</xdr:col>
      <xdr:colOff>228600</xdr:colOff>
      <xdr:row>489</xdr:row>
      <xdr:rowOff>190500</xdr:rowOff>
    </xdr:to>
    <xdr:sp macro="" textlink="">
      <xdr:nvSpPr>
        <xdr:cNvPr id="41" name="AutoShape 217"/>
        <xdr:cNvSpPr>
          <a:spLocks/>
        </xdr:cNvSpPr>
      </xdr:nvSpPr>
      <xdr:spPr bwMode="auto">
        <a:xfrm>
          <a:off x="5029200" y="79028925"/>
          <a:ext cx="228600" cy="314325"/>
        </a:xfrm>
        <a:prstGeom prst="rightBrace">
          <a:avLst>
            <a:gd name="adj1" fmla="val 1388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819150</xdr:colOff>
      <xdr:row>489</xdr:row>
      <xdr:rowOff>190500</xdr:rowOff>
    </xdr:from>
    <xdr:to>
      <xdr:col>6</xdr:col>
      <xdr:colOff>257175</xdr:colOff>
      <xdr:row>530</xdr:row>
      <xdr:rowOff>19050</xdr:rowOff>
    </xdr:to>
    <xdr:sp macro="" textlink="">
      <xdr:nvSpPr>
        <xdr:cNvPr id="42" name="AutoShape 218"/>
        <xdr:cNvSpPr>
          <a:spLocks/>
        </xdr:cNvSpPr>
      </xdr:nvSpPr>
      <xdr:spPr bwMode="auto">
        <a:xfrm>
          <a:off x="5010150" y="79343250"/>
          <a:ext cx="276225" cy="6496050"/>
        </a:xfrm>
        <a:prstGeom prst="rightBrace">
          <a:avLst>
            <a:gd name="adj1" fmla="val 27019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1606110</xdr:colOff>
      <xdr:row>37</xdr:row>
      <xdr:rowOff>50298</xdr:rowOff>
    </xdr:from>
    <xdr:ext cx="2432490" cy="937629"/>
    <xdr:sp macro="" textlink="">
      <xdr:nvSpPr>
        <xdr:cNvPr id="2" name="Rectangle 1"/>
        <xdr:cNvSpPr/>
      </xdr:nvSpPr>
      <xdr:spPr>
        <a:xfrm>
          <a:off x="1672785" y="6041523"/>
          <a:ext cx="2432490" cy="937629"/>
        </a:xfrm>
        <a:prstGeom prst="rect">
          <a:avLst/>
        </a:prstGeom>
        <a:noFill/>
      </xdr:spPr>
      <xdr:txBody>
        <a:bodyPr wrap="square" lIns="91440" tIns="45720" rIns="91440" bIns="45720">
          <a:spAutoFit/>
        </a:bodyPr>
        <a:lstStyle/>
        <a:p>
          <a:pPr algn="ctr"/>
          <a:endPar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5</xdr:col>
      <xdr:colOff>762000</xdr:colOff>
      <xdr:row>189</xdr:row>
      <xdr:rowOff>200025</xdr:rowOff>
    </xdr:from>
    <xdr:to>
      <xdr:col>6</xdr:col>
      <xdr:colOff>247650</xdr:colOff>
      <xdr:row>197</xdr:row>
      <xdr:rowOff>200025</xdr:rowOff>
    </xdr:to>
    <xdr:sp macro="" textlink="">
      <xdr:nvSpPr>
        <xdr:cNvPr id="2" name="AutoShape 114"/>
        <xdr:cNvSpPr>
          <a:spLocks/>
        </xdr:cNvSpPr>
      </xdr:nvSpPr>
      <xdr:spPr bwMode="auto">
        <a:xfrm>
          <a:off x="4953000" y="30765750"/>
          <a:ext cx="323850" cy="1295400"/>
        </a:xfrm>
        <a:prstGeom prst="rightBrace">
          <a:avLst>
            <a:gd name="adj1" fmla="val 5238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771525</xdr:colOff>
      <xdr:row>62</xdr:row>
      <xdr:rowOff>0</xdr:rowOff>
    </xdr:from>
    <xdr:to>
      <xdr:col>6</xdr:col>
      <xdr:colOff>123825</xdr:colOff>
      <xdr:row>64</xdr:row>
      <xdr:rowOff>0</xdr:rowOff>
    </xdr:to>
    <xdr:sp macro="" textlink="">
      <xdr:nvSpPr>
        <xdr:cNvPr id="3" name="AutoShape 115"/>
        <xdr:cNvSpPr>
          <a:spLocks/>
        </xdr:cNvSpPr>
      </xdr:nvSpPr>
      <xdr:spPr bwMode="auto">
        <a:xfrm>
          <a:off x="4962525" y="10039350"/>
          <a:ext cx="190500" cy="323850"/>
        </a:xfrm>
        <a:prstGeom prst="rightBrace">
          <a:avLst>
            <a:gd name="adj1" fmla="val 2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733425</xdr:colOff>
      <xdr:row>64</xdr:row>
      <xdr:rowOff>9525</xdr:rowOff>
    </xdr:from>
    <xdr:to>
      <xdr:col>6</xdr:col>
      <xdr:colOff>342900</xdr:colOff>
      <xdr:row>74</xdr:row>
      <xdr:rowOff>161925</xdr:rowOff>
    </xdr:to>
    <xdr:sp macro="" textlink="">
      <xdr:nvSpPr>
        <xdr:cNvPr id="4" name="AutoShape 116"/>
        <xdr:cNvSpPr>
          <a:spLocks/>
        </xdr:cNvSpPr>
      </xdr:nvSpPr>
      <xdr:spPr bwMode="auto">
        <a:xfrm>
          <a:off x="4924425" y="10372725"/>
          <a:ext cx="447675" cy="1771650"/>
        </a:xfrm>
        <a:prstGeom prst="rightBrace">
          <a:avLst>
            <a:gd name="adj1" fmla="val 6344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762000</xdr:colOff>
      <xdr:row>75</xdr:row>
      <xdr:rowOff>0</xdr:rowOff>
    </xdr:from>
    <xdr:to>
      <xdr:col>6</xdr:col>
      <xdr:colOff>257175</xdr:colOff>
      <xdr:row>84</xdr:row>
      <xdr:rowOff>171450</xdr:rowOff>
    </xdr:to>
    <xdr:sp macro="" textlink="">
      <xdr:nvSpPr>
        <xdr:cNvPr id="5" name="AutoShape 117"/>
        <xdr:cNvSpPr>
          <a:spLocks/>
        </xdr:cNvSpPr>
      </xdr:nvSpPr>
      <xdr:spPr bwMode="auto">
        <a:xfrm>
          <a:off x="4953000" y="12144375"/>
          <a:ext cx="333375" cy="1619250"/>
        </a:xfrm>
        <a:prstGeom prst="rightBrace">
          <a:avLst>
            <a:gd name="adj1" fmla="val 6428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800100</xdr:colOff>
      <xdr:row>86</xdr:row>
      <xdr:rowOff>9525</xdr:rowOff>
    </xdr:from>
    <xdr:to>
      <xdr:col>6</xdr:col>
      <xdr:colOff>104775</xdr:colOff>
      <xdr:row>87</xdr:row>
      <xdr:rowOff>200025</xdr:rowOff>
    </xdr:to>
    <xdr:sp macro="" textlink="">
      <xdr:nvSpPr>
        <xdr:cNvPr id="6" name="AutoShape 118"/>
        <xdr:cNvSpPr>
          <a:spLocks/>
        </xdr:cNvSpPr>
      </xdr:nvSpPr>
      <xdr:spPr bwMode="auto">
        <a:xfrm>
          <a:off x="4991100" y="13935075"/>
          <a:ext cx="142875" cy="314325"/>
        </a:xfrm>
        <a:prstGeom prst="rightBrace">
          <a:avLst>
            <a:gd name="adj1" fmla="val 3181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790575</xdr:colOff>
      <xdr:row>87</xdr:row>
      <xdr:rowOff>190500</xdr:rowOff>
    </xdr:from>
    <xdr:to>
      <xdr:col>6</xdr:col>
      <xdr:colOff>266700</xdr:colOff>
      <xdr:row>96</xdr:row>
      <xdr:rowOff>190500</xdr:rowOff>
    </xdr:to>
    <xdr:sp macro="" textlink="">
      <xdr:nvSpPr>
        <xdr:cNvPr id="7" name="AutoShape 119"/>
        <xdr:cNvSpPr>
          <a:spLocks/>
        </xdr:cNvSpPr>
      </xdr:nvSpPr>
      <xdr:spPr bwMode="auto">
        <a:xfrm>
          <a:off x="4981575" y="14249400"/>
          <a:ext cx="314325" cy="1457325"/>
        </a:xfrm>
        <a:prstGeom prst="rightBrace">
          <a:avLst>
            <a:gd name="adj1" fmla="val 634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762000</xdr:colOff>
      <xdr:row>97</xdr:row>
      <xdr:rowOff>19050</xdr:rowOff>
    </xdr:from>
    <xdr:to>
      <xdr:col>6</xdr:col>
      <xdr:colOff>228600</xdr:colOff>
      <xdr:row>105</xdr:row>
      <xdr:rowOff>180975</xdr:rowOff>
    </xdr:to>
    <xdr:sp macro="" textlink="">
      <xdr:nvSpPr>
        <xdr:cNvPr id="8" name="AutoShape 120"/>
        <xdr:cNvSpPr>
          <a:spLocks/>
        </xdr:cNvSpPr>
      </xdr:nvSpPr>
      <xdr:spPr bwMode="auto">
        <a:xfrm>
          <a:off x="4953000" y="15725775"/>
          <a:ext cx="304800" cy="1438275"/>
        </a:xfrm>
        <a:prstGeom prst="rightBrace">
          <a:avLst>
            <a:gd name="adj1" fmla="val 6185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762000</xdr:colOff>
      <xdr:row>106</xdr:row>
      <xdr:rowOff>9525</xdr:rowOff>
    </xdr:from>
    <xdr:to>
      <xdr:col>6</xdr:col>
      <xdr:colOff>371475</xdr:colOff>
      <xdr:row>114</xdr:row>
      <xdr:rowOff>190500</xdr:rowOff>
    </xdr:to>
    <xdr:sp macro="" textlink="">
      <xdr:nvSpPr>
        <xdr:cNvPr id="9" name="AutoShape 121"/>
        <xdr:cNvSpPr>
          <a:spLocks/>
        </xdr:cNvSpPr>
      </xdr:nvSpPr>
      <xdr:spPr bwMode="auto">
        <a:xfrm>
          <a:off x="4953000" y="17173575"/>
          <a:ext cx="447675" cy="1447800"/>
        </a:xfrm>
        <a:prstGeom prst="rightBrace">
          <a:avLst>
            <a:gd name="adj1" fmla="val 5803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762000</xdr:colOff>
      <xdr:row>115</xdr:row>
      <xdr:rowOff>0</xdr:rowOff>
    </xdr:from>
    <xdr:to>
      <xdr:col>6</xdr:col>
      <xdr:colOff>219075</xdr:colOff>
      <xdr:row>117</xdr:row>
      <xdr:rowOff>180975</xdr:rowOff>
    </xdr:to>
    <xdr:sp macro="" textlink="">
      <xdr:nvSpPr>
        <xdr:cNvPr id="10" name="AutoShape 122"/>
        <xdr:cNvSpPr>
          <a:spLocks/>
        </xdr:cNvSpPr>
      </xdr:nvSpPr>
      <xdr:spPr bwMode="auto">
        <a:xfrm>
          <a:off x="4953000" y="18621375"/>
          <a:ext cx="295275" cy="485775"/>
        </a:xfrm>
        <a:prstGeom prst="rightBrace">
          <a:avLst>
            <a:gd name="adj1" fmla="val 21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781050</xdr:colOff>
      <xdr:row>119</xdr:row>
      <xdr:rowOff>19050</xdr:rowOff>
    </xdr:from>
    <xdr:to>
      <xdr:col>6</xdr:col>
      <xdr:colOff>314325</xdr:colOff>
      <xdr:row>122</xdr:row>
      <xdr:rowOff>161925</xdr:rowOff>
    </xdr:to>
    <xdr:sp macro="" textlink="">
      <xdr:nvSpPr>
        <xdr:cNvPr id="11" name="AutoShape 123"/>
        <xdr:cNvSpPr>
          <a:spLocks/>
        </xdr:cNvSpPr>
      </xdr:nvSpPr>
      <xdr:spPr bwMode="auto">
        <a:xfrm>
          <a:off x="4972050" y="19288125"/>
          <a:ext cx="371475" cy="628650"/>
        </a:xfrm>
        <a:prstGeom prst="rightBrace">
          <a:avLst>
            <a:gd name="adj1" fmla="val 259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752475</xdr:colOff>
      <xdr:row>123</xdr:row>
      <xdr:rowOff>19050</xdr:rowOff>
    </xdr:from>
    <xdr:to>
      <xdr:col>6</xdr:col>
      <xdr:colOff>266700</xdr:colOff>
      <xdr:row>131</xdr:row>
      <xdr:rowOff>0</xdr:rowOff>
    </xdr:to>
    <xdr:sp macro="" textlink="">
      <xdr:nvSpPr>
        <xdr:cNvPr id="12" name="AutoShape 124"/>
        <xdr:cNvSpPr>
          <a:spLocks/>
        </xdr:cNvSpPr>
      </xdr:nvSpPr>
      <xdr:spPr bwMode="auto">
        <a:xfrm>
          <a:off x="4943475" y="19935825"/>
          <a:ext cx="352425" cy="1276350"/>
        </a:xfrm>
        <a:prstGeom prst="rightBrace">
          <a:avLst>
            <a:gd name="adj1" fmla="val 5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704850</xdr:colOff>
      <xdr:row>131</xdr:row>
      <xdr:rowOff>9525</xdr:rowOff>
    </xdr:from>
    <xdr:to>
      <xdr:col>6</xdr:col>
      <xdr:colOff>390525</xdr:colOff>
      <xdr:row>133</xdr:row>
      <xdr:rowOff>171450</xdr:rowOff>
    </xdr:to>
    <xdr:sp macro="" textlink="">
      <xdr:nvSpPr>
        <xdr:cNvPr id="13" name="AutoShape 125"/>
        <xdr:cNvSpPr>
          <a:spLocks/>
        </xdr:cNvSpPr>
      </xdr:nvSpPr>
      <xdr:spPr bwMode="auto">
        <a:xfrm>
          <a:off x="4895850" y="21221700"/>
          <a:ext cx="523875" cy="476250"/>
        </a:xfrm>
        <a:prstGeom prst="rightBrace">
          <a:avLst>
            <a:gd name="adj1" fmla="val 1495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771525</xdr:colOff>
      <xdr:row>135</xdr:row>
      <xdr:rowOff>19050</xdr:rowOff>
    </xdr:from>
    <xdr:to>
      <xdr:col>6</xdr:col>
      <xdr:colOff>219075</xdr:colOff>
      <xdr:row>139</xdr:row>
      <xdr:rowOff>0</xdr:rowOff>
    </xdr:to>
    <xdr:sp macro="" textlink="">
      <xdr:nvSpPr>
        <xdr:cNvPr id="14" name="AutoShape 126"/>
        <xdr:cNvSpPr>
          <a:spLocks/>
        </xdr:cNvSpPr>
      </xdr:nvSpPr>
      <xdr:spPr bwMode="auto">
        <a:xfrm>
          <a:off x="4962525" y="21878925"/>
          <a:ext cx="285750" cy="628650"/>
        </a:xfrm>
        <a:prstGeom prst="rightBrace">
          <a:avLst>
            <a:gd name="adj1" fmla="val 2986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695325</xdr:colOff>
      <xdr:row>139</xdr:row>
      <xdr:rowOff>19050</xdr:rowOff>
    </xdr:from>
    <xdr:to>
      <xdr:col>6</xdr:col>
      <xdr:colOff>304800</xdr:colOff>
      <xdr:row>142</xdr:row>
      <xdr:rowOff>19050</xdr:rowOff>
    </xdr:to>
    <xdr:sp macro="" textlink="">
      <xdr:nvSpPr>
        <xdr:cNvPr id="15" name="AutoShape 127"/>
        <xdr:cNvSpPr>
          <a:spLocks/>
        </xdr:cNvSpPr>
      </xdr:nvSpPr>
      <xdr:spPr bwMode="auto">
        <a:xfrm>
          <a:off x="4886325" y="22526625"/>
          <a:ext cx="447675" cy="485775"/>
        </a:xfrm>
        <a:prstGeom prst="rightBrace">
          <a:avLst>
            <a:gd name="adj1" fmla="val 1571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752475</xdr:colOff>
      <xdr:row>143</xdr:row>
      <xdr:rowOff>0</xdr:rowOff>
    </xdr:from>
    <xdr:to>
      <xdr:col>6</xdr:col>
      <xdr:colOff>257175</xdr:colOff>
      <xdr:row>146</xdr:row>
      <xdr:rowOff>190500</xdr:rowOff>
    </xdr:to>
    <xdr:sp macro="" textlink="">
      <xdr:nvSpPr>
        <xdr:cNvPr id="16" name="AutoShape 128"/>
        <xdr:cNvSpPr>
          <a:spLocks/>
        </xdr:cNvSpPr>
      </xdr:nvSpPr>
      <xdr:spPr bwMode="auto">
        <a:xfrm>
          <a:off x="4943475" y="23155275"/>
          <a:ext cx="342900" cy="647700"/>
        </a:xfrm>
        <a:prstGeom prst="rightBrace">
          <a:avLst>
            <a:gd name="adj1" fmla="val 2471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762000</xdr:colOff>
      <xdr:row>147</xdr:row>
      <xdr:rowOff>28575</xdr:rowOff>
    </xdr:from>
    <xdr:to>
      <xdr:col>6</xdr:col>
      <xdr:colOff>342900</xdr:colOff>
      <xdr:row>150</xdr:row>
      <xdr:rowOff>9525</xdr:rowOff>
    </xdr:to>
    <xdr:sp macro="" textlink="">
      <xdr:nvSpPr>
        <xdr:cNvPr id="17" name="AutoShape 129"/>
        <xdr:cNvSpPr>
          <a:spLocks/>
        </xdr:cNvSpPr>
      </xdr:nvSpPr>
      <xdr:spPr bwMode="auto">
        <a:xfrm>
          <a:off x="4953000" y="23831550"/>
          <a:ext cx="419100" cy="466725"/>
        </a:xfrm>
        <a:prstGeom prst="rightBrace">
          <a:avLst>
            <a:gd name="adj1" fmla="val 190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800100</xdr:colOff>
      <xdr:row>149</xdr:row>
      <xdr:rowOff>190500</xdr:rowOff>
    </xdr:from>
    <xdr:to>
      <xdr:col>6</xdr:col>
      <xdr:colOff>228600</xdr:colOff>
      <xdr:row>152</xdr:row>
      <xdr:rowOff>190500</xdr:rowOff>
    </xdr:to>
    <xdr:sp macro="" textlink="">
      <xdr:nvSpPr>
        <xdr:cNvPr id="18" name="AutoShape 130"/>
        <xdr:cNvSpPr>
          <a:spLocks/>
        </xdr:cNvSpPr>
      </xdr:nvSpPr>
      <xdr:spPr bwMode="auto">
        <a:xfrm>
          <a:off x="4991100" y="24288750"/>
          <a:ext cx="266700" cy="485775"/>
        </a:xfrm>
        <a:prstGeom prst="rightBrace">
          <a:avLst>
            <a:gd name="adj1" fmla="val 229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742950</xdr:colOff>
      <xdr:row>153</xdr:row>
      <xdr:rowOff>9525</xdr:rowOff>
    </xdr:from>
    <xdr:to>
      <xdr:col>6</xdr:col>
      <xdr:colOff>266700</xdr:colOff>
      <xdr:row>157</xdr:row>
      <xdr:rowOff>19050</xdr:rowOff>
    </xdr:to>
    <xdr:sp macro="" textlink="">
      <xdr:nvSpPr>
        <xdr:cNvPr id="19" name="AutoShape 131"/>
        <xdr:cNvSpPr>
          <a:spLocks/>
        </xdr:cNvSpPr>
      </xdr:nvSpPr>
      <xdr:spPr bwMode="auto">
        <a:xfrm>
          <a:off x="4933950" y="24784050"/>
          <a:ext cx="361950" cy="657225"/>
        </a:xfrm>
        <a:prstGeom prst="rightBrace">
          <a:avLst>
            <a:gd name="adj1" fmla="val 2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828675</xdr:colOff>
      <xdr:row>158</xdr:row>
      <xdr:rowOff>9525</xdr:rowOff>
    </xdr:from>
    <xdr:to>
      <xdr:col>6</xdr:col>
      <xdr:colOff>209550</xdr:colOff>
      <xdr:row>160</xdr:row>
      <xdr:rowOff>0</xdr:rowOff>
    </xdr:to>
    <xdr:sp macro="" textlink="">
      <xdr:nvSpPr>
        <xdr:cNvPr id="20" name="AutoShape 132"/>
        <xdr:cNvSpPr>
          <a:spLocks/>
        </xdr:cNvSpPr>
      </xdr:nvSpPr>
      <xdr:spPr bwMode="auto">
        <a:xfrm>
          <a:off x="5019675" y="25593675"/>
          <a:ext cx="219075" cy="314325"/>
        </a:xfrm>
        <a:prstGeom prst="rightBrace">
          <a:avLst>
            <a:gd name="adj1" fmla="val 1628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762000</xdr:colOff>
      <xdr:row>160</xdr:row>
      <xdr:rowOff>0</xdr:rowOff>
    </xdr:from>
    <xdr:to>
      <xdr:col>6</xdr:col>
      <xdr:colOff>219075</xdr:colOff>
      <xdr:row>162</xdr:row>
      <xdr:rowOff>200025</xdr:rowOff>
    </xdr:to>
    <xdr:sp macro="" textlink="">
      <xdr:nvSpPr>
        <xdr:cNvPr id="21" name="AutoShape 133"/>
        <xdr:cNvSpPr>
          <a:spLocks/>
        </xdr:cNvSpPr>
      </xdr:nvSpPr>
      <xdr:spPr bwMode="auto">
        <a:xfrm>
          <a:off x="4953000" y="25908000"/>
          <a:ext cx="295275" cy="485775"/>
        </a:xfrm>
        <a:prstGeom prst="rightBrace">
          <a:avLst>
            <a:gd name="adj1" fmla="val 2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771525</xdr:colOff>
      <xdr:row>162</xdr:row>
      <xdr:rowOff>190500</xdr:rowOff>
    </xdr:from>
    <xdr:to>
      <xdr:col>6</xdr:col>
      <xdr:colOff>247650</xdr:colOff>
      <xdr:row>165</xdr:row>
      <xdr:rowOff>190500</xdr:rowOff>
    </xdr:to>
    <xdr:sp macro="" textlink="">
      <xdr:nvSpPr>
        <xdr:cNvPr id="22" name="AutoShape 134"/>
        <xdr:cNvSpPr>
          <a:spLocks/>
        </xdr:cNvSpPr>
      </xdr:nvSpPr>
      <xdr:spPr bwMode="auto">
        <a:xfrm>
          <a:off x="4962525" y="26393775"/>
          <a:ext cx="314325" cy="485775"/>
        </a:xfrm>
        <a:prstGeom prst="rightBrace">
          <a:avLst>
            <a:gd name="adj1" fmla="val 2037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790575</xdr:colOff>
      <xdr:row>167</xdr:row>
      <xdr:rowOff>28575</xdr:rowOff>
    </xdr:from>
    <xdr:to>
      <xdr:col>6</xdr:col>
      <xdr:colOff>257175</xdr:colOff>
      <xdr:row>170</xdr:row>
      <xdr:rowOff>19050</xdr:rowOff>
    </xdr:to>
    <xdr:sp macro="" textlink="">
      <xdr:nvSpPr>
        <xdr:cNvPr id="23" name="AutoShape 135"/>
        <xdr:cNvSpPr>
          <a:spLocks/>
        </xdr:cNvSpPr>
      </xdr:nvSpPr>
      <xdr:spPr bwMode="auto">
        <a:xfrm>
          <a:off x="4981575" y="27070050"/>
          <a:ext cx="304800" cy="476250"/>
        </a:xfrm>
        <a:prstGeom prst="rightBrace">
          <a:avLst>
            <a:gd name="adj1" fmla="val 2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790575</xdr:colOff>
      <xdr:row>170</xdr:row>
      <xdr:rowOff>19050</xdr:rowOff>
    </xdr:from>
    <xdr:to>
      <xdr:col>6</xdr:col>
      <xdr:colOff>95250</xdr:colOff>
      <xdr:row>171</xdr:row>
      <xdr:rowOff>180975</xdr:rowOff>
    </xdr:to>
    <xdr:sp macro="" textlink="">
      <xdr:nvSpPr>
        <xdr:cNvPr id="24" name="AutoShape 136"/>
        <xdr:cNvSpPr>
          <a:spLocks/>
        </xdr:cNvSpPr>
      </xdr:nvSpPr>
      <xdr:spPr bwMode="auto">
        <a:xfrm>
          <a:off x="4981575" y="27546300"/>
          <a:ext cx="142875" cy="304800"/>
        </a:xfrm>
        <a:prstGeom prst="rightBrace">
          <a:avLst>
            <a:gd name="adj1" fmla="val 32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800100</xdr:colOff>
      <xdr:row>172</xdr:row>
      <xdr:rowOff>9525</xdr:rowOff>
    </xdr:from>
    <xdr:to>
      <xdr:col>6</xdr:col>
      <xdr:colOff>180975</xdr:colOff>
      <xdr:row>174</xdr:row>
      <xdr:rowOff>171450</xdr:rowOff>
    </xdr:to>
    <xdr:sp macro="" textlink="">
      <xdr:nvSpPr>
        <xdr:cNvPr id="25" name="AutoShape 137"/>
        <xdr:cNvSpPr>
          <a:spLocks/>
        </xdr:cNvSpPr>
      </xdr:nvSpPr>
      <xdr:spPr bwMode="auto">
        <a:xfrm>
          <a:off x="4991100" y="27860625"/>
          <a:ext cx="219075" cy="476250"/>
        </a:xfrm>
        <a:prstGeom prst="rightBrace">
          <a:avLst>
            <a:gd name="adj1" fmla="val 2675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771525</xdr:colOff>
      <xdr:row>175</xdr:row>
      <xdr:rowOff>19050</xdr:rowOff>
    </xdr:from>
    <xdr:to>
      <xdr:col>6</xdr:col>
      <xdr:colOff>266700</xdr:colOff>
      <xdr:row>177</xdr:row>
      <xdr:rowOff>9525</xdr:rowOff>
    </xdr:to>
    <xdr:sp macro="" textlink="">
      <xdr:nvSpPr>
        <xdr:cNvPr id="26" name="AutoShape 138"/>
        <xdr:cNvSpPr>
          <a:spLocks/>
        </xdr:cNvSpPr>
      </xdr:nvSpPr>
      <xdr:spPr bwMode="auto">
        <a:xfrm>
          <a:off x="4962525" y="28355925"/>
          <a:ext cx="333375" cy="314325"/>
        </a:xfrm>
        <a:prstGeom prst="rightBrace">
          <a:avLst>
            <a:gd name="adj1" fmla="val 1327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752475</xdr:colOff>
      <xdr:row>177</xdr:row>
      <xdr:rowOff>9525</xdr:rowOff>
    </xdr:from>
    <xdr:to>
      <xdr:col>6</xdr:col>
      <xdr:colOff>228600</xdr:colOff>
      <xdr:row>178</xdr:row>
      <xdr:rowOff>190500</xdr:rowOff>
    </xdr:to>
    <xdr:sp macro="" textlink="">
      <xdr:nvSpPr>
        <xdr:cNvPr id="27" name="AutoShape 139"/>
        <xdr:cNvSpPr>
          <a:spLocks/>
        </xdr:cNvSpPr>
      </xdr:nvSpPr>
      <xdr:spPr bwMode="auto">
        <a:xfrm>
          <a:off x="4943475" y="28670250"/>
          <a:ext cx="314325" cy="314325"/>
        </a:xfrm>
        <a:prstGeom prst="rightBrace">
          <a:avLst>
            <a:gd name="adj1" fmla="val 1265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781050</xdr:colOff>
      <xdr:row>179</xdr:row>
      <xdr:rowOff>0</xdr:rowOff>
    </xdr:from>
    <xdr:to>
      <xdr:col>6</xdr:col>
      <xdr:colOff>247650</xdr:colOff>
      <xdr:row>181</xdr:row>
      <xdr:rowOff>200025</xdr:rowOff>
    </xdr:to>
    <xdr:sp macro="" textlink="">
      <xdr:nvSpPr>
        <xdr:cNvPr id="28" name="AutoShape 140"/>
        <xdr:cNvSpPr>
          <a:spLocks/>
        </xdr:cNvSpPr>
      </xdr:nvSpPr>
      <xdr:spPr bwMode="auto">
        <a:xfrm>
          <a:off x="4972050" y="28984575"/>
          <a:ext cx="304800" cy="485775"/>
        </a:xfrm>
        <a:prstGeom prst="rightBrace">
          <a:avLst>
            <a:gd name="adj1" fmla="val 2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800100</xdr:colOff>
      <xdr:row>183</xdr:row>
      <xdr:rowOff>19050</xdr:rowOff>
    </xdr:from>
    <xdr:to>
      <xdr:col>6</xdr:col>
      <xdr:colOff>257175</xdr:colOff>
      <xdr:row>184</xdr:row>
      <xdr:rowOff>190500</xdr:rowOff>
    </xdr:to>
    <xdr:sp macro="" textlink="">
      <xdr:nvSpPr>
        <xdr:cNvPr id="29" name="AutoShape 141"/>
        <xdr:cNvSpPr>
          <a:spLocks/>
        </xdr:cNvSpPr>
      </xdr:nvSpPr>
      <xdr:spPr bwMode="auto">
        <a:xfrm>
          <a:off x="4991100" y="29651325"/>
          <a:ext cx="295275" cy="304800"/>
        </a:xfrm>
        <a:prstGeom prst="rightBrace">
          <a:avLst>
            <a:gd name="adj1" fmla="val 128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771525</xdr:colOff>
      <xdr:row>185</xdr:row>
      <xdr:rowOff>9525</xdr:rowOff>
    </xdr:from>
    <xdr:to>
      <xdr:col>6</xdr:col>
      <xdr:colOff>219075</xdr:colOff>
      <xdr:row>187</xdr:row>
      <xdr:rowOff>171450</xdr:rowOff>
    </xdr:to>
    <xdr:sp macro="" textlink="">
      <xdr:nvSpPr>
        <xdr:cNvPr id="30" name="AutoShape 142"/>
        <xdr:cNvSpPr>
          <a:spLocks/>
        </xdr:cNvSpPr>
      </xdr:nvSpPr>
      <xdr:spPr bwMode="auto">
        <a:xfrm>
          <a:off x="4962525" y="29965650"/>
          <a:ext cx="285750" cy="476250"/>
        </a:xfrm>
        <a:prstGeom prst="rightBrace">
          <a:avLst>
            <a:gd name="adj1" fmla="val 2118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762000</xdr:colOff>
      <xdr:row>188</xdr:row>
      <xdr:rowOff>0</xdr:rowOff>
    </xdr:from>
    <xdr:to>
      <xdr:col>6</xdr:col>
      <xdr:colOff>209550</xdr:colOff>
      <xdr:row>190</xdr:row>
      <xdr:rowOff>0</xdr:rowOff>
    </xdr:to>
    <xdr:sp macro="" textlink="">
      <xdr:nvSpPr>
        <xdr:cNvPr id="31" name="AutoShape 143"/>
        <xdr:cNvSpPr>
          <a:spLocks/>
        </xdr:cNvSpPr>
      </xdr:nvSpPr>
      <xdr:spPr bwMode="auto">
        <a:xfrm>
          <a:off x="4953000" y="30441900"/>
          <a:ext cx="285750" cy="323850"/>
        </a:xfrm>
        <a:prstGeom prst="rightBrace">
          <a:avLst>
            <a:gd name="adj1" fmla="val 152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914400</xdr:colOff>
      <xdr:row>389</xdr:row>
      <xdr:rowOff>0</xdr:rowOff>
    </xdr:from>
    <xdr:to>
      <xdr:col>6</xdr:col>
      <xdr:colOff>152400</xdr:colOff>
      <xdr:row>392</xdr:row>
      <xdr:rowOff>9525</xdr:rowOff>
    </xdr:to>
    <xdr:sp macro="" textlink="">
      <xdr:nvSpPr>
        <xdr:cNvPr id="2" name="AutoShape 272"/>
        <xdr:cNvSpPr>
          <a:spLocks/>
        </xdr:cNvSpPr>
      </xdr:nvSpPr>
      <xdr:spPr bwMode="auto">
        <a:xfrm>
          <a:off x="5029200" y="62988825"/>
          <a:ext cx="152400" cy="495300"/>
        </a:xfrm>
        <a:prstGeom prst="rightBrace">
          <a:avLst>
            <a:gd name="adj1" fmla="val 3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392</xdr:row>
      <xdr:rowOff>38100</xdr:rowOff>
    </xdr:from>
    <xdr:to>
      <xdr:col>6</xdr:col>
      <xdr:colOff>104775</xdr:colOff>
      <xdr:row>393</xdr:row>
      <xdr:rowOff>190500</xdr:rowOff>
    </xdr:to>
    <xdr:sp macro="" textlink="">
      <xdr:nvSpPr>
        <xdr:cNvPr id="3" name="AutoShape 273"/>
        <xdr:cNvSpPr>
          <a:spLocks/>
        </xdr:cNvSpPr>
      </xdr:nvSpPr>
      <xdr:spPr bwMode="auto">
        <a:xfrm>
          <a:off x="5029200" y="63512700"/>
          <a:ext cx="104775" cy="285750"/>
        </a:xfrm>
        <a:prstGeom prst="rightBrace">
          <a:avLst>
            <a:gd name="adj1" fmla="val 2803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394</xdr:row>
      <xdr:rowOff>19050</xdr:rowOff>
    </xdr:from>
    <xdr:to>
      <xdr:col>6</xdr:col>
      <xdr:colOff>133350</xdr:colOff>
      <xdr:row>395</xdr:row>
      <xdr:rowOff>180975</xdr:rowOff>
    </xdr:to>
    <xdr:sp macro="" textlink="">
      <xdr:nvSpPr>
        <xdr:cNvPr id="4" name="AutoShape 274"/>
        <xdr:cNvSpPr>
          <a:spLocks/>
        </xdr:cNvSpPr>
      </xdr:nvSpPr>
      <xdr:spPr bwMode="auto">
        <a:xfrm>
          <a:off x="5029200" y="63817500"/>
          <a:ext cx="133350" cy="304800"/>
        </a:xfrm>
        <a:prstGeom prst="rightBrace">
          <a:avLst>
            <a:gd name="adj1" fmla="val 226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866775</xdr:colOff>
      <xdr:row>396</xdr:row>
      <xdr:rowOff>19050</xdr:rowOff>
    </xdr:from>
    <xdr:to>
      <xdr:col>6</xdr:col>
      <xdr:colOff>228600</xdr:colOff>
      <xdr:row>399</xdr:row>
      <xdr:rowOff>9525</xdr:rowOff>
    </xdr:to>
    <xdr:sp macro="" textlink="">
      <xdr:nvSpPr>
        <xdr:cNvPr id="5" name="AutoShape 275"/>
        <xdr:cNvSpPr>
          <a:spLocks/>
        </xdr:cNvSpPr>
      </xdr:nvSpPr>
      <xdr:spPr bwMode="auto">
        <a:xfrm>
          <a:off x="5029200" y="64141350"/>
          <a:ext cx="228600" cy="476250"/>
        </a:xfrm>
        <a:prstGeom prst="rightBrace">
          <a:avLst>
            <a:gd name="adj1" fmla="val 2152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399</xdr:row>
      <xdr:rowOff>0</xdr:rowOff>
    </xdr:from>
    <xdr:to>
      <xdr:col>6</xdr:col>
      <xdr:colOff>190500</xdr:colOff>
      <xdr:row>401</xdr:row>
      <xdr:rowOff>161925</xdr:rowOff>
    </xdr:to>
    <xdr:sp macro="" textlink="">
      <xdr:nvSpPr>
        <xdr:cNvPr id="6" name="AutoShape 277"/>
        <xdr:cNvSpPr>
          <a:spLocks/>
        </xdr:cNvSpPr>
      </xdr:nvSpPr>
      <xdr:spPr bwMode="auto">
        <a:xfrm>
          <a:off x="5029200" y="64608075"/>
          <a:ext cx="190500" cy="485775"/>
        </a:xfrm>
        <a:prstGeom prst="rightBrace">
          <a:avLst>
            <a:gd name="adj1" fmla="val 2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403</xdr:row>
      <xdr:rowOff>0</xdr:rowOff>
    </xdr:from>
    <xdr:to>
      <xdr:col>6</xdr:col>
      <xdr:colOff>142875</xdr:colOff>
      <xdr:row>405</xdr:row>
      <xdr:rowOff>19050</xdr:rowOff>
    </xdr:to>
    <xdr:sp macro="" textlink="">
      <xdr:nvSpPr>
        <xdr:cNvPr id="7" name="AutoShape 278"/>
        <xdr:cNvSpPr>
          <a:spLocks/>
        </xdr:cNvSpPr>
      </xdr:nvSpPr>
      <xdr:spPr bwMode="auto">
        <a:xfrm>
          <a:off x="5029200" y="65255775"/>
          <a:ext cx="142875" cy="342900"/>
        </a:xfrm>
        <a:prstGeom prst="rightBrace">
          <a:avLst>
            <a:gd name="adj1" fmla="val 24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857250</xdr:colOff>
      <xdr:row>405</xdr:row>
      <xdr:rowOff>0</xdr:rowOff>
    </xdr:from>
    <xdr:to>
      <xdr:col>6</xdr:col>
      <xdr:colOff>161925</xdr:colOff>
      <xdr:row>407</xdr:row>
      <xdr:rowOff>171450</xdr:rowOff>
    </xdr:to>
    <xdr:sp macro="" textlink="">
      <xdr:nvSpPr>
        <xdr:cNvPr id="8" name="AutoShape 279"/>
        <xdr:cNvSpPr>
          <a:spLocks/>
        </xdr:cNvSpPr>
      </xdr:nvSpPr>
      <xdr:spPr bwMode="auto">
        <a:xfrm>
          <a:off x="5029200" y="65579625"/>
          <a:ext cx="161925" cy="485775"/>
        </a:xfrm>
        <a:prstGeom prst="rightBrace">
          <a:avLst>
            <a:gd name="adj1" fmla="val 2941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847725</xdr:colOff>
      <xdr:row>408</xdr:row>
      <xdr:rowOff>9525</xdr:rowOff>
    </xdr:from>
    <xdr:to>
      <xdr:col>6</xdr:col>
      <xdr:colOff>152400</xdr:colOff>
      <xdr:row>409</xdr:row>
      <xdr:rowOff>171450</xdr:rowOff>
    </xdr:to>
    <xdr:sp macro="" textlink="">
      <xdr:nvSpPr>
        <xdr:cNvPr id="9" name="AutoShape 280"/>
        <xdr:cNvSpPr>
          <a:spLocks/>
        </xdr:cNvSpPr>
      </xdr:nvSpPr>
      <xdr:spPr bwMode="auto">
        <a:xfrm>
          <a:off x="5029200" y="66074925"/>
          <a:ext cx="152400" cy="314325"/>
        </a:xfrm>
        <a:prstGeom prst="rightBrace">
          <a:avLst>
            <a:gd name="adj1" fmla="val 1979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410</xdr:row>
      <xdr:rowOff>9525</xdr:rowOff>
    </xdr:from>
    <xdr:to>
      <xdr:col>6</xdr:col>
      <xdr:colOff>123825</xdr:colOff>
      <xdr:row>411</xdr:row>
      <xdr:rowOff>190500</xdr:rowOff>
    </xdr:to>
    <xdr:sp macro="" textlink="">
      <xdr:nvSpPr>
        <xdr:cNvPr id="10" name="AutoShape 281"/>
        <xdr:cNvSpPr>
          <a:spLocks/>
        </xdr:cNvSpPr>
      </xdr:nvSpPr>
      <xdr:spPr bwMode="auto">
        <a:xfrm>
          <a:off x="5029200" y="66398775"/>
          <a:ext cx="123825" cy="314325"/>
        </a:xfrm>
        <a:prstGeom prst="rightBrace">
          <a:avLst>
            <a:gd name="adj1" fmla="val 2564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411</xdr:row>
      <xdr:rowOff>190500</xdr:rowOff>
    </xdr:from>
    <xdr:to>
      <xdr:col>6</xdr:col>
      <xdr:colOff>95250</xdr:colOff>
      <xdr:row>414</xdr:row>
      <xdr:rowOff>0</xdr:rowOff>
    </xdr:to>
    <xdr:sp macro="" textlink="">
      <xdr:nvSpPr>
        <xdr:cNvPr id="11" name="AutoShape 282"/>
        <xdr:cNvSpPr>
          <a:spLocks/>
        </xdr:cNvSpPr>
      </xdr:nvSpPr>
      <xdr:spPr bwMode="auto">
        <a:xfrm>
          <a:off x="5029200" y="66713100"/>
          <a:ext cx="95250" cy="323850"/>
        </a:xfrm>
        <a:prstGeom prst="rightBrace">
          <a:avLst>
            <a:gd name="adj1" fmla="val 35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866775</xdr:colOff>
      <xdr:row>413</xdr:row>
      <xdr:rowOff>190500</xdr:rowOff>
    </xdr:from>
    <xdr:to>
      <xdr:col>6</xdr:col>
      <xdr:colOff>123825</xdr:colOff>
      <xdr:row>417</xdr:row>
      <xdr:rowOff>0</xdr:rowOff>
    </xdr:to>
    <xdr:sp macro="" textlink="">
      <xdr:nvSpPr>
        <xdr:cNvPr id="12" name="AutoShape 283"/>
        <xdr:cNvSpPr>
          <a:spLocks/>
        </xdr:cNvSpPr>
      </xdr:nvSpPr>
      <xdr:spPr bwMode="auto">
        <a:xfrm>
          <a:off x="5029200" y="67036950"/>
          <a:ext cx="123825" cy="485775"/>
        </a:xfrm>
        <a:prstGeom prst="rightBrace">
          <a:avLst>
            <a:gd name="adj1" fmla="val 410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885825</xdr:colOff>
      <xdr:row>417</xdr:row>
      <xdr:rowOff>190500</xdr:rowOff>
    </xdr:from>
    <xdr:to>
      <xdr:col>6</xdr:col>
      <xdr:colOff>180975</xdr:colOff>
      <xdr:row>419</xdr:row>
      <xdr:rowOff>190500</xdr:rowOff>
    </xdr:to>
    <xdr:sp macro="" textlink="">
      <xdr:nvSpPr>
        <xdr:cNvPr id="13" name="AutoShape 284"/>
        <xdr:cNvSpPr>
          <a:spLocks/>
        </xdr:cNvSpPr>
      </xdr:nvSpPr>
      <xdr:spPr bwMode="auto">
        <a:xfrm>
          <a:off x="5029200" y="67684650"/>
          <a:ext cx="180975" cy="323850"/>
        </a:xfrm>
        <a:prstGeom prst="rightBrace">
          <a:avLst>
            <a:gd name="adj1" fmla="val 184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420</xdr:row>
      <xdr:rowOff>0</xdr:rowOff>
    </xdr:from>
    <xdr:to>
      <xdr:col>6</xdr:col>
      <xdr:colOff>209550</xdr:colOff>
      <xdr:row>423</xdr:row>
      <xdr:rowOff>0</xdr:rowOff>
    </xdr:to>
    <xdr:sp macro="" textlink="">
      <xdr:nvSpPr>
        <xdr:cNvPr id="14" name="AutoShape 285"/>
        <xdr:cNvSpPr>
          <a:spLocks/>
        </xdr:cNvSpPr>
      </xdr:nvSpPr>
      <xdr:spPr bwMode="auto">
        <a:xfrm>
          <a:off x="5029200" y="68008500"/>
          <a:ext cx="209550" cy="485775"/>
        </a:xfrm>
        <a:prstGeom prst="rightBrace">
          <a:avLst>
            <a:gd name="adj1" fmla="val 2386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423</xdr:row>
      <xdr:rowOff>19050</xdr:rowOff>
    </xdr:from>
    <xdr:to>
      <xdr:col>6</xdr:col>
      <xdr:colOff>133350</xdr:colOff>
      <xdr:row>424</xdr:row>
      <xdr:rowOff>180975</xdr:rowOff>
    </xdr:to>
    <xdr:sp macro="" textlink="">
      <xdr:nvSpPr>
        <xdr:cNvPr id="15" name="AutoShape 286"/>
        <xdr:cNvSpPr>
          <a:spLocks/>
        </xdr:cNvSpPr>
      </xdr:nvSpPr>
      <xdr:spPr bwMode="auto">
        <a:xfrm>
          <a:off x="5029200" y="68513325"/>
          <a:ext cx="133350" cy="304800"/>
        </a:xfrm>
        <a:prstGeom prst="rightBrace">
          <a:avLst>
            <a:gd name="adj1" fmla="val 226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425</xdr:row>
      <xdr:rowOff>190500</xdr:rowOff>
    </xdr:from>
    <xdr:to>
      <xdr:col>6</xdr:col>
      <xdr:colOff>190500</xdr:colOff>
      <xdr:row>428</xdr:row>
      <xdr:rowOff>171450</xdr:rowOff>
    </xdr:to>
    <xdr:sp macro="" textlink="">
      <xdr:nvSpPr>
        <xdr:cNvPr id="16" name="AutoShape 287"/>
        <xdr:cNvSpPr>
          <a:spLocks/>
        </xdr:cNvSpPr>
      </xdr:nvSpPr>
      <xdr:spPr bwMode="auto">
        <a:xfrm>
          <a:off x="5029200" y="68980050"/>
          <a:ext cx="190500" cy="485775"/>
        </a:xfrm>
        <a:prstGeom prst="rightBrace">
          <a:avLst>
            <a:gd name="adj1" fmla="val 2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857250</xdr:colOff>
      <xdr:row>429</xdr:row>
      <xdr:rowOff>19050</xdr:rowOff>
    </xdr:from>
    <xdr:to>
      <xdr:col>6</xdr:col>
      <xdr:colOff>161925</xdr:colOff>
      <xdr:row>431</xdr:row>
      <xdr:rowOff>28575</xdr:rowOff>
    </xdr:to>
    <xdr:sp macro="" textlink="">
      <xdr:nvSpPr>
        <xdr:cNvPr id="17" name="AutoShape 288"/>
        <xdr:cNvSpPr>
          <a:spLocks/>
        </xdr:cNvSpPr>
      </xdr:nvSpPr>
      <xdr:spPr bwMode="auto">
        <a:xfrm>
          <a:off x="5029200" y="69484875"/>
          <a:ext cx="161925" cy="333375"/>
        </a:xfrm>
        <a:prstGeom prst="rightBrace">
          <a:avLst>
            <a:gd name="adj1" fmla="val 210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885825</xdr:colOff>
      <xdr:row>431</xdr:row>
      <xdr:rowOff>19050</xdr:rowOff>
    </xdr:from>
    <xdr:to>
      <xdr:col>6</xdr:col>
      <xdr:colOff>180975</xdr:colOff>
      <xdr:row>433</xdr:row>
      <xdr:rowOff>0</xdr:rowOff>
    </xdr:to>
    <xdr:sp macro="" textlink="">
      <xdr:nvSpPr>
        <xdr:cNvPr id="18" name="AutoShape 289"/>
        <xdr:cNvSpPr>
          <a:spLocks/>
        </xdr:cNvSpPr>
      </xdr:nvSpPr>
      <xdr:spPr bwMode="auto">
        <a:xfrm>
          <a:off x="5029200" y="69808725"/>
          <a:ext cx="180975" cy="304800"/>
        </a:xfrm>
        <a:prstGeom prst="rightBrace">
          <a:avLst>
            <a:gd name="adj1" fmla="val 175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895350</xdr:colOff>
      <xdr:row>434</xdr:row>
      <xdr:rowOff>0</xdr:rowOff>
    </xdr:from>
    <xdr:to>
      <xdr:col>6</xdr:col>
      <xdr:colOff>95250</xdr:colOff>
      <xdr:row>435</xdr:row>
      <xdr:rowOff>171450</xdr:rowOff>
    </xdr:to>
    <xdr:sp macro="" textlink="">
      <xdr:nvSpPr>
        <xdr:cNvPr id="19" name="AutoShape 290"/>
        <xdr:cNvSpPr>
          <a:spLocks/>
        </xdr:cNvSpPr>
      </xdr:nvSpPr>
      <xdr:spPr bwMode="auto">
        <a:xfrm>
          <a:off x="5029200" y="70275450"/>
          <a:ext cx="95250" cy="323850"/>
        </a:xfrm>
        <a:prstGeom prst="rightBrace">
          <a:avLst>
            <a:gd name="adj1" fmla="val 32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436</xdr:row>
      <xdr:rowOff>19050</xdr:rowOff>
    </xdr:from>
    <xdr:to>
      <xdr:col>6</xdr:col>
      <xdr:colOff>352425</xdr:colOff>
      <xdr:row>482</xdr:row>
      <xdr:rowOff>9525</xdr:rowOff>
    </xdr:to>
    <xdr:sp macro="" textlink="">
      <xdr:nvSpPr>
        <xdr:cNvPr id="20" name="AutoShape 291"/>
        <xdr:cNvSpPr>
          <a:spLocks/>
        </xdr:cNvSpPr>
      </xdr:nvSpPr>
      <xdr:spPr bwMode="auto">
        <a:xfrm>
          <a:off x="5029200" y="70618350"/>
          <a:ext cx="352425" cy="7439025"/>
        </a:xfrm>
        <a:prstGeom prst="rightBrace">
          <a:avLst>
            <a:gd name="adj1" fmla="val 30929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819150</xdr:colOff>
      <xdr:row>290</xdr:row>
      <xdr:rowOff>9525</xdr:rowOff>
    </xdr:from>
    <xdr:to>
      <xdr:col>6</xdr:col>
      <xdr:colOff>228600</xdr:colOff>
      <xdr:row>295</xdr:row>
      <xdr:rowOff>180975</xdr:rowOff>
    </xdr:to>
    <xdr:sp macro="" textlink="">
      <xdr:nvSpPr>
        <xdr:cNvPr id="21" name="AutoShape 293"/>
        <xdr:cNvSpPr>
          <a:spLocks/>
        </xdr:cNvSpPr>
      </xdr:nvSpPr>
      <xdr:spPr bwMode="auto">
        <a:xfrm>
          <a:off x="5010150" y="46967775"/>
          <a:ext cx="247650" cy="962025"/>
        </a:xfrm>
        <a:prstGeom prst="rightBrace">
          <a:avLst>
            <a:gd name="adj1" fmla="val 427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296</xdr:row>
      <xdr:rowOff>28575</xdr:rowOff>
    </xdr:from>
    <xdr:to>
      <xdr:col>6</xdr:col>
      <xdr:colOff>142875</xdr:colOff>
      <xdr:row>297</xdr:row>
      <xdr:rowOff>190500</xdr:rowOff>
    </xdr:to>
    <xdr:sp macro="" textlink="">
      <xdr:nvSpPr>
        <xdr:cNvPr id="22" name="AutoShape 294"/>
        <xdr:cNvSpPr>
          <a:spLocks/>
        </xdr:cNvSpPr>
      </xdr:nvSpPr>
      <xdr:spPr bwMode="auto">
        <a:xfrm>
          <a:off x="5029200" y="47958375"/>
          <a:ext cx="142875" cy="295275"/>
        </a:xfrm>
        <a:prstGeom prst="righ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857250</xdr:colOff>
      <xdr:row>298</xdr:row>
      <xdr:rowOff>9525</xdr:rowOff>
    </xdr:from>
    <xdr:to>
      <xdr:col>6</xdr:col>
      <xdr:colOff>133350</xdr:colOff>
      <xdr:row>300</xdr:row>
      <xdr:rowOff>19050</xdr:rowOff>
    </xdr:to>
    <xdr:sp macro="" textlink="">
      <xdr:nvSpPr>
        <xdr:cNvPr id="23" name="AutoShape 295"/>
        <xdr:cNvSpPr>
          <a:spLocks/>
        </xdr:cNvSpPr>
      </xdr:nvSpPr>
      <xdr:spPr bwMode="auto">
        <a:xfrm>
          <a:off x="5029200" y="48263175"/>
          <a:ext cx="133350" cy="333375"/>
        </a:xfrm>
        <a:prstGeom prst="rightBrace">
          <a:avLst>
            <a:gd name="adj1" fmla="val 2559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828675</xdr:colOff>
      <xdr:row>300</xdr:row>
      <xdr:rowOff>0</xdr:rowOff>
    </xdr:from>
    <xdr:to>
      <xdr:col>6</xdr:col>
      <xdr:colOff>285750</xdr:colOff>
      <xdr:row>308</xdr:row>
      <xdr:rowOff>171450</xdr:rowOff>
    </xdr:to>
    <xdr:sp macro="" textlink="">
      <xdr:nvSpPr>
        <xdr:cNvPr id="24" name="AutoShape 296"/>
        <xdr:cNvSpPr>
          <a:spLocks/>
        </xdr:cNvSpPr>
      </xdr:nvSpPr>
      <xdr:spPr bwMode="auto">
        <a:xfrm>
          <a:off x="5019675" y="48577500"/>
          <a:ext cx="295275" cy="1457325"/>
        </a:xfrm>
        <a:prstGeom prst="rightBrace">
          <a:avLst>
            <a:gd name="adj1" fmla="val 5961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895350</xdr:colOff>
      <xdr:row>309</xdr:row>
      <xdr:rowOff>19050</xdr:rowOff>
    </xdr:from>
    <xdr:to>
      <xdr:col>6</xdr:col>
      <xdr:colOff>190500</xdr:colOff>
      <xdr:row>318</xdr:row>
      <xdr:rowOff>161925</xdr:rowOff>
    </xdr:to>
    <xdr:sp macro="" textlink="">
      <xdr:nvSpPr>
        <xdr:cNvPr id="25" name="AutoShape 297"/>
        <xdr:cNvSpPr>
          <a:spLocks/>
        </xdr:cNvSpPr>
      </xdr:nvSpPr>
      <xdr:spPr bwMode="auto">
        <a:xfrm>
          <a:off x="5029200" y="50053875"/>
          <a:ext cx="190500" cy="1600200"/>
        </a:xfrm>
        <a:prstGeom prst="rightBrace">
          <a:avLst>
            <a:gd name="adj1" fmla="val 8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885825</xdr:colOff>
      <xdr:row>319</xdr:row>
      <xdr:rowOff>19050</xdr:rowOff>
    </xdr:from>
    <xdr:to>
      <xdr:col>6</xdr:col>
      <xdr:colOff>200025</xdr:colOff>
      <xdr:row>327</xdr:row>
      <xdr:rowOff>171450</xdr:rowOff>
    </xdr:to>
    <xdr:sp macro="" textlink="">
      <xdr:nvSpPr>
        <xdr:cNvPr id="26" name="AutoShape 298"/>
        <xdr:cNvSpPr>
          <a:spLocks/>
        </xdr:cNvSpPr>
      </xdr:nvSpPr>
      <xdr:spPr bwMode="auto">
        <a:xfrm>
          <a:off x="5029200" y="51673125"/>
          <a:ext cx="200025" cy="1438275"/>
        </a:xfrm>
        <a:prstGeom prst="rightBrace">
          <a:avLst>
            <a:gd name="adj1" fmla="val 7301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914400</xdr:colOff>
      <xdr:row>328</xdr:row>
      <xdr:rowOff>9525</xdr:rowOff>
    </xdr:from>
    <xdr:to>
      <xdr:col>6</xdr:col>
      <xdr:colOff>200025</xdr:colOff>
      <xdr:row>335</xdr:row>
      <xdr:rowOff>180975</xdr:rowOff>
    </xdr:to>
    <xdr:sp macro="" textlink="">
      <xdr:nvSpPr>
        <xdr:cNvPr id="27" name="AutoShape 299"/>
        <xdr:cNvSpPr>
          <a:spLocks/>
        </xdr:cNvSpPr>
      </xdr:nvSpPr>
      <xdr:spPr bwMode="auto">
        <a:xfrm>
          <a:off x="5029200" y="53120925"/>
          <a:ext cx="200025" cy="1285875"/>
        </a:xfrm>
        <a:prstGeom prst="rightBrace">
          <a:avLst>
            <a:gd name="adj1" fmla="val 65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895350</xdr:colOff>
      <xdr:row>336</xdr:row>
      <xdr:rowOff>9525</xdr:rowOff>
    </xdr:from>
    <xdr:to>
      <xdr:col>6</xdr:col>
      <xdr:colOff>171450</xdr:colOff>
      <xdr:row>337</xdr:row>
      <xdr:rowOff>171450</xdr:rowOff>
    </xdr:to>
    <xdr:sp macro="" textlink="">
      <xdr:nvSpPr>
        <xdr:cNvPr id="28" name="AutoShape 300"/>
        <xdr:cNvSpPr>
          <a:spLocks/>
        </xdr:cNvSpPr>
      </xdr:nvSpPr>
      <xdr:spPr bwMode="auto">
        <a:xfrm>
          <a:off x="5029200" y="54416325"/>
          <a:ext cx="171450" cy="314325"/>
        </a:xfrm>
        <a:prstGeom prst="rightBrace">
          <a:avLst>
            <a:gd name="adj1" fmla="val 1759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904875</xdr:colOff>
      <xdr:row>337</xdr:row>
      <xdr:rowOff>190500</xdr:rowOff>
    </xdr:from>
    <xdr:to>
      <xdr:col>6</xdr:col>
      <xdr:colOff>171450</xdr:colOff>
      <xdr:row>340</xdr:row>
      <xdr:rowOff>0</xdr:rowOff>
    </xdr:to>
    <xdr:sp macro="" textlink="">
      <xdr:nvSpPr>
        <xdr:cNvPr id="29" name="AutoShape 301"/>
        <xdr:cNvSpPr>
          <a:spLocks/>
        </xdr:cNvSpPr>
      </xdr:nvSpPr>
      <xdr:spPr bwMode="auto">
        <a:xfrm>
          <a:off x="5029200" y="54730650"/>
          <a:ext cx="171450" cy="323850"/>
        </a:xfrm>
        <a:prstGeom prst="rightBrace">
          <a:avLst>
            <a:gd name="adj1" fmla="val 1990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857250</xdr:colOff>
      <xdr:row>340</xdr:row>
      <xdr:rowOff>19050</xdr:rowOff>
    </xdr:from>
    <xdr:to>
      <xdr:col>6</xdr:col>
      <xdr:colOff>161925</xdr:colOff>
      <xdr:row>343</xdr:row>
      <xdr:rowOff>190500</xdr:rowOff>
    </xdr:to>
    <xdr:sp macro="" textlink="">
      <xdr:nvSpPr>
        <xdr:cNvPr id="30" name="AutoShape 302"/>
        <xdr:cNvSpPr>
          <a:spLocks/>
        </xdr:cNvSpPr>
      </xdr:nvSpPr>
      <xdr:spPr bwMode="auto">
        <a:xfrm>
          <a:off x="5029200" y="55073550"/>
          <a:ext cx="161925" cy="628650"/>
        </a:xfrm>
        <a:prstGeom prst="rightBrace">
          <a:avLst>
            <a:gd name="adj1" fmla="val 3970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344</xdr:row>
      <xdr:rowOff>19050</xdr:rowOff>
    </xdr:from>
    <xdr:to>
      <xdr:col>6</xdr:col>
      <xdr:colOff>152400</xdr:colOff>
      <xdr:row>346</xdr:row>
      <xdr:rowOff>9525</xdr:rowOff>
    </xdr:to>
    <xdr:sp macro="" textlink="">
      <xdr:nvSpPr>
        <xdr:cNvPr id="31" name="AutoShape 303"/>
        <xdr:cNvSpPr>
          <a:spLocks/>
        </xdr:cNvSpPr>
      </xdr:nvSpPr>
      <xdr:spPr bwMode="auto">
        <a:xfrm>
          <a:off x="5029200" y="55721250"/>
          <a:ext cx="152400" cy="314325"/>
        </a:xfrm>
        <a:prstGeom prst="rightBrace">
          <a:avLst>
            <a:gd name="adj1" fmla="val 2135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866775</xdr:colOff>
      <xdr:row>345</xdr:row>
      <xdr:rowOff>190500</xdr:rowOff>
    </xdr:from>
    <xdr:to>
      <xdr:col>6</xdr:col>
      <xdr:colOff>180975</xdr:colOff>
      <xdr:row>347</xdr:row>
      <xdr:rowOff>180975</xdr:rowOff>
    </xdr:to>
    <xdr:sp macro="" textlink="">
      <xdr:nvSpPr>
        <xdr:cNvPr id="32" name="AutoShape 304"/>
        <xdr:cNvSpPr>
          <a:spLocks/>
        </xdr:cNvSpPr>
      </xdr:nvSpPr>
      <xdr:spPr bwMode="auto">
        <a:xfrm>
          <a:off x="5029200" y="56026050"/>
          <a:ext cx="180975" cy="323850"/>
        </a:xfrm>
        <a:prstGeom prst="rightBrace">
          <a:avLst>
            <a:gd name="adj1" fmla="val 179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885825</xdr:colOff>
      <xdr:row>347</xdr:row>
      <xdr:rowOff>190500</xdr:rowOff>
    </xdr:from>
    <xdr:to>
      <xdr:col>6</xdr:col>
      <xdr:colOff>142875</xdr:colOff>
      <xdr:row>351</xdr:row>
      <xdr:rowOff>180975</xdr:rowOff>
    </xdr:to>
    <xdr:sp macro="" textlink="">
      <xdr:nvSpPr>
        <xdr:cNvPr id="33" name="AutoShape 305"/>
        <xdr:cNvSpPr>
          <a:spLocks/>
        </xdr:cNvSpPr>
      </xdr:nvSpPr>
      <xdr:spPr bwMode="auto">
        <a:xfrm>
          <a:off x="5029200" y="56349900"/>
          <a:ext cx="142875" cy="647700"/>
        </a:xfrm>
        <a:prstGeom prst="rightBrace">
          <a:avLst>
            <a:gd name="adj1" fmla="val 46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895350</xdr:colOff>
      <xdr:row>351</xdr:row>
      <xdr:rowOff>190500</xdr:rowOff>
    </xdr:from>
    <xdr:to>
      <xdr:col>6</xdr:col>
      <xdr:colOff>190500</xdr:colOff>
      <xdr:row>353</xdr:row>
      <xdr:rowOff>190500</xdr:rowOff>
    </xdr:to>
    <xdr:sp macro="" textlink="">
      <xdr:nvSpPr>
        <xdr:cNvPr id="34" name="AutoShape 306"/>
        <xdr:cNvSpPr>
          <a:spLocks/>
        </xdr:cNvSpPr>
      </xdr:nvSpPr>
      <xdr:spPr bwMode="auto">
        <a:xfrm>
          <a:off x="5029200" y="56997600"/>
          <a:ext cx="190500" cy="323850"/>
        </a:xfrm>
        <a:prstGeom prst="rightBrace">
          <a:avLst>
            <a:gd name="adj1" fmla="val 1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895350</xdr:colOff>
      <xdr:row>354</xdr:row>
      <xdr:rowOff>19050</xdr:rowOff>
    </xdr:from>
    <xdr:to>
      <xdr:col>6</xdr:col>
      <xdr:colOff>95250</xdr:colOff>
      <xdr:row>355</xdr:row>
      <xdr:rowOff>180975</xdr:rowOff>
    </xdr:to>
    <xdr:sp macro="" textlink="">
      <xdr:nvSpPr>
        <xdr:cNvPr id="35" name="AutoShape 307"/>
        <xdr:cNvSpPr>
          <a:spLocks/>
        </xdr:cNvSpPr>
      </xdr:nvSpPr>
      <xdr:spPr bwMode="auto">
        <a:xfrm>
          <a:off x="5029200" y="57340500"/>
          <a:ext cx="95250" cy="304800"/>
        </a:xfrm>
        <a:prstGeom prst="rightBrace">
          <a:avLst>
            <a:gd name="adj1" fmla="val 3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356</xdr:row>
      <xdr:rowOff>9525</xdr:rowOff>
    </xdr:from>
    <xdr:to>
      <xdr:col>6</xdr:col>
      <xdr:colOff>180975</xdr:colOff>
      <xdr:row>359</xdr:row>
      <xdr:rowOff>171450</xdr:rowOff>
    </xdr:to>
    <xdr:sp macro="" textlink="">
      <xdr:nvSpPr>
        <xdr:cNvPr id="36" name="AutoShape 308"/>
        <xdr:cNvSpPr>
          <a:spLocks/>
        </xdr:cNvSpPr>
      </xdr:nvSpPr>
      <xdr:spPr bwMode="auto">
        <a:xfrm>
          <a:off x="5029200" y="57654825"/>
          <a:ext cx="180975" cy="638175"/>
        </a:xfrm>
        <a:prstGeom prst="rightBrace">
          <a:avLst>
            <a:gd name="adj1" fmla="val 3508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866775</xdr:colOff>
      <xdr:row>360</xdr:row>
      <xdr:rowOff>19050</xdr:rowOff>
    </xdr:from>
    <xdr:to>
      <xdr:col>6</xdr:col>
      <xdr:colOff>142875</xdr:colOff>
      <xdr:row>362</xdr:row>
      <xdr:rowOff>9525</xdr:rowOff>
    </xdr:to>
    <xdr:sp macro="" textlink="">
      <xdr:nvSpPr>
        <xdr:cNvPr id="37" name="AutoShape 309"/>
        <xdr:cNvSpPr>
          <a:spLocks/>
        </xdr:cNvSpPr>
      </xdr:nvSpPr>
      <xdr:spPr bwMode="auto">
        <a:xfrm>
          <a:off x="5029200" y="58312050"/>
          <a:ext cx="142875" cy="314325"/>
        </a:xfrm>
        <a:prstGeom prst="rightBrace">
          <a:avLst>
            <a:gd name="adj1" fmla="val 227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876300</xdr:colOff>
      <xdr:row>362</xdr:row>
      <xdr:rowOff>9525</xdr:rowOff>
    </xdr:from>
    <xdr:to>
      <xdr:col>6</xdr:col>
      <xdr:colOff>152400</xdr:colOff>
      <xdr:row>363</xdr:row>
      <xdr:rowOff>190500</xdr:rowOff>
    </xdr:to>
    <xdr:sp macro="" textlink="">
      <xdr:nvSpPr>
        <xdr:cNvPr id="38" name="AutoShape 310"/>
        <xdr:cNvSpPr>
          <a:spLocks/>
        </xdr:cNvSpPr>
      </xdr:nvSpPr>
      <xdr:spPr bwMode="auto">
        <a:xfrm>
          <a:off x="5029200" y="58626375"/>
          <a:ext cx="152400" cy="314325"/>
        </a:xfrm>
        <a:prstGeom prst="rightBrace">
          <a:avLst>
            <a:gd name="adj1" fmla="val 2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847725</xdr:colOff>
      <xdr:row>364</xdr:row>
      <xdr:rowOff>9525</xdr:rowOff>
    </xdr:from>
    <xdr:to>
      <xdr:col>6</xdr:col>
      <xdr:colOff>219075</xdr:colOff>
      <xdr:row>367</xdr:row>
      <xdr:rowOff>190500</xdr:rowOff>
    </xdr:to>
    <xdr:sp macro="" textlink="">
      <xdr:nvSpPr>
        <xdr:cNvPr id="39" name="AutoShape 311"/>
        <xdr:cNvSpPr>
          <a:spLocks/>
        </xdr:cNvSpPr>
      </xdr:nvSpPr>
      <xdr:spPr bwMode="auto">
        <a:xfrm>
          <a:off x="5029200" y="58950225"/>
          <a:ext cx="219075" cy="638175"/>
        </a:xfrm>
        <a:prstGeom prst="rightBrace">
          <a:avLst>
            <a:gd name="adj1" fmla="val 2971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885825</xdr:colOff>
      <xdr:row>368</xdr:row>
      <xdr:rowOff>28575</xdr:rowOff>
    </xdr:from>
    <xdr:to>
      <xdr:col>6</xdr:col>
      <xdr:colOff>238125</xdr:colOff>
      <xdr:row>369</xdr:row>
      <xdr:rowOff>180975</xdr:rowOff>
    </xdr:to>
    <xdr:sp macro="" textlink="">
      <xdr:nvSpPr>
        <xdr:cNvPr id="40" name="AutoShape 312"/>
        <xdr:cNvSpPr>
          <a:spLocks/>
        </xdr:cNvSpPr>
      </xdr:nvSpPr>
      <xdr:spPr bwMode="auto">
        <a:xfrm>
          <a:off x="5029200" y="59616975"/>
          <a:ext cx="238125" cy="295275"/>
        </a:xfrm>
        <a:prstGeom prst="rightBrace">
          <a:avLst>
            <a:gd name="adj1" fmla="val 12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904875</xdr:colOff>
      <xdr:row>370</xdr:row>
      <xdr:rowOff>0</xdr:rowOff>
    </xdr:from>
    <xdr:to>
      <xdr:col>6</xdr:col>
      <xdr:colOff>142875</xdr:colOff>
      <xdr:row>371</xdr:row>
      <xdr:rowOff>180975</xdr:rowOff>
    </xdr:to>
    <xdr:sp macro="" textlink="">
      <xdr:nvSpPr>
        <xdr:cNvPr id="41" name="AutoShape 313"/>
        <xdr:cNvSpPr>
          <a:spLocks/>
        </xdr:cNvSpPr>
      </xdr:nvSpPr>
      <xdr:spPr bwMode="auto">
        <a:xfrm>
          <a:off x="5029200" y="59912250"/>
          <a:ext cx="142875" cy="323850"/>
        </a:xfrm>
        <a:prstGeom prst="rightBrace">
          <a:avLst>
            <a:gd name="adj1" fmla="val 22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866775</xdr:colOff>
      <xdr:row>372</xdr:row>
      <xdr:rowOff>19050</xdr:rowOff>
    </xdr:from>
    <xdr:to>
      <xdr:col>6</xdr:col>
      <xdr:colOff>219075</xdr:colOff>
      <xdr:row>375</xdr:row>
      <xdr:rowOff>9525</xdr:rowOff>
    </xdr:to>
    <xdr:sp macro="" textlink="">
      <xdr:nvSpPr>
        <xdr:cNvPr id="42" name="AutoShape 314"/>
        <xdr:cNvSpPr>
          <a:spLocks/>
        </xdr:cNvSpPr>
      </xdr:nvSpPr>
      <xdr:spPr bwMode="auto">
        <a:xfrm>
          <a:off x="5029200" y="60255150"/>
          <a:ext cx="219075" cy="476250"/>
        </a:xfrm>
        <a:prstGeom prst="rightBrace">
          <a:avLst>
            <a:gd name="adj1" fmla="val 2246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895350</xdr:colOff>
      <xdr:row>375</xdr:row>
      <xdr:rowOff>0</xdr:rowOff>
    </xdr:from>
    <xdr:to>
      <xdr:col>6</xdr:col>
      <xdr:colOff>123825</xdr:colOff>
      <xdr:row>378</xdr:row>
      <xdr:rowOff>19050</xdr:rowOff>
    </xdr:to>
    <xdr:sp macro="" textlink="">
      <xdr:nvSpPr>
        <xdr:cNvPr id="43" name="AutoShape 315"/>
        <xdr:cNvSpPr>
          <a:spLocks/>
        </xdr:cNvSpPr>
      </xdr:nvSpPr>
      <xdr:spPr bwMode="auto">
        <a:xfrm>
          <a:off x="5029200" y="60721875"/>
          <a:ext cx="123825" cy="504825"/>
        </a:xfrm>
        <a:prstGeom prst="rightBrace">
          <a:avLst>
            <a:gd name="adj1" fmla="val 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904875</xdr:colOff>
      <xdr:row>379</xdr:row>
      <xdr:rowOff>0</xdr:rowOff>
    </xdr:from>
    <xdr:to>
      <xdr:col>6</xdr:col>
      <xdr:colOff>209550</xdr:colOff>
      <xdr:row>381</xdr:row>
      <xdr:rowOff>190500</xdr:rowOff>
    </xdr:to>
    <xdr:sp macro="" textlink="">
      <xdr:nvSpPr>
        <xdr:cNvPr id="44" name="AutoShape 316"/>
        <xdr:cNvSpPr>
          <a:spLocks/>
        </xdr:cNvSpPr>
      </xdr:nvSpPr>
      <xdr:spPr bwMode="auto">
        <a:xfrm>
          <a:off x="5029200" y="61369575"/>
          <a:ext cx="209550" cy="485775"/>
        </a:xfrm>
        <a:prstGeom prst="rightBrace">
          <a:avLst>
            <a:gd name="adj1" fmla="val 2348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885825</xdr:colOff>
      <xdr:row>382</xdr:row>
      <xdr:rowOff>9525</xdr:rowOff>
    </xdr:from>
    <xdr:to>
      <xdr:col>6</xdr:col>
      <xdr:colOff>200025</xdr:colOff>
      <xdr:row>385</xdr:row>
      <xdr:rowOff>0</xdr:rowOff>
    </xdr:to>
    <xdr:sp macro="" textlink="">
      <xdr:nvSpPr>
        <xdr:cNvPr id="45" name="AutoShape 317"/>
        <xdr:cNvSpPr>
          <a:spLocks/>
        </xdr:cNvSpPr>
      </xdr:nvSpPr>
      <xdr:spPr bwMode="auto">
        <a:xfrm>
          <a:off x="5029200" y="61864875"/>
          <a:ext cx="200025" cy="476250"/>
        </a:xfrm>
        <a:prstGeom prst="rightBrace">
          <a:avLst>
            <a:gd name="adj1" fmla="val 2460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923925</xdr:colOff>
      <xdr:row>385</xdr:row>
      <xdr:rowOff>190500</xdr:rowOff>
    </xdr:from>
    <xdr:to>
      <xdr:col>6</xdr:col>
      <xdr:colOff>142875</xdr:colOff>
      <xdr:row>389</xdr:row>
      <xdr:rowOff>0</xdr:rowOff>
    </xdr:to>
    <xdr:sp macro="" textlink="">
      <xdr:nvSpPr>
        <xdr:cNvPr id="46" name="AutoShape 318"/>
        <xdr:cNvSpPr>
          <a:spLocks/>
        </xdr:cNvSpPr>
      </xdr:nvSpPr>
      <xdr:spPr bwMode="auto">
        <a:xfrm>
          <a:off x="5029200" y="62503050"/>
          <a:ext cx="142875" cy="485775"/>
        </a:xfrm>
        <a:prstGeom prst="rightBrace">
          <a:avLst>
            <a:gd name="adj1" fmla="val 35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SUMMARY.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USER/Desktop/REMOH/REMOH%20-%202020/DEP.ED.%20(GENERAL%20FUND)%202020/GENERAL%20FUND%20MOO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USER/Desktop/QUARTELY%20ULITILIZATION%20&amp;%20SAAOB%202019/2020/SAAO%20GENERAL%20FUND%20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BudgetOffice/Desktop/RAO%202021/SAAOB%20(2021)/quarterly%20(SAAO)%202020/CEMO%20(2nd%20quarter)%20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BudgetOffice/Desktop/RAO%202021/SAAOB%20(2021)/quarterly%20(SAAO)%202020/CEMO%20(4TH%20quarter)%20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BudgetOffice/Desktop/RAO%202021/CEMO%202021/CEMO%20(POW'S)%202021/Sanitation%2020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rive%20C%20Files/Desktop/RAO%202017/AGRI%20RAO%202017/AGRICULTURE%20PS%20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BudgetOffice/Desktop/RAO%202021/SAAOB%20(2021)/quarterly%20(SAAO)%202020/agri%20(projects)%204TH%20quarter%2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BudgetOffice/Desktop/RAO%202021/SAAOB%20(2021)/quarterly%20(SAAO)%202020/agri%20(projects)%202nd%20quarter%20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BudgetOffice/Desktop/RAO%202020/AGRI%20(POW'S)%202020/AGRI%20%20POW'S%202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BudgetOffice/Desktop/RAO%202020/AGRI%202020/AGRI%20(POW'S)%202020/AGRI%20%20POW'S%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BO182/Desktop/SAAOB%20as%20of%20December%2031,%202020/SAAO%20December%2031,%202020%20OK.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BudgetOffice/Desktop/RAO%202021/AGRI%202021/AGRI%20(POW'S)%202021/AGRI%20%20POW'S%20202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INDO%20ANNUAL%20BUDGET%202022/FINAL%202022%20ANNUAL%20BUDGET/PLANTILLA%20202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INDO%20ANNUAL%20BUDGET%202022/FINAL%202022%20ANNUAL%20BUDGET/4TH%20QTR.%20saao%202020%20dind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INDO%20ANNUAL%20BUDGET%202022/FINAL%202022%20ANNUAL%20BUDGET/2nd%20QTR.%20saao%202021%20dind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INDO%20ANNUAL%20BUDGET%202022/di%20mao/ANNUAL%20BUDGET%20CY%202022/PLANTILLA%20202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INDO%20ANNUAL%20BUDGET%202022/FINAL%202022%20ANNUAL%20BUDGET/COMPARATIVE%20APPROPRIATIONS%20-%20ANNUAL%20BUDGET%20CY%20202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user/Desktop/FINAL%202022%20ANNUAL%20BUDGET/4TH%20QTR.%20saao%202020%20dindo.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user/Desktop/FINAL%202022%20ANNUAL%20BUDGET/2nd%20QTR.%20saao%202021%20dind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user/Desktop/RAO%202021/CMO%202021/CMO%20-%20COOPERATIVES%20AND%20LIVELIHOOD%20DEVELOPMENT%20OFFICE%20(CLDO)%20202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NNUAL%20BUDGET%202021%20FILES/FINAL%202020%20RAO/SAAO%202nd%20QUARTER%202020/2nd%20QTR.%20saao%202020%20din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BO182/Desktop/SAAOB%20as%20of%20June%2030,%202021/SAAO%20June%2030,%20202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user/Documents/NEW%20ACCOUNT%20CODE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user/Desktop/ANNUAL%20BUDGET%20CY%202022/4TH%20QTR.%20saao%202020%20dindo.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user/Desktop/ANNUAL%20BUDGET%20CY%202022/2nd%20QTR.%20saao%202021%20dindo.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user/Desktop/ANNUAL%20BUDGET%20CY%202022/PLANTILLA%20202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user/Desktop/ANNUAL%20BUDGET%20CY%202022/RAO%202021/GSD%202021/MOOE%202021%20-%20GSD.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user/Desktop/ANNUAL%20BUDGET%20CY%202022/COMPARATIVE%20APPROPRIATIONS%20-%20ANNUAL%20BUDGET%20CY%20201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user/Desktop/ANNUAL%20BUDGET%20CY%202022/SAAOB%202ND%20QUARTER/SAAO%202nd%20QUARTER%202019/2nd%20QTR.%20saao%202019%20dindo.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user/Desktop/RAO%202021/CITY%20HOSPITAL%202021/MOOE%202021%20-%20HOSPITAL.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user/Desktop/ANNUAL%20BUDGET%20CY%202022/OFFICES%202022-F.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INDO%20ANNUAL%20BUDGET%202022/4TH%20QTR.%20saao%202020%20din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BO182/Desktop/SAAOB%20as%20of%20December%2031,%202020/SAAO%20CPDCO%20December%2031,%202020%20OK.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INDO%20ANNUAL%20BUDGET%202022/2nd%20QTR.%20saao%202021%20dindo.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INDO%20ANNUAL%20BUDGET%202022/COMPARATIVE%20APPROPRIATIONS%20-%20ANNUAL%20BUDGET%20CY%20202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ANNUAL%20BUDGET%202021%20FILES/RAO%202019/SAAOB%204TH%20QUARTER/4TH%20QTR.%20saao%202019%20dind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INDO%20ANNUAL%20BUDGET%202022/SAAOB%202ND%20QUARTER/SAAO%202nd%20QUARTER%202019/2nd%20QTR.%20saao%202019%20dindo.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INDO%20ANNUAL%20BUDGET%202022/COMPARATIVE%20APPROPRIATIONS%20-%20ANNUAL%20BUDGET%20CY%20201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user/Desktop/FINAL%202020%20RAO/SAAO%202nd%20QUARTER%202020/2nd%20QTR.%20saao%202020%20dindo.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INDO%20ANNUAL%20BUDGET%202022/SAAO%204TH%20QUARTER%202018/4TH%20QTR.%20saao%202018%20dindo.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user/Desktop/RAO%202021/CSWD%202021/CSWD%20-%20POW'S%20MOOE%202021/CSWD%20-%20IMPLEMENTATION%20OF%20MDG%20FACES%20202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INDO%20ANNUAL%20BUDGET%202022/ANNUAL%20BUDGET%202021%20FILES/RAO%202019/SAAOB%204TH%20QUARTER/4TH%20QTR.%20saao%202019%20dindo.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INDO%20ANNUAL%20BUDGET%202022/di%20mao/ANNUAL%20BUDGET%20CY%202022/SAAOB%202ND%20QUARTER/SAAO%202nd%20QUARTER%202019/2nd%20QTR.%20saao%202019%20dind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BO182/Desktop/SAAOB%20as%20of%20December%2031,%202020/SAAO%20OHRM%20December%2031,%202020%20OK.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INDO%20ANNUAL%20BUDGET%202022/ANNUAL%20BUDGET%202021%20FILES/FINAL%202020%20RAO/SAAO%202nd%20QUARTER%202020/2nd%20QTR.%20saao%202020%20din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BO182/Desktop/YVONNE%20CHO%20Budget%202020.1st%20Tranche.Aug....correct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2%20SHEILA%20TO%20NOEL/CHO%202022/CHO%202022%20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BO182/Desktop/SAAOB%20as%20of%20December%2031,%202020/SAAO%20CHO%20December%2031,%202020%20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BO182/Desktop/Final%20PAAO%20BUDGET%202021/AYETTE%20-%20FINAL%202021/TERMINAL%20CY%202021%20B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lantilla"/>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sheetName val="PR"/>
      <sheetName val="MAR"/>
      <sheetName val="JUNE"/>
      <sheetName val="SEPTEMBER"/>
    </sheetNames>
    <sheetDataSet>
      <sheetData sheetId="0">
        <row r="12">
          <cell r="E12">
            <v>250000</v>
          </cell>
          <cell r="F12">
            <v>500000</v>
          </cell>
          <cell r="K12">
            <v>192000</v>
          </cell>
          <cell r="M12">
            <v>200000</v>
          </cell>
        </row>
        <row r="21">
          <cell r="J21">
            <v>2328000</v>
          </cell>
        </row>
      </sheetData>
      <sheetData sheetId="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311 March 2020"/>
      <sheetName val="3311JUNE 2020"/>
      <sheetName val="3311 September 2019"/>
      <sheetName val="3311 December 2019"/>
      <sheetName val="3311 JUNE"/>
      <sheetName val="3311 SEPT"/>
      <sheetName val="3311 DEC"/>
      <sheetName val="Sheet1"/>
    </sheetNames>
    <sheetDataSet>
      <sheetData sheetId="0" refreshError="1"/>
      <sheetData sheetId="1">
        <row r="12">
          <cell r="E12">
            <v>31884.47</v>
          </cell>
        </row>
        <row r="19">
          <cell r="E19">
            <v>0</v>
          </cell>
          <cell r="F19">
            <v>300000</v>
          </cell>
        </row>
        <row r="20">
          <cell r="E20">
            <v>0</v>
          </cell>
          <cell r="F20">
            <v>200000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ENFORCEMENT"/>
      <sheetName val="bantay dagat"/>
      <sheetName val="crm"/>
      <sheetName val="bago river"/>
      <sheetName val="marine"/>
      <sheetName val="mknp"/>
      <sheetName val="nnnp"/>
      <sheetName val="multi partite"/>
      <sheetName val="Beautification"/>
      <sheetName val="iec"/>
      <sheetName val="eco center"/>
      <sheetName val="GARBAGE COLLECTION"/>
      <sheetName val="CITY LANES"/>
    </sheetNames>
    <sheetDataSet>
      <sheetData sheetId="0"/>
      <sheetData sheetId="1">
        <row r="16">
          <cell r="E16">
            <v>174957</v>
          </cell>
        </row>
        <row r="17">
          <cell r="E17">
            <v>1206435</v>
          </cell>
        </row>
        <row r="18">
          <cell r="E18">
            <v>6545</v>
          </cell>
        </row>
        <row r="19">
          <cell r="E19">
            <v>42587</v>
          </cell>
        </row>
      </sheetData>
      <sheetData sheetId="2"/>
      <sheetData sheetId="3"/>
      <sheetData sheetId="4"/>
      <sheetData sheetId="5"/>
      <sheetData sheetId="6"/>
      <sheetData sheetId="7"/>
      <sheetData sheetId="8"/>
      <sheetData sheetId="9">
        <row r="15">
          <cell r="E15">
            <v>39112.04</v>
          </cell>
        </row>
        <row r="17">
          <cell r="E17">
            <v>136350</v>
          </cell>
        </row>
        <row r="20">
          <cell r="E20">
            <v>38493</v>
          </cell>
        </row>
      </sheetData>
      <sheetData sheetId="10"/>
      <sheetData sheetId="11"/>
      <sheetData sheetId="12">
        <row r="15">
          <cell r="E15">
            <v>29600</v>
          </cell>
        </row>
        <row r="16">
          <cell r="E16">
            <v>3339555</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ENFORCEMENT"/>
      <sheetName val="bantay dagat"/>
      <sheetName val="crm"/>
      <sheetName val="bago river"/>
      <sheetName val="marine"/>
      <sheetName val="mknp"/>
      <sheetName val="nnnp"/>
      <sheetName val="multi partite"/>
      <sheetName val="Beautification"/>
      <sheetName val="iec"/>
      <sheetName val="eco center"/>
      <sheetName val="GARBAGE COLLECTION"/>
      <sheetName val="CITY LANES"/>
    </sheetNames>
    <sheetDataSet>
      <sheetData sheetId="0"/>
      <sheetData sheetId="1"/>
      <sheetData sheetId="2"/>
      <sheetData sheetId="3"/>
      <sheetData sheetId="4"/>
      <sheetData sheetId="5"/>
      <sheetData sheetId="6"/>
      <sheetData sheetId="7"/>
      <sheetData sheetId="8"/>
      <sheetData sheetId="9">
        <row r="17">
          <cell r="E17">
            <v>502429.96</v>
          </cell>
        </row>
      </sheetData>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650,000.00"/>
      <sheetName val="6,650,000.00 (RELEASE)"/>
      <sheetName val="6,,650,000.00 (PR)"/>
      <sheetName val="meal allowance"/>
      <sheetName val="capital outlay"/>
      <sheetName val="3,850,000.00"/>
      <sheetName val="3,850,000.00 (RELEASE)"/>
      <sheetName val="3,850,000.00 (PR)"/>
      <sheetName val="2,220,000.00"/>
      <sheetName val="2,220,000.00 (RELEASE)"/>
      <sheetName val="2,220,000.00 (PR)"/>
      <sheetName val="OMOE - SUB POW'S"/>
      <sheetName val="5,885,000.00"/>
      <sheetName val="5,885,000.00 (RELEASE)"/>
      <sheetName val="5,885,000.00 (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F18">
            <v>9414805</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sheetName val="JAN"/>
      <sheetName val="FEB"/>
      <sheetName val="MARCH"/>
      <sheetName val="APRIL"/>
      <sheetName val="MAY"/>
      <sheetName val="JUNE"/>
      <sheetName val="JULY"/>
      <sheetName val="AUG"/>
      <sheetName val="SEPT"/>
      <sheetName val="OCT"/>
      <sheetName val="NOV"/>
      <sheetName val="DEC"/>
      <sheetName val="Sheet3"/>
    </sheetNames>
    <sheetDataSet>
      <sheetData sheetId="0" refreshError="1">
        <row r="24">
          <cell r="E24">
            <v>6547632</v>
          </cell>
          <cell r="K24">
            <v>1800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IMAL DISEASE "/>
      <sheetName val="artificial insemination"/>
      <sheetName val="DISPERSAL LARGE FARM ANIMAL"/>
      <sheetName val="DISPERSAL SMALL FARM ANIMAL "/>
      <sheetName val="TECHNICAL &amp; MARKET SUPPORT"/>
      <sheetName val="FRUIT PRODUCTION"/>
      <sheetName val="VEGETABLE PRODUCTION"/>
      <sheetName val="DEV'T. OF AGRI CENTER"/>
      <sheetName val="ORGANIC AGRICULTURE"/>
      <sheetName val="ABACA INDUSTRY"/>
      <sheetName val="BAMBOO PRODUCTION"/>
      <sheetName val="CUTFLOWER INDUSTRY"/>
      <sheetName val="CACAO,COFFEE,PEANUT"/>
      <sheetName val="RABIES ERADICATION"/>
      <sheetName val="RICE PRODUCTION"/>
      <sheetName val="free range chicken"/>
      <sheetName val="mushroom"/>
    </sheetNames>
    <sheetDataSet>
      <sheetData sheetId="0">
        <row r="20">
          <cell r="E20">
            <v>406800</v>
          </cell>
        </row>
        <row r="21">
          <cell r="E21">
            <v>192591</v>
          </cell>
        </row>
        <row r="22">
          <cell r="E22">
            <v>936581.22</v>
          </cell>
        </row>
      </sheetData>
      <sheetData sheetId="1">
        <row r="16">
          <cell r="E16">
            <v>43170</v>
          </cell>
        </row>
        <row r="17">
          <cell r="E17">
            <v>152075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IMAL DISEASE "/>
      <sheetName val="artificial insemination"/>
      <sheetName val="DISPERSAL LARGE FARM ANIMAL"/>
      <sheetName val="DISPERSAL SMALL FARM ANIMAL "/>
      <sheetName val="TECHNICAL &amp; MARKET SUPPORT"/>
      <sheetName val="FRUIT PRODUCTION"/>
      <sheetName val="VEGETABLE PRODUCTION"/>
      <sheetName val="DEV'T. OF AGRI CENTER"/>
      <sheetName val="ORGANIC AGRICULTURE"/>
      <sheetName val="ABACA INDUSTRY"/>
      <sheetName val="BAMBOO PRODUCTION"/>
      <sheetName val="CUTFLOWER INDUSTRY"/>
      <sheetName val="CACAO,COFFEE,PEANUT"/>
      <sheetName val="RABIES ERADICATION"/>
      <sheetName val="RICE PRODUCTION"/>
      <sheetName val="free range chicken"/>
      <sheetName val="mushroom"/>
      <sheetName val="DUCK &amp; TURKEY"/>
    </sheetNames>
    <sheetDataSet>
      <sheetData sheetId="0">
        <row r="20">
          <cell r="E20">
            <v>0</v>
          </cell>
        </row>
        <row r="22">
          <cell r="E22">
            <v>236355</v>
          </cell>
        </row>
      </sheetData>
      <sheetData sheetId="1"/>
      <sheetData sheetId="2">
        <row r="19">
          <cell r="E19">
            <v>441427.5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IMAL DISEASE CONTROL PROGRAM"/>
      <sheetName val="ANIMAL DISEASE (RELEASE)"/>
      <sheetName val="ANIMAL DISEASE CONTROL  (PR)"/>
      <sheetName val="ARTIFICIAL INSEMINATION"/>
      <sheetName val="ARTIFICIAL (RELEASE)"/>
      <sheetName val="ARTIFICIAL INSEMINATION (PR)"/>
      <sheetName val="DISPERSAL OF LARGE FARM ANIMALS"/>
      <sheetName val=" LARGE FARM  (RELEASE)"/>
      <sheetName val="DISPERSAL OF LARGE FARM (PR)"/>
      <sheetName val="DISPERSAL &amp; UPGRADING"/>
      <sheetName val="DISPERSAL &amp; UPGRADING (RELEASE)"/>
      <sheetName val="DISPERSAL &amp; UPGRADING (PR)"/>
      <sheetName val="TECHNICAL AND MARKET SUPPORT"/>
      <sheetName val="TECHNICAL AND MARKET  (RELEASE)"/>
      <sheetName val="TECHNICAL AND MARKET  (PR)"/>
      <sheetName val="HIGH VALUE CROPS (FRUIT)"/>
      <sheetName val="HIGH VALUE (FRUIT) (RELEASE)"/>
      <sheetName val="HIGH VALUE CROPS (PR)"/>
      <sheetName val="VEGETABLE PRODUCTION"/>
      <sheetName val="VEGETABLE PRODUCTION (RELEASE)"/>
      <sheetName val="VEGETABLE PRODUCTION (PR)"/>
      <sheetName val="DEV. OF AGRI CENTER"/>
      <sheetName val="DEV. OF AGRI CENTER (RELEASE)"/>
      <sheetName val="DEV. OF AGRI CENTER (PR)"/>
      <sheetName val="ORGANIC AGRICULTURE"/>
      <sheetName val="ORGANIC AGRICULTURE (RELEASE)"/>
      <sheetName val="ORGANIC AGRICULTURE (PR)"/>
      <sheetName val="ABACA INDUSTRY"/>
      <sheetName val="ABACA INDUSTRY (RELEASE)"/>
      <sheetName val="ABACA INDUSTRY (PR)"/>
      <sheetName val="BAMBOO PRODUCTION"/>
      <sheetName val="BAMBOO PRODUCTION (RELEASE)"/>
      <sheetName val="BAMBOO PRODUCTION (PR)"/>
      <sheetName val="CUTFLOWER INDUSTRY"/>
      <sheetName val="CUTFLOWER INDUSTRY (RELEASE)"/>
      <sheetName val="CUTFLOWER INDUSTRY (PR)"/>
      <sheetName val="HIGH VALUE CROPS (CACAO)"/>
      <sheetName val="HIGH VALUE CROPS  (RELEASE)"/>
      <sheetName val="HIGH VALUE CROPS  (PR)"/>
      <sheetName val="RABIES ERADICATION"/>
      <sheetName val="RABIES ERADICATION (RELEASE)"/>
      <sheetName val="BRGY. DOG CATCHERS"/>
      <sheetName val="MEDICAL MISSION"/>
      <sheetName val="RABIES ERADICATION (PR)"/>
      <sheetName val="RICE PRODUCTION"/>
      <sheetName val="RICE PRODUCTION (RELEASE)"/>
      <sheetName val="RICE PRODUCTION (PR)"/>
      <sheetName val="FREE RANGE CHICKEN"/>
      <sheetName val="FREE RANGE CHICKEN (RELEASE)"/>
      <sheetName val="FREE RANGE CHICKEN (PR)"/>
      <sheetName val="const. poultry house"/>
      <sheetName val="const. poultry house (PR)"/>
      <sheetName val="CAPITAL OUTLAY 2019"/>
      <sheetName val="CAPITAL OUTLAY 2019 (PR)"/>
      <sheetName val="MUSHROOM"/>
      <sheetName val="BLANK"/>
    </sheetNames>
    <sheetDataSet>
      <sheetData sheetId="0">
        <row r="30">
          <cell r="E30">
            <v>211276.79999999999</v>
          </cell>
        </row>
      </sheetData>
      <sheetData sheetId="1" refreshError="1"/>
      <sheetData sheetId="2" refreshError="1"/>
      <sheetData sheetId="3">
        <row r="30">
          <cell r="E30">
            <v>43170</v>
          </cell>
        </row>
      </sheetData>
      <sheetData sheetId="4" refreshError="1"/>
      <sheetData sheetId="5" refreshError="1"/>
      <sheetData sheetId="6">
        <row r="36">
          <cell r="E36">
            <v>90000</v>
          </cell>
          <cell r="F36">
            <v>27000</v>
          </cell>
          <cell r="G36">
            <v>27300</v>
          </cell>
          <cell r="I36">
            <v>438040</v>
          </cell>
        </row>
      </sheetData>
      <sheetData sheetId="7" refreshError="1"/>
      <sheetData sheetId="8" refreshError="1"/>
      <sheetData sheetId="9">
        <row r="31">
          <cell r="F31">
            <v>95113</v>
          </cell>
        </row>
      </sheetData>
      <sheetData sheetId="10" refreshError="1"/>
      <sheetData sheetId="11" refreshError="1"/>
      <sheetData sheetId="12">
        <row r="29">
          <cell r="F29">
            <v>149976.85999999999</v>
          </cell>
        </row>
      </sheetData>
      <sheetData sheetId="13" refreshError="1"/>
      <sheetData sheetId="14" refreshError="1"/>
      <sheetData sheetId="15">
        <row r="31">
          <cell r="F31">
            <v>169311.63</v>
          </cell>
        </row>
      </sheetData>
      <sheetData sheetId="16" refreshError="1"/>
      <sheetData sheetId="17" refreshError="1"/>
      <sheetData sheetId="18">
        <row r="12">
          <cell r="E12">
            <v>180000</v>
          </cell>
        </row>
      </sheetData>
      <sheetData sheetId="19" refreshError="1"/>
      <sheetData sheetId="20" refreshError="1"/>
      <sheetData sheetId="21">
        <row r="32">
          <cell r="E32">
            <v>0</v>
          </cell>
        </row>
      </sheetData>
      <sheetData sheetId="22" refreshError="1"/>
      <sheetData sheetId="23" refreshError="1"/>
      <sheetData sheetId="24">
        <row r="33">
          <cell r="G33">
            <v>84816.24</v>
          </cell>
        </row>
      </sheetData>
      <sheetData sheetId="25">
        <row r="11">
          <cell r="E11">
            <v>171000</v>
          </cell>
        </row>
      </sheetData>
      <sheetData sheetId="26" refreshError="1"/>
      <sheetData sheetId="27">
        <row r="29">
          <cell r="E29">
            <v>21650</v>
          </cell>
        </row>
      </sheetData>
      <sheetData sheetId="28" refreshError="1"/>
      <sheetData sheetId="29" refreshError="1"/>
      <sheetData sheetId="30">
        <row r="30">
          <cell r="E30">
            <v>8400</v>
          </cell>
        </row>
      </sheetData>
      <sheetData sheetId="31" refreshError="1"/>
      <sheetData sheetId="32" refreshError="1"/>
      <sheetData sheetId="33">
        <row r="28">
          <cell r="G28">
            <v>65662.8</v>
          </cell>
        </row>
      </sheetData>
      <sheetData sheetId="34" refreshError="1"/>
      <sheetData sheetId="35" refreshError="1"/>
      <sheetData sheetId="36">
        <row r="30">
          <cell r="F30">
            <v>43251.05</v>
          </cell>
        </row>
      </sheetData>
      <sheetData sheetId="37" refreshError="1"/>
      <sheetData sheetId="38" refreshError="1"/>
      <sheetData sheetId="39">
        <row r="12">
          <cell r="E12">
            <v>450000</v>
          </cell>
        </row>
      </sheetData>
      <sheetData sheetId="40" refreshError="1"/>
      <sheetData sheetId="41">
        <row r="26">
          <cell r="E26">
            <v>13500</v>
          </cell>
        </row>
      </sheetData>
      <sheetData sheetId="42" refreshError="1"/>
      <sheetData sheetId="43" refreshError="1"/>
      <sheetData sheetId="44">
        <row r="30">
          <cell r="E30">
            <v>0</v>
          </cell>
        </row>
      </sheetData>
      <sheetData sheetId="45" refreshError="1"/>
      <sheetData sheetId="46" refreshError="1"/>
      <sheetData sheetId="47">
        <row r="12">
          <cell r="E12">
            <v>384300</v>
          </cell>
        </row>
      </sheetData>
      <sheetData sheetId="48" refreshError="1"/>
      <sheetData sheetId="49" refreshError="1"/>
      <sheetData sheetId="50">
        <row r="28">
          <cell r="D28">
            <v>234534.5</v>
          </cell>
        </row>
      </sheetData>
      <sheetData sheetId="51" refreshError="1"/>
      <sheetData sheetId="52" refreshError="1"/>
      <sheetData sheetId="53" refreshError="1"/>
      <sheetData sheetId="54">
        <row r="28">
          <cell r="E28">
            <v>7272.2</v>
          </cell>
        </row>
      </sheetData>
      <sheetData sheetId="5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IMAL DISEASE CONTROL PROGRAM"/>
      <sheetName val="ANIMAL DISEASE (RELEASE)"/>
      <sheetName val="ANIMAL DISEASE CONTROL  (PR)"/>
      <sheetName val="ARTIFICIAL INSEMINATION"/>
      <sheetName val="ARTIFICIAL (RELEASE)"/>
      <sheetName val="ARTIFICIAL INSEMINATION (PR)"/>
      <sheetName val="DISPERSAL OF LARGE FARM ANIMALS"/>
      <sheetName val=" LARGE FARM  (RELEASE)"/>
      <sheetName val="DISPERSAL OF LARGE FARM (PR)"/>
      <sheetName val="DISPERSAL &amp; UPGRADING"/>
      <sheetName val="DISPERSAL &amp; UPGRADING (RELEASE)"/>
      <sheetName val="DISPERSAL &amp; UPGRADING (PR)"/>
      <sheetName val="TECHNICAL AND MARKET SUPPORT"/>
      <sheetName val="TECHNICAL AND MARKET  (RELEASE)"/>
      <sheetName val="TECHNICAL AND MARKET  (PR)"/>
      <sheetName val="HIGH VALUE CROPS (FRUIT)"/>
      <sheetName val="HIGH VALUE (FRUIT) (RELEASE)"/>
      <sheetName val="HIGH VALUE CROPS (PR)"/>
      <sheetName val="VEGETABLE PRODUCTION"/>
      <sheetName val="VEGETABLE PRODUCTION (RELEASE)"/>
      <sheetName val="VEGETABLE PRODUCTION (PR)"/>
      <sheetName val="DEV. OF AGRI CENTER"/>
      <sheetName val="DEV. OF AGRI CENTER (RELEASE)"/>
      <sheetName val="DEV. OF AGRI CENTER (PR)"/>
      <sheetName val="ORGANIC AGRICULTURE"/>
      <sheetName val="ORGANIC AGRICULTURE (RELEASE)"/>
      <sheetName val="ORGANIC AGRICULTURE (PR)"/>
      <sheetName val="ABACA INDUSTRY"/>
      <sheetName val="ABACA INDUSTRY (RELEASE)"/>
      <sheetName val="ABACA INDUSTRY (PR)"/>
      <sheetName val="BAMBOO PRODUCTION"/>
      <sheetName val="BAMBOO PRODUCTION (RELEASE)"/>
      <sheetName val="BAMBOO PRODUCTION (PR)"/>
      <sheetName val="CUTFLOWER INDUSTRY"/>
      <sheetName val="CUTFLOWER INDUSTRY (RELEASE)"/>
      <sheetName val="CUTFLOWER INDUSTRY (PR)"/>
      <sheetName val="HIGH VALUE CROPS (CACAO)"/>
      <sheetName val="HIGH VALUE CROPS  (RELEASE)"/>
      <sheetName val="HIGH VALUE CROPS  (PR)"/>
      <sheetName val="RABIES ERADICATION"/>
      <sheetName val="RABIES ERADICATION (RELEASE)"/>
      <sheetName val="BRGY. DOG CATCHERS"/>
      <sheetName val="MEDICAL MISSION"/>
      <sheetName val="RABIES ERADICATION (PR)"/>
      <sheetName val="RICE PRODUCTION"/>
      <sheetName val="RICE PRODUCTION (RELEASE)"/>
      <sheetName val="RICE PRODUCTION (PR)"/>
      <sheetName val="FREE RANGE CHICKEN"/>
      <sheetName val="FREE RANGE CHICKEN (RELEASE)"/>
      <sheetName val="FREE RANGE CHICKEN (PR)"/>
      <sheetName val="const. poultry house"/>
      <sheetName val="const. poultry house (PR)"/>
      <sheetName val="CAPITAL OUTLAY 2019"/>
      <sheetName val="CAPITAL OUTLAY 2019 (PR)"/>
      <sheetName val="MUSHROOM"/>
      <sheetName val="BLANK"/>
    </sheetNames>
    <sheetDataSet>
      <sheetData sheetId="0" refreshError="1"/>
      <sheetData sheetId="1" refreshError="1"/>
      <sheetData sheetId="2" refreshError="1"/>
      <sheetData sheetId="3" refreshError="1"/>
      <sheetData sheetId="4" refreshError="1"/>
      <sheetData sheetId="5" refreshError="1"/>
      <sheetData sheetId="6" refreshError="1">
        <row r="120">
          <cell r="H120">
            <v>1053133.4100000001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2"/>
      <sheetName val="1031"/>
      <sheetName val="1051"/>
      <sheetName val="1071"/>
      <sheetName val="1081"/>
      <sheetName val="1091"/>
      <sheetName val="1101"/>
      <sheetName val="1101 genrev"/>
      <sheetName val="1111"/>
      <sheetName val="1131"/>
      <sheetName val="1141"/>
      <sheetName val="1151"/>
      <sheetName val="1158"/>
      <sheetName val="1161"/>
      <sheetName val="1181"/>
      <sheetName val="1191"/>
      <sheetName val="WATERWORKS"/>
    </sheetNames>
    <sheetDataSet>
      <sheetData sheetId="0"/>
      <sheetData sheetId="1"/>
      <sheetData sheetId="2"/>
      <sheetData sheetId="3"/>
      <sheetData sheetId="4"/>
      <sheetData sheetId="5"/>
      <sheetData sheetId="6"/>
      <sheetData sheetId="7"/>
      <sheetData sheetId="8">
        <row r="13">
          <cell r="E13">
            <v>42879</v>
          </cell>
        </row>
        <row r="14">
          <cell r="E14">
            <v>0</v>
          </cell>
        </row>
        <row r="15">
          <cell r="E15">
            <v>72655.33</v>
          </cell>
        </row>
        <row r="16">
          <cell r="E16">
            <v>0</v>
          </cell>
        </row>
        <row r="17">
          <cell r="E17">
            <v>0</v>
          </cell>
        </row>
        <row r="18">
          <cell r="E18">
            <v>1075</v>
          </cell>
        </row>
        <row r="19">
          <cell r="E19">
            <v>0</v>
          </cell>
        </row>
        <row r="20">
          <cell r="E20">
            <v>7120.68</v>
          </cell>
        </row>
        <row r="21">
          <cell r="E21">
            <v>316863.77</v>
          </cell>
        </row>
        <row r="22">
          <cell r="E22">
            <v>0</v>
          </cell>
        </row>
        <row r="23">
          <cell r="E23">
            <v>0</v>
          </cell>
        </row>
        <row r="24">
          <cell r="E24">
            <v>420</v>
          </cell>
        </row>
      </sheetData>
      <sheetData sheetId="9"/>
      <sheetData sheetId="10">
        <row r="14">
          <cell r="E14">
            <v>10329</v>
          </cell>
        </row>
        <row r="15">
          <cell r="E15">
            <v>4000</v>
          </cell>
        </row>
        <row r="16">
          <cell r="E16">
            <v>12002.119999999999</v>
          </cell>
        </row>
        <row r="17">
          <cell r="E17">
            <v>0</v>
          </cell>
        </row>
        <row r="18">
          <cell r="E18">
            <v>8252.82</v>
          </cell>
        </row>
        <row r="19">
          <cell r="E19">
            <v>14163.29</v>
          </cell>
        </row>
        <row r="20">
          <cell r="E20">
            <v>180000</v>
          </cell>
        </row>
        <row r="21">
          <cell r="E21">
            <v>0</v>
          </cell>
        </row>
      </sheetData>
      <sheetData sheetId="11">
        <row r="14">
          <cell r="E14">
            <v>89291.37</v>
          </cell>
        </row>
        <row r="15">
          <cell r="E15">
            <v>30900</v>
          </cell>
        </row>
        <row r="16">
          <cell r="E16">
            <v>66006.849999999991</v>
          </cell>
        </row>
        <row r="17">
          <cell r="E17">
            <v>0</v>
          </cell>
        </row>
        <row r="18">
          <cell r="E18">
            <v>0</v>
          </cell>
        </row>
        <row r="19">
          <cell r="E19">
            <v>11234.95</v>
          </cell>
        </row>
        <row r="20">
          <cell r="E20">
            <v>46966.76</v>
          </cell>
        </row>
        <row r="21">
          <cell r="E21">
            <v>480013.39</v>
          </cell>
        </row>
        <row r="22">
          <cell r="E22">
            <v>11400</v>
          </cell>
        </row>
        <row r="23">
          <cell r="E23">
            <v>0</v>
          </cell>
        </row>
        <row r="24">
          <cell r="E24">
            <v>0</v>
          </cell>
        </row>
      </sheetData>
      <sheetData sheetId="12"/>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IMAL DISEASE CONTROL PROGRAM"/>
      <sheetName val="ANIMAL DISEASE (RELEASE)"/>
      <sheetName val="ANIMAL DISEASE CONTROL  (PR)"/>
      <sheetName val="ARTIFICIAL INSEMINATION"/>
      <sheetName val="ARTIFICIAL (RELEASE)"/>
      <sheetName val="ARTIFICIAL INSEMINATION (PR)"/>
      <sheetName val="DISPERSAL OF LARGE FARM ANIMALS"/>
      <sheetName val=" LARGE FARM  (RELEASE)"/>
      <sheetName val="DISPERSAL OF LARGE FARM (PR)"/>
      <sheetName val="DISPERSAL &amp; UPGRADING"/>
      <sheetName val="DISPERSAL &amp; UPGRADING (RELEASE)"/>
      <sheetName val="DISPERSAL &amp; UPGRADING (PR)"/>
      <sheetName val="TECHNICAL AND MARKET SUPPORT"/>
      <sheetName val="TECHNICAL AND MARKET  (RELEASE)"/>
      <sheetName val="TECHNICAL AND MARKET  (PR)"/>
      <sheetName val="HIGH VALUE CROPS (FRUIT)"/>
      <sheetName val="HIGH VALUE (FRUIT) (RELEASE)"/>
      <sheetName val="HIGH VALUE CROPS (PR)"/>
      <sheetName val="VEGETABLE PRODUCTION"/>
      <sheetName val="VEGETABLE PRODUCTION (RELEASE)"/>
      <sheetName val="VEGETABLE PRODUCTION (PR)"/>
      <sheetName val="DEV. OF AGRI CENTER"/>
      <sheetName val="DEV. OF AGRI CENTER (RELEASE)"/>
      <sheetName val="DEV. OF AGRI CENTER (PR)"/>
      <sheetName val="ORGANIC AGRICULTURE"/>
      <sheetName val="ORGANIC AGRICULTURE (RELEASE)"/>
      <sheetName val="ORGANIC AGRICULTURE (PR)"/>
      <sheetName val="ABACA INDUSTRY"/>
      <sheetName val="ABACA INDUSTRY (RELEASE)"/>
      <sheetName val="ABACA INDUSTRY (PR)"/>
      <sheetName val="BAMBOO PRODUCTION"/>
      <sheetName val="BAMBOO PRODUCTION (RELEASE)"/>
      <sheetName val="BAMBOO PRODUCTION (PR)"/>
      <sheetName val="CUTFLOWER INDUSTRY"/>
      <sheetName val="CUTFLOWER INDUSTRY (RELEASE)"/>
      <sheetName val="CUTFLOWER INDUSTRY (PR)"/>
      <sheetName val="HIGH VALUE CROPS (CACAO)"/>
      <sheetName val="HIGH VALUE CROPS  (RELEASE)"/>
      <sheetName val="HIGH VALUE CROPS  (PR)"/>
      <sheetName val="RABIES ERADICATION"/>
      <sheetName val="RABIES ERADICATION (RELEASE)"/>
      <sheetName val="BRGY. DOG CATCHERS"/>
      <sheetName val="MEDICAL MISSION"/>
      <sheetName val="RABIES ERADICATION (PR)"/>
      <sheetName val="RICE PRODUCTION"/>
      <sheetName val="RICE PRODUCTION (RELEASE)"/>
      <sheetName val="RICE PRODUCTION (PR)"/>
      <sheetName val="FREE RANGE CHICKEN"/>
      <sheetName val="FREE RANGE CHICKEN (RELEASE)"/>
      <sheetName val="FREE RANGE CHICKEN (PR)"/>
      <sheetName val="const. poultry house"/>
      <sheetName val="const. poultry house (PR)"/>
      <sheetName val="CAPITAL OUTLAY 2019"/>
      <sheetName val="CAPITAL OUTLAY 2019 (PR)"/>
      <sheetName val="MUSHROOM"/>
      <sheetName val="MUSHROOM (RELEASE) "/>
      <sheetName val="MUSHROOM (PR)"/>
      <sheetName val="DUCK &amp; TURKEY"/>
      <sheetName val="DUCK &amp; TURKEY (RELEASE)"/>
      <sheetName val="DUCK &amp; TURKEY (PR)"/>
      <sheetName val="BL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9">
          <cell r="E19">
            <v>184560</v>
          </cell>
          <cell r="F19">
            <v>572440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FINAL"/>
      <sheetName val="GSD-FINAL"/>
      <sheetName val="PLAZA"/>
      <sheetName val="CEOPP-plantilla -FINAL "/>
      <sheetName val="CSWD-FINAL"/>
      <sheetName val="CEO-FINAL"/>
      <sheetName val="CDRRMO"/>
      <sheetName val="HOSPITAL - NEW BUDGET CIRCULAR"/>
      <sheetName val="HOSPITAL-FINAL"/>
    </sheetNames>
    <sheetDataSet>
      <sheetData sheetId="0">
        <row r="255">
          <cell r="B255">
            <v>169</v>
          </cell>
        </row>
      </sheetData>
      <sheetData sheetId="1">
        <row r="50">
          <cell r="B50">
            <v>24</v>
          </cell>
        </row>
      </sheetData>
      <sheetData sheetId="2" refreshError="1"/>
      <sheetData sheetId="3">
        <row r="41">
          <cell r="B41">
            <v>11</v>
          </cell>
        </row>
        <row r="45">
          <cell r="H45">
            <v>1904712</v>
          </cell>
        </row>
      </sheetData>
      <sheetData sheetId="4">
        <row r="69">
          <cell r="B69">
            <v>37</v>
          </cell>
        </row>
        <row r="70">
          <cell r="H70">
            <v>10187304</v>
          </cell>
        </row>
        <row r="72">
          <cell r="K72">
            <v>198101</v>
          </cell>
        </row>
      </sheetData>
      <sheetData sheetId="5">
        <row r="132">
          <cell r="B132">
            <v>98</v>
          </cell>
        </row>
      </sheetData>
      <sheetData sheetId="6">
        <row r="48">
          <cell r="B48">
            <v>25</v>
          </cell>
        </row>
        <row r="49">
          <cell r="H49">
            <v>5458620</v>
          </cell>
        </row>
        <row r="51">
          <cell r="K51">
            <v>105827</v>
          </cell>
        </row>
      </sheetData>
      <sheetData sheetId="7">
        <row r="218">
          <cell r="B218">
            <v>161</v>
          </cell>
        </row>
      </sheetData>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
      <sheetName val="CDRRMO"/>
      <sheetName val="for child-friendly governance"/>
    </sheetNames>
    <sheetDataSet>
      <sheetData sheetId="0">
        <row r="9">
          <cell r="E9">
            <v>32847898.039999999</v>
          </cell>
        </row>
      </sheetData>
      <sheetData sheetId="1"/>
      <sheetData sheetId="2">
        <row r="12">
          <cell r="E12">
            <v>4650.5200000000004</v>
          </cell>
        </row>
      </sheetData>
      <sheetData sheetId="3">
        <row r="12">
          <cell r="E12">
            <v>540</v>
          </cell>
        </row>
      </sheetData>
      <sheetData sheetId="4">
        <row r="12">
          <cell r="E12">
            <v>443</v>
          </cell>
        </row>
      </sheetData>
      <sheetData sheetId="5">
        <row r="12">
          <cell r="E12">
            <v>24323</v>
          </cell>
        </row>
      </sheetData>
      <sheetData sheetId="6">
        <row r="12">
          <cell r="E12">
            <v>25878</v>
          </cell>
        </row>
      </sheetData>
      <sheetData sheetId="7">
        <row r="12">
          <cell r="E12">
            <v>162720</v>
          </cell>
        </row>
      </sheetData>
      <sheetData sheetId="8">
        <row r="12">
          <cell r="E12">
            <v>6216</v>
          </cell>
        </row>
      </sheetData>
      <sheetData sheetId="9">
        <row r="12">
          <cell r="E12">
            <v>182200.66999999998</v>
          </cell>
        </row>
      </sheetData>
      <sheetData sheetId="10">
        <row r="12">
          <cell r="E12">
            <v>11430</v>
          </cell>
        </row>
      </sheetData>
      <sheetData sheetId="11">
        <row r="12">
          <cell r="E12">
            <v>5300</v>
          </cell>
        </row>
      </sheetData>
      <sheetData sheetId="12">
        <row r="12">
          <cell r="E12">
            <v>62014</v>
          </cell>
        </row>
      </sheetData>
      <sheetData sheetId="13">
        <row r="11">
          <cell r="E11">
            <v>0</v>
          </cell>
        </row>
      </sheetData>
      <sheetData sheetId="14">
        <row r="11">
          <cell r="E11">
            <v>0</v>
          </cell>
        </row>
      </sheetData>
      <sheetData sheetId="15">
        <row r="12">
          <cell r="E12">
            <v>0</v>
          </cell>
        </row>
      </sheetData>
      <sheetData sheetId="16">
        <row r="12">
          <cell r="E12">
            <v>16707.07</v>
          </cell>
        </row>
      </sheetData>
      <sheetData sheetId="17"/>
      <sheetData sheetId="18">
        <row r="12">
          <cell r="E12">
            <v>11081.32</v>
          </cell>
        </row>
      </sheetData>
      <sheetData sheetId="19">
        <row r="12">
          <cell r="E12">
            <v>0</v>
          </cell>
        </row>
      </sheetData>
      <sheetData sheetId="20">
        <row r="12">
          <cell r="E12">
            <v>29718</v>
          </cell>
        </row>
      </sheetData>
      <sheetData sheetId="21"/>
      <sheetData sheetId="22"/>
      <sheetData sheetId="23">
        <row r="12">
          <cell r="E12">
            <v>0</v>
          </cell>
        </row>
      </sheetData>
      <sheetData sheetId="24">
        <row r="12">
          <cell r="E12">
            <v>21460.839999999997</v>
          </cell>
        </row>
      </sheetData>
      <sheetData sheetId="25">
        <row r="12">
          <cell r="E12">
            <v>0</v>
          </cell>
        </row>
      </sheetData>
      <sheetData sheetId="26">
        <row r="12">
          <cell r="E12">
            <v>0</v>
          </cell>
        </row>
      </sheetData>
      <sheetData sheetId="27">
        <row r="12">
          <cell r="E12">
            <v>25187.289999999997</v>
          </cell>
        </row>
      </sheetData>
      <sheetData sheetId="28">
        <row r="12">
          <cell r="E12">
            <v>6851.85</v>
          </cell>
        </row>
      </sheetData>
      <sheetData sheetId="29">
        <row r="12">
          <cell r="E12">
            <v>0</v>
          </cell>
        </row>
      </sheetData>
      <sheetData sheetId="30">
        <row r="12">
          <cell r="E12">
            <v>0</v>
          </cell>
        </row>
      </sheetData>
      <sheetData sheetId="31">
        <row r="12">
          <cell r="E12">
            <v>5027.5</v>
          </cell>
        </row>
      </sheetData>
      <sheetData sheetId="32"/>
      <sheetData sheetId="33">
        <row r="13">
          <cell r="E13">
            <v>5745342.3599999994</v>
          </cell>
        </row>
      </sheetData>
      <sheetData sheetId="34">
        <row r="14">
          <cell r="F14">
            <v>20000</v>
          </cell>
        </row>
        <row r="16">
          <cell r="F16">
            <v>0</v>
          </cell>
        </row>
        <row r="17">
          <cell r="F17">
            <v>157536.24000000002</v>
          </cell>
        </row>
        <row r="18">
          <cell r="F18">
            <v>995151.25</v>
          </cell>
        </row>
        <row r="19">
          <cell r="F19">
            <v>19266209.09999999</v>
          </cell>
        </row>
        <row r="20">
          <cell r="F20">
            <v>7265.7199999999993</v>
          </cell>
        </row>
        <row r="21">
          <cell r="F21">
            <v>702454.77</v>
          </cell>
        </row>
        <row r="22">
          <cell r="F22">
            <v>778356.5</v>
          </cell>
        </row>
        <row r="23">
          <cell r="F23">
            <v>7399.6</v>
          </cell>
        </row>
      </sheetData>
      <sheetData sheetId="35">
        <row r="13">
          <cell r="F13">
            <v>829246.95</v>
          </cell>
        </row>
        <row r="14">
          <cell r="F14">
            <v>124249.40000000001</v>
          </cell>
        </row>
        <row r="15">
          <cell r="F15">
            <v>32000</v>
          </cell>
        </row>
        <row r="16">
          <cell r="F16">
            <v>74438</v>
          </cell>
        </row>
        <row r="17">
          <cell r="F17">
            <v>30000</v>
          </cell>
        </row>
        <row r="18">
          <cell r="F18">
            <v>51114</v>
          </cell>
        </row>
        <row r="19">
          <cell r="F19">
            <v>99509.63</v>
          </cell>
        </row>
        <row r="20">
          <cell r="F20">
            <v>7063.49</v>
          </cell>
        </row>
        <row r="21">
          <cell r="F21">
            <v>12049.52</v>
          </cell>
        </row>
        <row r="22">
          <cell r="F22">
            <v>6700</v>
          </cell>
        </row>
        <row r="23">
          <cell r="F23">
            <v>74821.91</v>
          </cell>
        </row>
        <row r="24">
          <cell r="F24">
            <v>340272.81</v>
          </cell>
        </row>
        <row r="25">
          <cell r="F25">
            <v>5000</v>
          </cell>
        </row>
        <row r="27">
          <cell r="F27">
            <v>30000</v>
          </cell>
        </row>
        <row r="28">
          <cell r="F28">
            <v>12000</v>
          </cell>
        </row>
        <row r="30">
          <cell r="F30">
            <v>14475.470000000001</v>
          </cell>
        </row>
        <row r="31">
          <cell r="F31">
            <v>43498.5</v>
          </cell>
        </row>
        <row r="32">
          <cell r="F32">
            <v>3270</v>
          </cell>
        </row>
        <row r="33">
          <cell r="F33">
            <v>22902.15</v>
          </cell>
        </row>
        <row r="34">
          <cell r="F34">
            <v>7926.24</v>
          </cell>
        </row>
        <row r="35">
          <cell r="F35">
            <v>1163560.75</v>
          </cell>
        </row>
        <row r="36">
          <cell r="F36">
            <v>71347</v>
          </cell>
        </row>
        <row r="37">
          <cell r="F37">
            <v>4458</v>
          </cell>
        </row>
      </sheetData>
      <sheetData sheetId="36">
        <row r="11">
          <cell r="F11">
            <v>6936981.898</v>
          </cell>
        </row>
        <row r="12">
          <cell r="F12">
            <v>630064.52</v>
          </cell>
        </row>
        <row r="13">
          <cell r="F13">
            <v>85500</v>
          </cell>
        </row>
        <row r="14">
          <cell r="F14">
            <v>85500</v>
          </cell>
        </row>
        <row r="15">
          <cell r="F15">
            <v>156000</v>
          </cell>
        </row>
        <row r="16">
          <cell r="F16">
            <v>0</v>
          </cell>
        </row>
        <row r="17">
          <cell r="F17">
            <v>0</v>
          </cell>
        </row>
        <row r="18">
          <cell r="F18">
            <v>325782.44</v>
          </cell>
        </row>
        <row r="19">
          <cell r="F19">
            <v>575020.04999999993</v>
          </cell>
        </row>
        <row r="20">
          <cell r="F20">
            <v>131250</v>
          </cell>
        </row>
        <row r="21">
          <cell r="F21">
            <v>575433</v>
          </cell>
        </row>
        <row r="22">
          <cell r="F22">
            <v>832446.23</v>
          </cell>
        </row>
        <row r="23">
          <cell r="F23">
            <v>31400</v>
          </cell>
        </row>
        <row r="24">
          <cell r="F24">
            <v>96406.62</v>
          </cell>
        </row>
        <row r="25">
          <cell r="F25">
            <v>31500</v>
          </cell>
        </row>
        <row r="26">
          <cell r="F26">
            <v>41514.78</v>
          </cell>
        </row>
        <row r="27">
          <cell r="F27">
            <v>1611885.5</v>
          </cell>
        </row>
        <row r="28">
          <cell r="F28">
            <v>30000</v>
          </cell>
        </row>
        <row r="29">
          <cell r="F29">
            <v>0</v>
          </cell>
        </row>
        <row r="30">
          <cell r="F30">
            <v>127500</v>
          </cell>
        </row>
        <row r="31">
          <cell r="F31">
            <v>78000</v>
          </cell>
        </row>
        <row r="33">
          <cell r="F33">
            <v>41105.67</v>
          </cell>
        </row>
        <row r="34">
          <cell r="F34">
            <v>1640</v>
          </cell>
        </row>
        <row r="35">
          <cell r="F35">
            <v>40000</v>
          </cell>
        </row>
        <row r="36">
          <cell r="F36">
            <v>6496</v>
          </cell>
        </row>
        <row r="37">
          <cell r="F37">
            <v>933245.04999999993</v>
          </cell>
        </row>
        <row r="38">
          <cell r="F38">
            <v>40786.199999999997</v>
          </cell>
        </row>
        <row r="39">
          <cell r="F39">
            <v>6408.75</v>
          </cell>
        </row>
        <row r="40">
          <cell r="F40">
            <v>1456</v>
          </cell>
        </row>
        <row r="41">
          <cell r="F41">
            <v>45378.960000000006</v>
          </cell>
        </row>
        <row r="42">
          <cell r="F42">
            <v>1472095.69</v>
          </cell>
        </row>
        <row r="43">
          <cell r="F43">
            <v>0</v>
          </cell>
        </row>
        <row r="44">
          <cell r="F44">
            <v>0</v>
          </cell>
        </row>
        <row r="45">
          <cell r="F45">
            <v>36470</v>
          </cell>
        </row>
        <row r="46">
          <cell r="F46">
            <v>59498</v>
          </cell>
        </row>
        <row r="47">
          <cell r="F47">
            <v>0</v>
          </cell>
        </row>
        <row r="48">
          <cell r="F48">
            <v>267700</v>
          </cell>
        </row>
        <row r="49">
          <cell r="F49">
            <v>36313.899999999994</v>
          </cell>
        </row>
      </sheetData>
      <sheetData sheetId="37"/>
      <sheetData sheetId="38">
        <row r="12">
          <cell r="F12">
            <v>220892</v>
          </cell>
        </row>
      </sheetData>
      <sheetData sheetId="39">
        <row r="13">
          <cell r="F13">
            <v>0</v>
          </cell>
        </row>
      </sheetData>
      <sheetData sheetId="40">
        <row r="13">
          <cell r="F13">
            <v>0</v>
          </cell>
        </row>
      </sheetData>
      <sheetData sheetId="41">
        <row r="13">
          <cell r="F13">
            <v>11700</v>
          </cell>
        </row>
      </sheetData>
      <sheetData sheetId="42">
        <row r="13">
          <cell r="F13">
            <v>1950</v>
          </cell>
        </row>
      </sheetData>
      <sheetData sheetId="43">
        <row r="13">
          <cell r="F13">
            <v>0</v>
          </cell>
        </row>
      </sheetData>
      <sheetData sheetId="44">
        <row r="12">
          <cell r="F12">
            <v>614260.38</v>
          </cell>
        </row>
      </sheetData>
      <sheetData sheetId="45">
        <row r="11">
          <cell r="F11">
            <v>3113142.5</v>
          </cell>
        </row>
      </sheetData>
      <sheetData sheetId="46">
        <row r="13">
          <cell r="F13">
            <v>4158</v>
          </cell>
        </row>
      </sheetData>
      <sheetData sheetId="47">
        <row r="13">
          <cell r="F13">
            <v>0</v>
          </cell>
        </row>
      </sheetData>
      <sheetData sheetId="48">
        <row r="13">
          <cell r="F13">
            <v>0</v>
          </cell>
        </row>
      </sheetData>
      <sheetData sheetId="49">
        <row r="12">
          <cell r="F12">
            <v>22452526.609999999</v>
          </cell>
        </row>
        <row r="13">
          <cell r="F13">
            <v>1963387.1099999999</v>
          </cell>
        </row>
        <row r="14">
          <cell r="F14">
            <v>142500</v>
          </cell>
        </row>
        <row r="15">
          <cell r="F15">
            <v>142500</v>
          </cell>
        </row>
        <row r="16">
          <cell r="F16">
            <v>510000</v>
          </cell>
        </row>
        <row r="17">
          <cell r="F17">
            <v>146550.89000000001</v>
          </cell>
        </row>
        <row r="18">
          <cell r="F18">
            <v>1889708</v>
          </cell>
        </row>
        <row r="19">
          <cell r="F19">
            <v>414750</v>
          </cell>
        </row>
        <row r="20">
          <cell r="F20">
            <v>1850709</v>
          </cell>
        </row>
        <row r="21">
          <cell r="F21">
            <v>2692434.38</v>
          </cell>
        </row>
        <row r="22">
          <cell r="F22">
            <v>98596.76</v>
          </cell>
        </row>
        <row r="23">
          <cell r="F23">
            <v>323009.12</v>
          </cell>
        </row>
        <row r="24">
          <cell r="F24">
            <v>98700</v>
          </cell>
        </row>
        <row r="25">
          <cell r="F25">
            <v>275026.91000000003</v>
          </cell>
        </row>
        <row r="26">
          <cell r="F26">
            <v>5322448.01</v>
          </cell>
        </row>
        <row r="27">
          <cell r="F27">
            <v>65000</v>
          </cell>
        </row>
        <row r="28">
          <cell r="F28">
            <v>0</v>
          </cell>
        </row>
        <row r="29">
          <cell r="F29">
            <v>411000</v>
          </cell>
        </row>
        <row r="30">
          <cell r="F30">
            <v>240000</v>
          </cell>
        </row>
        <row r="32">
          <cell r="F32">
            <v>252410.36000000002</v>
          </cell>
        </row>
        <row r="33">
          <cell r="F33">
            <v>7000</v>
          </cell>
        </row>
        <row r="34">
          <cell r="F34">
            <v>168990.95</v>
          </cell>
        </row>
        <row r="35">
          <cell r="F35">
            <v>62395</v>
          </cell>
        </row>
        <row r="36">
          <cell r="F36">
            <v>19500</v>
          </cell>
        </row>
        <row r="37">
          <cell r="F37">
            <v>1288114.24</v>
          </cell>
        </row>
        <row r="38">
          <cell r="F38">
            <v>34053</v>
          </cell>
        </row>
        <row r="39">
          <cell r="F39">
            <v>0</v>
          </cell>
        </row>
        <row r="40">
          <cell r="F40">
            <v>77111.25</v>
          </cell>
        </row>
        <row r="41">
          <cell r="F41">
            <v>0</v>
          </cell>
        </row>
        <row r="42">
          <cell r="F42">
            <v>37076.58</v>
          </cell>
        </row>
        <row r="43">
          <cell r="F43">
            <v>481620</v>
          </cell>
        </row>
        <row r="44">
          <cell r="F44">
            <v>4052699.6800000011</v>
          </cell>
        </row>
        <row r="45">
          <cell r="F45">
            <v>2183429.9700000002</v>
          </cell>
        </row>
        <row r="46">
          <cell r="F46">
            <v>6781987.2500000009</v>
          </cell>
        </row>
        <row r="47">
          <cell r="F47">
            <v>80708</v>
          </cell>
        </row>
        <row r="49">
          <cell r="F49">
            <v>357186.87</v>
          </cell>
        </row>
        <row r="51">
          <cell r="F51">
            <v>149145</v>
          </cell>
        </row>
        <row r="53">
          <cell r="F53">
            <v>1572436.57</v>
          </cell>
        </row>
        <row r="55">
          <cell r="F55">
            <v>86640</v>
          </cell>
        </row>
        <row r="57">
          <cell r="F57">
            <v>46560</v>
          </cell>
        </row>
        <row r="59">
          <cell r="F59">
            <v>566790</v>
          </cell>
        </row>
        <row r="61">
          <cell r="F61">
            <v>0</v>
          </cell>
        </row>
        <row r="62">
          <cell r="F62">
            <v>54110</v>
          </cell>
        </row>
        <row r="64">
          <cell r="F64">
            <v>848615.78000000026</v>
          </cell>
        </row>
        <row r="65">
          <cell r="F65">
            <v>580171.09</v>
          </cell>
        </row>
        <row r="66">
          <cell r="F66">
            <v>1216650</v>
          </cell>
        </row>
        <row r="67">
          <cell r="F67">
            <v>82995</v>
          </cell>
        </row>
        <row r="68">
          <cell r="F68">
            <v>49956.800000000003</v>
          </cell>
        </row>
        <row r="69">
          <cell r="F69">
            <v>0</v>
          </cell>
        </row>
        <row r="70">
          <cell r="F70">
            <v>186285</v>
          </cell>
        </row>
        <row r="79">
          <cell r="F79">
            <v>9800</v>
          </cell>
        </row>
        <row r="81">
          <cell r="F81">
            <v>23117978.009999998</v>
          </cell>
        </row>
      </sheetData>
      <sheetData sheetId="50">
        <row r="13">
          <cell r="F13">
            <v>0</v>
          </cell>
        </row>
        <row r="14">
          <cell r="F14">
            <v>0</v>
          </cell>
        </row>
        <row r="15">
          <cell r="F15">
            <v>39795.5</v>
          </cell>
        </row>
        <row r="16">
          <cell r="F16">
            <v>13150</v>
          </cell>
        </row>
        <row r="17">
          <cell r="F17">
            <v>6705</v>
          </cell>
        </row>
        <row r="18">
          <cell r="F18">
            <v>235566.46</v>
          </cell>
        </row>
        <row r="19">
          <cell r="F19">
            <v>19435</v>
          </cell>
        </row>
        <row r="20">
          <cell r="F20">
            <v>0</v>
          </cell>
        </row>
      </sheetData>
      <sheetData sheetId="51">
        <row r="9">
          <cell r="F9">
            <v>54006017.729999989</v>
          </cell>
        </row>
      </sheetData>
      <sheetData sheetId="52"/>
      <sheetData sheetId="53">
        <row r="14">
          <cell r="F14">
            <v>145512.68</v>
          </cell>
        </row>
        <row r="15">
          <cell r="F15">
            <v>0</v>
          </cell>
        </row>
        <row r="16">
          <cell r="F16">
            <v>536820</v>
          </cell>
        </row>
        <row r="17">
          <cell r="F17">
            <v>230000</v>
          </cell>
        </row>
        <row r="18">
          <cell r="F18">
            <v>217140</v>
          </cell>
        </row>
        <row r="19">
          <cell r="F19">
            <v>0</v>
          </cell>
        </row>
        <row r="20">
          <cell r="F20">
            <v>79365</v>
          </cell>
        </row>
        <row r="21">
          <cell r="F21">
            <v>835759.96999999986</v>
          </cell>
        </row>
        <row r="22">
          <cell r="F22">
            <v>51488.54</v>
          </cell>
        </row>
        <row r="23">
          <cell r="F23">
            <v>0</v>
          </cell>
        </row>
        <row r="24">
          <cell r="F24">
            <v>0</v>
          </cell>
        </row>
        <row r="25">
          <cell r="F25">
            <v>0</v>
          </cell>
        </row>
        <row r="26">
          <cell r="F26">
            <v>50197.13</v>
          </cell>
        </row>
        <row r="27">
          <cell r="F27">
            <v>20375.88</v>
          </cell>
        </row>
        <row r="28">
          <cell r="F28">
            <v>11550</v>
          </cell>
        </row>
        <row r="30">
          <cell r="F30">
            <v>0</v>
          </cell>
        </row>
        <row r="31">
          <cell r="F31">
            <v>6025124.4900000002</v>
          </cell>
        </row>
        <row r="33">
          <cell r="F33">
            <v>0</v>
          </cell>
        </row>
        <row r="35">
          <cell r="F35">
            <v>0</v>
          </cell>
        </row>
        <row r="37">
          <cell r="F37">
            <v>0</v>
          </cell>
        </row>
        <row r="39">
          <cell r="F39">
            <v>0</v>
          </cell>
        </row>
        <row r="41">
          <cell r="F41">
            <v>0</v>
          </cell>
        </row>
        <row r="43">
          <cell r="F43">
            <v>0</v>
          </cell>
        </row>
        <row r="45">
          <cell r="F45">
            <v>0</v>
          </cell>
        </row>
        <row r="47">
          <cell r="F47">
            <v>44869.96</v>
          </cell>
        </row>
        <row r="49">
          <cell r="F49">
            <v>8981.23</v>
          </cell>
        </row>
        <row r="51">
          <cell r="F51">
            <v>473300</v>
          </cell>
        </row>
        <row r="52">
          <cell r="F52">
            <v>0</v>
          </cell>
        </row>
        <row r="53">
          <cell r="F53">
            <v>0</v>
          </cell>
        </row>
        <row r="54">
          <cell r="F54">
            <v>0</v>
          </cell>
        </row>
        <row r="55">
          <cell r="F55">
            <v>10168287</v>
          </cell>
        </row>
        <row r="57">
          <cell r="F57">
            <v>0</v>
          </cell>
        </row>
        <row r="58">
          <cell r="F58">
            <v>0</v>
          </cell>
        </row>
        <row r="60">
          <cell r="F60">
            <v>0</v>
          </cell>
        </row>
        <row r="63">
          <cell r="F63">
            <v>0</v>
          </cell>
        </row>
        <row r="64">
          <cell r="F64">
            <v>0</v>
          </cell>
        </row>
        <row r="71">
          <cell r="F71">
            <v>0</v>
          </cell>
        </row>
        <row r="72">
          <cell r="F72">
            <v>0</v>
          </cell>
        </row>
        <row r="73">
          <cell r="F73">
            <v>0</v>
          </cell>
        </row>
        <row r="74">
          <cell r="F74">
            <v>896371.76</v>
          </cell>
        </row>
        <row r="76">
          <cell r="F76">
            <v>18033711.310000002</v>
          </cell>
        </row>
      </sheetData>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 PS"/>
      <sheetName val="CDRRMO - MOOE"/>
      <sheetName val="for child-friendly governance"/>
    </sheetNames>
    <sheetDataSet>
      <sheetData sheetId="0">
        <row r="9">
          <cell r="C9">
            <v>39316140</v>
          </cell>
        </row>
      </sheetData>
      <sheetData sheetId="1"/>
      <sheetData sheetId="2">
        <row r="12">
          <cell r="C12">
            <v>10000</v>
          </cell>
        </row>
      </sheetData>
      <sheetData sheetId="3">
        <row r="12">
          <cell r="C12">
            <v>25000</v>
          </cell>
        </row>
      </sheetData>
      <sheetData sheetId="4">
        <row r="12">
          <cell r="C12">
            <v>1000</v>
          </cell>
        </row>
      </sheetData>
      <sheetData sheetId="5">
        <row r="12">
          <cell r="C12">
            <v>193200</v>
          </cell>
        </row>
      </sheetData>
      <sheetData sheetId="6">
        <row r="12">
          <cell r="C12">
            <v>100000</v>
          </cell>
        </row>
      </sheetData>
      <sheetData sheetId="7">
        <row r="12">
          <cell r="C12">
            <v>150000</v>
          </cell>
        </row>
      </sheetData>
      <sheetData sheetId="8">
        <row r="12">
          <cell r="C12">
            <v>30000</v>
          </cell>
        </row>
      </sheetData>
      <sheetData sheetId="9">
        <row r="12">
          <cell r="C12">
            <v>520000</v>
          </cell>
        </row>
      </sheetData>
      <sheetData sheetId="10">
        <row r="12">
          <cell r="C12">
            <v>20000</v>
          </cell>
        </row>
      </sheetData>
      <sheetData sheetId="11">
        <row r="12">
          <cell r="C12">
            <v>20000</v>
          </cell>
        </row>
      </sheetData>
      <sheetData sheetId="12">
        <row r="12">
          <cell r="C12">
            <v>100000</v>
          </cell>
        </row>
      </sheetData>
      <sheetData sheetId="13">
        <row r="11">
          <cell r="C11">
            <v>34000</v>
          </cell>
        </row>
      </sheetData>
      <sheetData sheetId="14">
        <row r="11">
          <cell r="E11">
            <v>0</v>
          </cell>
        </row>
      </sheetData>
      <sheetData sheetId="15">
        <row r="12">
          <cell r="C12">
            <v>222400</v>
          </cell>
        </row>
      </sheetData>
      <sheetData sheetId="16">
        <row r="12">
          <cell r="E12">
            <v>11445.7</v>
          </cell>
        </row>
      </sheetData>
      <sheetData sheetId="17">
        <row r="12">
          <cell r="C12">
            <v>13000</v>
          </cell>
        </row>
      </sheetData>
      <sheetData sheetId="18">
        <row r="12">
          <cell r="C12">
            <v>20000</v>
          </cell>
        </row>
      </sheetData>
      <sheetData sheetId="19">
        <row r="12">
          <cell r="C12">
            <v>18400</v>
          </cell>
        </row>
      </sheetData>
      <sheetData sheetId="20">
        <row r="12">
          <cell r="C12">
            <v>30000</v>
          </cell>
        </row>
      </sheetData>
      <sheetData sheetId="21"/>
      <sheetData sheetId="22"/>
      <sheetData sheetId="23">
        <row r="12">
          <cell r="C12">
            <v>50000</v>
          </cell>
        </row>
      </sheetData>
      <sheetData sheetId="24">
        <row r="12">
          <cell r="C12">
            <v>25000</v>
          </cell>
        </row>
      </sheetData>
      <sheetData sheetId="25">
        <row r="12">
          <cell r="C12">
            <v>5720</v>
          </cell>
        </row>
      </sheetData>
      <sheetData sheetId="26">
        <row r="12">
          <cell r="C12">
            <v>5000</v>
          </cell>
        </row>
      </sheetData>
      <sheetData sheetId="27">
        <row r="12">
          <cell r="C12">
            <v>46000</v>
          </cell>
        </row>
      </sheetData>
      <sheetData sheetId="28">
        <row r="12">
          <cell r="C12">
            <v>5000</v>
          </cell>
        </row>
      </sheetData>
      <sheetData sheetId="29">
        <row r="12">
          <cell r="C12">
            <v>7000</v>
          </cell>
        </row>
      </sheetData>
      <sheetData sheetId="30">
        <row r="12">
          <cell r="C12">
            <v>30000</v>
          </cell>
        </row>
      </sheetData>
      <sheetData sheetId="31">
        <row r="12">
          <cell r="C12">
            <v>50000</v>
          </cell>
        </row>
      </sheetData>
      <sheetData sheetId="32"/>
      <sheetData sheetId="33">
        <row r="13">
          <cell r="C13">
            <v>7227528</v>
          </cell>
        </row>
      </sheetData>
      <sheetData sheetId="34">
        <row r="14">
          <cell r="D14">
            <v>25000</v>
          </cell>
          <cell r="F14">
            <v>0</v>
          </cell>
        </row>
        <row r="16">
          <cell r="D16">
            <v>5000</v>
          </cell>
          <cell r="F16">
            <v>0</v>
          </cell>
        </row>
        <row r="17">
          <cell r="D17">
            <v>287250</v>
          </cell>
          <cell r="F17">
            <v>100169.57</v>
          </cell>
        </row>
        <row r="18">
          <cell r="D18">
            <v>1650000</v>
          </cell>
          <cell r="F18">
            <v>0</v>
          </cell>
        </row>
        <row r="19">
          <cell r="D19">
            <v>23600000</v>
          </cell>
          <cell r="F19">
            <v>9946667.0999999996</v>
          </cell>
        </row>
        <row r="20">
          <cell r="D20">
            <v>9842</v>
          </cell>
          <cell r="F20">
            <v>3302.6</v>
          </cell>
        </row>
        <row r="21">
          <cell r="D21">
            <v>692220</v>
          </cell>
          <cell r="F21">
            <v>317647.5</v>
          </cell>
        </row>
        <row r="22">
          <cell r="D22">
            <v>799920</v>
          </cell>
          <cell r="F22">
            <v>336232.5</v>
          </cell>
        </row>
        <row r="23">
          <cell r="D23">
            <v>20793</v>
          </cell>
          <cell r="F23">
            <v>510</v>
          </cell>
        </row>
      </sheetData>
      <sheetData sheetId="35">
        <row r="13">
          <cell r="D13">
            <v>1504596</v>
          </cell>
          <cell r="F13">
            <v>465794.06999999995</v>
          </cell>
        </row>
        <row r="14">
          <cell r="D14">
            <v>192000</v>
          </cell>
          <cell r="F14">
            <v>84000</v>
          </cell>
        </row>
        <row r="15">
          <cell r="D15">
            <v>48000</v>
          </cell>
          <cell r="F15">
            <v>36000</v>
          </cell>
        </row>
        <row r="16">
          <cell r="D16">
            <v>125383</v>
          </cell>
          <cell r="F16">
            <v>0</v>
          </cell>
        </row>
        <row r="17">
          <cell r="D17">
            <v>40000</v>
          </cell>
          <cell r="F17">
            <v>0</v>
          </cell>
        </row>
        <row r="18">
          <cell r="D18">
            <v>125383</v>
          </cell>
          <cell r="F18">
            <v>77693</v>
          </cell>
        </row>
        <row r="19">
          <cell r="D19">
            <v>180553</v>
          </cell>
          <cell r="F19">
            <v>54895.289999999994</v>
          </cell>
        </row>
        <row r="20">
          <cell r="D20">
            <v>9600</v>
          </cell>
          <cell r="F20">
            <v>3600</v>
          </cell>
        </row>
        <row r="21">
          <cell r="D21">
            <v>26331</v>
          </cell>
          <cell r="F21">
            <v>6939.04</v>
          </cell>
        </row>
        <row r="22">
          <cell r="D22">
            <v>9600</v>
          </cell>
          <cell r="F22">
            <v>3600</v>
          </cell>
        </row>
        <row r="23">
          <cell r="D23">
            <v>0</v>
          </cell>
          <cell r="F23">
            <v>0</v>
          </cell>
        </row>
        <row r="24">
          <cell r="D24">
            <v>107980</v>
          </cell>
          <cell r="F24">
            <v>0</v>
          </cell>
        </row>
        <row r="25">
          <cell r="D25">
            <v>5000</v>
          </cell>
          <cell r="F25">
            <v>5000</v>
          </cell>
        </row>
        <row r="26">
          <cell r="D26">
            <v>1000</v>
          </cell>
          <cell r="F26">
            <v>0</v>
          </cell>
        </row>
        <row r="27">
          <cell r="D27">
            <v>40000</v>
          </cell>
          <cell r="F27">
            <v>0</v>
          </cell>
        </row>
        <row r="29">
          <cell r="D29">
            <v>25000</v>
          </cell>
          <cell r="F29">
            <v>9588.08</v>
          </cell>
        </row>
        <row r="30">
          <cell r="D30">
            <v>155000</v>
          </cell>
          <cell r="F30">
            <v>22583.4</v>
          </cell>
        </row>
        <row r="31">
          <cell r="D31">
            <v>5000</v>
          </cell>
          <cell r="F31">
            <v>0</v>
          </cell>
        </row>
        <row r="32">
          <cell r="D32">
            <v>80000</v>
          </cell>
          <cell r="F32">
            <v>11180.299999999996</v>
          </cell>
        </row>
        <row r="33">
          <cell r="D33">
            <v>8000</v>
          </cell>
          <cell r="F33">
            <v>3302.6</v>
          </cell>
        </row>
        <row r="34">
          <cell r="D34">
            <v>1547100</v>
          </cell>
          <cell r="F34">
            <v>626670</v>
          </cell>
        </row>
        <row r="35">
          <cell r="D35">
            <v>110177</v>
          </cell>
          <cell r="F35">
            <v>6500</v>
          </cell>
        </row>
        <row r="36">
          <cell r="D36">
            <v>14280</v>
          </cell>
          <cell r="F36">
            <v>806.4</v>
          </cell>
        </row>
      </sheetData>
      <sheetData sheetId="36">
        <row r="11">
          <cell r="D11">
            <v>10294824</v>
          </cell>
          <cell r="F11">
            <v>3877246.5600000005</v>
          </cell>
        </row>
        <row r="12">
          <cell r="D12">
            <v>888000</v>
          </cell>
          <cell r="F12">
            <v>374315.67000000004</v>
          </cell>
        </row>
        <row r="13">
          <cell r="D13">
            <v>85500</v>
          </cell>
        </row>
        <row r="14">
          <cell r="D14">
            <v>85500</v>
          </cell>
          <cell r="F14">
            <v>42750</v>
          </cell>
        </row>
        <row r="15">
          <cell r="D15">
            <v>222000</v>
          </cell>
          <cell r="F15">
            <v>156000</v>
          </cell>
        </row>
        <row r="16">
          <cell r="D16">
            <v>108000</v>
          </cell>
          <cell r="F16">
            <v>0</v>
          </cell>
        </row>
        <row r="17">
          <cell r="D17">
            <v>1000</v>
          </cell>
          <cell r="F17">
            <v>0</v>
          </cell>
        </row>
        <row r="18">
          <cell r="D18">
            <v>760255</v>
          </cell>
          <cell r="F18">
            <v>443470.24999999994</v>
          </cell>
        </row>
        <row r="19">
          <cell r="D19">
            <v>857902</v>
          </cell>
          <cell r="F19">
            <v>9233</v>
          </cell>
        </row>
        <row r="20">
          <cell r="D20">
            <v>185000</v>
          </cell>
          <cell r="F20">
            <v>2500</v>
          </cell>
        </row>
        <row r="21">
          <cell r="D21">
            <v>857902</v>
          </cell>
          <cell r="F21">
            <v>581468</v>
          </cell>
        </row>
        <row r="22">
          <cell r="D22">
            <v>1235379</v>
          </cell>
          <cell r="F22">
            <v>476914.2300000001</v>
          </cell>
        </row>
        <row r="23">
          <cell r="D23">
            <v>44400</v>
          </cell>
          <cell r="F23">
            <v>17700</v>
          </cell>
        </row>
        <row r="24">
          <cell r="D24">
            <v>173469</v>
          </cell>
          <cell r="F24">
            <v>55131.81</v>
          </cell>
        </row>
        <row r="25">
          <cell r="D25">
            <v>44400</v>
          </cell>
          <cell r="F25">
            <v>17700</v>
          </cell>
        </row>
        <row r="26">
          <cell r="D26">
            <v>49756</v>
          </cell>
          <cell r="F26">
            <v>38515.120000000003</v>
          </cell>
        </row>
        <row r="27">
          <cell r="D27">
            <v>755368</v>
          </cell>
          <cell r="F27">
            <v>0</v>
          </cell>
        </row>
        <row r="28">
          <cell r="F28">
            <v>10000</v>
          </cell>
        </row>
        <row r="29">
          <cell r="F29">
            <v>0</v>
          </cell>
        </row>
        <row r="30">
          <cell r="D30">
            <v>185000</v>
          </cell>
          <cell r="F30">
            <v>0</v>
          </cell>
        </row>
        <row r="32">
          <cell r="D32">
            <v>95000</v>
          </cell>
          <cell r="F32">
            <v>18195</v>
          </cell>
        </row>
        <row r="33">
          <cell r="D33">
            <v>50000</v>
          </cell>
          <cell r="F33">
            <v>0</v>
          </cell>
        </row>
        <row r="34">
          <cell r="D34">
            <v>40000</v>
          </cell>
          <cell r="F34">
            <v>33226.35</v>
          </cell>
        </row>
        <row r="35">
          <cell r="D35">
            <v>30000</v>
          </cell>
          <cell r="F35">
            <v>14968</v>
          </cell>
        </row>
        <row r="36">
          <cell r="D36">
            <v>6200000</v>
          </cell>
          <cell r="F36">
            <v>659955</v>
          </cell>
        </row>
        <row r="37">
          <cell r="D37">
            <v>80000</v>
          </cell>
          <cell r="F37">
            <v>1300</v>
          </cell>
        </row>
        <row r="38">
          <cell r="D38">
            <v>10000</v>
          </cell>
          <cell r="F38">
            <v>0</v>
          </cell>
        </row>
        <row r="39">
          <cell r="D39">
            <v>4000</v>
          </cell>
          <cell r="F39">
            <v>367</v>
          </cell>
        </row>
        <row r="40">
          <cell r="D40">
            <v>60400</v>
          </cell>
          <cell r="F40">
            <v>25251.22</v>
          </cell>
        </row>
        <row r="41">
          <cell r="D41">
            <v>950400</v>
          </cell>
          <cell r="F41">
            <v>732450</v>
          </cell>
        </row>
        <row r="42">
          <cell r="D42">
            <v>3000</v>
          </cell>
          <cell r="F42">
            <v>0</v>
          </cell>
        </row>
        <row r="43">
          <cell r="D43">
            <v>3000</v>
          </cell>
          <cell r="F43">
            <v>0</v>
          </cell>
        </row>
        <row r="44">
          <cell r="D44">
            <v>60000</v>
          </cell>
          <cell r="F44">
            <v>17900</v>
          </cell>
        </row>
        <row r="45">
          <cell r="D45">
            <v>75000</v>
          </cell>
          <cell r="F45">
            <v>38498</v>
          </cell>
        </row>
        <row r="46">
          <cell r="D46">
            <v>35000</v>
          </cell>
          <cell r="F46">
            <v>0</v>
          </cell>
        </row>
        <row r="47">
          <cell r="D47">
            <v>237000</v>
          </cell>
          <cell r="F47">
            <v>150000</v>
          </cell>
        </row>
        <row r="48">
          <cell r="D48">
            <v>432920</v>
          </cell>
          <cell r="F48">
            <v>160953.79999999999</v>
          </cell>
        </row>
        <row r="50">
          <cell r="D50">
            <v>45000</v>
          </cell>
        </row>
        <row r="51">
          <cell r="D51">
            <v>15000</v>
          </cell>
        </row>
      </sheetData>
      <sheetData sheetId="37"/>
      <sheetData sheetId="38">
        <row r="12">
          <cell r="D12">
            <v>230496</v>
          </cell>
        </row>
      </sheetData>
      <sheetData sheetId="39">
        <row r="13">
          <cell r="D13">
            <v>23200</v>
          </cell>
        </row>
      </sheetData>
      <sheetData sheetId="40">
        <row r="13">
          <cell r="D13">
            <v>35000</v>
          </cell>
        </row>
      </sheetData>
      <sheetData sheetId="41">
        <row r="13">
          <cell r="D13">
            <v>28800</v>
          </cell>
        </row>
      </sheetData>
      <sheetData sheetId="42">
        <row r="13">
          <cell r="D13">
            <v>10000</v>
          </cell>
        </row>
      </sheetData>
      <sheetData sheetId="43">
        <row r="13">
          <cell r="D13">
            <v>7500</v>
          </cell>
        </row>
      </sheetData>
      <sheetData sheetId="44">
        <row r="12">
          <cell r="D12">
            <v>681640</v>
          </cell>
        </row>
      </sheetData>
      <sheetData sheetId="45">
        <row r="11">
          <cell r="D11">
            <v>3036228</v>
          </cell>
        </row>
      </sheetData>
      <sheetData sheetId="46">
        <row r="13">
          <cell r="D13">
            <v>10000</v>
          </cell>
        </row>
      </sheetData>
      <sheetData sheetId="47">
        <row r="13">
          <cell r="D13">
            <v>5000</v>
          </cell>
        </row>
      </sheetData>
      <sheetData sheetId="48">
        <row r="13">
          <cell r="D13">
            <v>94000</v>
          </cell>
        </row>
      </sheetData>
      <sheetData sheetId="49">
        <row r="12">
          <cell r="D12">
            <v>27060546</v>
          </cell>
          <cell r="F12">
            <v>11804944.01</v>
          </cell>
        </row>
        <row r="13">
          <cell r="D13">
            <v>2256000</v>
          </cell>
          <cell r="F13">
            <v>1051096.78</v>
          </cell>
        </row>
        <row r="14">
          <cell r="D14">
            <v>142500</v>
          </cell>
          <cell r="F14">
            <v>59375</v>
          </cell>
        </row>
        <row r="15">
          <cell r="D15">
            <v>142500</v>
          </cell>
          <cell r="F15">
            <v>59375</v>
          </cell>
        </row>
        <row r="16">
          <cell r="D16">
            <v>564000</v>
          </cell>
          <cell r="F16">
            <v>492000</v>
          </cell>
        </row>
        <row r="17">
          <cell r="D17">
            <v>251750.64</v>
          </cell>
          <cell r="F17">
            <v>78626.98</v>
          </cell>
        </row>
        <row r="18">
          <cell r="D18">
            <v>2255283</v>
          </cell>
          <cell r="F18">
            <v>0</v>
          </cell>
        </row>
        <row r="19">
          <cell r="D19">
            <v>470000</v>
          </cell>
          <cell r="F19">
            <v>0</v>
          </cell>
        </row>
        <row r="20">
          <cell r="D20">
            <v>2255283</v>
          </cell>
          <cell r="F20">
            <v>1966120</v>
          </cell>
        </row>
        <row r="21">
          <cell r="D21">
            <v>3247609</v>
          </cell>
          <cell r="F21">
            <v>1415993.1599999997</v>
          </cell>
        </row>
        <row r="22">
          <cell r="D22">
            <v>112800</v>
          </cell>
          <cell r="F22">
            <v>50541.91</v>
          </cell>
        </row>
        <row r="23">
          <cell r="D23">
            <v>467617</v>
          </cell>
          <cell r="F23">
            <v>168674.00999999998</v>
          </cell>
        </row>
        <row r="24">
          <cell r="D24">
            <v>112800</v>
          </cell>
          <cell r="F24">
            <v>49900</v>
          </cell>
        </row>
        <row r="25">
          <cell r="D25">
            <v>39603</v>
          </cell>
          <cell r="F25">
            <v>39595.980000000003</v>
          </cell>
        </row>
        <row r="26">
          <cell r="D26">
            <v>2072140</v>
          </cell>
          <cell r="F26">
            <v>0</v>
          </cell>
        </row>
        <row r="27">
          <cell r="D27">
            <v>45000</v>
          </cell>
          <cell r="F27">
            <v>35000</v>
          </cell>
        </row>
        <row r="28">
          <cell r="D28">
            <v>1000</v>
          </cell>
          <cell r="F28">
            <v>0</v>
          </cell>
        </row>
        <row r="29">
          <cell r="D29">
            <v>470000</v>
          </cell>
          <cell r="F29">
            <v>0</v>
          </cell>
        </row>
        <row r="31">
          <cell r="D31">
            <v>280000</v>
          </cell>
          <cell r="F31">
            <v>37350</v>
          </cell>
        </row>
        <row r="32">
          <cell r="D32">
            <v>100000</v>
          </cell>
          <cell r="F32">
            <v>0</v>
          </cell>
        </row>
        <row r="33">
          <cell r="D33">
            <v>220000</v>
          </cell>
          <cell r="F33">
            <v>91654.05</v>
          </cell>
        </row>
        <row r="34">
          <cell r="D34">
            <v>180000</v>
          </cell>
          <cell r="F34">
            <v>68280</v>
          </cell>
        </row>
        <row r="35">
          <cell r="D35">
            <v>56000</v>
          </cell>
          <cell r="F35">
            <v>10000</v>
          </cell>
        </row>
        <row r="36">
          <cell r="D36">
            <v>1814000</v>
          </cell>
          <cell r="F36">
            <v>797415.78</v>
          </cell>
        </row>
        <row r="37">
          <cell r="D37">
            <v>250000</v>
          </cell>
          <cell r="F37">
            <v>4580</v>
          </cell>
        </row>
        <row r="38">
          <cell r="D38">
            <v>75000</v>
          </cell>
          <cell r="F38">
            <v>0</v>
          </cell>
        </row>
        <row r="39">
          <cell r="D39">
            <v>60000</v>
          </cell>
          <cell r="F39">
            <v>46134.5</v>
          </cell>
        </row>
        <row r="40">
          <cell r="D40">
            <v>5000</v>
          </cell>
          <cell r="F40">
            <v>0</v>
          </cell>
        </row>
        <row r="41">
          <cell r="D41">
            <v>90781.48</v>
          </cell>
          <cell r="F41">
            <v>23119.089999999997</v>
          </cell>
        </row>
        <row r="42">
          <cell r="D42">
            <v>482000</v>
          </cell>
          <cell r="F42">
            <v>221130</v>
          </cell>
        </row>
        <row r="43">
          <cell r="D43">
            <v>3749325</v>
          </cell>
          <cell r="F43">
            <v>2037683.7200000002</v>
          </cell>
        </row>
        <row r="44">
          <cell r="D44">
            <v>2400000</v>
          </cell>
          <cell r="F44">
            <v>909960</v>
          </cell>
        </row>
        <row r="45">
          <cell r="D45">
            <v>8700000</v>
          </cell>
          <cell r="F45">
            <v>1667781.6</v>
          </cell>
        </row>
        <row r="46">
          <cell r="D46">
            <v>267500</v>
          </cell>
          <cell r="F46">
            <v>80730</v>
          </cell>
        </row>
        <row r="48">
          <cell r="D48">
            <v>374500</v>
          </cell>
          <cell r="F48">
            <v>220300</v>
          </cell>
        </row>
        <row r="50">
          <cell r="D50">
            <v>171200</v>
          </cell>
          <cell r="F50">
            <v>87007.5</v>
          </cell>
        </row>
        <row r="52">
          <cell r="D52">
            <v>1605000</v>
          </cell>
          <cell r="F52">
            <v>859200</v>
          </cell>
        </row>
        <row r="54">
          <cell r="D54">
            <v>96300</v>
          </cell>
          <cell r="F54">
            <v>48450</v>
          </cell>
        </row>
        <row r="56">
          <cell r="D56">
            <v>53500</v>
          </cell>
          <cell r="F56">
            <v>0</v>
          </cell>
        </row>
        <row r="58">
          <cell r="D58">
            <v>428000</v>
          </cell>
          <cell r="F58">
            <v>154255</v>
          </cell>
        </row>
        <row r="60">
          <cell r="D60">
            <v>10000</v>
          </cell>
          <cell r="F60">
            <v>0</v>
          </cell>
        </row>
        <row r="61">
          <cell r="D61">
            <v>100000</v>
          </cell>
          <cell r="F61">
            <v>20100</v>
          </cell>
        </row>
        <row r="63">
          <cell r="D63">
            <v>3625000</v>
          </cell>
          <cell r="F63">
            <v>870751</v>
          </cell>
        </row>
        <row r="64">
          <cell r="D64">
            <v>885490</v>
          </cell>
          <cell r="F64">
            <v>236324</v>
          </cell>
        </row>
        <row r="65">
          <cell r="D65">
            <v>2065000</v>
          </cell>
          <cell r="F65">
            <v>650466</v>
          </cell>
        </row>
        <row r="66">
          <cell r="D66">
            <v>100000</v>
          </cell>
          <cell r="F66">
            <v>62490</v>
          </cell>
        </row>
        <row r="67">
          <cell r="D67">
            <v>246580</v>
          </cell>
          <cell r="F67">
            <v>17710.2</v>
          </cell>
        </row>
        <row r="68">
          <cell r="D68">
            <v>70000</v>
          </cell>
          <cell r="F68">
            <v>0</v>
          </cell>
        </row>
        <row r="69">
          <cell r="D69">
            <v>190000</v>
          </cell>
          <cell r="F69">
            <v>90345</v>
          </cell>
        </row>
        <row r="79">
          <cell r="D79">
            <v>50000</v>
          </cell>
          <cell r="F79">
            <v>4800</v>
          </cell>
        </row>
        <row r="81">
          <cell r="D81">
            <v>60900000</v>
          </cell>
          <cell r="F81">
            <v>416459.99999999988</v>
          </cell>
        </row>
        <row r="82">
          <cell r="D82">
            <v>3000000</v>
          </cell>
        </row>
      </sheetData>
      <sheetData sheetId="50">
        <row r="13">
          <cell r="D13">
            <v>50000</v>
          </cell>
          <cell r="F13">
            <v>0</v>
          </cell>
        </row>
        <row r="14">
          <cell r="D14">
            <v>25000</v>
          </cell>
          <cell r="F14">
            <v>0</v>
          </cell>
        </row>
        <row r="15">
          <cell r="D15">
            <v>75000</v>
          </cell>
          <cell r="F15">
            <v>23770</v>
          </cell>
        </row>
        <row r="16">
          <cell r="D16">
            <v>23000</v>
          </cell>
          <cell r="F16">
            <v>5050</v>
          </cell>
        </row>
        <row r="17">
          <cell r="D17">
            <v>30000</v>
          </cell>
          <cell r="F17">
            <v>2508</v>
          </cell>
        </row>
        <row r="18">
          <cell r="D18">
            <v>257760</v>
          </cell>
          <cell r="F18">
            <v>104790</v>
          </cell>
        </row>
        <row r="19">
          <cell r="D19">
            <v>25000</v>
          </cell>
          <cell r="F19">
            <v>19435</v>
          </cell>
        </row>
        <row r="20">
          <cell r="D20">
            <v>20000</v>
          </cell>
          <cell r="F20">
            <v>0</v>
          </cell>
        </row>
      </sheetData>
      <sheetData sheetId="51">
        <row r="9">
          <cell r="D9">
            <v>66929748</v>
          </cell>
        </row>
      </sheetData>
      <sheetData sheetId="52"/>
      <sheetData sheetId="53">
        <row r="9">
          <cell r="D9">
            <v>5268648</v>
          </cell>
        </row>
      </sheetData>
      <sheetData sheetId="54"/>
      <sheetData sheetId="5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FINAL"/>
      <sheetName val="GSD-FINAL"/>
      <sheetName val="PLAZA-FINAL"/>
      <sheetName val="CSWD-FINAL"/>
      <sheetName val="CEO-FINAL"/>
      <sheetName val="CDRRMO"/>
      <sheetName val="HOSPITAL - NEW BUDGET CIRCULAR"/>
      <sheetName val="HOSPITAL-FINAL"/>
    </sheetNames>
    <sheetDataSet>
      <sheetData sheetId="0"/>
      <sheetData sheetId="1"/>
      <sheetData sheetId="2"/>
      <sheetData sheetId="3"/>
      <sheetData sheetId="4">
        <row r="132">
          <cell r="B132">
            <v>97</v>
          </cell>
        </row>
        <row r="134">
          <cell r="H134">
            <v>27283404</v>
          </cell>
        </row>
      </sheetData>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GSD"/>
      <sheetName val="HOSPITAL"/>
      <sheetName val="STREETLIGHTING"/>
      <sheetName val="PARKS AND PLAZAS"/>
      <sheetName val="CSWD"/>
      <sheetName val="CEO-CA"/>
      <sheetName val="OBO"/>
      <sheetName val="SCHOLARSHIP PROG - student"/>
      <sheetName val="SCHOLARSHIP PROG - teachers"/>
      <sheetName val="SPORTS"/>
      <sheetName val="PESO"/>
      <sheetName val="BAC"/>
      <sheetName val="CLDO"/>
      <sheetName val="NEGOSYO CENTER"/>
      <sheetName val="PIO"/>
      <sheetName val="SCCADAC"/>
      <sheetName val="PEACE AND ORDER FUND"/>
      <sheetName val="CODI"/>
      <sheetName val="task force right of way"/>
      <sheetName val="i4J"/>
      <sheetName val="TOURISM DEV."/>
      <sheetName val="ADHOC "/>
      <sheetName val="SCIHA"/>
      <sheetName val="APPRAISAL"/>
      <sheetName val="ALGERS"/>
      <sheetName val="internal audit"/>
      <sheetName val="SCCYA"/>
      <sheetName val="PLEB"/>
      <sheetName val="TRAFFIC MGT AUTHORITY"/>
      <sheetName val="LET"/>
      <sheetName val="CAWA"/>
      <sheetName val="BPLO"/>
      <sheetName val="PPMO"/>
      <sheetName val="ITCSO"/>
      <sheetName val="abc federation"/>
      <sheetName val="ABC - TANOD"/>
      <sheetName val="ABC - KATARUNGANG PAMBARANGAY"/>
      <sheetName val="anti-covid prog"/>
      <sheetName val="OSCA"/>
      <sheetName val="GUIDANCE CENTER"/>
      <sheetName val="MDG FACES"/>
      <sheetName val="4p's"/>
      <sheetName val="CIACAT-VAWC"/>
      <sheetName val="COUNTRY PROG. FOR CHILDREN"/>
      <sheetName val="CURFEW CENTER"/>
      <sheetName val="NUTRITION COUNCIL"/>
      <sheetName val="PWD"/>
      <sheetName val="GAD COUNCIL"/>
      <sheetName val="LCPC-SSS"/>
    </sheetNames>
    <sheetDataSet>
      <sheetData sheetId="0"/>
      <sheetData sheetId="1"/>
      <sheetData sheetId="2"/>
      <sheetData sheetId="3">
        <row r="12">
          <cell r="H12">
            <v>15000</v>
          </cell>
        </row>
        <row r="14">
          <cell r="H14">
            <v>5000</v>
          </cell>
        </row>
        <row r="15">
          <cell r="H15">
            <v>207250</v>
          </cell>
        </row>
        <row r="16">
          <cell r="H16">
            <v>1100000</v>
          </cell>
        </row>
        <row r="18">
          <cell r="H18">
            <v>9842</v>
          </cell>
        </row>
        <row r="19">
          <cell r="H19">
            <v>588195</v>
          </cell>
        </row>
        <row r="20">
          <cell r="H20">
            <v>799920</v>
          </cell>
        </row>
        <row r="21">
          <cell r="H21">
            <v>14793</v>
          </cell>
        </row>
      </sheetData>
      <sheetData sheetId="4">
        <row r="12">
          <cell r="H12">
            <v>25000</v>
          </cell>
        </row>
        <row r="13">
          <cell r="H13">
            <v>200000</v>
          </cell>
        </row>
        <row r="14">
          <cell r="H14">
            <v>5000</v>
          </cell>
        </row>
        <row r="15">
          <cell r="H15">
            <v>40000</v>
          </cell>
        </row>
        <row r="16">
          <cell r="H16">
            <v>8000</v>
          </cell>
        </row>
        <row r="17">
          <cell r="H17">
            <v>1182600</v>
          </cell>
        </row>
        <row r="18">
          <cell r="H18">
            <v>30000</v>
          </cell>
        </row>
        <row r="19">
          <cell r="H19">
            <v>14280</v>
          </cell>
        </row>
      </sheetData>
      <sheetData sheetId="5"/>
      <sheetData sheetId="6">
        <row r="12">
          <cell r="G12">
            <v>280000</v>
          </cell>
        </row>
        <row r="14">
          <cell r="G14">
            <v>220000</v>
          </cell>
        </row>
        <row r="16">
          <cell r="G16">
            <v>170000</v>
          </cell>
        </row>
        <row r="17">
          <cell r="G17">
            <v>56000</v>
          </cell>
        </row>
        <row r="19">
          <cell r="G19">
            <v>200000</v>
          </cell>
        </row>
        <row r="21">
          <cell r="G21">
            <v>75000</v>
          </cell>
        </row>
        <row r="22">
          <cell r="G22">
            <v>120000</v>
          </cell>
        </row>
        <row r="23">
          <cell r="G23">
            <v>5000</v>
          </cell>
        </row>
        <row r="24">
          <cell r="G24">
            <v>90000</v>
          </cell>
        </row>
        <row r="25">
          <cell r="G25">
            <v>482000</v>
          </cell>
        </row>
        <row r="26">
          <cell r="G26">
            <v>3749325</v>
          </cell>
        </row>
        <row r="28">
          <cell r="G28">
            <v>1600000</v>
          </cell>
        </row>
        <row r="30">
          <cell r="G30">
            <v>4700000</v>
          </cell>
        </row>
        <row r="32">
          <cell r="G32">
            <v>267500</v>
          </cell>
        </row>
        <row r="34">
          <cell r="G34">
            <v>374500</v>
          </cell>
        </row>
        <row r="36">
          <cell r="G36">
            <v>171200</v>
          </cell>
        </row>
        <row r="38">
          <cell r="G38">
            <v>1605000</v>
          </cell>
        </row>
        <row r="40">
          <cell r="G40">
            <v>96300</v>
          </cell>
        </row>
        <row r="42">
          <cell r="G42">
            <v>53500</v>
          </cell>
        </row>
        <row r="44">
          <cell r="G44">
            <v>428000</v>
          </cell>
        </row>
        <row r="46">
          <cell r="G46">
            <v>10000</v>
          </cell>
        </row>
        <row r="48">
          <cell r="G48">
            <v>100000</v>
          </cell>
        </row>
        <row r="50">
          <cell r="G50">
            <v>1625000</v>
          </cell>
        </row>
        <row r="52">
          <cell r="G52">
            <v>595000</v>
          </cell>
        </row>
        <row r="54">
          <cell r="G54">
            <v>1565000</v>
          </cell>
        </row>
        <row r="55">
          <cell r="G55">
            <v>100000</v>
          </cell>
        </row>
        <row r="56">
          <cell r="G56">
            <v>246580</v>
          </cell>
        </row>
        <row r="57">
          <cell r="G57">
            <v>70000</v>
          </cell>
        </row>
        <row r="59">
          <cell r="G59">
            <v>190000</v>
          </cell>
        </row>
        <row r="61">
          <cell r="G61">
            <v>50000</v>
          </cell>
        </row>
      </sheetData>
      <sheetData sheetId="7">
        <row r="12">
          <cell r="H12">
            <v>50000</v>
          </cell>
        </row>
        <row r="13">
          <cell r="H13">
            <v>25000</v>
          </cell>
        </row>
        <row r="14">
          <cell r="H14">
            <v>75000</v>
          </cell>
        </row>
        <row r="16">
          <cell r="H16">
            <v>23000</v>
          </cell>
        </row>
        <row r="17">
          <cell r="H17">
            <v>30000</v>
          </cell>
        </row>
        <row r="18">
          <cell r="H18">
            <v>257760</v>
          </cell>
        </row>
        <row r="20">
          <cell r="H20">
            <v>25000</v>
          </cell>
        </row>
        <row r="22">
          <cell r="H22">
            <v>20000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
      <sheetName val="CDRRMO"/>
      <sheetName val="for child-friendly governance"/>
    </sheetNames>
    <sheetDataSet>
      <sheetData sheetId="0">
        <row r="9">
          <cell r="E9">
            <v>32847898.039999999</v>
          </cell>
        </row>
        <row r="10">
          <cell r="E10">
            <v>3542877.85</v>
          </cell>
        </row>
        <row r="11">
          <cell r="E11">
            <v>114000</v>
          </cell>
        </row>
        <row r="12">
          <cell r="E12">
            <v>114000</v>
          </cell>
        </row>
        <row r="13">
          <cell r="E13">
            <v>858000</v>
          </cell>
        </row>
        <row r="14">
          <cell r="E14">
            <v>1523.6</v>
          </cell>
        </row>
        <row r="15">
          <cell r="E15">
            <v>2706958.8</v>
          </cell>
        </row>
        <row r="16">
          <cell r="E16">
            <v>741500</v>
          </cell>
        </row>
        <row r="17">
          <cell r="E17">
            <v>2641110</v>
          </cell>
        </row>
        <row r="18">
          <cell r="E18">
            <v>3721691.4399999995</v>
          </cell>
        </row>
        <row r="19">
          <cell r="E19">
            <v>173239.7</v>
          </cell>
        </row>
        <row r="20">
          <cell r="E20">
            <v>466746.79999999987</v>
          </cell>
        </row>
        <row r="21">
          <cell r="E21">
            <v>172682.65</v>
          </cell>
        </row>
        <row r="22">
          <cell r="E22">
            <v>0</v>
          </cell>
        </row>
        <row r="23">
          <cell r="E23">
            <v>8879275.5600000005</v>
          </cell>
        </row>
        <row r="24">
          <cell r="E24">
            <v>4296475.2919999976</v>
          </cell>
        </row>
        <row r="25">
          <cell r="E25">
            <v>100000</v>
          </cell>
        </row>
        <row r="27">
          <cell r="E27">
            <v>752000</v>
          </cell>
        </row>
        <row r="28">
          <cell r="E28">
            <v>0</v>
          </cell>
        </row>
        <row r="29">
          <cell r="E29">
            <v>387000</v>
          </cell>
        </row>
        <row r="31">
          <cell r="E31">
            <v>400759.66000000003</v>
          </cell>
        </row>
        <row r="32">
          <cell r="E32">
            <v>99778.959999999992</v>
          </cell>
        </row>
        <row r="33">
          <cell r="E33">
            <v>0</v>
          </cell>
        </row>
        <row r="34">
          <cell r="E34">
            <v>150562.29999999999</v>
          </cell>
        </row>
        <row r="35">
          <cell r="E35">
            <v>56148.5</v>
          </cell>
        </row>
        <row r="36">
          <cell r="E36">
            <v>62125728.829999998</v>
          </cell>
        </row>
        <row r="37">
          <cell r="E37">
            <v>1327931.18</v>
          </cell>
        </row>
        <row r="38">
          <cell r="E38">
            <v>7995930.2000000002</v>
          </cell>
        </row>
        <row r="39">
          <cell r="E39">
            <v>1160</v>
          </cell>
        </row>
        <row r="40">
          <cell r="E40">
            <v>146947.01</v>
          </cell>
        </row>
        <row r="41">
          <cell r="E41">
            <v>10592.949999999999</v>
          </cell>
        </row>
        <row r="42">
          <cell r="E42">
            <v>0</v>
          </cell>
        </row>
        <row r="43">
          <cell r="E43">
            <v>8315160.4500000011</v>
          </cell>
        </row>
        <row r="44">
          <cell r="E44">
            <v>0</v>
          </cell>
        </row>
        <row r="45">
          <cell r="E45">
            <v>60450</v>
          </cell>
        </row>
        <row r="46">
          <cell r="E46">
            <v>204926.43</v>
          </cell>
        </row>
        <row r="47">
          <cell r="E47">
            <v>337025.56</v>
          </cell>
        </row>
        <row r="48">
          <cell r="E48">
            <v>455044</v>
          </cell>
        </row>
        <row r="49">
          <cell r="E49">
            <v>0</v>
          </cell>
        </row>
        <row r="50">
          <cell r="E50">
            <v>525</v>
          </cell>
        </row>
        <row r="51">
          <cell r="E51">
            <v>757398.5</v>
          </cell>
        </row>
        <row r="52">
          <cell r="E52">
            <v>200000</v>
          </cell>
        </row>
        <row r="53">
          <cell r="E53">
            <v>170000</v>
          </cell>
        </row>
        <row r="54">
          <cell r="E54">
            <v>50000</v>
          </cell>
        </row>
        <row r="55">
          <cell r="E55">
            <v>300000</v>
          </cell>
        </row>
        <row r="56">
          <cell r="E56">
            <v>1210000</v>
          </cell>
        </row>
        <row r="57">
          <cell r="E57">
            <v>258064.40000000002</v>
          </cell>
        </row>
        <row r="58">
          <cell r="E58">
            <v>0</v>
          </cell>
        </row>
        <row r="59">
          <cell r="E59">
            <v>5986213.7699999996</v>
          </cell>
        </row>
        <row r="60">
          <cell r="E60">
            <v>1050000</v>
          </cell>
        </row>
        <row r="61">
          <cell r="E61">
            <v>211255</v>
          </cell>
        </row>
        <row r="62">
          <cell r="E62">
            <v>3000000</v>
          </cell>
        </row>
        <row r="63">
          <cell r="E63">
            <v>15128406</v>
          </cell>
        </row>
        <row r="68">
          <cell r="E68">
            <v>0</v>
          </cell>
        </row>
        <row r="69">
          <cell r="E69">
            <v>2495</v>
          </cell>
        </row>
        <row r="70">
          <cell r="E70">
            <v>3539.45</v>
          </cell>
        </row>
        <row r="71">
          <cell r="E71">
            <v>945.3</v>
          </cell>
        </row>
        <row r="72">
          <cell r="E72">
            <v>72000</v>
          </cell>
        </row>
        <row r="75">
          <cell r="E75">
            <v>0</v>
          </cell>
        </row>
        <row r="76">
          <cell r="E76">
            <v>13500</v>
          </cell>
        </row>
        <row r="77">
          <cell r="E77">
            <v>3289.35</v>
          </cell>
        </row>
        <row r="78">
          <cell r="E78">
            <v>0</v>
          </cell>
        </row>
        <row r="79">
          <cell r="E79">
            <v>67935.48</v>
          </cell>
        </row>
        <row r="86">
          <cell r="E86">
            <v>0</v>
          </cell>
        </row>
        <row r="87">
          <cell r="E87">
            <v>0</v>
          </cell>
        </row>
        <row r="88">
          <cell r="E88">
            <v>0</v>
          </cell>
        </row>
        <row r="89">
          <cell r="E89">
            <v>9055.2000000000007</v>
          </cell>
        </row>
        <row r="90">
          <cell r="E90">
            <v>0</v>
          </cell>
        </row>
        <row r="92">
          <cell r="E92">
            <v>257000</v>
          </cell>
        </row>
        <row r="94">
          <cell r="E94">
            <v>7082</v>
          </cell>
        </row>
        <row r="95">
          <cell r="E95">
            <v>28272.27</v>
          </cell>
        </row>
        <row r="96">
          <cell r="E96">
            <v>492000</v>
          </cell>
        </row>
        <row r="98">
          <cell r="E98">
            <v>1000000</v>
          </cell>
        </row>
        <row r="99">
          <cell r="E99">
            <v>2330000</v>
          </cell>
        </row>
        <row r="100">
          <cell r="E100">
            <v>3932400</v>
          </cell>
        </row>
        <row r="101">
          <cell r="E101">
            <v>527374</v>
          </cell>
        </row>
        <row r="103">
          <cell r="E103">
            <v>182025876.48199999</v>
          </cell>
        </row>
      </sheetData>
      <sheetData sheetId="1"/>
      <sheetData sheetId="2">
        <row r="12">
          <cell r="E12">
            <v>4650.5200000000004</v>
          </cell>
        </row>
      </sheetData>
      <sheetData sheetId="3">
        <row r="12">
          <cell r="E12">
            <v>540</v>
          </cell>
        </row>
      </sheetData>
      <sheetData sheetId="4">
        <row r="12">
          <cell r="E12">
            <v>443</v>
          </cell>
        </row>
      </sheetData>
      <sheetData sheetId="5">
        <row r="12">
          <cell r="E12">
            <v>24323</v>
          </cell>
        </row>
      </sheetData>
      <sheetData sheetId="6">
        <row r="12">
          <cell r="E12">
            <v>25878</v>
          </cell>
        </row>
      </sheetData>
      <sheetData sheetId="7">
        <row r="12">
          <cell r="E12">
            <v>162720</v>
          </cell>
        </row>
      </sheetData>
      <sheetData sheetId="8">
        <row r="12">
          <cell r="E12">
            <v>6216</v>
          </cell>
        </row>
      </sheetData>
      <sheetData sheetId="9">
        <row r="12">
          <cell r="E12">
            <v>182200.66999999998</v>
          </cell>
        </row>
      </sheetData>
      <sheetData sheetId="10">
        <row r="12">
          <cell r="E12">
            <v>11430</v>
          </cell>
        </row>
      </sheetData>
      <sheetData sheetId="11">
        <row r="12">
          <cell r="E12">
            <v>5300</v>
          </cell>
        </row>
      </sheetData>
      <sheetData sheetId="12">
        <row r="12">
          <cell r="E12">
            <v>62014</v>
          </cell>
        </row>
      </sheetData>
      <sheetData sheetId="13">
        <row r="11">
          <cell r="E11">
            <v>0</v>
          </cell>
        </row>
      </sheetData>
      <sheetData sheetId="14">
        <row r="11">
          <cell r="E11">
            <v>0</v>
          </cell>
        </row>
      </sheetData>
      <sheetData sheetId="15">
        <row r="12">
          <cell r="E12">
            <v>0</v>
          </cell>
        </row>
      </sheetData>
      <sheetData sheetId="16">
        <row r="12">
          <cell r="E12">
            <v>16707.07</v>
          </cell>
        </row>
      </sheetData>
      <sheetData sheetId="17"/>
      <sheetData sheetId="18">
        <row r="12">
          <cell r="E12">
            <v>11081.32</v>
          </cell>
        </row>
      </sheetData>
      <sheetData sheetId="19">
        <row r="12">
          <cell r="E12">
            <v>0</v>
          </cell>
        </row>
      </sheetData>
      <sheetData sheetId="20">
        <row r="12">
          <cell r="E12">
            <v>29718</v>
          </cell>
        </row>
      </sheetData>
      <sheetData sheetId="21"/>
      <sheetData sheetId="22"/>
      <sheetData sheetId="23">
        <row r="12">
          <cell r="E12">
            <v>0</v>
          </cell>
        </row>
      </sheetData>
      <sheetData sheetId="24">
        <row r="12">
          <cell r="E12">
            <v>21460.839999999997</v>
          </cell>
        </row>
      </sheetData>
      <sheetData sheetId="25">
        <row r="12">
          <cell r="E12">
            <v>0</v>
          </cell>
        </row>
      </sheetData>
      <sheetData sheetId="26">
        <row r="12">
          <cell r="E12">
            <v>0</v>
          </cell>
        </row>
      </sheetData>
      <sheetData sheetId="27">
        <row r="12">
          <cell r="E12">
            <v>25187.289999999997</v>
          </cell>
        </row>
      </sheetData>
      <sheetData sheetId="28">
        <row r="12">
          <cell r="E12">
            <v>6851.85</v>
          </cell>
        </row>
      </sheetData>
      <sheetData sheetId="29">
        <row r="12">
          <cell r="E12">
            <v>0</v>
          </cell>
        </row>
      </sheetData>
      <sheetData sheetId="30">
        <row r="12">
          <cell r="E12">
            <v>0</v>
          </cell>
        </row>
      </sheetData>
      <sheetData sheetId="31">
        <row r="12">
          <cell r="E12">
            <v>5027.5</v>
          </cell>
        </row>
      </sheetData>
      <sheetData sheetId="32"/>
      <sheetData sheetId="33">
        <row r="13">
          <cell r="E13">
            <v>5745342.3599999994</v>
          </cell>
        </row>
      </sheetData>
      <sheetData sheetId="34">
        <row r="14">
          <cell r="F14">
            <v>20000</v>
          </cell>
        </row>
      </sheetData>
      <sheetData sheetId="35">
        <row r="13">
          <cell r="F13">
            <v>829246.95</v>
          </cell>
        </row>
      </sheetData>
      <sheetData sheetId="36">
        <row r="11">
          <cell r="F11">
            <v>6936981.898</v>
          </cell>
        </row>
      </sheetData>
      <sheetData sheetId="37"/>
      <sheetData sheetId="38">
        <row r="12">
          <cell r="F12">
            <v>220892</v>
          </cell>
        </row>
      </sheetData>
      <sheetData sheetId="39">
        <row r="13">
          <cell r="F13">
            <v>0</v>
          </cell>
        </row>
      </sheetData>
      <sheetData sheetId="40">
        <row r="13">
          <cell r="F13">
            <v>0</v>
          </cell>
        </row>
      </sheetData>
      <sheetData sheetId="41">
        <row r="13">
          <cell r="F13">
            <v>11700</v>
          </cell>
        </row>
      </sheetData>
      <sheetData sheetId="42">
        <row r="13">
          <cell r="F13">
            <v>1950</v>
          </cell>
        </row>
      </sheetData>
      <sheetData sheetId="43">
        <row r="13">
          <cell r="F13">
            <v>0</v>
          </cell>
        </row>
      </sheetData>
      <sheetData sheetId="44">
        <row r="12">
          <cell r="F12">
            <v>614260.38</v>
          </cell>
        </row>
      </sheetData>
      <sheetData sheetId="45">
        <row r="11">
          <cell r="F11">
            <v>3113142.5</v>
          </cell>
        </row>
      </sheetData>
      <sheetData sheetId="46">
        <row r="13">
          <cell r="F13">
            <v>4158</v>
          </cell>
        </row>
      </sheetData>
      <sheetData sheetId="47">
        <row r="13">
          <cell r="F13">
            <v>0</v>
          </cell>
        </row>
      </sheetData>
      <sheetData sheetId="48">
        <row r="13">
          <cell r="F13">
            <v>0</v>
          </cell>
        </row>
      </sheetData>
      <sheetData sheetId="49">
        <row r="12">
          <cell r="F12">
            <v>22452526.609999999</v>
          </cell>
        </row>
      </sheetData>
      <sheetData sheetId="50">
        <row r="13">
          <cell r="F13">
            <v>0</v>
          </cell>
        </row>
      </sheetData>
      <sheetData sheetId="51">
        <row r="9">
          <cell r="F9">
            <v>54006017.729999989</v>
          </cell>
        </row>
      </sheetData>
      <sheetData sheetId="52"/>
      <sheetData sheetId="53">
        <row r="14">
          <cell r="F14">
            <v>145512.68</v>
          </cell>
        </row>
      </sheetData>
      <sheetData sheetId="5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 PS"/>
      <sheetName val="CDRRMO - MOOE"/>
      <sheetName val="for child-friendly governance"/>
    </sheetNames>
    <sheetDataSet>
      <sheetData sheetId="0">
        <row r="9">
          <cell r="C9">
            <v>39316140</v>
          </cell>
          <cell r="E9">
            <v>16746469.23</v>
          </cell>
        </row>
        <row r="10">
          <cell r="C10">
            <v>4032000</v>
          </cell>
          <cell r="E10">
            <v>1885099.0799999996</v>
          </cell>
        </row>
        <row r="11">
          <cell r="C11">
            <v>114000</v>
          </cell>
          <cell r="E11">
            <v>57000</v>
          </cell>
        </row>
        <row r="12">
          <cell r="C12">
            <v>114000</v>
          </cell>
          <cell r="E12">
            <v>57000</v>
          </cell>
        </row>
        <row r="13">
          <cell r="C13">
            <v>1014000</v>
          </cell>
          <cell r="E13">
            <v>834000</v>
          </cell>
        </row>
        <row r="14">
          <cell r="C14">
            <v>50000</v>
          </cell>
          <cell r="E14">
            <v>0</v>
          </cell>
        </row>
        <row r="15">
          <cell r="C15">
            <v>3276345</v>
          </cell>
          <cell r="E15">
            <v>0</v>
          </cell>
        </row>
        <row r="16">
          <cell r="C16">
            <v>840000</v>
          </cell>
          <cell r="E16">
            <v>0</v>
          </cell>
        </row>
        <row r="17">
          <cell r="C17">
            <v>3276345</v>
          </cell>
          <cell r="E17">
            <v>2752907</v>
          </cell>
        </row>
        <row r="18">
          <cell r="C18">
            <v>4717938</v>
          </cell>
          <cell r="E18">
            <v>1912068.4200000009</v>
          </cell>
        </row>
        <row r="19">
          <cell r="C19">
            <v>201600</v>
          </cell>
          <cell r="E19">
            <v>83600</v>
          </cell>
        </row>
        <row r="20">
          <cell r="C20">
            <v>713507</v>
          </cell>
          <cell r="E20">
            <v>236907.82</v>
          </cell>
        </row>
        <row r="21">
          <cell r="C21">
            <v>201600</v>
          </cell>
          <cell r="E21">
            <v>83500</v>
          </cell>
        </row>
        <row r="22">
          <cell r="C22">
            <v>517517</v>
          </cell>
          <cell r="E22">
            <v>39152.070000000007</v>
          </cell>
        </row>
        <row r="23">
          <cell r="C23">
            <v>2891814</v>
          </cell>
          <cell r="E23">
            <v>0</v>
          </cell>
        </row>
        <row r="24">
          <cell r="C24">
            <v>6000000</v>
          </cell>
          <cell r="E24">
            <v>3636855.9799999972</v>
          </cell>
        </row>
        <row r="25">
          <cell r="C25">
            <v>90000</v>
          </cell>
          <cell r="E25">
            <v>50000</v>
          </cell>
        </row>
        <row r="26">
          <cell r="C26">
            <v>1000</v>
          </cell>
        </row>
        <row r="27">
          <cell r="C27">
            <v>840000</v>
          </cell>
        </row>
        <row r="28">
          <cell r="C28">
            <v>7307116</v>
          </cell>
        </row>
        <row r="30">
          <cell r="C30">
            <v>568600</v>
          </cell>
          <cell r="E30">
            <v>149370</v>
          </cell>
        </row>
        <row r="31">
          <cell r="C31">
            <v>1000</v>
          </cell>
          <cell r="E31">
            <v>0</v>
          </cell>
        </row>
        <row r="32">
          <cell r="C32">
            <v>30000</v>
          </cell>
          <cell r="E32">
            <v>0</v>
          </cell>
        </row>
        <row r="33">
          <cell r="C33">
            <v>270000</v>
          </cell>
          <cell r="E33">
            <v>169408.7</v>
          </cell>
        </row>
        <row r="34">
          <cell r="C34">
            <v>80000</v>
          </cell>
          <cell r="E34">
            <v>64805</v>
          </cell>
        </row>
        <row r="35">
          <cell r="C35">
            <v>2000000</v>
          </cell>
          <cell r="E35">
            <v>559486.7200000002</v>
          </cell>
        </row>
        <row r="36">
          <cell r="C36">
            <v>500000</v>
          </cell>
          <cell r="E36">
            <v>61772.2</v>
          </cell>
        </row>
        <row r="37">
          <cell r="C37">
            <v>10000</v>
          </cell>
          <cell r="E37">
            <v>571</v>
          </cell>
        </row>
        <row r="38">
          <cell r="C38">
            <v>193897</v>
          </cell>
          <cell r="E38">
            <v>60193.389999999992</v>
          </cell>
        </row>
        <row r="39">
          <cell r="C39">
            <v>357300</v>
          </cell>
          <cell r="E39">
            <v>57386.839999999967</v>
          </cell>
        </row>
        <row r="40">
          <cell r="C40">
            <v>50000</v>
          </cell>
          <cell r="E40">
            <v>0</v>
          </cell>
        </row>
        <row r="41">
          <cell r="C41">
            <v>20109790</v>
          </cell>
          <cell r="E41">
            <v>7801383.75</v>
          </cell>
        </row>
        <row r="42">
          <cell r="C42">
            <v>2000</v>
          </cell>
          <cell r="E42">
            <v>0</v>
          </cell>
        </row>
        <row r="43">
          <cell r="C43">
            <v>85000</v>
          </cell>
          <cell r="E43">
            <v>26345</v>
          </cell>
        </row>
        <row r="44">
          <cell r="C44">
            <v>850000</v>
          </cell>
          <cell r="E44">
            <v>120650.18999999994</v>
          </cell>
        </row>
        <row r="45">
          <cell r="C45">
            <v>600000</v>
          </cell>
          <cell r="E45">
            <v>59685.260000000009</v>
          </cell>
        </row>
        <row r="46">
          <cell r="C46">
            <v>1000000</v>
          </cell>
          <cell r="E46">
            <v>358176</v>
          </cell>
        </row>
        <row r="47">
          <cell r="C47">
            <v>5000</v>
          </cell>
          <cell r="E47">
            <v>0</v>
          </cell>
        </row>
        <row r="48">
          <cell r="C48">
            <v>48000</v>
          </cell>
          <cell r="E48">
            <v>40000</v>
          </cell>
        </row>
        <row r="49">
          <cell r="C49">
            <v>1000000</v>
          </cell>
          <cell r="E49">
            <v>221998</v>
          </cell>
        </row>
        <row r="50">
          <cell r="C50">
            <v>200000</v>
          </cell>
          <cell r="E50">
            <v>200000</v>
          </cell>
        </row>
        <row r="51">
          <cell r="C51">
            <v>170000</v>
          </cell>
          <cell r="E51">
            <v>170000</v>
          </cell>
        </row>
        <row r="52">
          <cell r="C52">
            <v>50000</v>
          </cell>
          <cell r="E52">
            <v>50000</v>
          </cell>
        </row>
        <row r="53">
          <cell r="C53">
            <v>300000</v>
          </cell>
          <cell r="E53">
            <v>300000</v>
          </cell>
        </row>
        <row r="54">
          <cell r="C54">
            <v>1500000</v>
          </cell>
          <cell r="E54">
            <v>0</v>
          </cell>
        </row>
        <row r="55">
          <cell r="C55">
            <v>1177600.3500000001</v>
          </cell>
          <cell r="E55">
            <v>80271.789999999979</v>
          </cell>
        </row>
        <row r="56">
          <cell r="C56">
            <v>180000</v>
          </cell>
          <cell r="E56">
            <v>0</v>
          </cell>
        </row>
        <row r="57">
          <cell r="C57">
            <v>3000000</v>
          </cell>
          <cell r="E57">
            <v>2572897.5399999996</v>
          </cell>
        </row>
        <row r="58">
          <cell r="E58">
            <v>0</v>
          </cell>
        </row>
        <row r="59">
          <cell r="C59">
            <v>362783.65</v>
          </cell>
          <cell r="E59">
            <v>0</v>
          </cell>
        </row>
        <row r="60">
          <cell r="C60">
            <v>3000000</v>
          </cell>
          <cell r="E60">
            <v>0</v>
          </cell>
        </row>
        <row r="61">
          <cell r="C61">
            <v>15200000</v>
          </cell>
          <cell r="E61">
            <v>4312500</v>
          </cell>
        </row>
        <row r="62">
          <cell r="C62">
            <v>200000</v>
          </cell>
          <cell r="E62">
            <v>0</v>
          </cell>
        </row>
        <row r="65">
          <cell r="C65">
            <v>9000</v>
          </cell>
          <cell r="E65">
            <v>0</v>
          </cell>
        </row>
        <row r="66">
          <cell r="C66">
            <v>7200</v>
          </cell>
          <cell r="E66">
            <v>2495</v>
          </cell>
        </row>
        <row r="67">
          <cell r="C67">
            <v>4500</v>
          </cell>
          <cell r="E67">
            <v>2828.2</v>
          </cell>
        </row>
        <row r="68">
          <cell r="C68">
            <v>5400</v>
          </cell>
          <cell r="E68">
            <v>4501.3</v>
          </cell>
        </row>
        <row r="69">
          <cell r="C69">
            <v>72000</v>
          </cell>
          <cell r="E69">
            <v>34071.43</v>
          </cell>
        </row>
        <row r="70">
          <cell r="C70">
            <v>9000</v>
          </cell>
          <cell r="E70">
            <v>5271.8</v>
          </cell>
        </row>
        <row r="72">
          <cell r="C72">
            <v>30000</v>
          </cell>
          <cell r="E72">
            <v>4500</v>
          </cell>
        </row>
        <row r="73">
          <cell r="C73">
            <v>13500</v>
          </cell>
          <cell r="E73">
            <v>9319.5</v>
          </cell>
        </row>
        <row r="74">
          <cell r="C74">
            <v>10000</v>
          </cell>
          <cell r="E74">
            <v>6419.9</v>
          </cell>
        </row>
        <row r="75">
          <cell r="C75">
            <v>9500</v>
          </cell>
          <cell r="E75">
            <v>5100</v>
          </cell>
        </row>
        <row r="76">
          <cell r="C76">
            <v>72000</v>
          </cell>
          <cell r="E76">
            <v>36000</v>
          </cell>
        </row>
        <row r="85">
          <cell r="C85">
            <v>60000</v>
          </cell>
          <cell r="E85">
            <v>0</v>
          </cell>
        </row>
        <row r="87">
          <cell r="C87">
            <v>10000</v>
          </cell>
          <cell r="E87">
            <v>0</v>
          </cell>
        </row>
        <row r="88">
          <cell r="C88">
            <v>10000</v>
          </cell>
          <cell r="E88">
            <v>0</v>
          </cell>
        </row>
        <row r="89">
          <cell r="C89">
            <v>10000</v>
          </cell>
          <cell r="E89">
            <v>0</v>
          </cell>
        </row>
        <row r="90">
          <cell r="C90">
            <v>13500</v>
          </cell>
          <cell r="E90">
            <v>3092.3199999999997</v>
          </cell>
        </row>
        <row r="91">
          <cell r="C91">
            <v>3000</v>
          </cell>
          <cell r="E91">
            <v>0</v>
          </cell>
        </row>
        <row r="93">
          <cell r="C93">
            <v>312000</v>
          </cell>
          <cell r="E93">
            <v>126000</v>
          </cell>
        </row>
        <row r="95">
          <cell r="C95">
            <v>8000</v>
          </cell>
          <cell r="E95">
            <v>1740</v>
          </cell>
        </row>
        <row r="96">
          <cell r="C96">
            <v>150000</v>
          </cell>
          <cell r="E96">
            <v>39422</v>
          </cell>
        </row>
        <row r="97">
          <cell r="C97">
            <v>100000</v>
          </cell>
          <cell r="E97">
            <v>0</v>
          </cell>
        </row>
        <row r="98">
          <cell r="C98">
            <v>492000</v>
          </cell>
          <cell r="E98">
            <v>254000</v>
          </cell>
        </row>
      </sheetData>
      <sheetData sheetId="1"/>
      <sheetData sheetId="2">
        <row r="12">
          <cell r="C12">
            <v>10000</v>
          </cell>
        </row>
      </sheetData>
      <sheetData sheetId="3">
        <row r="12">
          <cell r="C12">
            <v>25000</v>
          </cell>
        </row>
      </sheetData>
      <sheetData sheetId="4">
        <row r="12">
          <cell r="C12">
            <v>1000</v>
          </cell>
        </row>
      </sheetData>
      <sheetData sheetId="5">
        <row r="12">
          <cell r="C12">
            <v>193200</v>
          </cell>
        </row>
      </sheetData>
      <sheetData sheetId="6">
        <row r="12">
          <cell r="C12">
            <v>100000</v>
          </cell>
        </row>
      </sheetData>
      <sheetData sheetId="7">
        <row r="12">
          <cell r="C12">
            <v>150000</v>
          </cell>
        </row>
      </sheetData>
      <sheetData sheetId="8">
        <row r="12">
          <cell r="C12">
            <v>30000</v>
          </cell>
        </row>
      </sheetData>
      <sheetData sheetId="9">
        <row r="12">
          <cell r="C12">
            <v>520000</v>
          </cell>
        </row>
      </sheetData>
      <sheetData sheetId="10">
        <row r="12">
          <cell r="C12">
            <v>20000</v>
          </cell>
        </row>
      </sheetData>
      <sheetData sheetId="11">
        <row r="12">
          <cell r="C12">
            <v>20000</v>
          </cell>
        </row>
      </sheetData>
      <sheetData sheetId="12">
        <row r="12">
          <cell r="C12">
            <v>100000</v>
          </cell>
        </row>
      </sheetData>
      <sheetData sheetId="13">
        <row r="11">
          <cell r="C11">
            <v>34000</v>
          </cell>
        </row>
      </sheetData>
      <sheetData sheetId="14">
        <row r="11">
          <cell r="E11">
            <v>0</v>
          </cell>
        </row>
      </sheetData>
      <sheetData sheetId="15">
        <row r="12">
          <cell r="C12">
            <v>222400</v>
          </cell>
        </row>
      </sheetData>
      <sheetData sheetId="16">
        <row r="12">
          <cell r="E12">
            <v>11445.7</v>
          </cell>
        </row>
      </sheetData>
      <sheetData sheetId="17">
        <row r="12">
          <cell r="C12">
            <v>13000</v>
          </cell>
        </row>
      </sheetData>
      <sheetData sheetId="18">
        <row r="12">
          <cell r="C12">
            <v>20000</v>
          </cell>
        </row>
      </sheetData>
      <sheetData sheetId="19">
        <row r="12">
          <cell r="C12">
            <v>18400</v>
          </cell>
        </row>
      </sheetData>
      <sheetData sheetId="20">
        <row r="12">
          <cell r="C12">
            <v>30000</v>
          </cell>
        </row>
      </sheetData>
      <sheetData sheetId="21"/>
      <sheetData sheetId="22"/>
      <sheetData sheetId="23">
        <row r="12">
          <cell r="C12">
            <v>50000</v>
          </cell>
        </row>
      </sheetData>
      <sheetData sheetId="24">
        <row r="12">
          <cell r="C12">
            <v>25000</v>
          </cell>
        </row>
      </sheetData>
      <sheetData sheetId="25">
        <row r="12">
          <cell r="C12">
            <v>5720</v>
          </cell>
        </row>
      </sheetData>
      <sheetData sheetId="26">
        <row r="12">
          <cell r="C12">
            <v>5000</v>
          </cell>
        </row>
      </sheetData>
      <sheetData sheetId="27">
        <row r="12">
          <cell r="C12">
            <v>46000</v>
          </cell>
        </row>
      </sheetData>
      <sheetData sheetId="28">
        <row r="12">
          <cell r="C12">
            <v>5000</v>
          </cell>
        </row>
      </sheetData>
      <sheetData sheetId="29">
        <row r="12">
          <cell r="C12">
            <v>7000</v>
          </cell>
        </row>
      </sheetData>
      <sheetData sheetId="30">
        <row r="12">
          <cell r="C12">
            <v>30000</v>
          </cell>
        </row>
      </sheetData>
      <sheetData sheetId="31">
        <row r="12">
          <cell r="C12">
            <v>50000</v>
          </cell>
        </row>
      </sheetData>
      <sheetData sheetId="32"/>
      <sheetData sheetId="33">
        <row r="13">
          <cell r="C13">
            <v>7227528</v>
          </cell>
        </row>
      </sheetData>
      <sheetData sheetId="34">
        <row r="14">
          <cell r="D14">
            <v>25000</v>
          </cell>
        </row>
      </sheetData>
      <sheetData sheetId="35">
        <row r="13">
          <cell r="D13">
            <v>1504596</v>
          </cell>
        </row>
      </sheetData>
      <sheetData sheetId="36">
        <row r="11">
          <cell r="D11">
            <v>10294824</v>
          </cell>
        </row>
      </sheetData>
      <sheetData sheetId="37"/>
      <sheetData sheetId="38">
        <row r="12">
          <cell r="D12">
            <v>230496</v>
          </cell>
        </row>
      </sheetData>
      <sheetData sheetId="39">
        <row r="13">
          <cell r="D13">
            <v>23200</v>
          </cell>
        </row>
      </sheetData>
      <sheetData sheetId="40">
        <row r="13">
          <cell r="D13">
            <v>35000</v>
          </cell>
        </row>
      </sheetData>
      <sheetData sheetId="41">
        <row r="13">
          <cell r="D13">
            <v>28800</v>
          </cell>
        </row>
      </sheetData>
      <sheetData sheetId="42">
        <row r="13">
          <cell r="D13">
            <v>10000</v>
          </cell>
        </row>
      </sheetData>
      <sheetData sheetId="43">
        <row r="13">
          <cell r="D13">
            <v>7500</v>
          </cell>
        </row>
      </sheetData>
      <sheetData sheetId="44">
        <row r="12">
          <cell r="D12">
            <v>681640</v>
          </cell>
        </row>
      </sheetData>
      <sheetData sheetId="45">
        <row r="11">
          <cell r="D11">
            <v>3036228</v>
          </cell>
        </row>
      </sheetData>
      <sheetData sheetId="46">
        <row r="13">
          <cell r="D13">
            <v>10000</v>
          </cell>
        </row>
      </sheetData>
      <sheetData sheetId="47">
        <row r="13">
          <cell r="D13">
            <v>5000</v>
          </cell>
        </row>
      </sheetData>
      <sheetData sheetId="48">
        <row r="13">
          <cell r="D13">
            <v>94000</v>
          </cell>
        </row>
      </sheetData>
      <sheetData sheetId="49">
        <row r="12">
          <cell r="D12">
            <v>27060546</v>
          </cell>
        </row>
      </sheetData>
      <sheetData sheetId="50">
        <row r="13">
          <cell r="D13">
            <v>50000</v>
          </cell>
        </row>
      </sheetData>
      <sheetData sheetId="51">
        <row r="9">
          <cell r="D9">
            <v>66929748</v>
          </cell>
        </row>
      </sheetData>
      <sheetData sheetId="52"/>
      <sheetData sheetId="53">
        <row r="9">
          <cell r="D9">
            <v>5268648</v>
          </cell>
        </row>
      </sheetData>
      <sheetData sheetId="54"/>
      <sheetData sheetId="5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sheetName val="MOOE"/>
      <sheetName val="PR'S"/>
      <sheetName val="OTHER GENERAL SERVICES"/>
      <sheetName val="CAPITAL OUTLAY - SB#2, CY 2020"/>
    </sheetNames>
    <sheetDataSet>
      <sheetData sheetId="0"/>
      <sheetData sheetId="1"/>
      <sheetData sheetId="2"/>
      <sheetData sheetId="3"/>
      <sheetData sheetId="4">
        <row r="14">
          <cell r="D14">
            <v>60000</v>
          </cell>
        </row>
        <row r="15">
          <cell r="D15">
            <v>60000</v>
          </cell>
        </row>
        <row r="16">
          <cell r="D16">
            <v>60000</v>
          </cell>
        </row>
        <row r="17">
          <cell r="D17">
            <v>133150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ow r="9">
          <cell r="C9">
            <v>40137324</v>
          </cell>
        </row>
        <row r="98">
          <cell r="C98">
            <v>1000000</v>
          </cell>
        </row>
      </sheetData>
      <sheetData sheetId="1"/>
      <sheetData sheetId="2">
        <row r="12">
          <cell r="C12">
            <v>20000</v>
          </cell>
        </row>
      </sheetData>
      <sheetData sheetId="3">
        <row r="12">
          <cell r="C12">
            <v>30000</v>
          </cell>
        </row>
      </sheetData>
      <sheetData sheetId="4">
        <row r="12">
          <cell r="C12">
            <v>1000</v>
          </cell>
        </row>
      </sheetData>
      <sheetData sheetId="5">
        <row r="12">
          <cell r="C12">
            <v>183000</v>
          </cell>
        </row>
      </sheetData>
      <sheetData sheetId="6">
        <row r="12">
          <cell r="C12">
            <v>430000</v>
          </cell>
        </row>
      </sheetData>
      <sheetData sheetId="7"/>
      <sheetData sheetId="8">
        <row r="12">
          <cell r="C12">
            <v>30000</v>
          </cell>
        </row>
      </sheetData>
      <sheetData sheetId="9">
        <row r="12">
          <cell r="C12">
            <v>520000</v>
          </cell>
        </row>
      </sheetData>
      <sheetData sheetId="10"/>
      <sheetData sheetId="11">
        <row r="12">
          <cell r="C12">
            <v>20000</v>
          </cell>
        </row>
      </sheetData>
      <sheetData sheetId="12"/>
      <sheetData sheetId="13">
        <row r="11">
          <cell r="C11">
            <v>34000</v>
          </cell>
        </row>
      </sheetData>
      <sheetData sheetId="14">
        <row r="11">
          <cell r="C11">
            <v>500000</v>
          </cell>
        </row>
        <row r="12">
          <cell r="C12">
            <v>150000</v>
          </cell>
        </row>
        <row r="13">
          <cell r="C13">
            <v>2628000</v>
          </cell>
        </row>
      </sheetData>
      <sheetData sheetId="15">
        <row r="12">
          <cell r="C12">
            <v>222400</v>
          </cell>
        </row>
        <row r="13">
          <cell r="C13">
            <v>777600</v>
          </cell>
        </row>
      </sheetData>
      <sheetData sheetId="16"/>
      <sheetData sheetId="17">
        <row r="12">
          <cell r="C12">
            <v>13000</v>
          </cell>
        </row>
      </sheetData>
      <sheetData sheetId="18">
        <row r="12">
          <cell r="C12">
            <v>20000</v>
          </cell>
        </row>
      </sheetData>
      <sheetData sheetId="19"/>
      <sheetData sheetId="20">
        <row r="12">
          <cell r="C12">
            <v>50000</v>
          </cell>
        </row>
      </sheetData>
      <sheetData sheetId="21"/>
      <sheetData sheetId="22">
        <row r="12">
          <cell r="E12">
            <v>0</v>
          </cell>
        </row>
        <row r="13">
          <cell r="E13">
            <v>0</v>
          </cell>
        </row>
        <row r="14">
          <cell r="E14">
            <v>0</v>
          </cell>
        </row>
        <row r="15">
          <cell r="E15">
            <v>0</v>
          </cell>
        </row>
      </sheetData>
      <sheetData sheetId="23">
        <row r="12">
          <cell r="E12">
            <v>0</v>
          </cell>
        </row>
      </sheetData>
      <sheetData sheetId="24">
        <row r="12">
          <cell r="C12">
            <v>90000</v>
          </cell>
        </row>
      </sheetData>
      <sheetData sheetId="25">
        <row r="12">
          <cell r="C12">
            <v>10000</v>
          </cell>
        </row>
      </sheetData>
      <sheetData sheetId="26">
        <row r="12">
          <cell r="C12">
            <v>10000</v>
          </cell>
        </row>
      </sheetData>
      <sheetData sheetId="27">
        <row r="12">
          <cell r="C12">
            <v>46000</v>
          </cell>
        </row>
      </sheetData>
      <sheetData sheetId="28">
        <row r="12">
          <cell r="C12">
            <v>7000</v>
          </cell>
        </row>
      </sheetData>
      <sheetData sheetId="29">
        <row r="12">
          <cell r="C12">
            <v>15000</v>
          </cell>
        </row>
      </sheetData>
      <sheetData sheetId="30">
        <row r="12">
          <cell r="C12">
            <v>30000</v>
          </cell>
        </row>
      </sheetData>
      <sheetData sheetId="31">
        <row r="12">
          <cell r="C12">
            <v>80000</v>
          </cell>
        </row>
      </sheetData>
      <sheetData sheetId="32"/>
      <sheetData sheetId="33">
        <row r="13">
          <cell r="C13">
            <v>6946248</v>
          </cell>
        </row>
      </sheetData>
      <sheetData sheetId="34"/>
      <sheetData sheetId="35"/>
      <sheetData sheetId="36"/>
      <sheetData sheetId="37"/>
      <sheetData sheetId="38">
        <row r="12">
          <cell r="D12">
            <v>196704</v>
          </cell>
        </row>
      </sheetData>
      <sheetData sheetId="39">
        <row r="13">
          <cell r="D13">
            <v>23200</v>
          </cell>
        </row>
      </sheetData>
      <sheetData sheetId="40">
        <row r="13">
          <cell r="D13">
            <v>35000</v>
          </cell>
        </row>
      </sheetData>
      <sheetData sheetId="41">
        <row r="13">
          <cell r="D13">
            <v>28800</v>
          </cell>
        </row>
      </sheetData>
      <sheetData sheetId="42">
        <row r="13">
          <cell r="D13">
            <v>20000</v>
          </cell>
        </row>
      </sheetData>
      <sheetData sheetId="43">
        <row r="13">
          <cell r="D13">
            <v>7500</v>
          </cell>
        </row>
      </sheetData>
      <sheetData sheetId="44">
        <row r="12">
          <cell r="D12">
            <v>681640</v>
          </cell>
        </row>
      </sheetData>
      <sheetData sheetId="45">
        <row r="10">
          <cell r="D10">
            <v>3096728</v>
          </cell>
        </row>
      </sheetData>
      <sheetData sheetId="46">
        <row r="13">
          <cell r="D13">
            <v>10000</v>
          </cell>
        </row>
      </sheetData>
      <sheetData sheetId="47">
        <row r="13">
          <cell r="D13">
            <v>5000</v>
          </cell>
        </row>
      </sheetData>
      <sheetData sheetId="48">
        <row r="13">
          <cell r="D13">
            <v>94000</v>
          </cell>
        </row>
      </sheetData>
      <sheetData sheetId="49"/>
      <sheetData sheetId="50"/>
      <sheetData sheetId="51">
        <row r="9">
          <cell r="D9">
            <v>59427100</v>
          </cell>
        </row>
      </sheetData>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2"/>
      <sheetName val="1031"/>
      <sheetName val="1051"/>
      <sheetName val="1071"/>
      <sheetName val="1081"/>
      <sheetName val="1091"/>
      <sheetName val="1101"/>
      <sheetName val="1101 genrev"/>
      <sheetName val="1111"/>
      <sheetName val="1131"/>
      <sheetName val="1141"/>
      <sheetName val="1151"/>
      <sheetName val="1158"/>
      <sheetName val="1161"/>
      <sheetName val="1181"/>
      <sheetName val="1191"/>
      <sheetName val="WATERWORKS"/>
      <sheetName val="CWD CONTINUING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E13">
            <v>13650</v>
          </cell>
        </row>
        <row r="14">
          <cell r="E14">
            <v>0</v>
          </cell>
        </row>
        <row r="15">
          <cell r="E15">
            <v>23499.5</v>
          </cell>
        </row>
        <row r="16">
          <cell r="E16">
            <v>0</v>
          </cell>
        </row>
        <row r="17">
          <cell r="E17">
            <v>0</v>
          </cell>
        </row>
        <row r="18">
          <cell r="E18">
            <v>0</v>
          </cell>
        </row>
        <row r="19">
          <cell r="E19">
            <v>915</v>
          </cell>
        </row>
        <row r="20">
          <cell r="E20">
            <v>4165</v>
          </cell>
        </row>
        <row r="21">
          <cell r="E21">
            <v>113040.62</v>
          </cell>
        </row>
        <row r="22">
          <cell r="E22">
            <v>0</v>
          </cell>
        </row>
        <row r="23">
          <cell r="E23">
            <v>0</v>
          </cell>
        </row>
        <row r="24">
          <cell r="E24">
            <v>2320</v>
          </cell>
        </row>
      </sheetData>
      <sheetData sheetId="9" refreshError="1"/>
      <sheetData sheetId="10">
        <row r="14">
          <cell r="C14">
            <v>33000</v>
          </cell>
        </row>
        <row r="15">
          <cell r="C15">
            <v>20000</v>
          </cell>
        </row>
        <row r="16">
          <cell r="C16">
            <v>15500</v>
          </cell>
          <cell r="E16">
            <v>15362</v>
          </cell>
        </row>
        <row r="17">
          <cell r="C17">
            <v>1500</v>
          </cell>
        </row>
        <row r="18">
          <cell r="C18">
            <v>10000</v>
          </cell>
          <cell r="E18">
            <v>2703.68</v>
          </cell>
        </row>
        <row r="19">
          <cell r="C19">
            <v>16000</v>
          </cell>
          <cell r="E19">
            <v>3897</v>
          </cell>
        </row>
        <row r="20">
          <cell r="C20">
            <v>252000</v>
          </cell>
          <cell r="E20">
            <v>48000</v>
          </cell>
        </row>
        <row r="21">
          <cell r="C21">
            <v>2000</v>
          </cell>
        </row>
      </sheetData>
      <sheetData sheetId="11" refreshError="1"/>
      <sheetData sheetId="12" refreshError="1"/>
      <sheetData sheetId="13" refreshError="1"/>
      <sheetData sheetId="14" refreshError="1"/>
      <sheetData sheetId="15" refreshError="1"/>
      <sheetData sheetId="16" refreshError="1">
        <row r="60">
          <cell r="B60">
            <v>222000</v>
          </cell>
        </row>
        <row r="61">
          <cell r="B61">
            <v>102950</v>
          </cell>
        </row>
      </sheetData>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4">
          <cell r="B14" t="str">
            <v>5-01-02-140</v>
          </cell>
        </row>
        <row r="29">
          <cell r="B29" t="str">
            <v>5-02-03-010</v>
          </cell>
        </row>
        <row r="36">
          <cell r="B36" t="str">
            <v>5-02-03-090</v>
          </cell>
        </row>
        <row r="67">
          <cell r="D67" t="str">
            <v>5-02-99-990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
      <sheetName val="CDRRMO"/>
      <sheetName val="for child-friendly governance"/>
    </sheetNames>
    <sheetDataSet>
      <sheetData sheetId="0">
        <row r="9">
          <cell r="E9">
            <v>32847898.039999999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3">
          <cell r="E13">
            <v>5745342.3599999994</v>
          </cell>
        </row>
        <row r="14">
          <cell r="E14">
            <v>431799.99</v>
          </cell>
        </row>
        <row r="15">
          <cell r="E15">
            <v>85500</v>
          </cell>
        </row>
        <row r="16">
          <cell r="E16">
            <v>85500</v>
          </cell>
        </row>
        <row r="17">
          <cell r="E17">
            <v>102000</v>
          </cell>
        </row>
        <row r="18">
          <cell r="E18">
            <v>62347.89</v>
          </cell>
        </row>
        <row r="19">
          <cell r="E19">
            <v>465949</v>
          </cell>
        </row>
        <row r="20">
          <cell r="E20">
            <v>89500</v>
          </cell>
        </row>
        <row r="21">
          <cell r="E21">
            <v>463613</v>
          </cell>
        </row>
        <row r="22">
          <cell r="E22">
            <v>689441</v>
          </cell>
        </row>
        <row r="23">
          <cell r="E23">
            <v>21600</v>
          </cell>
        </row>
        <row r="24">
          <cell r="E24">
            <v>77712.010000000009</v>
          </cell>
        </row>
        <row r="25">
          <cell r="E25">
            <v>21600</v>
          </cell>
        </row>
        <row r="26">
          <cell r="E26">
            <v>0</v>
          </cell>
        </row>
        <row r="27">
          <cell r="E27">
            <v>1192715.55</v>
          </cell>
        </row>
        <row r="28">
          <cell r="E28">
            <v>10000</v>
          </cell>
        </row>
        <row r="29">
          <cell r="E29">
            <v>0</v>
          </cell>
        </row>
        <row r="30">
          <cell r="E30">
            <v>92500</v>
          </cell>
        </row>
        <row r="31">
          <cell r="E31">
            <v>51000</v>
          </cell>
        </row>
        <row r="33">
          <cell r="E33">
            <v>49284</v>
          </cell>
        </row>
        <row r="34">
          <cell r="E34">
            <v>0</v>
          </cell>
        </row>
        <row r="35">
          <cell r="E35">
            <v>100595.31999999999</v>
          </cell>
        </row>
        <row r="36">
          <cell r="E36">
            <v>76169.19</v>
          </cell>
        </row>
        <row r="38">
          <cell r="E38">
            <v>1581942.3699999999</v>
          </cell>
        </row>
        <row r="40">
          <cell r="E40">
            <v>3760266.5</v>
          </cell>
        </row>
        <row r="42">
          <cell r="E42">
            <v>1247952.08</v>
          </cell>
        </row>
        <row r="44">
          <cell r="E44">
            <v>9600</v>
          </cell>
        </row>
        <row r="45">
          <cell r="E45">
            <v>381201.54999999993</v>
          </cell>
        </row>
        <row r="46">
          <cell r="E46">
            <v>85</v>
          </cell>
        </row>
        <row r="47">
          <cell r="E47">
            <v>49801.950000000004</v>
          </cell>
        </row>
        <row r="48">
          <cell r="E48">
            <v>410226.23</v>
          </cell>
        </row>
        <row r="49">
          <cell r="E49">
            <v>32150</v>
          </cell>
        </row>
        <row r="50">
          <cell r="E50">
            <v>269522.40000000002</v>
          </cell>
        </row>
        <row r="51">
          <cell r="E51">
            <v>10180</v>
          </cell>
        </row>
        <row r="52">
          <cell r="E52">
            <v>0</v>
          </cell>
        </row>
        <row r="53">
          <cell r="E53">
            <v>0</v>
          </cell>
        </row>
        <row r="54">
          <cell r="E54">
            <v>1761703.74</v>
          </cell>
        </row>
        <row r="55">
          <cell r="E55">
            <v>935898.34999999986</v>
          </cell>
        </row>
        <row r="56">
          <cell r="E56">
            <v>8431.2999999999993</v>
          </cell>
        </row>
        <row r="57">
          <cell r="E57">
            <v>397072.66999999975</v>
          </cell>
        </row>
        <row r="59">
          <cell r="E59">
            <v>84000</v>
          </cell>
        </row>
        <row r="60">
          <cell r="E60">
            <v>159500</v>
          </cell>
        </row>
      </sheetData>
      <sheetData sheetId="34">
        <row r="14">
          <cell r="F14">
            <v>20000</v>
          </cell>
        </row>
      </sheetData>
      <sheetData sheetId="35">
        <row r="13">
          <cell r="F13">
            <v>829246.95</v>
          </cell>
        </row>
      </sheetData>
      <sheetData sheetId="36">
        <row r="11">
          <cell r="F11">
            <v>6936981.898</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2">
          <cell r="F12">
            <v>22452526.609999999</v>
          </cell>
        </row>
      </sheetData>
      <sheetData sheetId="50">
        <row r="13">
          <cell r="F13">
            <v>0</v>
          </cell>
        </row>
      </sheetData>
      <sheetData sheetId="51">
        <row r="9">
          <cell r="F9">
            <v>54006017.729999989</v>
          </cell>
        </row>
        <row r="10">
          <cell r="F10">
            <v>3459473.13</v>
          </cell>
        </row>
        <row r="11">
          <cell r="F11">
            <v>176937.5</v>
          </cell>
        </row>
        <row r="12">
          <cell r="F12">
            <v>176937.5</v>
          </cell>
        </row>
        <row r="13">
          <cell r="F13">
            <v>906000</v>
          </cell>
        </row>
        <row r="14">
          <cell r="F14">
            <v>2640882.96</v>
          </cell>
        </row>
        <row r="15">
          <cell r="F15">
            <v>262907.99</v>
          </cell>
        </row>
        <row r="16">
          <cell r="F16">
            <v>11933348.079999998</v>
          </cell>
        </row>
        <row r="17">
          <cell r="F17">
            <v>1387046.8800000001</v>
          </cell>
        </row>
        <row r="18">
          <cell r="F18">
            <v>5646230.6100000003</v>
          </cell>
        </row>
        <row r="19">
          <cell r="F19">
            <v>4407654</v>
          </cell>
        </row>
        <row r="20">
          <cell r="F20">
            <v>720500</v>
          </cell>
        </row>
        <row r="21">
          <cell r="F21">
            <v>4352433.5</v>
          </cell>
        </row>
        <row r="22">
          <cell r="F22">
            <v>6485799.7300000004</v>
          </cell>
        </row>
        <row r="23">
          <cell r="F23">
            <v>173000</v>
          </cell>
        </row>
        <row r="24">
          <cell r="F24">
            <v>714936.01000000013</v>
          </cell>
        </row>
        <row r="25">
          <cell r="F25">
            <v>174200</v>
          </cell>
        </row>
        <row r="26">
          <cell r="F26">
            <v>749169.5</v>
          </cell>
        </row>
        <row r="27">
          <cell r="F27">
            <v>9797133.9499999993</v>
          </cell>
        </row>
        <row r="28">
          <cell r="F28">
            <v>70000</v>
          </cell>
        </row>
        <row r="29">
          <cell r="F29">
            <v>0</v>
          </cell>
        </row>
        <row r="30">
          <cell r="F30">
            <v>721500</v>
          </cell>
        </row>
        <row r="31">
          <cell r="F31">
            <v>393000</v>
          </cell>
        </row>
        <row r="32">
          <cell r="F32">
            <v>12000</v>
          </cell>
        </row>
        <row r="34">
          <cell r="F34">
            <v>72487.13</v>
          </cell>
        </row>
        <row r="35">
          <cell r="F35">
            <v>330180</v>
          </cell>
        </row>
        <row r="36">
          <cell r="F36">
            <v>29840</v>
          </cell>
        </row>
        <row r="37">
          <cell r="F37">
            <v>692026.59</v>
          </cell>
        </row>
        <row r="39">
          <cell r="F39">
            <v>109145.5</v>
          </cell>
        </row>
        <row r="40">
          <cell r="F40">
            <v>7935600</v>
          </cell>
        </row>
        <row r="41">
          <cell r="F41">
            <v>2542354</v>
          </cell>
        </row>
        <row r="42">
          <cell r="F42">
            <v>6987952.1699999999</v>
          </cell>
        </row>
        <row r="43">
          <cell r="F43">
            <v>215300</v>
          </cell>
        </row>
        <row r="44">
          <cell r="F44">
            <v>47062</v>
          </cell>
        </row>
        <row r="45">
          <cell r="F45">
            <v>60811</v>
          </cell>
        </row>
        <row r="46">
          <cell r="F46">
            <v>0</v>
          </cell>
        </row>
        <row r="47">
          <cell r="F47">
            <v>0</v>
          </cell>
        </row>
        <row r="48">
          <cell r="F48">
            <v>1088701.1300000001</v>
          </cell>
        </row>
        <row r="49">
          <cell r="F49">
            <v>463072</v>
          </cell>
        </row>
        <row r="50">
          <cell r="F50">
            <v>358615.05</v>
          </cell>
        </row>
        <row r="51">
          <cell r="F51">
            <v>5284688.6499999994</v>
          </cell>
        </row>
        <row r="52">
          <cell r="F52">
            <v>0</v>
          </cell>
        </row>
        <row r="53">
          <cell r="F53">
            <v>95567.51999999999</v>
          </cell>
        </row>
        <row r="54">
          <cell r="F54">
            <v>498787.32</v>
          </cell>
        </row>
        <row r="55">
          <cell r="F55">
            <v>524400</v>
          </cell>
        </row>
        <row r="56">
          <cell r="F56">
            <v>26976015.779999997</v>
          </cell>
        </row>
        <row r="57">
          <cell r="F57">
            <v>541568</v>
          </cell>
        </row>
        <row r="58">
          <cell r="F58">
            <v>98380</v>
          </cell>
        </row>
        <row r="60">
          <cell r="F60">
            <v>0</v>
          </cell>
        </row>
        <row r="62">
          <cell r="F62">
            <v>9200</v>
          </cell>
        </row>
        <row r="64">
          <cell r="F64">
            <v>22700</v>
          </cell>
        </row>
        <row r="66">
          <cell r="F66">
            <v>13035.12</v>
          </cell>
        </row>
        <row r="74">
          <cell r="F74">
            <v>74600</v>
          </cell>
        </row>
        <row r="75">
          <cell r="F75">
            <v>10000</v>
          </cell>
        </row>
        <row r="76">
          <cell r="F76">
            <v>536263</v>
          </cell>
        </row>
        <row r="77">
          <cell r="F77">
            <v>70021.75</v>
          </cell>
        </row>
        <row r="78">
          <cell r="F78">
            <v>33200</v>
          </cell>
        </row>
        <row r="79">
          <cell r="F79">
            <v>150</v>
          </cell>
        </row>
        <row r="81">
          <cell r="F81">
            <v>312077.92</v>
          </cell>
        </row>
        <row r="82">
          <cell r="F82">
            <v>478160</v>
          </cell>
        </row>
        <row r="83">
          <cell r="F83">
            <v>480905.75</v>
          </cell>
        </row>
        <row r="84">
          <cell r="F84">
            <v>231877</v>
          </cell>
        </row>
        <row r="85">
          <cell r="F85">
            <v>1629525</v>
          </cell>
        </row>
        <row r="88">
          <cell r="F88">
            <v>250410</v>
          </cell>
        </row>
      </sheetData>
      <sheetData sheetId="52" refreshError="1"/>
      <sheetData sheetId="53">
        <row r="14">
          <cell r="F14">
            <v>145512.68</v>
          </cell>
        </row>
      </sheetData>
      <sheetData sheetId="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 PS"/>
      <sheetName val="CDRRMO - MOOE"/>
      <sheetName val="for child-friendly gover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3">
          <cell r="C13">
            <v>7227528</v>
          </cell>
          <cell r="E13">
            <v>3030734.13</v>
          </cell>
        </row>
        <row r="14">
          <cell r="C14">
            <v>552000</v>
          </cell>
          <cell r="E14">
            <v>264000</v>
          </cell>
        </row>
        <row r="15">
          <cell r="C15">
            <v>85500</v>
          </cell>
          <cell r="E15">
            <v>42750</v>
          </cell>
        </row>
        <row r="16">
          <cell r="C16">
            <v>85500</v>
          </cell>
          <cell r="E16">
            <v>42750</v>
          </cell>
        </row>
        <row r="17">
          <cell r="C17">
            <v>138000</v>
          </cell>
          <cell r="E17">
            <v>120000</v>
          </cell>
        </row>
        <row r="18">
          <cell r="C18">
            <v>200000</v>
          </cell>
          <cell r="E18">
            <v>6156.5499999999993</v>
          </cell>
        </row>
        <row r="19">
          <cell r="C19">
            <v>602294</v>
          </cell>
          <cell r="E19">
            <v>0</v>
          </cell>
        </row>
        <row r="20">
          <cell r="C20">
            <v>115000</v>
          </cell>
          <cell r="E20">
            <v>0</v>
          </cell>
        </row>
        <row r="21">
          <cell r="C21">
            <v>602294</v>
          </cell>
          <cell r="E21">
            <v>495600</v>
          </cell>
        </row>
        <row r="22">
          <cell r="C22">
            <v>867304</v>
          </cell>
          <cell r="E22">
            <v>363688.08999999997</v>
          </cell>
        </row>
        <row r="23">
          <cell r="C23">
            <v>27600</v>
          </cell>
          <cell r="E23">
            <v>11500</v>
          </cell>
        </row>
        <row r="24">
          <cell r="C24">
            <v>119442</v>
          </cell>
          <cell r="E24">
            <v>40366.300000000003</v>
          </cell>
        </row>
        <row r="25">
          <cell r="C25">
            <v>27600</v>
          </cell>
          <cell r="E25">
            <v>11500</v>
          </cell>
        </row>
        <row r="26">
          <cell r="C26">
            <v>1000</v>
          </cell>
          <cell r="E26">
            <v>0</v>
          </cell>
        </row>
        <row r="27">
          <cell r="C27">
            <v>569353</v>
          </cell>
          <cell r="E27">
            <v>0</v>
          </cell>
        </row>
        <row r="28">
          <cell r="C28">
            <v>30000</v>
          </cell>
          <cell r="E28">
            <v>25000</v>
          </cell>
        </row>
        <row r="29">
          <cell r="C29">
            <v>1000</v>
          </cell>
          <cell r="E29">
            <v>0</v>
          </cell>
        </row>
        <row r="30">
          <cell r="C30">
            <v>115000</v>
          </cell>
          <cell r="E30">
            <v>0</v>
          </cell>
        </row>
        <row r="32">
          <cell r="C32">
            <v>150000</v>
          </cell>
          <cell r="E32">
            <v>22082</v>
          </cell>
        </row>
        <row r="33">
          <cell r="C33">
            <v>50000</v>
          </cell>
          <cell r="E33">
            <v>0</v>
          </cell>
        </row>
        <row r="34">
          <cell r="C34">
            <v>130000</v>
          </cell>
          <cell r="E34">
            <v>61446</v>
          </cell>
        </row>
        <row r="35">
          <cell r="C35">
            <v>200000</v>
          </cell>
          <cell r="E35">
            <v>28580.28</v>
          </cell>
        </row>
        <row r="37">
          <cell r="C37">
            <v>1700000</v>
          </cell>
          <cell r="E37">
            <v>909577.41999999993</v>
          </cell>
        </row>
        <row r="39">
          <cell r="C39">
            <v>5000000</v>
          </cell>
          <cell r="E39">
            <v>2647615</v>
          </cell>
        </row>
        <row r="41">
          <cell r="C41">
            <v>1500000</v>
          </cell>
          <cell r="E41">
            <v>592964.28000000014</v>
          </cell>
        </row>
        <row r="43">
          <cell r="C43">
            <v>94320</v>
          </cell>
          <cell r="E43">
            <v>0</v>
          </cell>
        </row>
        <row r="44">
          <cell r="C44">
            <v>290000</v>
          </cell>
          <cell r="E44">
            <v>157701.94999999998</v>
          </cell>
        </row>
        <row r="45">
          <cell r="C45">
            <v>5000</v>
          </cell>
          <cell r="E45">
            <v>0</v>
          </cell>
        </row>
        <row r="46">
          <cell r="C46">
            <v>93172.52</v>
          </cell>
          <cell r="E46">
            <v>21421.329999999998</v>
          </cell>
        </row>
        <row r="47">
          <cell r="C47">
            <v>475200</v>
          </cell>
          <cell r="E47">
            <v>188850</v>
          </cell>
        </row>
        <row r="48">
          <cell r="C48">
            <v>100000</v>
          </cell>
          <cell r="E48">
            <v>79197</v>
          </cell>
        </row>
        <row r="49">
          <cell r="C49">
            <v>105000</v>
          </cell>
          <cell r="E49">
            <v>11300</v>
          </cell>
        </row>
        <row r="50">
          <cell r="C50">
            <v>88000</v>
          </cell>
          <cell r="E50">
            <v>2880</v>
          </cell>
        </row>
        <row r="51">
          <cell r="C51">
            <v>90000</v>
          </cell>
          <cell r="E51">
            <v>0</v>
          </cell>
        </row>
        <row r="52">
          <cell r="C52">
            <v>9000</v>
          </cell>
        </row>
        <row r="53">
          <cell r="C53">
            <v>1860000</v>
          </cell>
          <cell r="E53">
            <v>1761703.74</v>
          </cell>
        </row>
        <row r="54">
          <cell r="C54">
            <v>1050000</v>
          </cell>
          <cell r="E54">
            <v>501813.12999999995</v>
          </cell>
        </row>
        <row r="55">
          <cell r="C55">
            <v>89120</v>
          </cell>
          <cell r="E55">
            <v>2553.6</v>
          </cell>
        </row>
        <row r="56">
          <cell r="C56">
            <v>440000</v>
          </cell>
          <cell r="E56">
            <v>195471.61999999988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9">
          <cell r="D9">
            <v>66929748</v>
          </cell>
          <cell r="F9">
            <v>31257650.430000003</v>
          </cell>
        </row>
        <row r="10">
          <cell r="D10">
            <v>3864000</v>
          </cell>
          <cell r="F10">
            <v>2022108.2999999998</v>
          </cell>
        </row>
        <row r="11">
          <cell r="D11">
            <v>142500</v>
          </cell>
          <cell r="F11">
            <v>93218.75</v>
          </cell>
        </row>
        <row r="12">
          <cell r="D12">
            <v>142500</v>
          </cell>
          <cell r="F12">
            <v>93218.75</v>
          </cell>
        </row>
        <row r="13">
          <cell r="D13">
            <v>966000</v>
          </cell>
          <cell r="F13">
            <v>906000</v>
          </cell>
        </row>
        <row r="14">
          <cell r="D14">
            <v>2898000</v>
          </cell>
          <cell r="F14">
            <v>1133183.1299999999</v>
          </cell>
        </row>
        <row r="15">
          <cell r="D15">
            <v>289800</v>
          </cell>
          <cell r="F15">
            <v>113501.18000000001</v>
          </cell>
        </row>
        <row r="16">
          <cell r="D16">
            <v>13254567</v>
          </cell>
          <cell r="F16">
            <v>5075770.16</v>
          </cell>
        </row>
        <row r="17">
          <cell r="D17">
            <v>2457000</v>
          </cell>
          <cell r="F17">
            <v>934426.09999999986</v>
          </cell>
        </row>
        <row r="18">
          <cell r="D18">
            <v>3000000</v>
          </cell>
          <cell r="F18">
            <v>2123070.58</v>
          </cell>
        </row>
        <row r="19">
          <cell r="D19">
            <v>5577479</v>
          </cell>
          <cell r="F19">
            <v>0</v>
          </cell>
        </row>
        <row r="20">
          <cell r="D20">
            <v>805000</v>
          </cell>
          <cell r="F20">
            <v>0</v>
          </cell>
        </row>
        <row r="21">
          <cell r="D21">
            <v>5577479</v>
          </cell>
          <cell r="F21">
            <v>5094053</v>
          </cell>
        </row>
        <row r="22">
          <cell r="D22">
            <v>8032706</v>
          </cell>
          <cell r="F22">
            <v>3760438.2399999998</v>
          </cell>
        </row>
        <row r="23">
          <cell r="D23">
            <v>193200</v>
          </cell>
          <cell r="F23">
            <v>89400</v>
          </cell>
        </row>
        <row r="24">
          <cell r="D24">
            <v>1097296</v>
          </cell>
          <cell r="F24">
            <v>411035.92999999993</v>
          </cell>
        </row>
        <row r="25">
          <cell r="D25">
            <v>193200</v>
          </cell>
          <cell r="F25">
            <v>89800</v>
          </cell>
        </row>
        <row r="26">
          <cell r="D26">
            <v>3917000</v>
          </cell>
          <cell r="F26">
            <v>3228765.23</v>
          </cell>
        </row>
        <row r="27">
          <cell r="D27">
            <v>4936083</v>
          </cell>
          <cell r="F27">
            <v>0</v>
          </cell>
        </row>
        <row r="28">
          <cell r="D28">
            <v>35000</v>
          </cell>
          <cell r="F28">
            <v>5000</v>
          </cell>
        </row>
        <row r="29">
          <cell r="D29">
            <v>1000</v>
          </cell>
          <cell r="F29">
            <v>0</v>
          </cell>
        </row>
        <row r="30">
          <cell r="D30">
            <v>805000</v>
          </cell>
          <cell r="F30">
            <v>0</v>
          </cell>
        </row>
        <row r="31">
          <cell r="D31">
            <v>100000</v>
          </cell>
          <cell r="F31">
            <v>9000</v>
          </cell>
        </row>
        <row r="33">
          <cell r="D33">
            <v>100000</v>
          </cell>
          <cell r="F33">
            <v>33878</v>
          </cell>
        </row>
        <row r="34">
          <cell r="D34">
            <v>595000</v>
          </cell>
          <cell r="F34">
            <v>130860</v>
          </cell>
        </row>
        <row r="35">
          <cell r="D35">
            <v>400000</v>
          </cell>
          <cell r="F35">
            <v>312700</v>
          </cell>
        </row>
        <row r="36">
          <cell r="D36">
            <v>1000000</v>
          </cell>
          <cell r="F36">
            <v>648151.79999999993</v>
          </cell>
        </row>
        <row r="38">
          <cell r="D38">
            <v>350000</v>
          </cell>
          <cell r="F38">
            <v>195580.79999999999</v>
          </cell>
        </row>
        <row r="39">
          <cell r="D39">
            <v>11700000</v>
          </cell>
          <cell r="F39">
            <v>2099470</v>
          </cell>
        </row>
        <row r="40">
          <cell r="D40">
            <v>30000000</v>
          </cell>
          <cell r="F40">
            <v>169400</v>
          </cell>
        </row>
        <row r="41">
          <cell r="D41">
            <v>4000000</v>
          </cell>
          <cell r="F41">
            <v>2969094</v>
          </cell>
        </row>
        <row r="42">
          <cell r="D42">
            <v>14000000</v>
          </cell>
          <cell r="F42">
            <v>3072348.13</v>
          </cell>
        </row>
        <row r="43">
          <cell r="D43">
            <v>1000000</v>
          </cell>
          <cell r="F43">
            <v>18480</v>
          </cell>
        </row>
        <row r="44">
          <cell r="D44">
            <v>250000</v>
          </cell>
          <cell r="F44">
            <v>0</v>
          </cell>
        </row>
        <row r="45">
          <cell r="D45">
            <v>100000</v>
          </cell>
          <cell r="F45">
            <v>30000</v>
          </cell>
        </row>
        <row r="46">
          <cell r="D46">
            <v>200000</v>
          </cell>
          <cell r="F46">
            <v>0</v>
          </cell>
        </row>
        <row r="47">
          <cell r="F47">
            <v>0</v>
          </cell>
        </row>
        <row r="48">
          <cell r="D48">
            <v>2000000</v>
          </cell>
          <cell r="F48">
            <v>347938.11</v>
          </cell>
        </row>
        <row r="49">
          <cell r="D49">
            <v>800000</v>
          </cell>
          <cell r="F49">
            <v>305260</v>
          </cell>
        </row>
        <row r="50">
          <cell r="D50">
            <v>600000</v>
          </cell>
          <cell r="F50">
            <v>28997.199999999997</v>
          </cell>
        </row>
        <row r="51">
          <cell r="D51">
            <v>5500000</v>
          </cell>
          <cell r="F51">
            <v>2758244.04</v>
          </cell>
        </row>
        <row r="52">
          <cell r="D52">
            <v>10000</v>
          </cell>
          <cell r="F52">
            <v>0</v>
          </cell>
        </row>
        <row r="53">
          <cell r="D53">
            <v>250000</v>
          </cell>
          <cell r="F53">
            <v>64542.770000000004</v>
          </cell>
        </row>
        <row r="54">
          <cell r="D54">
            <v>500000</v>
          </cell>
          <cell r="F54">
            <v>143360</v>
          </cell>
        </row>
        <row r="55">
          <cell r="D55">
            <v>764400</v>
          </cell>
          <cell r="F55">
            <v>175000</v>
          </cell>
        </row>
        <row r="56">
          <cell r="D56">
            <v>28048110</v>
          </cell>
          <cell r="F56">
            <v>12118882.359999999</v>
          </cell>
        </row>
        <row r="57">
          <cell r="D57">
            <v>750000</v>
          </cell>
          <cell r="F57">
            <v>499855</v>
          </cell>
        </row>
        <row r="58">
          <cell r="D58">
            <v>100000</v>
          </cell>
          <cell r="F58">
            <v>2550</v>
          </cell>
        </row>
        <row r="60">
          <cell r="D60">
            <v>70000</v>
          </cell>
          <cell r="F60">
            <v>0</v>
          </cell>
        </row>
        <row r="62">
          <cell r="D62">
            <v>100000</v>
          </cell>
          <cell r="F62">
            <v>3883</v>
          </cell>
        </row>
        <row r="64">
          <cell r="D64">
            <v>100000</v>
          </cell>
          <cell r="F64">
            <v>0</v>
          </cell>
        </row>
        <row r="66">
          <cell r="D66">
            <v>100000</v>
          </cell>
          <cell r="F66">
            <v>0</v>
          </cell>
        </row>
        <row r="74">
          <cell r="D74">
            <v>100000</v>
          </cell>
          <cell r="F74">
            <v>66100</v>
          </cell>
        </row>
        <row r="75">
          <cell r="D75">
            <v>100000</v>
          </cell>
          <cell r="F75">
            <v>8900</v>
          </cell>
        </row>
        <row r="76">
          <cell r="D76">
            <v>1200000</v>
          </cell>
          <cell r="F76">
            <v>231695</v>
          </cell>
        </row>
        <row r="77">
          <cell r="D77">
            <v>210000</v>
          </cell>
          <cell r="F77">
            <v>13300</v>
          </cell>
        </row>
        <row r="78">
          <cell r="D78">
            <v>75000</v>
          </cell>
          <cell r="F78">
            <v>51485</v>
          </cell>
        </row>
        <row r="79">
          <cell r="D79">
            <v>10000</v>
          </cell>
          <cell r="F79">
            <v>0</v>
          </cell>
        </row>
        <row r="80">
          <cell r="D80">
            <v>795000</v>
          </cell>
          <cell r="F80">
            <v>74138.880000000005</v>
          </cell>
        </row>
        <row r="81">
          <cell r="D81">
            <v>200000</v>
          </cell>
          <cell r="F81">
            <v>0</v>
          </cell>
        </row>
        <row r="82">
          <cell r="D82">
            <v>1150000</v>
          </cell>
          <cell r="F82">
            <v>552860</v>
          </cell>
        </row>
        <row r="83">
          <cell r="D83">
            <v>450000</v>
          </cell>
          <cell r="F83">
            <v>308570</v>
          </cell>
        </row>
        <row r="84">
          <cell r="D84">
            <v>2000000</v>
          </cell>
          <cell r="F84">
            <v>1114350</v>
          </cell>
        </row>
        <row r="86">
          <cell r="D86">
            <v>1000000</v>
          </cell>
        </row>
      </sheetData>
      <sheetData sheetId="52" refreshError="1"/>
      <sheetData sheetId="53" refreshError="1"/>
      <sheetData sheetId="54" refreshError="1"/>
      <sheetData sheetId="5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FINAL"/>
      <sheetName val="GSD-FINAL"/>
      <sheetName val="PLAZA-FINAL"/>
      <sheetName val="CSWD-FINAL"/>
      <sheetName val="CEO-FINAL"/>
      <sheetName val="CDRRMO"/>
      <sheetName val="HOSPITAL - NEW BUDGET CIRCULAR"/>
      <sheetName val="HOSPITAL-FINAL"/>
    </sheetNames>
    <sheetDataSet>
      <sheetData sheetId="0">
        <row r="255">
          <cell r="B255">
            <v>169</v>
          </cell>
        </row>
      </sheetData>
      <sheetData sheetId="1">
        <row r="50">
          <cell r="B50">
            <v>24</v>
          </cell>
        </row>
        <row r="54">
          <cell r="H54">
            <v>7579692</v>
          </cell>
        </row>
        <row r="56">
          <cell r="K56">
            <v>121691</v>
          </cell>
        </row>
      </sheetData>
      <sheetData sheetId="2">
        <row r="23">
          <cell r="B23">
            <v>9</v>
          </cell>
        </row>
      </sheetData>
      <sheetData sheetId="3">
        <row r="69">
          <cell r="B69">
            <v>37</v>
          </cell>
        </row>
      </sheetData>
      <sheetData sheetId="4">
        <row r="132">
          <cell r="B132">
            <v>98</v>
          </cell>
        </row>
      </sheetData>
      <sheetData sheetId="5">
        <row r="48">
          <cell r="B48">
            <v>25</v>
          </cell>
        </row>
      </sheetData>
      <sheetData sheetId="6">
        <row r="218">
          <cell r="B218">
            <v>161</v>
          </cell>
        </row>
      </sheetData>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sheetName val="JAN-JUN"/>
      <sheetName val="JUL-DEC"/>
      <sheetName val="PR'S"/>
    </sheetNames>
    <sheetDataSet>
      <sheetData sheetId="0">
        <row r="8">
          <cell r="E8">
            <v>150000</v>
          </cell>
          <cell r="F8">
            <v>50000</v>
          </cell>
          <cell r="G8">
            <v>130000</v>
          </cell>
          <cell r="H8">
            <v>200000</v>
          </cell>
          <cell r="I8">
            <v>1700000</v>
          </cell>
          <cell r="J8">
            <v>5000000</v>
          </cell>
          <cell r="K8">
            <v>1500000</v>
          </cell>
          <cell r="L8">
            <v>94320</v>
          </cell>
          <cell r="M8">
            <v>290000</v>
          </cell>
          <cell r="N8">
            <v>5000</v>
          </cell>
          <cell r="O8">
            <v>92400</v>
          </cell>
          <cell r="P8">
            <v>475200</v>
          </cell>
          <cell r="Q8">
            <v>100000</v>
          </cell>
          <cell r="R8">
            <v>105000</v>
          </cell>
          <cell r="S8">
            <v>88000</v>
          </cell>
          <cell r="T8">
            <v>90000</v>
          </cell>
          <cell r="U8">
            <v>9000</v>
          </cell>
          <cell r="V8">
            <v>1050000</v>
          </cell>
          <cell r="W8">
            <v>1860000</v>
          </cell>
          <cell r="X8">
            <v>89120</v>
          </cell>
          <cell r="Y8">
            <v>440000</v>
          </cell>
        </row>
        <row r="11">
          <cell r="O11">
            <v>772.52</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GSD"/>
      <sheetName val="HOSPITAL"/>
      <sheetName val="STREETLIGHTING"/>
      <sheetName val="PARKS AND PLAZAS"/>
      <sheetName val="CSWD"/>
      <sheetName val="CEO-CA"/>
      <sheetName val="OBO"/>
      <sheetName val="SCHOLARSHIP PROG"/>
      <sheetName val="SPORTS"/>
      <sheetName val="PESO"/>
      <sheetName val="BAC"/>
      <sheetName val="BEAUTIFICATION"/>
      <sheetName val="CLDO"/>
      <sheetName val="NEGOSYO CENTER"/>
      <sheetName val="PIO"/>
      <sheetName val="SCCADAC2019"/>
      <sheetName val="TOURISM DEV."/>
      <sheetName val="4p's"/>
      <sheetName val="COUNTRY PROG. FOR CHILDREN"/>
    </sheetNames>
    <sheetDataSet>
      <sheetData sheetId="0" refreshError="1"/>
      <sheetData sheetId="1" refreshError="1"/>
      <sheetData sheetId="2" refreshError="1">
        <row r="10">
          <cell r="G10">
            <v>200000</v>
          </cell>
        </row>
        <row r="20">
          <cell r="G20">
            <v>1000000</v>
          </cell>
        </row>
        <row r="42">
          <cell r="G42">
            <v>100000</v>
          </cell>
        </row>
        <row r="44">
          <cell r="G44">
            <v>100000</v>
          </cell>
        </row>
        <row r="54">
          <cell r="G54">
            <v>75000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AUDIT"/>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ow r="9">
          <cell r="C9">
            <v>30879240</v>
          </cell>
        </row>
      </sheetData>
      <sheetData sheetId="1"/>
      <sheetData sheetId="2">
        <row r="12">
          <cell r="C12">
            <v>20000</v>
          </cell>
        </row>
      </sheetData>
      <sheetData sheetId="3">
        <row r="12">
          <cell r="C12">
            <v>30000</v>
          </cell>
        </row>
      </sheetData>
      <sheetData sheetId="4">
        <row r="12">
          <cell r="C12">
            <v>8000</v>
          </cell>
        </row>
      </sheetData>
      <sheetData sheetId="5">
        <row r="12">
          <cell r="C12">
            <v>110000</v>
          </cell>
        </row>
      </sheetData>
      <sheetData sheetId="6">
        <row r="12">
          <cell r="C12">
            <v>130000</v>
          </cell>
        </row>
      </sheetData>
      <sheetData sheetId="7">
        <row r="12">
          <cell r="C12">
            <v>260000</v>
          </cell>
        </row>
      </sheetData>
      <sheetData sheetId="8">
        <row r="12">
          <cell r="C12">
            <v>30000</v>
          </cell>
        </row>
      </sheetData>
      <sheetData sheetId="9">
        <row r="12">
          <cell r="C12">
            <v>520000</v>
          </cell>
        </row>
      </sheetData>
      <sheetData sheetId="10">
        <row r="12">
          <cell r="C12">
            <v>40000</v>
          </cell>
        </row>
      </sheetData>
      <sheetData sheetId="11">
        <row r="12">
          <cell r="C12">
            <v>20000</v>
          </cell>
        </row>
      </sheetData>
      <sheetData sheetId="12">
        <row r="12">
          <cell r="C12">
            <v>180000</v>
          </cell>
        </row>
      </sheetData>
      <sheetData sheetId="13">
        <row r="11">
          <cell r="C11">
            <v>34000</v>
          </cell>
        </row>
      </sheetData>
      <sheetData sheetId="14">
        <row r="11">
          <cell r="C11">
            <v>500000</v>
          </cell>
        </row>
      </sheetData>
      <sheetData sheetId="15">
        <row r="12">
          <cell r="C12">
            <v>222400</v>
          </cell>
        </row>
      </sheetData>
      <sheetData sheetId="16">
        <row r="12">
          <cell r="C12">
            <v>25000</v>
          </cell>
        </row>
      </sheetData>
      <sheetData sheetId="17">
        <row r="12">
          <cell r="C12">
            <v>13000</v>
          </cell>
        </row>
      </sheetData>
      <sheetData sheetId="18">
        <row r="12">
          <cell r="C12">
            <v>20000</v>
          </cell>
        </row>
      </sheetData>
      <sheetData sheetId="19">
        <row r="12">
          <cell r="C12">
            <v>18400</v>
          </cell>
        </row>
      </sheetData>
      <sheetData sheetId="20">
        <row r="12">
          <cell r="C12">
            <v>50000</v>
          </cell>
        </row>
      </sheetData>
      <sheetData sheetId="21">
        <row r="12">
          <cell r="C12">
            <v>1000</v>
          </cell>
        </row>
      </sheetData>
      <sheetData sheetId="22">
        <row r="12">
          <cell r="C12">
            <v>60400</v>
          </cell>
        </row>
      </sheetData>
      <sheetData sheetId="23">
        <row r="12">
          <cell r="C12">
            <v>50000</v>
          </cell>
        </row>
      </sheetData>
      <sheetData sheetId="24">
        <row r="12">
          <cell r="C12">
            <v>90000</v>
          </cell>
        </row>
      </sheetData>
      <sheetData sheetId="25">
        <row r="12">
          <cell r="C12">
            <v>10000</v>
          </cell>
        </row>
      </sheetData>
      <sheetData sheetId="26">
        <row r="12">
          <cell r="C12">
            <v>10000</v>
          </cell>
        </row>
      </sheetData>
      <sheetData sheetId="27">
        <row r="12">
          <cell r="C12">
            <v>46000</v>
          </cell>
        </row>
      </sheetData>
      <sheetData sheetId="28">
        <row r="12">
          <cell r="C12">
            <v>55000</v>
          </cell>
        </row>
      </sheetData>
      <sheetData sheetId="29">
        <row r="12">
          <cell r="C12">
            <v>15000</v>
          </cell>
        </row>
      </sheetData>
      <sheetData sheetId="30">
        <row r="12">
          <cell r="C12">
            <v>30000</v>
          </cell>
        </row>
      </sheetData>
      <sheetData sheetId="31">
        <row r="12">
          <cell r="C12">
            <v>80000</v>
          </cell>
        </row>
      </sheetData>
      <sheetData sheetId="32"/>
      <sheetData sheetId="33">
        <row r="14">
          <cell r="D14">
            <v>15000</v>
          </cell>
        </row>
      </sheetData>
      <sheetData sheetId="34">
        <row r="13">
          <cell r="D13">
            <v>1287516</v>
          </cell>
        </row>
      </sheetData>
      <sheetData sheetId="35">
        <row r="11">
          <cell r="D11">
            <v>8938284</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row r="12">
          <cell r="D12">
            <v>24474244</v>
          </cell>
        </row>
      </sheetData>
      <sheetData sheetId="49">
        <row r="13">
          <cell r="D13">
            <v>65000</v>
          </cell>
        </row>
      </sheetData>
      <sheetData sheetId="50">
        <row r="9">
          <cell r="D9">
            <v>55402548</v>
          </cell>
        </row>
        <row r="90">
          <cell r="F90">
            <v>0</v>
          </cell>
        </row>
      </sheetData>
      <sheetData sheetId="51">
        <row r="14">
          <cell r="E14">
            <v>0</v>
          </cell>
        </row>
      </sheetData>
      <sheetData sheetId="52">
        <row r="14">
          <cell r="D14">
            <v>175000</v>
          </cell>
        </row>
      </sheetData>
      <sheetData sheetId="5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sheetName val="OMOE"/>
      <sheetName val="PR'S"/>
      <sheetName val="Sheet1"/>
    </sheetNames>
    <sheetDataSet>
      <sheetData sheetId="0">
        <row r="8">
          <cell r="E8">
            <v>100000</v>
          </cell>
          <cell r="F8">
            <v>595000</v>
          </cell>
          <cell r="G8">
            <v>100000</v>
          </cell>
          <cell r="H8">
            <v>900000</v>
          </cell>
          <cell r="I8">
            <v>250000</v>
          </cell>
          <cell r="J8">
            <v>12000000</v>
          </cell>
          <cell r="K8">
            <v>30000000</v>
          </cell>
          <cell r="L8">
            <v>4000000</v>
          </cell>
          <cell r="M8">
            <v>14000000</v>
          </cell>
          <cell r="N8">
            <v>1000000</v>
          </cell>
          <cell r="O8">
            <v>250000</v>
          </cell>
          <cell r="P8">
            <v>100000</v>
          </cell>
          <cell r="Q8">
            <v>200000</v>
          </cell>
          <cell r="R8">
            <v>300000</v>
          </cell>
          <cell r="S8">
            <v>2000000</v>
          </cell>
          <cell r="T8">
            <v>700000</v>
          </cell>
          <cell r="U8">
            <v>600000</v>
          </cell>
          <cell r="V8">
            <v>5500000</v>
          </cell>
          <cell r="W8">
            <v>10000</v>
          </cell>
          <cell r="X8">
            <v>250000</v>
          </cell>
          <cell r="Y8">
            <v>500000</v>
          </cell>
          <cell r="Z8">
            <v>764400</v>
          </cell>
          <cell r="AA8">
            <v>25631510</v>
          </cell>
          <cell r="AB8">
            <v>600000</v>
          </cell>
          <cell r="AC8">
            <v>100000</v>
          </cell>
          <cell r="AD8">
            <v>70000</v>
          </cell>
          <cell r="AE8">
            <v>100000</v>
          </cell>
          <cell r="AF8">
            <v>100000</v>
          </cell>
          <cell r="AG8">
            <v>100000</v>
          </cell>
          <cell r="AH8">
            <v>100000</v>
          </cell>
          <cell r="AI8">
            <v>100000</v>
          </cell>
          <cell r="AJ8">
            <v>1200000</v>
          </cell>
          <cell r="AK8">
            <v>210000</v>
          </cell>
          <cell r="AL8">
            <v>75000</v>
          </cell>
          <cell r="AM8">
            <v>10000</v>
          </cell>
          <cell r="AN8">
            <v>795000</v>
          </cell>
          <cell r="AO8">
            <v>700000</v>
          </cell>
          <cell r="AP8">
            <v>650000</v>
          </cell>
          <cell r="AR8">
            <v>2000000</v>
          </cell>
        </row>
        <row r="11">
          <cell r="AO11">
            <v>-500000</v>
          </cell>
          <cell r="AP11">
            <v>500000</v>
          </cell>
        </row>
        <row r="12">
          <cell r="G12">
            <v>300000</v>
          </cell>
          <cell r="J12">
            <v>-300000</v>
          </cell>
        </row>
        <row r="13">
          <cell r="H13">
            <v>100000</v>
          </cell>
          <cell r="I13">
            <v>100000</v>
          </cell>
          <cell r="T13">
            <v>100000</v>
          </cell>
          <cell r="AA13">
            <v>2416600</v>
          </cell>
          <cell r="AB13">
            <v>150000</v>
          </cell>
          <cell r="AQ13">
            <v>100000</v>
          </cell>
        </row>
      </sheetData>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PAAO"/>
      <sheetName val="GSD"/>
      <sheetName val="HOSPITAL-PAAOE- FINAL"/>
      <sheetName val="CEO-STREETLIGHTING"/>
      <sheetName val="CEO-PARKS &amp; PLAZAS"/>
      <sheetName val="CSWDO"/>
      <sheetName val="CEO"/>
      <sheetName val="CEO-OBO"/>
      <sheetName val="CDRRMO - FINAL 2022"/>
      <sheetName val="CDRRMO - MOOE"/>
      <sheetName val="SPECIAL PURPOSE - FINAL 2020"/>
      <sheetName val="LBPF No.3"/>
      <sheetName val="LBPF No. 4"/>
      <sheetName val="GSD (2)"/>
      <sheetName val="LBPF No. 2"/>
      <sheetName val="Sheet1"/>
      <sheetName val="CDRRMO (2)"/>
      <sheetName val="SPECIAL PURPOSE APPROPRIATION"/>
      <sheetName val="CMO - WITH INCREASE"/>
      <sheetName val="HOSPITAL-PAAOE (2)"/>
      <sheetName val="HOSPITAL-PAAOE (3)"/>
    </sheetNames>
    <sheetDataSet>
      <sheetData sheetId="0"/>
      <sheetData sheetId="1"/>
      <sheetData sheetId="2">
        <row r="43">
          <cell r="H43">
            <v>50000</v>
          </cell>
        </row>
        <row r="44">
          <cell r="H44">
            <v>300000</v>
          </cell>
        </row>
        <row r="45">
          <cell r="H45">
            <v>200000</v>
          </cell>
        </row>
        <row r="46">
          <cell r="H46">
            <v>1000000</v>
          </cell>
        </row>
        <row r="48">
          <cell r="H48">
            <v>350000</v>
          </cell>
        </row>
        <row r="49">
          <cell r="H49">
            <v>7000000</v>
          </cell>
        </row>
        <row r="51">
          <cell r="H51">
            <v>4000000</v>
          </cell>
        </row>
        <row r="52">
          <cell r="H52">
            <v>8000000</v>
          </cell>
        </row>
        <row r="54">
          <cell r="H54">
            <v>50000</v>
          </cell>
        </row>
        <row r="71">
          <cell r="H71">
            <v>1000000</v>
          </cell>
        </row>
        <row r="72">
          <cell r="H72">
            <v>700000</v>
          </cell>
        </row>
        <row r="73">
          <cell r="H73">
            <v>300000</v>
          </cell>
        </row>
        <row r="74">
          <cell r="H74">
            <v>5500000</v>
          </cell>
        </row>
        <row r="75">
          <cell r="H75">
            <v>1000</v>
          </cell>
        </row>
        <row r="76">
          <cell r="H76">
            <v>150000</v>
          </cell>
        </row>
        <row r="82">
          <cell r="H82">
            <v>100000</v>
          </cell>
        </row>
        <row r="84">
          <cell r="H84">
            <v>1000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
      <sheetName val="CDRRMO"/>
      <sheetName val="for child-friendly governance"/>
    </sheetNames>
    <sheetDataSet>
      <sheetData sheetId="0">
        <row r="9">
          <cell r="E9">
            <v>32847898.039999999</v>
          </cell>
        </row>
      </sheetData>
      <sheetData sheetId="1"/>
      <sheetData sheetId="2">
        <row r="12">
          <cell r="E12">
            <v>4650.5200000000004</v>
          </cell>
        </row>
        <row r="13">
          <cell r="E13">
            <v>0</v>
          </cell>
        </row>
        <row r="14">
          <cell r="E14">
            <v>10900.689999999999</v>
          </cell>
        </row>
        <row r="15">
          <cell r="E15">
            <v>323.06</v>
          </cell>
        </row>
        <row r="16">
          <cell r="E16">
            <v>1333</v>
          </cell>
        </row>
        <row r="17">
          <cell r="E17">
            <v>7265.7199999999993</v>
          </cell>
        </row>
        <row r="18">
          <cell r="E18">
            <v>353613.75</v>
          </cell>
        </row>
        <row r="19">
          <cell r="E19">
            <v>0</v>
          </cell>
        </row>
        <row r="20">
          <cell r="E20">
            <v>217617</v>
          </cell>
        </row>
      </sheetData>
      <sheetData sheetId="3">
        <row r="12">
          <cell r="E12">
            <v>540</v>
          </cell>
        </row>
        <row r="13">
          <cell r="E13">
            <v>0</v>
          </cell>
        </row>
        <row r="14">
          <cell r="E14">
            <v>27447.360000000001</v>
          </cell>
        </row>
        <row r="15">
          <cell r="E15">
            <v>6240</v>
          </cell>
        </row>
        <row r="16">
          <cell r="E16">
            <v>290092.48</v>
          </cell>
        </row>
        <row r="17">
          <cell r="E17">
            <v>435600</v>
          </cell>
        </row>
      </sheetData>
      <sheetData sheetId="4">
        <row r="12">
          <cell r="E12">
            <v>443</v>
          </cell>
        </row>
        <row r="13">
          <cell r="E13">
            <v>11341.5</v>
          </cell>
        </row>
        <row r="14">
          <cell r="E14">
            <v>13326.1</v>
          </cell>
        </row>
        <row r="15">
          <cell r="E15">
            <v>1570.26</v>
          </cell>
        </row>
        <row r="16">
          <cell r="E16">
            <v>17076.349999999999</v>
          </cell>
        </row>
        <row r="17">
          <cell r="E17">
            <v>8037.2000000000007</v>
          </cell>
        </row>
        <row r="18">
          <cell r="E18">
            <v>43708.63</v>
          </cell>
        </row>
        <row r="19">
          <cell r="E19">
            <v>0</v>
          </cell>
        </row>
        <row r="20">
          <cell r="E20">
            <v>473450</v>
          </cell>
        </row>
        <row r="21">
          <cell r="E21">
            <v>15300</v>
          </cell>
        </row>
        <row r="23">
          <cell r="E23">
            <v>53750</v>
          </cell>
        </row>
      </sheetData>
      <sheetData sheetId="5">
        <row r="12">
          <cell r="E12">
            <v>24323</v>
          </cell>
        </row>
        <row r="13">
          <cell r="E13">
            <v>29511.42</v>
          </cell>
        </row>
        <row r="14">
          <cell r="E14">
            <v>17275.099999999999</v>
          </cell>
        </row>
        <row r="15">
          <cell r="E15">
            <v>306229</v>
          </cell>
        </row>
        <row r="16">
          <cell r="E16">
            <v>600</v>
          </cell>
        </row>
        <row r="17">
          <cell r="E17">
            <v>7265.7199999999993</v>
          </cell>
        </row>
        <row r="18">
          <cell r="E18">
            <v>209900</v>
          </cell>
        </row>
        <row r="19">
          <cell r="E19">
            <v>1066200</v>
          </cell>
        </row>
        <row r="20">
          <cell r="E20">
            <v>1464589.7000000002</v>
          </cell>
        </row>
      </sheetData>
      <sheetData sheetId="6">
        <row r="12">
          <cell r="E12">
            <v>25878</v>
          </cell>
        </row>
        <row r="13">
          <cell r="E13">
            <v>2610965</v>
          </cell>
        </row>
        <row r="14">
          <cell r="E14">
            <v>70217.95</v>
          </cell>
        </row>
        <row r="15">
          <cell r="E15">
            <v>29586.730000000003</v>
          </cell>
        </row>
        <row r="16">
          <cell r="E16">
            <v>95522.3</v>
          </cell>
        </row>
        <row r="17">
          <cell r="E17">
            <v>4469.1000000000004</v>
          </cell>
        </row>
        <row r="19">
          <cell r="E19">
            <v>28854.240000000005</v>
          </cell>
        </row>
        <row r="20">
          <cell r="E20">
            <v>3014068</v>
          </cell>
        </row>
        <row r="21">
          <cell r="E21">
            <v>76599</v>
          </cell>
        </row>
        <row r="22">
          <cell r="E22">
            <v>6210</v>
          </cell>
        </row>
        <row r="24">
          <cell r="E24">
            <v>102625.4</v>
          </cell>
        </row>
      </sheetData>
      <sheetData sheetId="7">
        <row r="12">
          <cell r="E12">
            <v>162720</v>
          </cell>
        </row>
        <row r="13">
          <cell r="E13">
            <v>0</v>
          </cell>
        </row>
        <row r="14">
          <cell r="E14">
            <v>16766.7</v>
          </cell>
        </row>
        <row r="15">
          <cell r="E15">
            <v>82494.13</v>
          </cell>
        </row>
        <row r="16">
          <cell r="E16">
            <v>0</v>
          </cell>
        </row>
        <row r="17">
          <cell r="E17">
            <v>2400</v>
          </cell>
        </row>
        <row r="18">
          <cell r="E18">
            <v>12519.36</v>
          </cell>
        </row>
        <row r="19">
          <cell r="E19">
            <v>24000</v>
          </cell>
        </row>
        <row r="20">
          <cell r="E20">
            <v>1777728.1400000001</v>
          </cell>
        </row>
        <row r="21">
          <cell r="E21">
            <v>38000</v>
          </cell>
        </row>
        <row r="22">
          <cell r="E22">
            <v>0</v>
          </cell>
        </row>
        <row r="23">
          <cell r="E23">
            <v>825644.5</v>
          </cell>
        </row>
      </sheetData>
      <sheetData sheetId="8">
        <row r="12">
          <cell r="E12">
            <v>6216</v>
          </cell>
        </row>
        <row r="13">
          <cell r="E13">
            <v>1266087.67</v>
          </cell>
        </row>
        <row r="14">
          <cell r="E14">
            <v>0</v>
          </cell>
        </row>
        <row r="15">
          <cell r="E15">
            <v>153408.12</v>
          </cell>
        </row>
      </sheetData>
      <sheetData sheetId="9">
        <row r="12">
          <cell r="E12">
            <v>182200.66999999998</v>
          </cell>
        </row>
      </sheetData>
      <sheetData sheetId="10">
        <row r="12">
          <cell r="E12">
            <v>11430</v>
          </cell>
        </row>
        <row r="13">
          <cell r="E13">
            <v>0</v>
          </cell>
        </row>
        <row r="14">
          <cell r="E14">
            <v>17211.82</v>
          </cell>
        </row>
        <row r="15">
          <cell r="E15">
            <v>10935</v>
          </cell>
        </row>
        <row r="16">
          <cell r="E16">
            <v>105484.97</v>
          </cell>
        </row>
        <row r="17">
          <cell r="E17">
            <v>4905</v>
          </cell>
        </row>
        <row r="18">
          <cell r="E18">
            <v>6750</v>
          </cell>
        </row>
      </sheetData>
      <sheetData sheetId="11">
        <row r="12">
          <cell r="E12">
            <v>5300</v>
          </cell>
        </row>
        <row r="13">
          <cell r="E13">
            <v>5950</v>
          </cell>
        </row>
        <row r="14">
          <cell r="E14">
            <v>308000</v>
          </cell>
        </row>
        <row r="15">
          <cell r="E15">
            <v>212700</v>
          </cell>
        </row>
        <row r="16">
          <cell r="E16">
            <v>51587.479999999996</v>
          </cell>
        </row>
        <row r="17">
          <cell r="E17">
            <v>0</v>
          </cell>
        </row>
        <row r="18">
          <cell r="E18">
            <v>20865</v>
          </cell>
        </row>
      </sheetData>
      <sheetData sheetId="12">
        <row r="12">
          <cell r="E12">
            <v>62014</v>
          </cell>
        </row>
        <row r="13">
          <cell r="E13">
            <v>50069</v>
          </cell>
        </row>
        <row r="14">
          <cell r="E14">
            <v>112223.75</v>
          </cell>
        </row>
        <row r="15">
          <cell r="E15">
            <v>114332.63</v>
          </cell>
        </row>
        <row r="16">
          <cell r="E16">
            <v>1519.1999999999998</v>
          </cell>
        </row>
        <row r="17">
          <cell r="E17">
            <v>224678.72999999998</v>
          </cell>
        </row>
        <row r="18">
          <cell r="E18">
            <v>29774.510000000002</v>
          </cell>
        </row>
        <row r="19">
          <cell r="E19">
            <v>3599971.83</v>
          </cell>
        </row>
        <row r="20">
          <cell r="E20">
            <v>73280</v>
          </cell>
        </row>
        <row r="21">
          <cell r="E21">
            <v>113520</v>
          </cell>
        </row>
        <row r="22">
          <cell r="E22">
            <v>1500</v>
          </cell>
        </row>
        <row r="23">
          <cell r="E23">
            <v>138356.5</v>
          </cell>
        </row>
      </sheetData>
      <sheetData sheetId="13">
        <row r="11">
          <cell r="E11">
            <v>0</v>
          </cell>
        </row>
        <row r="12">
          <cell r="E12">
            <v>0</v>
          </cell>
        </row>
        <row r="13">
          <cell r="E13">
            <v>6498.4699999999993</v>
          </cell>
        </row>
        <row r="14">
          <cell r="E14">
            <v>0</v>
          </cell>
        </row>
        <row r="15">
          <cell r="E15">
            <v>41874.959999999999</v>
          </cell>
        </row>
        <row r="16">
          <cell r="E16">
            <v>158400</v>
          </cell>
        </row>
        <row r="17">
          <cell r="E17">
            <v>0</v>
          </cell>
        </row>
        <row r="18">
          <cell r="E18">
            <v>120000</v>
          </cell>
        </row>
      </sheetData>
      <sheetData sheetId="14">
        <row r="11">
          <cell r="E11">
            <v>0</v>
          </cell>
        </row>
        <row r="12">
          <cell r="E12">
            <v>58018.2</v>
          </cell>
        </row>
        <row r="13">
          <cell r="E13">
            <v>2361980</v>
          </cell>
        </row>
      </sheetData>
      <sheetData sheetId="15">
        <row r="12">
          <cell r="E12">
            <v>0</v>
          </cell>
        </row>
        <row r="13">
          <cell r="E13">
            <v>621300</v>
          </cell>
        </row>
      </sheetData>
      <sheetData sheetId="16">
        <row r="12">
          <cell r="E12">
            <v>16707.07</v>
          </cell>
        </row>
        <row r="13">
          <cell r="E13">
            <v>19200</v>
          </cell>
        </row>
        <row r="14">
          <cell r="E14">
            <v>32342.86</v>
          </cell>
        </row>
        <row r="15">
          <cell r="E15">
            <v>41144.85</v>
          </cell>
        </row>
        <row r="16">
          <cell r="E16">
            <v>167967.97</v>
          </cell>
        </row>
        <row r="17">
          <cell r="E17">
            <v>0</v>
          </cell>
        </row>
        <row r="18">
          <cell r="E18">
            <v>7929.5999999999995</v>
          </cell>
        </row>
        <row r="19">
          <cell r="E19">
            <v>4700</v>
          </cell>
        </row>
        <row r="20">
          <cell r="E20">
            <v>907695</v>
          </cell>
        </row>
        <row r="21">
          <cell r="E21">
            <v>0</v>
          </cell>
        </row>
        <row r="22">
          <cell r="E22">
            <v>0</v>
          </cell>
        </row>
        <row r="23">
          <cell r="E23">
            <v>0</v>
          </cell>
        </row>
      </sheetData>
      <sheetData sheetId="17"/>
      <sheetData sheetId="18">
        <row r="12">
          <cell r="E12">
            <v>11081.32</v>
          </cell>
        </row>
        <row r="13">
          <cell r="E13">
            <v>71647.28</v>
          </cell>
        </row>
        <row r="14">
          <cell r="E14">
            <v>7055.8200000000006</v>
          </cell>
        </row>
        <row r="15">
          <cell r="E15">
            <v>363500</v>
          </cell>
        </row>
        <row r="16">
          <cell r="E16">
            <v>7954.24</v>
          </cell>
        </row>
        <row r="17">
          <cell r="E17">
            <v>235286.86</v>
          </cell>
        </row>
        <row r="18">
          <cell r="E18">
            <v>3850</v>
          </cell>
        </row>
        <row r="19">
          <cell r="E19">
            <v>4500</v>
          </cell>
        </row>
        <row r="20">
          <cell r="E20">
            <v>0</v>
          </cell>
        </row>
        <row r="21">
          <cell r="E21">
            <v>28945</v>
          </cell>
        </row>
      </sheetData>
      <sheetData sheetId="19">
        <row r="12">
          <cell r="E12">
            <v>0</v>
          </cell>
        </row>
        <row r="13">
          <cell r="E13">
            <v>0</v>
          </cell>
        </row>
        <row r="14">
          <cell r="E14">
            <v>12998</v>
          </cell>
        </row>
        <row r="15">
          <cell r="E15">
            <v>456500</v>
          </cell>
        </row>
      </sheetData>
      <sheetData sheetId="20">
        <row r="12">
          <cell r="E12">
            <v>29718</v>
          </cell>
        </row>
        <row r="13">
          <cell r="E13">
            <v>0</v>
          </cell>
        </row>
        <row r="14">
          <cell r="E14">
            <v>189703.8</v>
          </cell>
        </row>
        <row r="15">
          <cell r="E15">
            <v>27925.66</v>
          </cell>
        </row>
        <row r="16">
          <cell r="E16">
            <v>591</v>
          </cell>
        </row>
        <row r="17">
          <cell r="E17">
            <v>35660.339999999997</v>
          </cell>
        </row>
        <row r="18">
          <cell r="E18">
            <v>222596.87</v>
          </cell>
        </row>
        <row r="19">
          <cell r="E19">
            <v>127710</v>
          </cell>
        </row>
        <row r="20">
          <cell r="E20">
            <v>9450</v>
          </cell>
        </row>
        <row r="21">
          <cell r="E21">
            <v>59535.12</v>
          </cell>
        </row>
      </sheetData>
      <sheetData sheetId="21"/>
      <sheetData sheetId="22"/>
      <sheetData sheetId="23">
        <row r="12">
          <cell r="E12">
            <v>0</v>
          </cell>
        </row>
        <row r="13">
          <cell r="E13">
            <v>0</v>
          </cell>
        </row>
        <row r="14">
          <cell r="E14">
            <v>0</v>
          </cell>
        </row>
        <row r="15">
          <cell r="E15">
            <v>0</v>
          </cell>
        </row>
        <row r="16">
          <cell r="E16">
            <v>0</v>
          </cell>
        </row>
        <row r="17">
          <cell r="E17">
            <v>3825000</v>
          </cell>
        </row>
        <row r="18">
          <cell r="E18">
            <v>3659660.17</v>
          </cell>
        </row>
        <row r="20">
          <cell r="E20">
            <v>6845000</v>
          </cell>
        </row>
      </sheetData>
      <sheetData sheetId="24">
        <row r="12">
          <cell r="E12">
            <v>21460.839999999997</v>
          </cell>
        </row>
        <row r="13">
          <cell r="E13">
            <v>0</v>
          </cell>
        </row>
        <row r="14">
          <cell r="E14">
            <v>34001.01</v>
          </cell>
        </row>
        <row r="15">
          <cell r="E15">
            <v>0</v>
          </cell>
        </row>
        <row r="16">
          <cell r="E16">
            <v>0</v>
          </cell>
        </row>
        <row r="17">
          <cell r="E17">
            <v>15607.932000000001</v>
          </cell>
        </row>
        <row r="18">
          <cell r="E18">
            <v>729690.4</v>
          </cell>
        </row>
        <row r="19">
          <cell r="E19">
            <v>0</v>
          </cell>
        </row>
        <row r="20">
          <cell r="E20">
            <v>637638.16</v>
          </cell>
        </row>
        <row r="21">
          <cell r="E21">
            <v>76340</v>
          </cell>
        </row>
        <row r="22">
          <cell r="E22">
            <v>0</v>
          </cell>
        </row>
        <row r="23">
          <cell r="E23">
            <v>329500</v>
          </cell>
        </row>
        <row r="24">
          <cell r="E24">
            <v>9524</v>
          </cell>
        </row>
        <row r="26">
          <cell r="E26">
            <v>1960800</v>
          </cell>
        </row>
      </sheetData>
      <sheetData sheetId="25">
        <row r="12">
          <cell r="E12">
            <v>0</v>
          </cell>
        </row>
        <row r="13">
          <cell r="E13">
            <v>0</v>
          </cell>
        </row>
        <row r="14">
          <cell r="E14">
            <v>407400</v>
          </cell>
        </row>
        <row r="15">
          <cell r="E15">
            <v>0</v>
          </cell>
        </row>
      </sheetData>
      <sheetData sheetId="26">
        <row r="12">
          <cell r="E12">
            <v>0</v>
          </cell>
        </row>
        <row r="13">
          <cell r="E13">
            <v>0</v>
          </cell>
        </row>
        <row r="14">
          <cell r="E14">
            <v>14297.43</v>
          </cell>
        </row>
        <row r="15">
          <cell r="E15">
            <v>62977.279999999999</v>
          </cell>
        </row>
        <row r="16">
          <cell r="E16">
            <v>384000</v>
          </cell>
        </row>
        <row r="17">
          <cell r="E17">
            <v>14538.5</v>
          </cell>
        </row>
        <row r="18">
          <cell r="E18">
            <v>0</v>
          </cell>
        </row>
      </sheetData>
      <sheetData sheetId="27">
        <row r="12">
          <cell r="E12">
            <v>25187.289999999997</v>
          </cell>
        </row>
        <row r="13">
          <cell r="E13">
            <v>25600.25</v>
          </cell>
        </row>
        <row r="14">
          <cell r="E14">
            <v>406800</v>
          </cell>
        </row>
        <row r="15">
          <cell r="E15">
            <v>101865.03</v>
          </cell>
        </row>
        <row r="16">
          <cell r="E16">
            <v>56353.05</v>
          </cell>
        </row>
        <row r="17">
          <cell r="E17">
            <v>7265.7199999999993</v>
          </cell>
        </row>
        <row r="18">
          <cell r="E18">
            <v>0</v>
          </cell>
        </row>
        <row r="19">
          <cell r="E19">
            <v>0</v>
          </cell>
        </row>
        <row r="20">
          <cell r="E20">
            <v>0</v>
          </cell>
        </row>
        <row r="21">
          <cell r="E21">
            <v>2550332.2399999998</v>
          </cell>
        </row>
        <row r="22">
          <cell r="E22">
            <v>0</v>
          </cell>
        </row>
        <row r="23">
          <cell r="E23">
            <v>0</v>
          </cell>
        </row>
        <row r="24">
          <cell r="E24">
            <v>0</v>
          </cell>
        </row>
        <row r="25">
          <cell r="E25">
            <v>0</v>
          </cell>
        </row>
        <row r="26">
          <cell r="E26">
            <v>61235.5</v>
          </cell>
        </row>
      </sheetData>
      <sheetData sheetId="28">
        <row r="12">
          <cell r="E12">
            <v>6851.85</v>
          </cell>
        </row>
        <row r="13">
          <cell r="E13">
            <v>48571.6</v>
          </cell>
        </row>
        <row r="14">
          <cell r="E14">
            <v>0</v>
          </cell>
        </row>
        <row r="15">
          <cell r="E15">
            <v>0</v>
          </cell>
        </row>
        <row r="16">
          <cell r="E16">
            <v>0</v>
          </cell>
        </row>
      </sheetData>
      <sheetData sheetId="29">
        <row r="12">
          <cell r="E12">
            <v>0</v>
          </cell>
        </row>
        <row r="13">
          <cell r="E13">
            <v>0</v>
          </cell>
        </row>
        <row r="14">
          <cell r="E14">
            <v>0</v>
          </cell>
        </row>
        <row r="15">
          <cell r="E15">
            <v>72908.11</v>
          </cell>
        </row>
        <row r="16">
          <cell r="E16">
            <v>0</v>
          </cell>
        </row>
      </sheetData>
      <sheetData sheetId="30">
        <row r="12">
          <cell r="E12">
            <v>0</v>
          </cell>
        </row>
        <row r="13">
          <cell r="E13">
            <v>3000</v>
          </cell>
        </row>
        <row r="14">
          <cell r="E14">
            <v>18552.75</v>
          </cell>
        </row>
        <row r="15">
          <cell r="E15">
            <v>0</v>
          </cell>
        </row>
        <row r="16">
          <cell r="E16">
            <v>0</v>
          </cell>
        </row>
        <row r="17">
          <cell r="E17">
            <v>0</v>
          </cell>
        </row>
        <row r="18">
          <cell r="E18">
            <v>0</v>
          </cell>
        </row>
        <row r="19">
          <cell r="E19">
            <v>800</v>
          </cell>
        </row>
      </sheetData>
      <sheetData sheetId="31">
        <row r="12">
          <cell r="E12">
            <v>5027.5</v>
          </cell>
        </row>
        <row r="13">
          <cell r="E13">
            <v>0</v>
          </cell>
        </row>
        <row r="14">
          <cell r="E14">
            <v>49958.79</v>
          </cell>
        </row>
        <row r="15">
          <cell r="E15">
            <v>17184.759999999998</v>
          </cell>
        </row>
        <row r="16">
          <cell r="E16">
            <v>13934.75</v>
          </cell>
        </row>
        <row r="17">
          <cell r="E17">
            <v>144586.22999999998</v>
          </cell>
        </row>
        <row r="18">
          <cell r="E18">
            <v>9350</v>
          </cell>
        </row>
        <row r="19">
          <cell r="E19">
            <v>205183.5</v>
          </cell>
        </row>
      </sheetData>
      <sheetData sheetId="32"/>
      <sheetData sheetId="33">
        <row r="13">
          <cell r="E13">
            <v>5745342.3599999994</v>
          </cell>
        </row>
      </sheetData>
      <sheetData sheetId="34">
        <row r="14">
          <cell r="F14">
            <v>20000</v>
          </cell>
        </row>
      </sheetData>
      <sheetData sheetId="35">
        <row r="13">
          <cell r="F13">
            <v>829246.95</v>
          </cell>
        </row>
      </sheetData>
      <sheetData sheetId="36">
        <row r="11">
          <cell r="F11">
            <v>6936981.898</v>
          </cell>
        </row>
      </sheetData>
      <sheetData sheetId="37"/>
      <sheetData sheetId="38">
        <row r="12">
          <cell r="F12">
            <v>220892</v>
          </cell>
        </row>
        <row r="14">
          <cell r="F14">
            <v>0</v>
          </cell>
        </row>
        <row r="15">
          <cell r="F15">
            <v>0</v>
          </cell>
        </row>
        <row r="16">
          <cell r="F16">
            <v>18336.25</v>
          </cell>
        </row>
        <row r="17">
          <cell r="F17">
            <v>13906</v>
          </cell>
        </row>
        <row r="18">
          <cell r="F18">
            <v>1772.1999999999998</v>
          </cell>
        </row>
        <row r="19">
          <cell r="F19">
            <v>15447.990000000002</v>
          </cell>
        </row>
        <row r="20">
          <cell r="F20">
            <v>7929.5999999999995</v>
          </cell>
        </row>
        <row r="21">
          <cell r="F21">
            <v>402656.91000000003</v>
          </cell>
        </row>
        <row r="22">
          <cell r="F22">
            <v>1300000</v>
          </cell>
        </row>
        <row r="23">
          <cell r="F23">
            <v>1335000</v>
          </cell>
        </row>
        <row r="24">
          <cell r="F24">
            <v>5869000</v>
          </cell>
        </row>
      </sheetData>
      <sheetData sheetId="39">
        <row r="13">
          <cell r="F13">
            <v>0</v>
          </cell>
        </row>
        <row r="14">
          <cell r="F14">
            <v>0</v>
          </cell>
        </row>
        <row r="15">
          <cell r="F15">
            <v>6905</v>
          </cell>
        </row>
        <row r="16">
          <cell r="F16">
            <v>10944.75</v>
          </cell>
        </row>
        <row r="17">
          <cell r="F17">
            <v>11430.88</v>
          </cell>
        </row>
        <row r="18">
          <cell r="F18">
            <v>317500</v>
          </cell>
        </row>
      </sheetData>
      <sheetData sheetId="40">
        <row r="13">
          <cell r="F13">
            <v>0</v>
          </cell>
        </row>
        <row r="14">
          <cell r="F14">
            <v>144000</v>
          </cell>
        </row>
        <row r="15">
          <cell r="F15">
            <v>0</v>
          </cell>
        </row>
      </sheetData>
      <sheetData sheetId="41">
        <row r="13">
          <cell r="F13">
            <v>11700</v>
          </cell>
        </row>
        <row r="14">
          <cell r="F14">
            <v>0</v>
          </cell>
        </row>
        <row r="15">
          <cell r="F15">
            <v>1080</v>
          </cell>
        </row>
        <row r="16">
          <cell r="F16">
            <v>6605.1999999999989</v>
          </cell>
        </row>
        <row r="17">
          <cell r="F17">
            <v>561805.67999999993</v>
          </cell>
        </row>
        <row r="18">
          <cell r="F18">
            <v>14540</v>
          </cell>
        </row>
      </sheetData>
      <sheetData sheetId="42">
        <row r="13">
          <cell r="F13">
            <v>1950</v>
          </cell>
        </row>
        <row r="14">
          <cell r="F14">
            <v>0</v>
          </cell>
        </row>
        <row r="15">
          <cell r="F15">
            <v>0</v>
          </cell>
        </row>
        <row r="16">
          <cell r="F16">
            <v>7735</v>
          </cell>
        </row>
        <row r="17">
          <cell r="F17">
            <v>19900</v>
          </cell>
        </row>
      </sheetData>
      <sheetData sheetId="43">
        <row r="13">
          <cell r="F13">
            <v>0</v>
          </cell>
        </row>
        <row r="14">
          <cell r="F14">
            <v>0</v>
          </cell>
        </row>
        <row r="15">
          <cell r="F15">
            <v>261865.65</v>
          </cell>
        </row>
        <row r="16">
          <cell r="F16">
            <v>38153.5</v>
          </cell>
        </row>
        <row r="18">
          <cell r="F18">
            <v>8500</v>
          </cell>
        </row>
      </sheetData>
      <sheetData sheetId="44">
        <row r="12">
          <cell r="F12">
            <v>614260.38</v>
          </cell>
        </row>
        <row r="14">
          <cell r="F14">
            <v>6517.5</v>
          </cell>
        </row>
        <row r="15">
          <cell r="F15">
            <v>0</v>
          </cell>
        </row>
        <row r="16">
          <cell r="F16">
            <v>0</v>
          </cell>
        </row>
        <row r="17">
          <cell r="F17">
            <v>5558.5</v>
          </cell>
        </row>
        <row r="18">
          <cell r="F18">
            <v>29925</v>
          </cell>
        </row>
        <row r="19">
          <cell r="F19">
            <v>3540</v>
          </cell>
        </row>
      </sheetData>
      <sheetData sheetId="45">
        <row r="11">
          <cell r="F11">
            <v>3113142.5</v>
          </cell>
        </row>
        <row r="13">
          <cell r="F13">
            <v>21784</v>
          </cell>
        </row>
        <row r="14">
          <cell r="F14">
            <v>1495</v>
          </cell>
        </row>
        <row r="15">
          <cell r="F15">
            <v>6040.66</v>
          </cell>
        </row>
        <row r="16">
          <cell r="F16">
            <v>4527.8500000000004</v>
          </cell>
        </row>
        <row r="17">
          <cell r="F17">
            <v>7268.7999999999993</v>
          </cell>
        </row>
        <row r="18">
          <cell r="F18">
            <v>0</v>
          </cell>
        </row>
        <row r="19">
          <cell r="F19">
            <v>1440</v>
          </cell>
        </row>
        <row r="20">
          <cell r="F20">
            <v>652369.4</v>
          </cell>
        </row>
        <row r="22">
          <cell r="F22">
            <v>0</v>
          </cell>
        </row>
        <row r="23">
          <cell r="F23">
            <v>564032</v>
          </cell>
        </row>
      </sheetData>
      <sheetData sheetId="46">
        <row r="13">
          <cell r="F13">
            <v>4158</v>
          </cell>
        </row>
        <row r="14">
          <cell r="F14">
            <v>0</v>
          </cell>
        </row>
        <row r="15">
          <cell r="F15">
            <v>2974.68</v>
          </cell>
        </row>
        <row r="16">
          <cell r="F16">
            <v>0</v>
          </cell>
        </row>
        <row r="17">
          <cell r="F17">
            <v>6223.2</v>
          </cell>
        </row>
        <row r="18">
          <cell r="F18">
            <v>2642.25</v>
          </cell>
        </row>
        <row r="19">
          <cell r="F19">
            <v>7448</v>
          </cell>
        </row>
        <row r="20">
          <cell r="F20">
            <v>7937.4400000000005</v>
          </cell>
        </row>
        <row r="21">
          <cell r="F21">
            <v>233400</v>
          </cell>
        </row>
        <row r="22">
          <cell r="F22">
            <v>39000</v>
          </cell>
        </row>
        <row r="23">
          <cell r="F23">
            <v>0</v>
          </cell>
        </row>
      </sheetData>
      <sheetData sheetId="47">
        <row r="13">
          <cell r="F13">
            <v>0</v>
          </cell>
        </row>
        <row r="14">
          <cell r="F14">
            <v>0</v>
          </cell>
        </row>
        <row r="15">
          <cell r="F15">
            <v>0</v>
          </cell>
        </row>
        <row r="16">
          <cell r="F16">
            <v>0</v>
          </cell>
        </row>
      </sheetData>
      <sheetData sheetId="48">
        <row r="13">
          <cell r="F13">
            <v>0</v>
          </cell>
        </row>
        <row r="14">
          <cell r="F14">
            <v>0</v>
          </cell>
        </row>
        <row r="15">
          <cell r="F15">
            <v>5315</v>
          </cell>
        </row>
        <row r="16">
          <cell r="F16">
            <v>3017</v>
          </cell>
        </row>
      </sheetData>
      <sheetData sheetId="49">
        <row r="12">
          <cell r="F12">
            <v>22452526.609999999</v>
          </cell>
        </row>
      </sheetData>
      <sheetData sheetId="50">
        <row r="13">
          <cell r="F13">
            <v>0</v>
          </cell>
        </row>
      </sheetData>
      <sheetData sheetId="51">
        <row r="9">
          <cell r="F9">
            <v>54006017.729999989</v>
          </cell>
        </row>
      </sheetData>
      <sheetData sheetId="52"/>
      <sheetData sheetId="53">
        <row r="14">
          <cell r="F14">
            <v>145512.68</v>
          </cell>
        </row>
      </sheetData>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41"/>
      <sheetName val="BUB"/>
      <sheetName val="CBMS"/>
      <sheetName val="DATA COLLECTION"/>
      <sheetName val="PROJECT MONITORING"/>
      <sheetName val="SIPA"/>
      <sheetName val="INDEGENOUS"/>
    </sheetNames>
    <sheetDataSet>
      <sheetData sheetId="0">
        <row r="30">
          <cell r="E30">
            <v>52682.16</v>
          </cell>
        </row>
        <row r="31">
          <cell r="E31">
            <v>6500</v>
          </cell>
        </row>
        <row r="32">
          <cell r="E32">
            <v>76130.3</v>
          </cell>
        </row>
        <row r="33">
          <cell r="E33">
            <v>5885</v>
          </cell>
        </row>
        <row r="34">
          <cell r="E34">
            <v>19724.11</v>
          </cell>
        </row>
        <row r="35">
          <cell r="E35">
            <v>0</v>
          </cell>
        </row>
        <row r="36">
          <cell r="E36">
            <v>1010</v>
          </cell>
        </row>
        <row r="37">
          <cell r="E37">
            <v>44798.31</v>
          </cell>
        </row>
        <row r="39">
          <cell r="E39">
            <v>0</v>
          </cell>
        </row>
        <row r="41">
          <cell r="E41">
            <v>4612</v>
          </cell>
        </row>
        <row r="43">
          <cell r="E43">
            <v>36020</v>
          </cell>
        </row>
        <row r="45">
          <cell r="E45">
            <v>129882</v>
          </cell>
        </row>
        <row r="46">
          <cell r="E46">
            <v>15713.300000000003</v>
          </cell>
        </row>
      </sheetData>
      <sheetData sheetId="1"/>
      <sheetData sheetId="2"/>
      <sheetData sheetId="3"/>
      <sheetData sheetId="4"/>
      <sheetData sheetId="5"/>
      <sheetData sheetId="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 PS"/>
      <sheetName val="CDRRMO - MOOE"/>
      <sheetName val="for child-friendly governance"/>
    </sheetNames>
    <sheetDataSet>
      <sheetData sheetId="0">
        <row r="9">
          <cell r="C9">
            <v>39316140</v>
          </cell>
        </row>
      </sheetData>
      <sheetData sheetId="1"/>
      <sheetData sheetId="2">
        <row r="12">
          <cell r="C12">
            <v>10000</v>
          </cell>
          <cell r="E12">
            <v>2610</v>
          </cell>
        </row>
        <row r="13">
          <cell r="C13">
            <v>10000</v>
          </cell>
          <cell r="E13">
            <v>0</v>
          </cell>
        </row>
        <row r="14">
          <cell r="C14">
            <v>13320</v>
          </cell>
          <cell r="E14">
            <v>10367.299999999999</v>
          </cell>
        </row>
        <row r="15">
          <cell r="C15">
            <v>7050</v>
          </cell>
          <cell r="E15">
            <v>1862.28</v>
          </cell>
        </row>
        <row r="16">
          <cell r="C16">
            <v>2000</v>
          </cell>
          <cell r="E16">
            <v>960</v>
          </cell>
        </row>
        <row r="17">
          <cell r="C17">
            <v>8500</v>
          </cell>
          <cell r="E17">
            <v>2642.08</v>
          </cell>
        </row>
        <row r="18">
          <cell r="C18">
            <v>394800</v>
          </cell>
          <cell r="E18">
            <v>159678.13</v>
          </cell>
        </row>
        <row r="19">
          <cell r="C19">
            <v>2500</v>
          </cell>
          <cell r="E19">
            <v>0</v>
          </cell>
        </row>
        <row r="20">
          <cell r="C20">
            <v>401830</v>
          </cell>
          <cell r="E20">
            <v>2100</v>
          </cell>
        </row>
      </sheetData>
      <sheetData sheetId="3">
        <row r="12">
          <cell r="C12">
            <v>25000</v>
          </cell>
          <cell r="E12">
            <v>0</v>
          </cell>
        </row>
        <row r="13">
          <cell r="C13">
            <v>965000</v>
          </cell>
          <cell r="E13">
            <v>0</v>
          </cell>
        </row>
        <row r="14">
          <cell r="C14">
            <v>46000</v>
          </cell>
          <cell r="E14">
            <v>19110.95</v>
          </cell>
        </row>
        <row r="15">
          <cell r="C15">
            <v>60000</v>
          </cell>
          <cell r="E15">
            <v>2331</v>
          </cell>
        </row>
        <row r="16">
          <cell r="C16">
            <v>20000</v>
          </cell>
          <cell r="E16">
            <v>0</v>
          </cell>
        </row>
        <row r="17">
          <cell r="C17">
            <v>0</v>
          </cell>
        </row>
        <row r="18">
          <cell r="C18">
            <v>873600</v>
          </cell>
          <cell r="E18">
            <v>199700</v>
          </cell>
        </row>
        <row r="19">
          <cell r="C19">
            <v>830400</v>
          </cell>
          <cell r="E19">
            <v>82500</v>
          </cell>
        </row>
        <row r="21">
          <cell r="C21">
            <v>47995</v>
          </cell>
        </row>
      </sheetData>
      <sheetData sheetId="4">
        <row r="12">
          <cell r="C12">
            <v>1000</v>
          </cell>
          <cell r="E12">
            <v>0</v>
          </cell>
        </row>
        <row r="13">
          <cell r="C13">
            <v>28820</v>
          </cell>
          <cell r="E13">
            <v>18600</v>
          </cell>
        </row>
        <row r="14">
          <cell r="C14">
            <v>43480</v>
          </cell>
          <cell r="E14">
            <v>41143</v>
          </cell>
        </row>
        <row r="15">
          <cell r="C15">
            <v>20000</v>
          </cell>
          <cell r="E15">
            <v>0</v>
          </cell>
        </row>
        <row r="16">
          <cell r="C16">
            <v>13000</v>
          </cell>
          <cell r="E16">
            <v>8010.8499999999949</v>
          </cell>
        </row>
        <row r="17">
          <cell r="C17">
            <v>27000</v>
          </cell>
          <cell r="E17">
            <v>12673.98</v>
          </cell>
        </row>
        <row r="18">
          <cell r="C18">
            <v>35000</v>
          </cell>
          <cell r="E18">
            <v>12832.640000000014</v>
          </cell>
        </row>
        <row r="19">
          <cell r="C19">
            <v>475200</v>
          </cell>
          <cell r="E19">
            <v>213600</v>
          </cell>
        </row>
        <row r="20">
          <cell r="C20">
            <v>56500</v>
          </cell>
          <cell r="E20">
            <v>9000</v>
          </cell>
        </row>
        <row r="22">
          <cell r="C22">
            <v>60000</v>
          </cell>
        </row>
      </sheetData>
      <sheetData sheetId="5">
        <row r="12">
          <cell r="C12">
            <v>193200</v>
          </cell>
          <cell r="E12">
            <v>1230</v>
          </cell>
        </row>
        <row r="13">
          <cell r="C13">
            <v>65840</v>
          </cell>
          <cell r="E13">
            <v>32255.949999999997</v>
          </cell>
        </row>
        <row r="14">
          <cell r="C14">
            <v>213200</v>
          </cell>
          <cell r="E14">
            <v>0</v>
          </cell>
        </row>
        <row r="15">
          <cell r="C15">
            <v>611350</v>
          </cell>
          <cell r="E15">
            <v>190510</v>
          </cell>
        </row>
        <row r="16">
          <cell r="C16">
            <v>2000</v>
          </cell>
          <cell r="E16">
            <v>600</v>
          </cell>
        </row>
        <row r="17">
          <cell r="C17">
            <v>8000</v>
          </cell>
          <cell r="E17">
            <v>3302.6</v>
          </cell>
        </row>
        <row r="18">
          <cell r="C18">
            <v>30000</v>
          </cell>
          <cell r="E18">
            <v>0</v>
          </cell>
        </row>
        <row r="19">
          <cell r="C19">
            <v>601240</v>
          </cell>
          <cell r="E19">
            <v>49300</v>
          </cell>
        </row>
        <row r="20">
          <cell r="C20">
            <v>1479900</v>
          </cell>
          <cell r="E20">
            <v>666900</v>
          </cell>
        </row>
        <row r="21">
          <cell r="C21">
            <v>3820270</v>
          </cell>
          <cell r="E21">
            <v>201000</v>
          </cell>
        </row>
      </sheetData>
      <sheetData sheetId="6">
        <row r="12">
          <cell r="C12">
            <v>100000</v>
          </cell>
          <cell r="E12">
            <v>23990</v>
          </cell>
        </row>
        <row r="13">
          <cell r="C13">
            <v>3472000</v>
          </cell>
          <cell r="E13">
            <v>402525</v>
          </cell>
        </row>
        <row r="14">
          <cell r="C14">
            <v>100000</v>
          </cell>
          <cell r="E14">
            <v>43109.5</v>
          </cell>
        </row>
        <row r="15">
          <cell r="C15">
            <v>70000</v>
          </cell>
          <cell r="E15">
            <v>8393.86</v>
          </cell>
        </row>
        <row r="16">
          <cell r="C16">
            <v>200000</v>
          </cell>
          <cell r="E16">
            <v>40800</v>
          </cell>
        </row>
        <row r="17">
          <cell r="C17">
            <v>10000</v>
          </cell>
          <cell r="E17">
            <v>1720.9</v>
          </cell>
        </row>
        <row r="18">
          <cell r="C18">
            <v>20000</v>
          </cell>
          <cell r="E18">
            <v>2581.88</v>
          </cell>
        </row>
        <row r="19">
          <cell r="C19">
            <v>30000</v>
          </cell>
          <cell r="E19">
            <v>9049.51</v>
          </cell>
        </row>
        <row r="20">
          <cell r="C20">
            <v>3885000</v>
          </cell>
          <cell r="E20">
            <v>878775</v>
          </cell>
        </row>
        <row r="21">
          <cell r="C21">
            <v>110000</v>
          </cell>
          <cell r="E21">
            <v>0</v>
          </cell>
        </row>
        <row r="22">
          <cell r="C22">
            <v>5000</v>
          </cell>
          <cell r="E22">
            <v>0</v>
          </cell>
        </row>
        <row r="23">
          <cell r="C23">
            <v>450000</v>
          </cell>
          <cell r="E23">
            <v>47500</v>
          </cell>
        </row>
        <row r="25">
          <cell r="C25">
            <v>70000</v>
          </cell>
        </row>
      </sheetData>
      <sheetData sheetId="7">
        <row r="12">
          <cell r="C12">
            <v>150000</v>
          </cell>
          <cell r="E12">
            <v>7820</v>
          </cell>
        </row>
        <row r="13">
          <cell r="C13">
            <v>100000</v>
          </cell>
          <cell r="E13">
            <v>0</v>
          </cell>
        </row>
        <row r="14">
          <cell r="C14">
            <v>30000</v>
          </cell>
          <cell r="E14">
            <v>12089</v>
          </cell>
        </row>
        <row r="15">
          <cell r="C15">
            <v>204500</v>
          </cell>
          <cell r="E15">
            <v>7641.55</v>
          </cell>
        </row>
        <row r="16">
          <cell r="C16">
            <v>50000</v>
          </cell>
          <cell r="E16">
            <v>0</v>
          </cell>
        </row>
        <row r="17">
          <cell r="C17">
            <v>2400</v>
          </cell>
          <cell r="E17">
            <v>0</v>
          </cell>
        </row>
        <row r="18">
          <cell r="C18">
            <v>30000</v>
          </cell>
          <cell r="E18">
            <v>3633.28</v>
          </cell>
        </row>
        <row r="19">
          <cell r="C19">
            <v>24000</v>
          </cell>
          <cell r="E19">
            <v>12000</v>
          </cell>
        </row>
        <row r="20">
          <cell r="C20">
            <v>1928120</v>
          </cell>
          <cell r="E20">
            <v>1013404.99</v>
          </cell>
        </row>
        <row r="21">
          <cell r="C21">
            <v>120000</v>
          </cell>
        </row>
        <row r="22">
          <cell r="C22">
            <v>40000</v>
          </cell>
          <cell r="E22">
            <v>0</v>
          </cell>
        </row>
        <row r="23">
          <cell r="C23">
            <v>10000</v>
          </cell>
          <cell r="E23">
            <v>0</v>
          </cell>
        </row>
        <row r="24">
          <cell r="C24">
            <v>830980</v>
          </cell>
          <cell r="E24">
            <v>122205</v>
          </cell>
        </row>
      </sheetData>
      <sheetData sheetId="8">
        <row r="12">
          <cell r="C12">
            <v>30000</v>
          </cell>
          <cell r="E12">
            <v>5980</v>
          </cell>
        </row>
        <row r="13">
          <cell r="C13">
            <v>1860000</v>
          </cell>
          <cell r="E13">
            <v>798150</v>
          </cell>
        </row>
        <row r="14">
          <cell r="C14">
            <v>5000</v>
          </cell>
          <cell r="E14">
            <v>0</v>
          </cell>
        </row>
        <row r="15">
          <cell r="C15">
            <v>158400</v>
          </cell>
          <cell r="E15">
            <v>70643.75</v>
          </cell>
        </row>
        <row r="16">
          <cell r="C16">
            <v>20000</v>
          </cell>
        </row>
        <row r="17">
          <cell r="C17">
            <v>6600</v>
          </cell>
        </row>
      </sheetData>
      <sheetData sheetId="9">
        <row r="12">
          <cell r="C12">
            <v>520000</v>
          </cell>
          <cell r="E12">
            <v>157000</v>
          </cell>
        </row>
      </sheetData>
      <sheetData sheetId="10">
        <row r="12">
          <cell r="C12">
            <v>20000</v>
          </cell>
        </row>
        <row r="13">
          <cell r="C13">
            <v>10000</v>
          </cell>
          <cell r="E13">
            <v>0</v>
          </cell>
        </row>
        <row r="14">
          <cell r="C14">
            <v>20000</v>
          </cell>
          <cell r="E14">
            <v>10548.55</v>
          </cell>
        </row>
        <row r="15">
          <cell r="C15">
            <v>30000</v>
          </cell>
          <cell r="E15">
            <v>0</v>
          </cell>
        </row>
        <row r="16">
          <cell r="C16">
            <v>237600</v>
          </cell>
          <cell r="E16">
            <v>51712.5</v>
          </cell>
        </row>
        <row r="17">
          <cell r="C17">
            <v>10000</v>
          </cell>
          <cell r="E17">
            <v>0</v>
          </cell>
        </row>
        <row r="18">
          <cell r="C18">
            <v>672400</v>
          </cell>
          <cell r="E18">
            <v>27000</v>
          </cell>
        </row>
      </sheetData>
      <sheetData sheetId="11">
        <row r="12">
          <cell r="C12">
            <v>20000</v>
          </cell>
          <cell r="E12">
            <v>5812</v>
          </cell>
        </row>
        <row r="13">
          <cell r="C13">
            <v>30000</v>
          </cell>
          <cell r="E13">
            <v>4485</v>
          </cell>
        </row>
        <row r="14">
          <cell r="C14">
            <v>400000</v>
          </cell>
          <cell r="E14">
            <v>89540</v>
          </cell>
        </row>
        <row r="15">
          <cell r="C15">
            <v>224400</v>
          </cell>
          <cell r="E15">
            <v>56500</v>
          </cell>
        </row>
        <row r="16">
          <cell r="C16">
            <v>165600</v>
          </cell>
          <cell r="E16">
            <v>72587.48</v>
          </cell>
        </row>
        <row r="17">
          <cell r="C17">
            <v>30000</v>
          </cell>
          <cell r="E17">
            <v>0</v>
          </cell>
        </row>
        <row r="18">
          <cell r="C18">
            <v>30000</v>
          </cell>
          <cell r="E18">
            <v>19345</v>
          </cell>
        </row>
      </sheetData>
      <sheetData sheetId="12">
        <row r="12">
          <cell r="C12">
            <v>100000</v>
          </cell>
          <cell r="E12">
            <v>42494</v>
          </cell>
        </row>
        <row r="13">
          <cell r="C13">
            <v>250000</v>
          </cell>
          <cell r="E13">
            <v>0</v>
          </cell>
        </row>
        <row r="14">
          <cell r="C14">
            <v>150000</v>
          </cell>
          <cell r="E14">
            <v>61647.1</v>
          </cell>
        </row>
        <row r="15">
          <cell r="C15">
            <v>377000</v>
          </cell>
          <cell r="E15">
            <v>40869.160000000003</v>
          </cell>
        </row>
        <row r="16">
          <cell r="C16">
            <v>10000</v>
          </cell>
          <cell r="E16">
            <v>600</v>
          </cell>
        </row>
        <row r="17">
          <cell r="C17">
            <v>300000</v>
          </cell>
          <cell r="E17">
            <v>126024.273</v>
          </cell>
        </row>
        <row r="18">
          <cell r="C18">
            <v>30000</v>
          </cell>
          <cell r="E18">
            <v>12983</v>
          </cell>
        </row>
        <row r="19">
          <cell r="C19">
            <v>3643000</v>
          </cell>
          <cell r="E19">
            <v>1469250</v>
          </cell>
        </row>
        <row r="20">
          <cell r="C20">
            <v>130000</v>
          </cell>
          <cell r="E20">
            <v>1950</v>
          </cell>
        </row>
        <row r="21">
          <cell r="C21">
            <v>200000</v>
          </cell>
          <cell r="E21">
            <v>22415</v>
          </cell>
        </row>
        <row r="22">
          <cell r="C22">
            <v>5000</v>
          </cell>
          <cell r="E22">
            <v>0</v>
          </cell>
        </row>
        <row r="23">
          <cell r="C23">
            <v>150000</v>
          </cell>
          <cell r="E23">
            <v>105764.59</v>
          </cell>
        </row>
      </sheetData>
      <sheetData sheetId="13">
        <row r="11">
          <cell r="C11">
            <v>34000</v>
          </cell>
          <cell r="E11">
            <v>1230</v>
          </cell>
        </row>
        <row r="12">
          <cell r="C12">
            <v>56500</v>
          </cell>
          <cell r="E12">
            <v>0</v>
          </cell>
        </row>
        <row r="13">
          <cell r="C13">
            <v>6500</v>
          </cell>
          <cell r="E13">
            <v>4270.1499999999996</v>
          </cell>
        </row>
        <row r="14">
          <cell r="C14">
            <v>6000</v>
          </cell>
          <cell r="E14">
            <v>0</v>
          </cell>
        </row>
        <row r="15">
          <cell r="C15">
            <v>81000</v>
          </cell>
          <cell r="E15">
            <v>2864.4</v>
          </cell>
        </row>
        <row r="16">
          <cell r="C16">
            <v>252000</v>
          </cell>
          <cell r="E16">
            <v>121800</v>
          </cell>
        </row>
        <row r="17">
          <cell r="C17">
            <v>44800</v>
          </cell>
          <cell r="E17">
            <v>0</v>
          </cell>
        </row>
        <row r="18">
          <cell r="C18">
            <v>119200</v>
          </cell>
          <cell r="E18">
            <v>119200</v>
          </cell>
        </row>
      </sheetData>
      <sheetData sheetId="14">
        <row r="11">
          <cell r="E11">
            <v>0</v>
          </cell>
        </row>
        <row r="12">
          <cell r="E12">
            <v>0</v>
          </cell>
        </row>
        <row r="13">
          <cell r="E13">
            <v>778000</v>
          </cell>
        </row>
      </sheetData>
      <sheetData sheetId="15">
        <row r="12">
          <cell r="C12">
            <v>222400</v>
          </cell>
          <cell r="E12">
            <v>0</v>
          </cell>
        </row>
        <row r="13">
          <cell r="E13">
            <v>305400</v>
          </cell>
        </row>
      </sheetData>
      <sheetData sheetId="16">
        <row r="12">
          <cell r="E12">
            <v>11445.7</v>
          </cell>
        </row>
        <row r="13">
          <cell r="E13">
            <v>4700</v>
          </cell>
        </row>
        <row r="14">
          <cell r="E14">
            <v>18104.599999999999</v>
          </cell>
        </row>
        <row r="15">
          <cell r="E15">
            <v>15345.7</v>
          </cell>
        </row>
        <row r="16">
          <cell r="E16">
            <v>69458.23</v>
          </cell>
        </row>
        <row r="17">
          <cell r="E17">
            <v>0</v>
          </cell>
        </row>
        <row r="18">
          <cell r="E18">
            <v>3304</v>
          </cell>
        </row>
        <row r="19">
          <cell r="E19">
            <v>2820</v>
          </cell>
        </row>
        <row r="20">
          <cell r="C20">
            <v>1136000</v>
          </cell>
          <cell r="E20">
            <v>440865</v>
          </cell>
        </row>
        <row r="21">
          <cell r="E21">
            <v>0</v>
          </cell>
        </row>
        <row r="22">
          <cell r="E22">
            <v>0</v>
          </cell>
        </row>
        <row r="23">
          <cell r="E23">
            <v>0</v>
          </cell>
        </row>
        <row r="24">
          <cell r="E24">
            <v>0</v>
          </cell>
        </row>
      </sheetData>
      <sheetData sheetId="17">
        <row r="12">
          <cell r="C12">
            <v>13000</v>
          </cell>
        </row>
        <row r="13">
          <cell r="C13">
            <v>2000</v>
          </cell>
        </row>
        <row r="14">
          <cell r="C14">
            <v>15000</v>
          </cell>
        </row>
        <row r="15">
          <cell r="C15">
            <v>15000</v>
          </cell>
        </row>
      </sheetData>
      <sheetData sheetId="18">
        <row r="12">
          <cell r="C12">
            <v>20000</v>
          </cell>
          <cell r="E12">
            <v>244509.71</v>
          </cell>
        </row>
        <row r="13">
          <cell r="C13">
            <v>125000</v>
          </cell>
          <cell r="E13">
            <v>73763.350000000006</v>
          </cell>
        </row>
        <row r="14">
          <cell r="C14">
            <v>40000</v>
          </cell>
          <cell r="E14">
            <v>3629.8</v>
          </cell>
        </row>
        <row r="15">
          <cell r="C15">
            <v>240000</v>
          </cell>
          <cell r="E15">
            <v>83525</v>
          </cell>
        </row>
        <row r="16">
          <cell r="C16">
            <v>10000</v>
          </cell>
          <cell r="E16">
            <v>1981.56</v>
          </cell>
        </row>
        <row r="17">
          <cell r="C17">
            <v>390600</v>
          </cell>
          <cell r="E17">
            <v>199275</v>
          </cell>
        </row>
        <row r="18">
          <cell r="C18">
            <v>100000</v>
          </cell>
          <cell r="E18">
            <v>52610</v>
          </cell>
        </row>
        <row r="19">
          <cell r="C19">
            <v>5000</v>
          </cell>
          <cell r="E19">
            <v>2900</v>
          </cell>
        </row>
        <row r="20">
          <cell r="C20">
            <v>4400</v>
          </cell>
          <cell r="E20">
            <v>0</v>
          </cell>
        </row>
        <row r="21">
          <cell r="C21">
            <v>65000</v>
          </cell>
          <cell r="E21">
            <v>26100</v>
          </cell>
        </row>
      </sheetData>
      <sheetData sheetId="19">
        <row r="12">
          <cell r="C12">
            <v>18400</v>
          </cell>
          <cell r="E12">
            <v>0</v>
          </cell>
        </row>
        <row r="13">
          <cell r="C13">
            <v>10000</v>
          </cell>
          <cell r="E13">
            <v>0</v>
          </cell>
        </row>
        <row r="14">
          <cell r="C14">
            <v>4000</v>
          </cell>
          <cell r="E14">
            <v>0</v>
          </cell>
        </row>
        <row r="15">
          <cell r="C15">
            <v>500600</v>
          </cell>
          <cell r="E15">
            <v>225000</v>
          </cell>
        </row>
      </sheetData>
      <sheetData sheetId="20">
        <row r="12">
          <cell r="C12">
            <v>30000</v>
          </cell>
          <cell r="E12">
            <v>11640</v>
          </cell>
        </row>
        <row r="13">
          <cell r="C13">
            <v>20000</v>
          </cell>
          <cell r="E13">
            <v>0</v>
          </cell>
        </row>
        <row r="14">
          <cell r="C14">
            <v>105000</v>
          </cell>
          <cell r="E14">
            <v>49753.649999999994</v>
          </cell>
        </row>
        <row r="15">
          <cell r="C15">
            <v>95000</v>
          </cell>
          <cell r="E15">
            <v>5484.25</v>
          </cell>
        </row>
        <row r="16">
          <cell r="E16">
            <v>0</v>
          </cell>
          <cell r="F16">
            <v>2000</v>
          </cell>
        </row>
        <row r="17">
          <cell r="C17">
            <v>50000</v>
          </cell>
          <cell r="E17">
            <v>20868.89</v>
          </cell>
        </row>
        <row r="18">
          <cell r="C18">
            <v>266800</v>
          </cell>
          <cell r="E18">
            <v>101700</v>
          </cell>
        </row>
        <row r="19">
          <cell r="C19">
            <v>165000</v>
          </cell>
          <cell r="E19">
            <v>82025</v>
          </cell>
        </row>
        <row r="20">
          <cell r="C20">
            <v>10000</v>
          </cell>
          <cell r="E20">
            <v>0</v>
          </cell>
        </row>
        <row r="21">
          <cell r="C21">
            <v>56200</v>
          </cell>
          <cell r="E21">
            <v>38885</v>
          </cell>
        </row>
      </sheetData>
      <sheetData sheetId="21"/>
      <sheetData sheetId="22"/>
      <sheetData sheetId="23">
        <row r="12">
          <cell r="C12">
            <v>50000</v>
          </cell>
          <cell r="E12">
            <v>0</v>
          </cell>
        </row>
        <row r="13">
          <cell r="C13">
            <v>538809.26</v>
          </cell>
          <cell r="E13">
            <v>0</v>
          </cell>
        </row>
        <row r="14">
          <cell r="C14">
            <v>50000</v>
          </cell>
          <cell r="E14">
            <v>0</v>
          </cell>
        </row>
        <row r="15">
          <cell r="C15">
            <v>200000</v>
          </cell>
          <cell r="E15">
            <v>0</v>
          </cell>
        </row>
        <row r="16">
          <cell r="C16">
            <v>50000</v>
          </cell>
          <cell r="E16">
            <v>0</v>
          </cell>
        </row>
        <row r="17">
          <cell r="C17">
            <v>8100000</v>
          </cell>
          <cell r="E17">
            <v>2550000</v>
          </cell>
        </row>
        <row r="18">
          <cell r="C18">
            <v>7011190.7400000002</v>
          </cell>
          <cell r="E18">
            <v>1356980.25</v>
          </cell>
        </row>
        <row r="20">
          <cell r="C20">
            <v>11000000</v>
          </cell>
          <cell r="E20">
            <v>5190100</v>
          </cell>
        </row>
      </sheetData>
      <sheetData sheetId="24">
        <row r="12">
          <cell r="C12">
            <v>25000</v>
          </cell>
          <cell r="E12">
            <v>540</v>
          </cell>
        </row>
        <row r="13">
          <cell r="C13">
            <v>10000</v>
          </cell>
          <cell r="E13">
            <v>0</v>
          </cell>
        </row>
        <row r="14">
          <cell r="C14">
            <v>55000</v>
          </cell>
          <cell r="E14">
            <v>39621.35</v>
          </cell>
        </row>
        <row r="15">
          <cell r="C15">
            <v>3000</v>
          </cell>
          <cell r="E15">
            <v>0</v>
          </cell>
        </row>
        <row r="16">
          <cell r="C16">
            <v>5000</v>
          </cell>
          <cell r="E16">
            <v>0</v>
          </cell>
        </row>
        <row r="17">
          <cell r="C17">
            <v>30000</v>
          </cell>
          <cell r="E17">
            <v>6795.0400000000009</v>
          </cell>
        </row>
        <row r="18">
          <cell r="C18">
            <v>1007000</v>
          </cell>
          <cell r="E18">
            <v>405384</v>
          </cell>
        </row>
        <row r="19">
          <cell r="C19">
            <v>24000</v>
          </cell>
          <cell r="E19">
            <v>0</v>
          </cell>
        </row>
        <row r="20">
          <cell r="C20">
            <v>36000</v>
          </cell>
          <cell r="E20">
            <v>0</v>
          </cell>
        </row>
        <row r="21">
          <cell r="C21">
            <v>954800</v>
          </cell>
          <cell r="E21">
            <v>278100</v>
          </cell>
        </row>
        <row r="22">
          <cell r="C22">
            <v>68000</v>
          </cell>
          <cell r="E22">
            <v>24100</v>
          </cell>
        </row>
        <row r="23">
          <cell r="C23">
            <v>5000</v>
          </cell>
          <cell r="E23">
            <v>0</v>
          </cell>
        </row>
        <row r="24">
          <cell r="C24">
            <v>210000</v>
          </cell>
          <cell r="E24">
            <v>0</v>
          </cell>
        </row>
        <row r="25">
          <cell r="C25">
            <v>20000</v>
          </cell>
          <cell r="E25">
            <v>16772.38</v>
          </cell>
        </row>
      </sheetData>
      <sheetData sheetId="25">
        <row r="12">
          <cell r="C12">
            <v>5720</v>
          </cell>
          <cell r="E12">
            <v>0</v>
          </cell>
        </row>
        <row r="13">
          <cell r="C13">
            <v>10000</v>
          </cell>
          <cell r="E13">
            <v>0</v>
          </cell>
        </row>
        <row r="14">
          <cell r="C14">
            <v>240200</v>
          </cell>
          <cell r="E14">
            <v>154350</v>
          </cell>
        </row>
        <row r="15">
          <cell r="C15">
            <v>156080</v>
          </cell>
          <cell r="E15">
            <v>0</v>
          </cell>
        </row>
      </sheetData>
      <sheetData sheetId="26">
        <row r="12">
          <cell r="C12">
            <v>5000</v>
          </cell>
          <cell r="E12">
            <v>0</v>
          </cell>
        </row>
        <row r="13">
          <cell r="C13">
            <v>5000</v>
          </cell>
          <cell r="E13">
            <v>0</v>
          </cell>
        </row>
        <row r="14">
          <cell r="C14">
            <v>15000</v>
          </cell>
          <cell r="E14">
            <v>0</v>
          </cell>
        </row>
        <row r="15">
          <cell r="C15">
            <v>300000</v>
          </cell>
          <cell r="E15">
            <v>23172</v>
          </cell>
        </row>
        <row r="16">
          <cell r="C16">
            <v>500700</v>
          </cell>
          <cell r="E16">
            <v>207300</v>
          </cell>
        </row>
        <row r="17">
          <cell r="C17">
            <v>74300</v>
          </cell>
          <cell r="E17">
            <v>7170</v>
          </cell>
        </row>
      </sheetData>
      <sheetData sheetId="27">
        <row r="12">
          <cell r="C12">
            <v>46000</v>
          </cell>
          <cell r="E12">
            <v>20904.349999999999</v>
          </cell>
        </row>
        <row r="13">
          <cell r="C13">
            <v>50000</v>
          </cell>
          <cell r="E13">
            <v>6860</v>
          </cell>
        </row>
        <row r="14">
          <cell r="C14">
            <v>1300000</v>
          </cell>
          <cell r="E14">
            <v>367250</v>
          </cell>
        </row>
        <row r="15">
          <cell r="C15">
            <v>250000</v>
          </cell>
          <cell r="E15">
            <v>90230</v>
          </cell>
        </row>
        <row r="16">
          <cell r="C16">
            <v>180000</v>
          </cell>
          <cell r="E16">
            <v>17605.150000000001</v>
          </cell>
        </row>
        <row r="17">
          <cell r="C17">
            <v>20660.52</v>
          </cell>
          <cell r="E17">
            <v>4066.1600000000003</v>
          </cell>
        </row>
        <row r="18">
          <cell r="C18">
            <v>2000</v>
          </cell>
          <cell r="E18">
            <v>0</v>
          </cell>
        </row>
        <row r="19">
          <cell r="C19">
            <v>6000</v>
          </cell>
          <cell r="E19">
            <v>0</v>
          </cell>
        </row>
        <row r="20">
          <cell r="C20">
            <v>1000</v>
          </cell>
          <cell r="E20">
            <v>0</v>
          </cell>
        </row>
        <row r="21">
          <cell r="C21">
            <v>2868780</v>
          </cell>
          <cell r="E21">
            <v>1267203.75</v>
          </cell>
        </row>
        <row r="22">
          <cell r="C22">
            <v>60000</v>
          </cell>
          <cell r="E22">
            <v>0</v>
          </cell>
        </row>
        <row r="23">
          <cell r="C23">
            <v>50000</v>
          </cell>
          <cell r="E23">
            <v>0</v>
          </cell>
        </row>
        <row r="24">
          <cell r="C24">
            <v>2000</v>
          </cell>
          <cell r="E24">
            <v>0</v>
          </cell>
        </row>
        <row r="25">
          <cell r="C25">
            <v>1000</v>
          </cell>
          <cell r="E25">
            <v>0</v>
          </cell>
        </row>
        <row r="26">
          <cell r="C26">
            <v>663220</v>
          </cell>
          <cell r="E26">
            <v>42765</v>
          </cell>
        </row>
        <row r="28">
          <cell r="C28">
            <v>1500000</v>
          </cell>
        </row>
      </sheetData>
      <sheetData sheetId="28">
        <row r="12">
          <cell r="C12">
            <v>5000</v>
          </cell>
          <cell r="E12">
            <v>0</v>
          </cell>
        </row>
        <row r="13">
          <cell r="C13">
            <v>75000</v>
          </cell>
          <cell r="E13">
            <v>0</v>
          </cell>
        </row>
        <row r="14">
          <cell r="C14">
            <v>5945000</v>
          </cell>
          <cell r="E14">
            <v>2381250</v>
          </cell>
        </row>
        <row r="15">
          <cell r="C15">
            <v>10000</v>
          </cell>
          <cell r="E15">
            <v>0</v>
          </cell>
        </row>
        <row r="16">
          <cell r="C16">
            <v>100000</v>
          </cell>
          <cell r="E16">
            <v>0</v>
          </cell>
        </row>
      </sheetData>
      <sheetData sheetId="29">
        <row r="12">
          <cell r="C12">
            <v>7000</v>
          </cell>
          <cell r="E12">
            <v>0</v>
          </cell>
        </row>
        <row r="13">
          <cell r="C13">
            <v>10000</v>
          </cell>
          <cell r="E13">
            <v>0</v>
          </cell>
        </row>
        <row r="14">
          <cell r="C14">
            <v>5000</v>
          </cell>
          <cell r="E14">
            <v>0</v>
          </cell>
        </row>
        <row r="15">
          <cell r="C15">
            <v>79200</v>
          </cell>
          <cell r="E15">
            <v>31194.979999999996</v>
          </cell>
        </row>
        <row r="16">
          <cell r="C16">
            <v>8800</v>
          </cell>
          <cell r="E16">
            <v>0</v>
          </cell>
        </row>
      </sheetData>
      <sheetData sheetId="30">
        <row r="12">
          <cell r="C12">
            <v>30000</v>
          </cell>
          <cell r="E12">
            <v>0</v>
          </cell>
        </row>
        <row r="13">
          <cell r="C13">
            <v>150000</v>
          </cell>
          <cell r="E13">
            <v>0</v>
          </cell>
        </row>
        <row r="14">
          <cell r="C14">
            <v>100000</v>
          </cell>
          <cell r="E14">
            <v>6153.58</v>
          </cell>
        </row>
        <row r="15">
          <cell r="C15">
            <v>20000</v>
          </cell>
          <cell r="E15">
            <v>0</v>
          </cell>
        </row>
        <row r="16">
          <cell r="C16">
            <v>5000</v>
          </cell>
          <cell r="E16">
            <v>0</v>
          </cell>
        </row>
        <row r="17">
          <cell r="C17">
            <v>15000</v>
          </cell>
          <cell r="E17">
            <v>0</v>
          </cell>
        </row>
        <row r="18">
          <cell r="C18">
            <v>5000</v>
          </cell>
          <cell r="E18">
            <v>0</v>
          </cell>
        </row>
        <row r="19">
          <cell r="C19">
            <v>175000</v>
          </cell>
          <cell r="E19">
            <v>0</v>
          </cell>
        </row>
      </sheetData>
      <sheetData sheetId="31">
        <row r="12">
          <cell r="C12">
            <v>50000</v>
          </cell>
          <cell r="E12">
            <v>540</v>
          </cell>
        </row>
        <row r="13">
          <cell r="C13">
            <v>345000</v>
          </cell>
          <cell r="E13">
            <v>0</v>
          </cell>
        </row>
        <row r="14">
          <cell r="C14">
            <v>50000</v>
          </cell>
          <cell r="E14">
            <v>40305.4</v>
          </cell>
        </row>
        <row r="15">
          <cell r="C15">
            <v>50000</v>
          </cell>
          <cell r="E15">
            <v>4729.8099999999995</v>
          </cell>
        </row>
        <row r="16">
          <cell r="C16">
            <v>65000</v>
          </cell>
          <cell r="E16">
            <v>14400</v>
          </cell>
        </row>
        <row r="17">
          <cell r="C17">
            <v>9000</v>
          </cell>
          <cell r="E17">
            <v>2675.6800000000003</v>
          </cell>
        </row>
        <row r="18">
          <cell r="C18">
            <v>158400</v>
          </cell>
          <cell r="E18">
            <v>47400</v>
          </cell>
        </row>
        <row r="19">
          <cell r="C19">
            <v>10000</v>
          </cell>
          <cell r="E19">
            <v>9375</v>
          </cell>
        </row>
        <row r="20">
          <cell r="C20">
            <v>10000</v>
          </cell>
        </row>
        <row r="21">
          <cell r="C21">
            <v>121800</v>
          </cell>
          <cell r="E21">
            <v>59897.5</v>
          </cell>
        </row>
      </sheetData>
      <sheetData sheetId="32"/>
      <sheetData sheetId="33">
        <row r="13">
          <cell r="C13">
            <v>7227528</v>
          </cell>
        </row>
      </sheetData>
      <sheetData sheetId="34">
        <row r="14">
          <cell r="D14">
            <v>25000</v>
          </cell>
        </row>
      </sheetData>
      <sheetData sheetId="35">
        <row r="13">
          <cell r="D13">
            <v>1504596</v>
          </cell>
        </row>
      </sheetData>
      <sheetData sheetId="36">
        <row r="11">
          <cell r="D11">
            <v>10294824</v>
          </cell>
        </row>
      </sheetData>
      <sheetData sheetId="37"/>
      <sheetData sheetId="38">
        <row r="12">
          <cell r="D12">
            <v>230496</v>
          </cell>
          <cell r="F12">
            <v>115248</v>
          </cell>
        </row>
        <row r="14">
          <cell r="D14">
            <v>10000</v>
          </cell>
          <cell r="F14">
            <v>3038</v>
          </cell>
        </row>
        <row r="15">
          <cell r="D15">
            <v>5294</v>
          </cell>
          <cell r="F15">
            <v>0</v>
          </cell>
        </row>
        <row r="16">
          <cell r="D16">
            <v>20000</v>
          </cell>
          <cell r="F16">
            <v>17511.5</v>
          </cell>
        </row>
        <row r="17">
          <cell r="D17">
            <v>16000</v>
          </cell>
          <cell r="F17">
            <v>14650</v>
          </cell>
        </row>
        <row r="18">
          <cell r="D18">
            <v>3900</v>
          </cell>
          <cell r="F18">
            <v>759.9</v>
          </cell>
        </row>
        <row r="19">
          <cell r="D19">
            <v>14500</v>
          </cell>
          <cell r="F19">
            <v>9241.7000000000007</v>
          </cell>
        </row>
        <row r="20">
          <cell r="D20">
            <v>8000</v>
          </cell>
          <cell r="F20">
            <v>2643.2</v>
          </cell>
        </row>
        <row r="21">
          <cell r="D21">
            <v>715680</v>
          </cell>
          <cell r="F21">
            <v>247830</v>
          </cell>
        </row>
        <row r="22">
          <cell r="D22">
            <v>1300000</v>
          </cell>
          <cell r="F22">
            <v>1300000</v>
          </cell>
        </row>
        <row r="23">
          <cell r="D23">
            <v>854130</v>
          </cell>
          <cell r="F23">
            <v>531000</v>
          </cell>
        </row>
        <row r="24">
          <cell r="D24">
            <v>6500000</v>
          </cell>
          <cell r="F24">
            <v>3219000</v>
          </cell>
        </row>
      </sheetData>
      <sheetData sheetId="39">
        <row r="13">
          <cell r="D13">
            <v>23200</v>
          </cell>
          <cell r="F13">
            <v>0</v>
          </cell>
        </row>
        <row r="14">
          <cell r="D14">
            <v>7018</v>
          </cell>
          <cell r="F14">
            <v>0</v>
          </cell>
        </row>
        <row r="15">
          <cell r="D15">
            <v>7182</v>
          </cell>
          <cell r="F15">
            <v>0</v>
          </cell>
        </row>
        <row r="16">
          <cell r="D16">
            <v>7200</v>
          </cell>
          <cell r="F16">
            <v>3400.7999999999997</v>
          </cell>
        </row>
        <row r="17">
          <cell r="D17">
            <v>16000</v>
          </cell>
          <cell r="F17">
            <v>6606.32</v>
          </cell>
        </row>
        <row r="18">
          <cell r="D18">
            <v>485000</v>
          </cell>
          <cell r="F18">
            <v>0</v>
          </cell>
        </row>
      </sheetData>
      <sheetData sheetId="40">
        <row r="13">
          <cell r="D13">
            <v>35000</v>
          </cell>
          <cell r="F13">
            <v>0</v>
          </cell>
        </row>
        <row r="14">
          <cell r="F14">
            <v>71750</v>
          </cell>
        </row>
        <row r="15">
          <cell r="F15">
            <v>4800</v>
          </cell>
        </row>
      </sheetData>
      <sheetData sheetId="41">
        <row r="13">
          <cell r="D13">
            <v>28800</v>
          </cell>
          <cell r="F13">
            <v>12600</v>
          </cell>
        </row>
        <row r="14">
          <cell r="D14">
            <v>10000</v>
          </cell>
          <cell r="F14">
            <v>7865.75</v>
          </cell>
        </row>
        <row r="15">
          <cell r="D15">
            <v>1800</v>
          </cell>
          <cell r="F15">
            <v>480</v>
          </cell>
        </row>
        <row r="16">
          <cell r="D16">
            <v>8000</v>
          </cell>
          <cell r="F16">
            <v>660.52</v>
          </cell>
        </row>
        <row r="17">
          <cell r="D17">
            <v>633600</v>
          </cell>
          <cell r="F17">
            <v>262500</v>
          </cell>
        </row>
        <row r="18">
          <cell r="D18">
            <v>57800</v>
          </cell>
          <cell r="F18">
            <v>3600</v>
          </cell>
        </row>
      </sheetData>
      <sheetData sheetId="42">
        <row r="13">
          <cell r="D13">
            <v>10000</v>
          </cell>
          <cell r="F13">
            <v>0</v>
          </cell>
        </row>
        <row r="14">
          <cell r="D14">
            <v>17000</v>
          </cell>
          <cell r="F14">
            <v>0</v>
          </cell>
        </row>
        <row r="15">
          <cell r="D15">
            <v>5000</v>
          </cell>
          <cell r="F15">
            <v>0</v>
          </cell>
        </row>
        <row r="16">
          <cell r="D16">
            <v>10000</v>
          </cell>
          <cell r="F16">
            <v>6948</v>
          </cell>
        </row>
        <row r="17">
          <cell r="D17">
            <v>138800</v>
          </cell>
          <cell r="F17">
            <v>21840</v>
          </cell>
        </row>
      </sheetData>
      <sheetData sheetId="43">
        <row r="13">
          <cell r="D13">
            <v>7500</v>
          </cell>
          <cell r="F13">
            <v>0</v>
          </cell>
        </row>
        <row r="14">
          <cell r="D14">
            <v>5500</v>
          </cell>
          <cell r="F14">
            <v>0</v>
          </cell>
        </row>
        <row r="15">
          <cell r="D15">
            <v>324000</v>
          </cell>
          <cell r="F15">
            <v>120300</v>
          </cell>
        </row>
        <row r="16">
          <cell r="D16">
            <v>28000</v>
          </cell>
          <cell r="F16">
            <v>23045</v>
          </cell>
        </row>
      </sheetData>
      <sheetData sheetId="44">
        <row r="12">
          <cell r="D12">
            <v>681640</v>
          </cell>
          <cell r="F12">
            <v>252055.82</v>
          </cell>
        </row>
        <row r="14">
          <cell r="D14">
            <v>12000</v>
          </cell>
          <cell r="F14">
            <v>2560</v>
          </cell>
        </row>
        <row r="15">
          <cell r="D15">
            <v>35000</v>
          </cell>
          <cell r="F15">
            <v>0</v>
          </cell>
        </row>
        <row r="16">
          <cell r="D16">
            <v>8000</v>
          </cell>
          <cell r="F16">
            <v>0</v>
          </cell>
        </row>
        <row r="17">
          <cell r="D17">
            <v>13000</v>
          </cell>
          <cell r="F17">
            <v>6173.2</v>
          </cell>
        </row>
        <row r="18">
          <cell r="D18">
            <v>30000</v>
          </cell>
          <cell r="F18">
            <v>0</v>
          </cell>
        </row>
        <row r="19">
          <cell r="D19">
            <v>30360</v>
          </cell>
          <cell r="F19">
            <v>6000</v>
          </cell>
        </row>
      </sheetData>
      <sheetData sheetId="45">
        <row r="11">
          <cell r="D11">
            <v>3036228</v>
          </cell>
          <cell r="F11">
            <v>1289975</v>
          </cell>
        </row>
        <row r="13">
          <cell r="D13">
            <v>60000</v>
          </cell>
          <cell r="F13">
            <v>0</v>
          </cell>
        </row>
        <row r="14">
          <cell r="D14">
            <v>86572</v>
          </cell>
          <cell r="F14">
            <v>0</v>
          </cell>
        </row>
        <row r="15">
          <cell r="D15">
            <v>8000</v>
          </cell>
          <cell r="F15">
            <v>6563.85</v>
          </cell>
        </row>
        <row r="16">
          <cell r="D16">
            <v>4560</v>
          </cell>
          <cell r="F16">
            <v>0</v>
          </cell>
        </row>
        <row r="17">
          <cell r="D17">
            <v>9000</v>
          </cell>
          <cell r="F17">
            <v>3304</v>
          </cell>
        </row>
        <row r="18">
          <cell r="D18">
            <v>1000</v>
          </cell>
          <cell r="F18">
            <v>0</v>
          </cell>
        </row>
        <row r="19">
          <cell r="D19">
            <v>1440</v>
          </cell>
          <cell r="F19">
            <v>720</v>
          </cell>
        </row>
        <row r="20">
          <cell r="D20">
            <v>517800</v>
          </cell>
          <cell r="F20">
            <v>279800</v>
          </cell>
        </row>
        <row r="22">
          <cell r="D22">
            <v>1000</v>
          </cell>
          <cell r="F22">
            <v>0</v>
          </cell>
        </row>
        <row r="23">
          <cell r="D23">
            <v>674400</v>
          </cell>
          <cell r="F23">
            <v>333109.5</v>
          </cell>
        </row>
      </sheetData>
      <sheetData sheetId="46">
        <row r="13">
          <cell r="D13">
            <v>10000</v>
          </cell>
          <cell r="F13">
            <v>0</v>
          </cell>
        </row>
        <row r="14">
          <cell r="D14">
            <v>27420</v>
          </cell>
          <cell r="F14">
            <v>0</v>
          </cell>
        </row>
        <row r="15">
          <cell r="D15">
            <v>5000</v>
          </cell>
          <cell r="F15">
            <v>3915</v>
          </cell>
        </row>
        <row r="16">
          <cell r="D16">
            <v>5000</v>
          </cell>
          <cell r="F16">
            <v>0</v>
          </cell>
        </row>
        <row r="17">
          <cell r="D17">
            <v>7000</v>
          </cell>
          <cell r="F17">
            <v>6843.25</v>
          </cell>
        </row>
        <row r="18">
          <cell r="D18">
            <v>5000</v>
          </cell>
          <cell r="F18">
            <v>3430.45</v>
          </cell>
        </row>
        <row r="19">
          <cell r="D19">
            <v>8000</v>
          </cell>
          <cell r="F19">
            <v>890.71999999999935</v>
          </cell>
        </row>
        <row r="20">
          <cell r="D20">
            <v>8500</v>
          </cell>
          <cell r="F20">
            <v>3302.6</v>
          </cell>
        </row>
        <row r="21">
          <cell r="D21">
            <v>234000</v>
          </cell>
          <cell r="F21">
            <v>144850</v>
          </cell>
        </row>
        <row r="22">
          <cell r="D22">
            <v>50080</v>
          </cell>
          <cell r="F22">
            <v>3000</v>
          </cell>
        </row>
        <row r="23">
          <cell r="D23">
            <v>40000</v>
          </cell>
          <cell r="F23">
            <v>0</v>
          </cell>
        </row>
      </sheetData>
      <sheetData sheetId="47">
        <row r="13">
          <cell r="D13">
            <v>5000</v>
          </cell>
          <cell r="F13">
            <v>0</v>
          </cell>
        </row>
        <row r="14">
          <cell r="D14">
            <v>86250</v>
          </cell>
          <cell r="F14">
            <v>2800</v>
          </cell>
        </row>
        <row r="15">
          <cell r="D15">
            <v>5000</v>
          </cell>
          <cell r="F15">
            <v>0</v>
          </cell>
        </row>
        <row r="16">
          <cell r="D16">
            <v>3750</v>
          </cell>
          <cell r="F16">
            <v>3600</v>
          </cell>
        </row>
      </sheetData>
      <sheetData sheetId="48">
        <row r="13">
          <cell r="D13">
            <v>94000</v>
          </cell>
          <cell r="F13">
            <v>0</v>
          </cell>
        </row>
        <row r="14">
          <cell r="D14">
            <v>1000</v>
          </cell>
          <cell r="F14">
            <v>0</v>
          </cell>
        </row>
        <row r="15">
          <cell r="D15">
            <v>7000</v>
          </cell>
          <cell r="F15">
            <v>6272</v>
          </cell>
        </row>
        <row r="16">
          <cell r="D16">
            <v>28000</v>
          </cell>
          <cell r="F16">
            <v>6000</v>
          </cell>
        </row>
      </sheetData>
      <sheetData sheetId="49">
        <row r="12">
          <cell r="D12">
            <v>27060546</v>
          </cell>
        </row>
      </sheetData>
      <sheetData sheetId="50">
        <row r="13">
          <cell r="D13">
            <v>50000</v>
          </cell>
        </row>
      </sheetData>
      <sheetData sheetId="51">
        <row r="9">
          <cell r="D9">
            <v>66929748</v>
          </cell>
        </row>
      </sheetData>
      <sheetData sheetId="52"/>
      <sheetData sheetId="53">
        <row r="9">
          <cell r="D9">
            <v>5268648</v>
          </cell>
        </row>
      </sheetData>
      <sheetData sheetId="54"/>
      <sheetData sheetId="5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GSD"/>
      <sheetName val="HOSPITAL"/>
      <sheetName val="STREETLIGHTING"/>
      <sheetName val="PARKS AND PLAZAS"/>
      <sheetName val="CSWD"/>
      <sheetName val="CEO-CA"/>
      <sheetName val="OBO"/>
      <sheetName val="SCHOLARSHIP PROG - student"/>
      <sheetName val="SCHOLARSHIP PROG - teachers"/>
      <sheetName val="SPORTS"/>
      <sheetName val="PESO"/>
      <sheetName val="BAC"/>
      <sheetName val="CLDO"/>
      <sheetName val="NEGOSYO CENTER"/>
      <sheetName val="PIO"/>
      <sheetName val="SCCADAC"/>
      <sheetName val="PEACE AND ORDER FUND"/>
      <sheetName val="CODI"/>
      <sheetName val="task force right of way"/>
      <sheetName val="i4J"/>
      <sheetName val="TOURISM DEV."/>
      <sheetName val="ADHOC "/>
      <sheetName val="SCIHA"/>
      <sheetName val="APPRAISAL"/>
      <sheetName val="ALGERS"/>
      <sheetName val="internal audit"/>
      <sheetName val="SCCYA"/>
      <sheetName val="PLEB"/>
      <sheetName val="TRAFFIC MGT AUTHORITY"/>
      <sheetName val="LET"/>
      <sheetName val="CAWA"/>
      <sheetName val="BPLO"/>
      <sheetName val="PPMO"/>
      <sheetName val="ITCSO"/>
      <sheetName val="abc federation"/>
      <sheetName val="ABC - TANOD"/>
      <sheetName val="ABC - KATARUNGANG PAMBARANGAY"/>
      <sheetName val="anti-covid prog"/>
      <sheetName val="OSCA"/>
      <sheetName val="GUIDANCE CENTER"/>
      <sheetName val="MDG FACES"/>
      <sheetName val="4p's"/>
      <sheetName val="CIACAT-VAWC"/>
      <sheetName val="COUNTRY PROG. FOR CHILDREN"/>
      <sheetName val="CURFEW CENTER"/>
      <sheetName val="NUTRITION COUNCIL"/>
      <sheetName val="PWD"/>
      <sheetName val="GAD COUNCIL"/>
      <sheetName val="LCPC-S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
          <cell r="I12">
            <v>30000</v>
          </cell>
        </row>
        <row r="15">
          <cell r="I15">
            <v>5000</v>
          </cell>
        </row>
        <row r="16">
          <cell r="I16">
            <v>158400</v>
          </cell>
        </row>
        <row r="18">
          <cell r="I18">
            <v>20000</v>
          </cell>
        </row>
      </sheetData>
      <sheetData sheetId="9" refreshError="1"/>
      <sheetData sheetId="10" refreshError="1"/>
      <sheetData sheetId="11" refreshError="1">
        <row r="12">
          <cell r="H12">
            <v>100000</v>
          </cell>
        </row>
        <row r="13">
          <cell r="H13">
            <v>2500000</v>
          </cell>
        </row>
        <row r="14">
          <cell r="H14">
            <v>100000</v>
          </cell>
        </row>
        <row r="15">
          <cell r="H15">
            <v>50000</v>
          </cell>
        </row>
        <row r="16">
          <cell r="H16">
            <v>300000</v>
          </cell>
        </row>
        <row r="17">
          <cell r="H17">
            <v>10000</v>
          </cell>
        </row>
        <row r="18">
          <cell r="H18">
            <v>20000</v>
          </cell>
        </row>
        <row r="19">
          <cell r="H19">
            <v>30000</v>
          </cell>
        </row>
        <row r="20">
          <cell r="H20">
            <v>2985000</v>
          </cell>
        </row>
        <row r="22">
          <cell r="H22">
            <v>30000</v>
          </cell>
        </row>
        <row r="24">
          <cell r="H24">
            <v>5000</v>
          </cell>
        </row>
        <row r="25">
          <cell r="H25">
            <v>270000</v>
          </cell>
        </row>
      </sheetData>
      <sheetData sheetId="12" refreshError="1">
        <row r="12">
          <cell r="G12">
            <v>30000</v>
          </cell>
        </row>
        <row r="13">
          <cell r="G13">
            <v>10000</v>
          </cell>
        </row>
        <row r="14">
          <cell r="G14">
            <v>120000</v>
          </cell>
        </row>
        <row r="15">
          <cell r="G15">
            <v>85000</v>
          </cell>
        </row>
        <row r="17">
          <cell r="G17">
            <v>50000</v>
          </cell>
        </row>
        <row r="18">
          <cell r="G18">
            <v>237600</v>
          </cell>
        </row>
        <row r="20">
          <cell r="G20">
            <v>175000</v>
          </cell>
        </row>
        <row r="22">
          <cell r="G22">
            <v>20000</v>
          </cell>
        </row>
        <row r="23">
          <cell r="G23">
            <v>70400</v>
          </cell>
        </row>
      </sheetData>
      <sheetData sheetId="13" refreshError="1">
        <row r="12">
          <cell r="H12">
            <v>100000</v>
          </cell>
        </row>
        <row r="14">
          <cell r="H14">
            <v>150000</v>
          </cell>
        </row>
        <row r="15">
          <cell r="H15">
            <v>377000</v>
          </cell>
        </row>
        <row r="16">
          <cell r="H16">
            <v>10000</v>
          </cell>
        </row>
        <row r="17">
          <cell r="H17">
            <v>300000</v>
          </cell>
        </row>
        <row r="18">
          <cell r="H18">
            <v>30000</v>
          </cell>
        </row>
        <row r="19">
          <cell r="H19">
            <v>3643000</v>
          </cell>
        </row>
        <row r="21">
          <cell r="H21">
            <v>130000</v>
          </cell>
        </row>
        <row r="23">
          <cell r="H23">
            <v>200000</v>
          </cell>
        </row>
        <row r="24">
          <cell r="H24">
            <v>5000</v>
          </cell>
        </row>
        <row r="25">
          <cell r="H25">
            <v>150000</v>
          </cell>
        </row>
      </sheetData>
      <sheetData sheetId="14" refreshError="1">
        <row r="12">
          <cell r="G12">
            <v>50000</v>
          </cell>
        </row>
        <row r="14">
          <cell r="G14">
            <v>50000</v>
          </cell>
        </row>
        <row r="15">
          <cell r="G15">
            <v>50000</v>
          </cell>
        </row>
        <row r="16">
          <cell r="G16">
            <v>65000</v>
          </cell>
        </row>
        <row r="17">
          <cell r="G17">
            <v>9000</v>
          </cell>
        </row>
        <row r="20">
          <cell r="G20">
            <v>10000</v>
          </cell>
        </row>
        <row r="23">
          <cell r="G23">
            <v>121800</v>
          </cell>
        </row>
      </sheetData>
      <sheetData sheetId="15" refreshError="1">
        <row r="12">
          <cell r="G12">
            <v>20000</v>
          </cell>
        </row>
        <row r="13">
          <cell r="G13">
            <v>30000</v>
          </cell>
        </row>
        <row r="14">
          <cell r="G14">
            <v>400000</v>
          </cell>
        </row>
        <row r="15">
          <cell r="G15">
            <v>224400</v>
          </cell>
        </row>
        <row r="16">
          <cell r="G16">
            <v>165600</v>
          </cell>
        </row>
        <row r="18">
          <cell r="G18">
            <v>30000</v>
          </cell>
        </row>
        <row r="19">
          <cell r="G19">
            <v>30000</v>
          </cell>
        </row>
      </sheetData>
      <sheetData sheetId="16" refreshError="1">
        <row r="12">
          <cell r="H12">
            <v>15000</v>
          </cell>
        </row>
        <row r="13">
          <cell r="H13">
            <v>15000</v>
          </cell>
        </row>
        <row r="14">
          <cell r="H14">
            <v>40000</v>
          </cell>
        </row>
        <row r="15">
          <cell r="H15">
            <v>50000</v>
          </cell>
        </row>
      </sheetData>
      <sheetData sheetId="17" refreshError="1"/>
      <sheetData sheetId="18" refreshError="1"/>
      <sheetData sheetId="19" refreshError="1">
        <row r="12">
          <cell r="H12">
            <v>5720</v>
          </cell>
        </row>
      </sheetData>
      <sheetData sheetId="20" refreshError="1">
        <row r="12">
          <cell r="H12">
            <v>30000</v>
          </cell>
        </row>
        <row r="13">
          <cell r="H13">
            <v>150000</v>
          </cell>
        </row>
        <row r="14">
          <cell r="H14">
            <v>100000</v>
          </cell>
        </row>
        <row r="15">
          <cell r="H15">
            <v>20000</v>
          </cell>
        </row>
        <row r="16">
          <cell r="H16">
            <v>5000</v>
          </cell>
        </row>
        <row r="18">
          <cell r="H18">
            <v>15000</v>
          </cell>
        </row>
        <row r="20">
          <cell r="H20">
            <v>5000</v>
          </cell>
        </row>
        <row r="21">
          <cell r="H21">
            <v>175000</v>
          </cell>
        </row>
      </sheetData>
      <sheetData sheetId="21" refreshError="1">
        <row r="12">
          <cell r="H12">
            <v>150000</v>
          </cell>
        </row>
        <row r="13">
          <cell r="H13">
            <v>50000</v>
          </cell>
        </row>
        <row r="14">
          <cell r="H14">
            <v>30000</v>
          </cell>
        </row>
        <row r="15">
          <cell r="H15">
            <v>204500</v>
          </cell>
        </row>
        <row r="16">
          <cell r="H16">
            <v>50000</v>
          </cell>
        </row>
        <row r="17">
          <cell r="H17">
            <v>2400</v>
          </cell>
        </row>
        <row r="18">
          <cell r="H18">
            <v>30000</v>
          </cell>
        </row>
        <row r="19">
          <cell r="H19">
            <v>24000</v>
          </cell>
        </row>
        <row r="23">
          <cell r="H23">
            <v>40000</v>
          </cell>
        </row>
        <row r="25">
          <cell r="H25">
            <v>10000</v>
          </cell>
        </row>
        <row r="26">
          <cell r="H26">
            <v>880980</v>
          </cell>
        </row>
      </sheetData>
      <sheetData sheetId="22" refreshError="1"/>
      <sheetData sheetId="23" refreshError="1"/>
      <sheetData sheetId="24" refreshError="1">
        <row r="12">
          <cell r="H12">
            <v>13000</v>
          </cell>
        </row>
        <row r="13">
          <cell r="H13">
            <v>2000</v>
          </cell>
        </row>
        <row r="14">
          <cell r="H14">
            <v>15000</v>
          </cell>
        </row>
        <row r="15">
          <cell r="H15">
            <v>15000</v>
          </cell>
        </row>
      </sheetData>
      <sheetData sheetId="25" refreshError="1"/>
      <sheetData sheetId="26" refreshError="1">
        <row r="12">
          <cell r="H12">
            <v>7000</v>
          </cell>
        </row>
        <row r="13">
          <cell r="H13">
            <v>10000</v>
          </cell>
        </row>
        <row r="14">
          <cell r="H14">
            <v>5000</v>
          </cell>
        </row>
        <row r="15">
          <cell r="H15">
            <v>79200</v>
          </cell>
        </row>
        <row r="16">
          <cell r="H16">
            <v>8800</v>
          </cell>
        </row>
      </sheetData>
      <sheetData sheetId="27" refreshError="1">
        <row r="12">
          <cell r="H12">
            <v>5000</v>
          </cell>
        </row>
        <row r="13">
          <cell r="H13">
            <v>78800</v>
          </cell>
        </row>
        <row r="14">
          <cell r="H14">
            <v>20000</v>
          </cell>
        </row>
        <row r="15">
          <cell r="H15">
            <v>10000</v>
          </cell>
        </row>
        <row r="16">
          <cell r="H16">
            <v>5000</v>
          </cell>
        </row>
        <row r="17">
          <cell r="H17">
            <v>27000</v>
          </cell>
        </row>
        <row r="18">
          <cell r="H18">
            <v>39000</v>
          </cell>
        </row>
        <row r="19">
          <cell r="H19">
            <v>475200</v>
          </cell>
        </row>
        <row r="20">
          <cell r="H20">
            <v>40000</v>
          </cell>
        </row>
      </sheetData>
      <sheetData sheetId="28" refreshError="1"/>
      <sheetData sheetId="29" refreshError="1">
        <row r="12">
          <cell r="H12">
            <v>5000</v>
          </cell>
        </row>
        <row r="13">
          <cell r="H13">
            <v>75000</v>
          </cell>
        </row>
        <row r="14">
          <cell r="H14">
            <v>5945000</v>
          </cell>
        </row>
        <row r="17">
          <cell r="H17">
            <v>100000</v>
          </cell>
        </row>
      </sheetData>
      <sheetData sheetId="30" refreshError="1">
        <row r="12">
          <cell r="H12">
            <v>5000</v>
          </cell>
        </row>
        <row r="13">
          <cell r="H13">
            <v>5000</v>
          </cell>
        </row>
        <row r="14">
          <cell r="H14">
            <v>15000</v>
          </cell>
        </row>
        <row r="15">
          <cell r="H15">
            <v>150000</v>
          </cell>
        </row>
        <row r="17">
          <cell r="H17">
            <v>150000</v>
          </cell>
        </row>
        <row r="18">
          <cell r="H18">
            <v>74300</v>
          </cell>
        </row>
      </sheetData>
      <sheetData sheetId="31" refreshError="1">
        <row r="12">
          <cell r="H12">
            <v>10000</v>
          </cell>
        </row>
        <row r="13">
          <cell r="H13">
            <v>10000</v>
          </cell>
        </row>
        <row r="14">
          <cell r="H14">
            <v>13320</v>
          </cell>
        </row>
        <row r="15">
          <cell r="H15">
            <v>6000</v>
          </cell>
        </row>
        <row r="16">
          <cell r="H16">
            <v>2000</v>
          </cell>
        </row>
        <row r="17">
          <cell r="H17">
            <v>8500</v>
          </cell>
        </row>
        <row r="20">
          <cell r="H20">
            <v>2500</v>
          </cell>
        </row>
        <row r="21">
          <cell r="H21">
            <v>402880</v>
          </cell>
        </row>
      </sheetData>
      <sheetData sheetId="32" refreshError="1">
        <row r="19">
          <cell r="H19">
            <v>60000</v>
          </cell>
        </row>
        <row r="22">
          <cell r="H22">
            <v>19400</v>
          </cell>
        </row>
        <row r="23">
          <cell r="H23">
            <v>75000</v>
          </cell>
        </row>
      </sheetData>
      <sheetData sheetId="33" refreshError="1">
        <row r="16">
          <cell r="H16">
            <v>150000</v>
          </cell>
        </row>
        <row r="17">
          <cell r="H17">
            <v>15000</v>
          </cell>
        </row>
        <row r="18">
          <cell r="H18">
            <v>25000</v>
          </cell>
        </row>
        <row r="22">
          <cell r="H22">
            <v>50000</v>
          </cell>
        </row>
      </sheetData>
      <sheetData sheetId="34" refreshError="1">
        <row r="12">
          <cell r="H12">
            <v>25000</v>
          </cell>
        </row>
        <row r="13">
          <cell r="H13">
            <v>10000</v>
          </cell>
        </row>
        <row r="14">
          <cell r="H14">
            <v>55000</v>
          </cell>
        </row>
        <row r="18">
          <cell r="H18">
            <v>36000</v>
          </cell>
        </row>
        <row r="19">
          <cell r="H19">
            <v>30000</v>
          </cell>
        </row>
        <row r="21">
          <cell r="H21">
            <v>24000</v>
          </cell>
        </row>
        <row r="24">
          <cell r="H24">
            <v>68000</v>
          </cell>
        </row>
        <row r="28">
          <cell r="H28">
            <v>20000</v>
          </cell>
        </row>
      </sheetData>
      <sheetData sheetId="35" refreshError="1">
        <row r="12">
          <cell r="H12">
            <v>34000</v>
          </cell>
        </row>
        <row r="13">
          <cell r="H13">
            <v>56500</v>
          </cell>
        </row>
        <row r="14">
          <cell r="H14">
            <v>6500</v>
          </cell>
        </row>
        <row r="16">
          <cell r="H16">
            <v>6000</v>
          </cell>
        </row>
        <row r="17">
          <cell r="H17">
            <v>81000</v>
          </cell>
        </row>
        <row r="18">
          <cell r="H18">
            <v>252000</v>
          </cell>
        </row>
        <row r="20">
          <cell r="H20">
            <v>44800</v>
          </cell>
        </row>
        <row r="21">
          <cell r="H21">
            <v>119200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ow r="9">
          <cell r="E9">
            <v>27726255.5</v>
          </cell>
        </row>
      </sheetData>
      <sheetData sheetId="1"/>
      <sheetData sheetId="2">
        <row r="12">
          <cell r="E12">
            <v>3731</v>
          </cell>
        </row>
      </sheetData>
      <sheetData sheetId="3">
        <row r="12">
          <cell r="E12">
            <v>7035</v>
          </cell>
        </row>
      </sheetData>
      <sheetData sheetId="4">
        <row r="12">
          <cell r="E12">
            <v>0</v>
          </cell>
        </row>
      </sheetData>
      <sheetData sheetId="5">
        <row r="12">
          <cell r="E12">
            <v>131224.97999999998</v>
          </cell>
        </row>
      </sheetData>
      <sheetData sheetId="6">
        <row r="12">
          <cell r="E12">
            <v>149186.11000000002</v>
          </cell>
        </row>
        <row r="26">
          <cell r="E26">
            <v>0</v>
          </cell>
        </row>
      </sheetData>
      <sheetData sheetId="7"/>
      <sheetData sheetId="8">
        <row r="12">
          <cell r="E12">
            <v>16345</v>
          </cell>
        </row>
      </sheetData>
      <sheetData sheetId="9">
        <row r="12">
          <cell r="E12">
            <v>411973.37</v>
          </cell>
        </row>
      </sheetData>
      <sheetData sheetId="10"/>
      <sheetData sheetId="11">
        <row r="12">
          <cell r="E12">
            <v>7401.24</v>
          </cell>
        </row>
      </sheetData>
      <sheetData sheetId="12"/>
      <sheetData sheetId="13">
        <row r="11">
          <cell r="E11">
            <v>7981</v>
          </cell>
        </row>
      </sheetData>
      <sheetData sheetId="14">
        <row r="11">
          <cell r="E11">
            <v>0</v>
          </cell>
        </row>
      </sheetData>
      <sheetData sheetId="15">
        <row r="12">
          <cell r="E12">
            <v>154800</v>
          </cell>
        </row>
      </sheetData>
      <sheetData sheetId="16"/>
      <sheetData sheetId="17">
        <row r="12">
          <cell r="E12">
            <v>0</v>
          </cell>
        </row>
      </sheetData>
      <sheetData sheetId="18">
        <row r="12">
          <cell r="E12">
            <v>3631.8999999999996</v>
          </cell>
        </row>
      </sheetData>
      <sheetData sheetId="19"/>
      <sheetData sheetId="20"/>
      <sheetData sheetId="21"/>
      <sheetData sheetId="22">
        <row r="12">
          <cell r="E12">
            <v>28282.799999999999</v>
          </cell>
        </row>
      </sheetData>
      <sheetData sheetId="23">
        <row r="12">
          <cell r="E12">
            <v>0</v>
          </cell>
        </row>
      </sheetData>
      <sheetData sheetId="24">
        <row r="12">
          <cell r="E12">
            <v>62837.08</v>
          </cell>
        </row>
      </sheetData>
      <sheetData sheetId="25">
        <row r="12">
          <cell r="E12">
            <v>0</v>
          </cell>
        </row>
      </sheetData>
      <sheetData sheetId="26">
        <row r="12">
          <cell r="E12">
            <v>990</v>
          </cell>
        </row>
      </sheetData>
      <sheetData sheetId="27">
        <row r="12">
          <cell r="E12">
            <v>10677.21</v>
          </cell>
        </row>
      </sheetData>
      <sheetData sheetId="28">
        <row r="12">
          <cell r="E12">
            <v>47742.289999999994</v>
          </cell>
        </row>
      </sheetData>
      <sheetData sheetId="29">
        <row r="12">
          <cell r="E12">
            <v>0</v>
          </cell>
        </row>
      </sheetData>
      <sheetData sheetId="30">
        <row r="12">
          <cell r="E12">
            <v>0</v>
          </cell>
        </row>
      </sheetData>
      <sheetData sheetId="31">
        <row r="12">
          <cell r="E12">
            <v>44762.18</v>
          </cell>
        </row>
      </sheetData>
      <sheetData sheetId="32">
        <row r="13">
          <cell r="E13">
            <v>4509686.7799999993</v>
          </cell>
        </row>
      </sheetData>
      <sheetData sheetId="33"/>
      <sheetData sheetId="34"/>
      <sheetData sheetId="35"/>
      <sheetData sheetId="36"/>
      <sheetData sheetId="37">
        <row r="12">
          <cell r="F12">
            <v>75441.55</v>
          </cell>
        </row>
      </sheetData>
      <sheetData sheetId="38">
        <row r="13">
          <cell r="F13">
            <v>16901</v>
          </cell>
        </row>
      </sheetData>
      <sheetData sheetId="39">
        <row r="13">
          <cell r="F13">
            <v>11491</v>
          </cell>
        </row>
      </sheetData>
      <sheetData sheetId="40">
        <row r="13">
          <cell r="F13">
            <v>27552</v>
          </cell>
        </row>
      </sheetData>
      <sheetData sheetId="41">
        <row r="13">
          <cell r="F13">
            <v>13088.98</v>
          </cell>
        </row>
      </sheetData>
      <sheetData sheetId="42">
        <row r="13">
          <cell r="F13">
            <v>0</v>
          </cell>
        </row>
      </sheetData>
      <sheetData sheetId="43">
        <row r="12">
          <cell r="F12">
            <v>537515</v>
          </cell>
        </row>
      </sheetData>
      <sheetData sheetId="44">
        <row r="11">
          <cell r="F11">
            <v>2634211.14</v>
          </cell>
        </row>
      </sheetData>
      <sheetData sheetId="45">
        <row r="13">
          <cell r="F13">
            <v>8673</v>
          </cell>
        </row>
      </sheetData>
      <sheetData sheetId="46">
        <row r="13">
          <cell r="F13">
            <v>7174.16</v>
          </cell>
        </row>
      </sheetData>
      <sheetData sheetId="47">
        <row r="13">
          <cell r="F13">
            <v>43500</v>
          </cell>
        </row>
      </sheetData>
      <sheetData sheetId="48"/>
      <sheetData sheetId="49"/>
      <sheetData sheetId="50">
        <row r="9">
          <cell r="F9">
            <v>51195126.290000007</v>
          </cell>
        </row>
      </sheetData>
      <sheetData sheetId="51"/>
      <sheetData sheetId="52"/>
      <sheetData sheetId="5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AUDIT"/>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ow r="9">
          <cell r="C9">
            <v>30879240</v>
          </cell>
        </row>
      </sheetData>
      <sheetData sheetId="1"/>
      <sheetData sheetId="2">
        <row r="12">
          <cell r="C12">
            <v>20000</v>
          </cell>
        </row>
      </sheetData>
      <sheetData sheetId="3">
        <row r="12">
          <cell r="C12">
            <v>30000</v>
          </cell>
        </row>
      </sheetData>
      <sheetData sheetId="4">
        <row r="12">
          <cell r="C12">
            <v>8000</v>
          </cell>
        </row>
      </sheetData>
      <sheetData sheetId="5">
        <row r="12">
          <cell r="C12">
            <v>110000</v>
          </cell>
        </row>
      </sheetData>
      <sheetData sheetId="6">
        <row r="12">
          <cell r="C12">
            <v>130000</v>
          </cell>
        </row>
        <row r="26">
          <cell r="E26">
            <v>0</v>
          </cell>
        </row>
      </sheetData>
      <sheetData sheetId="7">
        <row r="12">
          <cell r="C12">
            <v>260000</v>
          </cell>
        </row>
      </sheetData>
      <sheetData sheetId="8">
        <row r="12">
          <cell r="C12">
            <v>30000</v>
          </cell>
        </row>
      </sheetData>
      <sheetData sheetId="9">
        <row r="12">
          <cell r="C12">
            <v>520000</v>
          </cell>
        </row>
      </sheetData>
      <sheetData sheetId="10">
        <row r="12">
          <cell r="C12">
            <v>40000</v>
          </cell>
        </row>
      </sheetData>
      <sheetData sheetId="11">
        <row r="12">
          <cell r="C12">
            <v>20000</v>
          </cell>
        </row>
      </sheetData>
      <sheetData sheetId="12">
        <row r="12">
          <cell r="C12">
            <v>180000</v>
          </cell>
        </row>
      </sheetData>
      <sheetData sheetId="13">
        <row r="11">
          <cell r="C11">
            <v>34000</v>
          </cell>
        </row>
      </sheetData>
      <sheetData sheetId="14">
        <row r="11">
          <cell r="C11">
            <v>500000</v>
          </cell>
        </row>
      </sheetData>
      <sheetData sheetId="15">
        <row r="12">
          <cell r="C12">
            <v>222400</v>
          </cell>
        </row>
      </sheetData>
      <sheetData sheetId="16">
        <row r="12">
          <cell r="C12">
            <v>25000</v>
          </cell>
        </row>
      </sheetData>
      <sheetData sheetId="17">
        <row r="12">
          <cell r="C12">
            <v>13000</v>
          </cell>
        </row>
      </sheetData>
      <sheetData sheetId="18">
        <row r="12">
          <cell r="C12">
            <v>20000</v>
          </cell>
        </row>
      </sheetData>
      <sheetData sheetId="19">
        <row r="12">
          <cell r="C12">
            <v>18400</v>
          </cell>
        </row>
      </sheetData>
      <sheetData sheetId="20">
        <row r="12">
          <cell r="C12">
            <v>50000</v>
          </cell>
        </row>
      </sheetData>
      <sheetData sheetId="21">
        <row r="12">
          <cell r="C12">
            <v>1000</v>
          </cell>
          <cell r="E12">
            <v>0</v>
          </cell>
        </row>
        <row r="13">
          <cell r="C13">
            <v>99000</v>
          </cell>
          <cell r="E13">
            <v>0</v>
          </cell>
        </row>
      </sheetData>
      <sheetData sheetId="22">
        <row r="12">
          <cell r="C12">
            <v>60400</v>
          </cell>
        </row>
        <row r="13">
          <cell r="C13">
            <v>9500</v>
          </cell>
        </row>
        <row r="14">
          <cell r="C14">
            <v>14000</v>
          </cell>
        </row>
        <row r="15">
          <cell r="C15">
            <v>6100</v>
          </cell>
        </row>
      </sheetData>
      <sheetData sheetId="23">
        <row r="12">
          <cell r="C12">
            <v>50000</v>
          </cell>
        </row>
      </sheetData>
      <sheetData sheetId="24">
        <row r="12">
          <cell r="C12">
            <v>90000</v>
          </cell>
        </row>
      </sheetData>
      <sheetData sheetId="25">
        <row r="12">
          <cell r="C12">
            <v>10000</v>
          </cell>
        </row>
      </sheetData>
      <sheetData sheetId="26">
        <row r="12">
          <cell r="C12">
            <v>10000</v>
          </cell>
        </row>
      </sheetData>
      <sheetData sheetId="27">
        <row r="12">
          <cell r="C12">
            <v>46000</v>
          </cell>
        </row>
      </sheetData>
      <sheetData sheetId="28">
        <row r="12">
          <cell r="C12">
            <v>55000</v>
          </cell>
        </row>
      </sheetData>
      <sheetData sheetId="29">
        <row r="12">
          <cell r="C12">
            <v>15000</v>
          </cell>
        </row>
      </sheetData>
      <sheetData sheetId="30">
        <row r="12">
          <cell r="C12">
            <v>30000</v>
          </cell>
        </row>
      </sheetData>
      <sheetData sheetId="31">
        <row r="12">
          <cell r="C12">
            <v>80000</v>
          </cell>
        </row>
      </sheetData>
      <sheetData sheetId="32"/>
      <sheetData sheetId="33">
        <row r="14">
          <cell r="D14">
            <v>15000</v>
          </cell>
        </row>
      </sheetData>
      <sheetData sheetId="34">
        <row r="13">
          <cell r="D13">
            <v>1287516</v>
          </cell>
        </row>
      </sheetData>
      <sheetData sheetId="35">
        <row r="11">
          <cell r="D11">
            <v>8938284</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row r="12">
          <cell r="D12">
            <v>24474244</v>
          </cell>
        </row>
      </sheetData>
      <sheetData sheetId="49">
        <row r="13">
          <cell r="D13">
            <v>65000</v>
          </cell>
        </row>
      </sheetData>
      <sheetData sheetId="50">
        <row r="9">
          <cell r="D9">
            <v>55402548</v>
          </cell>
        </row>
      </sheetData>
      <sheetData sheetId="51">
        <row r="14">
          <cell r="E14">
            <v>0</v>
          </cell>
        </row>
      </sheetData>
      <sheetData sheetId="52">
        <row r="14">
          <cell r="D14">
            <v>175000</v>
          </cell>
        </row>
      </sheetData>
      <sheetData sheetId="5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GSD"/>
      <sheetName val="HOSPITAL"/>
      <sheetName val="STREETLIGHTING"/>
      <sheetName val="PARKS AND PLAZAS"/>
      <sheetName val="CSWD"/>
      <sheetName val="CEO-CA"/>
      <sheetName val="OBO"/>
      <sheetName val="SCHOLARSHIP PROG"/>
      <sheetName val="SPORTS"/>
      <sheetName val="PESO"/>
      <sheetName val="BAC"/>
      <sheetName val="BEAUTIFICATION"/>
      <sheetName val="CLDO"/>
      <sheetName val="NEGOSYO CENTER"/>
      <sheetName val="PIO"/>
      <sheetName val="SCCADAC2019"/>
      <sheetName val="TOURISM DEV."/>
      <sheetName val="4p's"/>
      <sheetName val="COUNTRY PROG. FOR CHILDR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F12">
            <v>70000</v>
          </cell>
        </row>
        <row r="18">
          <cell r="G18">
            <v>8000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sheetData sheetId="1"/>
      <sheetData sheetId="2"/>
      <sheetData sheetId="3"/>
      <sheetData sheetId="4"/>
      <sheetData sheetId="5"/>
      <sheetData sheetId="6"/>
      <sheetData sheetId="7">
        <row r="12">
          <cell r="C12">
            <v>350000</v>
          </cell>
        </row>
      </sheetData>
      <sheetData sheetId="8"/>
      <sheetData sheetId="9"/>
      <sheetData sheetId="10">
        <row r="12">
          <cell r="C12">
            <v>40000</v>
          </cell>
        </row>
      </sheetData>
      <sheetData sheetId="11"/>
      <sheetData sheetId="12">
        <row r="12">
          <cell r="C12">
            <v>450000</v>
          </cell>
        </row>
      </sheetData>
      <sheetData sheetId="13"/>
      <sheetData sheetId="14"/>
      <sheetData sheetId="15"/>
      <sheetData sheetId="16">
        <row r="12">
          <cell r="C12">
            <v>25000</v>
          </cell>
        </row>
        <row r="13">
          <cell r="C13">
            <v>45000</v>
          </cell>
        </row>
        <row r="14">
          <cell r="C14">
            <v>38000</v>
          </cell>
        </row>
        <row r="15">
          <cell r="C15">
            <v>60000</v>
          </cell>
        </row>
        <row r="16">
          <cell r="C16">
            <v>430000</v>
          </cell>
        </row>
        <row r="17">
          <cell r="C17">
            <v>1000</v>
          </cell>
        </row>
        <row r="18">
          <cell r="C18">
            <v>32000</v>
          </cell>
        </row>
        <row r="19">
          <cell r="C19">
            <v>6000</v>
          </cell>
        </row>
        <row r="21">
          <cell r="C21">
            <v>10000</v>
          </cell>
        </row>
        <row r="22">
          <cell r="C22">
            <v>10000</v>
          </cell>
        </row>
        <row r="23">
          <cell r="C23">
            <v>10000</v>
          </cell>
        </row>
        <row r="24">
          <cell r="C24">
            <v>33000</v>
          </cell>
        </row>
      </sheetData>
      <sheetData sheetId="17"/>
      <sheetData sheetId="18"/>
      <sheetData sheetId="19">
        <row r="12">
          <cell r="C12">
            <v>50000</v>
          </cell>
        </row>
      </sheetData>
      <sheetData sheetId="20"/>
      <sheetData sheetId="21">
        <row r="12">
          <cell r="C12">
            <v>1000</v>
          </cell>
        </row>
      </sheetData>
      <sheetData sheetId="22">
        <row r="12">
          <cell r="C12">
            <v>60400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BEAUTIFICATION PROJECT"/>
      <sheetName val="TRAFFIC MANAGEMENT AUTHORITY"/>
      <sheetName val="INTERNAL SERVICES OFFICE"/>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ow r="9">
          <cell r="E9">
            <v>21276616.829999998</v>
          </cell>
        </row>
      </sheetData>
      <sheetData sheetId="1"/>
      <sheetData sheetId="2">
        <row r="12">
          <cell r="E12">
            <v>4220</v>
          </cell>
        </row>
      </sheetData>
      <sheetData sheetId="3">
        <row r="12">
          <cell r="E12">
            <v>6581</v>
          </cell>
        </row>
      </sheetData>
      <sheetData sheetId="4">
        <row r="12">
          <cell r="E12">
            <v>0</v>
          </cell>
        </row>
      </sheetData>
      <sheetData sheetId="5">
        <row r="12">
          <cell r="E12">
            <v>98300.800000000003</v>
          </cell>
        </row>
      </sheetData>
      <sheetData sheetId="6">
        <row r="12">
          <cell r="E12">
            <v>88747.03</v>
          </cell>
        </row>
      </sheetData>
      <sheetData sheetId="7">
        <row r="12">
          <cell r="E12">
            <v>378321.79000000004</v>
          </cell>
        </row>
      </sheetData>
      <sheetData sheetId="8">
        <row r="12">
          <cell r="E12">
            <v>22686</v>
          </cell>
        </row>
      </sheetData>
      <sheetData sheetId="9">
        <row r="12">
          <cell r="E12">
            <v>221586.97000000003</v>
          </cell>
        </row>
      </sheetData>
      <sheetData sheetId="10">
        <row r="12">
          <cell r="E12">
            <v>7072</v>
          </cell>
        </row>
      </sheetData>
      <sheetData sheetId="11">
        <row r="12">
          <cell r="E12">
            <v>9022.25</v>
          </cell>
        </row>
      </sheetData>
      <sheetData sheetId="12">
        <row r="12">
          <cell r="E12">
            <v>192521.26</v>
          </cell>
        </row>
      </sheetData>
      <sheetData sheetId="13">
        <row r="11">
          <cell r="E11">
            <v>10371.52</v>
          </cell>
        </row>
      </sheetData>
      <sheetData sheetId="14">
        <row r="11">
          <cell r="E11">
            <v>0</v>
          </cell>
        </row>
      </sheetData>
      <sheetData sheetId="15">
        <row r="12">
          <cell r="E12">
            <v>0</v>
          </cell>
        </row>
      </sheetData>
      <sheetData sheetId="16">
        <row r="12">
          <cell r="E12">
            <v>21593.5</v>
          </cell>
        </row>
      </sheetData>
      <sheetData sheetId="17">
        <row r="12">
          <cell r="E12">
            <v>1730</v>
          </cell>
        </row>
      </sheetData>
      <sheetData sheetId="18">
        <row r="12">
          <cell r="E12">
            <v>13700</v>
          </cell>
        </row>
      </sheetData>
      <sheetData sheetId="19">
        <row r="12">
          <cell r="E12">
            <v>0</v>
          </cell>
        </row>
      </sheetData>
      <sheetData sheetId="20">
        <row r="12">
          <cell r="E12">
            <v>43346.44</v>
          </cell>
        </row>
      </sheetData>
      <sheetData sheetId="21">
        <row r="12">
          <cell r="E12">
            <v>0</v>
          </cell>
        </row>
        <row r="13">
          <cell r="E13">
            <v>0</v>
          </cell>
        </row>
      </sheetData>
      <sheetData sheetId="22">
        <row r="12">
          <cell r="E12">
            <v>0</v>
          </cell>
        </row>
      </sheetData>
      <sheetData sheetId="23">
        <row r="12">
          <cell r="E12">
            <v>0</v>
          </cell>
        </row>
      </sheetData>
      <sheetData sheetId="24">
        <row r="12">
          <cell r="E12">
            <v>48026.92</v>
          </cell>
        </row>
      </sheetData>
      <sheetData sheetId="25">
        <row r="12">
          <cell r="E12">
            <v>0</v>
          </cell>
        </row>
      </sheetData>
      <sheetData sheetId="26">
        <row r="12">
          <cell r="E12">
            <v>0</v>
          </cell>
        </row>
      </sheetData>
      <sheetData sheetId="27">
        <row r="12">
          <cell r="E12">
            <v>5521.4</v>
          </cell>
        </row>
      </sheetData>
      <sheetData sheetId="28"/>
      <sheetData sheetId="29">
        <row r="12">
          <cell r="E12">
            <v>52329.06</v>
          </cell>
        </row>
      </sheetData>
      <sheetData sheetId="30">
        <row r="12">
          <cell r="E12">
            <v>5327</v>
          </cell>
        </row>
      </sheetData>
      <sheetData sheetId="31">
        <row r="12">
          <cell r="E12">
            <v>0</v>
          </cell>
        </row>
      </sheetData>
      <sheetData sheetId="32">
        <row r="12">
          <cell r="E12">
            <v>30580.86</v>
          </cell>
        </row>
      </sheetData>
      <sheetData sheetId="33"/>
      <sheetData sheetId="34"/>
      <sheetData sheetId="35"/>
      <sheetData sheetId="36">
        <row r="11">
          <cell r="F11">
            <v>5170257.51</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4">
          <cell r="E14">
            <v>36000</v>
          </cell>
        </row>
      </sheetData>
      <sheetData sheetId="53"/>
      <sheetData sheetId="5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MOOE"/>
      <sheetName val="MOOE"/>
      <sheetName val="PR'S"/>
    </sheetNames>
    <sheetDataSet>
      <sheetData sheetId="0">
        <row r="18">
          <cell r="F18">
            <v>144000</v>
          </cell>
          <cell r="G18">
            <v>121000</v>
          </cell>
        </row>
      </sheetData>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4">
          <cell r="F14">
            <v>13774.419999999998</v>
          </cell>
        </row>
      </sheetData>
      <sheetData sheetId="34">
        <row r="13">
          <cell r="F13">
            <v>737700.2699999999</v>
          </cell>
        </row>
      </sheetData>
      <sheetData sheetId="35">
        <row r="11">
          <cell r="F11">
            <v>6633742.5899999989</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row r="12">
          <cell r="F12">
            <v>21167460.380000003</v>
          </cell>
        </row>
      </sheetData>
      <sheetData sheetId="49">
        <row r="13">
          <cell r="F13">
            <v>39375</v>
          </cell>
        </row>
      </sheetData>
      <sheetData sheetId="50"/>
      <sheetData sheetId="51">
        <row r="14">
          <cell r="E14">
            <v>36000</v>
          </cell>
        </row>
        <row r="15">
          <cell r="E15">
            <v>240000</v>
          </cell>
        </row>
      </sheetData>
      <sheetData sheetId="52">
        <row r="14">
          <cell r="F14">
            <v>209048.64</v>
          </cell>
        </row>
      </sheetData>
      <sheetData sheetId="5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AUDIT"/>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ow r="9">
          <cell r="C9">
            <v>30879240</v>
          </cell>
        </row>
      </sheetData>
      <sheetData sheetId="1"/>
      <sheetData sheetId="2">
        <row r="12">
          <cell r="C12">
            <v>20000</v>
          </cell>
        </row>
      </sheetData>
      <sheetData sheetId="3">
        <row r="12">
          <cell r="C12">
            <v>30000</v>
          </cell>
        </row>
      </sheetData>
      <sheetData sheetId="4">
        <row r="12">
          <cell r="C12">
            <v>8000</v>
          </cell>
        </row>
      </sheetData>
      <sheetData sheetId="5">
        <row r="12">
          <cell r="C12">
            <v>110000</v>
          </cell>
        </row>
      </sheetData>
      <sheetData sheetId="6">
        <row r="12">
          <cell r="C12">
            <v>130000</v>
          </cell>
        </row>
      </sheetData>
      <sheetData sheetId="7">
        <row r="12">
          <cell r="C12">
            <v>260000</v>
          </cell>
        </row>
      </sheetData>
      <sheetData sheetId="8">
        <row r="12">
          <cell r="C12">
            <v>30000</v>
          </cell>
        </row>
      </sheetData>
      <sheetData sheetId="9">
        <row r="12">
          <cell r="C12">
            <v>520000</v>
          </cell>
        </row>
      </sheetData>
      <sheetData sheetId="10">
        <row r="12">
          <cell r="C12">
            <v>40000</v>
          </cell>
        </row>
      </sheetData>
      <sheetData sheetId="11">
        <row r="12">
          <cell r="C12">
            <v>20000</v>
          </cell>
        </row>
      </sheetData>
      <sheetData sheetId="12">
        <row r="12">
          <cell r="C12">
            <v>180000</v>
          </cell>
        </row>
      </sheetData>
      <sheetData sheetId="13">
        <row r="11">
          <cell r="C11">
            <v>34000</v>
          </cell>
        </row>
      </sheetData>
      <sheetData sheetId="14">
        <row r="11">
          <cell r="C11">
            <v>500000</v>
          </cell>
        </row>
      </sheetData>
      <sheetData sheetId="15">
        <row r="12">
          <cell r="C12">
            <v>222400</v>
          </cell>
        </row>
      </sheetData>
      <sheetData sheetId="16">
        <row r="12">
          <cell r="C12">
            <v>25000</v>
          </cell>
        </row>
      </sheetData>
      <sheetData sheetId="17">
        <row r="12">
          <cell r="C12">
            <v>13000</v>
          </cell>
        </row>
      </sheetData>
      <sheetData sheetId="18">
        <row r="12">
          <cell r="C12">
            <v>20000</v>
          </cell>
        </row>
      </sheetData>
      <sheetData sheetId="19">
        <row r="12">
          <cell r="C12">
            <v>18400</v>
          </cell>
        </row>
      </sheetData>
      <sheetData sheetId="20">
        <row r="12">
          <cell r="C12">
            <v>50000</v>
          </cell>
        </row>
      </sheetData>
      <sheetData sheetId="21">
        <row r="12">
          <cell r="C12">
            <v>1000</v>
          </cell>
        </row>
      </sheetData>
      <sheetData sheetId="22">
        <row r="12">
          <cell r="C12">
            <v>60400</v>
          </cell>
        </row>
      </sheetData>
      <sheetData sheetId="23">
        <row r="12">
          <cell r="C12">
            <v>50000</v>
          </cell>
        </row>
      </sheetData>
      <sheetData sheetId="24">
        <row r="12">
          <cell r="C12">
            <v>90000</v>
          </cell>
        </row>
      </sheetData>
      <sheetData sheetId="25">
        <row r="12">
          <cell r="C12">
            <v>10000</v>
          </cell>
        </row>
      </sheetData>
      <sheetData sheetId="26">
        <row r="12">
          <cell r="C12">
            <v>10000</v>
          </cell>
        </row>
      </sheetData>
      <sheetData sheetId="27">
        <row r="12">
          <cell r="C12">
            <v>46000</v>
          </cell>
        </row>
      </sheetData>
      <sheetData sheetId="28">
        <row r="12">
          <cell r="C12">
            <v>55000</v>
          </cell>
        </row>
      </sheetData>
      <sheetData sheetId="29">
        <row r="12">
          <cell r="C12">
            <v>15000</v>
          </cell>
        </row>
      </sheetData>
      <sheetData sheetId="30">
        <row r="12">
          <cell r="C12">
            <v>30000</v>
          </cell>
        </row>
      </sheetData>
      <sheetData sheetId="31">
        <row r="12">
          <cell r="C12">
            <v>80000</v>
          </cell>
        </row>
      </sheetData>
      <sheetData sheetId="32"/>
      <sheetData sheetId="33">
        <row r="14">
          <cell r="D14">
            <v>15000</v>
          </cell>
        </row>
      </sheetData>
      <sheetData sheetId="34">
        <row r="13">
          <cell r="D13">
            <v>1287516</v>
          </cell>
        </row>
      </sheetData>
      <sheetData sheetId="35">
        <row r="11">
          <cell r="D11">
            <v>8938284</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row r="12">
          <cell r="D12">
            <v>24474244</v>
          </cell>
        </row>
      </sheetData>
      <sheetData sheetId="49">
        <row r="13">
          <cell r="D13">
            <v>65000</v>
          </cell>
        </row>
      </sheetData>
      <sheetData sheetId="50">
        <row r="9">
          <cell r="D9">
            <v>55402548</v>
          </cell>
        </row>
      </sheetData>
      <sheetData sheetId="51">
        <row r="14">
          <cell r="E14">
            <v>0</v>
          </cell>
        </row>
        <row r="15">
          <cell r="E15">
            <v>0</v>
          </cell>
        </row>
        <row r="16">
          <cell r="E16">
            <v>0</v>
          </cell>
        </row>
        <row r="18">
          <cell r="E18">
            <v>0</v>
          </cell>
        </row>
      </sheetData>
      <sheetData sheetId="52">
        <row r="14">
          <cell r="D14">
            <v>175000</v>
          </cell>
        </row>
      </sheetData>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2"/>
      <sheetName val="SACAPRAISE"/>
      <sheetName val="ARTA"/>
      <sheetName val="summary"/>
    </sheetNames>
    <sheetDataSet>
      <sheetData sheetId="0"/>
      <sheetData sheetId="1"/>
      <sheetData sheetId="2">
        <row r="10">
          <cell r="E10">
            <v>0</v>
          </cell>
        </row>
        <row r="12">
          <cell r="E12">
            <v>39150</v>
          </cell>
        </row>
      </sheetData>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4">
          <cell r="D14">
            <v>20000</v>
          </cell>
        </row>
      </sheetData>
      <sheetData sheetId="35">
        <row r="13">
          <cell r="D13">
            <v>1446874.09</v>
          </cell>
        </row>
      </sheetData>
      <sheetData sheetId="36">
        <row r="11">
          <cell r="D11">
            <v>9849048</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row r="12">
          <cell r="D12">
            <v>26126772</v>
          </cell>
        </row>
      </sheetData>
      <sheetData sheetId="50">
        <row r="13">
          <cell r="D13">
            <v>65000</v>
          </cell>
        </row>
      </sheetData>
      <sheetData sheetId="51"/>
      <sheetData sheetId="52">
        <row r="14">
          <cell r="C14">
            <v>36000</v>
          </cell>
        </row>
        <row r="15">
          <cell r="C15">
            <v>240000</v>
          </cell>
        </row>
        <row r="16">
          <cell r="C16">
            <v>800000</v>
          </cell>
        </row>
      </sheetData>
      <sheetData sheetId="53">
        <row r="14">
          <cell r="D14">
            <v>175000</v>
          </cell>
        </row>
      </sheetData>
      <sheetData sheetId="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ary.Hazard.Longe"/>
      <sheetName val="Philhealth.L&amp;R"/>
      <sheetName val="Summary"/>
      <sheetName val="Sheet2"/>
      <sheetName val="Sheet3"/>
    </sheetNames>
    <sheetDataSet>
      <sheetData sheetId="0">
        <row r="72">
          <cell r="D72">
            <v>18784</v>
          </cell>
        </row>
        <row r="79">
          <cell r="C79">
            <v>1630019</v>
          </cell>
        </row>
        <row r="87">
          <cell r="D87">
            <v>1814096</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sheetName val="PAAOE NEW HAZARD"/>
      <sheetName val="AIP"/>
    </sheetNames>
    <sheetDataSet>
      <sheetData sheetId="0"/>
      <sheetData sheetId="1">
        <row r="72">
          <cell r="H72">
            <v>67187077</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11"/>
      <sheetName val="summary"/>
      <sheetName val="ADOLESCENT"/>
      <sheetName val="ANTI-RABIES"/>
      <sheetName val="ANTI-TB"/>
      <sheetName val="CBHS"/>
      <sheetName val="CBR"/>
      <sheetName val="ANTI-SMOKING"/>
      <sheetName val="CSR"/>
      <sheetName val="DENGUE"/>
      <sheetName val="DENTAL HEALTH"/>
      <sheetName val="FAMILY PLANNING"/>
      <sheetName val="HIS"/>
      <sheetName val="LEPROSY"/>
      <sheetName val="MATERNAL&amp;CHILD HEALTH"/>
      <sheetName val="MENTAL HEALTH"/>
      <sheetName val="IMMUNIZATION"/>
      <sheetName val="NEWBORN SCREENING"/>
      <sheetName val="NUTRITION"/>
      <sheetName val="CEMETERY"/>
      <sheetName val="STD-HIVAIDS"/>
      <sheetName val="LIFESTYLE DISEASES"/>
      <sheetName val="VBD"/>
      <sheetName val="ZOD"/>
    </sheetNames>
    <sheetDataSet>
      <sheetData sheetId="0"/>
      <sheetData sheetId="1"/>
      <sheetData sheetId="2"/>
      <sheetData sheetId="3">
        <row r="12">
          <cell r="E12">
            <v>1981300.8199999998</v>
          </cell>
        </row>
        <row r="13">
          <cell r="E13">
            <v>1156</v>
          </cell>
        </row>
      </sheetData>
      <sheetData sheetId="4">
        <row r="12">
          <cell r="E12">
            <v>160858.70000000001</v>
          </cell>
        </row>
      </sheetData>
      <sheetData sheetId="5">
        <row r="11">
          <cell r="E11">
            <v>7763500</v>
          </cell>
        </row>
        <row r="13">
          <cell r="E13">
            <v>89000</v>
          </cell>
        </row>
        <row r="14">
          <cell r="E14">
            <v>4899</v>
          </cell>
        </row>
        <row r="15">
          <cell r="E15">
            <v>5534.98</v>
          </cell>
        </row>
      </sheetData>
      <sheetData sheetId="6">
        <row r="11">
          <cell r="E11">
            <v>2070</v>
          </cell>
        </row>
        <row r="12">
          <cell r="E12">
            <v>1984</v>
          </cell>
        </row>
        <row r="13">
          <cell r="E13">
            <v>104220</v>
          </cell>
        </row>
      </sheetData>
      <sheetData sheetId="7">
        <row r="11">
          <cell r="E11">
            <v>0</v>
          </cell>
        </row>
        <row r="12">
          <cell r="E12">
            <v>6450</v>
          </cell>
        </row>
        <row r="13">
          <cell r="E13">
            <v>0</v>
          </cell>
        </row>
        <row r="14">
          <cell r="E14">
            <v>44438</v>
          </cell>
        </row>
        <row r="15">
          <cell r="E15">
            <v>0</v>
          </cell>
        </row>
      </sheetData>
      <sheetData sheetId="8">
        <row r="11">
          <cell r="E11">
            <v>379639</v>
          </cell>
        </row>
        <row r="12">
          <cell r="E12">
            <v>0</v>
          </cell>
        </row>
      </sheetData>
      <sheetData sheetId="9">
        <row r="11">
          <cell r="E11">
            <v>118000</v>
          </cell>
        </row>
        <row r="12">
          <cell r="E12">
            <v>880</v>
          </cell>
        </row>
        <row r="13">
          <cell r="E13">
            <v>0</v>
          </cell>
        </row>
      </sheetData>
      <sheetData sheetId="10">
        <row r="12">
          <cell r="E12">
            <v>49212</v>
          </cell>
        </row>
      </sheetData>
      <sheetData sheetId="11">
        <row r="12">
          <cell r="E12">
            <v>47250</v>
          </cell>
        </row>
      </sheetData>
      <sheetData sheetId="12">
        <row r="11">
          <cell r="E11">
            <v>9900</v>
          </cell>
        </row>
        <row r="12">
          <cell r="E12">
            <v>10706</v>
          </cell>
        </row>
        <row r="13">
          <cell r="E13">
            <v>4180</v>
          </cell>
        </row>
      </sheetData>
      <sheetData sheetId="13">
        <row r="11">
          <cell r="E11">
            <v>0</v>
          </cell>
        </row>
        <row r="12">
          <cell r="E12">
            <v>0</v>
          </cell>
        </row>
        <row r="13">
          <cell r="E13">
            <v>22450</v>
          </cell>
        </row>
        <row r="14">
          <cell r="E14">
            <v>0</v>
          </cell>
        </row>
      </sheetData>
      <sheetData sheetId="14">
        <row r="11">
          <cell r="E11">
            <v>0</v>
          </cell>
        </row>
        <row r="12">
          <cell r="E12">
            <v>108088.28</v>
          </cell>
        </row>
        <row r="13">
          <cell r="E13">
            <v>27560</v>
          </cell>
        </row>
        <row r="14">
          <cell r="E14">
            <v>58500</v>
          </cell>
        </row>
      </sheetData>
      <sheetData sheetId="15">
        <row r="11">
          <cell r="E11">
            <v>672060.88</v>
          </cell>
        </row>
      </sheetData>
      <sheetData sheetId="16">
        <row r="11">
          <cell r="E11">
            <v>3240</v>
          </cell>
        </row>
        <row r="12">
          <cell r="E12">
            <v>11000</v>
          </cell>
        </row>
        <row r="13">
          <cell r="E13">
            <v>19320</v>
          </cell>
        </row>
        <row r="14">
          <cell r="E14">
            <v>21999.98</v>
          </cell>
        </row>
        <row r="15">
          <cell r="E15">
            <v>110046</v>
          </cell>
        </row>
        <row r="17">
          <cell r="E17">
            <v>0</v>
          </cell>
        </row>
        <row r="18">
          <cell r="E18">
            <v>0</v>
          </cell>
        </row>
      </sheetData>
      <sheetData sheetId="17">
        <row r="11">
          <cell r="E11">
            <v>1355</v>
          </cell>
        </row>
        <row r="12">
          <cell r="E12">
            <v>40838</v>
          </cell>
        </row>
        <row r="13">
          <cell r="E13">
            <v>332432</v>
          </cell>
        </row>
        <row r="14">
          <cell r="E14">
            <v>0</v>
          </cell>
        </row>
        <row r="15">
          <cell r="E15">
            <v>65587.77</v>
          </cell>
        </row>
      </sheetData>
      <sheetData sheetId="18">
        <row r="11">
          <cell r="E11">
            <v>54699.199999999997</v>
          </cell>
        </row>
      </sheetData>
      <sheetData sheetId="19">
        <row r="11">
          <cell r="E11">
            <v>3135</v>
          </cell>
        </row>
        <row r="12">
          <cell r="E12">
            <v>5600</v>
          </cell>
        </row>
        <row r="13">
          <cell r="E13">
            <v>21039</v>
          </cell>
        </row>
        <row r="14">
          <cell r="E14">
            <v>19710</v>
          </cell>
        </row>
        <row r="15">
          <cell r="E15">
            <v>0</v>
          </cell>
        </row>
      </sheetData>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o"/>
      <sheetName val="plantilla  "/>
      <sheetName val="comparative"/>
    </sheetNames>
    <sheetDataSet>
      <sheetData sheetId="0">
        <row r="15">
          <cell r="G15">
            <v>1608840</v>
          </cell>
        </row>
        <row r="67">
          <cell r="G67">
            <v>110000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30.bin"/><Relationship Id="rId4" Type="http://schemas.openxmlformats.org/officeDocument/2006/relationships/comments" Target="../comments3.xml"/></Relationships>
</file>

<file path=xl/worksheets/_rels/sheet13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5.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D47:AE101"/>
  <sheetViews>
    <sheetView topLeftCell="A20" zoomScale="25" zoomScaleNormal="25" workbookViewId="0">
      <selection activeCell="AB85" sqref="AB85"/>
    </sheetView>
  </sheetViews>
  <sheetFormatPr defaultRowHeight="15"/>
  <sheetData>
    <row r="47" spans="30:30">
      <c r="AD47" s="4600"/>
    </row>
    <row r="48" spans="30:30">
      <c r="AD48" s="4600"/>
    </row>
    <row r="49" spans="30:31">
      <c r="AD49" s="4600"/>
    </row>
    <row r="50" spans="30:31">
      <c r="AD50" s="4600"/>
    </row>
    <row r="52" spans="30:31">
      <c r="AD52" s="4602"/>
    </row>
    <row r="53" spans="30:31">
      <c r="AD53" s="4600"/>
    </row>
    <row r="54" spans="30:31">
      <c r="AD54" s="4600"/>
    </row>
    <row r="55" spans="30:31">
      <c r="AD55" s="4600"/>
    </row>
    <row r="56" spans="30:31">
      <c r="AD56" s="4600"/>
    </row>
    <row r="57" spans="30:31">
      <c r="AD57" s="4600"/>
    </row>
    <row r="58" spans="30:31">
      <c r="AD58" s="4600"/>
    </row>
    <row r="59" spans="30:31">
      <c r="AD59" s="4600"/>
    </row>
    <row r="60" spans="30:31">
      <c r="AD60" s="4600"/>
      <c r="AE60" t="s">
        <v>3347</v>
      </c>
    </row>
    <row r="61" spans="30:31">
      <c r="AD61" s="4600"/>
    </row>
    <row r="62" spans="30:31">
      <c r="AD62" s="4600"/>
    </row>
    <row r="63" spans="30:31">
      <c r="AD63" s="4600"/>
    </row>
    <row r="64" spans="30:31">
      <c r="AD64" s="4600"/>
    </row>
    <row r="65" spans="30:30">
      <c r="AD65" s="4600"/>
    </row>
    <row r="66" spans="30:30">
      <c r="AD66" s="4600"/>
    </row>
    <row r="67" spans="30:30">
      <c r="AD67" s="4600"/>
    </row>
    <row r="68" spans="30:30">
      <c r="AD68" s="4601"/>
    </row>
    <row r="70" spans="30:30">
      <c r="AD70" s="4603"/>
    </row>
    <row r="71" spans="30:30">
      <c r="AD71" s="4603"/>
    </row>
    <row r="72" spans="30:30">
      <c r="AD72" s="4603"/>
    </row>
    <row r="73" spans="30:30">
      <c r="AD73" s="4603"/>
    </row>
    <row r="74" spans="30:30">
      <c r="AD74" s="4603"/>
    </row>
    <row r="75" spans="30:30">
      <c r="AD75" s="4603"/>
    </row>
    <row r="76" spans="30:30">
      <c r="AD76" s="4600"/>
    </row>
    <row r="77" spans="30:30">
      <c r="AD77" s="4600"/>
    </row>
    <row r="79" spans="30:30">
      <c r="AD79" s="3009"/>
    </row>
    <row r="80" spans="30:30">
      <c r="AD80" s="3009"/>
    </row>
    <row r="81" spans="30:30">
      <c r="AD81" s="3009"/>
    </row>
    <row r="82" spans="30:30">
      <c r="AD82" s="3009"/>
    </row>
    <row r="83" spans="30:30">
      <c r="AD83" s="3009"/>
    </row>
    <row r="84" spans="30:30">
      <c r="AD84" s="3009"/>
    </row>
    <row r="85" spans="30:30">
      <c r="AD85" s="3009"/>
    </row>
    <row r="86" spans="30:30">
      <c r="AD86" s="3009"/>
    </row>
    <row r="87" spans="30:30">
      <c r="AD87" s="3009"/>
    </row>
    <row r="88" spans="30:30">
      <c r="AD88" s="3009"/>
    </row>
    <row r="89" spans="30:30">
      <c r="AD89" s="3009"/>
    </row>
    <row r="90" spans="30:30">
      <c r="AD90" s="3009"/>
    </row>
    <row r="91" spans="30:30">
      <c r="AD91" s="3009"/>
    </row>
    <row r="92" spans="30:30">
      <c r="AD92" s="3009"/>
    </row>
    <row r="93" spans="30:30">
      <c r="AD93" s="3009"/>
    </row>
    <row r="94" spans="30:30">
      <c r="AD94" s="3009"/>
    </row>
    <row r="95" spans="30:30">
      <c r="AD95" s="3009"/>
    </row>
    <row r="96" spans="30:30">
      <c r="AD96" s="4600"/>
    </row>
    <row r="97" spans="30:30">
      <c r="AD97" s="4600"/>
    </row>
    <row r="98" spans="30:30">
      <c r="AD98" s="4600"/>
    </row>
    <row r="99" spans="30:30">
      <c r="AD99" s="4600"/>
    </row>
    <row r="100" spans="30:30">
      <c r="AD100" s="4600"/>
    </row>
    <row r="101" spans="30:30">
      <c r="AD101" s="4600"/>
    </row>
  </sheetData>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77"/>
  <sheetViews>
    <sheetView showGridLines="0" showOutlineSymbols="0" workbookViewId="0">
      <selection activeCell="G13" sqref="G13"/>
    </sheetView>
  </sheetViews>
  <sheetFormatPr defaultColWidth="14.42578125" defaultRowHeight="12.75" outlineLevelRow="2" outlineLevelCol="2"/>
  <cols>
    <col min="1" max="1" width="14.42578125" style="134" customWidth="1"/>
    <col min="2" max="2" width="17" style="134" customWidth="1"/>
    <col min="3" max="3" width="11.85546875" style="134" customWidth="1"/>
    <col min="4" max="8" width="11.28515625" style="134" customWidth="1"/>
    <col min="9" max="16" width="14.42578125" style="134" hidden="1" customWidth="1"/>
    <col min="17" max="48" width="14.42578125" style="134" customWidth="1"/>
    <col min="49" max="53" width="14.42578125" style="134" customWidth="1" outlineLevel="1"/>
    <col min="54" max="59" width="14.42578125" style="134" customWidth="1" outlineLevel="2"/>
    <col min="60" max="62" width="14.42578125" style="134" customWidth="1" outlineLevel="1"/>
    <col min="63" max="82" width="14.42578125" style="134" customWidth="1"/>
    <col min="83" max="86" width="14.42578125" style="134" customWidth="1" outlineLevel="1"/>
    <col min="87" max="134" width="14.42578125" style="134" customWidth="1"/>
    <col min="135" max="140" width="14.42578125" style="134" customWidth="1" outlineLevel="1"/>
    <col min="141" max="146" width="14.42578125" style="134" customWidth="1" outlineLevel="2"/>
    <col min="147" max="149" width="14.42578125" style="134" customWidth="1" outlineLevel="1"/>
    <col min="150" max="150" width="14.42578125" style="134" customWidth="1"/>
    <col min="151" max="16384" width="14.42578125" style="134"/>
  </cols>
  <sheetData>
    <row r="1" spans="1:10" s="235" customFormat="1" ht="14.25" customHeight="1">
      <c r="A1" s="575" t="s">
        <v>473</v>
      </c>
      <c r="B1" s="134"/>
      <c r="C1" s="573"/>
      <c r="E1" s="270"/>
      <c r="H1" s="270"/>
      <c r="J1" s="572"/>
    </row>
    <row r="2" spans="1:10" s="235" customFormat="1" ht="14.25" customHeight="1">
      <c r="A2" s="574" t="s">
        <v>584</v>
      </c>
      <c r="B2" s="134"/>
      <c r="C2" s="573"/>
      <c r="E2" s="270"/>
      <c r="H2" s="270"/>
      <c r="J2" s="572"/>
    </row>
    <row r="3" spans="1:10" s="235" customFormat="1" ht="14.25" customHeight="1">
      <c r="A3" s="134"/>
      <c r="B3" s="134"/>
      <c r="C3" s="573"/>
      <c r="E3" s="270"/>
      <c r="G3" s="271"/>
      <c r="H3" s="270"/>
      <c r="J3" s="572"/>
    </row>
    <row r="4" spans="1:10" s="235" customFormat="1" ht="14.25" customHeight="1">
      <c r="A4" s="134"/>
      <c r="B4" s="134"/>
      <c r="C4" s="573"/>
      <c r="E4" s="270"/>
      <c r="G4" s="271"/>
      <c r="H4" s="270"/>
      <c r="J4" s="572"/>
    </row>
    <row r="5" spans="1:10" s="235" customFormat="1" ht="14.25" customHeight="1">
      <c r="A5" s="4648" t="s">
        <v>471</v>
      </c>
      <c r="B5" s="4648"/>
      <c r="C5" s="4648"/>
      <c r="D5" s="4648"/>
      <c r="E5" s="4648"/>
      <c r="F5" s="4648"/>
      <c r="G5" s="4648"/>
      <c r="H5" s="4648"/>
      <c r="J5" s="572"/>
    </row>
    <row r="6" spans="1:10" s="235" customFormat="1" ht="14.25" customHeight="1">
      <c r="A6" s="4623" t="s">
        <v>583</v>
      </c>
      <c r="B6" s="4631"/>
      <c r="C6" s="4631"/>
      <c r="D6" s="4631"/>
      <c r="E6" s="4631"/>
      <c r="F6" s="4631"/>
      <c r="G6" s="4631"/>
      <c r="H6" s="4631"/>
      <c r="J6" s="572"/>
    </row>
    <row r="7" spans="1:10" ht="14.25" customHeight="1">
      <c r="A7" s="140"/>
      <c r="B7" s="140"/>
      <c r="C7" s="140"/>
      <c r="D7" s="140"/>
      <c r="E7" s="140"/>
      <c r="F7" s="140"/>
      <c r="G7" s="140"/>
      <c r="H7" s="140"/>
    </row>
    <row r="8" spans="1:10" ht="14.25" customHeight="1">
      <c r="A8" s="399" t="s">
        <v>706</v>
      </c>
    </row>
    <row r="9" spans="1:10" ht="14.25" customHeight="1">
      <c r="A9" s="267"/>
      <c r="B9" s="266"/>
    </row>
    <row r="10" spans="1:10" ht="14.25" customHeight="1">
      <c r="A10" s="4624" t="s">
        <v>468</v>
      </c>
      <c r="B10" s="4625"/>
      <c r="C10" s="570" t="s">
        <v>467</v>
      </c>
      <c r="D10" s="264" t="s">
        <v>466</v>
      </c>
      <c r="E10" s="4632" t="s">
        <v>465</v>
      </c>
      <c r="F10" s="4633"/>
      <c r="G10" s="4634"/>
      <c r="H10" s="265" t="s">
        <v>464</v>
      </c>
    </row>
    <row r="11" spans="1:10" ht="14.25" customHeight="1">
      <c r="A11" s="4626"/>
      <c r="B11" s="4627"/>
      <c r="C11" s="569" t="s">
        <v>463</v>
      </c>
      <c r="D11" s="261">
        <v>2020</v>
      </c>
      <c r="E11" s="597" t="s">
        <v>462</v>
      </c>
      <c r="F11" s="597" t="s">
        <v>461</v>
      </c>
      <c r="G11" s="262" t="s">
        <v>244</v>
      </c>
      <c r="H11" s="261">
        <v>2022</v>
      </c>
    </row>
    <row r="12" spans="1:10" ht="14.25" customHeight="1">
      <c r="A12" s="4628"/>
      <c r="B12" s="4629"/>
      <c r="C12" s="567"/>
      <c r="D12" s="258" t="s">
        <v>460</v>
      </c>
      <c r="E12" s="258" t="s">
        <v>460</v>
      </c>
      <c r="F12" s="258" t="s">
        <v>459</v>
      </c>
      <c r="G12" s="259"/>
      <c r="H12" s="258" t="s">
        <v>458</v>
      </c>
    </row>
    <row r="13" spans="1:10" ht="20.100000000000001" customHeight="1">
      <c r="A13" s="537" t="s">
        <v>456</v>
      </c>
      <c r="B13" s="536"/>
      <c r="C13" s="195"/>
      <c r="D13" s="158"/>
      <c r="E13" s="158"/>
      <c r="F13" s="158"/>
      <c r="G13" s="157"/>
      <c r="H13" s="157"/>
      <c r="I13" s="148"/>
    </row>
    <row r="14" spans="1:10" ht="20.100000000000001" customHeight="1" outlineLevel="1">
      <c r="A14" s="565" t="s">
        <v>407</v>
      </c>
      <c r="B14" s="596"/>
      <c r="C14" s="563"/>
      <c r="D14" s="561">
        <f>SUM(D15:D34)</f>
        <v>1596080.81</v>
      </c>
      <c r="E14" s="561">
        <f>SUM(E15:E34)</f>
        <v>946610.81</v>
      </c>
      <c r="F14" s="561">
        <f>SUM(F15:F34)</f>
        <v>756389.19</v>
      </c>
      <c r="G14" s="561">
        <f>SUM(G15:G34)</f>
        <v>1703000</v>
      </c>
      <c r="H14" s="561">
        <f>SUM(H15:H34)</f>
        <v>1710000</v>
      </c>
    </row>
    <row r="15" spans="1:10" s="155" customFormat="1" ht="19.149999999999999" customHeight="1" outlineLevel="1">
      <c r="A15" s="595" t="s">
        <v>678</v>
      </c>
      <c r="B15" s="162"/>
      <c r="C15" s="594" t="s">
        <v>677</v>
      </c>
      <c r="D15" s="558"/>
      <c r="E15" s="158"/>
      <c r="F15" s="158"/>
      <c r="G15" s="158"/>
      <c r="H15" s="157"/>
      <c r="I15" s="156"/>
    </row>
    <row r="16" spans="1:10" s="155" customFormat="1" ht="19.149999999999999" customHeight="1" outlineLevel="1">
      <c r="A16" s="588" t="s">
        <v>646</v>
      </c>
      <c r="B16" s="162"/>
      <c r="C16" s="548"/>
      <c r="D16" s="160">
        <v>75009.5</v>
      </c>
      <c r="E16" s="158">
        <v>46410</v>
      </c>
      <c r="F16" s="158">
        <f>SUM(G16-E16)</f>
        <v>93590</v>
      </c>
      <c r="G16" s="593">
        <v>140000</v>
      </c>
      <c r="H16" s="593">
        <v>150000</v>
      </c>
      <c r="I16" s="156"/>
    </row>
    <row r="17" spans="1:17" s="155" customFormat="1" ht="19.149999999999999" customHeight="1" outlineLevel="1">
      <c r="A17" s="588" t="s">
        <v>705</v>
      </c>
      <c r="B17" s="162"/>
      <c r="C17" s="548"/>
      <c r="D17" s="160">
        <v>0</v>
      </c>
      <c r="E17" s="158">
        <v>0</v>
      </c>
      <c r="F17" s="158">
        <f>SUM(G17-E17)</f>
        <v>20000</v>
      </c>
      <c r="G17" s="593">
        <v>20000</v>
      </c>
      <c r="H17" s="593">
        <v>2000</v>
      </c>
      <c r="I17" s="156"/>
    </row>
    <row r="18" spans="1:17" s="155" customFormat="1" ht="19.149999999999999" customHeight="1" outlineLevel="1">
      <c r="A18" s="588" t="s">
        <v>704</v>
      </c>
      <c r="B18" s="587"/>
      <c r="C18" s="160"/>
      <c r="D18" s="158">
        <v>4051.5</v>
      </c>
      <c r="E18" s="158">
        <v>0</v>
      </c>
      <c r="F18" s="158">
        <f>SUM(G18-E18)</f>
        <v>55500</v>
      </c>
      <c r="G18" s="593">
        <v>55500</v>
      </c>
      <c r="H18" s="593">
        <v>5000</v>
      </c>
      <c r="I18" s="156"/>
    </row>
    <row r="19" spans="1:17" s="155" customFormat="1" ht="19.149999999999999" customHeight="1" outlineLevel="1">
      <c r="A19" s="588" t="s">
        <v>402</v>
      </c>
      <c r="B19" s="162"/>
      <c r="C19" s="548"/>
      <c r="D19" s="160">
        <v>59164.709999999992</v>
      </c>
      <c r="E19" s="158">
        <v>53237.95</v>
      </c>
      <c r="F19" s="158">
        <f>SUM(G19-E19)</f>
        <v>6762.0500000000029</v>
      </c>
      <c r="G19" s="593">
        <v>60000</v>
      </c>
      <c r="H19" s="593">
        <v>60000</v>
      </c>
      <c r="I19" s="156"/>
    </row>
    <row r="20" spans="1:17" s="155" customFormat="1" ht="19.149999999999999" customHeight="1" outlineLevel="1">
      <c r="A20" s="588" t="s">
        <v>572</v>
      </c>
      <c r="B20" s="162"/>
      <c r="C20" s="548"/>
      <c r="D20" s="160"/>
      <c r="E20" s="158"/>
      <c r="F20" s="158"/>
      <c r="G20" s="586"/>
      <c r="H20" s="586"/>
      <c r="I20" s="156"/>
    </row>
    <row r="21" spans="1:17" s="155" customFormat="1" ht="19.149999999999999" customHeight="1" outlineLevel="1">
      <c r="A21" s="4653" t="s">
        <v>703</v>
      </c>
      <c r="B21" s="4654"/>
      <c r="C21" s="548"/>
      <c r="D21" s="160">
        <v>9645</v>
      </c>
      <c r="E21" s="158">
        <v>22254.400000000001</v>
      </c>
      <c r="F21" s="158">
        <f t="shared" ref="F21:F29" si="0">SUM(G21-E21)</f>
        <v>7745.5999999999985</v>
      </c>
      <c r="G21" s="586">
        <v>30000</v>
      </c>
      <c r="H21" s="586">
        <v>30000</v>
      </c>
      <c r="I21" s="156"/>
    </row>
    <row r="22" spans="1:17" s="155" customFormat="1" ht="19.149999999999999" customHeight="1" outlineLevel="1">
      <c r="A22" s="588" t="s">
        <v>702</v>
      </c>
      <c r="B22" s="162"/>
      <c r="C22" s="548"/>
      <c r="D22" s="160">
        <v>300000</v>
      </c>
      <c r="E22" s="158">
        <v>150000</v>
      </c>
      <c r="F22" s="158">
        <f t="shared" si="0"/>
        <v>150000</v>
      </c>
      <c r="G22" s="586">
        <v>300000</v>
      </c>
      <c r="H22" s="586">
        <v>300000</v>
      </c>
      <c r="I22" s="156"/>
    </row>
    <row r="23" spans="1:17" s="155" customFormat="1" ht="19.149999999999999" customHeight="1" outlineLevel="1">
      <c r="A23" s="588" t="s">
        <v>674</v>
      </c>
      <c r="B23" s="590"/>
      <c r="C23" s="548"/>
      <c r="D23" s="160">
        <v>80275.19</v>
      </c>
      <c r="E23" s="158">
        <v>66164.11</v>
      </c>
      <c r="F23" s="158">
        <f t="shared" si="0"/>
        <v>43835.89</v>
      </c>
      <c r="G23" s="589">
        <v>110000</v>
      </c>
      <c r="H23" s="589">
        <v>110000</v>
      </c>
      <c r="I23" s="156"/>
    </row>
    <row r="24" spans="1:17" s="155" customFormat="1" ht="19.149999999999999" customHeight="1" outlineLevel="1">
      <c r="A24" s="588" t="s">
        <v>701</v>
      </c>
      <c r="B24" s="590"/>
      <c r="C24" s="548"/>
      <c r="D24" s="160">
        <v>22700</v>
      </c>
      <c r="E24" s="158">
        <v>27500</v>
      </c>
      <c r="F24" s="158">
        <f t="shared" si="0"/>
        <v>22500</v>
      </c>
      <c r="G24" s="586">
        <v>50000</v>
      </c>
      <c r="H24" s="586">
        <v>20000</v>
      </c>
      <c r="I24" s="156"/>
    </row>
    <row r="25" spans="1:17" s="155" customFormat="1" ht="19.149999999999999" customHeight="1" outlineLevel="1">
      <c r="A25" s="592" t="s">
        <v>673</v>
      </c>
      <c r="B25" s="590"/>
      <c r="C25" s="548"/>
      <c r="D25" s="160">
        <v>213766.95</v>
      </c>
      <c r="E25" s="158">
        <v>88559.75</v>
      </c>
      <c r="F25" s="158">
        <f t="shared" si="0"/>
        <v>21440.25</v>
      </c>
      <c r="G25" s="586">
        <v>110000</v>
      </c>
      <c r="H25" s="586">
        <v>140000</v>
      </c>
      <c r="I25" s="156"/>
    </row>
    <row r="26" spans="1:17" s="155" customFormat="1" ht="19.149999999999999" customHeight="1" outlineLevel="1">
      <c r="A26" s="592" t="s">
        <v>700</v>
      </c>
      <c r="B26" s="590"/>
      <c r="C26" s="548"/>
      <c r="D26" s="160">
        <v>4617</v>
      </c>
      <c r="E26" s="158">
        <v>4248.5200000000004</v>
      </c>
      <c r="F26" s="158">
        <f t="shared" si="0"/>
        <v>5751.48</v>
      </c>
      <c r="G26" s="586">
        <v>10000</v>
      </c>
      <c r="H26" s="586">
        <v>10000</v>
      </c>
      <c r="I26" s="156"/>
    </row>
    <row r="27" spans="1:17" s="155" customFormat="1" ht="19.149999999999999" customHeight="1" outlineLevel="1">
      <c r="A27" s="588" t="s">
        <v>699</v>
      </c>
      <c r="B27" s="590"/>
      <c r="C27" s="548"/>
      <c r="D27" s="160">
        <v>5944.68</v>
      </c>
      <c r="E27" s="158">
        <v>2642.08</v>
      </c>
      <c r="F27" s="158">
        <f t="shared" si="0"/>
        <v>5357.92</v>
      </c>
      <c r="G27" s="586">
        <v>8000</v>
      </c>
      <c r="H27" s="586">
        <v>8000</v>
      </c>
      <c r="I27" s="156"/>
    </row>
    <row r="28" spans="1:17" s="155" customFormat="1" ht="19.149999999999999" customHeight="1" outlineLevel="1">
      <c r="A28" s="588" t="s">
        <v>698</v>
      </c>
      <c r="B28" s="590"/>
      <c r="C28" s="548"/>
      <c r="D28" s="160">
        <v>19040.28</v>
      </c>
      <c r="E28" s="158">
        <v>6495</v>
      </c>
      <c r="F28" s="158">
        <f t="shared" si="0"/>
        <v>17505</v>
      </c>
      <c r="G28" s="586">
        <v>24000</v>
      </c>
      <c r="H28" s="586">
        <v>24000</v>
      </c>
      <c r="I28" s="156"/>
    </row>
    <row r="29" spans="1:17" s="155" customFormat="1" ht="19.149999999999999" customHeight="1" outlineLevel="1">
      <c r="A29" s="588" t="s">
        <v>697</v>
      </c>
      <c r="B29" s="590"/>
      <c r="C29" s="548"/>
      <c r="D29" s="160">
        <v>181500</v>
      </c>
      <c r="E29" s="158">
        <v>83100</v>
      </c>
      <c r="F29" s="158">
        <f t="shared" si="0"/>
        <v>101700</v>
      </c>
      <c r="G29" s="586">
        <v>184800</v>
      </c>
      <c r="H29" s="586">
        <v>184800</v>
      </c>
      <c r="J29" s="591" t="s">
        <v>696</v>
      </c>
      <c r="K29" s="585"/>
      <c r="L29" s="585"/>
      <c r="M29" s="585"/>
      <c r="N29" s="585"/>
      <c r="O29" s="585"/>
      <c r="P29" s="585"/>
      <c r="Q29" s="585"/>
    </row>
    <row r="30" spans="1:17" s="155" customFormat="1" ht="19.149999999999999" customHeight="1" outlineLevel="1">
      <c r="A30" s="588" t="s">
        <v>383</v>
      </c>
      <c r="B30" s="590"/>
      <c r="C30" s="548"/>
      <c r="D30" s="160"/>
      <c r="E30" s="158"/>
      <c r="F30" s="158"/>
      <c r="G30" s="586"/>
      <c r="H30" s="586"/>
      <c r="I30" s="156"/>
      <c r="J30" s="585"/>
      <c r="K30" s="585"/>
      <c r="L30" s="585"/>
      <c r="M30" s="585"/>
      <c r="N30" s="585"/>
      <c r="O30" s="585"/>
      <c r="P30" s="585"/>
      <c r="Q30" s="585"/>
    </row>
    <row r="31" spans="1:17" s="155" customFormat="1" ht="19.149999999999999" customHeight="1" outlineLevel="1">
      <c r="A31" s="4656" t="s">
        <v>695</v>
      </c>
      <c r="B31" s="4657"/>
      <c r="C31" s="548"/>
      <c r="D31" s="160">
        <v>9160</v>
      </c>
      <c r="E31" s="158">
        <v>25100</v>
      </c>
      <c r="F31" s="158">
        <f>SUM(G31-E31)</f>
        <v>6600</v>
      </c>
      <c r="G31" s="586">
        <v>31700</v>
      </c>
      <c r="H31" s="586">
        <v>18000</v>
      </c>
      <c r="I31" s="156"/>
      <c r="J31" s="585">
        <v>15</v>
      </c>
      <c r="K31" s="585">
        <v>2000</v>
      </c>
      <c r="L31" s="585"/>
      <c r="M31" s="585"/>
      <c r="N31" s="585"/>
      <c r="O31" s="585"/>
      <c r="P31" s="585"/>
      <c r="Q31" s="585"/>
    </row>
    <row r="32" spans="1:17" s="155" customFormat="1" ht="19.149999999999999" customHeight="1" outlineLevel="1">
      <c r="A32" s="588" t="s">
        <v>666</v>
      </c>
      <c r="B32" s="162"/>
      <c r="C32" s="548"/>
      <c r="D32" s="160"/>
      <c r="E32" s="158"/>
      <c r="F32" s="158"/>
      <c r="G32" s="589"/>
      <c r="H32" s="589"/>
      <c r="I32" s="156"/>
      <c r="J32" s="585">
        <v>1</v>
      </c>
      <c r="K32" s="585">
        <v>5000</v>
      </c>
      <c r="L32" s="585"/>
      <c r="M32" s="585"/>
      <c r="N32" s="585"/>
      <c r="O32" s="585"/>
      <c r="P32" s="585"/>
      <c r="Q32" s="585"/>
    </row>
    <row r="33" spans="1:17" s="155" customFormat="1" ht="19.149999999999999" customHeight="1" outlineLevel="1">
      <c r="A33" s="4658" t="s">
        <v>694</v>
      </c>
      <c r="B33" s="4659"/>
      <c r="C33" s="587"/>
      <c r="D33" s="160">
        <v>23206</v>
      </c>
      <c r="E33" s="158">
        <v>23899</v>
      </c>
      <c r="F33" s="158">
        <f>SUM(G33-E33)</f>
        <v>6101</v>
      </c>
      <c r="G33" s="589">
        <v>30000</v>
      </c>
      <c r="H33" s="589">
        <v>36200</v>
      </c>
      <c r="I33" s="156"/>
      <c r="J33" s="585"/>
      <c r="K33" s="585">
        <f>SUM(K31:K32)</f>
        <v>7000</v>
      </c>
      <c r="L33" s="585">
        <f>SUM(K33*12)</f>
        <v>84000</v>
      </c>
      <c r="M33" s="585"/>
      <c r="N33" s="585"/>
      <c r="O33" s="585"/>
      <c r="P33" s="585"/>
      <c r="Q33" s="585"/>
    </row>
    <row r="34" spans="1:17" s="155" customFormat="1" ht="19.149999999999999" customHeight="1" outlineLevel="1">
      <c r="A34" s="588" t="s">
        <v>693</v>
      </c>
      <c r="B34" s="162"/>
      <c r="C34" s="587"/>
      <c r="D34" s="160">
        <v>588000</v>
      </c>
      <c r="E34" s="158">
        <v>347000</v>
      </c>
      <c r="F34" s="158">
        <f>SUM(G34-E34)</f>
        <v>192000</v>
      </c>
      <c r="G34" s="586">
        <v>539000</v>
      </c>
      <c r="H34" s="586">
        <v>612000</v>
      </c>
      <c r="I34" s="156"/>
      <c r="J34" s="585">
        <v>24000</v>
      </c>
      <c r="K34" s="585"/>
      <c r="L34" s="585"/>
      <c r="M34" s="585"/>
      <c r="N34" s="585"/>
      <c r="O34" s="585"/>
      <c r="P34" s="585"/>
      <c r="Q34" s="585"/>
    </row>
    <row r="35" spans="1:17" ht="20.100000000000001" customHeight="1" outlineLevel="2" thickBot="1">
      <c r="A35" s="584" t="s">
        <v>366</v>
      </c>
      <c r="B35" s="583"/>
      <c r="C35" s="146"/>
      <c r="D35" s="456">
        <f>SUM(D16:D34)</f>
        <v>1596080.81</v>
      </c>
      <c r="E35" s="456">
        <f>SUM(E16:E34)</f>
        <v>946610.81</v>
      </c>
      <c r="F35" s="456">
        <f>SUM(F16:F34)</f>
        <v>756389.19</v>
      </c>
      <c r="G35" s="456">
        <f>SUM(G16:G34)</f>
        <v>1703000</v>
      </c>
      <c r="H35" s="455">
        <f>SUM(H16:H34)</f>
        <v>1710000</v>
      </c>
      <c r="I35" s="580" t="s">
        <v>692</v>
      </c>
      <c r="J35" s="579"/>
      <c r="K35" s="579"/>
      <c r="L35" s="579"/>
      <c r="M35" s="579"/>
      <c r="N35" s="579"/>
      <c r="O35" s="579"/>
      <c r="P35" s="579"/>
      <c r="Q35" s="579"/>
    </row>
    <row r="36" spans="1:17" ht="20.100000000000001" customHeight="1" outlineLevel="2" thickTop="1">
      <c r="A36" s="582"/>
      <c r="B36" s="582"/>
      <c r="C36" s="198"/>
      <c r="D36" s="582"/>
      <c r="E36" s="582"/>
      <c r="F36" s="582"/>
      <c r="G36" s="582"/>
      <c r="H36" s="581"/>
      <c r="I36" s="580" t="s">
        <v>691</v>
      </c>
      <c r="J36" s="579"/>
      <c r="K36" s="579"/>
      <c r="L36" s="579"/>
      <c r="M36" s="579"/>
      <c r="N36" s="579"/>
      <c r="O36" s="579"/>
      <c r="P36" s="579"/>
      <c r="Q36" s="579"/>
    </row>
    <row r="37" spans="1:17" ht="15.95" customHeight="1">
      <c r="A37" s="134" t="s">
        <v>690</v>
      </c>
      <c r="C37" s="141" t="s">
        <v>363</v>
      </c>
      <c r="F37" s="544" t="s">
        <v>661</v>
      </c>
    </row>
    <row r="38" spans="1:17" ht="15.95" customHeight="1">
      <c r="A38" s="542"/>
      <c r="C38" s="141"/>
    </row>
    <row r="39" spans="1:17" ht="26.45" customHeight="1">
      <c r="A39" s="578" t="s">
        <v>689</v>
      </c>
      <c r="B39" s="578"/>
      <c r="C39" s="4635" t="s">
        <v>360</v>
      </c>
      <c r="D39" s="4635"/>
      <c r="F39" s="4630" t="s">
        <v>359</v>
      </c>
      <c r="G39" s="4630"/>
      <c r="H39" s="541"/>
    </row>
    <row r="40" spans="1:17" s="135" customFormat="1" ht="13.5">
      <c r="A40" s="577" t="s">
        <v>688</v>
      </c>
      <c r="B40" s="576"/>
      <c r="C40" s="4655" t="s">
        <v>357</v>
      </c>
      <c r="D40" s="4655"/>
      <c r="F40" s="4623" t="s">
        <v>356</v>
      </c>
      <c r="G40" s="4623"/>
      <c r="H40" s="540"/>
      <c r="I40" s="136"/>
    </row>
    <row r="41" spans="1:17" s="135" customFormat="1" ht="13.5">
      <c r="B41" s="136"/>
      <c r="C41" s="4655"/>
      <c r="D41" s="4655"/>
      <c r="E41" s="137"/>
      <c r="F41" s="137"/>
      <c r="G41" s="137"/>
      <c r="H41" s="137"/>
      <c r="I41" s="136"/>
    </row>
    <row r="42" spans="1:17" s="135" customFormat="1">
      <c r="B42" s="136"/>
      <c r="D42" s="137"/>
      <c r="E42" s="137"/>
      <c r="F42" s="137"/>
      <c r="G42" s="137"/>
      <c r="H42" s="137"/>
      <c r="I42" s="136"/>
    </row>
    <row r="43" spans="1:17" s="135" customFormat="1">
      <c r="D43" s="137"/>
      <c r="E43" s="137"/>
      <c r="F43" s="137"/>
      <c r="G43" s="137"/>
      <c r="H43" s="137"/>
      <c r="I43" s="136"/>
    </row>
    <row r="44" spans="1:17" s="135" customFormat="1">
      <c r="B44" s="136"/>
      <c r="D44" s="137"/>
      <c r="E44" s="137"/>
      <c r="F44" s="137"/>
      <c r="G44" s="137"/>
      <c r="H44" s="137"/>
      <c r="I44" s="136"/>
    </row>
    <row r="45" spans="1:17" s="135" customFormat="1">
      <c r="B45" s="136"/>
      <c r="D45" s="137"/>
      <c r="E45" s="137"/>
      <c r="F45" s="137"/>
      <c r="G45" s="137"/>
      <c r="H45" s="137"/>
      <c r="I45" s="136"/>
    </row>
    <row r="46" spans="1:17" s="135" customFormat="1">
      <c r="B46" s="136"/>
      <c r="D46" s="137"/>
      <c r="E46" s="137"/>
      <c r="F46" s="137"/>
      <c r="G46" s="137"/>
      <c r="H46" s="137"/>
      <c r="I46" s="136"/>
    </row>
    <row r="47" spans="1:17" s="135" customFormat="1">
      <c r="B47" s="136"/>
      <c r="D47" s="137"/>
      <c r="E47" s="137"/>
      <c r="F47" s="137"/>
      <c r="G47" s="137"/>
      <c r="H47" s="137"/>
      <c r="I47" s="136"/>
    </row>
    <row r="48" spans="1:17" s="135" customFormat="1">
      <c r="B48" s="136"/>
      <c r="D48" s="137"/>
      <c r="E48" s="137"/>
      <c r="F48" s="137"/>
      <c r="G48" s="137"/>
      <c r="H48" s="137"/>
      <c r="I48" s="136"/>
    </row>
    <row r="49" spans="2:9" s="135" customFormat="1">
      <c r="B49" s="136"/>
      <c r="D49" s="137"/>
      <c r="E49" s="137"/>
      <c r="F49" s="137"/>
      <c r="G49" s="137"/>
      <c r="H49" s="137"/>
      <c r="I49" s="136"/>
    </row>
    <row r="50" spans="2:9" s="135" customFormat="1">
      <c r="B50" s="136"/>
      <c r="D50" s="137"/>
      <c r="E50" s="137"/>
      <c r="F50" s="137"/>
      <c r="G50" s="137"/>
      <c r="H50" s="137"/>
      <c r="I50" s="136"/>
    </row>
    <row r="51" spans="2:9" s="135" customFormat="1">
      <c r="B51" s="136"/>
      <c r="D51" s="137"/>
      <c r="E51" s="137"/>
      <c r="F51" s="137"/>
      <c r="G51" s="137"/>
      <c r="H51" s="137"/>
      <c r="I51" s="136"/>
    </row>
    <row r="52" spans="2:9" s="135" customFormat="1">
      <c r="B52" s="136"/>
      <c r="D52" s="137"/>
      <c r="E52" s="137"/>
      <c r="F52" s="137"/>
      <c r="G52" s="137"/>
      <c r="H52" s="137"/>
      <c r="I52" s="136"/>
    </row>
    <row r="70" spans="2:2">
      <c r="B70" s="134" t="s">
        <v>687</v>
      </c>
    </row>
    <row r="71" spans="2:2">
      <c r="B71" s="134" t="s">
        <v>686</v>
      </c>
    </row>
    <row r="72" spans="2:2">
      <c r="B72" s="134" t="s">
        <v>685</v>
      </c>
    </row>
    <row r="73" spans="2:2">
      <c r="B73" s="134" t="s">
        <v>684</v>
      </c>
    </row>
    <row r="74" spans="2:2">
      <c r="B74" s="134" t="s">
        <v>683</v>
      </c>
    </row>
    <row r="75" spans="2:2">
      <c r="B75" s="134" t="s">
        <v>682</v>
      </c>
    </row>
    <row r="76" spans="2:2">
      <c r="B76" s="134" t="s">
        <v>681</v>
      </c>
    </row>
    <row r="77" spans="2:2">
      <c r="B77" s="134" t="s">
        <v>680</v>
      </c>
    </row>
  </sheetData>
  <mergeCells count="12">
    <mergeCell ref="A21:B21"/>
    <mergeCell ref="F39:G39"/>
    <mergeCell ref="C41:D41"/>
    <mergeCell ref="A5:H5"/>
    <mergeCell ref="A6:H6"/>
    <mergeCell ref="E10:G10"/>
    <mergeCell ref="C39:D39"/>
    <mergeCell ref="C40:D40"/>
    <mergeCell ref="F40:G40"/>
    <mergeCell ref="A10:B12"/>
    <mergeCell ref="A31:B31"/>
    <mergeCell ref="A33:B33"/>
  </mergeCells>
  <pageMargins left="0.5" right="0" top="0.25" bottom="0" header="0.5" footer="0"/>
  <pageSetup paperSize="5" orientation="portrait"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3"/>
  <sheetViews>
    <sheetView workbookViewId="0">
      <selection activeCell="A2" sqref="A2:J2"/>
    </sheetView>
  </sheetViews>
  <sheetFormatPr defaultRowHeight="12.75"/>
  <cols>
    <col min="1" max="1" width="1.28515625" style="2838" customWidth="1"/>
    <col min="2" max="2" width="45.42578125" style="2838" customWidth="1"/>
    <col min="3" max="3" width="11.7109375" style="2838" customWidth="1"/>
    <col min="4" max="5" width="11.5703125" style="2838" customWidth="1"/>
    <col min="6" max="6" width="8.42578125" style="2838" customWidth="1"/>
    <col min="7" max="7" width="9.5703125" style="2839" customWidth="1"/>
    <col min="8" max="8" width="11.7109375" style="2838" customWidth="1"/>
    <col min="9" max="10" width="12" style="2838" customWidth="1"/>
    <col min="11" max="11" width="10.85546875" style="2838" customWidth="1"/>
    <col min="12"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889"/>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c r="D8" s="4913" t="s">
        <v>2182</v>
      </c>
      <c r="E8" s="2887"/>
      <c r="F8" s="2887"/>
      <c r="G8" s="2886"/>
      <c r="H8" s="4916" t="s">
        <v>244</v>
      </c>
      <c r="I8" s="2883" t="s">
        <v>2186</v>
      </c>
      <c r="J8" s="4904"/>
      <c r="K8" s="4904"/>
    </row>
    <row r="9" spans="1:11">
      <c r="D9" s="4914"/>
      <c r="E9" s="2885" t="s">
        <v>2185</v>
      </c>
      <c r="F9" s="2885" t="s">
        <v>2196</v>
      </c>
      <c r="G9" s="2884" t="s">
        <v>2183</v>
      </c>
      <c r="H9" s="4917"/>
      <c r="I9" s="2883" t="s">
        <v>2182</v>
      </c>
      <c r="J9" s="4904"/>
      <c r="K9" s="4904"/>
    </row>
    <row r="10" spans="1:11">
      <c r="B10" s="2879" t="s">
        <v>2179</v>
      </c>
      <c r="D10" s="4915"/>
      <c r="E10" s="2882"/>
      <c r="F10" s="2882"/>
      <c r="G10" s="2881" t="s">
        <v>2181</v>
      </c>
      <c r="H10" s="4918"/>
      <c r="I10" s="2880" t="s">
        <v>2180</v>
      </c>
      <c r="J10" s="4905"/>
      <c r="K10" s="4905"/>
    </row>
    <row r="11" spans="1:11">
      <c r="A11" s="2879"/>
      <c r="B11" s="2879" t="s">
        <v>2209</v>
      </c>
      <c r="D11" s="2876"/>
      <c r="E11" s="2878"/>
      <c r="F11" s="2878"/>
      <c r="G11" s="2877"/>
      <c r="H11" s="2876"/>
      <c r="I11" s="2876"/>
      <c r="J11" s="2876"/>
      <c r="K11" s="2876"/>
    </row>
    <row r="12" spans="1:11" s="2868" customFormat="1">
      <c r="A12" s="2874"/>
      <c r="B12" s="2874" t="s">
        <v>877</v>
      </c>
      <c r="C12" s="2875" t="s">
        <v>396</v>
      </c>
      <c r="D12" s="2869">
        <v>320000</v>
      </c>
      <c r="E12" s="2869">
        <v>100000</v>
      </c>
      <c r="F12" s="2869">
        <v>0</v>
      </c>
      <c r="G12" s="2871">
        <v>0</v>
      </c>
      <c r="H12" s="2870">
        <f>D12+E12+F12</f>
        <v>420000</v>
      </c>
      <c r="I12" s="2869">
        <v>320000</v>
      </c>
      <c r="J12" s="2869">
        <f>H12-I12</f>
        <v>100000</v>
      </c>
      <c r="K12" s="2869"/>
    </row>
    <row r="13" spans="1:11" s="2868" customFormat="1">
      <c r="A13" s="2874"/>
      <c r="B13" s="2874" t="s">
        <v>389</v>
      </c>
      <c r="C13" s="2875" t="s">
        <v>388</v>
      </c>
      <c r="D13" s="2869">
        <v>2773770</v>
      </c>
      <c r="E13" s="2869">
        <v>0</v>
      </c>
      <c r="F13" s="2869">
        <v>0</v>
      </c>
      <c r="G13" s="2871">
        <v>0</v>
      </c>
      <c r="H13" s="2870">
        <f>D13+E13+F13</f>
        <v>2773770</v>
      </c>
      <c r="I13" s="2869">
        <f>H13</f>
        <v>2773770</v>
      </c>
      <c r="J13" s="2869">
        <f>H13-I13</f>
        <v>0</v>
      </c>
      <c r="K13" s="2869"/>
    </row>
    <row r="14" spans="1:11" s="2868" customFormat="1">
      <c r="A14" s="2874"/>
      <c r="B14" s="2874" t="s">
        <v>2208</v>
      </c>
      <c r="C14" s="2875" t="s">
        <v>2207</v>
      </c>
      <c r="D14" s="2869">
        <v>59000</v>
      </c>
      <c r="E14" s="2869">
        <v>50000</v>
      </c>
      <c r="F14" s="2869">
        <v>0</v>
      </c>
      <c r="G14" s="2871">
        <v>0</v>
      </c>
      <c r="H14" s="2870">
        <f>D14+E14+F14</f>
        <v>109000</v>
      </c>
      <c r="I14" s="2869">
        <v>59000</v>
      </c>
      <c r="J14" s="2869">
        <f>H14-I14</f>
        <v>50000</v>
      </c>
      <c r="K14" s="2869"/>
    </row>
    <row r="15" spans="1:11" s="2868" customFormat="1">
      <c r="A15" s="2874"/>
      <c r="B15" s="2873" t="s">
        <v>368</v>
      </c>
      <c r="C15" s="2875" t="s">
        <v>367</v>
      </c>
      <c r="D15" s="2869">
        <v>47230</v>
      </c>
      <c r="E15" s="2869">
        <v>100000</v>
      </c>
      <c r="F15" s="2869">
        <v>0</v>
      </c>
      <c r="G15" s="2871">
        <v>0</v>
      </c>
      <c r="H15" s="2870">
        <f>D15+E15+F15</f>
        <v>147230</v>
      </c>
      <c r="I15" s="2869">
        <f>D15</f>
        <v>47230</v>
      </c>
      <c r="J15" s="2869">
        <f>H15-I15</f>
        <v>100000</v>
      </c>
      <c r="K15" s="2869"/>
    </row>
    <row r="16" spans="1:11" s="2858" customFormat="1">
      <c r="A16" s="2864"/>
      <c r="B16" s="2863" t="s">
        <v>244</v>
      </c>
      <c r="C16" s="2862"/>
      <c r="D16" s="2865">
        <f t="shared" ref="D16:J16" si="0">SUM(D12:D15)</f>
        <v>3200000</v>
      </c>
      <c r="E16" s="2866">
        <f t="shared" si="0"/>
        <v>250000</v>
      </c>
      <c r="F16" s="2866">
        <f t="shared" si="0"/>
        <v>0</v>
      </c>
      <c r="G16" s="2867">
        <f t="shared" si="0"/>
        <v>0</v>
      </c>
      <c r="H16" s="2866">
        <f t="shared" si="0"/>
        <v>3450000</v>
      </c>
      <c r="I16" s="2865">
        <f t="shared" si="0"/>
        <v>3200000</v>
      </c>
      <c r="J16" s="2865">
        <f t="shared" si="0"/>
        <v>250000</v>
      </c>
      <c r="K16" s="2865"/>
    </row>
    <row r="17" spans="1:10" s="2858" customFormat="1">
      <c r="A17" s="2864"/>
      <c r="B17" s="2863"/>
      <c r="C17" s="2862"/>
      <c r="D17" s="2859"/>
      <c r="E17" s="2860"/>
      <c r="F17" s="2860"/>
      <c r="G17" s="2861"/>
      <c r="H17" s="2860"/>
      <c r="I17" s="2859"/>
      <c r="J17" s="2859"/>
    </row>
    <row r="18" spans="1:10" s="2851" customFormat="1">
      <c r="A18" s="2857"/>
      <c r="B18" s="2856"/>
      <c r="C18" s="2855"/>
      <c r="D18" s="2852"/>
      <c r="E18" s="2854"/>
      <c r="F18" s="2854"/>
      <c r="G18" s="2853"/>
      <c r="H18" s="2853"/>
      <c r="I18" s="2852"/>
      <c r="J18" s="2852"/>
    </row>
    <row r="19" spans="1:10" s="2846" customFormat="1">
      <c r="B19" s="2846" t="s">
        <v>715</v>
      </c>
      <c r="E19" s="2846" t="s">
        <v>2168</v>
      </c>
    </row>
    <row r="20" spans="1:10" s="2846" customFormat="1">
      <c r="C20" s="2850"/>
      <c r="G20" s="2849"/>
    </row>
    <row r="21" spans="1:10" s="2846" customFormat="1">
      <c r="C21" s="2850"/>
      <c r="G21" s="2849"/>
    </row>
    <row r="22" spans="1:10" s="2846" customFormat="1">
      <c r="B22" s="2848" t="s">
        <v>739</v>
      </c>
      <c r="C22" s="2848"/>
      <c r="D22" s="2848"/>
      <c r="E22" s="2848"/>
      <c r="F22" s="2848"/>
      <c r="G22" s="2848"/>
      <c r="H22" s="2848" t="s">
        <v>360</v>
      </c>
      <c r="I22" s="2848"/>
      <c r="J22" s="2848"/>
    </row>
    <row r="23" spans="1:10" s="2846" customFormat="1">
      <c r="B23" s="2847" t="s">
        <v>740</v>
      </c>
      <c r="C23" s="2847"/>
      <c r="D23" s="2847"/>
      <c r="E23" s="2847"/>
      <c r="F23" s="2847"/>
      <c r="G23" s="2847"/>
      <c r="H23" s="2847" t="s">
        <v>357</v>
      </c>
      <c r="I23" s="2847"/>
      <c r="J23" s="2847"/>
    </row>
    <row r="24" spans="1:10" s="2841" customFormat="1" ht="15">
      <c r="C24" s="2843"/>
      <c r="G24" s="2845"/>
      <c r="H24" s="2844"/>
      <c r="I24" s="2844"/>
    </row>
    <row r="25" spans="1:10" s="2841" customFormat="1" ht="8.25">
      <c r="C25" s="2843"/>
      <c r="G25" s="2842"/>
    </row>
    <row r="26" spans="1:10" s="2841" customFormat="1" ht="8.25">
      <c r="C26" s="2843"/>
      <c r="G26" s="2842"/>
    </row>
    <row r="27" spans="1:10" s="2841" customFormat="1" ht="8.25">
      <c r="C27" s="2843"/>
      <c r="G27" s="2842"/>
    </row>
    <row r="28" spans="1:10" s="2841" customFormat="1" ht="8.25">
      <c r="C28" s="2843"/>
      <c r="G28" s="2842"/>
    </row>
    <row r="29" spans="1:10">
      <c r="C29" s="2840"/>
    </row>
    <row r="30" spans="1:10">
      <c r="C30" s="2840"/>
    </row>
    <row r="31" spans="1:10">
      <c r="C31" s="2840"/>
    </row>
    <row r="32" spans="1:10">
      <c r="C32" s="2840"/>
    </row>
    <row r="33" spans="3:3">
      <c r="C33" s="2840"/>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verticalDpi="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3"/>
  <sheetViews>
    <sheetView workbookViewId="0">
      <selection activeCell="I16" sqref="I16"/>
    </sheetView>
  </sheetViews>
  <sheetFormatPr defaultRowHeight="15"/>
  <cols>
    <col min="1" max="1" width="1.28515625" style="2838" customWidth="1"/>
    <col min="2" max="2" width="45.85546875" style="2838" customWidth="1"/>
    <col min="3" max="3" width="15.5703125" style="2838" customWidth="1"/>
    <col min="4" max="4" width="11.5703125" style="2891" customWidth="1"/>
    <col min="5" max="5" width="11.5703125" style="2838" customWidth="1"/>
    <col min="6" max="6" width="8.5703125" style="2838" customWidth="1"/>
    <col min="7" max="7" width="9.5703125" style="2839" customWidth="1"/>
    <col min="8" max="8" width="11.7109375" style="2838" customWidth="1"/>
    <col min="9" max="10" width="12" style="2838" customWidth="1"/>
    <col min="11" max="11" width="10.42578125" style="2838" customWidth="1"/>
    <col min="12"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903"/>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ht="12.75">
      <c r="D8" s="4919" t="s">
        <v>2182</v>
      </c>
      <c r="E8" s="2887"/>
      <c r="F8" s="2887"/>
      <c r="G8" s="2886"/>
      <c r="H8" s="4916" t="s">
        <v>244</v>
      </c>
      <c r="I8" s="2883" t="s">
        <v>2186</v>
      </c>
      <c r="J8" s="4904"/>
      <c r="K8" s="4904"/>
    </row>
    <row r="9" spans="1:11" ht="12.75">
      <c r="D9" s="4920"/>
      <c r="E9" s="2885" t="s">
        <v>2185</v>
      </c>
      <c r="F9" s="2885" t="s">
        <v>2196</v>
      </c>
      <c r="G9" s="2884" t="s">
        <v>2183</v>
      </c>
      <c r="H9" s="4917"/>
      <c r="I9" s="2883" t="s">
        <v>2182</v>
      </c>
      <c r="J9" s="4904"/>
      <c r="K9" s="4904"/>
    </row>
    <row r="10" spans="1:11" ht="12.75">
      <c r="B10" s="2879" t="s">
        <v>2179</v>
      </c>
      <c r="D10" s="4921"/>
      <c r="E10" s="2882"/>
      <c r="F10" s="2882"/>
      <c r="G10" s="2881" t="s">
        <v>2181</v>
      </c>
      <c r="H10" s="4918"/>
      <c r="I10" s="2880" t="s">
        <v>2180</v>
      </c>
      <c r="J10" s="4905"/>
      <c r="K10" s="4905"/>
    </row>
    <row r="11" spans="1:11">
      <c r="A11" s="2879"/>
      <c r="B11" s="2879" t="s">
        <v>2211</v>
      </c>
      <c r="D11" s="2901"/>
      <c r="E11" s="2878"/>
      <c r="F11" s="2878"/>
      <c r="G11" s="2877"/>
      <c r="H11" s="2876"/>
      <c r="I11" s="2876"/>
      <c r="J11" s="2876"/>
      <c r="K11" s="2876"/>
    </row>
    <row r="12" spans="1:11">
      <c r="A12" s="2879"/>
      <c r="B12" s="2846" t="s">
        <v>674</v>
      </c>
      <c r="C12" s="2902" t="s">
        <v>396</v>
      </c>
      <c r="D12" s="2901">
        <v>180000</v>
      </c>
      <c r="E12" s="2869">
        <v>0</v>
      </c>
      <c r="F12" s="2869">
        <v>0</v>
      </c>
      <c r="G12" s="2871">
        <v>0</v>
      </c>
      <c r="H12" s="2870">
        <f>D12+E12+F12</f>
        <v>180000</v>
      </c>
      <c r="I12" s="2869">
        <v>180000</v>
      </c>
      <c r="J12" s="2869">
        <f>H12-I12</f>
        <v>0</v>
      </c>
      <c r="K12" s="2869"/>
    </row>
    <row r="13" spans="1:11" s="2868" customFormat="1" ht="12.75">
      <c r="A13" s="2874"/>
      <c r="B13" s="2874" t="s">
        <v>389</v>
      </c>
      <c r="C13" s="2875" t="s">
        <v>388</v>
      </c>
      <c r="D13" s="2899">
        <v>242250</v>
      </c>
      <c r="E13" s="2869">
        <v>0</v>
      </c>
      <c r="F13" s="2869">
        <v>0</v>
      </c>
      <c r="G13" s="2871">
        <v>0</v>
      </c>
      <c r="H13" s="2870">
        <f>D13+E13+F13</f>
        <v>242250</v>
      </c>
      <c r="I13" s="2869">
        <f>H13</f>
        <v>242250</v>
      </c>
      <c r="J13" s="2869">
        <f>H13-I13</f>
        <v>0</v>
      </c>
      <c r="K13" s="2869"/>
    </row>
    <row r="14" spans="1:11" s="2868" customFormat="1" ht="13.5">
      <c r="A14" s="2874"/>
      <c r="B14" s="2900" t="s">
        <v>2210</v>
      </c>
      <c r="C14" s="2875" t="s">
        <v>1920</v>
      </c>
      <c r="D14" s="2899">
        <v>35000</v>
      </c>
      <c r="E14" s="2869">
        <v>0</v>
      </c>
      <c r="F14" s="2869">
        <v>0</v>
      </c>
      <c r="G14" s="2871">
        <v>0</v>
      </c>
      <c r="H14" s="2870">
        <f>D14+E14+F14</f>
        <v>35000</v>
      </c>
      <c r="I14" s="2869">
        <v>35000</v>
      </c>
      <c r="J14" s="2869">
        <f>H14-I14</f>
        <v>0</v>
      </c>
      <c r="K14" s="2869"/>
    </row>
    <row r="15" spans="1:11" s="2868" customFormat="1" ht="12.75">
      <c r="A15" s="2874"/>
      <c r="B15" s="2873" t="s">
        <v>368</v>
      </c>
      <c r="C15" s="2875" t="s">
        <v>367</v>
      </c>
      <c r="D15" s="2899">
        <v>17750</v>
      </c>
      <c r="E15" s="2869">
        <v>10000</v>
      </c>
      <c r="F15" s="2869">
        <v>0</v>
      </c>
      <c r="G15" s="2871">
        <v>0</v>
      </c>
      <c r="H15" s="2870">
        <f>D15+E15+F15</f>
        <v>27750</v>
      </c>
      <c r="I15" s="2869">
        <v>17750</v>
      </c>
      <c r="J15" s="2869">
        <f>H15-I15</f>
        <v>10000</v>
      </c>
      <c r="K15" s="2869"/>
    </row>
    <row r="16" spans="1:11" s="2858" customFormat="1" ht="12.75">
      <c r="A16" s="2864"/>
      <c r="B16" s="2863" t="s">
        <v>244</v>
      </c>
      <c r="C16" s="2862"/>
      <c r="D16" s="2898">
        <f t="shared" ref="D16:J16" si="0">SUM(D12:D15)</f>
        <v>475000</v>
      </c>
      <c r="E16" s="2898">
        <f t="shared" si="0"/>
        <v>10000</v>
      </c>
      <c r="F16" s="2898">
        <f t="shared" si="0"/>
        <v>0</v>
      </c>
      <c r="G16" s="2898">
        <f t="shared" si="0"/>
        <v>0</v>
      </c>
      <c r="H16" s="2898">
        <f t="shared" si="0"/>
        <v>485000</v>
      </c>
      <c r="I16" s="2898">
        <f t="shared" si="0"/>
        <v>475000</v>
      </c>
      <c r="J16" s="2898">
        <f t="shared" si="0"/>
        <v>10000</v>
      </c>
      <c r="K16" s="2898"/>
    </row>
    <row r="17" spans="1:10" s="2858" customFormat="1" ht="12.75">
      <c r="A17" s="2864"/>
      <c r="B17" s="2863"/>
      <c r="C17" s="2862"/>
      <c r="D17" s="2897"/>
      <c r="E17" s="2860"/>
      <c r="F17" s="2860"/>
      <c r="G17" s="2861"/>
      <c r="H17" s="2860"/>
      <c r="I17" s="2859"/>
      <c r="J17" s="2859"/>
    </row>
    <row r="18" spans="1:10" s="2851" customFormat="1" ht="12.75">
      <c r="A18" s="2857"/>
      <c r="B18" s="2856"/>
      <c r="C18" s="2855"/>
      <c r="D18" s="2896"/>
      <c r="E18" s="2854"/>
      <c r="F18" s="2854"/>
      <c r="G18" s="2853"/>
      <c r="H18" s="2853"/>
      <c r="I18" s="2852"/>
      <c r="J18" s="2852"/>
    </row>
    <row r="19" spans="1:10" s="2846" customFormat="1" ht="12.75">
      <c r="B19" s="2846" t="s">
        <v>715</v>
      </c>
      <c r="D19" s="2895"/>
      <c r="E19" s="2846" t="s">
        <v>2168</v>
      </c>
    </row>
    <row r="20" spans="1:10" s="2846" customFormat="1" ht="12.75">
      <c r="C20" s="2850"/>
      <c r="D20" s="2895"/>
      <c r="G20" s="2849"/>
    </row>
    <row r="21" spans="1:10" s="2846" customFormat="1" ht="12.75">
      <c r="C21" s="2850"/>
      <c r="D21" s="2895"/>
      <c r="G21" s="2849"/>
    </row>
    <row r="22" spans="1:10" s="2846" customFormat="1" ht="12.75">
      <c r="B22" s="2848" t="s">
        <v>739</v>
      </c>
      <c r="C22" s="2848"/>
      <c r="D22" s="2894"/>
      <c r="E22" s="2848"/>
      <c r="F22" s="2848"/>
      <c r="G22" s="2848"/>
      <c r="H22" s="2848" t="s">
        <v>360</v>
      </c>
      <c r="I22" s="2848"/>
      <c r="J22" s="2848"/>
    </row>
    <row r="23" spans="1:10" s="2846" customFormat="1" ht="12.75">
      <c r="B23" s="2847" t="s">
        <v>740</v>
      </c>
      <c r="C23" s="2847"/>
      <c r="D23" s="2893"/>
      <c r="E23" s="2847"/>
      <c r="F23" s="2847"/>
      <c r="G23" s="2847"/>
      <c r="H23" s="2847" t="s">
        <v>357</v>
      </c>
      <c r="I23" s="2847"/>
      <c r="J23" s="2847"/>
    </row>
    <row r="24" spans="1:10" s="2841" customFormat="1">
      <c r="C24" s="2843"/>
      <c r="D24" s="2892"/>
      <c r="G24" s="2845"/>
      <c r="H24" s="2844"/>
      <c r="I24" s="2844"/>
    </row>
    <row r="25" spans="1:10" s="2841" customFormat="1" ht="8.25">
      <c r="C25" s="2843"/>
      <c r="D25" s="2892"/>
      <c r="G25" s="2842"/>
    </row>
    <row r="26" spans="1:10" s="2841" customFormat="1" ht="8.25">
      <c r="C26" s="2843"/>
      <c r="D26" s="2892"/>
      <c r="G26" s="2842"/>
    </row>
    <row r="27" spans="1:10" s="2841" customFormat="1" ht="8.25">
      <c r="C27" s="2843"/>
      <c r="D27" s="2892"/>
      <c r="G27" s="2842"/>
    </row>
    <row r="28" spans="1:10" s="2841" customFormat="1" ht="8.25">
      <c r="C28" s="2843"/>
      <c r="D28" s="2892"/>
      <c r="G28" s="2842"/>
    </row>
    <row r="29" spans="1:10">
      <c r="C29" s="2840"/>
    </row>
    <row r="30" spans="1:10">
      <c r="C30" s="2840"/>
    </row>
    <row r="31" spans="1:10">
      <c r="C31" s="2840"/>
    </row>
    <row r="32" spans="1:10">
      <c r="C32" s="2840"/>
    </row>
    <row r="33" spans="3:3">
      <c r="C33" s="2840"/>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verticalDpi="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1"/>
  <sheetViews>
    <sheetView workbookViewId="0">
      <selection activeCell="I14" sqref="I14"/>
    </sheetView>
  </sheetViews>
  <sheetFormatPr defaultRowHeight="15"/>
  <cols>
    <col min="1" max="1" width="1.28515625" style="2838" customWidth="1"/>
    <col min="2" max="2" width="47.42578125" style="2838" customWidth="1"/>
    <col min="3" max="3" width="13" style="2838" customWidth="1"/>
    <col min="4" max="4" width="11.5703125" style="2891" customWidth="1"/>
    <col min="5" max="5" width="11.5703125" style="2838" customWidth="1"/>
    <col min="6" max="6" width="9.85546875" style="2838" customWidth="1"/>
    <col min="7" max="7" width="9.5703125" style="2839" customWidth="1"/>
    <col min="8" max="8" width="11.7109375" style="2838" customWidth="1"/>
    <col min="9" max="10" width="12" style="2838" customWidth="1"/>
    <col min="11" max="11" width="10.7109375" style="2838" customWidth="1"/>
    <col min="12"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903"/>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ht="12.75">
      <c r="D8" s="4919" t="s">
        <v>2182</v>
      </c>
      <c r="E8" s="2887"/>
      <c r="F8" s="2887"/>
      <c r="G8" s="2886"/>
      <c r="H8" s="4916" t="s">
        <v>244</v>
      </c>
      <c r="I8" s="2883" t="s">
        <v>2186</v>
      </c>
      <c r="J8" s="4904"/>
      <c r="K8" s="4904"/>
    </row>
    <row r="9" spans="1:11" ht="12.75">
      <c r="D9" s="4920"/>
      <c r="E9" s="2885" t="s">
        <v>2185</v>
      </c>
      <c r="F9" s="2885" t="s">
        <v>2196</v>
      </c>
      <c r="G9" s="2884" t="s">
        <v>2183</v>
      </c>
      <c r="H9" s="4917"/>
      <c r="I9" s="2883" t="s">
        <v>2182</v>
      </c>
      <c r="J9" s="4904"/>
      <c r="K9" s="4904"/>
    </row>
    <row r="10" spans="1:11" ht="12.75">
      <c r="B10" s="2879" t="s">
        <v>2179</v>
      </c>
      <c r="D10" s="4921"/>
      <c r="E10" s="2882"/>
      <c r="F10" s="2882"/>
      <c r="G10" s="2881" t="s">
        <v>2181</v>
      </c>
      <c r="H10" s="4918"/>
      <c r="I10" s="2880" t="s">
        <v>2180</v>
      </c>
      <c r="J10" s="4905"/>
      <c r="K10" s="4905"/>
    </row>
    <row r="11" spans="1:11">
      <c r="A11" s="2879"/>
      <c r="B11" s="2879" t="s">
        <v>2212</v>
      </c>
      <c r="D11" s="2901"/>
      <c r="E11" s="2878"/>
      <c r="F11" s="2878"/>
      <c r="G11" s="2877"/>
      <c r="H11" s="2876"/>
      <c r="I11" s="2876"/>
      <c r="J11" s="2876"/>
      <c r="K11" s="2876"/>
    </row>
    <row r="12" spans="1:11" s="2868" customFormat="1" ht="12.75">
      <c r="A12" s="2874"/>
      <c r="B12" s="2874" t="s">
        <v>389</v>
      </c>
      <c r="C12" s="2875" t="s">
        <v>388</v>
      </c>
      <c r="D12" s="2899">
        <v>927315</v>
      </c>
      <c r="E12" s="2869">
        <v>0</v>
      </c>
      <c r="F12" s="2869">
        <v>0</v>
      </c>
      <c r="G12" s="2871">
        <v>0</v>
      </c>
      <c r="H12" s="2870">
        <f>D12+E12+F12</f>
        <v>927315</v>
      </c>
      <c r="I12" s="2869">
        <f>H12</f>
        <v>927315</v>
      </c>
      <c r="J12" s="2869">
        <f>H12-I12</f>
        <v>0</v>
      </c>
      <c r="K12" s="2869"/>
    </row>
    <row r="13" spans="1:11" s="2868" customFormat="1" ht="12.75">
      <c r="A13" s="2874"/>
      <c r="B13" s="2873" t="s">
        <v>368</v>
      </c>
      <c r="C13" s="2875" t="s">
        <v>367</v>
      </c>
      <c r="D13" s="2899">
        <v>12685</v>
      </c>
      <c r="E13" s="2869">
        <v>0</v>
      </c>
      <c r="F13" s="2869">
        <v>0</v>
      </c>
      <c r="G13" s="2871">
        <v>0</v>
      </c>
      <c r="H13" s="2870">
        <f>D13+E13+F13</f>
        <v>12685</v>
      </c>
      <c r="I13" s="2869">
        <v>12685</v>
      </c>
      <c r="J13" s="2869">
        <f>H13-I13</f>
        <v>0</v>
      </c>
      <c r="K13" s="2869"/>
    </row>
    <row r="14" spans="1:11" s="2858" customFormat="1" ht="12.75">
      <c r="A14" s="2864"/>
      <c r="B14" s="2863" t="s">
        <v>244</v>
      </c>
      <c r="C14" s="2862"/>
      <c r="D14" s="2898">
        <f t="shared" ref="D14:J14" si="0">SUM(D12:D13)</f>
        <v>940000</v>
      </c>
      <c r="E14" s="2898">
        <f t="shared" si="0"/>
        <v>0</v>
      </c>
      <c r="F14" s="2898">
        <f t="shared" si="0"/>
        <v>0</v>
      </c>
      <c r="G14" s="2898">
        <f t="shared" si="0"/>
        <v>0</v>
      </c>
      <c r="H14" s="2898">
        <f t="shared" si="0"/>
        <v>940000</v>
      </c>
      <c r="I14" s="2898">
        <f t="shared" si="0"/>
        <v>940000</v>
      </c>
      <c r="J14" s="2898">
        <f t="shared" si="0"/>
        <v>0</v>
      </c>
      <c r="K14" s="2898"/>
    </row>
    <row r="15" spans="1:11" s="2858" customFormat="1" ht="12.75">
      <c r="A15" s="2864"/>
      <c r="B15" s="2863"/>
      <c r="C15" s="2862"/>
      <c r="D15" s="2897"/>
      <c r="E15" s="2860"/>
      <c r="F15" s="2860"/>
      <c r="G15" s="2861"/>
      <c r="H15" s="2860"/>
      <c r="I15" s="2859"/>
      <c r="J15" s="2859"/>
    </row>
    <row r="16" spans="1:11" s="2851" customFormat="1" ht="12.75">
      <c r="A16" s="2857"/>
      <c r="B16" s="2856"/>
      <c r="C16" s="2855"/>
      <c r="D16" s="2896"/>
      <c r="E16" s="2854"/>
      <c r="F16" s="2854"/>
      <c r="G16" s="2853"/>
      <c r="H16" s="2853"/>
      <c r="I16" s="2852"/>
      <c r="J16" s="2852"/>
    </row>
    <row r="17" spans="1:10" s="2846" customFormat="1" ht="12.75">
      <c r="B17" s="2846" t="s">
        <v>715</v>
      </c>
      <c r="D17" s="2895"/>
      <c r="E17" s="2846" t="s">
        <v>2168</v>
      </c>
    </row>
    <row r="18" spans="1:10" s="2846" customFormat="1" ht="12.75">
      <c r="C18" s="2850"/>
      <c r="D18" s="2895"/>
      <c r="G18" s="2849"/>
    </row>
    <row r="19" spans="1:10" s="2846" customFormat="1" ht="12.75">
      <c r="C19" s="2850"/>
      <c r="D19" s="2895"/>
      <c r="G19" s="2849"/>
    </row>
    <row r="20" spans="1:10" s="2846" customFormat="1" ht="12.75">
      <c r="B20" s="2848" t="s">
        <v>739</v>
      </c>
      <c r="C20" s="2848"/>
      <c r="D20" s="2894"/>
      <c r="E20" s="2848"/>
      <c r="F20" s="2848"/>
      <c r="G20" s="2848"/>
      <c r="H20" s="2848" t="s">
        <v>360</v>
      </c>
      <c r="I20" s="2848"/>
      <c r="J20" s="2848"/>
    </row>
    <row r="21" spans="1:10" s="2846" customFormat="1" ht="12.75">
      <c r="B21" s="2847" t="s">
        <v>740</v>
      </c>
      <c r="C21" s="2847"/>
      <c r="D21" s="2893"/>
      <c r="E21" s="2847"/>
      <c r="F21" s="2847"/>
      <c r="G21" s="2847"/>
      <c r="H21" s="2847" t="s">
        <v>357</v>
      </c>
      <c r="I21" s="2847"/>
      <c r="J21" s="2847"/>
    </row>
    <row r="22" spans="1:10" s="2841" customFormat="1">
      <c r="C22" s="2843"/>
      <c r="D22" s="2892"/>
      <c r="G22" s="2845"/>
      <c r="H22" s="2844"/>
      <c r="I22" s="2844"/>
    </row>
    <row r="23" spans="1:10" s="2841" customFormat="1" ht="8.25">
      <c r="C23" s="2843"/>
      <c r="D23" s="2892"/>
      <c r="G23" s="2842"/>
    </row>
    <row r="24" spans="1:10" s="2841" customFormat="1" ht="8.25">
      <c r="C24" s="2843"/>
      <c r="D24" s="2892"/>
      <c r="G24" s="2842"/>
    </row>
    <row r="25" spans="1:10" s="2841" customFormat="1" ht="8.25">
      <c r="C25" s="2843"/>
      <c r="D25" s="2892"/>
      <c r="G25" s="2842"/>
    </row>
    <row r="26" spans="1:10" s="2841" customFormat="1" ht="8.25">
      <c r="C26" s="2843"/>
      <c r="D26" s="2892"/>
      <c r="G26" s="2842"/>
    </row>
    <row r="27" spans="1:10">
      <c r="C27" s="2840"/>
    </row>
    <row r="28" spans="1:10">
      <c r="C28" s="2840"/>
    </row>
    <row r="29" spans="1:10">
      <c r="C29" s="2840"/>
    </row>
    <row r="30" spans="1:10">
      <c r="C30" s="2840"/>
    </row>
    <row r="31" spans="1:10" s="2891" customFormat="1">
      <c r="A31" s="2838"/>
      <c r="B31" s="2838"/>
      <c r="C31" s="2840"/>
      <c r="E31" s="2838"/>
      <c r="F31" s="2838"/>
      <c r="G31" s="2839"/>
      <c r="H31" s="2838"/>
      <c r="I31" s="2838"/>
      <c r="J31" s="2838"/>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verticalDpi="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6"/>
  <sheetViews>
    <sheetView workbookViewId="0">
      <selection activeCell="J23" sqref="J23"/>
    </sheetView>
  </sheetViews>
  <sheetFormatPr defaultRowHeight="15"/>
  <cols>
    <col min="1" max="1" width="1.28515625" style="2838" customWidth="1"/>
    <col min="2" max="2" width="44.7109375" style="2838" customWidth="1"/>
    <col min="3" max="3" width="15.28515625" style="2838" customWidth="1"/>
    <col min="4" max="4" width="11.5703125" style="2891" customWidth="1"/>
    <col min="5" max="5" width="11.5703125" style="2838" customWidth="1"/>
    <col min="6" max="6" width="9.5703125" style="2838" customWidth="1"/>
    <col min="7" max="7" width="9.5703125" style="2839" customWidth="1"/>
    <col min="8" max="8" width="11.7109375" style="2838" customWidth="1"/>
    <col min="9" max="9" width="12" style="2838" customWidth="1"/>
    <col min="10" max="10" width="12.42578125" style="2838" customWidth="1"/>
    <col min="11" max="11" width="10.42578125" style="2838" customWidth="1"/>
    <col min="12"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903"/>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ht="12.75">
      <c r="D8" s="4919" t="s">
        <v>2182</v>
      </c>
      <c r="E8" s="2887"/>
      <c r="F8" s="2887"/>
      <c r="G8" s="2886"/>
      <c r="H8" s="4916" t="s">
        <v>244</v>
      </c>
      <c r="I8" s="2883" t="s">
        <v>2186</v>
      </c>
      <c r="J8" s="4904"/>
      <c r="K8" s="4904"/>
    </row>
    <row r="9" spans="1:11" ht="12.75">
      <c r="D9" s="4920"/>
      <c r="E9" s="2885" t="s">
        <v>2185</v>
      </c>
      <c r="F9" s="2885" t="s">
        <v>2196</v>
      </c>
      <c r="G9" s="2884" t="s">
        <v>2183</v>
      </c>
      <c r="H9" s="4917"/>
      <c r="I9" s="2883" t="s">
        <v>2182</v>
      </c>
      <c r="J9" s="4904"/>
      <c r="K9" s="4904"/>
    </row>
    <row r="10" spans="1:11" ht="12.75">
      <c r="B10" s="2879" t="s">
        <v>2179</v>
      </c>
      <c r="D10" s="4921"/>
      <c r="E10" s="2882"/>
      <c r="F10" s="2882"/>
      <c r="G10" s="2881" t="s">
        <v>2181</v>
      </c>
      <c r="H10" s="4918"/>
      <c r="I10" s="2880" t="s">
        <v>2180</v>
      </c>
      <c r="J10" s="4905"/>
      <c r="K10" s="4905"/>
    </row>
    <row r="11" spans="1:11">
      <c r="A11" s="2879"/>
      <c r="B11" s="2879" t="s">
        <v>2213</v>
      </c>
      <c r="D11" s="2901"/>
      <c r="E11" s="2878"/>
      <c r="F11" s="2878"/>
      <c r="G11" s="2877"/>
      <c r="H11" s="2876"/>
      <c r="I11" s="2876"/>
      <c r="J11" s="2876"/>
      <c r="K11" s="2876"/>
    </row>
    <row r="12" spans="1:11" ht="12.75">
      <c r="A12" s="2879"/>
      <c r="B12" s="2846" t="s">
        <v>674</v>
      </c>
      <c r="C12" s="2902" t="s">
        <v>396</v>
      </c>
      <c r="D12" s="2904">
        <v>100000</v>
      </c>
      <c r="E12" s="2869">
        <v>0</v>
      </c>
      <c r="F12" s="2869">
        <v>0</v>
      </c>
      <c r="G12" s="2871">
        <v>0</v>
      </c>
      <c r="H12" s="2870">
        <f>D12+E12+F12</f>
        <v>100000</v>
      </c>
      <c r="I12" s="2869">
        <v>100000</v>
      </c>
      <c r="J12" s="2869">
        <f>H12-I12</f>
        <v>0</v>
      </c>
      <c r="K12" s="2869"/>
    </row>
    <row r="13" spans="1:11" s="2868" customFormat="1" ht="12.75">
      <c r="A13" s="2874"/>
      <c r="B13" s="2874" t="s">
        <v>1975</v>
      </c>
      <c r="C13" s="2875" t="s">
        <v>1974</v>
      </c>
      <c r="D13" s="2899">
        <v>50700</v>
      </c>
      <c r="E13" s="2869">
        <v>0</v>
      </c>
      <c r="F13" s="2869">
        <v>0</v>
      </c>
      <c r="G13" s="2871">
        <v>0</v>
      </c>
      <c r="H13" s="2870">
        <f>D13+E13+F13</f>
        <v>50700</v>
      </c>
      <c r="I13" s="2869">
        <v>50700</v>
      </c>
      <c r="J13" s="2869">
        <f>H13-I13</f>
        <v>0</v>
      </c>
      <c r="K13" s="2869"/>
    </row>
    <row r="14" spans="1:11" s="2868" customFormat="1" ht="12.75">
      <c r="A14" s="2874"/>
      <c r="B14" s="2874" t="s">
        <v>389</v>
      </c>
      <c r="C14" s="2875" t="s">
        <v>388</v>
      </c>
      <c r="D14" s="2899">
        <v>4205600</v>
      </c>
      <c r="E14" s="2869">
        <v>0</v>
      </c>
      <c r="F14" s="2869">
        <v>0</v>
      </c>
      <c r="G14" s="2871">
        <v>0</v>
      </c>
      <c r="H14" s="2870">
        <f>D14+E14+F14</f>
        <v>4205600</v>
      </c>
      <c r="I14" s="2869">
        <f>H14</f>
        <v>4205600</v>
      </c>
      <c r="J14" s="2869">
        <f>H14-I14</f>
        <v>0</v>
      </c>
      <c r="K14" s="2869"/>
    </row>
    <row r="15" spans="1:11" s="2868" customFormat="1" ht="12.75">
      <c r="A15" s="2874"/>
      <c r="B15" s="2874" t="s">
        <v>2198</v>
      </c>
      <c r="C15" s="2875" t="s">
        <v>376</v>
      </c>
      <c r="D15" s="2899">
        <v>50000</v>
      </c>
      <c r="E15" s="2869">
        <v>0</v>
      </c>
      <c r="F15" s="2869">
        <v>0</v>
      </c>
      <c r="G15" s="2871">
        <v>0</v>
      </c>
      <c r="H15" s="2870">
        <f>D15+E15+F15</f>
        <v>50000</v>
      </c>
      <c r="I15" s="2869">
        <f>H15</f>
        <v>50000</v>
      </c>
      <c r="J15" s="2869">
        <f>H15-I15</f>
        <v>0</v>
      </c>
      <c r="K15" s="2869"/>
    </row>
    <row r="16" spans="1:11" s="2868" customFormat="1" ht="12.75">
      <c r="A16" s="2874"/>
      <c r="B16" s="2874" t="s">
        <v>2198</v>
      </c>
      <c r="C16" s="2875"/>
      <c r="D16" s="2899"/>
      <c r="E16" s="2869">
        <v>0</v>
      </c>
      <c r="F16" s="2869">
        <v>0</v>
      </c>
      <c r="G16" s="2871">
        <v>0</v>
      </c>
      <c r="H16" s="2870"/>
      <c r="I16" s="2869"/>
      <c r="J16" s="2869"/>
      <c r="K16" s="2869"/>
    </row>
    <row r="17" spans="1:11" s="2868" customFormat="1" ht="12.75">
      <c r="A17" s="2874"/>
      <c r="B17" s="2874" t="s">
        <v>2197</v>
      </c>
      <c r="C17" s="2875" t="s">
        <v>371</v>
      </c>
      <c r="D17" s="2899">
        <v>100000</v>
      </c>
      <c r="E17" s="2869">
        <v>0</v>
      </c>
      <c r="F17" s="2869">
        <v>0</v>
      </c>
      <c r="G17" s="2871">
        <v>0</v>
      </c>
      <c r="H17" s="2870">
        <f>D17+E17+F17</f>
        <v>100000</v>
      </c>
      <c r="I17" s="2869">
        <f>H17</f>
        <v>100000</v>
      </c>
      <c r="J17" s="2869">
        <f>H17-I17</f>
        <v>0</v>
      </c>
      <c r="K17" s="2869"/>
    </row>
    <row r="18" spans="1:11" s="2868" customFormat="1" ht="12.75">
      <c r="A18" s="2874"/>
      <c r="B18" s="2873" t="s">
        <v>368</v>
      </c>
      <c r="C18" s="2875" t="s">
        <v>367</v>
      </c>
      <c r="D18" s="2899">
        <v>3700</v>
      </c>
      <c r="E18" s="2869">
        <v>0</v>
      </c>
      <c r="F18" s="2869">
        <v>0</v>
      </c>
      <c r="G18" s="2871">
        <v>0</v>
      </c>
      <c r="H18" s="2870">
        <f>D18+E18+F18</f>
        <v>3700</v>
      </c>
      <c r="I18" s="2869">
        <v>3700</v>
      </c>
      <c r="J18" s="2869">
        <f>H18-I18</f>
        <v>0</v>
      </c>
      <c r="K18" s="2869"/>
    </row>
    <row r="19" spans="1:11" s="2858" customFormat="1" ht="12.75">
      <c r="A19" s="2864"/>
      <c r="B19" s="2863" t="s">
        <v>244</v>
      </c>
      <c r="C19" s="2862"/>
      <c r="D19" s="2898">
        <f t="shared" ref="D19:J19" si="0">SUM(D12:D18)</f>
        <v>4510000</v>
      </c>
      <c r="E19" s="2898">
        <f t="shared" si="0"/>
        <v>0</v>
      </c>
      <c r="F19" s="2898">
        <f t="shared" si="0"/>
        <v>0</v>
      </c>
      <c r="G19" s="2898">
        <f t="shared" si="0"/>
        <v>0</v>
      </c>
      <c r="H19" s="2898">
        <f t="shared" si="0"/>
        <v>4510000</v>
      </c>
      <c r="I19" s="2898">
        <f t="shared" si="0"/>
        <v>4510000</v>
      </c>
      <c r="J19" s="2898">
        <f t="shared" si="0"/>
        <v>0</v>
      </c>
      <c r="K19" s="2898"/>
    </row>
    <row r="20" spans="1:11" s="2858" customFormat="1" ht="12.75">
      <c r="A20" s="2864"/>
      <c r="B20" s="2863"/>
      <c r="C20" s="2862"/>
      <c r="D20" s="2897"/>
      <c r="E20" s="2860"/>
      <c r="F20" s="2860"/>
      <c r="G20" s="2861"/>
      <c r="H20" s="2860"/>
      <c r="I20" s="2859"/>
      <c r="J20" s="2859"/>
    </row>
    <row r="21" spans="1:11" s="2851" customFormat="1" ht="12.75">
      <c r="A21" s="2857"/>
      <c r="B21" s="2856"/>
      <c r="C21" s="2855"/>
      <c r="D21" s="2896"/>
      <c r="E21" s="2854"/>
      <c r="F21" s="2854"/>
      <c r="G21" s="2853"/>
      <c r="H21" s="2853"/>
      <c r="I21" s="2852"/>
      <c r="J21" s="2852"/>
    </row>
    <row r="22" spans="1:11" s="2846" customFormat="1" ht="12.75">
      <c r="B22" s="2846" t="s">
        <v>715</v>
      </c>
      <c r="D22" s="2895"/>
      <c r="E22" s="2846" t="s">
        <v>2168</v>
      </c>
    </row>
    <row r="23" spans="1:11" s="2846" customFormat="1" ht="12.75">
      <c r="C23" s="2850"/>
      <c r="D23" s="2895"/>
      <c r="G23" s="2849"/>
    </row>
    <row r="24" spans="1:11" s="2846" customFormat="1" ht="12.75">
      <c r="C24" s="2850"/>
      <c r="D24" s="2895"/>
      <c r="G24" s="2849"/>
    </row>
    <row r="25" spans="1:11" s="2846" customFormat="1" ht="12.75">
      <c r="B25" s="2848" t="s">
        <v>739</v>
      </c>
      <c r="C25" s="2848"/>
      <c r="D25" s="2894"/>
      <c r="E25" s="2848"/>
      <c r="F25" s="2848"/>
      <c r="G25" s="2848"/>
      <c r="H25" s="2848" t="s">
        <v>360</v>
      </c>
      <c r="I25" s="2848"/>
      <c r="J25" s="2848"/>
    </row>
    <row r="26" spans="1:11" s="2846" customFormat="1" ht="12.75">
      <c r="B26" s="2847" t="s">
        <v>740</v>
      </c>
      <c r="C26" s="2847"/>
      <c r="D26" s="2893"/>
      <c r="E26" s="2847"/>
      <c r="F26" s="2847"/>
      <c r="G26" s="2847"/>
      <c r="H26" s="2847" t="s">
        <v>357</v>
      </c>
      <c r="I26" s="2847"/>
      <c r="J26" s="2847"/>
    </row>
    <row r="27" spans="1:11" s="2841" customFormat="1">
      <c r="C27" s="2843"/>
      <c r="D27" s="2892"/>
      <c r="G27" s="2845"/>
      <c r="H27" s="2844"/>
      <c r="I27" s="2844"/>
    </row>
    <row r="28" spans="1:11" s="2841" customFormat="1" ht="8.25">
      <c r="C28" s="2843"/>
      <c r="D28" s="2892"/>
      <c r="G28" s="2842"/>
    </row>
    <row r="29" spans="1:11" s="2841" customFormat="1" ht="8.25">
      <c r="C29" s="2843"/>
      <c r="D29" s="2892"/>
      <c r="G29" s="2842"/>
    </row>
    <row r="30" spans="1:11" s="2841" customFormat="1" ht="8.25">
      <c r="C30" s="2843"/>
      <c r="D30" s="2892"/>
      <c r="G30" s="2842"/>
    </row>
    <row r="31" spans="1:11" s="2841" customFormat="1" ht="8.25">
      <c r="C31" s="2843"/>
      <c r="D31" s="2892"/>
      <c r="G31" s="2842"/>
    </row>
    <row r="32" spans="1:11">
      <c r="C32" s="2840"/>
    </row>
    <row r="33" spans="3:3">
      <c r="C33" s="2840"/>
    </row>
    <row r="34" spans="3:3">
      <c r="C34" s="2840"/>
    </row>
    <row r="35" spans="3:3">
      <c r="C35" s="2840"/>
    </row>
    <row r="36" spans="3:3">
      <c r="C36" s="2840"/>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2"/>
  <sheetViews>
    <sheetView workbookViewId="0">
      <selection activeCell="J20" sqref="J20"/>
    </sheetView>
  </sheetViews>
  <sheetFormatPr defaultRowHeight="15"/>
  <cols>
    <col min="1" max="1" width="1.28515625" style="2838" customWidth="1"/>
    <col min="2" max="2" width="45.28515625" style="2838" customWidth="1"/>
    <col min="3" max="3" width="12.140625" style="2838" customWidth="1"/>
    <col min="4" max="4" width="11.5703125" style="2891" customWidth="1"/>
    <col min="5" max="5" width="11.5703125" style="2838" customWidth="1"/>
    <col min="6" max="6" width="8.7109375" style="2838" customWidth="1"/>
    <col min="7" max="7" width="9.5703125" style="2839" customWidth="1"/>
    <col min="8" max="8" width="11.7109375" style="2838" customWidth="1"/>
    <col min="9" max="10" width="12" style="2838" customWidth="1"/>
    <col min="11" max="11" width="10.7109375" style="2838" customWidth="1"/>
    <col min="12"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903"/>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ht="12.75">
      <c r="D8" s="4919" t="s">
        <v>2182</v>
      </c>
      <c r="E8" s="2887"/>
      <c r="F8" s="2887"/>
      <c r="G8" s="2886"/>
      <c r="H8" s="4916" t="s">
        <v>244</v>
      </c>
      <c r="I8" s="2883" t="s">
        <v>2186</v>
      </c>
      <c r="J8" s="4904"/>
      <c r="K8" s="4904"/>
    </row>
    <row r="9" spans="1:11" ht="12.75">
      <c r="D9" s="4920"/>
      <c r="E9" s="2885" t="s">
        <v>2185</v>
      </c>
      <c r="F9" s="2885" t="s">
        <v>2196</v>
      </c>
      <c r="G9" s="2884" t="s">
        <v>2183</v>
      </c>
      <c r="H9" s="4917"/>
      <c r="I9" s="2883" t="s">
        <v>2182</v>
      </c>
      <c r="J9" s="4904"/>
      <c r="K9" s="4904"/>
    </row>
    <row r="10" spans="1:11" ht="12.75">
      <c r="B10" s="2879" t="s">
        <v>2179</v>
      </c>
      <c r="D10" s="4921"/>
      <c r="E10" s="2882"/>
      <c r="F10" s="2882"/>
      <c r="G10" s="2881" t="s">
        <v>2181</v>
      </c>
      <c r="H10" s="4918"/>
      <c r="I10" s="2880" t="s">
        <v>2180</v>
      </c>
      <c r="J10" s="4905"/>
      <c r="K10" s="4905"/>
    </row>
    <row r="11" spans="1:11">
      <c r="A11" s="2879"/>
      <c r="B11" s="2879" t="s">
        <v>2214</v>
      </c>
      <c r="D11" s="2901"/>
      <c r="E11" s="2878"/>
      <c r="F11" s="2878"/>
      <c r="G11" s="2877"/>
      <c r="H11" s="2876"/>
      <c r="I11" s="2876"/>
      <c r="J11" s="2876"/>
      <c r="K11" s="2876"/>
    </row>
    <row r="12" spans="1:11" s="2868" customFormat="1" ht="12.75">
      <c r="A12" s="2874"/>
      <c r="B12" s="2874" t="s">
        <v>1975</v>
      </c>
      <c r="C12" s="2875" t="s">
        <v>1974</v>
      </c>
      <c r="D12" s="2899">
        <v>50000</v>
      </c>
      <c r="E12" s="2869">
        <v>0</v>
      </c>
      <c r="F12" s="2869">
        <v>0</v>
      </c>
      <c r="G12" s="2871">
        <v>0</v>
      </c>
      <c r="H12" s="2870">
        <f>D12+E12+F12</f>
        <v>50000</v>
      </c>
      <c r="I12" s="2869">
        <v>50000</v>
      </c>
      <c r="J12" s="2869">
        <f>H12-I12</f>
        <v>0</v>
      </c>
      <c r="K12" s="2869"/>
    </row>
    <row r="13" spans="1:11" s="2868" customFormat="1" ht="12.75">
      <c r="A13" s="2874"/>
      <c r="B13" s="2874" t="s">
        <v>389</v>
      </c>
      <c r="C13" s="2875" t="s">
        <v>388</v>
      </c>
      <c r="D13" s="2899">
        <v>2162700</v>
      </c>
      <c r="E13" s="2869">
        <v>0</v>
      </c>
      <c r="F13" s="2869">
        <v>0</v>
      </c>
      <c r="G13" s="2871">
        <v>0</v>
      </c>
      <c r="H13" s="2870">
        <f>D13+E13+F13</f>
        <v>2162700</v>
      </c>
      <c r="I13" s="2869">
        <f>H13</f>
        <v>2162700</v>
      </c>
      <c r="J13" s="2869">
        <f>H13-I13</f>
        <v>0</v>
      </c>
      <c r="K13" s="2869"/>
    </row>
    <row r="14" spans="1:11" s="2868" customFormat="1" ht="12.75">
      <c r="A14" s="2874"/>
      <c r="B14" s="2873" t="s">
        <v>368</v>
      </c>
      <c r="C14" s="2875" t="s">
        <v>367</v>
      </c>
      <c r="D14" s="2899">
        <v>17300</v>
      </c>
      <c r="E14" s="2869">
        <v>43000</v>
      </c>
      <c r="F14" s="2869">
        <v>0</v>
      </c>
      <c r="G14" s="2871">
        <v>0</v>
      </c>
      <c r="H14" s="2870">
        <f>D14+E14+F14</f>
        <v>60300</v>
      </c>
      <c r="I14" s="2869">
        <v>17300</v>
      </c>
      <c r="J14" s="2869">
        <f>H14-I14</f>
        <v>43000</v>
      </c>
      <c r="K14" s="2869"/>
    </row>
    <row r="15" spans="1:11" s="2858" customFormat="1" ht="12.75">
      <c r="A15" s="2864"/>
      <c r="B15" s="2863" t="s">
        <v>244</v>
      </c>
      <c r="C15" s="2862"/>
      <c r="D15" s="2898">
        <f t="shared" ref="D15:J15" si="0">SUM(D12:D14)</f>
        <v>2230000</v>
      </c>
      <c r="E15" s="2898">
        <f t="shared" si="0"/>
        <v>43000</v>
      </c>
      <c r="F15" s="2898">
        <f t="shared" si="0"/>
        <v>0</v>
      </c>
      <c r="G15" s="2898">
        <f t="shared" si="0"/>
        <v>0</v>
      </c>
      <c r="H15" s="2898">
        <f t="shared" si="0"/>
        <v>2273000</v>
      </c>
      <c r="I15" s="2898">
        <f t="shared" si="0"/>
        <v>2230000</v>
      </c>
      <c r="J15" s="2898">
        <f t="shared" si="0"/>
        <v>43000</v>
      </c>
      <c r="K15" s="2898"/>
    </row>
    <row r="16" spans="1:11" s="2858" customFormat="1" ht="12.75">
      <c r="A16" s="2864"/>
      <c r="B16" s="2863"/>
      <c r="C16" s="2862"/>
      <c r="D16" s="2897"/>
      <c r="E16" s="2860"/>
      <c r="F16" s="2860"/>
      <c r="G16" s="2861"/>
      <c r="H16" s="2860"/>
      <c r="I16" s="2859"/>
      <c r="J16" s="2859"/>
    </row>
    <row r="17" spans="1:10" s="2851" customFormat="1" ht="12.75">
      <c r="A17" s="2857"/>
      <c r="B17" s="2856"/>
      <c r="C17" s="2855"/>
      <c r="D17" s="2896"/>
      <c r="E17" s="2854"/>
      <c r="F17" s="2854"/>
      <c r="G17" s="2853"/>
      <c r="H17" s="2853"/>
      <c r="I17" s="2852"/>
      <c r="J17" s="2852"/>
    </row>
    <row r="18" spans="1:10" s="2846" customFormat="1" ht="12.75">
      <c r="B18" s="2846" t="s">
        <v>715</v>
      </c>
      <c r="D18" s="2895"/>
      <c r="E18" s="2846" t="s">
        <v>2168</v>
      </c>
    </row>
    <row r="19" spans="1:10" s="2846" customFormat="1" ht="12.75">
      <c r="C19" s="2850"/>
      <c r="D19" s="2895"/>
      <c r="G19" s="2849"/>
    </row>
    <row r="20" spans="1:10" s="2846" customFormat="1" ht="12.75">
      <c r="C20" s="2850"/>
      <c r="D20" s="2895"/>
      <c r="G20" s="2849"/>
    </row>
    <row r="21" spans="1:10" s="2846" customFormat="1" ht="12.75">
      <c r="B21" s="2848" t="s">
        <v>739</v>
      </c>
      <c r="C21" s="2848"/>
      <c r="D21" s="2894"/>
      <c r="E21" s="2848"/>
      <c r="F21" s="2848"/>
      <c r="G21" s="2848"/>
      <c r="H21" s="2848" t="s">
        <v>360</v>
      </c>
      <c r="I21" s="2848"/>
      <c r="J21" s="2848"/>
    </row>
    <row r="22" spans="1:10" s="2846" customFormat="1" ht="12.75">
      <c r="B22" s="2847" t="s">
        <v>740</v>
      </c>
      <c r="C22" s="2847"/>
      <c r="D22" s="2893"/>
      <c r="E22" s="2847"/>
      <c r="F22" s="2847"/>
      <c r="G22" s="2847"/>
      <c r="H22" s="2847" t="s">
        <v>357</v>
      </c>
      <c r="I22" s="2847"/>
      <c r="J22" s="2847"/>
    </row>
    <row r="23" spans="1:10" s="2841" customFormat="1">
      <c r="C23" s="2843"/>
      <c r="D23" s="2892"/>
      <c r="G23" s="2845"/>
      <c r="H23" s="2844"/>
      <c r="I23" s="2844"/>
    </row>
    <row r="24" spans="1:10" s="2841" customFormat="1" ht="8.25">
      <c r="C24" s="2843"/>
      <c r="D24" s="2892"/>
      <c r="G24" s="2842"/>
    </row>
    <row r="25" spans="1:10" s="2841" customFormat="1" ht="8.25">
      <c r="C25" s="2843"/>
      <c r="D25" s="2892"/>
      <c r="G25" s="2842"/>
    </row>
    <row r="26" spans="1:10" s="2841" customFormat="1" ht="8.25">
      <c r="C26" s="2843"/>
      <c r="D26" s="2892"/>
      <c r="G26" s="2842"/>
    </row>
    <row r="27" spans="1:10" s="2841" customFormat="1" ht="8.25">
      <c r="C27" s="2843"/>
      <c r="D27" s="2892"/>
      <c r="G27" s="2842"/>
    </row>
    <row r="28" spans="1:10">
      <c r="C28" s="2840"/>
    </row>
    <row r="29" spans="1:10">
      <c r="C29" s="2840"/>
    </row>
    <row r="30" spans="1:10">
      <c r="C30" s="2840"/>
    </row>
    <row r="31" spans="1:10">
      <c r="C31" s="2840"/>
    </row>
    <row r="32" spans="1:10" s="2891" customFormat="1">
      <c r="A32" s="2838"/>
      <c r="B32" s="2838"/>
      <c r="C32" s="2840"/>
      <c r="E32" s="2838"/>
      <c r="F32" s="2838"/>
      <c r="G32" s="2839"/>
      <c r="H32" s="2838"/>
      <c r="I32" s="2838"/>
      <c r="J32" s="2838"/>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verticalDpi="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1"/>
  <sheetViews>
    <sheetView workbookViewId="0">
      <selection activeCell="J19" sqref="J19"/>
    </sheetView>
  </sheetViews>
  <sheetFormatPr defaultRowHeight="15"/>
  <cols>
    <col min="1" max="1" width="1.28515625" style="2838" customWidth="1"/>
    <col min="2" max="2" width="46.5703125" style="2838" customWidth="1"/>
    <col min="3" max="3" width="13.28515625" style="2838" customWidth="1"/>
    <col min="4" max="4" width="11.5703125" style="2891" customWidth="1"/>
    <col min="5" max="5" width="10.42578125" style="2838" customWidth="1"/>
    <col min="6" max="6" width="9.42578125" style="2838" customWidth="1"/>
    <col min="7" max="7" width="9.5703125" style="2839" customWidth="1"/>
    <col min="8" max="8" width="11.7109375" style="2838" customWidth="1"/>
    <col min="9" max="10" width="12" style="2838" customWidth="1"/>
    <col min="11" max="11" width="8.7109375" style="2838" customWidth="1"/>
    <col min="12"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903"/>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ht="12.75">
      <c r="D8" s="4919" t="s">
        <v>2182</v>
      </c>
      <c r="E8" s="2887"/>
      <c r="F8" s="2887"/>
      <c r="G8" s="2886"/>
      <c r="H8" s="4916" t="s">
        <v>244</v>
      </c>
      <c r="I8" s="2883" t="s">
        <v>2186</v>
      </c>
      <c r="J8" s="4904"/>
      <c r="K8" s="4904"/>
    </row>
    <row r="9" spans="1:11" ht="12.75">
      <c r="D9" s="4920"/>
      <c r="E9" s="2885" t="s">
        <v>2185</v>
      </c>
      <c r="F9" s="2885" t="s">
        <v>2196</v>
      </c>
      <c r="G9" s="2884" t="s">
        <v>2183</v>
      </c>
      <c r="H9" s="4917"/>
      <c r="I9" s="2883" t="s">
        <v>2182</v>
      </c>
      <c r="J9" s="4904"/>
      <c r="K9" s="4904"/>
    </row>
    <row r="10" spans="1:11" ht="12.75">
      <c r="B10" s="2879" t="s">
        <v>2179</v>
      </c>
      <c r="D10" s="4921"/>
      <c r="E10" s="2882"/>
      <c r="F10" s="2882"/>
      <c r="G10" s="2881" t="s">
        <v>2181</v>
      </c>
      <c r="H10" s="4918"/>
      <c r="I10" s="2880" t="s">
        <v>2180</v>
      </c>
      <c r="J10" s="4905"/>
      <c r="K10" s="4905"/>
    </row>
    <row r="11" spans="1:11">
      <c r="A11" s="2879"/>
      <c r="B11" s="2879" t="s">
        <v>2215</v>
      </c>
      <c r="D11" s="2901"/>
      <c r="E11" s="2878"/>
      <c r="F11" s="2878"/>
      <c r="G11" s="2877"/>
      <c r="H11" s="2876"/>
      <c r="I11" s="2876"/>
      <c r="J11" s="2876"/>
      <c r="K11" s="2876"/>
    </row>
    <row r="12" spans="1:11" s="2868" customFormat="1" ht="12.75">
      <c r="A12" s="2874"/>
      <c r="B12" s="2874" t="s">
        <v>1975</v>
      </c>
      <c r="C12" s="2875" t="s">
        <v>1974</v>
      </c>
      <c r="D12" s="2899">
        <v>16840</v>
      </c>
      <c r="E12" s="2869">
        <v>0</v>
      </c>
      <c r="F12" s="2869">
        <v>0</v>
      </c>
      <c r="G12" s="2871">
        <v>0</v>
      </c>
      <c r="H12" s="2870">
        <f>D12+E12+F12</f>
        <v>16840</v>
      </c>
      <c r="I12" s="2869">
        <v>16840</v>
      </c>
      <c r="J12" s="2869">
        <f>H12-I12</f>
        <v>0</v>
      </c>
      <c r="K12" s="2869"/>
    </row>
    <row r="13" spans="1:11" s="2868" customFormat="1" ht="12.75">
      <c r="A13" s="2874"/>
      <c r="B13" s="2874" t="s">
        <v>389</v>
      </c>
      <c r="C13" s="2875" t="s">
        <v>388</v>
      </c>
      <c r="D13" s="2899">
        <v>2038160</v>
      </c>
      <c r="E13" s="2869">
        <v>0</v>
      </c>
      <c r="F13" s="2869">
        <v>0</v>
      </c>
      <c r="G13" s="2871">
        <v>0</v>
      </c>
      <c r="H13" s="2870">
        <f>D13+E13+F13</f>
        <v>2038160</v>
      </c>
      <c r="I13" s="2869">
        <f>H13</f>
        <v>2038160</v>
      </c>
      <c r="J13" s="2869">
        <f>H13-I13</f>
        <v>0</v>
      </c>
      <c r="K13" s="2869"/>
    </row>
    <row r="14" spans="1:11" s="2858" customFormat="1" ht="12.75">
      <c r="A14" s="2864"/>
      <c r="B14" s="2863" t="s">
        <v>244</v>
      </c>
      <c r="C14" s="2862"/>
      <c r="D14" s="2898">
        <f t="shared" ref="D14:J14" si="0">SUM(D12:D13)</f>
        <v>2055000</v>
      </c>
      <c r="E14" s="2898">
        <f t="shared" si="0"/>
        <v>0</v>
      </c>
      <c r="F14" s="2898">
        <f t="shared" si="0"/>
        <v>0</v>
      </c>
      <c r="G14" s="2898">
        <f t="shared" si="0"/>
        <v>0</v>
      </c>
      <c r="H14" s="2898">
        <f t="shared" si="0"/>
        <v>2055000</v>
      </c>
      <c r="I14" s="2898">
        <f t="shared" si="0"/>
        <v>2055000</v>
      </c>
      <c r="J14" s="2898">
        <f t="shared" si="0"/>
        <v>0</v>
      </c>
      <c r="K14" s="2898"/>
    </row>
    <row r="15" spans="1:11" s="2858" customFormat="1" ht="12.75">
      <c r="A15" s="2864"/>
      <c r="B15" s="2863"/>
      <c r="C15" s="2862"/>
      <c r="D15" s="2897"/>
      <c r="E15" s="2860"/>
      <c r="F15" s="2860"/>
      <c r="G15" s="2861"/>
      <c r="H15" s="2860"/>
      <c r="I15" s="2859"/>
      <c r="J15" s="2859"/>
    </row>
    <row r="16" spans="1:11" s="2851" customFormat="1" ht="12.75">
      <c r="A16" s="2857"/>
      <c r="B16" s="2856"/>
      <c r="C16" s="2855"/>
      <c r="D16" s="2896"/>
      <c r="E16" s="2854"/>
      <c r="F16" s="2854"/>
      <c r="G16" s="2853"/>
      <c r="H16" s="2853"/>
      <c r="I16" s="2852"/>
      <c r="J16" s="2852"/>
    </row>
    <row r="17" spans="1:10" s="2846" customFormat="1" ht="12.75">
      <c r="B17" s="2846" t="s">
        <v>715</v>
      </c>
      <c r="D17" s="2895"/>
      <c r="E17" s="2846" t="s">
        <v>2168</v>
      </c>
    </row>
    <row r="18" spans="1:10" s="2846" customFormat="1" ht="12.75">
      <c r="C18" s="2850"/>
      <c r="D18" s="2895"/>
      <c r="G18" s="2849"/>
    </row>
    <row r="19" spans="1:10" s="2846" customFormat="1" ht="12.75">
      <c r="C19" s="2850"/>
      <c r="D19" s="2895"/>
      <c r="G19" s="2849"/>
    </row>
    <row r="20" spans="1:10" s="2846" customFormat="1" ht="12.75">
      <c r="B20" s="2848" t="s">
        <v>739</v>
      </c>
      <c r="C20" s="2848"/>
      <c r="D20" s="2894"/>
      <c r="E20" s="2848"/>
      <c r="F20" s="2848"/>
      <c r="G20" s="2848"/>
      <c r="H20" s="2848" t="s">
        <v>360</v>
      </c>
      <c r="I20" s="2848"/>
      <c r="J20" s="2848"/>
    </row>
    <row r="21" spans="1:10" s="2846" customFormat="1" ht="12.75">
      <c r="B21" s="2847" t="s">
        <v>740</v>
      </c>
      <c r="C21" s="2847"/>
      <c r="D21" s="2893"/>
      <c r="E21" s="2847"/>
      <c r="F21" s="2847"/>
      <c r="G21" s="2847"/>
      <c r="H21" s="2847" t="s">
        <v>357</v>
      </c>
      <c r="I21" s="2847"/>
      <c r="J21" s="2847"/>
    </row>
    <row r="22" spans="1:10" s="2841" customFormat="1">
      <c r="C22" s="2843"/>
      <c r="D22" s="2892"/>
      <c r="G22" s="2845"/>
      <c r="H22" s="2844"/>
      <c r="I22" s="2844"/>
    </row>
    <row r="23" spans="1:10" s="2841" customFormat="1" ht="8.25">
      <c r="C23" s="2843"/>
      <c r="D23" s="2892"/>
      <c r="G23" s="2842"/>
    </row>
    <row r="24" spans="1:10" s="2841" customFormat="1" ht="8.25">
      <c r="C24" s="2843"/>
      <c r="D24" s="2892"/>
      <c r="G24" s="2842"/>
    </row>
    <row r="25" spans="1:10" s="2841" customFormat="1" ht="8.25">
      <c r="C25" s="2843"/>
      <c r="D25" s="2892"/>
      <c r="G25" s="2842"/>
    </row>
    <row r="26" spans="1:10" s="2841" customFormat="1" ht="8.25">
      <c r="C26" s="2843"/>
      <c r="D26" s="2892"/>
      <c r="G26" s="2842"/>
    </row>
    <row r="27" spans="1:10">
      <c r="C27" s="2840"/>
    </row>
    <row r="28" spans="1:10">
      <c r="C28" s="2840"/>
    </row>
    <row r="29" spans="1:10">
      <c r="C29" s="2840"/>
    </row>
    <row r="30" spans="1:10">
      <c r="C30" s="2840"/>
    </row>
    <row r="31" spans="1:10" s="2891" customFormat="1">
      <c r="A31" s="2838"/>
      <c r="B31" s="2838"/>
      <c r="C31" s="2840"/>
      <c r="E31" s="2838"/>
      <c r="F31" s="2838"/>
      <c r="G31" s="2839"/>
      <c r="H31" s="2838"/>
      <c r="I31" s="2838"/>
      <c r="J31" s="2838"/>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verticalDpi="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2"/>
  <sheetViews>
    <sheetView workbookViewId="0">
      <selection activeCell="J21" sqref="J21"/>
    </sheetView>
  </sheetViews>
  <sheetFormatPr defaultRowHeight="15"/>
  <cols>
    <col min="1" max="1" width="1.28515625" style="2838" customWidth="1"/>
    <col min="2" max="2" width="46" style="2838" customWidth="1"/>
    <col min="3" max="3" width="12.140625" style="2838" customWidth="1"/>
    <col min="4" max="4" width="11.5703125" style="2891" customWidth="1"/>
    <col min="5" max="5" width="10.140625" style="2838" customWidth="1"/>
    <col min="6" max="6" width="9.5703125" style="2838" customWidth="1"/>
    <col min="7" max="7" width="9.5703125" style="2839" customWidth="1"/>
    <col min="8" max="8" width="11.7109375" style="2838" customWidth="1"/>
    <col min="9" max="10" width="12" style="2838" customWidth="1"/>
    <col min="11" max="11" width="9.140625" style="2838" customWidth="1"/>
    <col min="12"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903"/>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ht="12.75">
      <c r="D8" s="4919" t="s">
        <v>2182</v>
      </c>
      <c r="E8" s="2887"/>
      <c r="F8" s="2887"/>
      <c r="G8" s="2886"/>
      <c r="H8" s="4916" t="s">
        <v>244</v>
      </c>
      <c r="I8" s="2883" t="s">
        <v>2186</v>
      </c>
      <c r="J8" s="4904"/>
      <c r="K8" s="4904"/>
    </row>
    <row r="9" spans="1:11" ht="12.75">
      <c r="D9" s="4920"/>
      <c r="E9" s="2885" t="s">
        <v>2185</v>
      </c>
      <c r="F9" s="2885" t="s">
        <v>2196</v>
      </c>
      <c r="G9" s="2884" t="s">
        <v>2183</v>
      </c>
      <c r="H9" s="4917"/>
      <c r="I9" s="2883" t="s">
        <v>2182</v>
      </c>
      <c r="J9" s="4904"/>
      <c r="K9" s="4904"/>
    </row>
    <row r="10" spans="1:11" ht="12.75">
      <c r="B10" s="2879" t="s">
        <v>2179</v>
      </c>
      <c r="D10" s="4921"/>
      <c r="E10" s="2882"/>
      <c r="F10" s="2882"/>
      <c r="G10" s="2881" t="s">
        <v>2181</v>
      </c>
      <c r="H10" s="4918"/>
      <c r="I10" s="2880" t="s">
        <v>2180</v>
      </c>
      <c r="J10" s="4905"/>
      <c r="K10" s="4905"/>
    </row>
    <row r="11" spans="1:11">
      <c r="A11" s="2879"/>
      <c r="B11" s="2879" t="s">
        <v>2216</v>
      </c>
      <c r="D11" s="2901"/>
      <c r="E11" s="2878"/>
      <c r="F11" s="2878"/>
      <c r="G11" s="2877"/>
      <c r="H11" s="2876"/>
      <c r="I11" s="2876"/>
      <c r="J11" s="2876"/>
      <c r="K11" s="2876"/>
    </row>
    <row r="12" spans="1:11" s="2868" customFormat="1" ht="12.75">
      <c r="A12" s="2874"/>
      <c r="B12" s="2874" t="s">
        <v>704</v>
      </c>
      <c r="C12" s="2875" t="s">
        <v>403</v>
      </c>
      <c r="D12" s="2899">
        <v>5800</v>
      </c>
      <c r="E12" s="2869">
        <v>0</v>
      </c>
      <c r="F12" s="2869">
        <v>0</v>
      </c>
      <c r="G12" s="2871">
        <v>0</v>
      </c>
      <c r="H12" s="2870">
        <f>D12+E12+F12</f>
        <v>5800</v>
      </c>
      <c r="I12" s="2869">
        <f>H12</f>
        <v>5800</v>
      </c>
      <c r="J12" s="2869">
        <f>H12-I12</f>
        <v>0</v>
      </c>
      <c r="K12" s="2869"/>
    </row>
    <row r="13" spans="1:11" s="2868" customFormat="1" ht="12.75">
      <c r="A13" s="2874"/>
      <c r="B13" s="2874" t="s">
        <v>674</v>
      </c>
      <c r="C13" s="2875" t="s">
        <v>394</v>
      </c>
      <c r="D13" s="2899">
        <v>20000</v>
      </c>
      <c r="E13" s="2869">
        <v>0</v>
      </c>
      <c r="F13" s="2869">
        <v>0</v>
      </c>
      <c r="G13" s="2871">
        <v>0</v>
      </c>
      <c r="H13" s="2870">
        <f>D13+E13+F13</f>
        <v>20000</v>
      </c>
      <c r="I13" s="2869">
        <v>20000</v>
      </c>
      <c r="J13" s="2869">
        <f>H13-I13</f>
        <v>0</v>
      </c>
      <c r="K13" s="2869"/>
    </row>
    <row r="14" spans="1:11" s="2868" customFormat="1" ht="12.75">
      <c r="A14" s="2874"/>
      <c r="B14" s="2874" t="s">
        <v>389</v>
      </c>
      <c r="C14" s="2875" t="s">
        <v>388</v>
      </c>
      <c r="D14" s="2899">
        <v>409200</v>
      </c>
      <c r="E14" s="2869">
        <v>0</v>
      </c>
      <c r="F14" s="2869">
        <v>0</v>
      </c>
      <c r="G14" s="2871">
        <v>0</v>
      </c>
      <c r="H14" s="2870">
        <f>G14+D14</f>
        <v>409200</v>
      </c>
      <c r="I14" s="2869">
        <f>H14</f>
        <v>409200</v>
      </c>
      <c r="J14" s="2869">
        <f>H14-I14</f>
        <v>0</v>
      </c>
      <c r="K14" s="2869"/>
    </row>
    <row r="15" spans="1:11" s="2858" customFormat="1" ht="12.75">
      <c r="A15" s="2864"/>
      <c r="B15" s="2863" t="s">
        <v>244</v>
      </c>
      <c r="C15" s="2862"/>
      <c r="D15" s="2898">
        <f t="shared" ref="D15:J15" si="0">SUM(D12:D14)</f>
        <v>435000</v>
      </c>
      <c r="E15" s="2898">
        <f t="shared" si="0"/>
        <v>0</v>
      </c>
      <c r="F15" s="2898">
        <f t="shared" si="0"/>
        <v>0</v>
      </c>
      <c r="G15" s="2898">
        <f t="shared" si="0"/>
        <v>0</v>
      </c>
      <c r="H15" s="2898">
        <f t="shared" si="0"/>
        <v>435000</v>
      </c>
      <c r="I15" s="2898">
        <f t="shared" si="0"/>
        <v>435000</v>
      </c>
      <c r="J15" s="2898">
        <f t="shared" si="0"/>
        <v>0</v>
      </c>
      <c r="K15" s="2898"/>
    </row>
    <row r="16" spans="1:11" s="2858" customFormat="1" ht="12.75">
      <c r="A16" s="2864"/>
      <c r="B16" s="2863"/>
      <c r="C16" s="2862"/>
      <c r="D16" s="2897"/>
      <c r="E16" s="2860"/>
      <c r="F16" s="2860"/>
      <c r="G16" s="2861"/>
      <c r="H16" s="2860"/>
      <c r="I16" s="2859"/>
      <c r="J16" s="2859"/>
    </row>
    <row r="17" spans="1:10" s="2851" customFormat="1" ht="12.75">
      <c r="A17" s="2857"/>
      <c r="B17" s="2856"/>
      <c r="C17" s="2855"/>
      <c r="D17" s="2896"/>
      <c r="E17" s="2854"/>
      <c r="F17" s="2854"/>
      <c r="G17" s="2853"/>
      <c r="H17" s="2853"/>
      <c r="I17" s="2852"/>
      <c r="J17" s="2852"/>
    </row>
    <row r="18" spans="1:10" s="2846" customFormat="1" ht="12.75">
      <c r="B18" s="2846" t="s">
        <v>715</v>
      </c>
      <c r="D18" s="2895"/>
      <c r="E18" s="2846" t="s">
        <v>2168</v>
      </c>
    </row>
    <row r="19" spans="1:10" s="2846" customFormat="1" ht="12.75">
      <c r="C19" s="2850"/>
      <c r="D19" s="2895"/>
      <c r="G19" s="2849"/>
    </row>
    <row r="20" spans="1:10" s="2846" customFormat="1" ht="12.75">
      <c r="C20" s="2850"/>
      <c r="D20" s="2895"/>
      <c r="G20" s="2849"/>
    </row>
    <row r="21" spans="1:10" s="2846" customFormat="1" ht="12.75">
      <c r="B21" s="2848" t="s">
        <v>739</v>
      </c>
      <c r="C21" s="2848"/>
      <c r="D21" s="2894"/>
      <c r="E21" s="2848"/>
      <c r="F21" s="2848"/>
      <c r="G21" s="2848"/>
      <c r="H21" s="2848" t="s">
        <v>360</v>
      </c>
      <c r="I21" s="2848"/>
      <c r="J21" s="2848"/>
    </row>
    <row r="22" spans="1:10" s="2846" customFormat="1" ht="12.75">
      <c r="B22" s="2847" t="s">
        <v>740</v>
      </c>
      <c r="C22" s="2847"/>
      <c r="D22" s="2893"/>
      <c r="E22" s="2847"/>
      <c r="F22" s="2847"/>
      <c r="G22" s="2847"/>
      <c r="H22" s="2847" t="s">
        <v>357</v>
      </c>
      <c r="I22" s="2847"/>
      <c r="J22" s="2847"/>
    </row>
    <row r="23" spans="1:10" s="2841" customFormat="1">
      <c r="C23" s="2843"/>
      <c r="D23" s="2892"/>
      <c r="G23" s="2845"/>
      <c r="H23" s="2844"/>
      <c r="I23" s="2844"/>
    </row>
    <row r="24" spans="1:10" s="2841" customFormat="1" ht="8.25">
      <c r="C24" s="2843"/>
      <c r="D24" s="2892"/>
      <c r="G24" s="2842"/>
    </row>
    <row r="25" spans="1:10" s="2841" customFormat="1" ht="8.25">
      <c r="C25" s="2843"/>
      <c r="D25" s="2892"/>
      <c r="G25" s="2842"/>
    </row>
    <row r="26" spans="1:10" s="2841" customFormat="1" ht="8.25">
      <c r="C26" s="2843"/>
      <c r="D26" s="2892"/>
      <c r="G26" s="2842"/>
    </row>
    <row r="27" spans="1:10" s="2841" customFormat="1" ht="8.25">
      <c r="C27" s="2843"/>
      <c r="D27" s="2892"/>
      <c r="G27" s="2842"/>
    </row>
    <row r="28" spans="1:10">
      <c r="C28" s="2840"/>
    </row>
    <row r="29" spans="1:10">
      <c r="C29" s="2840"/>
    </row>
    <row r="30" spans="1:10">
      <c r="C30" s="2840"/>
    </row>
    <row r="31" spans="1:10">
      <c r="C31" s="2840"/>
    </row>
    <row r="32" spans="1:10" s="2891" customFormat="1">
      <c r="A32" s="2838"/>
      <c r="B32" s="2838"/>
      <c r="C32" s="2840"/>
      <c r="E32" s="2838"/>
      <c r="F32" s="2838"/>
      <c r="G32" s="2839"/>
      <c r="H32" s="2838"/>
      <c r="I32" s="2838"/>
      <c r="J32" s="2838"/>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verticalDpi="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5"/>
  <sheetViews>
    <sheetView workbookViewId="0">
      <selection activeCell="J23" sqref="J23"/>
    </sheetView>
  </sheetViews>
  <sheetFormatPr defaultRowHeight="15"/>
  <cols>
    <col min="1" max="1" width="1.28515625" style="2838" customWidth="1"/>
    <col min="2" max="2" width="46" style="2838" customWidth="1"/>
    <col min="3" max="3" width="13" style="2838" customWidth="1"/>
    <col min="4" max="4" width="11.5703125" style="2891" customWidth="1"/>
    <col min="5" max="5" width="10.28515625" style="2838" customWidth="1"/>
    <col min="6" max="6" width="9" style="2838" customWidth="1"/>
    <col min="7" max="7" width="9.5703125" style="2839" customWidth="1"/>
    <col min="8" max="8" width="11.7109375" style="2838" customWidth="1"/>
    <col min="9" max="10" width="12" style="2838" customWidth="1"/>
    <col min="11" max="11" width="10.28515625" style="2838" customWidth="1"/>
    <col min="12"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903"/>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ht="12.75">
      <c r="D8" s="4919" t="s">
        <v>2182</v>
      </c>
      <c r="E8" s="2887"/>
      <c r="F8" s="2887"/>
      <c r="G8" s="2886"/>
      <c r="H8" s="4916" t="s">
        <v>244</v>
      </c>
      <c r="I8" s="2883" t="s">
        <v>2186</v>
      </c>
      <c r="J8" s="4904"/>
      <c r="K8" s="4904"/>
    </row>
    <row r="9" spans="1:11" ht="12.75">
      <c r="D9" s="4920"/>
      <c r="E9" s="2885" t="s">
        <v>2185</v>
      </c>
      <c r="F9" s="2885" t="s">
        <v>2196</v>
      </c>
      <c r="G9" s="2884" t="s">
        <v>2183</v>
      </c>
      <c r="H9" s="4917"/>
      <c r="I9" s="2883" t="s">
        <v>2182</v>
      </c>
      <c r="J9" s="4904"/>
      <c r="K9" s="4904"/>
    </row>
    <row r="10" spans="1:11" ht="12.75">
      <c r="B10" s="2879" t="s">
        <v>2179</v>
      </c>
      <c r="D10" s="4921"/>
      <c r="E10" s="2882"/>
      <c r="F10" s="2882"/>
      <c r="G10" s="2881" t="s">
        <v>2181</v>
      </c>
      <c r="H10" s="4918"/>
      <c r="I10" s="2880" t="s">
        <v>2180</v>
      </c>
      <c r="J10" s="4905"/>
      <c r="K10" s="4905"/>
    </row>
    <row r="11" spans="1:11">
      <c r="A11" s="2879"/>
      <c r="B11" s="2879" t="s">
        <v>2218</v>
      </c>
      <c r="D11" s="2901"/>
      <c r="E11" s="2878"/>
      <c r="F11" s="2878"/>
      <c r="G11" s="2877"/>
      <c r="H11" s="2876"/>
      <c r="I11" s="2876"/>
      <c r="J11" s="2876"/>
      <c r="K11" s="2876"/>
    </row>
    <row r="12" spans="1:11" s="2868" customFormat="1" ht="12.75">
      <c r="A12" s="2874"/>
      <c r="B12" s="2874" t="s">
        <v>877</v>
      </c>
      <c r="C12" s="2875" t="s">
        <v>396</v>
      </c>
      <c r="D12" s="2899">
        <v>45000</v>
      </c>
      <c r="E12" s="2869">
        <v>0</v>
      </c>
      <c r="F12" s="2869">
        <v>0</v>
      </c>
      <c r="G12" s="2871">
        <v>0</v>
      </c>
      <c r="H12" s="2870">
        <f t="shared" ref="H12:H17" si="0">D12+E12+F12</f>
        <v>45000</v>
      </c>
      <c r="I12" s="2869">
        <f>H12</f>
        <v>45000</v>
      </c>
      <c r="J12" s="2869">
        <f>H12-I12</f>
        <v>0</v>
      </c>
      <c r="K12" s="2869"/>
    </row>
    <row r="13" spans="1:11" s="2868" customFormat="1" ht="12.75">
      <c r="A13" s="2874"/>
      <c r="B13" s="2874" t="s">
        <v>701</v>
      </c>
      <c r="C13" s="2875" t="s">
        <v>394</v>
      </c>
      <c r="D13" s="2899">
        <v>130560</v>
      </c>
      <c r="E13" s="2869">
        <v>0</v>
      </c>
      <c r="F13" s="2869">
        <v>0</v>
      </c>
      <c r="G13" s="2871">
        <v>0</v>
      </c>
      <c r="H13" s="2870">
        <f t="shared" si="0"/>
        <v>130560</v>
      </c>
      <c r="I13" s="2869">
        <f>H13</f>
        <v>130560</v>
      </c>
      <c r="J13" s="2869">
        <f>H13-I13</f>
        <v>0</v>
      </c>
      <c r="K13" s="2869"/>
    </row>
    <row r="14" spans="1:11" s="2868" customFormat="1" ht="12.75">
      <c r="A14" s="2874"/>
      <c r="B14" s="2874" t="s">
        <v>389</v>
      </c>
      <c r="C14" s="2875" t="s">
        <v>388</v>
      </c>
      <c r="D14" s="2899">
        <v>1932120</v>
      </c>
      <c r="E14" s="2869">
        <v>0</v>
      </c>
      <c r="F14" s="2869">
        <v>0</v>
      </c>
      <c r="G14" s="2871">
        <v>0</v>
      </c>
      <c r="H14" s="2870">
        <f t="shared" si="0"/>
        <v>1932120</v>
      </c>
      <c r="I14" s="2869">
        <f>H14</f>
        <v>1932120</v>
      </c>
      <c r="J14" s="2869">
        <f>H14-I14</f>
        <v>0</v>
      </c>
      <c r="K14" s="2869"/>
    </row>
    <row r="15" spans="1:11" s="2868" customFormat="1" ht="12.75">
      <c r="A15" s="2874"/>
      <c r="B15" s="2874" t="s">
        <v>2198</v>
      </c>
      <c r="C15" s="2875" t="s">
        <v>376</v>
      </c>
      <c r="D15" s="2899">
        <v>25000</v>
      </c>
      <c r="E15" s="2869">
        <v>16800</v>
      </c>
      <c r="F15" s="2869">
        <v>0</v>
      </c>
      <c r="G15" s="2871">
        <v>0</v>
      </c>
      <c r="H15" s="2870">
        <f t="shared" si="0"/>
        <v>41800</v>
      </c>
      <c r="I15" s="2869">
        <f>D15</f>
        <v>25000</v>
      </c>
      <c r="J15" s="2869">
        <f>H15-I15</f>
        <v>16800</v>
      </c>
      <c r="K15" s="2869"/>
    </row>
    <row r="16" spans="1:11" s="2868" customFormat="1" ht="12.75">
      <c r="A16" s="2874"/>
      <c r="B16" s="2873" t="s">
        <v>368</v>
      </c>
      <c r="C16" s="2875" t="s">
        <v>367</v>
      </c>
      <c r="D16" s="2899">
        <v>7320</v>
      </c>
      <c r="E16" s="2869">
        <v>108000</v>
      </c>
      <c r="F16" s="2869"/>
      <c r="G16" s="2871"/>
      <c r="H16" s="2870">
        <f t="shared" si="0"/>
        <v>115320</v>
      </c>
      <c r="I16" s="2869">
        <f>D16</f>
        <v>7320</v>
      </c>
      <c r="J16" s="2869">
        <f>H16-I16</f>
        <v>108000</v>
      </c>
      <c r="K16" s="2869"/>
    </row>
    <row r="17" spans="1:11" s="2868" customFormat="1" ht="12.75">
      <c r="A17" s="2874"/>
      <c r="B17" s="2873" t="s">
        <v>2217</v>
      </c>
      <c r="C17" s="2875" t="s">
        <v>2155</v>
      </c>
      <c r="D17" s="2899">
        <v>0</v>
      </c>
      <c r="E17" s="2869">
        <v>12000</v>
      </c>
      <c r="F17" s="2869">
        <v>0</v>
      </c>
      <c r="G17" s="2871">
        <v>0</v>
      </c>
      <c r="H17" s="2870">
        <f t="shared" si="0"/>
        <v>12000</v>
      </c>
      <c r="I17" s="2869">
        <v>12000</v>
      </c>
      <c r="J17" s="2869">
        <v>0</v>
      </c>
      <c r="K17" s="2869"/>
    </row>
    <row r="18" spans="1:11" s="2858" customFormat="1" ht="12.75">
      <c r="A18" s="2864"/>
      <c r="B18" s="2863" t="s">
        <v>244</v>
      </c>
      <c r="C18" s="2862"/>
      <c r="D18" s="2898">
        <f t="shared" ref="D18:J18" si="1">SUM(D12:D17)</f>
        <v>2140000</v>
      </c>
      <c r="E18" s="2898">
        <f t="shared" si="1"/>
        <v>136800</v>
      </c>
      <c r="F18" s="2898">
        <f t="shared" si="1"/>
        <v>0</v>
      </c>
      <c r="G18" s="2898">
        <f t="shared" si="1"/>
        <v>0</v>
      </c>
      <c r="H18" s="2898">
        <f t="shared" si="1"/>
        <v>2276800</v>
      </c>
      <c r="I18" s="2898">
        <f t="shared" si="1"/>
        <v>2152000</v>
      </c>
      <c r="J18" s="2898">
        <f t="shared" si="1"/>
        <v>124800</v>
      </c>
      <c r="K18" s="2898"/>
    </row>
    <row r="19" spans="1:11" s="2858" customFormat="1" ht="12.75">
      <c r="A19" s="2864"/>
      <c r="B19" s="2863"/>
      <c r="C19" s="2862"/>
      <c r="D19" s="2897"/>
      <c r="E19" s="2860"/>
      <c r="F19" s="2860"/>
      <c r="G19" s="2861"/>
      <c r="H19" s="2860"/>
      <c r="I19" s="2859"/>
      <c r="J19" s="2859"/>
    </row>
    <row r="20" spans="1:11" s="2851" customFormat="1" ht="12.75">
      <c r="A20" s="2857"/>
      <c r="B20" s="2856"/>
      <c r="C20" s="2855"/>
      <c r="D20" s="2896"/>
      <c r="E20" s="2854"/>
      <c r="F20" s="2854"/>
      <c r="G20" s="2853"/>
      <c r="H20" s="2853"/>
      <c r="I20" s="2852"/>
      <c r="J20" s="2852"/>
    </row>
    <row r="21" spans="1:11" s="2846" customFormat="1" ht="12.75">
      <c r="B21" s="2846" t="s">
        <v>715</v>
      </c>
      <c r="D21" s="2895"/>
      <c r="E21" s="2846" t="s">
        <v>2168</v>
      </c>
    </row>
    <row r="22" spans="1:11" s="2846" customFormat="1" ht="12.75">
      <c r="C22" s="2850"/>
      <c r="D22" s="2895"/>
      <c r="G22" s="2849"/>
    </row>
    <row r="23" spans="1:11" s="2846" customFormat="1" ht="12.75">
      <c r="C23" s="2850"/>
      <c r="D23" s="2895"/>
      <c r="G23" s="2849"/>
    </row>
    <row r="24" spans="1:11" s="2846" customFormat="1" ht="12.75">
      <c r="B24" s="2848" t="s">
        <v>739</v>
      </c>
      <c r="C24" s="2848"/>
      <c r="D24" s="2894"/>
      <c r="E24" s="2848"/>
      <c r="F24" s="2848"/>
      <c r="G24" s="2848"/>
      <c r="H24" s="2848" t="s">
        <v>360</v>
      </c>
      <c r="I24" s="2848"/>
      <c r="J24" s="2848"/>
    </row>
    <row r="25" spans="1:11" s="2846" customFormat="1" ht="12.75">
      <c r="B25" s="2847" t="s">
        <v>740</v>
      </c>
      <c r="C25" s="2847"/>
      <c r="D25" s="2893"/>
      <c r="E25" s="2847"/>
      <c r="F25" s="2847"/>
      <c r="G25" s="2847"/>
      <c r="H25" s="2847" t="s">
        <v>357</v>
      </c>
      <c r="I25" s="2847"/>
      <c r="J25" s="2847"/>
    </row>
    <row r="26" spans="1:11" s="2841" customFormat="1">
      <c r="C26" s="2843"/>
      <c r="D26" s="2892"/>
      <c r="G26" s="2845"/>
      <c r="H26" s="2844"/>
      <c r="I26" s="2844"/>
    </row>
    <row r="27" spans="1:11" s="2841" customFormat="1" ht="8.25">
      <c r="C27" s="2843"/>
      <c r="D27" s="2892"/>
      <c r="G27" s="2842"/>
    </row>
    <row r="28" spans="1:11" s="2841" customFormat="1" ht="8.25">
      <c r="C28" s="2843"/>
      <c r="D28" s="2892"/>
      <c r="G28" s="2842"/>
    </row>
    <row r="29" spans="1:11" s="2841" customFormat="1" ht="8.25">
      <c r="C29" s="2843"/>
      <c r="D29" s="2892"/>
      <c r="G29" s="2842"/>
    </row>
    <row r="30" spans="1:11" s="2841" customFormat="1" ht="8.25">
      <c r="C30" s="2843"/>
      <c r="D30" s="2892"/>
      <c r="G30" s="2842"/>
    </row>
    <row r="31" spans="1:11">
      <c r="C31" s="2840"/>
    </row>
    <row r="32" spans="1:11">
      <c r="C32" s="2840"/>
    </row>
    <row r="33" spans="1:10">
      <c r="C33" s="2840"/>
    </row>
    <row r="34" spans="1:10">
      <c r="C34" s="2840"/>
    </row>
    <row r="35" spans="1:10" s="2891" customFormat="1">
      <c r="A35" s="2838"/>
      <c r="B35" s="2838"/>
      <c r="C35" s="2840"/>
      <c r="E35" s="2838"/>
      <c r="F35" s="2838"/>
      <c r="G35" s="2839"/>
      <c r="H35" s="2838"/>
      <c r="I35" s="2838"/>
      <c r="J35" s="2838"/>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verticalDpi="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showGridLines="0" topLeftCell="A13" zoomScale="119" zoomScaleNormal="119" workbookViewId="0">
      <selection activeCell="J26" sqref="J26"/>
    </sheetView>
  </sheetViews>
  <sheetFormatPr defaultRowHeight="15"/>
  <cols>
    <col min="2" max="2" width="29.28515625" customWidth="1"/>
    <col min="3" max="3" width="8" customWidth="1"/>
    <col min="4" max="4" width="11.5703125" customWidth="1"/>
    <col min="5" max="5" width="11.28515625" customWidth="1"/>
    <col min="6" max="6" width="11.5703125" customWidth="1"/>
    <col min="7" max="7" width="10.7109375" customWidth="1"/>
    <col min="8" max="8" width="10.42578125" customWidth="1"/>
    <col min="9" max="9" width="9.140625" style="2905"/>
    <col min="11" max="11" width="14.5703125" bestFit="1" customWidth="1"/>
    <col min="13" max="13" width="13.42578125" bestFit="1" customWidth="1"/>
    <col min="14" max="14" width="13.42578125" customWidth="1"/>
    <col min="15" max="15" width="15.140625" bestFit="1" customWidth="1"/>
  </cols>
  <sheetData>
    <row r="1" spans="1:14" ht="15.75">
      <c r="A1" s="2615" t="s">
        <v>2257</v>
      </c>
      <c r="B1" s="2999"/>
      <c r="C1" s="2999"/>
      <c r="D1" s="2609"/>
      <c r="E1" s="2527"/>
      <c r="F1" s="2609"/>
      <c r="G1" s="2609"/>
      <c r="H1" s="2530"/>
      <c r="I1" s="2998"/>
      <c r="J1" s="2530"/>
      <c r="K1" s="2530"/>
      <c r="L1" s="2530"/>
      <c r="M1" s="2530"/>
      <c r="N1" s="2530"/>
    </row>
    <row r="2" spans="1:14" ht="15.75">
      <c r="A2" s="2614" t="s">
        <v>2256</v>
      </c>
      <c r="B2" s="2999"/>
      <c r="C2" s="2999"/>
      <c r="D2" s="2609"/>
      <c r="E2" s="2526"/>
      <c r="F2" s="2609"/>
      <c r="G2" s="2609"/>
      <c r="H2" s="2530"/>
      <c r="I2" s="2998"/>
      <c r="J2" s="2530"/>
      <c r="K2" s="2530"/>
      <c r="L2" s="2530"/>
      <c r="M2" s="2530"/>
      <c r="N2" s="2530"/>
    </row>
    <row r="3" spans="1:14" ht="15.75">
      <c r="A3" s="2727"/>
      <c r="B3" s="2727"/>
      <c r="C3" s="1412"/>
      <c r="D3" s="2727"/>
      <c r="E3" s="2727"/>
      <c r="F3" s="2727"/>
      <c r="G3" s="2727"/>
      <c r="H3" s="2727"/>
      <c r="I3" s="2998"/>
      <c r="J3" s="2530"/>
      <c r="K3" s="2530"/>
      <c r="L3" s="2530"/>
      <c r="M3" s="2530"/>
      <c r="N3" s="2530"/>
    </row>
    <row r="4" spans="1:14" ht="18" customHeight="1">
      <c r="A4" s="4928" t="s">
        <v>471</v>
      </c>
      <c r="B4" s="4928"/>
      <c r="C4" s="4928"/>
      <c r="D4" s="4928"/>
      <c r="E4" s="4928"/>
      <c r="F4" s="4928"/>
      <c r="G4" s="4928"/>
      <c r="H4" s="4928"/>
      <c r="I4" s="2997"/>
      <c r="J4" s="2996"/>
      <c r="K4" s="2996"/>
      <c r="L4" s="2996"/>
      <c r="M4" s="2996"/>
      <c r="N4" s="2996"/>
    </row>
    <row r="5" spans="1:14" ht="16.5">
      <c r="A5" s="4868" t="s">
        <v>2255</v>
      </c>
      <c r="B5" s="4868"/>
      <c r="C5" s="4868"/>
      <c r="D5" s="4868"/>
      <c r="E5" s="4868"/>
      <c r="F5" s="4868"/>
      <c r="G5" s="4868"/>
      <c r="H5" s="4868"/>
      <c r="I5" s="2909"/>
      <c r="J5" s="2995"/>
      <c r="K5" s="2995"/>
      <c r="L5" s="2995"/>
      <c r="M5" s="2995"/>
      <c r="N5" s="2995"/>
    </row>
    <row r="6" spans="1:14">
      <c r="A6" s="4742"/>
      <c r="B6" s="4742"/>
      <c r="C6" s="4742"/>
      <c r="D6" s="4742"/>
      <c r="E6" s="4742"/>
      <c r="F6" s="4742"/>
      <c r="G6" s="4742"/>
      <c r="H6" s="4742"/>
      <c r="I6" s="2909"/>
      <c r="J6" s="2579"/>
      <c r="K6" s="2579"/>
      <c r="L6" s="2579"/>
      <c r="M6" s="2579"/>
      <c r="N6" s="2579"/>
    </row>
    <row r="7" spans="1:14" ht="15.75">
      <c r="A7" s="1577" t="s">
        <v>2254</v>
      </c>
      <c r="B7" s="2994"/>
      <c r="C7" s="2611"/>
      <c r="D7" s="1474"/>
      <c r="E7" s="2609"/>
      <c r="F7" s="1472"/>
      <c r="G7" s="2527"/>
      <c r="H7" s="2609"/>
      <c r="I7" s="2909"/>
      <c r="J7" s="2579"/>
      <c r="K7" s="2579"/>
      <c r="L7" s="2579"/>
      <c r="M7" s="2579"/>
      <c r="N7" s="2579"/>
    </row>
    <row r="8" spans="1:14" ht="24.75" customHeight="1">
      <c r="A8" s="1514" t="s">
        <v>1362</v>
      </c>
      <c r="C8" s="2611"/>
      <c r="D8" s="2610"/>
      <c r="E8" s="2609"/>
      <c r="F8" s="1472"/>
      <c r="G8" s="2526"/>
      <c r="H8" s="2609"/>
      <c r="I8" s="2909"/>
      <c r="J8" s="2579"/>
      <c r="K8" s="2579"/>
      <c r="L8" s="2579"/>
      <c r="M8" s="2579"/>
      <c r="N8" s="2579"/>
    </row>
    <row r="9" spans="1:14" s="2984" customFormat="1">
      <c r="A9" s="4743" t="s">
        <v>468</v>
      </c>
      <c r="B9" s="4744"/>
      <c r="C9" s="2991"/>
      <c r="D9" s="2993" t="s">
        <v>466</v>
      </c>
      <c r="E9" s="4931" t="s">
        <v>465</v>
      </c>
      <c r="F9" s="4932"/>
      <c r="G9" s="4933"/>
      <c r="H9" s="2991" t="s">
        <v>464</v>
      </c>
      <c r="I9" s="2986"/>
      <c r="J9" s="2985"/>
      <c r="K9" s="2985"/>
      <c r="L9" s="2985"/>
      <c r="M9" s="2985"/>
      <c r="N9" s="2985"/>
    </row>
    <row r="10" spans="1:14" s="2984" customFormat="1">
      <c r="A10" s="4745"/>
      <c r="B10" s="4746"/>
      <c r="C10" s="2992" t="s">
        <v>467</v>
      </c>
      <c r="D10" s="2989">
        <v>2020</v>
      </c>
      <c r="E10" s="2991" t="s">
        <v>462</v>
      </c>
      <c r="F10" s="2990" t="s">
        <v>2117</v>
      </c>
      <c r="G10" s="4929" t="s">
        <v>244</v>
      </c>
      <c r="H10" s="2989">
        <v>2022</v>
      </c>
      <c r="I10" s="2986"/>
      <c r="J10" s="2985"/>
      <c r="K10" s="2985"/>
      <c r="L10" s="2985"/>
      <c r="M10" s="2985"/>
      <c r="N10" s="2985"/>
    </row>
    <row r="11" spans="1:14" s="2984" customFormat="1">
      <c r="A11" s="4747"/>
      <c r="B11" s="4748"/>
      <c r="C11" s="2988" t="s">
        <v>463</v>
      </c>
      <c r="D11" s="2987" t="s">
        <v>460</v>
      </c>
      <c r="E11" s="2987" t="s">
        <v>460</v>
      </c>
      <c r="F11" s="2987" t="s">
        <v>459</v>
      </c>
      <c r="G11" s="4930"/>
      <c r="H11" s="2987" t="s">
        <v>458</v>
      </c>
      <c r="I11" s="2986"/>
      <c r="J11" s="2985"/>
      <c r="K11" s="2985"/>
      <c r="L11" s="2985"/>
      <c r="M11" s="2985"/>
      <c r="N11" s="2985"/>
    </row>
    <row r="12" spans="1:14" ht="21.95" customHeight="1">
      <c r="A12" s="1436" t="s">
        <v>2011</v>
      </c>
      <c r="B12" s="2981"/>
      <c r="C12" s="1513"/>
      <c r="D12" s="2983"/>
      <c r="E12" s="2598"/>
      <c r="F12" s="2983"/>
      <c r="G12" s="2598"/>
      <c r="H12" s="2982"/>
      <c r="I12" s="2909"/>
      <c r="J12" s="2579"/>
      <c r="K12" s="2579"/>
      <c r="L12" s="2579"/>
      <c r="M12" s="2579"/>
      <c r="N12" s="2579"/>
    </row>
    <row r="13" spans="1:14" ht="21.95" customHeight="1">
      <c r="A13" s="1436" t="s">
        <v>2253</v>
      </c>
      <c r="B13" s="2981"/>
      <c r="C13" s="1513"/>
      <c r="D13" s="2980">
        <f>SUM(D14:D35)</f>
        <v>130302756.85000001</v>
      </c>
      <c r="E13" s="1512">
        <f>SUM(E14:E36)</f>
        <v>68580601.870000005</v>
      </c>
      <c r="F13" s="1512">
        <f>SUM(F14:F36)</f>
        <v>177681423.93000001</v>
      </c>
      <c r="G13" s="1512">
        <f>SUM(G14:G36)</f>
        <v>246262025.80000001</v>
      </c>
      <c r="H13" s="1512">
        <f>SUM(H14:H36)</f>
        <v>262500000</v>
      </c>
      <c r="I13" s="2909"/>
      <c r="J13" s="2579"/>
      <c r="K13" s="2579"/>
      <c r="L13" s="2579"/>
      <c r="M13" s="2579"/>
      <c r="N13" s="2579"/>
    </row>
    <row r="14" spans="1:14" s="2908" customFormat="1" ht="21" customHeight="1">
      <c r="A14" s="2979" t="s">
        <v>2252</v>
      </c>
      <c r="B14" s="2978"/>
      <c r="C14" s="2977" t="s">
        <v>2251</v>
      </c>
      <c r="D14" s="2976">
        <v>35995000</v>
      </c>
      <c r="E14" s="2975">
        <v>36016000</v>
      </c>
      <c r="F14" s="2975">
        <f>G14-E14</f>
        <v>2984000</v>
      </c>
      <c r="G14" s="2974">
        <v>39000000</v>
      </c>
      <c r="H14" s="2973">
        <v>30000000</v>
      </c>
      <c r="I14" s="2928"/>
      <c r="J14" s="2579"/>
      <c r="K14" s="2579"/>
      <c r="L14" s="2579"/>
      <c r="M14" s="2579"/>
      <c r="N14" s="2579"/>
    </row>
    <row r="15" spans="1:14" s="2908" customFormat="1" ht="17.25" customHeight="1">
      <c r="A15" s="2972" t="s">
        <v>2250</v>
      </c>
      <c r="B15" s="1543"/>
      <c r="C15" s="2956" t="s">
        <v>2249</v>
      </c>
      <c r="D15" s="2955">
        <v>0</v>
      </c>
      <c r="E15" s="1461">
        <v>134265</v>
      </c>
      <c r="F15" s="1461">
        <f>G15-E15</f>
        <v>39865735</v>
      </c>
      <c r="G15" s="2954">
        <v>40000000</v>
      </c>
      <c r="H15" s="2953">
        <v>80000000</v>
      </c>
      <c r="I15" s="2928"/>
      <c r="J15" s="2579"/>
      <c r="K15" s="2971"/>
      <c r="L15" s="2579"/>
      <c r="M15" s="2971"/>
      <c r="N15" s="2971"/>
    </row>
    <row r="16" spans="1:14" s="2908" customFormat="1" ht="19.5" customHeight="1">
      <c r="A16" s="2721" t="s">
        <v>2248</v>
      </c>
      <c r="B16" s="2965"/>
      <c r="C16" s="2956" t="s">
        <v>1795</v>
      </c>
      <c r="D16" s="2970">
        <v>5060547.2</v>
      </c>
      <c r="E16" s="2970">
        <v>0</v>
      </c>
      <c r="F16" s="1461">
        <f>G16-E16</f>
        <v>5000000</v>
      </c>
      <c r="G16" s="2969">
        <v>5000000</v>
      </c>
      <c r="H16" s="2968">
        <v>10000000</v>
      </c>
      <c r="I16" s="2928"/>
      <c r="J16" s="2579"/>
      <c r="K16" s="2579"/>
      <c r="L16" s="2579"/>
      <c r="M16" s="2579"/>
      <c r="N16" s="2579"/>
    </row>
    <row r="17" spans="1:15" s="2908" customFormat="1" ht="18" customHeight="1">
      <c r="A17" s="2721" t="s">
        <v>2247</v>
      </c>
      <c r="B17" s="2965"/>
      <c r="C17" s="2956" t="s">
        <v>1795</v>
      </c>
      <c r="D17" s="2955">
        <v>34157371.200000003</v>
      </c>
      <c r="E17" s="1461">
        <v>0</v>
      </c>
      <c r="F17" s="1461">
        <v>0</v>
      </c>
      <c r="G17" s="2954">
        <v>0</v>
      </c>
      <c r="H17" s="2953">
        <v>0</v>
      </c>
      <c r="I17" s="2928"/>
      <c r="J17" s="2579"/>
      <c r="K17" s="2579"/>
      <c r="L17" s="2579"/>
      <c r="M17" s="2579"/>
      <c r="N17" s="2579"/>
      <c r="O17" s="2967"/>
    </row>
    <row r="18" spans="1:15" s="2908" customFormat="1" ht="18" customHeight="1">
      <c r="A18" s="2721" t="s">
        <v>2246</v>
      </c>
      <c r="B18" s="2965"/>
      <c r="C18" s="2956"/>
      <c r="D18" s="2955"/>
      <c r="E18" s="1461"/>
      <c r="F18" s="1461"/>
      <c r="G18" s="2954"/>
      <c r="H18" s="2953"/>
      <c r="I18" s="2928"/>
      <c r="J18" s="2579"/>
      <c r="K18" s="2579"/>
      <c r="L18" s="2579"/>
      <c r="M18" s="2579"/>
      <c r="N18" s="2579"/>
    </row>
    <row r="19" spans="1:15" s="2908" customFormat="1" ht="15.75" customHeight="1">
      <c r="A19" s="2721" t="s">
        <v>2245</v>
      </c>
      <c r="B19" s="2965"/>
      <c r="C19" s="2956" t="s">
        <v>1795</v>
      </c>
      <c r="D19" s="2955">
        <v>0</v>
      </c>
      <c r="E19" s="1461">
        <v>0</v>
      </c>
      <c r="F19" s="1461">
        <v>9000000</v>
      </c>
      <c r="G19" s="2954">
        <v>9000000</v>
      </c>
      <c r="H19" s="2953">
        <v>10000000</v>
      </c>
      <c r="I19" s="2928"/>
      <c r="J19" s="2579"/>
      <c r="K19" s="2579"/>
      <c r="L19" s="2579"/>
      <c r="M19" s="2579"/>
      <c r="N19" s="2579"/>
      <c r="O19" s="2967"/>
    </row>
    <row r="20" spans="1:15" s="2908" customFormat="1" ht="18" customHeight="1">
      <c r="A20" s="2721" t="s">
        <v>2244</v>
      </c>
      <c r="B20" s="2965"/>
      <c r="C20" s="2956" t="s">
        <v>1795</v>
      </c>
      <c r="D20" s="2955">
        <v>11201448.449999999</v>
      </c>
      <c r="E20" s="1461">
        <v>0</v>
      </c>
      <c r="F20" s="1461">
        <v>0</v>
      </c>
      <c r="G20" s="2954">
        <v>0</v>
      </c>
      <c r="H20" s="2953">
        <v>0</v>
      </c>
      <c r="I20" s="2928"/>
      <c r="J20" s="2579"/>
      <c r="K20" s="2579"/>
      <c r="L20" s="2579"/>
      <c r="M20" s="2579"/>
      <c r="N20" s="2579"/>
    </row>
    <row r="21" spans="1:15" s="2908" customFormat="1" ht="17.25" customHeight="1">
      <c r="A21" s="2966" t="s">
        <v>2243</v>
      </c>
      <c r="B21" s="2965"/>
      <c r="C21" s="2956" t="s">
        <v>1795</v>
      </c>
      <c r="D21" s="2955">
        <v>0</v>
      </c>
      <c r="E21" s="1461">
        <v>0</v>
      </c>
      <c r="F21" s="1461">
        <v>20000000</v>
      </c>
      <c r="G21" s="2954">
        <v>20000000</v>
      </c>
      <c r="H21" s="2953">
        <v>20000000</v>
      </c>
      <c r="I21" s="2928"/>
      <c r="J21" s="2579"/>
      <c r="K21" s="2579"/>
      <c r="L21" s="2579"/>
      <c r="M21" s="2579"/>
      <c r="N21" s="2579"/>
    </row>
    <row r="22" spans="1:15" s="2908" customFormat="1" ht="16.5" customHeight="1">
      <c r="A22" s="2960" t="s">
        <v>2242</v>
      </c>
      <c r="B22" s="1543"/>
      <c r="C22" s="2956"/>
      <c r="D22" s="2955"/>
      <c r="E22" s="1461"/>
      <c r="F22" s="1461"/>
      <c r="G22" s="2954"/>
      <c r="H22" s="2953"/>
      <c r="I22" s="2928"/>
      <c r="J22" s="2579"/>
      <c r="K22" s="2579"/>
      <c r="L22" s="2579"/>
      <c r="M22" s="2579"/>
      <c r="N22" s="2579"/>
    </row>
    <row r="23" spans="1:15" s="2908" customFormat="1" ht="19.5" customHeight="1">
      <c r="A23" s="2960" t="s">
        <v>2241</v>
      </c>
      <c r="B23" s="1543"/>
      <c r="C23" s="2956" t="s">
        <v>1795</v>
      </c>
      <c r="D23" s="2955">
        <v>0</v>
      </c>
      <c r="E23" s="1461">
        <v>0</v>
      </c>
      <c r="F23" s="1461">
        <f>G23-E23</f>
        <v>3000000</v>
      </c>
      <c r="G23" s="2954">
        <v>3000000</v>
      </c>
      <c r="H23" s="2953">
        <v>3000000</v>
      </c>
      <c r="I23" s="2928"/>
      <c r="J23" s="2579"/>
      <c r="K23" s="2579"/>
      <c r="L23" s="2579"/>
      <c r="M23" s="2579"/>
      <c r="N23" s="2579"/>
    </row>
    <row r="24" spans="1:15" s="2908" customFormat="1" ht="15.75" customHeight="1">
      <c r="A24" s="2960" t="s">
        <v>2240</v>
      </c>
      <c r="B24" s="2957"/>
      <c r="C24" s="2956" t="s">
        <v>1795</v>
      </c>
      <c r="D24" s="2955">
        <v>0</v>
      </c>
      <c r="E24" s="1461">
        <v>6532232.8399999999</v>
      </c>
      <c r="F24" s="1461">
        <f>G24-E24</f>
        <v>24229792.960000001</v>
      </c>
      <c r="G24" s="2954">
        <v>30762025.800000001</v>
      </c>
      <c r="H24" s="2953">
        <v>20000000</v>
      </c>
      <c r="I24" s="2928"/>
      <c r="J24" s="2579"/>
      <c r="K24" s="2579"/>
      <c r="L24" s="2579"/>
      <c r="M24" s="2579"/>
      <c r="N24" s="2579"/>
    </row>
    <row r="25" spans="1:15" s="2908" customFormat="1" ht="18" customHeight="1">
      <c r="A25" s="2958" t="s">
        <v>2239</v>
      </c>
      <c r="B25" s="2964"/>
      <c r="C25" s="2963" t="s">
        <v>1795</v>
      </c>
      <c r="D25" s="1457">
        <v>0</v>
      </c>
      <c r="E25" s="1461">
        <v>25132237.649999999</v>
      </c>
      <c r="F25" s="1461">
        <f>G25-E25</f>
        <v>17762.35000000149</v>
      </c>
      <c r="G25" s="2954">
        <v>25150000</v>
      </c>
      <c r="H25" s="2953">
        <v>0</v>
      </c>
      <c r="I25" s="2928"/>
      <c r="J25" s="2579"/>
      <c r="K25" s="2579"/>
      <c r="L25" s="2579"/>
      <c r="M25" s="2579"/>
      <c r="N25" s="2579"/>
    </row>
    <row r="26" spans="1:15" s="2908" customFormat="1" ht="20.25" customHeight="1">
      <c r="A26" s="2958" t="s">
        <v>2238</v>
      </c>
      <c r="B26" s="2957"/>
      <c r="C26" s="2956" t="s">
        <v>1795</v>
      </c>
      <c r="D26" s="1457">
        <v>0</v>
      </c>
      <c r="E26" s="1461">
        <v>765866.38</v>
      </c>
      <c r="F26" s="1431">
        <f>G26-E26</f>
        <v>1234133.6200000001</v>
      </c>
      <c r="G26" s="2954">
        <v>2000000</v>
      </c>
      <c r="H26" s="2953">
        <v>5000000</v>
      </c>
      <c r="I26" s="2928"/>
      <c r="J26" s="2579"/>
      <c r="K26" s="2579"/>
      <c r="L26" s="2579"/>
      <c r="M26" s="2579"/>
      <c r="N26" s="2579"/>
    </row>
    <row r="27" spans="1:15" s="2908" customFormat="1" ht="15.75" customHeight="1">
      <c r="A27" s="2960" t="s">
        <v>2237</v>
      </c>
      <c r="B27" s="1543"/>
      <c r="C27" s="2956" t="s">
        <v>1795</v>
      </c>
      <c r="D27" s="1457">
        <v>0</v>
      </c>
      <c r="E27" s="1461">
        <v>0</v>
      </c>
      <c r="F27" s="1431">
        <f>G27-E27</f>
        <v>8350000</v>
      </c>
      <c r="G27" s="2954">
        <v>8350000</v>
      </c>
      <c r="H27" s="2953">
        <v>5000000</v>
      </c>
      <c r="I27" s="2928"/>
      <c r="J27" s="2579"/>
      <c r="K27" s="2579"/>
      <c r="L27" s="2579"/>
      <c r="M27" s="2579"/>
      <c r="N27" s="2579"/>
    </row>
    <row r="28" spans="1:15" s="2908" customFormat="1" ht="15.75" customHeight="1">
      <c r="A28" s="2959" t="s">
        <v>2236</v>
      </c>
      <c r="B28" s="2962"/>
      <c r="C28" s="2956" t="s">
        <v>1795</v>
      </c>
      <c r="D28" s="2955">
        <v>0</v>
      </c>
      <c r="E28" s="1461">
        <v>0</v>
      </c>
      <c r="F28" s="1461">
        <v>30000000</v>
      </c>
      <c r="G28" s="2954">
        <v>30000000</v>
      </c>
      <c r="H28" s="2953">
        <v>60500000</v>
      </c>
      <c r="I28" s="2928"/>
      <c r="J28" s="2579"/>
      <c r="K28" s="2579"/>
      <c r="L28" s="2579"/>
      <c r="M28" s="2579"/>
      <c r="N28" s="2579"/>
    </row>
    <row r="29" spans="1:15" s="2908" customFormat="1" ht="15.75" customHeight="1">
      <c r="A29" s="2958" t="s">
        <v>2235</v>
      </c>
      <c r="B29" s="2957"/>
      <c r="C29" s="2956" t="s">
        <v>1795</v>
      </c>
      <c r="D29" s="2955">
        <v>0</v>
      </c>
      <c r="E29" s="1461">
        <v>0</v>
      </c>
      <c r="F29" s="1461">
        <v>6000000</v>
      </c>
      <c r="G29" s="2954">
        <v>6000000</v>
      </c>
      <c r="H29" s="2953">
        <v>6000000</v>
      </c>
      <c r="I29" s="2928"/>
      <c r="J29" s="2579"/>
      <c r="K29" s="2579"/>
      <c r="L29" s="2579"/>
      <c r="M29" s="2579"/>
      <c r="N29" s="2579"/>
    </row>
    <row r="30" spans="1:15" s="2908" customFormat="1" ht="15.75" customHeight="1">
      <c r="A30" s="2958" t="s">
        <v>2234</v>
      </c>
      <c r="B30" s="2957"/>
      <c r="C30" s="2956"/>
      <c r="D30" s="2955"/>
      <c r="E30" s="1461"/>
      <c r="F30" s="1461"/>
      <c r="G30" s="2954"/>
      <c r="H30" s="2953"/>
      <c r="I30" s="2928"/>
      <c r="J30" s="2579"/>
      <c r="K30" s="2579"/>
      <c r="L30" s="2579"/>
      <c r="M30" s="2579"/>
      <c r="N30" s="2579"/>
    </row>
    <row r="31" spans="1:15" s="2908" customFormat="1" ht="15.75" customHeight="1">
      <c r="A31" s="2958" t="s">
        <v>2233</v>
      </c>
      <c r="B31" s="2957"/>
      <c r="C31" s="2956" t="s">
        <v>1795</v>
      </c>
      <c r="D31" s="2955">
        <v>0</v>
      </c>
      <c r="E31" s="1461">
        <v>0</v>
      </c>
      <c r="F31" s="1461">
        <v>0</v>
      </c>
      <c r="G31" s="2954">
        <v>0</v>
      </c>
      <c r="H31" s="2953">
        <v>3000000</v>
      </c>
      <c r="I31" s="2928"/>
      <c r="J31" s="2579"/>
      <c r="K31" s="2579"/>
      <c r="L31" s="2579"/>
      <c r="M31" s="2579"/>
      <c r="N31" s="2579"/>
    </row>
    <row r="32" spans="1:15" s="2908" customFormat="1" ht="13.5" customHeight="1">
      <c r="A32" s="2960" t="s">
        <v>2232</v>
      </c>
      <c r="B32" s="2957"/>
      <c r="C32" s="2956"/>
      <c r="D32" s="2955"/>
      <c r="E32" s="1461"/>
      <c r="F32" s="1461"/>
      <c r="G32" s="2954"/>
      <c r="H32" s="2953"/>
      <c r="I32" s="2961"/>
      <c r="J32" s="2579"/>
      <c r="K32" s="2579"/>
      <c r="L32" s="2579"/>
      <c r="M32" s="2579"/>
      <c r="N32" s="2579"/>
    </row>
    <row r="33" spans="1:14" s="2908" customFormat="1" ht="14.25" customHeight="1">
      <c r="A33" s="2960" t="s">
        <v>2231</v>
      </c>
      <c r="B33" s="2957"/>
      <c r="C33" s="2956" t="s">
        <v>1793</v>
      </c>
      <c r="D33" s="2955">
        <v>0</v>
      </c>
      <c r="E33" s="1461">
        <v>0</v>
      </c>
      <c r="F33" s="1461">
        <f>G33-E33</f>
        <v>2000000</v>
      </c>
      <c r="G33" s="2954">
        <v>2000000</v>
      </c>
      <c r="H33" s="2953">
        <v>2000000</v>
      </c>
      <c r="I33" s="2928"/>
      <c r="J33" s="2579"/>
      <c r="K33" s="2579"/>
      <c r="L33" s="2579"/>
      <c r="M33" s="2579"/>
      <c r="N33" s="2579"/>
    </row>
    <row r="34" spans="1:14" s="2908" customFormat="1" ht="12" customHeight="1">
      <c r="A34" s="2960" t="s">
        <v>2230</v>
      </c>
      <c r="B34" s="2957"/>
      <c r="C34" s="2956" t="s">
        <v>1793</v>
      </c>
      <c r="D34" s="2955">
        <v>15800</v>
      </c>
      <c r="E34" s="1461">
        <v>0</v>
      </c>
      <c r="F34" s="1461">
        <v>2000000</v>
      </c>
      <c r="G34" s="2954">
        <v>2000000</v>
      </c>
      <c r="H34" s="2953">
        <v>3000000</v>
      </c>
      <c r="I34" s="2928"/>
      <c r="J34" s="2579"/>
      <c r="K34" s="2579"/>
      <c r="L34" s="2579"/>
      <c r="M34" s="2579"/>
      <c r="N34" s="2579"/>
    </row>
    <row r="35" spans="1:14" s="2908" customFormat="1" ht="18.75" customHeight="1">
      <c r="A35" s="2959" t="s">
        <v>2229</v>
      </c>
      <c r="B35" s="2957"/>
      <c r="C35" s="2956" t="s">
        <v>1793</v>
      </c>
      <c r="D35" s="2955">
        <v>43872590</v>
      </c>
      <c r="E35" s="1461">
        <v>0</v>
      </c>
      <c r="F35" s="1461">
        <v>0</v>
      </c>
      <c r="G35" s="2954">
        <v>0</v>
      </c>
      <c r="H35" s="2953">
        <v>0</v>
      </c>
      <c r="I35" s="2928"/>
      <c r="J35" s="2579"/>
      <c r="K35" s="2579"/>
      <c r="L35" s="2579"/>
      <c r="M35" s="2579"/>
      <c r="N35" s="2579"/>
    </row>
    <row r="36" spans="1:14" s="2908" customFormat="1" ht="18.75" customHeight="1">
      <c r="A36" s="2958" t="s">
        <v>2228</v>
      </c>
      <c r="B36" s="2957"/>
      <c r="C36" s="2956" t="s">
        <v>1793</v>
      </c>
      <c r="D36" s="2955">
        <v>0</v>
      </c>
      <c r="E36" s="1461">
        <v>0</v>
      </c>
      <c r="F36" s="1461">
        <v>24000000</v>
      </c>
      <c r="G36" s="2954">
        <v>24000000</v>
      </c>
      <c r="H36" s="2953">
        <v>5000000</v>
      </c>
      <c r="I36" s="2928"/>
      <c r="J36" s="2579"/>
      <c r="K36" s="2579"/>
      <c r="L36" s="2579"/>
      <c r="M36" s="2579"/>
      <c r="N36" s="2579"/>
    </row>
    <row r="37" spans="1:14" s="2908" customFormat="1" ht="15.75" customHeight="1">
      <c r="A37" s="2952" t="s">
        <v>2227</v>
      </c>
      <c r="B37" s="2951"/>
      <c r="C37" s="2950"/>
      <c r="D37" s="2949">
        <f>SUM(D38)</f>
        <v>11843079</v>
      </c>
      <c r="E37" s="2949">
        <f>SUM(E38)</f>
        <v>2350000</v>
      </c>
      <c r="F37" s="2949">
        <f>SUM(F38)</f>
        <v>2800000</v>
      </c>
      <c r="G37" s="2949">
        <f>SUM(G38)</f>
        <v>5150000</v>
      </c>
      <c r="H37" s="2948">
        <f>SUM(H38)</f>
        <v>5000000</v>
      </c>
      <c r="I37" s="2928"/>
      <c r="J37" s="2579"/>
      <c r="K37" s="2579"/>
      <c r="L37" s="2579"/>
      <c r="M37" s="2579"/>
      <c r="N37" s="2579"/>
    </row>
    <row r="38" spans="1:14" s="2908" customFormat="1" ht="18" customHeight="1">
      <c r="A38" s="2940" t="s">
        <v>2226</v>
      </c>
      <c r="B38" s="2939"/>
      <c r="C38" s="2938" t="s">
        <v>1795</v>
      </c>
      <c r="D38" s="2937">
        <v>11843079</v>
      </c>
      <c r="E38" s="2936">
        <v>2350000</v>
      </c>
      <c r="F38" s="2936">
        <f>G38-E38</f>
        <v>2800000</v>
      </c>
      <c r="G38" s="2935">
        <v>5150000</v>
      </c>
      <c r="H38" s="2934">
        <v>5000000</v>
      </c>
      <c r="I38" s="2928"/>
      <c r="J38" s="2579"/>
      <c r="K38" s="2579"/>
      <c r="L38" s="2579"/>
      <c r="M38" s="2579"/>
      <c r="N38" s="2579"/>
    </row>
    <row r="39" spans="1:14" s="2908" customFormat="1" ht="17.25" customHeight="1">
      <c r="A39" s="2945" t="s">
        <v>2225</v>
      </c>
      <c r="B39" s="2944"/>
      <c r="C39" s="2947"/>
      <c r="D39" s="2946">
        <f>D40</f>
        <v>0</v>
      </c>
      <c r="E39" s="2946">
        <f>E40</f>
        <v>0</v>
      </c>
      <c r="F39" s="2946">
        <f>F40</f>
        <v>2500000</v>
      </c>
      <c r="G39" s="2946">
        <f>G40</f>
        <v>2500000</v>
      </c>
      <c r="H39" s="1567">
        <f>H40</f>
        <v>2500000</v>
      </c>
      <c r="I39" s="2928"/>
      <c r="J39" s="2579"/>
      <c r="K39" s="2579"/>
      <c r="L39" s="2579"/>
      <c r="M39" s="2579"/>
      <c r="N39" s="2579"/>
    </row>
    <row r="40" spans="1:14" s="2908" customFormat="1" ht="15.75" customHeight="1">
      <c r="A40" s="2940" t="s">
        <v>2224</v>
      </c>
      <c r="B40" s="2939"/>
      <c r="C40" s="2938" t="s">
        <v>1795</v>
      </c>
      <c r="D40" s="2937">
        <v>0</v>
      </c>
      <c r="E40" s="2936">
        <v>0</v>
      </c>
      <c r="F40" s="2936">
        <f>G40-E40</f>
        <v>2500000</v>
      </c>
      <c r="G40" s="2935">
        <v>2500000</v>
      </c>
      <c r="H40" s="2934">
        <v>2500000</v>
      </c>
      <c r="I40" s="2928"/>
      <c r="J40" s="2579"/>
      <c r="K40" s="2579"/>
      <c r="L40" s="2579"/>
      <c r="M40" s="2579"/>
      <c r="N40" s="2579"/>
    </row>
    <row r="41" spans="1:14" s="2908" customFormat="1" ht="16.5" customHeight="1">
      <c r="A41" s="2945" t="s">
        <v>2223</v>
      </c>
      <c r="B41" s="2944"/>
      <c r="C41" s="2943"/>
      <c r="D41" s="2942">
        <f>D42</f>
        <v>844316.75</v>
      </c>
      <c r="E41" s="2942">
        <f>E42</f>
        <v>0</v>
      </c>
      <c r="F41" s="2942">
        <f>F42</f>
        <v>14000000</v>
      </c>
      <c r="G41" s="2942">
        <f>G42</f>
        <v>14000000</v>
      </c>
      <c r="H41" s="2941">
        <f>H42</f>
        <v>5000000</v>
      </c>
      <c r="I41" s="2928"/>
      <c r="J41" s="2579"/>
      <c r="K41" s="2579"/>
      <c r="L41" s="2579"/>
      <c r="M41" s="2579"/>
      <c r="N41" s="2579"/>
    </row>
    <row r="42" spans="1:14" s="2908" customFormat="1" ht="14.25" customHeight="1">
      <c r="A42" s="2940" t="s">
        <v>2223</v>
      </c>
      <c r="B42" s="2939"/>
      <c r="C42" s="2938" t="s">
        <v>1795</v>
      </c>
      <c r="D42" s="2937">
        <v>844316.75</v>
      </c>
      <c r="E42" s="2936">
        <v>0</v>
      </c>
      <c r="F42" s="2936">
        <f>G42-E42</f>
        <v>14000000</v>
      </c>
      <c r="G42" s="2935">
        <v>14000000</v>
      </c>
      <c r="H42" s="2934">
        <v>5000000</v>
      </c>
      <c r="I42" s="2928"/>
      <c r="J42" s="2579"/>
      <c r="K42" s="2579"/>
      <c r="L42" s="2579"/>
      <c r="M42" s="2579"/>
      <c r="N42" s="2579"/>
    </row>
    <row r="43" spans="1:14" s="2908" customFormat="1" ht="21.95" customHeight="1">
      <c r="A43" s="2933" t="s">
        <v>366</v>
      </c>
      <c r="B43" s="2932"/>
      <c r="C43" s="2931"/>
      <c r="D43" s="2930">
        <f>SUM(D13+D37+D41)</f>
        <v>142990152.60000002</v>
      </c>
      <c r="E43" s="2930">
        <f>SUM(E41+E39+E37+E13)</f>
        <v>70930601.870000005</v>
      </c>
      <c r="F43" s="2930">
        <f>SUM(F41+F39+F37+F13)</f>
        <v>196981423.93000001</v>
      </c>
      <c r="G43" s="2930">
        <f>SUM(G41+G39+G37+G13)</f>
        <v>267912025.80000001</v>
      </c>
      <c r="H43" s="2929">
        <f>SUM(H41+H39+H37+H13)</f>
        <v>275000000</v>
      </c>
      <c r="I43" s="2928"/>
      <c r="J43" s="2579"/>
      <c r="K43" s="2579"/>
      <c r="L43" s="2579"/>
      <c r="M43" s="2579"/>
      <c r="N43" s="2579"/>
    </row>
    <row r="44" spans="1:14" s="2908" customFormat="1" ht="21.95" customHeight="1">
      <c r="A44" s="2927"/>
      <c r="B44" s="2926"/>
      <c r="C44" s="2303"/>
      <c r="D44" s="2925"/>
      <c r="E44" s="2925"/>
      <c r="F44" s="2925"/>
      <c r="G44" s="2925"/>
      <c r="H44" s="2925"/>
      <c r="I44" s="2906"/>
      <c r="J44" s="2579"/>
      <c r="K44" s="2579"/>
      <c r="L44" s="2579"/>
      <c r="M44" s="2579"/>
      <c r="N44" s="2579"/>
    </row>
    <row r="45" spans="1:14" s="2908" customFormat="1" ht="19.5" customHeight="1">
      <c r="A45" s="2922"/>
      <c r="B45" s="2922"/>
      <c r="C45" s="2303"/>
      <c r="D45" s="2922"/>
      <c r="E45" s="2922"/>
      <c r="F45" s="2924"/>
      <c r="G45" s="2923"/>
      <c r="H45" s="2922"/>
      <c r="I45" s="2909"/>
      <c r="J45" s="2579"/>
      <c r="K45" s="2579"/>
      <c r="L45" s="2579"/>
      <c r="M45" s="2579"/>
      <c r="N45" s="2579"/>
    </row>
    <row r="46" spans="1:14" s="2916" customFormat="1" ht="16.5">
      <c r="A46" s="2919" t="s">
        <v>793</v>
      </c>
      <c r="B46" s="2919"/>
      <c r="C46" s="2921" t="s">
        <v>2222</v>
      </c>
      <c r="D46" s="2919"/>
      <c r="F46" s="2920" t="s">
        <v>2221</v>
      </c>
      <c r="G46" s="2919"/>
      <c r="H46" s="2919"/>
      <c r="I46" s="2918"/>
      <c r="J46" s="2917"/>
      <c r="K46" s="2917"/>
      <c r="L46" s="2917"/>
      <c r="M46" s="2917"/>
      <c r="N46" s="2917"/>
    </row>
    <row r="47" spans="1:14" s="2908" customFormat="1">
      <c r="A47" s="2913"/>
      <c r="B47" s="2913"/>
      <c r="C47" s="2915"/>
      <c r="D47" s="2913"/>
      <c r="E47" s="2914"/>
      <c r="F47" s="2914"/>
      <c r="G47" s="2913"/>
      <c r="H47" s="2913"/>
      <c r="I47" s="2909"/>
      <c r="J47" s="2579"/>
      <c r="K47" s="2579"/>
      <c r="L47" s="2579"/>
      <c r="M47" s="2579"/>
      <c r="N47" s="2579"/>
    </row>
    <row r="48" spans="1:14" s="2908" customFormat="1">
      <c r="A48" s="2913"/>
      <c r="B48" s="2913"/>
      <c r="C48" s="2915"/>
      <c r="D48" s="2913"/>
      <c r="E48" s="2914"/>
      <c r="F48" s="2914"/>
      <c r="G48" s="2913"/>
      <c r="H48" s="2913"/>
      <c r="I48" s="2909"/>
      <c r="J48" s="2579"/>
      <c r="K48" s="2579"/>
      <c r="L48" s="2579"/>
      <c r="M48" s="2579"/>
      <c r="N48" s="2579"/>
    </row>
    <row r="49" spans="1:14" s="2908" customFormat="1" ht="17.25" customHeight="1">
      <c r="A49" s="4926" t="s">
        <v>2220</v>
      </c>
      <c r="B49" s="4926"/>
      <c r="C49" s="4924" t="s">
        <v>360</v>
      </c>
      <c r="D49" s="4924"/>
      <c r="E49" s="4924"/>
      <c r="F49" s="4925" t="s">
        <v>359</v>
      </c>
      <c r="G49" s="4925"/>
      <c r="H49" s="4925"/>
      <c r="I49" s="2909"/>
      <c r="J49" s="2579"/>
      <c r="K49" s="2579"/>
      <c r="L49" s="2579"/>
      <c r="M49" s="2579"/>
      <c r="N49" s="2579"/>
    </row>
    <row r="50" spans="1:14" s="2908" customFormat="1" ht="16.5">
      <c r="A50" s="2912" t="s">
        <v>2219</v>
      </c>
      <c r="B50" s="2911"/>
      <c r="C50" s="4923" t="s">
        <v>357</v>
      </c>
      <c r="D50" s="4923"/>
      <c r="E50" s="4923"/>
      <c r="F50" s="4927" t="s">
        <v>356</v>
      </c>
      <c r="G50" s="4927"/>
      <c r="H50" s="4927"/>
      <c r="I50" s="2909"/>
      <c r="J50" s="2579"/>
      <c r="K50" s="2579"/>
      <c r="L50" s="2579"/>
      <c r="M50" s="2579"/>
      <c r="N50" s="2579"/>
    </row>
    <row r="51" spans="1:14" s="2908" customFormat="1">
      <c r="A51" s="4922"/>
      <c r="B51" s="4922"/>
      <c r="C51" s="4923"/>
      <c r="D51" s="4923"/>
      <c r="E51" s="4923"/>
      <c r="F51" s="2910"/>
      <c r="G51" s="2910"/>
      <c r="H51" s="2910"/>
      <c r="I51" s="2909"/>
      <c r="J51" s="2579"/>
      <c r="K51" s="2579"/>
      <c r="L51" s="2579"/>
      <c r="M51" s="2579"/>
      <c r="N51" s="2579"/>
    </row>
    <row r="52" spans="1:14">
      <c r="A52" s="2531"/>
      <c r="B52" s="2907"/>
      <c r="C52" s="2531"/>
      <c r="D52" s="2566"/>
      <c r="E52" s="2566"/>
      <c r="F52" s="2566"/>
      <c r="G52" s="2566"/>
      <c r="H52" s="2566"/>
      <c r="I52" s="2906"/>
      <c r="J52" s="2532"/>
      <c r="K52" s="2532"/>
      <c r="L52" s="2532"/>
      <c r="M52" s="2532"/>
      <c r="N52" s="2532"/>
    </row>
    <row r="53" spans="1:14">
      <c r="A53" s="2531"/>
      <c r="B53" s="2907"/>
      <c r="C53" s="2531"/>
      <c r="D53" s="2566"/>
      <c r="E53" s="2566"/>
      <c r="F53" s="2566"/>
      <c r="G53" s="2566"/>
      <c r="H53" s="2566"/>
      <c r="I53" s="2906"/>
      <c r="J53" s="2532"/>
      <c r="K53" s="2532"/>
      <c r="L53" s="2532"/>
      <c r="M53" s="2532"/>
      <c r="N53" s="2532"/>
    </row>
  </sheetData>
  <mergeCells count="13">
    <mergeCell ref="A4:H4"/>
    <mergeCell ref="G10:G11"/>
    <mergeCell ref="A5:H5"/>
    <mergeCell ref="A6:H6"/>
    <mergeCell ref="A9:B11"/>
    <mergeCell ref="E9:G9"/>
    <mergeCell ref="A51:B51"/>
    <mergeCell ref="C51:E51"/>
    <mergeCell ref="C49:E49"/>
    <mergeCell ref="F49:H49"/>
    <mergeCell ref="C50:E50"/>
    <mergeCell ref="A49:B49"/>
    <mergeCell ref="F50:H50"/>
  </mergeCells>
  <pageMargins left="0.35" right="0" top="0.25" bottom="0.25" header="0.3" footer="0"/>
  <pageSetup paperSize="5"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showGridLines="0" topLeftCell="A22" zoomScale="119" zoomScaleNormal="119" workbookViewId="0">
      <selection activeCell="H28" sqref="H28"/>
    </sheetView>
  </sheetViews>
  <sheetFormatPr defaultRowHeight="15"/>
  <cols>
    <col min="2" max="2" width="30" customWidth="1"/>
    <col min="3" max="3" width="8.140625" style="3000" customWidth="1"/>
    <col min="4" max="4" width="11.5703125" customWidth="1"/>
    <col min="5" max="5" width="11.28515625" customWidth="1"/>
    <col min="6" max="6" width="11.5703125" customWidth="1"/>
    <col min="7" max="8" width="10.7109375" customWidth="1"/>
    <col min="9" max="9" width="9.140625" style="2905"/>
    <col min="11" max="11" width="14.5703125" bestFit="1" customWidth="1"/>
  </cols>
  <sheetData>
    <row r="1" spans="1:13" ht="15.75">
      <c r="A1" s="2527" t="s">
        <v>473</v>
      </c>
      <c r="B1" s="2609"/>
      <c r="C1" s="3032"/>
      <c r="D1" s="1474"/>
      <c r="E1" s="1470"/>
      <c r="F1" s="2527"/>
      <c r="G1" s="2609"/>
      <c r="H1" s="2530"/>
      <c r="I1" s="2998"/>
      <c r="J1" s="2530"/>
      <c r="K1" s="2530"/>
      <c r="L1" s="2530"/>
      <c r="M1" s="2530"/>
    </row>
    <row r="2" spans="1:13" ht="15.75">
      <c r="A2" s="2526" t="s">
        <v>2266</v>
      </c>
      <c r="B2" s="2609"/>
      <c r="C2" s="3032"/>
      <c r="D2" s="2727"/>
      <c r="E2" s="2727"/>
      <c r="F2" s="2526"/>
      <c r="G2" s="2609"/>
      <c r="H2" s="2530"/>
      <c r="I2" s="2998"/>
      <c r="J2" s="2530"/>
      <c r="K2" s="2530"/>
      <c r="L2" s="2530"/>
      <c r="M2" s="2530"/>
    </row>
    <row r="3" spans="1:13" ht="15.75">
      <c r="A3" s="2727"/>
      <c r="B3" s="2727"/>
      <c r="C3" s="2730"/>
      <c r="D3" s="2727"/>
      <c r="E3" s="2727"/>
      <c r="F3" s="2727"/>
      <c r="G3" s="2727"/>
      <c r="H3" s="2727"/>
      <c r="I3" s="2998"/>
      <c r="J3" s="2530"/>
      <c r="K3" s="2530"/>
      <c r="L3" s="2530"/>
      <c r="M3" s="2530"/>
    </row>
    <row r="4" spans="1:13" ht="18" customHeight="1">
      <c r="A4" s="4928" t="s">
        <v>471</v>
      </c>
      <c r="B4" s="4928"/>
      <c r="C4" s="4928"/>
      <c r="D4" s="4928"/>
      <c r="E4" s="4928"/>
      <c r="F4" s="4928"/>
      <c r="G4" s="4928"/>
      <c r="H4" s="4928"/>
      <c r="I4" s="2997"/>
      <c r="J4" s="2996"/>
      <c r="K4" s="2996"/>
      <c r="L4" s="2996"/>
      <c r="M4" s="2996"/>
    </row>
    <row r="5" spans="1:13" ht="16.5">
      <c r="A5" s="4868" t="s">
        <v>2255</v>
      </c>
      <c r="B5" s="4868"/>
      <c r="C5" s="4868"/>
      <c r="D5" s="4868"/>
      <c r="E5" s="4868"/>
      <c r="F5" s="4868"/>
      <c r="G5" s="4868"/>
      <c r="H5" s="4868"/>
      <c r="I5" s="2909"/>
      <c r="J5" s="2995"/>
      <c r="K5" s="2995"/>
      <c r="L5" s="2995"/>
      <c r="M5" s="2995"/>
    </row>
    <row r="6" spans="1:13">
      <c r="A6" s="4742"/>
      <c r="B6" s="4742"/>
      <c r="C6" s="4742"/>
      <c r="D6" s="4742"/>
      <c r="E6" s="4742"/>
      <c r="F6" s="4742"/>
      <c r="G6" s="4742"/>
      <c r="H6" s="4742"/>
      <c r="I6" s="2909"/>
      <c r="J6" s="2579"/>
      <c r="K6" s="2579"/>
      <c r="L6" s="2579"/>
      <c r="M6" s="2579"/>
    </row>
    <row r="7" spans="1:13" ht="15.75">
      <c r="A7" s="1577" t="s">
        <v>2265</v>
      </c>
      <c r="B7" s="2994"/>
      <c r="C7" s="3031"/>
      <c r="D7" s="1474"/>
      <c r="E7" s="2609"/>
      <c r="F7" s="1472"/>
      <c r="G7" s="2527"/>
      <c r="H7" s="2609"/>
      <c r="I7" s="2909"/>
      <c r="J7" s="2579"/>
      <c r="K7" s="2579"/>
      <c r="L7" s="2579"/>
      <c r="M7" s="2579"/>
    </row>
    <row r="8" spans="1:13">
      <c r="A8" s="1514" t="s">
        <v>1362</v>
      </c>
      <c r="C8" s="3031"/>
      <c r="D8" s="2610"/>
      <c r="E8" s="2609"/>
      <c r="F8" s="1472"/>
      <c r="G8" s="2526"/>
      <c r="H8" s="2609"/>
      <c r="I8" s="2909"/>
      <c r="J8" s="2579"/>
      <c r="K8" s="2579"/>
      <c r="L8" s="2579"/>
      <c r="M8" s="2579"/>
    </row>
    <row r="9" spans="1:13" s="2984" customFormat="1" ht="15" customHeight="1">
      <c r="A9" s="4743" t="s">
        <v>468</v>
      </c>
      <c r="B9" s="4744"/>
      <c r="C9" s="2991"/>
      <c r="D9" s="2993" t="s">
        <v>466</v>
      </c>
      <c r="E9" s="4931" t="s">
        <v>465</v>
      </c>
      <c r="F9" s="4932"/>
      <c r="G9" s="4933"/>
      <c r="H9" s="2991" t="s">
        <v>464</v>
      </c>
      <c r="I9" s="2986"/>
      <c r="J9" s="2985"/>
      <c r="K9" s="2985"/>
      <c r="L9" s="2985"/>
      <c r="M9" s="2985"/>
    </row>
    <row r="10" spans="1:13" s="2984" customFormat="1">
      <c r="A10" s="4745"/>
      <c r="B10" s="4746"/>
      <c r="C10" s="2992" t="s">
        <v>467</v>
      </c>
      <c r="D10" s="2989">
        <v>2020</v>
      </c>
      <c r="E10" s="2991" t="s">
        <v>462</v>
      </c>
      <c r="F10" s="2990" t="s">
        <v>2117</v>
      </c>
      <c r="G10" s="4929" t="s">
        <v>244</v>
      </c>
      <c r="H10" s="2989">
        <v>2022</v>
      </c>
      <c r="I10" s="2986"/>
      <c r="J10" s="2985"/>
      <c r="K10" s="2985"/>
      <c r="L10" s="2985"/>
      <c r="M10" s="2985"/>
    </row>
    <row r="11" spans="1:13" s="2984" customFormat="1">
      <c r="A11" s="4747"/>
      <c r="B11" s="4748"/>
      <c r="C11" s="2988" t="s">
        <v>463</v>
      </c>
      <c r="D11" s="2987" t="s">
        <v>460</v>
      </c>
      <c r="E11" s="2987" t="s">
        <v>460</v>
      </c>
      <c r="F11" s="2987" t="s">
        <v>459</v>
      </c>
      <c r="G11" s="4930"/>
      <c r="H11" s="2987" t="s">
        <v>458</v>
      </c>
      <c r="I11" s="2986"/>
      <c r="J11" s="2985"/>
      <c r="K11" s="2985"/>
      <c r="L11" s="2985"/>
      <c r="M11" s="2985"/>
    </row>
    <row r="12" spans="1:13" ht="21.95" customHeight="1">
      <c r="A12" s="1436" t="s">
        <v>2011</v>
      </c>
      <c r="B12" s="2981"/>
      <c r="C12" s="3030"/>
      <c r="D12" s="2983"/>
      <c r="E12" s="2598"/>
      <c r="F12" s="2983"/>
      <c r="G12" s="2598"/>
      <c r="H12" s="2982"/>
      <c r="I12" s="2909"/>
      <c r="J12" s="2579"/>
      <c r="K12" s="2579"/>
      <c r="L12" s="2579"/>
      <c r="M12" s="2579"/>
    </row>
    <row r="13" spans="1:13" ht="21.95" customHeight="1">
      <c r="A13" s="2806" t="s">
        <v>1824</v>
      </c>
      <c r="B13" s="3029"/>
      <c r="C13" s="3028"/>
      <c r="D13" s="3027"/>
      <c r="E13" s="3026"/>
      <c r="F13" s="3027"/>
      <c r="G13" s="3026"/>
      <c r="H13" s="3025"/>
      <c r="I13" s="2909"/>
      <c r="J13" s="2579"/>
      <c r="K13" s="2579"/>
      <c r="L13" s="2579"/>
      <c r="M13" s="2579"/>
    </row>
    <row r="14" spans="1:13" s="2908" customFormat="1" ht="15.75" customHeight="1">
      <c r="A14" s="2721" t="s">
        <v>2248</v>
      </c>
      <c r="B14" s="2965"/>
      <c r="C14" s="1993" t="s">
        <v>1795</v>
      </c>
      <c r="D14" s="2970">
        <v>5060547.2</v>
      </c>
      <c r="E14" s="2970">
        <v>0</v>
      </c>
      <c r="F14" s="1461">
        <f>G14-E14</f>
        <v>5000000</v>
      </c>
      <c r="G14" s="2969">
        <v>5000000</v>
      </c>
      <c r="H14" s="2968">
        <v>10000000</v>
      </c>
      <c r="I14" s="2906" t="s">
        <v>2263</v>
      </c>
      <c r="J14" s="2579"/>
      <c r="K14" s="2579"/>
      <c r="L14" s="2579"/>
      <c r="M14" s="2579"/>
    </row>
    <row r="15" spans="1:13" s="2908" customFormat="1" ht="21.95" customHeight="1">
      <c r="A15" s="2721" t="s">
        <v>2247</v>
      </c>
      <c r="B15" s="2965"/>
      <c r="C15" s="1993" t="s">
        <v>1795</v>
      </c>
      <c r="D15" s="2955">
        <v>34157371.200000003</v>
      </c>
      <c r="E15" s="1461">
        <v>0</v>
      </c>
      <c r="F15" s="1461">
        <v>0</v>
      </c>
      <c r="G15" s="2954">
        <v>0</v>
      </c>
      <c r="H15" s="2953">
        <v>0</v>
      </c>
      <c r="I15" s="2906" t="s">
        <v>2263</v>
      </c>
      <c r="J15" s="2579"/>
      <c r="K15" s="2579"/>
      <c r="L15" s="2579"/>
      <c r="M15" s="2579"/>
    </row>
    <row r="16" spans="1:13" s="2908" customFormat="1" ht="21.95" customHeight="1">
      <c r="A16" s="2721" t="s">
        <v>2246</v>
      </c>
      <c r="B16" s="2965"/>
      <c r="C16" s="2956"/>
      <c r="D16" s="2955"/>
      <c r="E16" s="1461"/>
      <c r="F16" s="1461"/>
      <c r="G16" s="2954"/>
      <c r="H16" s="2953"/>
      <c r="I16" s="2906"/>
      <c r="J16" s="2579"/>
      <c r="K16" s="2579"/>
      <c r="L16" s="2579"/>
      <c r="M16" s="2579"/>
    </row>
    <row r="17" spans="1:13" s="2908" customFormat="1" ht="21.95" customHeight="1">
      <c r="A17" s="2721" t="s">
        <v>2245</v>
      </c>
      <c r="B17" s="2965"/>
      <c r="C17" s="2956" t="s">
        <v>1795</v>
      </c>
      <c r="D17" s="2955">
        <v>0</v>
      </c>
      <c r="E17" s="1461">
        <v>0</v>
      </c>
      <c r="F17" s="1461">
        <v>9000000</v>
      </c>
      <c r="G17" s="2954">
        <v>9000000</v>
      </c>
      <c r="H17" s="2953">
        <v>10000000</v>
      </c>
      <c r="I17" s="2906"/>
      <c r="J17" s="2579"/>
      <c r="K17" s="2579"/>
      <c r="L17" s="2579"/>
      <c r="M17" s="2579"/>
    </row>
    <row r="18" spans="1:13" s="2908" customFormat="1" ht="21.95" customHeight="1">
      <c r="A18" s="2960" t="s">
        <v>2237</v>
      </c>
      <c r="B18" s="1543"/>
      <c r="C18" s="1993" t="s">
        <v>1795</v>
      </c>
      <c r="D18" s="1457">
        <v>0</v>
      </c>
      <c r="E18" s="1461">
        <v>0</v>
      </c>
      <c r="F18" s="1431">
        <f>G18-E18</f>
        <v>8350000</v>
      </c>
      <c r="G18" s="2954">
        <v>8350000</v>
      </c>
      <c r="H18" s="2953">
        <v>5000000</v>
      </c>
      <c r="I18" s="2906" t="s">
        <v>2263</v>
      </c>
      <c r="J18" s="2579"/>
      <c r="K18" s="2579"/>
      <c r="L18" s="2579"/>
      <c r="M18" s="2579"/>
    </row>
    <row r="19" spans="1:13" s="2908" customFormat="1" ht="21.95" customHeight="1">
      <c r="A19" s="2959" t="s">
        <v>2236</v>
      </c>
      <c r="B19" s="2962"/>
      <c r="C19" s="2956" t="s">
        <v>1795</v>
      </c>
      <c r="D19" s="2955">
        <v>0</v>
      </c>
      <c r="E19" s="1461">
        <v>0</v>
      </c>
      <c r="F19" s="1461">
        <v>30000000</v>
      </c>
      <c r="G19" s="2954">
        <v>30000000</v>
      </c>
      <c r="H19" s="2953">
        <v>60500000</v>
      </c>
      <c r="I19" s="2906"/>
      <c r="J19" s="2579"/>
      <c r="K19" s="2579"/>
      <c r="L19" s="2579"/>
      <c r="M19" s="2579"/>
    </row>
    <row r="20" spans="1:13" s="2908" customFormat="1" ht="21.95" customHeight="1">
      <c r="A20" s="2958" t="s">
        <v>2234</v>
      </c>
      <c r="B20" s="2957"/>
      <c r="C20" s="2956"/>
      <c r="D20" s="2955"/>
      <c r="E20" s="1461"/>
      <c r="F20" s="1461"/>
      <c r="G20" s="2954"/>
      <c r="H20" s="2953"/>
      <c r="I20" s="2906"/>
      <c r="J20" s="2579"/>
      <c r="K20" s="2579"/>
      <c r="L20" s="2579"/>
      <c r="M20" s="2579"/>
    </row>
    <row r="21" spans="1:13" s="2908" customFormat="1" ht="21.95" customHeight="1">
      <c r="A21" s="2960" t="s">
        <v>2233</v>
      </c>
      <c r="B21" s="2957"/>
      <c r="C21" s="2956" t="s">
        <v>1795</v>
      </c>
      <c r="D21" s="2955">
        <v>0</v>
      </c>
      <c r="E21" s="1461">
        <v>0</v>
      </c>
      <c r="F21" s="1461">
        <v>0</v>
      </c>
      <c r="G21" s="2954">
        <v>0</v>
      </c>
      <c r="H21" s="2953">
        <v>3000000</v>
      </c>
      <c r="I21" s="2906"/>
      <c r="J21" s="2579"/>
      <c r="K21" s="2579"/>
      <c r="L21" s="2579"/>
      <c r="M21" s="2579"/>
    </row>
    <row r="22" spans="1:13" s="2908" customFormat="1" ht="21.95" customHeight="1">
      <c r="A22" s="2958" t="s">
        <v>2239</v>
      </c>
      <c r="B22" s="2964"/>
      <c r="C22" s="2963" t="s">
        <v>1795</v>
      </c>
      <c r="D22" s="1457">
        <v>0</v>
      </c>
      <c r="E22" s="1461">
        <v>25132237.649999999</v>
      </c>
      <c r="F22" s="1461">
        <f>G22-E22</f>
        <v>17762.35000000149</v>
      </c>
      <c r="G22" s="2954">
        <v>25150000</v>
      </c>
      <c r="H22" s="2953">
        <v>0</v>
      </c>
      <c r="I22" s="2906"/>
      <c r="J22" s="2579"/>
      <c r="K22" s="2579"/>
      <c r="L22" s="2579"/>
      <c r="M22" s="2579"/>
    </row>
    <row r="23" spans="1:13" s="2908" customFormat="1" ht="21.95" customHeight="1">
      <c r="A23" s="2966" t="s">
        <v>2243</v>
      </c>
      <c r="B23" s="2965"/>
      <c r="C23" s="2956" t="s">
        <v>1795</v>
      </c>
      <c r="D23" s="2955">
        <v>0</v>
      </c>
      <c r="E23" s="1461">
        <v>0</v>
      </c>
      <c r="F23" s="1461">
        <v>20000000</v>
      </c>
      <c r="G23" s="2954">
        <v>20000000</v>
      </c>
      <c r="H23" s="2953">
        <v>20000000</v>
      </c>
      <c r="I23" s="2906"/>
      <c r="J23" s="2579"/>
      <c r="K23" s="2579"/>
      <c r="L23" s="2579"/>
      <c r="M23" s="2579"/>
    </row>
    <row r="24" spans="1:13" s="2908" customFormat="1" ht="21.95" customHeight="1">
      <c r="A24" s="2958" t="s">
        <v>2238</v>
      </c>
      <c r="B24" s="2957"/>
      <c r="C24" s="2956" t="s">
        <v>1795</v>
      </c>
      <c r="D24" s="1457">
        <v>0</v>
      </c>
      <c r="E24" s="1461">
        <v>765866.38</v>
      </c>
      <c r="F24" s="1431">
        <f>G24-E24</f>
        <v>1234133.6200000001</v>
      </c>
      <c r="G24" s="2954">
        <v>2000000</v>
      </c>
      <c r="H24" s="2953">
        <v>5000000</v>
      </c>
      <c r="I24" s="2906"/>
      <c r="J24" s="2579"/>
      <c r="K24" s="2579"/>
      <c r="L24" s="2579"/>
      <c r="M24" s="2579"/>
    </row>
    <row r="25" spans="1:13" s="2908" customFormat="1" ht="21.95" customHeight="1">
      <c r="A25" s="2958" t="s">
        <v>2235</v>
      </c>
      <c r="B25" s="2957"/>
      <c r="C25" s="2956" t="s">
        <v>1795</v>
      </c>
      <c r="D25" s="2955">
        <v>0</v>
      </c>
      <c r="E25" s="1461">
        <v>0</v>
      </c>
      <c r="F25" s="1461">
        <v>6000000</v>
      </c>
      <c r="G25" s="2954">
        <v>6000000</v>
      </c>
      <c r="H25" s="2953">
        <v>6000000</v>
      </c>
      <c r="I25" s="2906"/>
      <c r="J25" s="2579"/>
      <c r="K25" s="2579"/>
      <c r="L25" s="2579"/>
      <c r="M25" s="2579"/>
    </row>
    <row r="26" spans="1:13" s="2908" customFormat="1" ht="21.95" customHeight="1">
      <c r="A26" s="2960" t="s">
        <v>2264</v>
      </c>
      <c r="B26" s="2957"/>
      <c r="C26" s="2956" t="s">
        <v>1793</v>
      </c>
      <c r="D26" s="2955">
        <v>43872590</v>
      </c>
      <c r="E26" s="1461">
        <v>0</v>
      </c>
      <c r="F26" s="1461">
        <v>0</v>
      </c>
      <c r="G26" s="2954">
        <v>0</v>
      </c>
      <c r="H26" s="2953">
        <v>0</v>
      </c>
      <c r="I26" s="2906" t="s">
        <v>2263</v>
      </c>
      <c r="J26" s="2579"/>
      <c r="K26" s="2579"/>
      <c r="L26" s="2579"/>
      <c r="M26" s="2579"/>
    </row>
    <row r="27" spans="1:13" s="2908" customFormat="1" ht="21.95" customHeight="1">
      <c r="A27" s="2958" t="s">
        <v>2228</v>
      </c>
      <c r="B27" s="2957"/>
      <c r="C27" s="2956" t="s">
        <v>1793</v>
      </c>
      <c r="D27" s="2955">
        <v>0</v>
      </c>
      <c r="E27" s="1461">
        <v>0</v>
      </c>
      <c r="F27" s="1461">
        <v>24000000</v>
      </c>
      <c r="G27" s="2954">
        <v>24000000</v>
      </c>
      <c r="H27" s="2953">
        <v>5000000</v>
      </c>
      <c r="I27" s="2906"/>
      <c r="J27" s="2579"/>
      <c r="K27" s="2579"/>
      <c r="L27" s="2579"/>
      <c r="M27" s="2579"/>
    </row>
    <row r="28" spans="1:13" s="2908" customFormat="1" ht="21.95" customHeight="1">
      <c r="A28" s="2960" t="s">
        <v>2240</v>
      </c>
      <c r="B28" s="2957"/>
      <c r="C28" s="2956" t="s">
        <v>1795</v>
      </c>
      <c r="D28" s="2955">
        <v>0</v>
      </c>
      <c r="E28" s="1461">
        <v>6532232.8399999999</v>
      </c>
      <c r="F28" s="1461">
        <f>G28-E28</f>
        <v>24229792.960000001</v>
      </c>
      <c r="G28" s="2954">
        <v>30762025.800000001</v>
      </c>
      <c r="H28" s="2953">
        <v>20000000</v>
      </c>
      <c r="I28" s="2906"/>
      <c r="J28" s="2579"/>
      <c r="K28" s="2579"/>
      <c r="L28" s="2579"/>
      <c r="M28" s="2579"/>
    </row>
    <row r="29" spans="1:13" s="2908" customFormat="1" ht="21.95" customHeight="1">
      <c r="A29" s="2960" t="s">
        <v>2232</v>
      </c>
      <c r="B29" s="2957"/>
      <c r="C29" s="1993"/>
      <c r="D29" s="3024"/>
      <c r="E29" s="1431"/>
      <c r="F29" s="1470"/>
      <c r="G29" s="2953"/>
      <c r="H29" s="2618"/>
      <c r="J29" s="2579"/>
      <c r="K29" s="2579"/>
      <c r="L29" s="2579"/>
      <c r="M29" s="2579"/>
    </row>
    <row r="30" spans="1:13" s="2908" customFormat="1" ht="21.95" customHeight="1">
      <c r="A30" s="2960" t="s">
        <v>2231</v>
      </c>
      <c r="B30" s="2957"/>
      <c r="C30" s="1993" t="s">
        <v>1793</v>
      </c>
      <c r="D30" s="2955">
        <v>0</v>
      </c>
      <c r="E30" s="1461">
        <v>0</v>
      </c>
      <c r="F30" s="1461">
        <f>G30-E30</f>
        <v>2000000</v>
      </c>
      <c r="G30" s="2954">
        <v>2000000</v>
      </c>
      <c r="H30" s="2953">
        <v>2000000</v>
      </c>
      <c r="I30" s="2906" t="s">
        <v>2263</v>
      </c>
      <c r="J30" s="2579"/>
      <c r="K30" s="2579"/>
      <c r="L30" s="2579"/>
      <c r="M30" s="2579"/>
    </row>
    <row r="31" spans="1:13" s="3009" customFormat="1" ht="21.95" customHeight="1">
      <c r="A31" s="3023" t="s">
        <v>2262</v>
      </c>
      <c r="B31" s="3022"/>
      <c r="C31" s="3021"/>
      <c r="D31" s="3017">
        <f>SUM(D13:D30)</f>
        <v>83090508.400000006</v>
      </c>
      <c r="E31" s="3017">
        <f>SUM(E13:E30)</f>
        <v>32430336.869999997</v>
      </c>
      <c r="F31" s="3017">
        <f>SUM(F13:F30)</f>
        <v>129831688.93000001</v>
      </c>
      <c r="G31" s="3017">
        <f>SUM(G13:G30)</f>
        <v>162262025.80000001</v>
      </c>
      <c r="H31" s="3017">
        <f>SUM(H13:H30)</f>
        <v>146500000</v>
      </c>
      <c r="I31" s="3011"/>
      <c r="J31" s="3010"/>
      <c r="K31" s="3010"/>
      <c r="L31" s="3010"/>
      <c r="M31" s="3010"/>
    </row>
    <row r="32" spans="1:13" s="3009" customFormat="1" ht="21.95" customHeight="1">
      <c r="A32" s="2806" t="s">
        <v>1823</v>
      </c>
      <c r="B32" s="3020"/>
      <c r="C32" s="3019"/>
      <c r="D32" s="3017"/>
      <c r="E32" s="3018"/>
      <c r="F32" s="3017"/>
      <c r="G32" s="3018"/>
      <c r="H32" s="3017"/>
      <c r="I32" s="3011"/>
      <c r="J32" s="3010"/>
      <c r="K32" s="3010"/>
      <c r="L32" s="3010"/>
      <c r="M32" s="3010"/>
    </row>
    <row r="33" spans="1:13" s="2908" customFormat="1" ht="21.95" customHeight="1">
      <c r="A33" s="2979" t="s">
        <v>2252</v>
      </c>
      <c r="B33" s="2978"/>
      <c r="C33" s="2977" t="s">
        <v>2251</v>
      </c>
      <c r="D33" s="2976">
        <v>35995000</v>
      </c>
      <c r="E33" s="2975">
        <v>36016000</v>
      </c>
      <c r="F33" s="2975">
        <f>G33-E33</f>
        <v>2984000</v>
      </c>
      <c r="G33" s="2974">
        <v>39000000</v>
      </c>
      <c r="H33" s="2973">
        <v>30000000</v>
      </c>
      <c r="I33" s="2906" t="s">
        <v>2261</v>
      </c>
      <c r="J33" s="2579"/>
      <c r="K33" s="2579"/>
      <c r="L33" s="2579"/>
      <c r="M33" s="2579"/>
    </row>
    <row r="34" spans="1:13" s="2908" customFormat="1" ht="21.95" customHeight="1">
      <c r="A34" s="2972" t="s">
        <v>2250</v>
      </c>
      <c r="B34" s="1543"/>
      <c r="C34" s="2956" t="s">
        <v>2249</v>
      </c>
      <c r="D34" s="2955">
        <v>0</v>
      </c>
      <c r="E34" s="1461">
        <v>134265</v>
      </c>
      <c r="F34" s="1461">
        <f>G34-E34</f>
        <v>39865735</v>
      </c>
      <c r="G34" s="2954">
        <v>40000000</v>
      </c>
      <c r="H34" s="2953">
        <v>80000000</v>
      </c>
      <c r="I34" s="2906" t="s">
        <v>2261</v>
      </c>
      <c r="J34" s="2579"/>
      <c r="K34" s="2579"/>
      <c r="L34" s="2579"/>
      <c r="M34" s="2579"/>
    </row>
    <row r="35" spans="1:13" s="2908" customFormat="1" ht="21.95" customHeight="1">
      <c r="A35" s="2721" t="s">
        <v>2244</v>
      </c>
      <c r="B35" s="2965"/>
      <c r="C35" s="2956" t="s">
        <v>1795</v>
      </c>
      <c r="D35" s="2955">
        <v>11201448.449999999</v>
      </c>
      <c r="E35" s="1461">
        <v>0</v>
      </c>
      <c r="F35" s="1461">
        <v>0</v>
      </c>
      <c r="G35" s="2954">
        <v>0</v>
      </c>
      <c r="H35" s="2953">
        <v>0</v>
      </c>
      <c r="I35" s="2906" t="s">
        <v>2261</v>
      </c>
      <c r="J35" s="2579"/>
      <c r="K35" s="2579"/>
      <c r="L35" s="2579"/>
      <c r="M35" s="2579"/>
    </row>
    <row r="36" spans="1:13" s="2908" customFormat="1" ht="21.95" customHeight="1">
      <c r="A36" s="2960" t="s">
        <v>2242</v>
      </c>
      <c r="B36" s="1543"/>
      <c r="C36" s="2956"/>
      <c r="D36" s="2955"/>
      <c r="E36" s="1461"/>
      <c r="F36" s="1461"/>
      <c r="G36" s="2954"/>
      <c r="H36" s="2953"/>
      <c r="I36" s="2906"/>
      <c r="J36" s="2579"/>
      <c r="K36" s="2579">
        <v>275000000</v>
      </c>
      <c r="L36" s="2579"/>
      <c r="M36" s="2579"/>
    </row>
    <row r="37" spans="1:13" s="2908" customFormat="1" ht="21.95" customHeight="1">
      <c r="A37" s="2960" t="s">
        <v>2241</v>
      </c>
      <c r="B37" s="1543"/>
      <c r="C37" s="2956" t="s">
        <v>1795</v>
      </c>
      <c r="D37" s="2955">
        <v>0</v>
      </c>
      <c r="E37" s="1461">
        <v>0</v>
      </c>
      <c r="F37" s="1461">
        <f>G37-E37</f>
        <v>3000000</v>
      </c>
      <c r="G37" s="2954">
        <v>3000000</v>
      </c>
      <c r="H37" s="2953">
        <v>3000000</v>
      </c>
      <c r="I37" s="2906" t="s">
        <v>2261</v>
      </c>
      <c r="J37" s="2579"/>
      <c r="K37" s="2579">
        <f>K36-H43</f>
        <v>0</v>
      </c>
      <c r="L37" s="2579"/>
      <c r="M37" s="2579"/>
    </row>
    <row r="38" spans="1:13" s="2908" customFormat="1" ht="21.95" customHeight="1">
      <c r="A38" s="2960" t="s">
        <v>2230</v>
      </c>
      <c r="B38" s="2957"/>
      <c r="C38" s="2956" t="s">
        <v>1793</v>
      </c>
      <c r="D38" s="2955">
        <v>15800</v>
      </c>
      <c r="E38" s="1461">
        <v>0</v>
      </c>
      <c r="F38" s="1461">
        <v>2000000</v>
      </c>
      <c r="G38" s="2954">
        <v>2000000</v>
      </c>
      <c r="H38" s="2953">
        <v>3000000</v>
      </c>
      <c r="I38" s="2906" t="s">
        <v>2261</v>
      </c>
      <c r="J38" s="2579"/>
      <c r="K38" s="2579"/>
      <c r="L38" s="2579"/>
      <c r="M38" s="2579"/>
    </row>
    <row r="39" spans="1:13" s="2908" customFormat="1" ht="21.95" customHeight="1">
      <c r="A39" s="2972" t="s">
        <v>2226</v>
      </c>
      <c r="B39" s="2964"/>
      <c r="C39" s="2963" t="s">
        <v>1795</v>
      </c>
      <c r="D39" s="2937">
        <v>11843079</v>
      </c>
      <c r="E39" s="2936">
        <v>2350000</v>
      </c>
      <c r="F39" s="2936">
        <f>G39-E39</f>
        <v>2800000</v>
      </c>
      <c r="G39" s="2935">
        <v>5150000</v>
      </c>
      <c r="H39" s="2934">
        <v>5000000</v>
      </c>
      <c r="I39" s="2909" t="s">
        <v>2261</v>
      </c>
      <c r="J39" s="2579"/>
      <c r="K39" s="2579"/>
      <c r="L39" s="2579"/>
      <c r="M39" s="2579"/>
    </row>
    <row r="40" spans="1:13" s="2908" customFormat="1" ht="21.95" customHeight="1">
      <c r="A40" s="2972" t="s">
        <v>2224</v>
      </c>
      <c r="B40" s="2964"/>
      <c r="C40" s="2963" t="s">
        <v>1795</v>
      </c>
      <c r="D40" s="2937">
        <v>0</v>
      </c>
      <c r="E40" s="2936">
        <v>0</v>
      </c>
      <c r="F40" s="2936">
        <f>G40-E40</f>
        <v>2500000</v>
      </c>
      <c r="G40" s="2935">
        <v>2500000</v>
      </c>
      <c r="H40" s="2934">
        <v>2500000</v>
      </c>
      <c r="I40" s="2909" t="s">
        <v>2261</v>
      </c>
      <c r="J40" s="2579"/>
      <c r="K40" s="2579"/>
      <c r="L40" s="2579"/>
      <c r="M40" s="2579"/>
    </row>
    <row r="41" spans="1:13" s="2908" customFormat="1" ht="21.95" customHeight="1">
      <c r="A41" s="3016" t="s">
        <v>2223</v>
      </c>
      <c r="B41" s="3015"/>
      <c r="C41" s="2947" t="s">
        <v>1795</v>
      </c>
      <c r="D41" s="2937">
        <v>844316.75</v>
      </c>
      <c r="E41" s="2936">
        <v>0</v>
      </c>
      <c r="F41" s="2936">
        <f>G41-E41</f>
        <v>14000000</v>
      </c>
      <c r="G41" s="2935">
        <v>14000000</v>
      </c>
      <c r="H41" s="2934">
        <v>5000000</v>
      </c>
      <c r="I41" s="2909" t="s">
        <v>2261</v>
      </c>
      <c r="J41" s="2579" t="s">
        <v>2260</v>
      </c>
      <c r="K41" s="2579"/>
      <c r="L41" s="2579"/>
      <c r="M41" s="2579"/>
    </row>
    <row r="42" spans="1:13" s="3009" customFormat="1" ht="21.95" customHeight="1">
      <c r="A42" s="2680" t="s">
        <v>2259</v>
      </c>
      <c r="B42" s="3014"/>
      <c r="C42" s="3013"/>
      <c r="D42" s="3012">
        <f>SUM(D33:D41)</f>
        <v>59899644.200000003</v>
      </c>
      <c r="E42" s="3012">
        <f>SUM(E33:E41)</f>
        <v>38500265</v>
      </c>
      <c r="F42" s="3012">
        <f>SUM(F33:F41)</f>
        <v>67149735</v>
      </c>
      <c r="G42" s="3012">
        <f>SUM(G33:G41)</f>
        <v>105650000</v>
      </c>
      <c r="H42" s="3012">
        <f>SUM(H33:H41)</f>
        <v>128500000</v>
      </c>
      <c r="I42" s="3011"/>
      <c r="J42" s="3010"/>
      <c r="K42" s="3010"/>
      <c r="L42" s="3010"/>
      <c r="M42" s="3010"/>
    </row>
    <row r="43" spans="1:13" ht="21.95" customHeight="1">
      <c r="A43" s="3008" t="s">
        <v>2258</v>
      </c>
      <c r="B43" s="3007"/>
      <c r="C43" s="3006"/>
      <c r="D43" s="3005">
        <f>SUM(D31+D42)</f>
        <v>142990152.60000002</v>
      </c>
      <c r="E43" s="3005">
        <f>SUM(E31+E42)</f>
        <v>70930601.870000005</v>
      </c>
      <c r="F43" s="3005">
        <f>SUM(F31+F42)</f>
        <v>196981423.93000001</v>
      </c>
      <c r="G43" s="3005">
        <f>SUM(G31+G42)</f>
        <v>267912025.80000001</v>
      </c>
      <c r="H43" s="3005">
        <f>SUM(H42+H31)</f>
        <v>275000000</v>
      </c>
      <c r="I43" s="2909"/>
      <c r="J43" s="2579"/>
      <c r="K43" s="2579"/>
      <c r="L43" s="2579"/>
      <c r="M43" s="2579"/>
    </row>
    <row r="44" spans="1:13">
      <c r="A44" s="2727"/>
      <c r="B44" s="2727"/>
      <c r="C44" s="2730"/>
      <c r="D44" s="2727"/>
      <c r="E44" s="2727"/>
      <c r="F44" s="2727"/>
      <c r="G44" s="2727"/>
      <c r="H44" s="3004"/>
      <c r="I44" s="2909"/>
      <c r="J44" s="2579"/>
      <c r="K44" s="2579"/>
      <c r="L44" s="2579"/>
      <c r="M44" s="2579"/>
    </row>
    <row r="45" spans="1:13">
      <c r="A45" s="2531"/>
      <c r="B45" s="2907"/>
      <c r="C45" s="3003"/>
      <c r="D45" s="2566"/>
      <c r="E45" s="2566"/>
      <c r="F45" s="2566"/>
      <c r="G45" s="2566"/>
      <c r="H45" s="3002"/>
      <c r="I45" s="2906"/>
      <c r="J45" s="2532"/>
      <c r="K45" s="2532"/>
      <c r="L45" s="2532"/>
      <c r="M45" s="2532"/>
    </row>
    <row r="47" spans="1:13">
      <c r="H47" s="3001"/>
    </row>
  </sheetData>
  <mergeCells count="6">
    <mergeCell ref="A4:H4"/>
    <mergeCell ref="A5:H5"/>
    <mergeCell ref="A6:H6"/>
    <mergeCell ref="A9:B11"/>
    <mergeCell ref="E9:G9"/>
    <mergeCell ref="G10:G11"/>
  </mergeCells>
  <pageMargins left="0.35" right="0" top="0.25" bottom="0.25" header="0.3" footer="0"/>
  <pageSetup paperSize="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G326"/>
  <sheetViews>
    <sheetView showGridLines="0" showOutlineSymbols="0" topLeftCell="A25" workbookViewId="0">
      <selection activeCell="D24" sqref="D24"/>
    </sheetView>
  </sheetViews>
  <sheetFormatPr defaultColWidth="12.5703125" defaultRowHeight="12.75" outlineLevelRow="1" outlineLevelCol="2"/>
  <cols>
    <col min="1" max="1" width="6.28515625" style="579" customWidth="1"/>
    <col min="2" max="2" width="4.42578125" style="579" customWidth="1"/>
    <col min="3" max="3" width="26.28515625" style="579" customWidth="1"/>
    <col min="4" max="4" width="26.7109375" style="579" customWidth="1"/>
    <col min="5" max="5" width="3.85546875" style="598" customWidth="1"/>
    <col min="6" max="6" width="12" style="579" customWidth="1" outlineLevel="1"/>
    <col min="7" max="7" width="4.5703125" style="579" customWidth="1" outlineLevel="1"/>
    <col min="8" max="8" width="12.5703125" style="579" customWidth="1" outlineLevel="1"/>
    <col min="9" max="9" width="11" style="579" customWidth="1" outlineLevel="1"/>
    <col min="10" max="10" width="10.140625" style="579" hidden="1" customWidth="1" outlineLevel="1"/>
    <col min="11" max="11" width="12.5703125" style="579" hidden="1" customWidth="1" outlineLevel="1"/>
    <col min="12" max="12" width="12.7109375" style="579" hidden="1" customWidth="1" outlineLevel="1"/>
    <col min="13" max="13" width="11.28515625" style="579" hidden="1" customWidth="1" outlineLevel="1"/>
    <col min="14" max="14" width="2.5703125" style="225" hidden="1" customWidth="1" outlineLevel="1"/>
    <col min="15" max="16" width="0" style="579" hidden="1" customWidth="1"/>
    <col min="17" max="17" width="9.7109375" style="579" hidden="1" customWidth="1"/>
    <col min="18" max="18" width="12.7109375" style="579" hidden="1" customWidth="1"/>
    <col min="19" max="21" width="0" style="579" hidden="1" customWidth="1"/>
    <col min="22" max="98" width="12.5703125" style="579"/>
    <col min="99" max="102" width="12.5703125" style="579" outlineLevel="1"/>
    <col min="103" max="108" width="12.5703125" style="579" outlineLevel="2"/>
    <col min="109" max="111" width="12.5703125" style="579" outlineLevel="1"/>
    <col min="112" max="16384" width="12.5703125" style="579"/>
  </cols>
  <sheetData>
    <row r="1" spans="1:19" ht="13.5">
      <c r="A1" s="713" t="s">
        <v>355</v>
      </c>
      <c r="H1" s="598"/>
    </row>
    <row r="2" spans="1:19" ht="12.75" customHeight="1">
      <c r="A2" s="712" t="s">
        <v>625</v>
      </c>
    </row>
    <row r="3" spans="1:19" ht="21" customHeight="1">
      <c r="A3" s="4662" t="s">
        <v>353</v>
      </c>
      <c r="B3" s="4662"/>
      <c r="C3" s="4662"/>
      <c r="D3" s="4662"/>
      <c r="E3" s="4662"/>
      <c r="F3" s="4662"/>
      <c r="G3" s="4662"/>
      <c r="H3" s="4662"/>
      <c r="I3" s="711"/>
      <c r="J3" s="710"/>
      <c r="K3" s="710"/>
      <c r="L3" s="710"/>
      <c r="M3" s="710"/>
      <c r="N3" s="219"/>
    </row>
    <row r="4" spans="1:19" ht="15" customHeight="1">
      <c r="A4" s="4663" t="s">
        <v>747</v>
      </c>
      <c r="B4" s="4663"/>
      <c r="C4" s="4663"/>
      <c r="D4" s="4663"/>
      <c r="E4" s="4663"/>
      <c r="F4" s="4663"/>
      <c r="G4" s="4663"/>
      <c r="H4" s="4663"/>
      <c r="I4" s="709"/>
      <c r="J4" s="708"/>
      <c r="K4" s="708"/>
      <c r="L4" s="708"/>
      <c r="M4" s="708"/>
      <c r="N4" s="626"/>
    </row>
    <row r="5" spans="1:19" ht="15" customHeight="1">
      <c r="A5" s="4664" t="s">
        <v>746</v>
      </c>
      <c r="B5" s="4664"/>
      <c r="C5" s="4664"/>
      <c r="D5" s="4664"/>
      <c r="E5" s="4664"/>
      <c r="F5" s="4664"/>
      <c r="G5" s="4664"/>
      <c r="H5" s="4664"/>
      <c r="I5" s="706"/>
      <c r="J5" s="705"/>
      <c r="K5" s="705"/>
      <c r="L5" s="705"/>
      <c r="M5" s="705"/>
      <c r="N5" s="704"/>
    </row>
    <row r="6" spans="1:19" ht="5.25" customHeight="1">
      <c r="A6" s="707"/>
      <c r="B6" s="707"/>
      <c r="C6" s="707"/>
      <c r="D6" s="707"/>
      <c r="E6" s="707"/>
      <c r="F6" s="707"/>
      <c r="G6" s="707"/>
      <c r="H6" s="707"/>
      <c r="I6" s="706"/>
      <c r="J6" s="705"/>
      <c r="K6" s="705"/>
      <c r="L6" s="705"/>
      <c r="M6" s="705"/>
      <c r="N6" s="704"/>
    </row>
    <row r="7" spans="1:19" ht="34.5" customHeight="1">
      <c r="A7" s="703" t="s">
        <v>350</v>
      </c>
      <c r="B7" s="702" t="s">
        <v>745</v>
      </c>
      <c r="D7" s="700"/>
      <c r="G7" s="4660"/>
      <c r="H7" s="4660"/>
      <c r="I7" s="699"/>
      <c r="L7" s="699"/>
      <c r="M7" s="699"/>
      <c r="N7" s="698"/>
    </row>
    <row r="8" spans="1:19" ht="10.5" customHeight="1">
      <c r="A8" s="699"/>
      <c r="B8" s="701"/>
      <c r="D8" s="700"/>
      <c r="G8" s="219"/>
      <c r="H8" s="219"/>
      <c r="I8" s="699"/>
      <c r="J8" s="4661" t="s">
        <v>457</v>
      </c>
      <c r="K8" s="4661"/>
      <c r="L8" s="699"/>
      <c r="M8" s="699"/>
      <c r="N8" s="698"/>
    </row>
    <row r="9" spans="1:19" ht="13.5" customHeight="1">
      <c r="A9" s="695"/>
      <c r="B9" s="697"/>
      <c r="C9" s="696"/>
      <c r="D9" s="695"/>
      <c r="E9" s="4666" t="s">
        <v>348</v>
      </c>
      <c r="F9" s="4667"/>
      <c r="G9" s="4666" t="s">
        <v>347</v>
      </c>
      <c r="H9" s="4667"/>
      <c r="I9" s="686"/>
      <c r="J9" s="4666" t="s">
        <v>347</v>
      </c>
      <c r="K9" s="4667"/>
      <c r="L9" s="690"/>
      <c r="M9" s="690"/>
      <c r="N9" s="690"/>
    </row>
    <row r="10" spans="1:19" ht="13.5" customHeight="1">
      <c r="A10" s="694"/>
      <c r="B10" s="693"/>
      <c r="C10" s="692"/>
      <c r="D10" s="691"/>
      <c r="E10" s="4668" t="s">
        <v>346</v>
      </c>
      <c r="F10" s="4669"/>
      <c r="G10" s="4668" t="s">
        <v>345</v>
      </c>
      <c r="H10" s="4669"/>
      <c r="I10" s="685"/>
      <c r="J10" s="4668" t="s">
        <v>345</v>
      </c>
      <c r="K10" s="4669"/>
      <c r="L10" s="690"/>
      <c r="M10" s="690"/>
      <c r="N10" s="690"/>
    </row>
    <row r="11" spans="1:19" ht="13.5" customHeight="1">
      <c r="A11" s="694"/>
      <c r="B11" s="693"/>
      <c r="C11" s="692"/>
      <c r="D11" s="691"/>
      <c r="E11" s="4672" t="s">
        <v>344</v>
      </c>
      <c r="F11" s="4673"/>
      <c r="G11" s="4672" t="s">
        <v>344</v>
      </c>
      <c r="H11" s="4673"/>
      <c r="I11" s="685"/>
      <c r="J11" s="4668" t="s">
        <v>344</v>
      </c>
      <c r="K11" s="4669"/>
      <c r="L11" s="690"/>
      <c r="M11" s="690"/>
      <c r="N11" s="690"/>
    </row>
    <row r="12" spans="1:19" ht="13.5" customHeight="1">
      <c r="A12" s="4668" t="s">
        <v>343</v>
      </c>
      <c r="B12" s="4669"/>
      <c r="C12" s="685" t="s">
        <v>342</v>
      </c>
      <c r="D12" s="682" t="s">
        <v>341</v>
      </c>
      <c r="E12" s="683" t="s">
        <v>339</v>
      </c>
      <c r="F12" s="689"/>
      <c r="G12" s="683" t="s">
        <v>339</v>
      </c>
      <c r="H12" s="689"/>
      <c r="I12" s="683" t="s">
        <v>340</v>
      </c>
      <c r="J12" s="683" t="s">
        <v>339</v>
      </c>
      <c r="K12" s="689"/>
      <c r="L12" s="4679" t="s">
        <v>338</v>
      </c>
      <c r="M12" s="4680"/>
      <c r="N12" s="626"/>
      <c r="O12" s="4679" t="s">
        <v>338</v>
      </c>
      <c r="P12" s="4680"/>
      <c r="S12" s="688"/>
    </row>
    <row r="13" spans="1:19" ht="14.25" customHeight="1">
      <c r="A13" s="687" t="s">
        <v>337</v>
      </c>
      <c r="B13" s="686" t="s">
        <v>336</v>
      </c>
      <c r="C13" s="685"/>
      <c r="D13" s="682"/>
      <c r="E13" s="683" t="s">
        <v>334</v>
      </c>
      <c r="F13" s="682" t="s">
        <v>333</v>
      </c>
      <c r="G13" s="683" t="s">
        <v>334</v>
      </c>
      <c r="H13" s="682" t="s">
        <v>333</v>
      </c>
      <c r="I13" s="684" t="s">
        <v>335</v>
      </c>
      <c r="J13" s="683" t="s">
        <v>334</v>
      </c>
      <c r="K13" s="682" t="s">
        <v>333</v>
      </c>
      <c r="L13" s="4661" t="s">
        <v>622</v>
      </c>
      <c r="M13" s="4661"/>
      <c r="N13" s="219"/>
      <c r="O13" s="4661"/>
      <c r="P13" s="4661"/>
    </row>
    <row r="14" spans="1:19" s="676" customFormat="1" ht="14.25" customHeight="1">
      <c r="A14" s="681" t="s">
        <v>331</v>
      </c>
      <c r="B14" s="679" t="s">
        <v>330</v>
      </c>
      <c r="C14" s="679" t="s">
        <v>329</v>
      </c>
      <c r="D14" s="680" t="s">
        <v>328</v>
      </c>
      <c r="E14" s="680" t="s">
        <v>327</v>
      </c>
      <c r="F14" s="679" t="s">
        <v>326</v>
      </c>
      <c r="G14" s="680" t="s">
        <v>324</v>
      </c>
      <c r="H14" s="680" t="s">
        <v>323</v>
      </c>
      <c r="I14" s="680" t="s">
        <v>325</v>
      </c>
      <c r="J14" s="679" t="s">
        <v>324</v>
      </c>
      <c r="K14" s="679" t="s">
        <v>323</v>
      </c>
      <c r="L14" s="626" t="s">
        <v>322</v>
      </c>
      <c r="M14" s="677" t="s">
        <v>321</v>
      </c>
      <c r="N14" s="678"/>
      <c r="O14" s="626" t="s">
        <v>322</v>
      </c>
      <c r="P14" s="677" t="s">
        <v>321</v>
      </c>
    </row>
    <row r="15" spans="1:19" ht="20.100000000000001" customHeight="1" outlineLevel="1">
      <c r="A15" s="675" t="s">
        <v>320</v>
      </c>
      <c r="B15" s="675" t="s">
        <v>320</v>
      </c>
      <c r="C15" s="674" t="s">
        <v>357</v>
      </c>
      <c r="D15" s="653" t="s">
        <v>360</v>
      </c>
      <c r="E15" s="651" t="s">
        <v>46</v>
      </c>
      <c r="F15" s="652">
        <v>1145700</v>
      </c>
      <c r="G15" s="651" t="s">
        <v>46</v>
      </c>
      <c r="H15" s="644">
        <f>IF(G15="ABOLISHED",0,(VLOOKUP(G15,A58:B297,2,FALSE)*12))</f>
        <v>1145700</v>
      </c>
      <c r="I15" s="673">
        <f>SUM(H15-F15)</f>
        <v>0</v>
      </c>
      <c r="J15" s="651" t="s">
        <v>46</v>
      </c>
      <c r="K15" s="650">
        <f>IF(J15="ABOLISHED",0, (VLOOKUP(J15,$A$58:$C297,3,FALSE)*12))</f>
        <v>1145700</v>
      </c>
      <c r="L15" s="579">
        <f>SUM(H15/12)</f>
        <v>95475</v>
      </c>
      <c r="M15" s="649">
        <f>IF(L15&gt;=80000,1600,SUM(L15*4%)/2)</f>
        <v>1600</v>
      </c>
      <c r="N15" s="640"/>
      <c r="O15" s="579">
        <f>SUM(K15/12)</f>
        <v>95475</v>
      </c>
      <c r="P15" s="649">
        <f>IF(O15&gt;=80000,1600,SUM(O15*4%)/2)</f>
        <v>1600</v>
      </c>
      <c r="R15" s="579">
        <f>SUM(O15-L15)</f>
        <v>0</v>
      </c>
    </row>
    <row r="16" spans="1:19" ht="20.100000000000001" customHeight="1" outlineLevel="1">
      <c r="A16" s="658"/>
      <c r="B16" s="658"/>
      <c r="C16" s="654"/>
      <c r="D16" s="672"/>
      <c r="E16" s="651"/>
      <c r="F16" s="652"/>
      <c r="G16" s="651"/>
      <c r="H16" s="644"/>
      <c r="I16" s="643"/>
      <c r="J16" s="651"/>
      <c r="K16" s="650"/>
      <c r="M16" s="649"/>
      <c r="N16" s="640"/>
      <c r="P16" s="649"/>
    </row>
    <row r="17" spans="1:18" ht="20.100000000000001" customHeight="1" outlineLevel="1">
      <c r="A17" s="665"/>
      <c r="B17" s="665"/>
      <c r="C17" s="671" t="s">
        <v>744</v>
      </c>
      <c r="D17" s="670"/>
      <c r="E17" s="669"/>
      <c r="F17" s="652"/>
      <c r="G17" s="669"/>
      <c r="H17" s="644"/>
      <c r="I17" s="643"/>
      <c r="J17" s="669"/>
      <c r="K17" s="650"/>
      <c r="M17" s="649"/>
      <c r="N17" s="640"/>
      <c r="P17" s="649"/>
    </row>
    <row r="18" spans="1:18" ht="20.100000000000001" customHeight="1" outlineLevel="1">
      <c r="A18" s="658" t="s">
        <v>314</v>
      </c>
      <c r="B18" s="658" t="s">
        <v>314</v>
      </c>
      <c r="C18" s="654" t="s">
        <v>743</v>
      </c>
      <c r="D18" s="653" t="s">
        <v>742</v>
      </c>
      <c r="E18" s="651" t="s">
        <v>70</v>
      </c>
      <c r="F18" s="652">
        <v>792084</v>
      </c>
      <c r="G18" s="651" t="s">
        <v>70</v>
      </c>
      <c r="H18" s="644">
        <f>IF(G18="ABOLISHED",0,(VLOOKUP(G18,A61:B300,2,FALSE)*12))</f>
        <v>792084</v>
      </c>
      <c r="I18" s="643">
        <f>SUM(H18-F18)</f>
        <v>0</v>
      </c>
      <c r="J18" s="651" t="s">
        <v>70</v>
      </c>
      <c r="K18" s="650">
        <f>IF(J18="ABOLISHED",0, (VLOOKUP(J18,$A$58:$C299,3,FALSE)*12))</f>
        <v>792084</v>
      </c>
      <c r="L18" s="579">
        <f>SUM(H18/12)</f>
        <v>66007</v>
      </c>
      <c r="M18" s="649">
        <f>IF(L18&gt;=80000,1600,SUM(L18*4%)/2)</f>
        <v>1320.14</v>
      </c>
      <c r="N18" s="640"/>
      <c r="O18" s="579">
        <f>SUM(K18/12)</f>
        <v>66007</v>
      </c>
      <c r="P18" s="649">
        <f>IF(O18&gt;=80000,1600,SUM(O18*4%)/2)</f>
        <v>1320.14</v>
      </c>
      <c r="R18" s="579">
        <f>SUM(O18-L18)</f>
        <v>0</v>
      </c>
    </row>
    <row r="19" spans="1:18" ht="20.100000000000001" customHeight="1" outlineLevel="1">
      <c r="A19" s="658"/>
      <c r="B19" s="658"/>
      <c r="C19" s="654"/>
      <c r="D19" s="653"/>
      <c r="E19" s="651"/>
      <c r="F19" s="652"/>
      <c r="G19" s="651"/>
      <c r="H19" s="644"/>
      <c r="I19" s="643"/>
      <c r="J19" s="651"/>
      <c r="K19" s="650"/>
      <c r="M19" s="649"/>
      <c r="N19" s="640"/>
      <c r="P19" s="649"/>
    </row>
    <row r="20" spans="1:18" ht="20.100000000000001" customHeight="1" outlineLevel="1">
      <c r="A20" s="658"/>
      <c r="B20" s="658"/>
      <c r="C20" s="664" t="s">
        <v>741</v>
      </c>
      <c r="D20" s="653"/>
      <c r="E20" s="651"/>
      <c r="F20" s="652"/>
      <c r="G20" s="651"/>
      <c r="H20" s="644"/>
      <c r="I20" s="643"/>
      <c r="J20" s="651"/>
      <c r="K20" s="650"/>
      <c r="M20" s="649"/>
      <c r="N20" s="640"/>
      <c r="P20" s="649"/>
    </row>
    <row r="21" spans="1:18" ht="20.100000000000001" customHeight="1" outlineLevel="1">
      <c r="A21" s="658" t="s">
        <v>311</v>
      </c>
      <c r="B21" s="658" t="s">
        <v>311</v>
      </c>
      <c r="C21" s="654" t="s">
        <v>740</v>
      </c>
      <c r="D21" s="653" t="s">
        <v>739</v>
      </c>
      <c r="E21" s="651" t="s">
        <v>102</v>
      </c>
      <c r="F21" s="652">
        <v>503700</v>
      </c>
      <c r="G21" s="651" t="s">
        <v>102</v>
      </c>
      <c r="H21" s="644">
        <f>IF(G21="ABOLISHED",0,(VLOOKUP(G21,A64:B303,2,FALSE)*12))</f>
        <v>503700</v>
      </c>
      <c r="I21" s="643">
        <f>SUM(H21-F21)</f>
        <v>0</v>
      </c>
      <c r="J21" s="651" t="s">
        <v>102</v>
      </c>
      <c r="K21" s="650">
        <f>IF(J21="ABOLISHED",0, (VLOOKUP(J21,$A$58:$C302,3,FALSE)*12))</f>
        <v>503700</v>
      </c>
      <c r="L21" s="579">
        <f>SUM(H21/12)</f>
        <v>41975</v>
      </c>
      <c r="M21" s="649">
        <f>IF(L21&gt;=80000,1600,SUM(L21*4%)/2)</f>
        <v>839.5</v>
      </c>
      <c r="N21" s="640"/>
      <c r="O21" s="579">
        <f>SUM(K21/12)</f>
        <v>41975</v>
      </c>
      <c r="P21" s="649">
        <f>IF(O21&gt;=80000,1600,SUM(O21*4%)/2)</f>
        <v>839.5</v>
      </c>
      <c r="R21" s="579">
        <f>SUM(O21-L21)</f>
        <v>0</v>
      </c>
    </row>
    <row r="22" spans="1:18" ht="20.100000000000001" customHeight="1" outlineLevel="1">
      <c r="A22" s="658" t="s">
        <v>307</v>
      </c>
      <c r="B22" s="658" t="s">
        <v>307</v>
      </c>
      <c r="C22" s="668" t="s">
        <v>738</v>
      </c>
      <c r="D22" s="659" t="s">
        <v>737</v>
      </c>
      <c r="E22" s="651" t="s">
        <v>134</v>
      </c>
      <c r="F22" s="652">
        <v>355032</v>
      </c>
      <c r="G22" s="651" t="s">
        <v>134</v>
      </c>
      <c r="H22" s="644">
        <f>IF(G22="ABOLISHED",0,(VLOOKUP(G22,A66:B305,2,FALSE)*12))</f>
        <v>355032</v>
      </c>
      <c r="I22" s="643">
        <f>SUM(H22-F22)</f>
        <v>0</v>
      </c>
      <c r="J22" s="651" t="s">
        <v>134</v>
      </c>
      <c r="K22" s="650">
        <f>IF(J22="ABOLISHED",0, (VLOOKUP(J22,$A$58:$C304,3,FALSE)*12))</f>
        <v>355032</v>
      </c>
      <c r="L22" s="579">
        <f>SUM(H22/12)</f>
        <v>29586</v>
      </c>
      <c r="M22" s="649">
        <f>IF(L22&gt;=80000,1600,SUM(L22*4%)/2)</f>
        <v>591.72</v>
      </c>
      <c r="N22" s="640"/>
      <c r="O22" s="579">
        <f>SUM(K22/12)</f>
        <v>29586</v>
      </c>
      <c r="P22" s="649">
        <f>IF(O22&gt;=80000,1600,SUM(O22*4%)/2)</f>
        <v>591.72</v>
      </c>
      <c r="R22" s="579">
        <f>SUM(O22-L22)</f>
        <v>0</v>
      </c>
    </row>
    <row r="23" spans="1:18" ht="20.100000000000001" customHeight="1" outlineLevel="1">
      <c r="A23" s="658" t="s">
        <v>304</v>
      </c>
      <c r="B23" s="658" t="s">
        <v>304</v>
      </c>
      <c r="C23" s="661" t="s">
        <v>736</v>
      </c>
      <c r="D23" s="653" t="s">
        <v>735</v>
      </c>
      <c r="E23" s="651" t="s">
        <v>173</v>
      </c>
      <c r="F23" s="652">
        <v>227112</v>
      </c>
      <c r="G23" s="651" t="s">
        <v>173</v>
      </c>
      <c r="H23" s="644">
        <f>IF(G23="ABOLISHED",0,(VLOOKUP(G23,A68:B307,2,FALSE)*12))</f>
        <v>227112</v>
      </c>
      <c r="I23" s="643">
        <f>SUM(H23-F23)</f>
        <v>0</v>
      </c>
      <c r="J23" s="651" t="s">
        <v>173</v>
      </c>
      <c r="K23" s="650">
        <f>IF(J23="ABOLISHED",0, (VLOOKUP(J23,$A$58:$C306,3,FALSE)*12))</f>
        <v>227112</v>
      </c>
      <c r="L23" s="579">
        <f>SUM(H23/12)</f>
        <v>18926</v>
      </c>
      <c r="M23" s="649">
        <f>IF(L23&gt;=80000,1600,SUM(L23*4%)/2)</f>
        <v>378.52</v>
      </c>
      <c r="N23" s="640"/>
      <c r="O23" s="579">
        <f>SUM(K23/12)</f>
        <v>18926</v>
      </c>
      <c r="P23" s="649">
        <f>IF(O23&gt;=80000,1600,SUM(O23*4%)/2)</f>
        <v>378.52</v>
      </c>
      <c r="R23" s="579">
        <f>SUM(O23-L23)</f>
        <v>0</v>
      </c>
    </row>
    <row r="24" spans="1:18" ht="20.100000000000001" customHeight="1" outlineLevel="1">
      <c r="A24" s="658"/>
      <c r="B24" s="658"/>
      <c r="C24" s="664" t="s">
        <v>734</v>
      </c>
      <c r="D24" s="653"/>
      <c r="E24" s="651"/>
      <c r="F24" s="652"/>
      <c r="G24" s="651"/>
      <c r="H24" s="644"/>
      <c r="I24" s="643"/>
      <c r="J24" s="651"/>
      <c r="K24" s="650"/>
      <c r="M24" s="649"/>
      <c r="N24" s="640"/>
      <c r="P24" s="649"/>
    </row>
    <row r="25" spans="1:18" ht="20.100000000000001" customHeight="1" outlineLevel="1">
      <c r="A25" s="658" t="s">
        <v>297</v>
      </c>
      <c r="B25" s="658"/>
      <c r="C25" s="667" t="s">
        <v>733</v>
      </c>
      <c r="D25" s="653" t="s">
        <v>245</v>
      </c>
      <c r="E25" s="651" t="s">
        <v>206</v>
      </c>
      <c r="F25" s="652">
        <v>175476</v>
      </c>
      <c r="G25" s="662" t="s">
        <v>252</v>
      </c>
      <c r="H25" s="644"/>
      <c r="I25" s="643">
        <f>SUM(H25-F25)</f>
        <v>-175476</v>
      </c>
      <c r="J25" s="662" t="s">
        <v>252</v>
      </c>
      <c r="K25" s="650">
        <f>IF(J25="ABOLISHED",0, (VLOOKUP(J25,$A$58:$C310,3,FALSE)*12))</f>
        <v>0</v>
      </c>
      <c r="L25" s="579">
        <f>SUM(H25/12)</f>
        <v>0</v>
      </c>
      <c r="M25" s="649">
        <f>IF(L25&gt;=80000,1600,SUM(L25*4%)/2)</f>
        <v>0</v>
      </c>
      <c r="N25" s="640"/>
      <c r="O25" s="579">
        <f>SUM(K25/12)</f>
        <v>0</v>
      </c>
      <c r="P25" s="649">
        <f>IF(O25&gt;=80000,1600,SUM(O25*4%)/2)</f>
        <v>0</v>
      </c>
      <c r="R25" s="579">
        <f>SUM(O25-L25)</f>
        <v>0</v>
      </c>
    </row>
    <row r="26" spans="1:18" ht="20.100000000000001" customHeight="1" outlineLevel="1">
      <c r="A26" s="656" t="s">
        <v>290</v>
      </c>
      <c r="B26" s="658" t="s">
        <v>308</v>
      </c>
      <c r="C26" s="654" t="s">
        <v>730</v>
      </c>
      <c r="D26" s="653"/>
      <c r="E26" s="651"/>
      <c r="F26" s="652"/>
      <c r="G26" s="651"/>
      <c r="H26" s="644"/>
      <c r="I26" s="643"/>
      <c r="J26" s="651"/>
      <c r="K26" s="650"/>
      <c r="M26" s="649"/>
      <c r="N26" s="640"/>
      <c r="P26" s="649"/>
    </row>
    <row r="27" spans="1:18" ht="20.100000000000001" customHeight="1" outlineLevel="1">
      <c r="A27" s="656"/>
      <c r="B27" s="655"/>
      <c r="C27" s="660" t="s">
        <v>732</v>
      </c>
      <c r="D27" s="653" t="s">
        <v>731</v>
      </c>
      <c r="E27" s="651" t="s">
        <v>214</v>
      </c>
      <c r="F27" s="652">
        <v>165420</v>
      </c>
      <c r="G27" s="651" t="s">
        <v>214</v>
      </c>
      <c r="H27" s="644">
        <f>IF(G27="ABOLISHED",0,(VLOOKUP(G27,A67:B306,2,FALSE)*12))</f>
        <v>165420</v>
      </c>
      <c r="I27" s="643">
        <f>SUM(H27-F27)</f>
        <v>0</v>
      </c>
      <c r="J27" s="651" t="s">
        <v>214</v>
      </c>
      <c r="K27" s="650">
        <f>IF(J27="ABOLISHED",0, (VLOOKUP(J27,$A$58:$C305,3,FALSE)*12))</f>
        <v>165420</v>
      </c>
      <c r="L27" s="579">
        <f>SUM(H27/12)</f>
        <v>13785</v>
      </c>
      <c r="M27" s="649">
        <f>IF(L27&gt;=80000,1600,SUM(L27*4%)/2)</f>
        <v>275.7</v>
      </c>
      <c r="N27" s="640"/>
      <c r="O27" s="579">
        <f>SUM(K27/12)</f>
        <v>13785</v>
      </c>
      <c r="P27" s="649">
        <f>IF(O27&gt;=80000,1600,SUM(O27*4%)/2)</f>
        <v>275.7</v>
      </c>
      <c r="R27" s="579">
        <f>SUM(O27-L27)</f>
        <v>0</v>
      </c>
    </row>
    <row r="28" spans="1:18" ht="20.100000000000001" customHeight="1" outlineLevel="1">
      <c r="A28" s="656"/>
      <c r="B28" s="658" t="s">
        <v>294</v>
      </c>
      <c r="C28" s="654" t="s">
        <v>730</v>
      </c>
      <c r="D28" s="653" t="s">
        <v>245</v>
      </c>
      <c r="E28" s="651"/>
      <c r="F28" s="652"/>
      <c r="G28" s="651" t="s">
        <v>215</v>
      </c>
      <c r="H28" s="644">
        <f>IF(G28="ABOLISHED",0,(VLOOKUP(G28,A68:B307,2,FALSE)*12))</f>
        <v>164160</v>
      </c>
      <c r="I28" s="643">
        <f>SUM(H28-F28)</f>
        <v>164160</v>
      </c>
      <c r="J28" s="651" t="s">
        <v>215</v>
      </c>
      <c r="K28" s="650">
        <f>IF(J28="ABOLISHED",0, (VLOOKUP(J28,$A$58:$C306,3,FALSE)*12))</f>
        <v>164160</v>
      </c>
      <c r="L28" s="579">
        <f>SUM(H28/12)</f>
        <v>13680</v>
      </c>
      <c r="M28" s="649">
        <f>IF(L28&gt;=80000,1600,SUM(L28*4%)/2)</f>
        <v>273.60000000000002</v>
      </c>
      <c r="N28" s="640"/>
      <c r="O28" s="579">
        <f>SUM(K28/12)</f>
        <v>13680</v>
      </c>
      <c r="P28" s="649">
        <f>IF(O28&gt;=80000,1600,SUM(O28*4%)/2)</f>
        <v>273.60000000000002</v>
      </c>
      <c r="R28" s="579">
        <f>SUM(O28-L28)</f>
        <v>0</v>
      </c>
    </row>
    <row r="29" spans="1:18" ht="20.100000000000001" customHeight="1" outlineLevel="1">
      <c r="A29" s="665"/>
      <c r="B29" s="665"/>
      <c r="C29" s="666" t="s">
        <v>729</v>
      </c>
      <c r="D29" s="659"/>
      <c r="E29" s="663"/>
      <c r="F29" s="652"/>
      <c r="G29" s="663"/>
      <c r="H29" s="644"/>
      <c r="I29" s="643"/>
      <c r="J29" s="663"/>
      <c r="K29" s="650"/>
      <c r="M29" s="649"/>
      <c r="N29" s="640"/>
      <c r="P29" s="649"/>
    </row>
    <row r="30" spans="1:18" ht="20.100000000000001" customHeight="1" outlineLevel="1">
      <c r="A30" s="665"/>
      <c r="B30" s="665"/>
      <c r="C30" s="664" t="s">
        <v>728</v>
      </c>
      <c r="D30" s="659"/>
      <c r="E30" s="663"/>
      <c r="F30" s="652"/>
      <c r="G30" s="663"/>
      <c r="H30" s="644"/>
      <c r="I30" s="643"/>
      <c r="J30" s="663"/>
      <c r="K30" s="650"/>
      <c r="M30" s="649"/>
      <c r="N30" s="640"/>
      <c r="P30" s="649"/>
    </row>
    <row r="31" spans="1:18" ht="20.100000000000001" customHeight="1" outlineLevel="1">
      <c r="A31" s="658" t="s">
        <v>294</v>
      </c>
      <c r="B31" s="658"/>
      <c r="C31" s="654" t="s">
        <v>727</v>
      </c>
      <c r="D31" s="659"/>
      <c r="E31" s="663"/>
      <c r="F31" s="652"/>
      <c r="G31" s="663"/>
      <c r="H31" s="644"/>
      <c r="I31" s="643"/>
      <c r="J31" s="663"/>
      <c r="K31" s="650"/>
      <c r="M31" s="649"/>
      <c r="N31" s="640"/>
      <c r="P31" s="649"/>
    </row>
    <row r="32" spans="1:18" ht="20.100000000000001" customHeight="1" outlineLevel="1">
      <c r="A32" s="658"/>
      <c r="B32" s="658"/>
      <c r="C32" s="654" t="s">
        <v>726</v>
      </c>
      <c r="D32" s="659" t="s">
        <v>245</v>
      </c>
      <c r="E32" s="651" t="s">
        <v>166</v>
      </c>
      <c r="F32" s="652">
        <v>243756</v>
      </c>
      <c r="G32" s="662" t="s">
        <v>252</v>
      </c>
      <c r="H32" s="644"/>
      <c r="I32" s="643">
        <f>SUM(H32-F32)</f>
        <v>-243756</v>
      </c>
      <c r="J32" s="662" t="s">
        <v>252</v>
      </c>
      <c r="K32" s="650">
        <f>IF(J32="ABOLISHED",0, (VLOOKUP(J32,$A$58:$C313,3,FALSE)*12))</f>
        <v>0</v>
      </c>
      <c r="L32" s="579">
        <f>SUM(H32/12)</f>
        <v>0</v>
      </c>
      <c r="M32" s="649">
        <f>IF(L32&gt;=80000,1600,SUM(L32*4%)/2)</f>
        <v>0</v>
      </c>
      <c r="N32" s="640"/>
      <c r="O32" s="579">
        <f>SUM(K32/12)</f>
        <v>0</v>
      </c>
      <c r="P32" s="649">
        <f>IF(O32&gt;=80000,1600,SUM(O32*4%)/2)</f>
        <v>0</v>
      </c>
      <c r="R32" s="579">
        <f>SUM(O32-L32)</f>
        <v>0</v>
      </c>
    </row>
    <row r="33" spans="1:18" ht="20.100000000000001" customHeight="1" outlineLevel="1">
      <c r="A33" s="658" t="s">
        <v>308</v>
      </c>
      <c r="B33" s="658" t="s">
        <v>301</v>
      </c>
      <c r="C33" s="661" t="s">
        <v>725</v>
      </c>
      <c r="D33" s="653"/>
      <c r="E33" s="651"/>
      <c r="F33" s="652"/>
      <c r="G33" s="651"/>
      <c r="H33" s="644"/>
      <c r="I33" s="643"/>
      <c r="J33" s="651"/>
      <c r="K33" s="650"/>
      <c r="M33" s="649"/>
      <c r="N33" s="640"/>
      <c r="P33" s="649"/>
    </row>
    <row r="34" spans="1:18" ht="20.100000000000001" customHeight="1" outlineLevel="1">
      <c r="A34" s="658"/>
      <c r="B34" s="658"/>
      <c r="C34" s="661" t="s">
        <v>724</v>
      </c>
      <c r="D34" s="653" t="s">
        <v>723</v>
      </c>
      <c r="E34" s="651" t="s">
        <v>173</v>
      </c>
      <c r="F34" s="652">
        <v>227112</v>
      </c>
      <c r="G34" s="651" t="s">
        <v>173</v>
      </c>
      <c r="H34" s="644">
        <f>IF(G34="ABOLISHED",0,(VLOOKUP(G34,A70:B309,2,FALSE)*12))</f>
        <v>227112</v>
      </c>
      <c r="I34" s="643">
        <f>SUM(H34-F34)</f>
        <v>0</v>
      </c>
      <c r="J34" s="651" t="s">
        <v>173</v>
      </c>
      <c r="K34" s="650">
        <f>IF(J34="ABOLISHED",0, (VLOOKUP(J34,$A$58:$C308,3,FALSE)*12))</f>
        <v>227112</v>
      </c>
      <c r="L34" s="579">
        <f>SUM(H34/12)</f>
        <v>18926</v>
      </c>
      <c r="M34" s="649">
        <f>IF(L34&gt;=80000,1600,SUM(L34*4%)/2)</f>
        <v>378.52</v>
      </c>
      <c r="N34" s="640"/>
      <c r="O34" s="579">
        <f>SUM(K34/12)</f>
        <v>18926</v>
      </c>
      <c r="P34" s="649">
        <f>IF(O34&gt;=80000,1600,SUM(O34*4%)/2)</f>
        <v>378.52</v>
      </c>
      <c r="R34" s="579">
        <f>SUM(O34-L34)</f>
        <v>0</v>
      </c>
    </row>
    <row r="35" spans="1:18" ht="20.100000000000001" customHeight="1" outlineLevel="1">
      <c r="A35" s="658" t="s">
        <v>301</v>
      </c>
      <c r="B35" s="658" t="s">
        <v>297</v>
      </c>
      <c r="C35" s="660" t="s">
        <v>722</v>
      </c>
      <c r="D35" s="659"/>
      <c r="E35" s="651"/>
      <c r="F35" s="652"/>
      <c r="G35" s="651"/>
      <c r="H35" s="644"/>
      <c r="I35" s="643"/>
      <c r="J35" s="651"/>
      <c r="K35" s="650"/>
      <c r="M35" s="649"/>
      <c r="N35" s="640"/>
      <c r="P35" s="649"/>
    </row>
    <row r="36" spans="1:18" ht="20.100000000000001" customHeight="1" outlineLevel="1">
      <c r="A36" s="658"/>
      <c r="B36" s="658"/>
      <c r="C36" s="660" t="s">
        <v>721</v>
      </c>
      <c r="D36" s="659" t="s">
        <v>720</v>
      </c>
      <c r="E36" s="651" t="s">
        <v>190</v>
      </c>
      <c r="F36" s="652">
        <v>197340</v>
      </c>
      <c r="G36" s="651" t="s">
        <v>190</v>
      </c>
      <c r="H36" s="644">
        <f>IF(G36="ABOLISHED",0,(VLOOKUP(G36,A77:B316,2,FALSE)*12))</f>
        <v>197340</v>
      </c>
      <c r="I36" s="643">
        <f>SUM(H36-F36)</f>
        <v>0</v>
      </c>
      <c r="J36" s="651" t="s">
        <v>190</v>
      </c>
      <c r="K36" s="650">
        <f>IF(J36="ABOLISHED",0, (VLOOKUP(J36,$A$58:$C315,3,FALSE)*12))</f>
        <v>197340</v>
      </c>
      <c r="L36" s="579">
        <f>SUM(H36/12)</f>
        <v>16445</v>
      </c>
      <c r="M36" s="649">
        <f>IF(L36&gt;=80000,1600,SUM(L36*4%)/2)</f>
        <v>328.90000000000003</v>
      </c>
      <c r="N36" s="640"/>
      <c r="O36" s="579">
        <f>SUM(K36/12)</f>
        <v>16445</v>
      </c>
      <c r="P36" s="649">
        <f>IF(O36&gt;=80000,1600,SUM(O36*4%)/2)</f>
        <v>328.90000000000003</v>
      </c>
      <c r="R36" s="579">
        <f>SUM(O36-L36)</f>
        <v>0</v>
      </c>
    </row>
    <row r="37" spans="1:18" ht="20.100000000000001" customHeight="1" outlineLevel="1">
      <c r="A37" s="658"/>
      <c r="B37" s="658"/>
      <c r="C37" s="657" t="s">
        <v>719</v>
      </c>
      <c r="D37" s="653"/>
      <c r="E37" s="651"/>
      <c r="F37" s="652"/>
      <c r="G37" s="651"/>
      <c r="H37" s="644"/>
      <c r="I37" s="643"/>
      <c r="J37" s="651"/>
      <c r="K37" s="650"/>
      <c r="M37" s="649"/>
      <c r="N37" s="640"/>
      <c r="P37" s="649"/>
    </row>
    <row r="38" spans="1:18" ht="20.100000000000001" customHeight="1" outlineLevel="1">
      <c r="A38" s="656"/>
      <c r="B38" s="655" t="s">
        <v>290</v>
      </c>
      <c r="C38" s="654" t="s">
        <v>718</v>
      </c>
      <c r="D38" s="653" t="s">
        <v>245</v>
      </c>
      <c r="E38" s="651"/>
      <c r="F38" s="652"/>
      <c r="G38" s="651" t="s">
        <v>223</v>
      </c>
      <c r="H38" s="644">
        <f>IF(G38="ABOLISHED",0,(VLOOKUP(G38,A56:B316,2,FALSE)*12))</f>
        <v>154716</v>
      </c>
      <c r="I38" s="643">
        <f>SUM(H38-F38)</f>
        <v>154716</v>
      </c>
      <c r="J38" s="651" t="s">
        <v>223</v>
      </c>
      <c r="K38" s="650">
        <f>IF(J38="ABOLISHED",0, (VLOOKUP(J38,$A$57:$C315,3,FALSE)*12))</f>
        <v>154716</v>
      </c>
      <c r="L38" s="579">
        <f>SUM(H38/12)</f>
        <v>12893</v>
      </c>
      <c r="M38" s="649">
        <f>IF(L38&gt;=70000,1225,SUM(L38*3.5%)/2)</f>
        <v>225.62750000000003</v>
      </c>
      <c r="N38" s="640"/>
      <c r="O38" s="579">
        <f>SUM(K38/12)</f>
        <v>12893</v>
      </c>
      <c r="P38" s="649">
        <f>IF(O38&gt;=70000,1225,SUM(O38*3.5%)/2)</f>
        <v>225.62750000000003</v>
      </c>
      <c r="R38" s="579">
        <f>SUM(O38-L38)</f>
        <v>0</v>
      </c>
    </row>
    <row r="39" spans="1:18" ht="20.100000000000001" customHeight="1" outlineLevel="1">
      <c r="A39" s="656"/>
      <c r="B39" s="655" t="s">
        <v>286</v>
      </c>
      <c r="C39" s="654" t="s">
        <v>717</v>
      </c>
      <c r="D39" s="653" t="s">
        <v>245</v>
      </c>
      <c r="E39" s="651"/>
      <c r="F39" s="652"/>
      <c r="G39" s="651" t="s">
        <v>231</v>
      </c>
      <c r="H39" s="644">
        <f>IF(G39="ABOLISHED",0,(VLOOKUP(G39,A56:B317,2,FALSE)*12))</f>
        <v>145812</v>
      </c>
      <c r="I39" s="643">
        <f>SUM(H39-F39)</f>
        <v>145812</v>
      </c>
      <c r="J39" s="651" t="s">
        <v>231</v>
      </c>
      <c r="K39" s="650">
        <f>IF(J39="ABOLISHED",0, (VLOOKUP(J39,$A$57:$C316,3,FALSE)*12))</f>
        <v>145812</v>
      </c>
      <c r="L39" s="579">
        <f>SUM(H39/12)</f>
        <v>12151</v>
      </c>
      <c r="M39" s="649">
        <f>IF(L39&gt;=70000,1225,SUM(L39*3.5%)/2)</f>
        <v>212.64250000000001</v>
      </c>
      <c r="N39" s="640"/>
      <c r="O39" s="579">
        <f>SUM(K39/12)</f>
        <v>12151</v>
      </c>
      <c r="P39" s="649">
        <f>IF(O39&gt;=70000,1225,SUM(O39*3.5%)/2)</f>
        <v>212.64250000000001</v>
      </c>
      <c r="R39" s="579">
        <f>SUM(O39-L39)</f>
        <v>0</v>
      </c>
    </row>
    <row r="40" spans="1:18" ht="20.100000000000001" customHeight="1" outlineLevel="1">
      <c r="A40" s="648"/>
      <c r="B40" s="648"/>
      <c r="C40" s="647"/>
      <c r="D40" s="646"/>
      <c r="E40" s="642"/>
      <c r="F40" s="645"/>
      <c r="G40" s="642"/>
      <c r="H40" s="644"/>
      <c r="I40" s="643"/>
      <c r="J40" s="642"/>
      <c r="K40" s="641" t="s">
        <v>256</v>
      </c>
      <c r="M40" s="639"/>
      <c r="N40" s="640"/>
      <c r="P40" s="639"/>
    </row>
    <row r="41" spans="1:18" ht="20.100000000000001" customHeight="1">
      <c r="A41" s="638"/>
      <c r="B41" s="637">
        <v>11</v>
      </c>
      <c r="C41" s="636"/>
      <c r="D41" s="635" t="s">
        <v>244</v>
      </c>
      <c r="E41" s="634"/>
      <c r="F41" s="632">
        <f>SUM(F15:F40)</f>
        <v>4032732</v>
      </c>
      <c r="G41" s="633"/>
      <c r="H41" s="632">
        <f>SUM(H15:H40)</f>
        <v>4078188</v>
      </c>
      <c r="I41" s="631">
        <f>SUM(I15:I40)</f>
        <v>45456</v>
      </c>
      <c r="J41" s="630"/>
      <c r="K41" s="629">
        <f>SUM(K15:K40)</f>
        <v>4078188</v>
      </c>
      <c r="L41" s="626"/>
      <c r="M41" s="625">
        <f>SUM(M15:M40)</f>
        <v>6424.87</v>
      </c>
      <c r="N41" s="626"/>
      <c r="O41" s="626"/>
      <c r="P41" s="625">
        <f>SUM(P15:P40)</f>
        <v>6424.87</v>
      </c>
    </row>
    <row r="42" spans="1:18" ht="16.149999999999999" customHeight="1">
      <c r="A42" s="628"/>
      <c r="B42" s="628"/>
      <c r="C42" s="625"/>
      <c r="D42" s="627"/>
      <c r="E42" s="626"/>
      <c r="F42" s="623"/>
      <c r="G42" s="225"/>
      <c r="H42" s="623" t="s">
        <v>716</v>
      </c>
      <c r="I42" s="626"/>
      <c r="J42" s="626"/>
      <c r="K42" s="626"/>
      <c r="L42" s="626"/>
      <c r="M42" s="625">
        <v>12</v>
      </c>
      <c r="N42" s="626"/>
      <c r="O42" s="626"/>
      <c r="P42" s="625">
        <v>12</v>
      </c>
    </row>
    <row r="43" spans="1:18" ht="14.25" customHeight="1" thickBot="1">
      <c r="A43" s="4665" t="s">
        <v>715</v>
      </c>
      <c r="B43" s="4665"/>
      <c r="C43" s="616"/>
      <c r="D43" s="624" t="s">
        <v>363</v>
      </c>
      <c r="E43" s="620"/>
      <c r="F43" s="4677" t="s">
        <v>714</v>
      </c>
      <c r="G43" s="4677"/>
      <c r="H43" s="619"/>
      <c r="I43" s="622"/>
      <c r="J43" s="622"/>
      <c r="K43" s="622"/>
      <c r="L43" s="622"/>
      <c r="M43" s="621">
        <f>ROUNDUP(SUM(M41*M42),0)</f>
        <v>77099</v>
      </c>
      <c r="N43" s="623"/>
      <c r="O43" s="622"/>
      <c r="P43" s="621">
        <f>ROUNDUP(SUM(P41*P42),0)</f>
        <v>77099</v>
      </c>
    </row>
    <row r="44" spans="1:18" ht="14.25" customHeight="1" thickTop="1">
      <c r="A44" s="616"/>
      <c r="B44" s="616"/>
      <c r="C44" s="616"/>
      <c r="D44" s="616"/>
      <c r="E44" s="620"/>
      <c r="F44" s="619"/>
      <c r="G44" s="619"/>
      <c r="H44" s="616"/>
    </row>
    <row r="45" spans="1:18" ht="18.75" customHeight="1">
      <c r="A45" s="4684" t="s">
        <v>713</v>
      </c>
      <c r="B45" s="4684"/>
      <c r="C45" s="4684"/>
      <c r="D45" s="4674" t="s">
        <v>712</v>
      </c>
      <c r="E45" s="4674"/>
      <c r="F45" s="4678" t="s">
        <v>359</v>
      </c>
      <c r="G45" s="4678"/>
      <c r="H45" s="4678"/>
    </row>
    <row r="46" spans="1:18" s="617" customFormat="1" ht="14.25" customHeight="1">
      <c r="A46" s="4685" t="s">
        <v>711</v>
      </c>
      <c r="B46" s="4685"/>
      <c r="C46" s="4685"/>
      <c r="D46" s="4675" t="s">
        <v>710</v>
      </c>
      <c r="E46" s="4675"/>
      <c r="F46" s="4686" t="s">
        <v>709</v>
      </c>
      <c r="G46" s="4686"/>
      <c r="H46" s="4686"/>
      <c r="L46" s="617">
        <f>SUM(L32*0.65)</f>
        <v>0</v>
      </c>
      <c r="N46" s="618"/>
    </row>
    <row r="47" spans="1:18" ht="14.25" customHeight="1">
      <c r="A47" s="616"/>
      <c r="B47" s="616"/>
      <c r="C47" s="616"/>
      <c r="D47" s="4676"/>
      <c r="E47" s="4676"/>
      <c r="F47" s="616"/>
      <c r="G47" s="616"/>
      <c r="H47" s="616"/>
      <c r="L47" s="579">
        <f>SUM(L46*0.75)</f>
        <v>0</v>
      </c>
    </row>
    <row r="48" spans="1:18" ht="14.25" customHeight="1">
      <c r="E48" s="615"/>
    </row>
    <row r="49" spans="1:14" ht="14.25" hidden="1" customHeight="1">
      <c r="E49" s="615"/>
    </row>
    <row r="50" spans="1:14" ht="14.25" hidden="1" customHeight="1">
      <c r="C50" s="4682" t="s">
        <v>360</v>
      </c>
      <c r="D50" s="4682"/>
      <c r="E50" s="615"/>
    </row>
    <row r="51" spans="1:14" ht="14.25" hidden="1" customHeight="1">
      <c r="C51" s="4683" t="s">
        <v>357</v>
      </c>
      <c r="D51" s="4683"/>
      <c r="E51" s="615"/>
    </row>
    <row r="52" spans="1:14" ht="14.25" hidden="1" customHeight="1">
      <c r="E52" s="615"/>
    </row>
    <row r="53" spans="1:14" ht="14.25" hidden="1" customHeight="1">
      <c r="E53" s="615"/>
    </row>
    <row r="54" spans="1:14" ht="14.25" hidden="1" customHeight="1">
      <c r="E54" s="615"/>
    </row>
    <row r="55" spans="1:14" ht="14.25" hidden="1" customHeight="1">
      <c r="A55" s="4681"/>
      <c r="B55" s="4681"/>
      <c r="C55" s="614"/>
      <c r="E55" s="615"/>
      <c r="F55" s="614"/>
    </row>
    <row r="56" spans="1:14" ht="15.75" hidden="1">
      <c r="A56" s="4670" t="s">
        <v>708</v>
      </c>
      <c r="B56" s="4671"/>
      <c r="C56" s="613"/>
      <c r="F56" s="613"/>
    </row>
    <row r="57" spans="1:14" ht="16.5" hidden="1">
      <c r="A57" s="611" t="s">
        <v>242</v>
      </c>
      <c r="B57" s="612" t="s">
        <v>241</v>
      </c>
      <c r="C57" s="611" t="s">
        <v>707</v>
      </c>
      <c r="D57" s="610"/>
    </row>
    <row r="58" spans="1:14" hidden="1">
      <c r="A58" s="609" t="s">
        <v>239</v>
      </c>
      <c r="B58" s="598">
        <v>11432</v>
      </c>
      <c r="C58" s="598">
        <v>11432</v>
      </c>
      <c r="D58" s="602"/>
      <c r="E58" s="607"/>
      <c r="F58" s="606"/>
      <c r="G58" s="601"/>
      <c r="H58" s="604"/>
      <c r="I58" s="604"/>
      <c r="J58" s="604"/>
      <c r="K58" s="604"/>
      <c r="L58" s="604"/>
      <c r="M58" s="604"/>
      <c r="N58" s="601"/>
    </row>
    <row r="59" spans="1:14" hidden="1">
      <c r="A59" s="603" t="s">
        <v>238</v>
      </c>
      <c r="B59" s="598">
        <v>11527</v>
      </c>
      <c r="C59" s="598">
        <v>11527</v>
      </c>
      <c r="D59" s="602"/>
      <c r="E59" s="607"/>
      <c r="F59" s="606"/>
      <c r="G59" s="601"/>
      <c r="H59" s="604"/>
      <c r="I59" s="604"/>
      <c r="J59" s="604"/>
      <c r="K59" s="604"/>
      <c r="L59" s="604"/>
      <c r="M59" s="604"/>
      <c r="N59" s="601"/>
    </row>
    <row r="60" spans="1:14" hidden="1">
      <c r="A60" s="609" t="s">
        <v>237</v>
      </c>
      <c r="B60" s="598">
        <v>11624</v>
      </c>
      <c r="C60" s="598">
        <v>11624</v>
      </c>
      <c r="D60" s="602"/>
      <c r="E60" s="607"/>
      <c r="G60" s="601"/>
    </row>
    <row r="61" spans="1:14" hidden="1">
      <c r="A61" s="603" t="s">
        <v>236</v>
      </c>
      <c r="B61" s="598">
        <v>11722</v>
      </c>
      <c r="C61" s="598">
        <v>11722</v>
      </c>
      <c r="D61" s="602"/>
      <c r="E61" s="607"/>
      <c r="F61" s="606"/>
      <c r="G61" s="601"/>
      <c r="H61" s="604"/>
    </row>
    <row r="62" spans="1:14" hidden="1">
      <c r="A62" s="609" t="s">
        <v>235</v>
      </c>
      <c r="B62" s="598">
        <v>11820</v>
      </c>
      <c r="C62" s="598">
        <v>11820</v>
      </c>
      <c r="D62" s="602"/>
      <c r="E62" s="607"/>
      <c r="F62" s="606"/>
      <c r="G62" s="601"/>
      <c r="H62" s="604"/>
      <c r="I62" s="604"/>
      <c r="J62" s="604"/>
      <c r="K62" s="604"/>
      <c r="L62" s="604"/>
      <c r="M62" s="604"/>
      <c r="N62" s="601"/>
    </row>
    <row r="63" spans="1:14" hidden="1">
      <c r="A63" s="603" t="s">
        <v>234</v>
      </c>
      <c r="B63" s="598">
        <v>11918</v>
      </c>
      <c r="C63" s="598">
        <v>11918</v>
      </c>
      <c r="D63" s="602"/>
      <c r="E63" s="607"/>
      <c r="F63" s="606"/>
      <c r="G63" s="601"/>
      <c r="H63" s="604"/>
    </row>
    <row r="64" spans="1:14" hidden="1">
      <c r="A64" s="609" t="s">
        <v>233</v>
      </c>
      <c r="B64" s="598">
        <v>12018</v>
      </c>
      <c r="C64" s="598">
        <v>12018</v>
      </c>
      <c r="D64" s="602"/>
      <c r="E64" s="607"/>
      <c r="F64" s="606"/>
      <c r="G64" s="601"/>
      <c r="H64" s="604"/>
    </row>
    <row r="65" spans="1:14" hidden="1">
      <c r="A65" s="603" t="s">
        <v>232</v>
      </c>
      <c r="B65" s="598">
        <v>12118</v>
      </c>
      <c r="C65" s="598">
        <v>12118</v>
      </c>
      <c r="D65" s="602"/>
      <c r="E65" s="607"/>
      <c r="F65" s="606"/>
      <c r="G65" s="601"/>
      <c r="H65" s="604"/>
      <c r="I65" s="604"/>
      <c r="J65" s="604"/>
      <c r="K65" s="604"/>
      <c r="L65" s="604"/>
      <c r="M65" s="604"/>
      <c r="N65" s="601"/>
    </row>
    <row r="66" spans="1:14" hidden="1">
      <c r="A66" s="609" t="s">
        <v>231</v>
      </c>
      <c r="B66" s="598">
        <v>12151</v>
      </c>
      <c r="C66" s="598">
        <v>12151</v>
      </c>
      <c r="D66" s="602"/>
      <c r="E66" s="608"/>
      <c r="F66" s="606"/>
      <c r="G66" s="601"/>
      <c r="H66" s="604"/>
    </row>
    <row r="67" spans="1:14" hidden="1">
      <c r="A67" s="603" t="s">
        <v>230</v>
      </c>
      <c r="B67" s="598">
        <v>12244</v>
      </c>
      <c r="C67" s="598">
        <v>12244</v>
      </c>
      <c r="D67" s="602"/>
      <c r="E67" s="608"/>
      <c r="F67" s="606"/>
      <c r="G67" s="601"/>
      <c r="H67" s="604"/>
      <c r="I67" s="604"/>
      <c r="J67" s="604"/>
      <c r="K67" s="604"/>
      <c r="L67" s="604"/>
      <c r="M67" s="604"/>
      <c r="N67" s="601"/>
    </row>
    <row r="68" spans="1:14" hidden="1">
      <c r="A68" s="609" t="s">
        <v>229</v>
      </c>
      <c r="B68" s="598">
        <v>12338</v>
      </c>
      <c r="C68" s="598">
        <v>12338</v>
      </c>
      <c r="D68" s="602"/>
      <c r="E68" s="608"/>
      <c r="F68" s="606"/>
      <c r="G68" s="601"/>
    </row>
    <row r="69" spans="1:14" hidden="1">
      <c r="A69" s="603" t="s">
        <v>228</v>
      </c>
      <c r="B69" s="598">
        <v>12433</v>
      </c>
      <c r="C69" s="598">
        <v>12433</v>
      </c>
      <c r="D69" s="602"/>
      <c r="E69" s="608"/>
      <c r="F69" s="606"/>
      <c r="G69" s="601"/>
      <c r="H69" s="604"/>
    </row>
    <row r="70" spans="1:14" hidden="1">
      <c r="A70" s="609" t="s">
        <v>227</v>
      </c>
      <c r="B70" s="598">
        <v>12528</v>
      </c>
      <c r="C70" s="598">
        <v>12528</v>
      </c>
      <c r="D70" s="602"/>
      <c r="E70" s="608"/>
      <c r="F70" s="606"/>
      <c r="G70" s="601"/>
      <c r="H70" s="604"/>
      <c r="I70" s="604"/>
      <c r="J70" s="604"/>
      <c r="K70" s="604"/>
      <c r="L70" s="604"/>
      <c r="M70" s="604"/>
      <c r="N70" s="601"/>
    </row>
    <row r="71" spans="1:14" hidden="1">
      <c r="A71" s="603" t="s">
        <v>226</v>
      </c>
      <c r="B71" s="598">
        <v>12624</v>
      </c>
      <c r="C71" s="598">
        <v>12624</v>
      </c>
      <c r="D71" s="602"/>
      <c r="E71" s="608"/>
      <c r="F71" s="606"/>
      <c r="G71" s="601"/>
      <c r="H71" s="604"/>
      <c r="I71" s="604"/>
      <c r="J71" s="604"/>
      <c r="K71" s="604"/>
      <c r="L71" s="604"/>
      <c r="M71" s="604"/>
      <c r="N71" s="601"/>
    </row>
    <row r="72" spans="1:14" hidden="1">
      <c r="A72" s="609" t="s">
        <v>225</v>
      </c>
      <c r="B72" s="598">
        <v>12721</v>
      </c>
      <c r="C72" s="598">
        <v>12721</v>
      </c>
      <c r="D72" s="602"/>
      <c r="E72" s="608"/>
      <c r="F72" s="606"/>
      <c r="G72" s="601"/>
      <c r="H72" s="604"/>
      <c r="I72" s="604"/>
      <c r="J72" s="604"/>
      <c r="K72" s="604"/>
      <c r="L72" s="604"/>
      <c r="M72" s="604"/>
      <c r="N72" s="601"/>
    </row>
    <row r="73" spans="1:14" hidden="1">
      <c r="A73" s="603" t="s">
        <v>224</v>
      </c>
      <c r="B73" s="598">
        <v>12818</v>
      </c>
      <c r="C73" s="598">
        <v>12818</v>
      </c>
      <c r="D73" s="602"/>
      <c r="E73" s="608"/>
      <c r="F73" s="606"/>
      <c r="G73" s="601"/>
      <c r="H73" s="604"/>
    </row>
    <row r="74" spans="1:14" hidden="1">
      <c r="A74" s="609" t="s">
        <v>223</v>
      </c>
      <c r="B74" s="598">
        <v>12893</v>
      </c>
      <c r="C74" s="598">
        <v>12893</v>
      </c>
      <c r="D74" s="602"/>
      <c r="E74" s="607"/>
      <c r="G74" s="601"/>
      <c r="H74" s="604"/>
    </row>
    <row r="75" spans="1:14" hidden="1">
      <c r="A75" s="603" t="s">
        <v>222</v>
      </c>
      <c r="B75" s="598">
        <v>12993</v>
      </c>
      <c r="C75" s="598">
        <v>12993</v>
      </c>
      <c r="D75" s="602"/>
      <c r="E75" s="607"/>
      <c r="F75" s="606"/>
      <c r="G75" s="601"/>
      <c r="H75" s="604"/>
      <c r="I75" s="604"/>
      <c r="J75" s="604"/>
      <c r="K75" s="604"/>
      <c r="L75" s="604"/>
      <c r="M75" s="604"/>
      <c r="N75" s="601"/>
    </row>
    <row r="76" spans="1:14" hidden="1">
      <c r="A76" s="609" t="s">
        <v>221</v>
      </c>
      <c r="B76" s="598">
        <v>13092</v>
      </c>
      <c r="C76" s="598">
        <v>13092</v>
      </c>
      <c r="D76" s="602"/>
      <c r="E76" s="607"/>
      <c r="F76" s="606"/>
      <c r="G76" s="601"/>
      <c r="H76" s="604"/>
      <c r="I76" s="604"/>
      <c r="J76" s="604"/>
      <c r="K76" s="604"/>
      <c r="L76" s="604"/>
      <c r="M76" s="604"/>
      <c r="N76" s="601"/>
    </row>
    <row r="77" spans="1:14" hidden="1">
      <c r="A77" s="603" t="s">
        <v>220</v>
      </c>
      <c r="B77" s="598">
        <v>13194</v>
      </c>
      <c r="C77" s="598">
        <v>13194</v>
      </c>
      <c r="D77" s="602"/>
      <c r="E77" s="607"/>
      <c r="F77" s="606"/>
      <c r="G77" s="601"/>
      <c r="H77" s="604"/>
    </row>
    <row r="78" spans="1:14" hidden="1">
      <c r="A78" s="609" t="s">
        <v>219</v>
      </c>
      <c r="B78" s="598">
        <v>13295</v>
      </c>
      <c r="C78" s="598">
        <v>13295</v>
      </c>
      <c r="D78" s="602"/>
      <c r="E78" s="607"/>
      <c r="F78" s="606"/>
      <c r="G78" s="601"/>
      <c r="H78" s="604"/>
      <c r="I78" s="604"/>
      <c r="J78" s="604"/>
      <c r="K78" s="604"/>
      <c r="L78" s="604"/>
      <c r="M78" s="604"/>
      <c r="N78" s="601"/>
    </row>
    <row r="79" spans="1:14" hidden="1">
      <c r="A79" s="603" t="s">
        <v>218</v>
      </c>
      <c r="B79" s="598">
        <v>13396</v>
      </c>
      <c r="C79" s="598">
        <v>13396</v>
      </c>
      <c r="D79" s="602"/>
      <c r="E79" s="607"/>
      <c r="F79" s="606"/>
      <c r="G79" s="601"/>
      <c r="H79" s="604"/>
    </row>
    <row r="80" spans="1:14" hidden="1">
      <c r="A80" s="609" t="s">
        <v>217</v>
      </c>
      <c r="B80" s="598">
        <v>13500</v>
      </c>
      <c r="C80" s="598">
        <v>13500</v>
      </c>
      <c r="D80" s="602"/>
      <c r="E80" s="607"/>
      <c r="F80" s="606"/>
      <c r="G80" s="601"/>
      <c r="H80" s="604"/>
    </row>
    <row r="81" spans="1:14" hidden="1">
      <c r="A81" s="603" t="s">
        <v>216</v>
      </c>
      <c r="B81" s="598">
        <v>13603</v>
      </c>
      <c r="C81" s="598">
        <v>13603</v>
      </c>
      <c r="D81" s="602"/>
      <c r="E81" s="607"/>
      <c r="F81" s="606"/>
      <c r="G81" s="601"/>
      <c r="H81" s="604"/>
      <c r="I81" s="604"/>
      <c r="J81" s="604"/>
      <c r="K81" s="604"/>
      <c r="L81" s="604"/>
      <c r="M81" s="604"/>
      <c r="N81" s="601"/>
    </row>
    <row r="82" spans="1:14" hidden="1">
      <c r="A82" s="609" t="s">
        <v>215</v>
      </c>
      <c r="B82" s="598">
        <v>13680</v>
      </c>
      <c r="C82" s="598">
        <v>13680</v>
      </c>
      <c r="D82" s="602"/>
      <c r="E82" s="607"/>
      <c r="F82" s="606"/>
      <c r="G82" s="601"/>
    </row>
    <row r="83" spans="1:14" hidden="1">
      <c r="A83" s="603" t="s">
        <v>214</v>
      </c>
      <c r="B83" s="598">
        <v>13785</v>
      </c>
      <c r="C83" s="598">
        <v>13785</v>
      </c>
      <c r="D83" s="602"/>
      <c r="E83" s="607"/>
      <c r="F83" s="606"/>
      <c r="G83" s="601"/>
    </row>
    <row r="84" spans="1:14" hidden="1">
      <c r="A84" s="609" t="s">
        <v>213</v>
      </c>
      <c r="B84" s="598">
        <v>13891</v>
      </c>
      <c r="C84" s="598">
        <v>13891</v>
      </c>
      <c r="D84" s="602"/>
      <c r="E84" s="607"/>
      <c r="F84" s="606"/>
      <c r="G84" s="601"/>
    </row>
    <row r="85" spans="1:14" hidden="1">
      <c r="A85" s="603" t="s">
        <v>212</v>
      </c>
      <c r="B85" s="598">
        <v>13998</v>
      </c>
      <c r="C85" s="598">
        <v>13998</v>
      </c>
      <c r="D85" s="602"/>
      <c r="E85" s="607"/>
      <c r="F85" s="606"/>
      <c r="G85" s="601"/>
    </row>
    <row r="86" spans="1:14" hidden="1">
      <c r="A86" s="609" t="s">
        <v>211</v>
      </c>
      <c r="B86" s="598">
        <v>14106</v>
      </c>
      <c r="C86" s="598">
        <v>14106</v>
      </c>
      <c r="D86" s="602"/>
      <c r="E86" s="607"/>
      <c r="F86" s="606"/>
      <c r="G86" s="601"/>
    </row>
    <row r="87" spans="1:14" hidden="1">
      <c r="A87" s="603" t="s">
        <v>210</v>
      </c>
      <c r="B87" s="598">
        <v>14213</v>
      </c>
      <c r="C87" s="598">
        <v>14213</v>
      </c>
      <c r="D87" s="602"/>
      <c r="E87" s="607"/>
      <c r="F87" s="606"/>
      <c r="G87" s="601"/>
    </row>
    <row r="88" spans="1:14" hidden="1">
      <c r="A88" s="609" t="s">
        <v>209</v>
      </c>
      <c r="B88" s="598">
        <v>14323</v>
      </c>
      <c r="C88" s="598">
        <v>14323</v>
      </c>
      <c r="D88" s="602"/>
      <c r="E88" s="607"/>
      <c r="F88" s="606"/>
      <c r="G88" s="601"/>
    </row>
    <row r="89" spans="1:14" hidden="1">
      <c r="A89" s="603" t="s">
        <v>208</v>
      </c>
      <c r="B89" s="598">
        <v>14432</v>
      </c>
      <c r="C89" s="598">
        <v>14432</v>
      </c>
      <c r="D89" s="602"/>
      <c r="E89" s="607"/>
      <c r="F89" s="606"/>
      <c r="G89" s="601"/>
    </row>
    <row r="90" spans="1:14" hidden="1">
      <c r="A90" s="603" t="s">
        <v>207</v>
      </c>
      <c r="B90" s="598">
        <v>14511</v>
      </c>
      <c r="C90" s="598">
        <v>14511</v>
      </c>
      <c r="D90" s="602"/>
      <c r="E90" s="607"/>
      <c r="F90" s="606"/>
      <c r="G90" s="601"/>
      <c r="H90" s="604"/>
      <c r="I90" s="604"/>
      <c r="J90" s="604"/>
      <c r="K90" s="604"/>
      <c r="L90" s="604"/>
      <c r="M90" s="604"/>
      <c r="N90" s="601"/>
    </row>
    <row r="91" spans="1:14" hidden="1">
      <c r="A91" s="603" t="s">
        <v>206</v>
      </c>
      <c r="B91" s="598">
        <v>14623</v>
      </c>
      <c r="C91" s="598">
        <v>14623</v>
      </c>
      <c r="D91" s="602"/>
      <c r="E91" s="607"/>
      <c r="F91" s="606"/>
      <c r="G91" s="601"/>
      <c r="H91" s="604"/>
    </row>
    <row r="92" spans="1:14" hidden="1">
      <c r="A92" s="603" t="s">
        <v>205</v>
      </c>
      <c r="B92" s="598">
        <v>14735</v>
      </c>
      <c r="C92" s="598">
        <v>14735</v>
      </c>
      <c r="D92" s="602"/>
      <c r="E92" s="607"/>
      <c r="F92" s="606"/>
      <c r="G92" s="601"/>
      <c r="H92" s="604"/>
    </row>
    <row r="93" spans="1:14" hidden="1">
      <c r="A93" s="603" t="s">
        <v>204</v>
      </c>
      <c r="B93" s="598">
        <v>14849</v>
      </c>
      <c r="C93" s="598">
        <v>14849</v>
      </c>
      <c r="D93" s="602"/>
      <c r="E93" s="607"/>
      <c r="F93" s="606"/>
      <c r="G93" s="601"/>
      <c r="H93" s="604"/>
    </row>
    <row r="94" spans="1:14" hidden="1">
      <c r="A94" s="603" t="s">
        <v>203</v>
      </c>
      <c r="B94" s="598">
        <v>14963</v>
      </c>
      <c r="C94" s="598">
        <v>14963</v>
      </c>
      <c r="D94" s="602"/>
      <c r="E94" s="607"/>
      <c r="F94" s="606"/>
      <c r="G94" s="601"/>
      <c r="H94" s="604"/>
    </row>
    <row r="95" spans="1:14" hidden="1">
      <c r="A95" s="603" t="s">
        <v>202</v>
      </c>
      <c r="B95" s="598">
        <v>15077</v>
      </c>
      <c r="C95" s="598">
        <v>15077</v>
      </c>
      <c r="D95" s="602"/>
      <c r="E95" s="607"/>
      <c r="F95" s="606"/>
      <c r="G95" s="601"/>
      <c r="H95" s="604"/>
      <c r="I95" s="604"/>
      <c r="J95" s="604"/>
      <c r="K95" s="604"/>
      <c r="L95" s="604"/>
      <c r="M95" s="604"/>
      <c r="N95" s="601"/>
    </row>
    <row r="96" spans="1:14" hidden="1">
      <c r="A96" s="603" t="s">
        <v>201</v>
      </c>
      <c r="B96" s="598">
        <v>15193</v>
      </c>
      <c r="C96" s="598">
        <v>15193</v>
      </c>
      <c r="D96" s="602"/>
      <c r="E96" s="607"/>
      <c r="F96" s="606"/>
      <c r="G96" s="601"/>
      <c r="H96" s="604"/>
      <c r="I96" s="604"/>
      <c r="J96" s="604"/>
      <c r="K96" s="604"/>
      <c r="L96" s="604"/>
      <c r="M96" s="604"/>
      <c r="N96" s="601"/>
    </row>
    <row r="97" spans="1:14" hidden="1">
      <c r="A97" s="603" t="s">
        <v>200</v>
      </c>
      <c r="B97" s="598">
        <v>15309</v>
      </c>
      <c r="C97" s="598">
        <v>15309</v>
      </c>
      <c r="D97" s="602"/>
      <c r="E97" s="607"/>
      <c r="F97" s="606"/>
      <c r="G97" s="601"/>
      <c r="H97" s="604"/>
    </row>
    <row r="98" spans="1:14" hidden="1">
      <c r="A98" s="603" t="s">
        <v>199</v>
      </c>
      <c r="B98" s="598">
        <v>15390</v>
      </c>
      <c r="C98" s="598">
        <v>15390</v>
      </c>
      <c r="D98" s="602"/>
      <c r="E98" s="607"/>
      <c r="F98" s="606"/>
      <c r="G98" s="601"/>
      <c r="H98" s="604"/>
      <c r="I98" s="604"/>
      <c r="J98" s="604"/>
      <c r="K98" s="604"/>
      <c r="L98" s="604"/>
      <c r="M98" s="604"/>
      <c r="N98" s="601"/>
    </row>
    <row r="99" spans="1:14" hidden="1">
      <c r="A99" s="603" t="s">
        <v>198</v>
      </c>
      <c r="B99" s="598">
        <v>15509</v>
      </c>
      <c r="C99" s="598">
        <v>15509</v>
      </c>
      <c r="D99" s="602"/>
      <c r="E99" s="607"/>
      <c r="F99" s="606"/>
      <c r="G99" s="601"/>
      <c r="H99" s="604"/>
      <c r="I99" s="604"/>
      <c r="J99" s="604"/>
      <c r="K99" s="604"/>
      <c r="L99" s="604"/>
      <c r="M99" s="604"/>
      <c r="N99" s="601"/>
    </row>
    <row r="100" spans="1:14" hidden="1">
      <c r="A100" s="603" t="s">
        <v>197</v>
      </c>
      <c r="B100" s="598">
        <v>15628</v>
      </c>
      <c r="C100" s="598">
        <v>15628</v>
      </c>
      <c r="D100" s="602"/>
      <c r="E100" s="607"/>
      <c r="F100" s="606"/>
      <c r="G100" s="601"/>
      <c r="H100" s="604"/>
      <c r="I100" s="604"/>
      <c r="J100" s="604"/>
      <c r="K100" s="604"/>
      <c r="L100" s="604"/>
      <c r="M100" s="604"/>
      <c r="N100" s="601"/>
    </row>
    <row r="101" spans="1:14" hidden="1">
      <c r="A101" s="603" t="s">
        <v>196</v>
      </c>
      <c r="B101" s="598">
        <v>15748</v>
      </c>
      <c r="C101" s="598">
        <v>15748</v>
      </c>
      <c r="D101" s="602"/>
      <c r="E101" s="607"/>
      <c r="F101" s="606"/>
      <c r="G101" s="601"/>
      <c r="H101" s="604"/>
      <c r="I101" s="604"/>
      <c r="J101" s="604"/>
      <c r="K101" s="604"/>
      <c r="L101" s="604"/>
      <c r="M101" s="604"/>
      <c r="N101" s="601"/>
    </row>
    <row r="102" spans="1:14" hidden="1">
      <c r="A102" s="603" t="s">
        <v>195</v>
      </c>
      <c r="B102" s="598">
        <v>15869</v>
      </c>
      <c r="C102" s="598">
        <v>15869</v>
      </c>
      <c r="D102" s="602"/>
      <c r="E102" s="607"/>
      <c r="F102" s="606"/>
      <c r="G102" s="601"/>
      <c r="H102" s="604"/>
      <c r="I102" s="604"/>
      <c r="J102" s="604"/>
      <c r="K102" s="604"/>
      <c r="L102" s="604"/>
      <c r="M102" s="604"/>
      <c r="N102" s="601"/>
    </row>
    <row r="103" spans="1:14" hidden="1">
      <c r="A103" s="603" t="s">
        <v>194</v>
      </c>
      <c r="B103" s="598">
        <v>15990</v>
      </c>
      <c r="C103" s="598">
        <v>15990</v>
      </c>
      <c r="D103" s="602"/>
      <c r="E103" s="607"/>
      <c r="F103" s="606"/>
      <c r="G103" s="601"/>
      <c r="H103" s="604"/>
    </row>
    <row r="104" spans="1:14" hidden="1">
      <c r="A104" s="603" t="s">
        <v>193</v>
      </c>
      <c r="B104" s="598">
        <v>16114</v>
      </c>
      <c r="C104" s="598">
        <v>16114</v>
      </c>
      <c r="D104" s="602"/>
      <c r="E104" s="607"/>
      <c r="F104" s="606"/>
      <c r="G104" s="601"/>
      <c r="H104" s="604"/>
      <c r="I104" s="604"/>
      <c r="J104" s="604"/>
      <c r="K104" s="604"/>
      <c r="L104" s="604"/>
      <c r="M104" s="604"/>
      <c r="N104" s="601"/>
    </row>
    <row r="105" spans="1:14" hidden="1">
      <c r="A105" s="603" t="s">
        <v>192</v>
      </c>
      <c r="B105" s="598">
        <v>16237</v>
      </c>
      <c r="C105" s="598">
        <v>16237</v>
      </c>
      <c r="D105" s="602"/>
      <c r="E105" s="607"/>
      <c r="F105" s="606"/>
      <c r="G105" s="601"/>
      <c r="H105" s="604"/>
      <c r="I105" s="604"/>
      <c r="J105" s="604"/>
      <c r="K105" s="604"/>
      <c r="L105" s="604"/>
      <c r="M105" s="604"/>
      <c r="N105" s="601"/>
    </row>
    <row r="106" spans="1:14" hidden="1">
      <c r="A106" s="603" t="s">
        <v>191</v>
      </c>
      <c r="B106" s="598">
        <v>16320</v>
      </c>
      <c r="C106" s="598">
        <v>16320</v>
      </c>
      <c r="D106" s="602"/>
      <c r="E106" s="607"/>
      <c r="F106" s="606"/>
      <c r="G106" s="601"/>
      <c r="H106" s="604"/>
    </row>
    <row r="107" spans="1:14" hidden="1">
      <c r="A107" s="603" t="s">
        <v>190</v>
      </c>
      <c r="B107" s="598">
        <v>16445</v>
      </c>
      <c r="C107" s="598">
        <v>16445</v>
      </c>
      <c r="D107" s="602"/>
      <c r="E107" s="607"/>
      <c r="F107" s="606"/>
      <c r="G107" s="601"/>
      <c r="H107" s="604"/>
      <c r="I107" s="604"/>
      <c r="J107" s="604"/>
      <c r="K107" s="604"/>
      <c r="L107" s="604"/>
      <c r="M107" s="604"/>
      <c r="N107" s="601"/>
    </row>
    <row r="108" spans="1:14" hidden="1">
      <c r="A108" s="603" t="s">
        <v>189</v>
      </c>
      <c r="B108" s="598">
        <v>16572</v>
      </c>
      <c r="C108" s="598">
        <v>16572</v>
      </c>
      <c r="D108" s="602"/>
      <c r="E108" s="607"/>
      <c r="F108" s="606"/>
      <c r="G108" s="601"/>
      <c r="H108" s="604"/>
      <c r="I108" s="604"/>
      <c r="J108" s="604"/>
      <c r="K108" s="604"/>
      <c r="L108" s="604"/>
      <c r="M108" s="604"/>
      <c r="N108" s="601"/>
    </row>
    <row r="109" spans="1:14" hidden="1">
      <c r="A109" s="603" t="s">
        <v>188</v>
      </c>
      <c r="B109" s="598">
        <v>16699</v>
      </c>
      <c r="C109" s="598">
        <v>16699</v>
      </c>
      <c r="D109" s="602"/>
      <c r="E109" s="607"/>
      <c r="F109" s="606"/>
      <c r="G109" s="601"/>
      <c r="H109" s="604"/>
      <c r="I109" s="604"/>
      <c r="J109" s="604"/>
      <c r="K109" s="604"/>
      <c r="L109" s="604"/>
      <c r="M109" s="604"/>
      <c r="N109" s="601"/>
    </row>
    <row r="110" spans="1:14" hidden="1">
      <c r="A110" s="603" t="s">
        <v>187</v>
      </c>
      <c r="B110" s="598">
        <v>16827</v>
      </c>
      <c r="C110" s="598">
        <v>16827</v>
      </c>
      <c r="D110" s="602"/>
      <c r="E110" s="607"/>
      <c r="F110" s="606"/>
      <c r="G110" s="601"/>
      <c r="H110" s="604"/>
      <c r="I110" s="604"/>
      <c r="J110" s="604"/>
      <c r="K110" s="604"/>
      <c r="L110" s="604"/>
      <c r="M110" s="604"/>
      <c r="N110" s="601"/>
    </row>
    <row r="111" spans="1:14" hidden="1">
      <c r="A111" s="603" t="s">
        <v>186</v>
      </c>
      <c r="B111" s="598">
        <v>16957</v>
      </c>
      <c r="C111" s="598">
        <v>16957</v>
      </c>
      <c r="D111" s="602"/>
      <c r="E111" s="607"/>
      <c r="F111" s="606"/>
      <c r="G111" s="601"/>
      <c r="H111" s="604"/>
    </row>
    <row r="112" spans="1:14" hidden="1">
      <c r="A112" s="603" t="s">
        <v>185</v>
      </c>
      <c r="B112" s="598">
        <v>17086</v>
      </c>
      <c r="C112" s="598">
        <v>17086</v>
      </c>
      <c r="D112" s="602"/>
      <c r="E112" s="607"/>
      <c r="F112" s="606"/>
      <c r="G112" s="601"/>
      <c r="H112" s="604"/>
      <c r="I112" s="604"/>
      <c r="J112" s="604"/>
      <c r="K112" s="604"/>
      <c r="L112" s="604"/>
      <c r="M112" s="604"/>
      <c r="N112" s="601"/>
    </row>
    <row r="113" spans="1:14" hidden="1">
      <c r="A113" s="603" t="s">
        <v>184</v>
      </c>
      <c r="B113" s="598">
        <v>17218</v>
      </c>
      <c r="C113" s="598">
        <v>17218</v>
      </c>
      <c r="D113" s="602"/>
      <c r="E113" s="607"/>
      <c r="F113" s="606"/>
      <c r="G113" s="601"/>
      <c r="H113" s="604"/>
    </row>
    <row r="114" spans="1:14" hidden="1">
      <c r="A114" s="603" t="s">
        <v>183</v>
      </c>
      <c r="B114" s="598">
        <v>17338</v>
      </c>
      <c r="C114" s="598">
        <v>17338</v>
      </c>
      <c r="D114" s="602"/>
      <c r="E114" s="608"/>
      <c r="F114" s="606"/>
      <c r="G114" s="601"/>
      <c r="H114" s="604"/>
      <c r="I114" s="604"/>
      <c r="J114" s="604"/>
      <c r="K114" s="604"/>
      <c r="L114" s="604"/>
      <c r="M114" s="604"/>
      <c r="N114" s="601"/>
    </row>
    <row r="115" spans="1:14" hidden="1">
      <c r="A115" s="603" t="s">
        <v>182</v>
      </c>
      <c r="B115" s="598">
        <v>17496</v>
      </c>
      <c r="C115" s="598">
        <v>17496</v>
      </c>
      <c r="D115" s="602"/>
      <c r="E115" s="608"/>
      <c r="F115" s="606"/>
      <c r="G115" s="601"/>
      <c r="H115" s="604"/>
      <c r="I115" s="604"/>
      <c r="J115" s="604"/>
      <c r="K115" s="604"/>
      <c r="L115" s="604"/>
      <c r="M115" s="604"/>
      <c r="N115" s="601"/>
    </row>
    <row r="116" spans="1:14" hidden="1">
      <c r="A116" s="603" t="s">
        <v>181</v>
      </c>
      <c r="B116" s="598">
        <v>17654</v>
      </c>
      <c r="C116" s="598">
        <v>17654</v>
      </c>
      <c r="D116" s="602"/>
      <c r="E116" s="608"/>
      <c r="F116" s="606"/>
      <c r="G116" s="601"/>
      <c r="H116" s="604"/>
      <c r="I116" s="604"/>
      <c r="J116" s="604"/>
      <c r="K116" s="604"/>
      <c r="L116" s="604"/>
      <c r="M116" s="604"/>
      <c r="N116" s="601"/>
    </row>
    <row r="117" spans="1:14" hidden="1">
      <c r="A117" s="603" t="s">
        <v>180</v>
      </c>
      <c r="B117" s="598">
        <v>17813</v>
      </c>
      <c r="C117" s="598">
        <v>17813</v>
      </c>
      <c r="D117" s="602"/>
      <c r="E117" s="608"/>
      <c r="F117" s="606"/>
      <c r="G117" s="601"/>
      <c r="H117" s="604"/>
      <c r="I117" s="604"/>
      <c r="J117" s="604"/>
      <c r="K117" s="604"/>
      <c r="L117" s="604"/>
      <c r="M117" s="604"/>
      <c r="N117" s="601"/>
    </row>
    <row r="118" spans="1:14" hidden="1">
      <c r="A118" s="603" t="s">
        <v>179</v>
      </c>
      <c r="B118" s="598">
        <v>17974</v>
      </c>
      <c r="C118" s="598">
        <v>17974</v>
      </c>
      <c r="D118" s="602"/>
      <c r="E118" s="608"/>
      <c r="F118" s="606"/>
      <c r="G118" s="601"/>
      <c r="H118" s="604"/>
      <c r="I118" s="604"/>
      <c r="J118" s="604"/>
      <c r="K118" s="604"/>
      <c r="L118" s="604"/>
      <c r="M118" s="604"/>
      <c r="N118" s="601"/>
    </row>
    <row r="119" spans="1:14" hidden="1">
      <c r="A119" s="603" t="s">
        <v>178</v>
      </c>
      <c r="B119" s="598">
        <v>18136</v>
      </c>
      <c r="C119" s="598">
        <v>18136</v>
      </c>
      <c r="D119" s="602"/>
      <c r="E119" s="608"/>
      <c r="F119" s="606"/>
      <c r="G119" s="601"/>
      <c r="H119" s="604"/>
      <c r="I119" s="604"/>
      <c r="J119" s="604"/>
      <c r="K119" s="604"/>
      <c r="L119" s="604"/>
      <c r="M119" s="604"/>
      <c r="N119" s="601"/>
    </row>
    <row r="120" spans="1:14" hidden="1">
      <c r="A120" s="603" t="s">
        <v>177</v>
      </c>
      <c r="B120" s="598">
        <v>18301</v>
      </c>
      <c r="C120" s="598">
        <v>18301</v>
      </c>
      <c r="D120" s="602"/>
      <c r="E120" s="608"/>
      <c r="F120" s="606"/>
      <c r="G120" s="601"/>
      <c r="H120" s="604"/>
      <c r="I120" s="604"/>
      <c r="J120" s="604"/>
      <c r="K120" s="604"/>
      <c r="L120" s="604"/>
      <c r="M120" s="604"/>
      <c r="N120" s="601"/>
    </row>
    <row r="121" spans="1:14" hidden="1">
      <c r="A121" s="603" t="s">
        <v>176</v>
      </c>
      <c r="B121" s="598">
        <v>18466</v>
      </c>
      <c r="C121" s="598">
        <v>18466</v>
      </c>
      <c r="D121" s="602"/>
      <c r="E121" s="608"/>
      <c r="F121" s="606"/>
      <c r="G121" s="601"/>
      <c r="H121" s="604"/>
      <c r="I121" s="604"/>
      <c r="J121" s="604"/>
      <c r="K121" s="604"/>
      <c r="L121" s="604"/>
      <c r="M121" s="604"/>
      <c r="N121" s="601"/>
    </row>
    <row r="122" spans="1:14" hidden="1">
      <c r="A122" s="603" t="s">
        <v>175</v>
      </c>
      <c r="B122" s="598">
        <v>18613</v>
      </c>
      <c r="C122" s="598">
        <v>18613</v>
      </c>
      <c r="D122" s="602"/>
      <c r="E122" s="608"/>
      <c r="F122" s="606"/>
      <c r="G122" s="601"/>
    </row>
    <row r="123" spans="1:14" hidden="1">
      <c r="A123" s="603" t="s">
        <v>174</v>
      </c>
      <c r="B123" s="598">
        <v>18769</v>
      </c>
      <c r="C123" s="598">
        <v>18769</v>
      </c>
      <c r="D123" s="602"/>
      <c r="E123" s="608"/>
      <c r="F123" s="606"/>
      <c r="G123" s="601"/>
      <c r="H123" s="604"/>
    </row>
    <row r="124" spans="1:14" hidden="1">
      <c r="A124" s="603" t="s">
        <v>173</v>
      </c>
      <c r="B124" s="598">
        <v>18926</v>
      </c>
      <c r="C124" s="598">
        <v>18926</v>
      </c>
      <c r="D124" s="602"/>
      <c r="E124" s="608"/>
      <c r="F124" s="606"/>
      <c r="G124" s="601"/>
      <c r="H124" s="604"/>
    </row>
    <row r="125" spans="1:14" hidden="1">
      <c r="A125" s="603" t="s">
        <v>172</v>
      </c>
      <c r="B125" s="598">
        <v>19085</v>
      </c>
      <c r="C125" s="598">
        <v>19085</v>
      </c>
      <c r="D125" s="602"/>
      <c r="E125" s="608"/>
      <c r="F125" s="606"/>
      <c r="G125" s="601"/>
      <c r="H125" s="604"/>
    </row>
    <row r="126" spans="1:14" hidden="1">
      <c r="A126" s="603" t="s">
        <v>171</v>
      </c>
      <c r="B126" s="598">
        <v>19244</v>
      </c>
      <c r="C126" s="598">
        <v>19244</v>
      </c>
      <c r="D126" s="602"/>
      <c r="E126" s="608"/>
      <c r="F126" s="606"/>
      <c r="G126" s="601"/>
      <c r="H126" s="604"/>
      <c r="I126" s="604"/>
      <c r="J126" s="604"/>
      <c r="K126" s="604"/>
      <c r="L126" s="604"/>
      <c r="M126" s="604"/>
      <c r="N126" s="601"/>
    </row>
    <row r="127" spans="1:14" hidden="1">
      <c r="A127" s="603" t="s">
        <v>170</v>
      </c>
      <c r="B127" s="598">
        <v>19405</v>
      </c>
      <c r="C127" s="598">
        <v>19405</v>
      </c>
      <c r="D127" s="602"/>
      <c r="E127" s="608"/>
      <c r="F127" s="606"/>
      <c r="G127" s="601"/>
      <c r="H127" s="604"/>
      <c r="I127" s="604"/>
      <c r="J127" s="604"/>
      <c r="K127" s="604"/>
      <c r="L127" s="604"/>
      <c r="M127" s="604"/>
      <c r="N127" s="601"/>
    </row>
    <row r="128" spans="1:14" hidden="1">
      <c r="A128" s="603" t="s">
        <v>169</v>
      </c>
      <c r="B128" s="598">
        <v>19567</v>
      </c>
      <c r="C128" s="598">
        <v>19567</v>
      </c>
      <c r="D128" s="602"/>
      <c r="E128" s="608"/>
      <c r="F128" s="606"/>
      <c r="G128" s="601"/>
      <c r="H128" s="604"/>
      <c r="I128" s="604"/>
      <c r="J128" s="604"/>
      <c r="K128" s="604"/>
      <c r="L128" s="604"/>
      <c r="M128" s="604"/>
      <c r="N128" s="601"/>
    </row>
    <row r="129" spans="1:14" hidden="1">
      <c r="A129" s="603" t="s">
        <v>168</v>
      </c>
      <c r="B129" s="598">
        <v>19731</v>
      </c>
      <c r="C129" s="598">
        <v>19731</v>
      </c>
      <c r="D129" s="602"/>
      <c r="E129" s="608"/>
      <c r="F129" s="606"/>
      <c r="G129" s="601"/>
      <c r="H129" s="604"/>
      <c r="I129" s="604"/>
      <c r="J129" s="604"/>
      <c r="K129" s="604"/>
      <c r="L129" s="604"/>
      <c r="M129" s="604"/>
      <c r="N129" s="601"/>
    </row>
    <row r="130" spans="1:14" hidden="1">
      <c r="A130" s="603" t="s">
        <v>167</v>
      </c>
      <c r="B130" s="598">
        <v>20145</v>
      </c>
      <c r="C130" s="598">
        <v>20145</v>
      </c>
      <c r="D130" s="602"/>
      <c r="E130" s="607"/>
      <c r="F130" s="606"/>
      <c r="G130" s="601"/>
    </row>
    <row r="131" spans="1:14" hidden="1">
      <c r="A131" s="603" t="s">
        <v>166</v>
      </c>
      <c r="B131" s="598">
        <v>20313</v>
      </c>
      <c r="C131" s="598">
        <v>20313</v>
      </c>
      <c r="D131" s="602"/>
      <c r="E131" s="607"/>
      <c r="F131" s="606"/>
      <c r="G131" s="601"/>
    </row>
    <row r="132" spans="1:14" hidden="1">
      <c r="A132" s="603" t="s">
        <v>165</v>
      </c>
      <c r="B132" s="598">
        <v>20483</v>
      </c>
      <c r="C132" s="598">
        <v>20483</v>
      </c>
      <c r="D132" s="602"/>
      <c r="E132" s="607"/>
      <c r="F132" s="606"/>
      <c r="G132" s="601"/>
      <c r="H132" s="604"/>
    </row>
    <row r="133" spans="1:14" hidden="1">
      <c r="A133" s="603" t="s">
        <v>164</v>
      </c>
      <c r="B133" s="598">
        <v>20654</v>
      </c>
      <c r="C133" s="598">
        <v>20654</v>
      </c>
      <c r="D133" s="602"/>
      <c r="E133" s="607"/>
      <c r="F133" s="606"/>
      <c r="G133" s="601"/>
      <c r="H133" s="604"/>
    </row>
    <row r="134" spans="1:14" hidden="1">
      <c r="A134" s="603" t="s">
        <v>163</v>
      </c>
      <c r="B134" s="598">
        <v>20827</v>
      </c>
      <c r="C134" s="598">
        <v>20827</v>
      </c>
      <c r="D134" s="602"/>
      <c r="E134" s="607"/>
      <c r="F134" s="606"/>
      <c r="G134" s="601"/>
      <c r="H134" s="604"/>
    </row>
    <row r="135" spans="1:14" hidden="1">
      <c r="A135" s="603" t="s">
        <v>162</v>
      </c>
      <c r="B135" s="598">
        <v>21001</v>
      </c>
      <c r="C135" s="598">
        <v>21001</v>
      </c>
      <c r="D135" s="602"/>
      <c r="E135" s="607"/>
      <c r="F135" s="606"/>
      <c r="G135" s="601"/>
      <c r="H135" s="604"/>
      <c r="I135" s="604"/>
      <c r="J135" s="604"/>
      <c r="K135" s="604"/>
      <c r="L135" s="604"/>
      <c r="M135" s="604"/>
      <c r="N135" s="601"/>
    </row>
    <row r="136" spans="1:14" hidden="1">
      <c r="A136" s="603" t="s">
        <v>161</v>
      </c>
      <c r="B136" s="598">
        <v>21176</v>
      </c>
      <c r="C136" s="598">
        <v>21176</v>
      </c>
      <c r="D136" s="602"/>
      <c r="E136" s="607"/>
      <c r="F136" s="606"/>
      <c r="G136" s="601"/>
      <c r="H136" s="601"/>
      <c r="I136" s="604"/>
      <c r="J136" s="604"/>
      <c r="K136" s="604"/>
      <c r="L136" s="604"/>
      <c r="M136" s="604"/>
      <c r="N136" s="601"/>
    </row>
    <row r="137" spans="1:14" hidden="1">
      <c r="A137" s="603" t="s">
        <v>160</v>
      </c>
      <c r="B137" s="598">
        <v>21353</v>
      </c>
      <c r="C137" s="598">
        <v>21353</v>
      </c>
      <c r="D137" s="602"/>
      <c r="E137" s="607"/>
      <c r="F137" s="606"/>
      <c r="G137" s="601"/>
      <c r="H137" s="225"/>
    </row>
    <row r="138" spans="1:14" hidden="1">
      <c r="A138" s="603" t="s">
        <v>159</v>
      </c>
      <c r="B138" s="598">
        <v>22683</v>
      </c>
      <c r="C138" s="598">
        <v>22683</v>
      </c>
      <c r="D138" s="602"/>
      <c r="E138" s="607"/>
      <c r="F138" s="606"/>
      <c r="G138" s="601"/>
      <c r="H138" s="601"/>
      <c r="I138" s="604"/>
      <c r="J138" s="604"/>
      <c r="K138" s="604"/>
      <c r="L138" s="604"/>
      <c r="M138" s="604"/>
      <c r="N138" s="601"/>
    </row>
    <row r="139" spans="1:14" hidden="1">
      <c r="A139" s="603" t="s">
        <v>158</v>
      </c>
      <c r="B139" s="598">
        <v>22953</v>
      </c>
      <c r="C139" s="598">
        <v>22953</v>
      </c>
      <c r="D139" s="602"/>
      <c r="F139" s="599"/>
      <c r="G139" s="601"/>
    </row>
    <row r="140" spans="1:14" hidden="1">
      <c r="A140" s="603" t="s">
        <v>157</v>
      </c>
      <c r="B140" s="598">
        <v>23228</v>
      </c>
      <c r="C140" s="598">
        <v>23228</v>
      </c>
      <c r="D140" s="602"/>
      <c r="F140" s="599"/>
      <c r="G140" s="601"/>
    </row>
    <row r="141" spans="1:14" hidden="1">
      <c r="A141" s="603" t="s">
        <v>156</v>
      </c>
      <c r="B141" s="598">
        <v>23505</v>
      </c>
      <c r="C141" s="598">
        <v>23505</v>
      </c>
      <c r="D141" s="602"/>
      <c r="F141" s="599"/>
      <c r="G141" s="601"/>
    </row>
    <row r="142" spans="1:14" hidden="1">
      <c r="A142" s="603" t="s">
        <v>155</v>
      </c>
      <c r="B142" s="598">
        <v>23786</v>
      </c>
      <c r="C142" s="598">
        <v>23786</v>
      </c>
      <c r="D142" s="602"/>
      <c r="F142" s="599"/>
      <c r="G142" s="601"/>
    </row>
    <row r="143" spans="1:14" hidden="1">
      <c r="A143" s="603" t="s">
        <v>154</v>
      </c>
      <c r="B143" s="598">
        <v>24072</v>
      </c>
      <c r="C143" s="598">
        <v>24072</v>
      </c>
      <c r="D143" s="602"/>
      <c r="F143" s="599"/>
      <c r="G143" s="601"/>
    </row>
    <row r="144" spans="1:14" hidden="1">
      <c r="A144" s="603" t="s">
        <v>153</v>
      </c>
      <c r="B144" s="598">
        <v>24361</v>
      </c>
      <c r="C144" s="598">
        <v>24361</v>
      </c>
      <c r="D144" s="602"/>
      <c r="F144" s="599"/>
      <c r="G144" s="601"/>
    </row>
    <row r="145" spans="1:111" hidden="1">
      <c r="A145" s="603" t="s">
        <v>152</v>
      </c>
      <c r="B145" s="598">
        <v>24654</v>
      </c>
      <c r="C145" s="598">
        <v>24654</v>
      </c>
      <c r="D145" s="602"/>
      <c r="F145" s="599"/>
      <c r="G145" s="601"/>
    </row>
    <row r="146" spans="1:111" hidden="1">
      <c r="A146" s="603" t="s">
        <v>151</v>
      </c>
      <c r="B146" s="598">
        <v>24749</v>
      </c>
      <c r="C146" s="598">
        <v>24749</v>
      </c>
      <c r="D146" s="602"/>
      <c r="F146" s="599"/>
      <c r="G146" s="601"/>
    </row>
    <row r="147" spans="1:111" hidden="1">
      <c r="A147" s="603" t="s">
        <v>150</v>
      </c>
      <c r="B147" s="598">
        <v>25019</v>
      </c>
      <c r="C147" s="598">
        <v>25019</v>
      </c>
      <c r="D147" s="602"/>
      <c r="F147" s="599"/>
      <c r="G147" s="601"/>
    </row>
    <row r="148" spans="1:111" hidden="1">
      <c r="A148" s="603" t="s">
        <v>149</v>
      </c>
      <c r="B148" s="598">
        <v>25293</v>
      </c>
      <c r="C148" s="598">
        <v>25293</v>
      </c>
      <c r="D148" s="602"/>
      <c r="F148" s="605"/>
      <c r="G148" s="601"/>
      <c r="H148" s="604"/>
      <c r="I148" s="604"/>
      <c r="J148" s="604"/>
      <c r="K148" s="604"/>
      <c r="L148" s="604"/>
      <c r="M148" s="604"/>
      <c r="N148" s="601"/>
    </row>
    <row r="149" spans="1:111" hidden="1">
      <c r="A149" s="603" t="s">
        <v>148</v>
      </c>
      <c r="B149" s="598">
        <v>25569</v>
      </c>
      <c r="C149" s="598">
        <v>25569</v>
      </c>
      <c r="D149" s="602"/>
      <c r="F149" s="605"/>
      <c r="G149" s="601"/>
      <c r="H149" s="604"/>
      <c r="I149" s="604"/>
      <c r="J149" s="604"/>
      <c r="K149" s="604"/>
      <c r="L149" s="604"/>
      <c r="M149" s="604"/>
      <c r="N149" s="601"/>
    </row>
    <row r="150" spans="1:111" hidden="1">
      <c r="A150" s="603" t="s">
        <v>147</v>
      </c>
      <c r="B150" s="598">
        <v>25850</v>
      </c>
      <c r="C150" s="598">
        <v>25850</v>
      </c>
      <c r="D150" s="602"/>
      <c r="F150" s="605"/>
      <c r="G150" s="601"/>
      <c r="H150" s="604"/>
      <c r="I150" s="604"/>
      <c r="J150" s="604"/>
      <c r="K150" s="604"/>
      <c r="L150" s="604"/>
      <c r="M150" s="604"/>
      <c r="N150" s="601"/>
    </row>
    <row r="151" spans="1:111" hidden="1">
      <c r="A151" s="603" t="s">
        <v>146</v>
      </c>
      <c r="B151" s="598">
        <v>26134</v>
      </c>
      <c r="C151" s="598">
        <v>26134</v>
      </c>
      <c r="D151" s="602"/>
      <c r="F151" s="605"/>
      <c r="G151" s="601"/>
      <c r="H151" s="604"/>
      <c r="I151" s="604"/>
      <c r="J151" s="604"/>
      <c r="K151" s="604"/>
      <c r="L151" s="604"/>
      <c r="M151" s="604"/>
      <c r="N151" s="601"/>
    </row>
    <row r="152" spans="1:111" hidden="1">
      <c r="A152" s="603" t="s">
        <v>145</v>
      </c>
      <c r="B152" s="598">
        <v>26420</v>
      </c>
      <c r="C152" s="598">
        <v>26420</v>
      </c>
      <c r="D152" s="602"/>
      <c r="F152" s="605"/>
      <c r="G152" s="601"/>
      <c r="H152" s="604"/>
      <c r="I152" s="604"/>
      <c r="J152" s="604"/>
      <c r="K152" s="604"/>
      <c r="L152" s="604"/>
      <c r="M152" s="604"/>
      <c r="N152" s="601"/>
    </row>
    <row r="153" spans="1:111" hidden="1">
      <c r="A153" s="603" t="s">
        <v>144</v>
      </c>
      <c r="B153" s="598">
        <v>26711</v>
      </c>
      <c r="C153" s="598">
        <v>26711</v>
      </c>
      <c r="D153" s="602"/>
      <c r="F153" s="605"/>
      <c r="G153" s="601"/>
      <c r="H153" s="604"/>
      <c r="I153" s="604"/>
      <c r="J153" s="604"/>
      <c r="K153" s="604"/>
      <c r="L153" s="604"/>
      <c r="M153" s="604"/>
      <c r="N153" s="601"/>
    </row>
    <row r="154" spans="1:111" hidden="1">
      <c r="A154" s="603" t="s">
        <v>143</v>
      </c>
      <c r="B154" s="598">
        <v>26862</v>
      </c>
      <c r="C154" s="598">
        <v>26862</v>
      </c>
      <c r="D154" s="602"/>
      <c r="F154" s="599"/>
      <c r="G154" s="601"/>
    </row>
    <row r="155" spans="1:111" hidden="1">
      <c r="A155" s="603" t="s">
        <v>142</v>
      </c>
      <c r="B155" s="598">
        <v>27160</v>
      </c>
      <c r="C155" s="598">
        <v>27160</v>
      </c>
      <c r="D155" s="602"/>
      <c r="F155" s="599"/>
      <c r="G155" s="601"/>
    </row>
    <row r="156" spans="1:111" hidden="1">
      <c r="A156" s="603" t="s">
        <v>141</v>
      </c>
      <c r="B156" s="598">
        <v>27460</v>
      </c>
      <c r="C156" s="598">
        <v>27460</v>
      </c>
      <c r="D156" s="602"/>
      <c r="F156" s="599"/>
      <c r="G156" s="601"/>
    </row>
    <row r="157" spans="1:111" hidden="1">
      <c r="A157" s="603" t="s">
        <v>140</v>
      </c>
      <c r="B157" s="598">
        <v>27764</v>
      </c>
      <c r="C157" s="598">
        <v>27764</v>
      </c>
      <c r="D157" s="602"/>
      <c r="F157" s="599"/>
      <c r="G157" s="601"/>
    </row>
    <row r="158" spans="1:111" hidden="1">
      <c r="A158" s="603" t="s">
        <v>139</v>
      </c>
      <c r="B158" s="598">
        <v>28073</v>
      </c>
      <c r="C158" s="598">
        <v>28073</v>
      </c>
      <c r="D158" s="602"/>
      <c r="F158" s="599"/>
      <c r="G158" s="601"/>
    </row>
    <row r="159" spans="1:111" s="598" customFormat="1" hidden="1">
      <c r="A159" s="603" t="s">
        <v>138</v>
      </c>
      <c r="B159" s="598">
        <v>28384</v>
      </c>
      <c r="C159" s="598">
        <v>28384</v>
      </c>
      <c r="D159" s="602"/>
      <c r="F159" s="599"/>
      <c r="G159" s="601"/>
      <c r="H159" s="579"/>
      <c r="I159" s="579"/>
      <c r="J159" s="579"/>
      <c r="K159" s="579"/>
      <c r="L159" s="579"/>
      <c r="M159" s="579"/>
      <c r="N159" s="225"/>
      <c r="O159" s="579"/>
      <c r="P159" s="579"/>
      <c r="Q159" s="579"/>
      <c r="R159" s="579"/>
      <c r="S159" s="579"/>
      <c r="T159" s="579"/>
      <c r="U159" s="579"/>
      <c r="V159" s="579"/>
      <c r="W159" s="579"/>
      <c r="X159" s="579"/>
      <c r="Y159" s="579"/>
      <c r="Z159" s="579"/>
      <c r="AA159" s="579"/>
      <c r="AB159" s="579"/>
      <c r="AC159" s="579"/>
      <c r="AD159" s="579"/>
      <c r="AE159" s="579"/>
      <c r="AF159" s="579"/>
      <c r="AG159" s="579"/>
      <c r="AH159" s="579"/>
      <c r="AI159" s="579"/>
      <c r="AJ159" s="579"/>
      <c r="AK159" s="579"/>
      <c r="AL159" s="579"/>
      <c r="AM159" s="579"/>
      <c r="AN159" s="579"/>
      <c r="AO159" s="579"/>
      <c r="AP159" s="579"/>
      <c r="AQ159" s="579"/>
      <c r="AR159" s="579"/>
      <c r="AS159" s="579"/>
      <c r="AT159" s="579"/>
      <c r="AU159" s="579"/>
      <c r="AV159" s="579"/>
      <c r="AW159" s="579"/>
      <c r="AX159" s="579"/>
      <c r="AY159" s="579"/>
      <c r="AZ159" s="579"/>
      <c r="BA159" s="579"/>
      <c r="BB159" s="579"/>
      <c r="BC159" s="579"/>
      <c r="BD159" s="579"/>
      <c r="BE159" s="579"/>
      <c r="BF159" s="579"/>
      <c r="BG159" s="579"/>
      <c r="BH159" s="579"/>
      <c r="BI159" s="579"/>
      <c r="BJ159" s="579"/>
      <c r="BK159" s="579"/>
      <c r="BL159" s="579"/>
      <c r="BM159" s="579"/>
      <c r="BN159" s="579"/>
      <c r="BO159" s="579"/>
      <c r="BP159" s="579"/>
      <c r="BQ159" s="579"/>
      <c r="BR159" s="579"/>
      <c r="BS159" s="579"/>
      <c r="BT159" s="579"/>
      <c r="BU159" s="579"/>
      <c r="BV159" s="579"/>
      <c r="BW159" s="579"/>
      <c r="BX159" s="579"/>
      <c r="BY159" s="579"/>
      <c r="BZ159" s="579"/>
      <c r="CA159" s="579"/>
      <c r="CB159" s="579"/>
      <c r="CC159" s="579"/>
      <c r="CD159" s="579"/>
      <c r="CE159" s="579"/>
      <c r="CF159" s="579"/>
      <c r="CG159" s="579"/>
      <c r="CH159" s="579"/>
      <c r="CI159" s="579"/>
      <c r="CJ159" s="579"/>
      <c r="CK159" s="579"/>
      <c r="CL159" s="579"/>
      <c r="CM159" s="579"/>
      <c r="CN159" s="579"/>
      <c r="CO159" s="579"/>
      <c r="CP159" s="579"/>
      <c r="CQ159" s="579"/>
      <c r="CR159" s="579"/>
      <c r="CS159" s="579"/>
      <c r="CT159" s="579"/>
      <c r="CU159" s="579"/>
      <c r="CV159" s="579"/>
      <c r="CW159" s="579"/>
      <c r="CX159" s="579"/>
      <c r="CY159" s="579"/>
      <c r="CZ159" s="579"/>
      <c r="DA159" s="579"/>
      <c r="DB159" s="579"/>
      <c r="DC159" s="579"/>
      <c r="DD159" s="579"/>
      <c r="DE159" s="579"/>
      <c r="DF159" s="579"/>
      <c r="DG159" s="579"/>
    </row>
    <row r="160" spans="1:111" s="598" customFormat="1" hidden="1">
      <c r="A160" s="603" t="s">
        <v>137</v>
      </c>
      <c r="B160" s="598">
        <v>28700</v>
      </c>
      <c r="C160" s="598">
        <v>28700</v>
      </c>
      <c r="D160" s="602"/>
      <c r="F160" s="599"/>
      <c r="G160" s="601"/>
      <c r="H160" s="579"/>
      <c r="I160" s="579"/>
      <c r="J160" s="579"/>
      <c r="K160" s="579"/>
      <c r="L160" s="579"/>
      <c r="M160" s="579"/>
      <c r="N160" s="225"/>
      <c r="O160" s="579"/>
      <c r="P160" s="579"/>
      <c r="Q160" s="579"/>
      <c r="R160" s="579"/>
      <c r="S160" s="579"/>
      <c r="T160" s="579"/>
      <c r="U160" s="579"/>
      <c r="V160" s="579"/>
      <c r="W160" s="579"/>
      <c r="X160" s="579"/>
      <c r="Y160" s="579"/>
      <c r="Z160" s="579"/>
      <c r="AA160" s="579"/>
      <c r="AB160" s="579"/>
      <c r="AC160" s="579"/>
      <c r="AD160" s="579"/>
      <c r="AE160" s="579"/>
      <c r="AF160" s="579"/>
      <c r="AG160" s="579"/>
      <c r="AH160" s="579"/>
      <c r="AI160" s="579"/>
      <c r="AJ160" s="579"/>
      <c r="AK160" s="579"/>
      <c r="AL160" s="579"/>
      <c r="AM160" s="579"/>
      <c r="AN160" s="579"/>
      <c r="AO160" s="579"/>
      <c r="AP160" s="579"/>
      <c r="AQ160" s="579"/>
      <c r="AR160" s="579"/>
      <c r="AS160" s="579"/>
      <c r="AT160" s="579"/>
      <c r="AU160" s="579"/>
      <c r="AV160" s="579"/>
      <c r="AW160" s="579"/>
      <c r="AX160" s="579"/>
      <c r="AY160" s="579"/>
      <c r="AZ160" s="579"/>
      <c r="BA160" s="579"/>
      <c r="BB160" s="579"/>
      <c r="BC160" s="579"/>
      <c r="BD160" s="579"/>
      <c r="BE160" s="579"/>
      <c r="BF160" s="579"/>
      <c r="BG160" s="579"/>
      <c r="BH160" s="579"/>
      <c r="BI160" s="579"/>
      <c r="BJ160" s="579"/>
      <c r="BK160" s="579"/>
      <c r="BL160" s="579"/>
      <c r="BM160" s="579"/>
      <c r="BN160" s="579"/>
      <c r="BO160" s="579"/>
      <c r="BP160" s="579"/>
      <c r="BQ160" s="579"/>
      <c r="BR160" s="579"/>
      <c r="BS160" s="579"/>
      <c r="BT160" s="579"/>
      <c r="BU160" s="579"/>
      <c r="BV160" s="579"/>
      <c r="BW160" s="579"/>
      <c r="BX160" s="579"/>
      <c r="BY160" s="579"/>
      <c r="BZ160" s="579"/>
      <c r="CA160" s="579"/>
      <c r="CB160" s="579"/>
      <c r="CC160" s="579"/>
      <c r="CD160" s="579"/>
      <c r="CE160" s="579"/>
      <c r="CF160" s="579"/>
      <c r="CG160" s="579"/>
      <c r="CH160" s="579"/>
      <c r="CI160" s="579"/>
      <c r="CJ160" s="579"/>
      <c r="CK160" s="579"/>
      <c r="CL160" s="579"/>
      <c r="CM160" s="579"/>
      <c r="CN160" s="579"/>
      <c r="CO160" s="579"/>
      <c r="CP160" s="579"/>
      <c r="CQ160" s="579"/>
      <c r="CR160" s="579"/>
      <c r="CS160" s="579"/>
      <c r="CT160" s="579"/>
      <c r="CU160" s="579"/>
      <c r="CV160" s="579"/>
      <c r="CW160" s="579"/>
      <c r="CX160" s="579"/>
      <c r="CY160" s="579"/>
      <c r="CZ160" s="579"/>
      <c r="DA160" s="579"/>
      <c r="DB160" s="579"/>
      <c r="DC160" s="579"/>
      <c r="DD160" s="579"/>
      <c r="DE160" s="579"/>
      <c r="DF160" s="579"/>
      <c r="DG160" s="579"/>
    </row>
    <row r="161" spans="1:111" s="598" customFormat="1" hidden="1">
      <c r="A161" s="603" t="s">
        <v>136</v>
      </c>
      <c r="B161" s="598">
        <v>29020</v>
      </c>
      <c r="C161" s="598">
        <v>29020</v>
      </c>
      <c r="D161" s="602"/>
      <c r="F161" s="599"/>
      <c r="G161" s="601"/>
      <c r="H161" s="579"/>
      <c r="I161" s="579"/>
      <c r="J161" s="579"/>
      <c r="K161" s="579"/>
      <c r="L161" s="579"/>
      <c r="M161" s="579"/>
      <c r="N161" s="225"/>
      <c r="O161" s="579"/>
      <c r="P161" s="579"/>
      <c r="Q161" s="579"/>
      <c r="R161" s="579"/>
      <c r="S161" s="579"/>
      <c r="T161" s="579"/>
      <c r="U161" s="579"/>
      <c r="V161" s="579"/>
      <c r="W161" s="579"/>
      <c r="X161" s="579"/>
      <c r="Y161" s="579"/>
      <c r="Z161" s="579"/>
      <c r="AA161" s="579"/>
      <c r="AB161" s="579"/>
      <c r="AC161" s="579"/>
      <c r="AD161" s="579"/>
      <c r="AE161" s="579"/>
      <c r="AF161" s="579"/>
      <c r="AG161" s="579"/>
      <c r="AH161" s="579"/>
      <c r="AI161" s="579"/>
      <c r="AJ161" s="579"/>
      <c r="AK161" s="579"/>
      <c r="AL161" s="579"/>
      <c r="AM161" s="579"/>
      <c r="AN161" s="579"/>
      <c r="AO161" s="579"/>
      <c r="AP161" s="579"/>
      <c r="AQ161" s="579"/>
      <c r="AR161" s="579"/>
      <c r="AS161" s="579"/>
      <c r="AT161" s="579"/>
      <c r="AU161" s="579"/>
      <c r="AV161" s="579"/>
      <c r="AW161" s="579"/>
      <c r="AX161" s="579"/>
      <c r="AY161" s="579"/>
      <c r="AZ161" s="579"/>
      <c r="BA161" s="579"/>
      <c r="BB161" s="579"/>
      <c r="BC161" s="579"/>
      <c r="BD161" s="579"/>
      <c r="BE161" s="579"/>
      <c r="BF161" s="579"/>
      <c r="BG161" s="579"/>
      <c r="BH161" s="579"/>
      <c r="BI161" s="579"/>
      <c r="BJ161" s="579"/>
      <c r="BK161" s="579"/>
      <c r="BL161" s="579"/>
      <c r="BM161" s="579"/>
      <c r="BN161" s="579"/>
      <c r="BO161" s="579"/>
      <c r="BP161" s="579"/>
      <c r="BQ161" s="579"/>
      <c r="BR161" s="579"/>
      <c r="BS161" s="579"/>
      <c r="BT161" s="579"/>
      <c r="BU161" s="579"/>
      <c r="BV161" s="579"/>
      <c r="BW161" s="579"/>
      <c r="BX161" s="579"/>
      <c r="BY161" s="579"/>
      <c r="BZ161" s="579"/>
      <c r="CA161" s="579"/>
      <c r="CB161" s="579"/>
      <c r="CC161" s="579"/>
      <c r="CD161" s="579"/>
      <c r="CE161" s="579"/>
      <c r="CF161" s="579"/>
      <c r="CG161" s="579"/>
      <c r="CH161" s="579"/>
      <c r="CI161" s="579"/>
      <c r="CJ161" s="579"/>
      <c r="CK161" s="579"/>
      <c r="CL161" s="579"/>
      <c r="CM161" s="579"/>
      <c r="CN161" s="579"/>
      <c r="CO161" s="579"/>
      <c r="CP161" s="579"/>
      <c r="CQ161" s="579"/>
      <c r="CR161" s="579"/>
      <c r="CS161" s="579"/>
      <c r="CT161" s="579"/>
      <c r="CU161" s="579"/>
      <c r="CV161" s="579"/>
      <c r="CW161" s="579"/>
      <c r="CX161" s="579"/>
      <c r="CY161" s="579"/>
      <c r="CZ161" s="579"/>
      <c r="DA161" s="579"/>
      <c r="DB161" s="579"/>
      <c r="DC161" s="579"/>
      <c r="DD161" s="579"/>
      <c r="DE161" s="579"/>
      <c r="DF161" s="579"/>
      <c r="DG161" s="579"/>
    </row>
    <row r="162" spans="1:111" s="598" customFormat="1" hidden="1">
      <c r="A162" s="603" t="s">
        <v>135</v>
      </c>
      <c r="B162" s="598">
        <v>29259</v>
      </c>
      <c r="C162" s="598">
        <v>29259</v>
      </c>
      <c r="D162" s="602"/>
      <c r="F162" s="599"/>
      <c r="G162" s="601"/>
      <c r="H162" s="579"/>
      <c r="I162" s="579"/>
      <c r="J162" s="579"/>
      <c r="K162" s="579"/>
      <c r="L162" s="579"/>
      <c r="M162" s="579"/>
      <c r="N162" s="225"/>
      <c r="O162" s="579"/>
      <c r="P162" s="579"/>
      <c r="Q162" s="579"/>
      <c r="R162" s="579"/>
      <c r="S162" s="579"/>
      <c r="T162" s="579"/>
      <c r="U162" s="579"/>
      <c r="V162" s="579"/>
      <c r="W162" s="579"/>
      <c r="X162" s="579"/>
      <c r="Y162" s="579"/>
      <c r="Z162" s="579"/>
      <c r="AA162" s="579"/>
      <c r="AB162" s="579"/>
      <c r="AC162" s="579"/>
      <c r="AD162" s="579"/>
      <c r="AE162" s="579"/>
      <c r="AF162" s="579"/>
      <c r="AG162" s="579"/>
      <c r="AH162" s="579"/>
      <c r="AI162" s="579"/>
      <c r="AJ162" s="579"/>
      <c r="AK162" s="579"/>
      <c r="AL162" s="579"/>
      <c r="AM162" s="579"/>
      <c r="AN162" s="579"/>
      <c r="AO162" s="579"/>
      <c r="AP162" s="579"/>
      <c r="AQ162" s="579"/>
      <c r="AR162" s="579"/>
      <c r="AS162" s="579"/>
      <c r="AT162" s="579"/>
      <c r="AU162" s="579"/>
      <c r="AV162" s="579"/>
      <c r="AW162" s="579"/>
      <c r="AX162" s="579"/>
      <c r="AY162" s="579"/>
      <c r="AZ162" s="579"/>
      <c r="BA162" s="579"/>
      <c r="BB162" s="579"/>
      <c r="BC162" s="579"/>
      <c r="BD162" s="579"/>
      <c r="BE162" s="579"/>
      <c r="BF162" s="579"/>
      <c r="BG162" s="579"/>
      <c r="BH162" s="579"/>
      <c r="BI162" s="579"/>
      <c r="BJ162" s="579"/>
      <c r="BK162" s="579"/>
      <c r="BL162" s="579"/>
      <c r="BM162" s="579"/>
      <c r="BN162" s="579"/>
      <c r="BO162" s="579"/>
      <c r="BP162" s="579"/>
      <c r="BQ162" s="579"/>
      <c r="BR162" s="579"/>
      <c r="BS162" s="579"/>
      <c r="BT162" s="579"/>
      <c r="BU162" s="579"/>
      <c r="BV162" s="579"/>
      <c r="BW162" s="579"/>
      <c r="BX162" s="579"/>
      <c r="BY162" s="579"/>
      <c r="BZ162" s="579"/>
      <c r="CA162" s="579"/>
      <c r="CB162" s="579"/>
      <c r="CC162" s="579"/>
      <c r="CD162" s="579"/>
      <c r="CE162" s="579"/>
      <c r="CF162" s="579"/>
      <c r="CG162" s="579"/>
      <c r="CH162" s="579"/>
      <c r="CI162" s="579"/>
      <c r="CJ162" s="579"/>
      <c r="CK162" s="579"/>
      <c r="CL162" s="579"/>
      <c r="CM162" s="579"/>
      <c r="CN162" s="579"/>
      <c r="CO162" s="579"/>
      <c r="CP162" s="579"/>
      <c r="CQ162" s="579"/>
      <c r="CR162" s="579"/>
      <c r="CS162" s="579"/>
      <c r="CT162" s="579"/>
      <c r="CU162" s="579"/>
      <c r="CV162" s="579"/>
      <c r="CW162" s="579"/>
      <c r="CX162" s="579"/>
      <c r="CY162" s="579"/>
      <c r="CZ162" s="579"/>
      <c r="DA162" s="579"/>
      <c r="DB162" s="579"/>
      <c r="DC162" s="579"/>
      <c r="DD162" s="579"/>
      <c r="DE162" s="579"/>
      <c r="DF162" s="579"/>
      <c r="DG162" s="579"/>
    </row>
    <row r="163" spans="1:111" s="598" customFormat="1" hidden="1">
      <c r="A163" s="603" t="s">
        <v>134</v>
      </c>
      <c r="B163" s="598">
        <v>29586</v>
      </c>
      <c r="C163" s="598">
        <v>29586</v>
      </c>
      <c r="D163" s="602"/>
      <c r="F163" s="599"/>
      <c r="G163" s="601"/>
      <c r="H163" s="579"/>
      <c r="I163" s="579"/>
      <c r="J163" s="579"/>
      <c r="K163" s="579"/>
      <c r="L163" s="579"/>
      <c r="M163" s="579"/>
      <c r="N163" s="225"/>
      <c r="O163" s="579"/>
      <c r="P163" s="579"/>
      <c r="Q163" s="579"/>
      <c r="R163" s="579"/>
      <c r="S163" s="579"/>
      <c r="T163" s="579"/>
      <c r="U163" s="579"/>
      <c r="V163" s="579"/>
      <c r="W163" s="579"/>
      <c r="X163" s="579"/>
      <c r="Y163" s="579"/>
      <c r="Z163" s="579"/>
      <c r="AA163" s="579"/>
      <c r="AB163" s="579"/>
      <c r="AC163" s="579"/>
      <c r="AD163" s="579"/>
      <c r="AE163" s="579"/>
      <c r="AF163" s="579"/>
      <c r="AG163" s="579"/>
      <c r="AH163" s="579"/>
      <c r="AI163" s="579"/>
      <c r="AJ163" s="579"/>
      <c r="AK163" s="579"/>
      <c r="AL163" s="579"/>
      <c r="AM163" s="579"/>
      <c r="AN163" s="579"/>
      <c r="AO163" s="579"/>
      <c r="AP163" s="579"/>
      <c r="AQ163" s="579"/>
      <c r="AR163" s="579"/>
      <c r="AS163" s="579"/>
      <c r="AT163" s="579"/>
      <c r="AU163" s="579"/>
      <c r="AV163" s="579"/>
      <c r="AW163" s="579"/>
      <c r="AX163" s="579"/>
      <c r="AY163" s="579"/>
      <c r="AZ163" s="579"/>
      <c r="BA163" s="579"/>
      <c r="BB163" s="579"/>
      <c r="BC163" s="579"/>
      <c r="BD163" s="579"/>
      <c r="BE163" s="579"/>
      <c r="BF163" s="579"/>
      <c r="BG163" s="579"/>
      <c r="BH163" s="579"/>
      <c r="BI163" s="579"/>
      <c r="BJ163" s="579"/>
      <c r="BK163" s="579"/>
      <c r="BL163" s="579"/>
      <c r="BM163" s="579"/>
      <c r="BN163" s="579"/>
      <c r="BO163" s="579"/>
      <c r="BP163" s="579"/>
      <c r="BQ163" s="579"/>
      <c r="BR163" s="579"/>
      <c r="BS163" s="579"/>
      <c r="BT163" s="579"/>
      <c r="BU163" s="579"/>
      <c r="BV163" s="579"/>
      <c r="BW163" s="579"/>
      <c r="BX163" s="579"/>
      <c r="BY163" s="579"/>
      <c r="BZ163" s="579"/>
      <c r="CA163" s="579"/>
      <c r="CB163" s="579"/>
      <c r="CC163" s="579"/>
      <c r="CD163" s="579"/>
      <c r="CE163" s="579"/>
      <c r="CF163" s="579"/>
      <c r="CG163" s="579"/>
      <c r="CH163" s="579"/>
      <c r="CI163" s="579"/>
      <c r="CJ163" s="579"/>
      <c r="CK163" s="579"/>
      <c r="CL163" s="579"/>
      <c r="CM163" s="579"/>
      <c r="CN163" s="579"/>
      <c r="CO163" s="579"/>
      <c r="CP163" s="579"/>
      <c r="CQ163" s="579"/>
      <c r="CR163" s="579"/>
      <c r="CS163" s="579"/>
      <c r="CT163" s="579"/>
      <c r="CU163" s="579"/>
      <c r="CV163" s="579"/>
      <c r="CW163" s="579"/>
      <c r="CX163" s="579"/>
      <c r="CY163" s="579"/>
      <c r="CZ163" s="579"/>
      <c r="DA163" s="579"/>
      <c r="DB163" s="579"/>
      <c r="DC163" s="579"/>
      <c r="DD163" s="579"/>
      <c r="DE163" s="579"/>
      <c r="DF163" s="579"/>
      <c r="DG163" s="579"/>
    </row>
    <row r="164" spans="1:111" s="598" customFormat="1" hidden="1">
      <c r="A164" s="603" t="s">
        <v>133</v>
      </c>
      <c r="B164" s="598">
        <v>29916</v>
      </c>
      <c r="C164" s="598">
        <v>29916</v>
      </c>
      <c r="D164" s="602"/>
      <c r="F164" s="599"/>
      <c r="G164" s="601"/>
      <c r="H164" s="579"/>
      <c r="I164" s="579"/>
      <c r="J164" s="579"/>
      <c r="K164" s="579"/>
      <c r="L164" s="579"/>
      <c r="M164" s="579"/>
      <c r="N164" s="225"/>
      <c r="O164" s="579"/>
      <c r="P164" s="579"/>
      <c r="Q164" s="579"/>
      <c r="R164" s="579"/>
      <c r="S164" s="579"/>
      <c r="T164" s="579"/>
      <c r="U164" s="579"/>
      <c r="V164" s="579"/>
      <c r="W164" s="579"/>
      <c r="X164" s="579"/>
      <c r="Y164" s="579"/>
      <c r="Z164" s="579"/>
      <c r="AA164" s="579"/>
      <c r="AB164" s="579"/>
      <c r="AC164" s="579"/>
      <c r="AD164" s="579"/>
      <c r="AE164" s="579"/>
      <c r="AF164" s="579"/>
      <c r="AG164" s="579"/>
      <c r="AH164" s="579"/>
      <c r="AI164" s="579"/>
      <c r="AJ164" s="579"/>
      <c r="AK164" s="579"/>
      <c r="AL164" s="579"/>
      <c r="AM164" s="579"/>
      <c r="AN164" s="579"/>
      <c r="AO164" s="579"/>
      <c r="AP164" s="579"/>
      <c r="AQ164" s="579"/>
      <c r="AR164" s="579"/>
      <c r="AS164" s="579"/>
      <c r="AT164" s="579"/>
      <c r="AU164" s="579"/>
      <c r="AV164" s="579"/>
      <c r="AW164" s="579"/>
      <c r="AX164" s="579"/>
      <c r="AY164" s="579"/>
      <c r="AZ164" s="579"/>
      <c r="BA164" s="579"/>
      <c r="BB164" s="579"/>
      <c r="BC164" s="579"/>
      <c r="BD164" s="579"/>
      <c r="BE164" s="579"/>
      <c r="BF164" s="579"/>
      <c r="BG164" s="579"/>
      <c r="BH164" s="579"/>
      <c r="BI164" s="579"/>
      <c r="BJ164" s="579"/>
      <c r="BK164" s="579"/>
      <c r="BL164" s="579"/>
      <c r="BM164" s="579"/>
      <c r="BN164" s="579"/>
      <c r="BO164" s="579"/>
      <c r="BP164" s="579"/>
      <c r="BQ164" s="579"/>
      <c r="BR164" s="579"/>
      <c r="BS164" s="579"/>
      <c r="BT164" s="579"/>
      <c r="BU164" s="579"/>
      <c r="BV164" s="579"/>
      <c r="BW164" s="579"/>
      <c r="BX164" s="579"/>
      <c r="BY164" s="579"/>
      <c r="BZ164" s="579"/>
      <c r="CA164" s="579"/>
      <c r="CB164" s="579"/>
      <c r="CC164" s="579"/>
      <c r="CD164" s="579"/>
      <c r="CE164" s="579"/>
      <c r="CF164" s="579"/>
      <c r="CG164" s="579"/>
      <c r="CH164" s="579"/>
      <c r="CI164" s="579"/>
      <c r="CJ164" s="579"/>
      <c r="CK164" s="579"/>
      <c r="CL164" s="579"/>
      <c r="CM164" s="579"/>
      <c r="CN164" s="579"/>
      <c r="CO164" s="579"/>
      <c r="CP164" s="579"/>
      <c r="CQ164" s="579"/>
      <c r="CR164" s="579"/>
      <c r="CS164" s="579"/>
      <c r="CT164" s="579"/>
      <c r="CU164" s="579"/>
      <c r="CV164" s="579"/>
      <c r="CW164" s="579"/>
      <c r="CX164" s="579"/>
      <c r="CY164" s="579"/>
      <c r="CZ164" s="579"/>
      <c r="DA164" s="579"/>
      <c r="DB164" s="579"/>
      <c r="DC164" s="579"/>
      <c r="DD164" s="579"/>
      <c r="DE164" s="579"/>
      <c r="DF164" s="579"/>
      <c r="DG164" s="579"/>
    </row>
    <row r="165" spans="1:111" s="598" customFormat="1" hidden="1">
      <c r="A165" s="603" t="s">
        <v>132</v>
      </c>
      <c r="B165" s="598">
        <v>30252</v>
      </c>
      <c r="C165" s="598">
        <v>30252</v>
      </c>
      <c r="D165" s="602"/>
      <c r="F165" s="599"/>
      <c r="G165" s="601"/>
      <c r="H165" s="579"/>
      <c r="I165" s="579"/>
      <c r="J165" s="579"/>
      <c r="K165" s="579"/>
      <c r="L165" s="579"/>
      <c r="M165" s="579"/>
      <c r="N165" s="225"/>
      <c r="O165" s="579"/>
      <c r="P165" s="579"/>
      <c r="Q165" s="579"/>
      <c r="R165" s="579"/>
      <c r="S165" s="579"/>
      <c r="T165" s="579"/>
      <c r="U165" s="579"/>
      <c r="V165" s="579"/>
      <c r="W165" s="579"/>
      <c r="X165" s="579"/>
      <c r="Y165" s="579"/>
      <c r="Z165" s="579"/>
      <c r="AA165" s="579"/>
      <c r="AB165" s="579"/>
      <c r="AC165" s="579"/>
      <c r="AD165" s="579"/>
      <c r="AE165" s="579"/>
      <c r="AF165" s="579"/>
      <c r="AG165" s="579"/>
      <c r="AH165" s="579"/>
      <c r="AI165" s="579"/>
      <c r="AJ165" s="579"/>
      <c r="AK165" s="579"/>
      <c r="AL165" s="579"/>
      <c r="AM165" s="579"/>
      <c r="AN165" s="579"/>
      <c r="AO165" s="579"/>
      <c r="AP165" s="579"/>
      <c r="AQ165" s="579"/>
      <c r="AR165" s="579"/>
      <c r="AS165" s="579"/>
      <c r="AT165" s="579"/>
      <c r="AU165" s="579"/>
      <c r="AV165" s="579"/>
      <c r="AW165" s="579"/>
      <c r="AX165" s="579"/>
      <c r="AY165" s="579"/>
      <c r="AZ165" s="579"/>
      <c r="BA165" s="579"/>
      <c r="BB165" s="579"/>
      <c r="BC165" s="579"/>
      <c r="BD165" s="579"/>
      <c r="BE165" s="579"/>
      <c r="BF165" s="579"/>
      <c r="BG165" s="579"/>
      <c r="BH165" s="579"/>
      <c r="BI165" s="579"/>
      <c r="BJ165" s="579"/>
      <c r="BK165" s="579"/>
      <c r="BL165" s="579"/>
      <c r="BM165" s="579"/>
      <c r="BN165" s="579"/>
      <c r="BO165" s="579"/>
      <c r="BP165" s="579"/>
      <c r="BQ165" s="579"/>
      <c r="BR165" s="579"/>
      <c r="BS165" s="579"/>
      <c r="BT165" s="579"/>
      <c r="BU165" s="579"/>
      <c r="BV165" s="579"/>
      <c r="BW165" s="579"/>
      <c r="BX165" s="579"/>
      <c r="BY165" s="579"/>
      <c r="BZ165" s="579"/>
      <c r="CA165" s="579"/>
      <c r="CB165" s="579"/>
      <c r="CC165" s="579"/>
      <c r="CD165" s="579"/>
      <c r="CE165" s="579"/>
      <c r="CF165" s="579"/>
      <c r="CG165" s="579"/>
      <c r="CH165" s="579"/>
      <c r="CI165" s="579"/>
      <c r="CJ165" s="579"/>
      <c r="CK165" s="579"/>
      <c r="CL165" s="579"/>
      <c r="CM165" s="579"/>
      <c r="CN165" s="579"/>
      <c r="CO165" s="579"/>
      <c r="CP165" s="579"/>
      <c r="CQ165" s="579"/>
      <c r="CR165" s="579"/>
      <c r="CS165" s="579"/>
      <c r="CT165" s="579"/>
      <c r="CU165" s="579"/>
      <c r="CV165" s="579"/>
      <c r="CW165" s="579"/>
      <c r="CX165" s="579"/>
      <c r="CY165" s="579"/>
      <c r="CZ165" s="579"/>
      <c r="DA165" s="579"/>
      <c r="DB165" s="579"/>
      <c r="DC165" s="579"/>
      <c r="DD165" s="579"/>
      <c r="DE165" s="579"/>
      <c r="DF165" s="579"/>
      <c r="DG165" s="579"/>
    </row>
    <row r="166" spans="1:111" s="598" customFormat="1" hidden="1">
      <c r="A166" s="603" t="s">
        <v>131</v>
      </c>
      <c r="B166" s="598">
        <v>30590</v>
      </c>
      <c r="C166" s="598">
        <v>30590</v>
      </c>
      <c r="D166" s="602"/>
      <c r="F166" s="599"/>
      <c r="G166" s="601"/>
      <c r="H166" s="579"/>
      <c r="I166" s="579"/>
      <c r="J166" s="579"/>
      <c r="K166" s="579"/>
      <c r="L166" s="579"/>
      <c r="M166" s="579"/>
      <c r="N166" s="225"/>
      <c r="O166" s="579"/>
      <c r="P166" s="579"/>
      <c r="Q166" s="579"/>
      <c r="R166" s="579"/>
      <c r="S166" s="579"/>
      <c r="T166" s="579"/>
      <c r="U166" s="579"/>
      <c r="V166" s="579"/>
      <c r="W166" s="579"/>
      <c r="X166" s="579"/>
      <c r="Y166" s="579"/>
      <c r="Z166" s="579"/>
      <c r="AA166" s="579"/>
      <c r="AB166" s="579"/>
      <c r="AC166" s="579"/>
      <c r="AD166" s="579"/>
      <c r="AE166" s="579"/>
      <c r="AF166" s="579"/>
      <c r="AG166" s="579"/>
      <c r="AH166" s="579"/>
      <c r="AI166" s="579"/>
      <c r="AJ166" s="579"/>
      <c r="AK166" s="579"/>
      <c r="AL166" s="579"/>
      <c r="AM166" s="579"/>
      <c r="AN166" s="579"/>
      <c r="AO166" s="579"/>
      <c r="AP166" s="579"/>
      <c r="AQ166" s="579"/>
      <c r="AR166" s="579"/>
      <c r="AS166" s="579"/>
      <c r="AT166" s="579"/>
      <c r="AU166" s="579"/>
      <c r="AV166" s="579"/>
      <c r="AW166" s="579"/>
      <c r="AX166" s="579"/>
      <c r="AY166" s="579"/>
      <c r="AZ166" s="579"/>
      <c r="BA166" s="579"/>
      <c r="BB166" s="579"/>
      <c r="BC166" s="579"/>
      <c r="BD166" s="579"/>
      <c r="BE166" s="579"/>
      <c r="BF166" s="579"/>
      <c r="BG166" s="579"/>
      <c r="BH166" s="579"/>
      <c r="BI166" s="579"/>
      <c r="BJ166" s="579"/>
      <c r="BK166" s="579"/>
      <c r="BL166" s="579"/>
      <c r="BM166" s="579"/>
      <c r="BN166" s="579"/>
      <c r="BO166" s="579"/>
      <c r="BP166" s="579"/>
      <c r="BQ166" s="579"/>
      <c r="BR166" s="579"/>
      <c r="BS166" s="579"/>
      <c r="BT166" s="579"/>
      <c r="BU166" s="579"/>
      <c r="BV166" s="579"/>
      <c r="BW166" s="579"/>
      <c r="BX166" s="579"/>
      <c r="BY166" s="579"/>
      <c r="BZ166" s="579"/>
      <c r="CA166" s="579"/>
      <c r="CB166" s="579"/>
      <c r="CC166" s="579"/>
      <c r="CD166" s="579"/>
      <c r="CE166" s="579"/>
      <c r="CF166" s="579"/>
      <c r="CG166" s="579"/>
      <c r="CH166" s="579"/>
      <c r="CI166" s="579"/>
      <c r="CJ166" s="579"/>
      <c r="CK166" s="579"/>
      <c r="CL166" s="579"/>
      <c r="CM166" s="579"/>
      <c r="CN166" s="579"/>
      <c r="CO166" s="579"/>
      <c r="CP166" s="579"/>
      <c r="CQ166" s="579"/>
      <c r="CR166" s="579"/>
      <c r="CS166" s="579"/>
      <c r="CT166" s="579"/>
      <c r="CU166" s="579"/>
      <c r="CV166" s="579"/>
      <c r="CW166" s="579"/>
      <c r="CX166" s="579"/>
      <c r="CY166" s="579"/>
      <c r="CZ166" s="579"/>
      <c r="DA166" s="579"/>
      <c r="DB166" s="579"/>
      <c r="DC166" s="579"/>
      <c r="DD166" s="579"/>
      <c r="DE166" s="579"/>
      <c r="DF166" s="579"/>
      <c r="DG166" s="579"/>
    </row>
    <row r="167" spans="1:111" s="598" customFormat="1" hidden="1">
      <c r="A167" s="603" t="s">
        <v>130</v>
      </c>
      <c r="B167" s="598">
        <v>30933</v>
      </c>
      <c r="C167" s="598">
        <v>30933</v>
      </c>
      <c r="D167" s="602"/>
      <c r="F167" s="599"/>
      <c r="G167" s="601"/>
      <c r="H167" s="579"/>
      <c r="I167" s="579"/>
      <c r="J167" s="579"/>
      <c r="K167" s="579"/>
      <c r="L167" s="579"/>
      <c r="M167" s="579"/>
      <c r="N167" s="225"/>
      <c r="O167" s="579"/>
      <c r="P167" s="579"/>
      <c r="Q167" s="579"/>
      <c r="R167" s="579"/>
      <c r="S167" s="579"/>
      <c r="T167" s="579"/>
      <c r="U167" s="579"/>
      <c r="V167" s="579"/>
      <c r="W167" s="579"/>
      <c r="X167" s="579"/>
      <c r="Y167" s="579"/>
      <c r="Z167" s="579"/>
      <c r="AA167" s="579"/>
      <c r="AB167" s="579"/>
      <c r="AC167" s="579"/>
      <c r="AD167" s="579"/>
      <c r="AE167" s="579"/>
      <c r="AF167" s="579"/>
      <c r="AG167" s="579"/>
      <c r="AH167" s="579"/>
      <c r="AI167" s="579"/>
      <c r="AJ167" s="579"/>
      <c r="AK167" s="579"/>
      <c r="AL167" s="579"/>
      <c r="AM167" s="579"/>
      <c r="AN167" s="579"/>
      <c r="AO167" s="579"/>
      <c r="AP167" s="579"/>
      <c r="AQ167" s="579"/>
      <c r="AR167" s="579"/>
      <c r="AS167" s="579"/>
      <c r="AT167" s="579"/>
      <c r="AU167" s="579"/>
      <c r="AV167" s="579"/>
      <c r="AW167" s="579"/>
      <c r="AX167" s="579"/>
      <c r="AY167" s="579"/>
      <c r="AZ167" s="579"/>
      <c r="BA167" s="579"/>
      <c r="BB167" s="579"/>
      <c r="BC167" s="579"/>
      <c r="BD167" s="579"/>
      <c r="BE167" s="579"/>
      <c r="BF167" s="579"/>
      <c r="BG167" s="579"/>
      <c r="BH167" s="579"/>
      <c r="BI167" s="579"/>
      <c r="BJ167" s="579"/>
      <c r="BK167" s="579"/>
      <c r="BL167" s="579"/>
      <c r="BM167" s="579"/>
      <c r="BN167" s="579"/>
      <c r="BO167" s="579"/>
      <c r="BP167" s="579"/>
      <c r="BQ167" s="579"/>
      <c r="BR167" s="579"/>
      <c r="BS167" s="579"/>
      <c r="BT167" s="579"/>
      <c r="BU167" s="579"/>
      <c r="BV167" s="579"/>
      <c r="BW167" s="579"/>
      <c r="BX167" s="579"/>
      <c r="BY167" s="579"/>
      <c r="BZ167" s="579"/>
      <c r="CA167" s="579"/>
      <c r="CB167" s="579"/>
      <c r="CC167" s="579"/>
      <c r="CD167" s="579"/>
      <c r="CE167" s="579"/>
      <c r="CF167" s="579"/>
      <c r="CG167" s="579"/>
      <c r="CH167" s="579"/>
      <c r="CI167" s="579"/>
      <c r="CJ167" s="579"/>
      <c r="CK167" s="579"/>
      <c r="CL167" s="579"/>
      <c r="CM167" s="579"/>
      <c r="CN167" s="579"/>
      <c r="CO167" s="579"/>
      <c r="CP167" s="579"/>
      <c r="CQ167" s="579"/>
      <c r="CR167" s="579"/>
      <c r="CS167" s="579"/>
      <c r="CT167" s="579"/>
      <c r="CU167" s="579"/>
      <c r="CV167" s="579"/>
      <c r="CW167" s="579"/>
      <c r="CX167" s="579"/>
      <c r="CY167" s="579"/>
      <c r="CZ167" s="579"/>
      <c r="DA167" s="579"/>
      <c r="DB167" s="579"/>
      <c r="DC167" s="579"/>
      <c r="DD167" s="579"/>
      <c r="DE167" s="579"/>
      <c r="DF167" s="579"/>
      <c r="DG167" s="579"/>
    </row>
    <row r="168" spans="1:111" s="598" customFormat="1" hidden="1">
      <c r="A168" s="603" t="s">
        <v>129</v>
      </c>
      <c r="B168" s="598">
        <v>31281</v>
      </c>
      <c r="C168" s="598">
        <v>31281</v>
      </c>
      <c r="D168" s="602"/>
      <c r="F168" s="599"/>
      <c r="G168" s="601"/>
      <c r="H168" s="579"/>
      <c r="I168" s="579"/>
      <c r="J168" s="579"/>
      <c r="K168" s="579"/>
      <c r="L168" s="579"/>
      <c r="M168" s="579"/>
      <c r="N168" s="225"/>
      <c r="O168" s="579"/>
      <c r="P168" s="579"/>
      <c r="Q168" s="579"/>
      <c r="R168" s="579"/>
      <c r="S168" s="579"/>
      <c r="T168" s="579"/>
      <c r="U168" s="579"/>
      <c r="V168" s="579"/>
      <c r="W168" s="579"/>
      <c r="X168" s="579"/>
      <c r="Y168" s="579"/>
      <c r="Z168" s="579"/>
      <c r="AA168" s="579"/>
      <c r="AB168" s="579"/>
      <c r="AC168" s="579"/>
      <c r="AD168" s="579"/>
      <c r="AE168" s="579"/>
      <c r="AF168" s="579"/>
      <c r="AG168" s="579"/>
      <c r="AH168" s="579"/>
      <c r="AI168" s="579"/>
      <c r="AJ168" s="579"/>
      <c r="AK168" s="579"/>
      <c r="AL168" s="579"/>
      <c r="AM168" s="579"/>
      <c r="AN168" s="579"/>
      <c r="AO168" s="579"/>
      <c r="AP168" s="579"/>
      <c r="AQ168" s="579"/>
      <c r="AR168" s="579"/>
      <c r="AS168" s="579"/>
      <c r="AT168" s="579"/>
      <c r="AU168" s="579"/>
      <c r="AV168" s="579"/>
      <c r="AW168" s="579"/>
      <c r="AX168" s="579"/>
      <c r="AY168" s="579"/>
      <c r="AZ168" s="579"/>
      <c r="BA168" s="579"/>
      <c r="BB168" s="579"/>
      <c r="BC168" s="579"/>
      <c r="BD168" s="579"/>
      <c r="BE168" s="579"/>
      <c r="BF168" s="579"/>
      <c r="BG168" s="579"/>
      <c r="BH168" s="579"/>
      <c r="BI168" s="579"/>
      <c r="BJ168" s="579"/>
      <c r="BK168" s="579"/>
      <c r="BL168" s="579"/>
      <c r="BM168" s="579"/>
      <c r="BN168" s="579"/>
      <c r="BO168" s="579"/>
      <c r="BP168" s="579"/>
      <c r="BQ168" s="579"/>
      <c r="BR168" s="579"/>
      <c r="BS168" s="579"/>
      <c r="BT168" s="579"/>
      <c r="BU168" s="579"/>
      <c r="BV168" s="579"/>
      <c r="BW168" s="579"/>
      <c r="BX168" s="579"/>
      <c r="BY168" s="579"/>
      <c r="BZ168" s="579"/>
      <c r="CA168" s="579"/>
      <c r="CB168" s="579"/>
      <c r="CC168" s="579"/>
      <c r="CD168" s="579"/>
      <c r="CE168" s="579"/>
      <c r="CF168" s="579"/>
      <c r="CG168" s="579"/>
      <c r="CH168" s="579"/>
      <c r="CI168" s="579"/>
      <c r="CJ168" s="579"/>
      <c r="CK168" s="579"/>
      <c r="CL168" s="579"/>
      <c r="CM168" s="579"/>
      <c r="CN168" s="579"/>
      <c r="CO168" s="579"/>
      <c r="CP168" s="579"/>
      <c r="CQ168" s="579"/>
      <c r="CR168" s="579"/>
      <c r="CS168" s="579"/>
      <c r="CT168" s="579"/>
      <c r="CU168" s="579"/>
      <c r="CV168" s="579"/>
      <c r="CW168" s="579"/>
      <c r="CX168" s="579"/>
      <c r="CY168" s="579"/>
      <c r="CZ168" s="579"/>
      <c r="DA168" s="579"/>
      <c r="DB168" s="579"/>
      <c r="DC168" s="579"/>
      <c r="DD168" s="579"/>
      <c r="DE168" s="579"/>
      <c r="DF168" s="579"/>
      <c r="DG168" s="579"/>
    </row>
    <row r="169" spans="1:111" s="598" customFormat="1" hidden="1">
      <c r="A169" s="603" t="s">
        <v>128</v>
      </c>
      <c r="B169" s="598">
        <v>31632</v>
      </c>
      <c r="C169" s="598">
        <v>31632</v>
      </c>
      <c r="D169" s="602"/>
      <c r="F169" s="599"/>
      <c r="G169" s="601"/>
      <c r="H169" s="579"/>
      <c r="I169" s="579"/>
      <c r="J169" s="579"/>
      <c r="K169" s="579"/>
      <c r="L169" s="579"/>
      <c r="M169" s="579"/>
      <c r="N169" s="225"/>
      <c r="O169" s="579"/>
      <c r="P169" s="579"/>
      <c r="Q169" s="579"/>
      <c r="R169" s="579"/>
      <c r="S169" s="579"/>
      <c r="T169" s="579"/>
      <c r="U169" s="579"/>
      <c r="V169" s="579"/>
      <c r="W169" s="579"/>
      <c r="X169" s="579"/>
      <c r="Y169" s="579"/>
      <c r="Z169" s="579"/>
      <c r="AA169" s="579"/>
      <c r="AB169" s="579"/>
      <c r="AC169" s="579"/>
      <c r="AD169" s="579"/>
      <c r="AE169" s="579"/>
      <c r="AF169" s="579"/>
      <c r="AG169" s="579"/>
      <c r="AH169" s="579"/>
      <c r="AI169" s="579"/>
      <c r="AJ169" s="579"/>
      <c r="AK169" s="579"/>
      <c r="AL169" s="579"/>
      <c r="AM169" s="579"/>
      <c r="AN169" s="579"/>
      <c r="AO169" s="579"/>
      <c r="AP169" s="579"/>
      <c r="AQ169" s="579"/>
      <c r="AR169" s="579"/>
      <c r="AS169" s="579"/>
      <c r="AT169" s="579"/>
      <c r="AU169" s="579"/>
      <c r="AV169" s="579"/>
      <c r="AW169" s="579"/>
      <c r="AX169" s="579"/>
      <c r="AY169" s="579"/>
      <c r="AZ169" s="579"/>
      <c r="BA169" s="579"/>
      <c r="BB169" s="579"/>
      <c r="BC169" s="579"/>
      <c r="BD169" s="579"/>
      <c r="BE169" s="579"/>
      <c r="BF169" s="579"/>
      <c r="BG169" s="579"/>
      <c r="BH169" s="579"/>
      <c r="BI169" s="579"/>
      <c r="BJ169" s="579"/>
      <c r="BK169" s="579"/>
      <c r="BL169" s="579"/>
      <c r="BM169" s="579"/>
      <c r="BN169" s="579"/>
      <c r="BO169" s="579"/>
      <c r="BP169" s="579"/>
      <c r="BQ169" s="579"/>
      <c r="BR169" s="579"/>
      <c r="BS169" s="579"/>
      <c r="BT169" s="579"/>
      <c r="BU169" s="579"/>
      <c r="BV169" s="579"/>
      <c r="BW169" s="579"/>
      <c r="BX169" s="579"/>
      <c r="BY169" s="579"/>
      <c r="BZ169" s="579"/>
      <c r="CA169" s="579"/>
      <c r="CB169" s="579"/>
      <c r="CC169" s="579"/>
      <c r="CD169" s="579"/>
      <c r="CE169" s="579"/>
      <c r="CF169" s="579"/>
      <c r="CG169" s="579"/>
      <c r="CH169" s="579"/>
      <c r="CI169" s="579"/>
      <c r="CJ169" s="579"/>
      <c r="CK169" s="579"/>
      <c r="CL169" s="579"/>
      <c r="CM169" s="579"/>
      <c r="CN169" s="579"/>
      <c r="CO169" s="579"/>
      <c r="CP169" s="579"/>
      <c r="CQ169" s="579"/>
      <c r="CR169" s="579"/>
      <c r="CS169" s="579"/>
      <c r="CT169" s="579"/>
      <c r="CU169" s="579"/>
      <c r="CV169" s="579"/>
      <c r="CW169" s="579"/>
      <c r="CX169" s="579"/>
      <c r="CY169" s="579"/>
      <c r="CZ169" s="579"/>
      <c r="DA169" s="579"/>
      <c r="DB169" s="579"/>
      <c r="DC169" s="579"/>
      <c r="DD169" s="579"/>
      <c r="DE169" s="579"/>
      <c r="DF169" s="579"/>
      <c r="DG169" s="579"/>
    </row>
    <row r="170" spans="1:111" s="598" customFormat="1" hidden="1">
      <c r="A170" s="603" t="s">
        <v>127</v>
      </c>
      <c r="B170" s="598">
        <v>31896</v>
      </c>
      <c r="C170" s="598">
        <v>31896</v>
      </c>
      <c r="D170" s="602"/>
      <c r="F170" s="599"/>
      <c r="G170" s="601"/>
      <c r="H170" s="579"/>
      <c r="I170" s="579"/>
      <c r="J170" s="579"/>
      <c r="K170" s="579"/>
      <c r="L170" s="579"/>
      <c r="M170" s="579"/>
      <c r="N170" s="225"/>
      <c r="O170" s="579"/>
      <c r="P170" s="579"/>
      <c r="Q170" s="579"/>
      <c r="R170" s="579"/>
      <c r="S170" s="579"/>
      <c r="T170" s="579"/>
      <c r="U170" s="579"/>
      <c r="V170" s="579"/>
      <c r="W170" s="579"/>
      <c r="X170" s="579"/>
      <c r="Y170" s="579"/>
      <c r="Z170" s="579"/>
      <c r="AA170" s="579"/>
      <c r="AB170" s="579"/>
      <c r="AC170" s="579"/>
      <c r="AD170" s="579"/>
      <c r="AE170" s="579"/>
      <c r="AF170" s="579"/>
      <c r="AG170" s="579"/>
      <c r="AH170" s="579"/>
      <c r="AI170" s="579"/>
      <c r="AJ170" s="579"/>
      <c r="AK170" s="579"/>
      <c r="AL170" s="579"/>
      <c r="AM170" s="579"/>
      <c r="AN170" s="579"/>
      <c r="AO170" s="579"/>
      <c r="AP170" s="579"/>
      <c r="AQ170" s="579"/>
      <c r="AR170" s="579"/>
      <c r="AS170" s="579"/>
      <c r="AT170" s="579"/>
      <c r="AU170" s="579"/>
      <c r="AV170" s="579"/>
      <c r="AW170" s="579"/>
      <c r="AX170" s="579"/>
      <c r="AY170" s="579"/>
      <c r="AZ170" s="579"/>
      <c r="BA170" s="579"/>
      <c r="BB170" s="579"/>
      <c r="BC170" s="579"/>
      <c r="BD170" s="579"/>
      <c r="BE170" s="579"/>
      <c r="BF170" s="579"/>
      <c r="BG170" s="579"/>
      <c r="BH170" s="579"/>
      <c r="BI170" s="579"/>
      <c r="BJ170" s="579"/>
      <c r="BK170" s="579"/>
      <c r="BL170" s="579"/>
      <c r="BM170" s="579"/>
      <c r="BN170" s="579"/>
      <c r="BO170" s="579"/>
      <c r="BP170" s="579"/>
      <c r="BQ170" s="579"/>
      <c r="BR170" s="579"/>
      <c r="BS170" s="579"/>
      <c r="BT170" s="579"/>
      <c r="BU170" s="579"/>
      <c r="BV170" s="579"/>
      <c r="BW170" s="579"/>
      <c r="BX170" s="579"/>
      <c r="BY170" s="579"/>
      <c r="BZ170" s="579"/>
      <c r="CA170" s="579"/>
      <c r="CB170" s="579"/>
      <c r="CC170" s="579"/>
      <c r="CD170" s="579"/>
      <c r="CE170" s="579"/>
      <c r="CF170" s="579"/>
      <c r="CG170" s="579"/>
      <c r="CH170" s="579"/>
      <c r="CI170" s="579"/>
      <c r="CJ170" s="579"/>
      <c r="CK170" s="579"/>
      <c r="CL170" s="579"/>
      <c r="CM170" s="579"/>
      <c r="CN170" s="579"/>
      <c r="CO170" s="579"/>
      <c r="CP170" s="579"/>
      <c r="CQ170" s="579"/>
      <c r="CR170" s="579"/>
      <c r="CS170" s="579"/>
      <c r="CT170" s="579"/>
      <c r="CU170" s="579"/>
      <c r="CV170" s="579"/>
      <c r="CW170" s="579"/>
      <c r="CX170" s="579"/>
      <c r="CY170" s="579"/>
      <c r="CZ170" s="579"/>
      <c r="DA170" s="579"/>
      <c r="DB170" s="579"/>
      <c r="DC170" s="579"/>
      <c r="DD170" s="579"/>
      <c r="DE170" s="579"/>
      <c r="DF170" s="579"/>
      <c r="DG170" s="579"/>
    </row>
    <row r="171" spans="1:111" s="598" customFormat="1" hidden="1">
      <c r="A171" s="603" t="s">
        <v>126</v>
      </c>
      <c r="B171" s="598">
        <v>32255</v>
      </c>
      <c r="C171" s="598">
        <v>32255</v>
      </c>
      <c r="D171" s="602"/>
      <c r="F171" s="599"/>
      <c r="G171" s="601"/>
      <c r="H171" s="579"/>
      <c r="I171" s="579"/>
      <c r="J171" s="579"/>
      <c r="K171" s="579"/>
      <c r="L171" s="579"/>
      <c r="M171" s="579"/>
      <c r="N171" s="225"/>
      <c r="O171" s="579"/>
      <c r="P171" s="579"/>
      <c r="Q171" s="579"/>
      <c r="R171" s="579"/>
      <c r="S171" s="579"/>
      <c r="T171" s="579"/>
      <c r="U171" s="579"/>
      <c r="V171" s="579"/>
      <c r="W171" s="579"/>
      <c r="X171" s="579"/>
      <c r="Y171" s="579"/>
      <c r="Z171" s="579"/>
      <c r="AA171" s="579"/>
      <c r="AB171" s="579"/>
      <c r="AC171" s="579"/>
      <c r="AD171" s="579"/>
      <c r="AE171" s="579"/>
      <c r="AF171" s="579"/>
      <c r="AG171" s="579"/>
      <c r="AH171" s="579"/>
      <c r="AI171" s="579"/>
      <c r="AJ171" s="579"/>
      <c r="AK171" s="579"/>
      <c r="AL171" s="579"/>
      <c r="AM171" s="579"/>
      <c r="AN171" s="579"/>
      <c r="AO171" s="579"/>
      <c r="AP171" s="579"/>
      <c r="AQ171" s="579"/>
      <c r="AR171" s="579"/>
      <c r="AS171" s="579"/>
      <c r="AT171" s="579"/>
      <c r="AU171" s="579"/>
      <c r="AV171" s="579"/>
      <c r="AW171" s="579"/>
      <c r="AX171" s="579"/>
      <c r="AY171" s="579"/>
      <c r="AZ171" s="579"/>
      <c r="BA171" s="579"/>
      <c r="BB171" s="579"/>
      <c r="BC171" s="579"/>
      <c r="BD171" s="579"/>
      <c r="BE171" s="579"/>
      <c r="BF171" s="579"/>
      <c r="BG171" s="579"/>
      <c r="BH171" s="579"/>
      <c r="BI171" s="579"/>
      <c r="BJ171" s="579"/>
      <c r="BK171" s="579"/>
      <c r="BL171" s="579"/>
      <c r="BM171" s="579"/>
      <c r="BN171" s="579"/>
      <c r="BO171" s="579"/>
      <c r="BP171" s="579"/>
      <c r="BQ171" s="579"/>
      <c r="BR171" s="579"/>
      <c r="BS171" s="579"/>
      <c r="BT171" s="579"/>
      <c r="BU171" s="579"/>
      <c r="BV171" s="579"/>
      <c r="BW171" s="579"/>
      <c r="BX171" s="579"/>
      <c r="BY171" s="579"/>
      <c r="BZ171" s="579"/>
      <c r="CA171" s="579"/>
      <c r="CB171" s="579"/>
      <c r="CC171" s="579"/>
      <c r="CD171" s="579"/>
      <c r="CE171" s="579"/>
      <c r="CF171" s="579"/>
      <c r="CG171" s="579"/>
      <c r="CH171" s="579"/>
      <c r="CI171" s="579"/>
      <c r="CJ171" s="579"/>
      <c r="CK171" s="579"/>
      <c r="CL171" s="579"/>
      <c r="CM171" s="579"/>
      <c r="CN171" s="579"/>
      <c r="CO171" s="579"/>
      <c r="CP171" s="579"/>
      <c r="CQ171" s="579"/>
      <c r="CR171" s="579"/>
      <c r="CS171" s="579"/>
      <c r="CT171" s="579"/>
      <c r="CU171" s="579"/>
      <c r="CV171" s="579"/>
      <c r="CW171" s="579"/>
      <c r="CX171" s="579"/>
      <c r="CY171" s="579"/>
      <c r="CZ171" s="579"/>
      <c r="DA171" s="579"/>
      <c r="DB171" s="579"/>
      <c r="DC171" s="579"/>
      <c r="DD171" s="579"/>
      <c r="DE171" s="579"/>
      <c r="DF171" s="579"/>
      <c r="DG171" s="579"/>
    </row>
    <row r="172" spans="1:111" s="598" customFormat="1" hidden="1">
      <c r="A172" s="603" t="s">
        <v>125</v>
      </c>
      <c r="B172" s="598">
        <v>32619</v>
      </c>
      <c r="C172" s="598">
        <v>32619</v>
      </c>
      <c r="D172" s="602"/>
      <c r="F172" s="599"/>
      <c r="G172" s="601"/>
      <c r="H172" s="579"/>
      <c r="I172" s="579"/>
      <c r="J172" s="579"/>
      <c r="K172" s="579"/>
      <c r="L172" s="579"/>
      <c r="M172" s="579"/>
      <c r="N172" s="225"/>
      <c r="O172" s="579"/>
      <c r="P172" s="579"/>
      <c r="Q172" s="579"/>
      <c r="R172" s="579"/>
      <c r="S172" s="579"/>
      <c r="T172" s="579"/>
      <c r="U172" s="579"/>
      <c r="V172" s="579"/>
      <c r="W172" s="579"/>
      <c r="X172" s="579"/>
      <c r="Y172" s="579"/>
      <c r="Z172" s="579"/>
      <c r="AA172" s="579"/>
      <c r="AB172" s="579"/>
      <c r="AC172" s="579"/>
      <c r="AD172" s="579"/>
      <c r="AE172" s="579"/>
      <c r="AF172" s="579"/>
      <c r="AG172" s="579"/>
      <c r="AH172" s="579"/>
      <c r="AI172" s="579"/>
      <c r="AJ172" s="579"/>
      <c r="AK172" s="579"/>
      <c r="AL172" s="579"/>
      <c r="AM172" s="579"/>
      <c r="AN172" s="579"/>
      <c r="AO172" s="579"/>
      <c r="AP172" s="579"/>
      <c r="AQ172" s="579"/>
      <c r="AR172" s="579"/>
      <c r="AS172" s="579"/>
      <c r="AT172" s="579"/>
      <c r="AU172" s="579"/>
      <c r="AV172" s="579"/>
      <c r="AW172" s="579"/>
      <c r="AX172" s="579"/>
      <c r="AY172" s="579"/>
      <c r="AZ172" s="579"/>
      <c r="BA172" s="579"/>
      <c r="BB172" s="579"/>
      <c r="BC172" s="579"/>
      <c r="BD172" s="579"/>
      <c r="BE172" s="579"/>
      <c r="BF172" s="579"/>
      <c r="BG172" s="579"/>
      <c r="BH172" s="579"/>
      <c r="BI172" s="579"/>
      <c r="BJ172" s="579"/>
      <c r="BK172" s="579"/>
      <c r="BL172" s="579"/>
      <c r="BM172" s="579"/>
      <c r="BN172" s="579"/>
      <c r="BO172" s="579"/>
      <c r="BP172" s="579"/>
      <c r="BQ172" s="579"/>
      <c r="BR172" s="579"/>
      <c r="BS172" s="579"/>
      <c r="BT172" s="579"/>
      <c r="BU172" s="579"/>
      <c r="BV172" s="579"/>
      <c r="BW172" s="579"/>
      <c r="BX172" s="579"/>
      <c r="BY172" s="579"/>
      <c r="BZ172" s="579"/>
      <c r="CA172" s="579"/>
      <c r="CB172" s="579"/>
      <c r="CC172" s="579"/>
      <c r="CD172" s="579"/>
      <c r="CE172" s="579"/>
      <c r="CF172" s="579"/>
      <c r="CG172" s="579"/>
      <c r="CH172" s="579"/>
      <c r="CI172" s="579"/>
      <c r="CJ172" s="579"/>
      <c r="CK172" s="579"/>
      <c r="CL172" s="579"/>
      <c r="CM172" s="579"/>
      <c r="CN172" s="579"/>
      <c r="CO172" s="579"/>
      <c r="CP172" s="579"/>
      <c r="CQ172" s="579"/>
      <c r="CR172" s="579"/>
      <c r="CS172" s="579"/>
      <c r="CT172" s="579"/>
      <c r="CU172" s="579"/>
      <c r="CV172" s="579"/>
      <c r="CW172" s="579"/>
      <c r="CX172" s="579"/>
      <c r="CY172" s="579"/>
      <c r="CZ172" s="579"/>
      <c r="DA172" s="579"/>
      <c r="DB172" s="579"/>
      <c r="DC172" s="579"/>
      <c r="DD172" s="579"/>
      <c r="DE172" s="579"/>
      <c r="DF172" s="579"/>
      <c r="DG172" s="579"/>
    </row>
    <row r="173" spans="1:111" s="598" customFormat="1" hidden="1">
      <c r="A173" s="603" t="s">
        <v>124</v>
      </c>
      <c r="B173" s="598">
        <v>32988</v>
      </c>
      <c r="C173" s="598">
        <v>32988</v>
      </c>
      <c r="D173" s="602"/>
      <c r="F173" s="599"/>
      <c r="G173" s="601"/>
      <c r="H173" s="579"/>
      <c r="I173" s="579"/>
      <c r="J173" s="579"/>
      <c r="K173" s="579"/>
      <c r="L173" s="579"/>
      <c r="M173" s="579"/>
      <c r="N173" s="225"/>
      <c r="O173" s="579"/>
      <c r="P173" s="579"/>
      <c r="Q173" s="579"/>
      <c r="R173" s="579"/>
      <c r="S173" s="579"/>
      <c r="T173" s="579"/>
      <c r="U173" s="579"/>
      <c r="V173" s="579"/>
      <c r="W173" s="579"/>
      <c r="X173" s="579"/>
      <c r="Y173" s="579"/>
      <c r="Z173" s="579"/>
      <c r="AA173" s="579"/>
      <c r="AB173" s="579"/>
      <c r="AC173" s="579"/>
      <c r="AD173" s="579"/>
      <c r="AE173" s="579"/>
      <c r="AF173" s="579"/>
      <c r="AG173" s="579"/>
      <c r="AH173" s="579"/>
      <c r="AI173" s="579"/>
      <c r="AJ173" s="579"/>
      <c r="AK173" s="579"/>
      <c r="AL173" s="579"/>
      <c r="AM173" s="579"/>
      <c r="AN173" s="579"/>
      <c r="AO173" s="579"/>
      <c r="AP173" s="579"/>
      <c r="AQ173" s="579"/>
      <c r="AR173" s="579"/>
      <c r="AS173" s="579"/>
      <c r="AT173" s="579"/>
      <c r="AU173" s="579"/>
      <c r="AV173" s="579"/>
      <c r="AW173" s="579"/>
      <c r="AX173" s="579"/>
      <c r="AY173" s="579"/>
      <c r="AZ173" s="579"/>
      <c r="BA173" s="579"/>
      <c r="BB173" s="579"/>
      <c r="BC173" s="579"/>
      <c r="BD173" s="579"/>
      <c r="BE173" s="579"/>
      <c r="BF173" s="579"/>
      <c r="BG173" s="579"/>
      <c r="BH173" s="579"/>
      <c r="BI173" s="579"/>
      <c r="BJ173" s="579"/>
      <c r="BK173" s="579"/>
      <c r="BL173" s="579"/>
      <c r="BM173" s="579"/>
      <c r="BN173" s="579"/>
      <c r="BO173" s="579"/>
      <c r="BP173" s="579"/>
      <c r="BQ173" s="579"/>
      <c r="BR173" s="579"/>
      <c r="BS173" s="579"/>
      <c r="BT173" s="579"/>
      <c r="BU173" s="579"/>
      <c r="BV173" s="579"/>
      <c r="BW173" s="579"/>
      <c r="BX173" s="579"/>
      <c r="BY173" s="579"/>
      <c r="BZ173" s="579"/>
      <c r="CA173" s="579"/>
      <c r="CB173" s="579"/>
      <c r="CC173" s="579"/>
      <c r="CD173" s="579"/>
      <c r="CE173" s="579"/>
      <c r="CF173" s="579"/>
      <c r="CG173" s="579"/>
      <c r="CH173" s="579"/>
      <c r="CI173" s="579"/>
      <c r="CJ173" s="579"/>
      <c r="CK173" s="579"/>
      <c r="CL173" s="579"/>
      <c r="CM173" s="579"/>
      <c r="CN173" s="579"/>
      <c r="CO173" s="579"/>
      <c r="CP173" s="579"/>
      <c r="CQ173" s="579"/>
      <c r="CR173" s="579"/>
      <c r="CS173" s="579"/>
      <c r="CT173" s="579"/>
      <c r="CU173" s="579"/>
      <c r="CV173" s="579"/>
      <c r="CW173" s="579"/>
      <c r="CX173" s="579"/>
      <c r="CY173" s="579"/>
      <c r="CZ173" s="579"/>
      <c r="DA173" s="579"/>
      <c r="DB173" s="579"/>
      <c r="DC173" s="579"/>
      <c r="DD173" s="579"/>
      <c r="DE173" s="579"/>
      <c r="DF173" s="579"/>
      <c r="DG173" s="579"/>
    </row>
    <row r="174" spans="1:111" s="598" customFormat="1" hidden="1">
      <c r="A174" s="603" t="s">
        <v>123</v>
      </c>
      <c r="B174" s="598">
        <v>33360</v>
      </c>
      <c r="C174" s="598">
        <v>33360</v>
      </c>
      <c r="D174" s="602"/>
      <c r="F174" s="599"/>
      <c r="G174" s="601"/>
      <c r="H174" s="579"/>
      <c r="I174" s="579"/>
      <c r="J174" s="579"/>
      <c r="K174" s="579"/>
      <c r="L174" s="579"/>
      <c r="M174" s="579"/>
      <c r="N174" s="225"/>
      <c r="O174" s="579"/>
      <c r="P174" s="579"/>
      <c r="Q174" s="579"/>
      <c r="R174" s="579"/>
      <c r="S174" s="579"/>
      <c r="T174" s="579"/>
      <c r="U174" s="579"/>
      <c r="V174" s="579"/>
      <c r="W174" s="579"/>
      <c r="X174" s="579"/>
      <c r="Y174" s="579"/>
      <c r="Z174" s="579"/>
      <c r="AA174" s="579"/>
      <c r="AB174" s="579"/>
      <c r="AC174" s="579"/>
      <c r="AD174" s="579"/>
      <c r="AE174" s="579"/>
      <c r="AF174" s="579"/>
      <c r="AG174" s="579"/>
      <c r="AH174" s="579"/>
      <c r="AI174" s="579"/>
      <c r="AJ174" s="579"/>
      <c r="AK174" s="579"/>
      <c r="AL174" s="579"/>
      <c r="AM174" s="579"/>
      <c r="AN174" s="579"/>
      <c r="AO174" s="579"/>
      <c r="AP174" s="579"/>
      <c r="AQ174" s="579"/>
      <c r="AR174" s="579"/>
      <c r="AS174" s="579"/>
      <c r="AT174" s="579"/>
      <c r="AU174" s="579"/>
      <c r="AV174" s="579"/>
      <c r="AW174" s="579"/>
      <c r="AX174" s="579"/>
      <c r="AY174" s="579"/>
      <c r="AZ174" s="579"/>
      <c r="BA174" s="579"/>
      <c r="BB174" s="579"/>
      <c r="BC174" s="579"/>
      <c r="BD174" s="579"/>
      <c r="BE174" s="579"/>
      <c r="BF174" s="579"/>
      <c r="BG174" s="579"/>
      <c r="BH174" s="579"/>
      <c r="BI174" s="579"/>
      <c r="BJ174" s="579"/>
      <c r="BK174" s="579"/>
      <c r="BL174" s="579"/>
      <c r="BM174" s="579"/>
      <c r="BN174" s="579"/>
      <c r="BO174" s="579"/>
      <c r="BP174" s="579"/>
      <c r="BQ174" s="579"/>
      <c r="BR174" s="579"/>
      <c r="BS174" s="579"/>
      <c r="BT174" s="579"/>
      <c r="BU174" s="579"/>
      <c r="BV174" s="579"/>
      <c r="BW174" s="579"/>
      <c r="BX174" s="579"/>
      <c r="BY174" s="579"/>
      <c r="BZ174" s="579"/>
      <c r="CA174" s="579"/>
      <c r="CB174" s="579"/>
      <c r="CC174" s="579"/>
      <c r="CD174" s="579"/>
      <c r="CE174" s="579"/>
      <c r="CF174" s="579"/>
      <c r="CG174" s="579"/>
      <c r="CH174" s="579"/>
      <c r="CI174" s="579"/>
      <c r="CJ174" s="579"/>
      <c r="CK174" s="579"/>
      <c r="CL174" s="579"/>
      <c r="CM174" s="579"/>
      <c r="CN174" s="579"/>
      <c r="CO174" s="579"/>
      <c r="CP174" s="579"/>
      <c r="CQ174" s="579"/>
      <c r="CR174" s="579"/>
      <c r="CS174" s="579"/>
      <c r="CT174" s="579"/>
      <c r="CU174" s="579"/>
      <c r="CV174" s="579"/>
      <c r="CW174" s="579"/>
      <c r="CX174" s="579"/>
      <c r="CY174" s="579"/>
      <c r="CZ174" s="579"/>
      <c r="DA174" s="579"/>
      <c r="DB174" s="579"/>
      <c r="DC174" s="579"/>
      <c r="DD174" s="579"/>
      <c r="DE174" s="579"/>
      <c r="DF174" s="579"/>
      <c r="DG174" s="579"/>
    </row>
    <row r="175" spans="1:111" s="598" customFormat="1" hidden="1">
      <c r="A175" s="603" t="s">
        <v>122</v>
      </c>
      <c r="B175" s="598">
        <v>33737</v>
      </c>
      <c r="C175" s="598">
        <v>33737</v>
      </c>
      <c r="D175" s="602"/>
      <c r="F175" s="599"/>
      <c r="G175" s="601"/>
      <c r="H175" s="579"/>
      <c r="I175" s="579"/>
      <c r="J175" s="579"/>
      <c r="K175" s="579"/>
      <c r="L175" s="579"/>
      <c r="M175" s="579"/>
      <c r="N175" s="225"/>
      <c r="O175" s="579"/>
      <c r="P175" s="579"/>
      <c r="Q175" s="579"/>
      <c r="R175" s="579"/>
      <c r="S175" s="579"/>
      <c r="T175" s="579"/>
      <c r="U175" s="579"/>
      <c r="V175" s="579"/>
      <c r="W175" s="579"/>
      <c r="X175" s="579"/>
      <c r="Y175" s="579"/>
      <c r="Z175" s="579"/>
      <c r="AA175" s="579"/>
      <c r="AB175" s="579"/>
      <c r="AC175" s="579"/>
      <c r="AD175" s="579"/>
      <c r="AE175" s="579"/>
      <c r="AF175" s="579"/>
      <c r="AG175" s="579"/>
      <c r="AH175" s="579"/>
      <c r="AI175" s="579"/>
      <c r="AJ175" s="579"/>
      <c r="AK175" s="579"/>
      <c r="AL175" s="579"/>
      <c r="AM175" s="579"/>
      <c r="AN175" s="579"/>
      <c r="AO175" s="579"/>
      <c r="AP175" s="579"/>
      <c r="AQ175" s="579"/>
      <c r="AR175" s="579"/>
      <c r="AS175" s="579"/>
      <c r="AT175" s="579"/>
      <c r="AU175" s="579"/>
      <c r="AV175" s="579"/>
      <c r="AW175" s="579"/>
      <c r="AX175" s="579"/>
      <c r="AY175" s="579"/>
      <c r="AZ175" s="579"/>
      <c r="BA175" s="579"/>
      <c r="BB175" s="579"/>
      <c r="BC175" s="579"/>
      <c r="BD175" s="579"/>
      <c r="BE175" s="579"/>
      <c r="BF175" s="579"/>
      <c r="BG175" s="579"/>
      <c r="BH175" s="579"/>
      <c r="BI175" s="579"/>
      <c r="BJ175" s="579"/>
      <c r="BK175" s="579"/>
      <c r="BL175" s="579"/>
      <c r="BM175" s="579"/>
      <c r="BN175" s="579"/>
      <c r="BO175" s="579"/>
      <c r="BP175" s="579"/>
      <c r="BQ175" s="579"/>
      <c r="BR175" s="579"/>
      <c r="BS175" s="579"/>
      <c r="BT175" s="579"/>
      <c r="BU175" s="579"/>
      <c r="BV175" s="579"/>
      <c r="BW175" s="579"/>
      <c r="BX175" s="579"/>
      <c r="BY175" s="579"/>
      <c r="BZ175" s="579"/>
      <c r="CA175" s="579"/>
      <c r="CB175" s="579"/>
      <c r="CC175" s="579"/>
      <c r="CD175" s="579"/>
      <c r="CE175" s="579"/>
      <c r="CF175" s="579"/>
      <c r="CG175" s="579"/>
      <c r="CH175" s="579"/>
      <c r="CI175" s="579"/>
      <c r="CJ175" s="579"/>
      <c r="CK175" s="579"/>
      <c r="CL175" s="579"/>
      <c r="CM175" s="579"/>
      <c r="CN175" s="579"/>
      <c r="CO175" s="579"/>
      <c r="CP175" s="579"/>
      <c r="CQ175" s="579"/>
      <c r="CR175" s="579"/>
      <c r="CS175" s="579"/>
      <c r="CT175" s="579"/>
      <c r="CU175" s="579"/>
      <c r="CV175" s="579"/>
      <c r="CW175" s="579"/>
      <c r="CX175" s="579"/>
      <c r="CY175" s="579"/>
      <c r="CZ175" s="579"/>
      <c r="DA175" s="579"/>
      <c r="DB175" s="579"/>
      <c r="DC175" s="579"/>
      <c r="DD175" s="579"/>
      <c r="DE175" s="579"/>
      <c r="DF175" s="579"/>
      <c r="DG175" s="579"/>
    </row>
    <row r="176" spans="1:111" s="598" customFormat="1" hidden="1">
      <c r="A176" s="603" t="s">
        <v>121</v>
      </c>
      <c r="B176" s="598">
        <v>34119</v>
      </c>
      <c r="C176" s="598">
        <v>34119</v>
      </c>
      <c r="D176" s="602"/>
      <c r="F176" s="599"/>
      <c r="G176" s="601"/>
      <c r="H176" s="579"/>
      <c r="I176" s="579"/>
      <c r="J176" s="579"/>
      <c r="K176" s="579"/>
      <c r="L176" s="579"/>
      <c r="M176" s="579"/>
      <c r="N176" s="225"/>
      <c r="O176" s="579"/>
      <c r="P176" s="579"/>
      <c r="Q176" s="579"/>
      <c r="R176" s="579"/>
      <c r="S176" s="579"/>
      <c r="T176" s="579"/>
      <c r="U176" s="579"/>
      <c r="V176" s="579"/>
      <c r="W176" s="579"/>
      <c r="X176" s="579"/>
      <c r="Y176" s="579"/>
      <c r="Z176" s="579"/>
      <c r="AA176" s="579"/>
      <c r="AB176" s="579"/>
      <c r="AC176" s="579"/>
      <c r="AD176" s="579"/>
      <c r="AE176" s="579"/>
      <c r="AF176" s="579"/>
      <c r="AG176" s="579"/>
      <c r="AH176" s="579"/>
      <c r="AI176" s="579"/>
      <c r="AJ176" s="579"/>
      <c r="AK176" s="579"/>
      <c r="AL176" s="579"/>
      <c r="AM176" s="579"/>
      <c r="AN176" s="579"/>
      <c r="AO176" s="579"/>
      <c r="AP176" s="579"/>
      <c r="AQ176" s="579"/>
      <c r="AR176" s="579"/>
      <c r="AS176" s="579"/>
      <c r="AT176" s="579"/>
      <c r="AU176" s="579"/>
      <c r="AV176" s="579"/>
      <c r="AW176" s="579"/>
      <c r="AX176" s="579"/>
      <c r="AY176" s="579"/>
      <c r="AZ176" s="579"/>
      <c r="BA176" s="579"/>
      <c r="BB176" s="579"/>
      <c r="BC176" s="579"/>
      <c r="BD176" s="579"/>
      <c r="BE176" s="579"/>
      <c r="BF176" s="579"/>
      <c r="BG176" s="579"/>
      <c r="BH176" s="579"/>
      <c r="BI176" s="579"/>
      <c r="BJ176" s="579"/>
      <c r="BK176" s="579"/>
      <c r="BL176" s="579"/>
      <c r="BM176" s="579"/>
      <c r="BN176" s="579"/>
      <c r="BO176" s="579"/>
      <c r="BP176" s="579"/>
      <c r="BQ176" s="579"/>
      <c r="BR176" s="579"/>
      <c r="BS176" s="579"/>
      <c r="BT176" s="579"/>
      <c r="BU176" s="579"/>
      <c r="BV176" s="579"/>
      <c r="BW176" s="579"/>
      <c r="BX176" s="579"/>
      <c r="BY176" s="579"/>
      <c r="BZ176" s="579"/>
      <c r="CA176" s="579"/>
      <c r="CB176" s="579"/>
      <c r="CC176" s="579"/>
      <c r="CD176" s="579"/>
      <c r="CE176" s="579"/>
      <c r="CF176" s="579"/>
      <c r="CG176" s="579"/>
      <c r="CH176" s="579"/>
      <c r="CI176" s="579"/>
      <c r="CJ176" s="579"/>
      <c r="CK176" s="579"/>
      <c r="CL176" s="579"/>
      <c r="CM176" s="579"/>
      <c r="CN176" s="579"/>
      <c r="CO176" s="579"/>
      <c r="CP176" s="579"/>
      <c r="CQ176" s="579"/>
      <c r="CR176" s="579"/>
      <c r="CS176" s="579"/>
      <c r="CT176" s="579"/>
      <c r="CU176" s="579"/>
      <c r="CV176" s="579"/>
      <c r="CW176" s="579"/>
      <c r="CX176" s="579"/>
      <c r="CY176" s="579"/>
      <c r="CZ176" s="579"/>
      <c r="DA176" s="579"/>
      <c r="DB176" s="579"/>
      <c r="DC176" s="579"/>
      <c r="DD176" s="579"/>
      <c r="DE176" s="579"/>
      <c r="DF176" s="579"/>
      <c r="DG176" s="579"/>
    </row>
    <row r="177" spans="1:111" s="598" customFormat="1" hidden="1">
      <c r="A177" s="603" t="s">
        <v>120</v>
      </c>
      <c r="B177" s="598">
        <v>34507</v>
      </c>
      <c r="C177" s="598">
        <v>34507</v>
      </c>
      <c r="D177" s="602"/>
      <c r="F177" s="599"/>
      <c r="G177" s="601"/>
      <c r="H177" s="579"/>
      <c r="I177" s="579"/>
      <c r="J177" s="579"/>
      <c r="K177" s="579"/>
      <c r="L177" s="579"/>
      <c r="M177" s="579"/>
      <c r="N177" s="225"/>
      <c r="O177" s="579"/>
      <c r="P177" s="579"/>
      <c r="Q177" s="579"/>
      <c r="R177" s="579"/>
      <c r="S177" s="579"/>
      <c r="T177" s="579"/>
      <c r="U177" s="579"/>
      <c r="V177" s="579"/>
      <c r="W177" s="579"/>
      <c r="X177" s="579"/>
      <c r="Y177" s="579"/>
      <c r="Z177" s="579"/>
      <c r="AA177" s="579"/>
      <c r="AB177" s="579"/>
      <c r="AC177" s="579"/>
      <c r="AD177" s="579"/>
      <c r="AE177" s="579"/>
      <c r="AF177" s="579"/>
      <c r="AG177" s="579"/>
      <c r="AH177" s="579"/>
      <c r="AI177" s="579"/>
      <c r="AJ177" s="579"/>
      <c r="AK177" s="579"/>
      <c r="AL177" s="579"/>
      <c r="AM177" s="579"/>
      <c r="AN177" s="579"/>
      <c r="AO177" s="579"/>
      <c r="AP177" s="579"/>
      <c r="AQ177" s="579"/>
      <c r="AR177" s="579"/>
      <c r="AS177" s="579"/>
      <c r="AT177" s="579"/>
      <c r="AU177" s="579"/>
      <c r="AV177" s="579"/>
      <c r="AW177" s="579"/>
      <c r="AX177" s="579"/>
      <c r="AY177" s="579"/>
      <c r="AZ177" s="579"/>
      <c r="BA177" s="579"/>
      <c r="BB177" s="579"/>
      <c r="BC177" s="579"/>
      <c r="BD177" s="579"/>
      <c r="BE177" s="579"/>
      <c r="BF177" s="579"/>
      <c r="BG177" s="579"/>
      <c r="BH177" s="579"/>
      <c r="BI177" s="579"/>
      <c r="BJ177" s="579"/>
      <c r="BK177" s="579"/>
      <c r="BL177" s="579"/>
      <c r="BM177" s="579"/>
      <c r="BN177" s="579"/>
      <c r="BO177" s="579"/>
      <c r="BP177" s="579"/>
      <c r="BQ177" s="579"/>
      <c r="BR177" s="579"/>
      <c r="BS177" s="579"/>
      <c r="BT177" s="579"/>
      <c r="BU177" s="579"/>
      <c r="BV177" s="579"/>
      <c r="BW177" s="579"/>
      <c r="BX177" s="579"/>
      <c r="BY177" s="579"/>
      <c r="BZ177" s="579"/>
      <c r="CA177" s="579"/>
      <c r="CB177" s="579"/>
      <c r="CC177" s="579"/>
      <c r="CD177" s="579"/>
      <c r="CE177" s="579"/>
      <c r="CF177" s="579"/>
      <c r="CG177" s="579"/>
      <c r="CH177" s="579"/>
      <c r="CI177" s="579"/>
      <c r="CJ177" s="579"/>
      <c r="CK177" s="579"/>
      <c r="CL177" s="579"/>
      <c r="CM177" s="579"/>
      <c r="CN177" s="579"/>
      <c r="CO177" s="579"/>
      <c r="CP177" s="579"/>
      <c r="CQ177" s="579"/>
      <c r="CR177" s="579"/>
      <c r="CS177" s="579"/>
      <c r="CT177" s="579"/>
      <c r="CU177" s="579"/>
      <c r="CV177" s="579"/>
      <c r="CW177" s="579"/>
      <c r="CX177" s="579"/>
      <c r="CY177" s="579"/>
      <c r="CZ177" s="579"/>
      <c r="DA177" s="579"/>
      <c r="DB177" s="579"/>
      <c r="DC177" s="579"/>
      <c r="DD177" s="579"/>
      <c r="DE177" s="579"/>
      <c r="DF177" s="579"/>
      <c r="DG177" s="579"/>
    </row>
    <row r="178" spans="1:111" s="598" customFormat="1" hidden="1">
      <c r="A178" s="603" t="s">
        <v>119</v>
      </c>
      <c r="B178" s="598">
        <v>34797</v>
      </c>
      <c r="C178" s="598">
        <v>34797</v>
      </c>
      <c r="D178" s="602"/>
      <c r="F178" s="599"/>
      <c r="G178" s="601"/>
      <c r="H178" s="579"/>
      <c r="I178" s="579"/>
      <c r="J178" s="579"/>
      <c r="K178" s="579"/>
      <c r="L178" s="579"/>
      <c r="M178" s="579"/>
      <c r="N178" s="225"/>
      <c r="O178" s="579"/>
      <c r="P178" s="579"/>
      <c r="Q178" s="579"/>
      <c r="R178" s="579"/>
      <c r="S178" s="579"/>
      <c r="T178" s="579"/>
      <c r="U178" s="579"/>
      <c r="V178" s="579"/>
      <c r="W178" s="579"/>
      <c r="X178" s="579"/>
      <c r="Y178" s="579"/>
      <c r="Z178" s="579"/>
      <c r="AA178" s="579"/>
      <c r="AB178" s="579"/>
      <c r="AC178" s="579"/>
      <c r="AD178" s="579"/>
      <c r="AE178" s="579"/>
      <c r="AF178" s="579"/>
      <c r="AG178" s="579"/>
      <c r="AH178" s="579"/>
      <c r="AI178" s="579"/>
      <c r="AJ178" s="579"/>
      <c r="AK178" s="579"/>
      <c r="AL178" s="579"/>
      <c r="AM178" s="579"/>
      <c r="AN178" s="579"/>
      <c r="AO178" s="579"/>
      <c r="AP178" s="579"/>
      <c r="AQ178" s="579"/>
      <c r="AR178" s="579"/>
      <c r="AS178" s="579"/>
      <c r="AT178" s="579"/>
      <c r="AU178" s="579"/>
      <c r="AV178" s="579"/>
      <c r="AW178" s="579"/>
      <c r="AX178" s="579"/>
      <c r="AY178" s="579"/>
      <c r="AZ178" s="579"/>
      <c r="BA178" s="579"/>
      <c r="BB178" s="579"/>
      <c r="BC178" s="579"/>
      <c r="BD178" s="579"/>
      <c r="BE178" s="579"/>
      <c r="BF178" s="579"/>
      <c r="BG178" s="579"/>
      <c r="BH178" s="579"/>
      <c r="BI178" s="579"/>
      <c r="BJ178" s="579"/>
      <c r="BK178" s="579"/>
      <c r="BL178" s="579"/>
      <c r="BM178" s="579"/>
      <c r="BN178" s="579"/>
      <c r="BO178" s="579"/>
      <c r="BP178" s="579"/>
      <c r="BQ178" s="579"/>
      <c r="BR178" s="579"/>
      <c r="BS178" s="579"/>
      <c r="BT178" s="579"/>
      <c r="BU178" s="579"/>
      <c r="BV178" s="579"/>
      <c r="BW178" s="579"/>
      <c r="BX178" s="579"/>
      <c r="BY178" s="579"/>
      <c r="BZ178" s="579"/>
      <c r="CA178" s="579"/>
      <c r="CB178" s="579"/>
      <c r="CC178" s="579"/>
      <c r="CD178" s="579"/>
      <c r="CE178" s="579"/>
      <c r="CF178" s="579"/>
      <c r="CG178" s="579"/>
      <c r="CH178" s="579"/>
      <c r="CI178" s="579"/>
      <c r="CJ178" s="579"/>
      <c r="CK178" s="579"/>
      <c r="CL178" s="579"/>
      <c r="CM178" s="579"/>
      <c r="CN178" s="579"/>
      <c r="CO178" s="579"/>
      <c r="CP178" s="579"/>
      <c r="CQ178" s="579"/>
      <c r="CR178" s="579"/>
      <c r="CS178" s="579"/>
      <c r="CT178" s="579"/>
      <c r="CU178" s="579"/>
      <c r="CV178" s="579"/>
      <c r="CW178" s="579"/>
      <c r="CX178" s="579"/>
      <c r="CY178" s="579"/>
      <c r="CZ178" s="579"/>
      <c r="DA178" s="579"/>
      <c r="DB178" s="579"/>
      <c r="DC178" s="579"/>
      <c r="DD178" s="579"/>
      <c r="DE178" s="579"/>
      <c r="DF178" s="579"/>
      <c r="DG178" s="579"/>
    </row>
    <row r="179" spans="1:111" s="598" customFormat="1" hidden="1">
      <c r="A179" s="603" t="s">
        <v>118</v>
      </c>
      <c r="B179" s="598">
        <v>35192</v>
      </c>
      <c r="C179" s="598">
        <v>35192</v>
      </c>
      <c r="D179" s="602"/>
      <c r="F179" s="599"/>
      <c r="G179" s="601"/>
      <c r="H179" s="579"/>
      <c r="I179" s="579"/>
      <c r="J179" s="579"/>
      <c r="K179" s="579"/>
      <c r="L179" s="579"/>
      <c r="M179" s="579"/>
      <c r="N179" s="225"/>
      <c r="O179" s="579"/>
      <c r="P179" s="579"/>
      <c r="Q179" s="579"/>
      <c r="R179" s="579"/>
      <c r="S179" s="579"/>
      <c r="T179" s="579"/>
      <c r="U179" s="579"/>
      <c r="V179" s="579"/>
      <c r="W179" s="579"/>
      <c r="X179" s="579"/>
      <c r="Y179" s="579"/>
      <c r="Z179" s="579"/>
      <c r="AA179" s="579"/>
      <c r="AB179" s="579"/>
      <c r="AC179" s="579"/>
      <c r="AD179" s="579"/>
      <c r="AE179" s="579"/>
      <c r="AF179" s="579"/>
      <c r="AG179" s="579"/>
      <c r="AH179" s="579"/>
      <c r="AI179" s="579"/>
      <c r="AJ179" s="579"/>
      <c r="AK179" s="579"/>
      <c r="AL179" s="579"/>
      <c r="AM179" s="579"/>
      <c r="AN179" s="579"/>
      <c r="AO179" s="579"/>
      <c r="AP179" s="579"/>
      <c r="AQ179" s="579"/>
      <c r="AR179" s="579"/>
      <c r="AS179" s="579"/>
      <c r="AT179" s="579"/>
      <c r="AU179" s="579"/>
      <c r="AV179" s="579"/>
      <c r="AW179" s="579"/>
      <c r="AX179" s="579"/>
      <c r="AY179" s="579"/>
      <c r="AZ179" s="579"/>
      <c r="BA179" s="579"/>
      <c r="BB179" s="579"/>
      <c r="BC179" s="579"/>
      <c r="BD179" s="579"/>
      <c r="BE179" s="579"/>
      <c r="BF179" s="579"/>
      <c r="BG179" s="579"/>
      <c r="BH179" s="579"/>
      <c r="BI179" s="579"/>
      <c r="BJ179" s="579"/>
      <c r="BK179" s="579"/>
      <c r="BL179" s="579"/>
      <c r="BM179" s="579"/>
      <c r="BN179" s="579"/>
      <c r="BO179" s="579"/>
      <c r="BP179" s="579"/>
      <c r="BQ179" s="579"/>
      <c r="BR179" s="579"/>
      <c r="BS179" s="579"/>
      <c r="BT179" s="579"/>
      <c r="BU179" s="579"/>
      <c r="BV179" s="579"/>
      <c r="BW179" s="579"/>
      <c r="BX179" s="579"/>
      <c r="BY179" s="579"/>
      <c r="BZ179" s="579"/>
      <c r="CA179" s="579"/>
      <c r="CB179" s="579"/>
      <c r="CC179" s="579"/>
      <c r="CD179" s="579"/>
      <c r="CE179" s="579"/>
      <c r="CF179" s="579"/>
      <c r="CG179" s="579"/>
      <c r="CH179" s="579"/>
      <c r="CI179" s="579"/>
      <c r="CJ179" s="579"/>
      <c r="CK179" s="579"/>
      <c r="CL179" s="579"/>
      <c r="CM179" s="579"/>
      <c r="CN179" s="579"/>
      <c r="CO179" s="579"/>
      <c r="CP179" s="579"/>
      <c r="CQ179" s="579"/>
      <c r="CR179" s="579"/>
      <c r="CS179" s="579"/>
      <c r="CT179" s="579"/>
      <c r="CU179" s="579"/>
      <c r="CV179" s="579"/>
      <c r="CW179" s="579"/>
      <c r="CX179" s="579"/>
      <c r="CY179" s="579"/>
      <c r="CZ179" s="579"/>
      <c r="DA179" s="579"/>
      <c r="DB179" s="579"/>
      <c r="DC179" s="579"/>
      <c r="DD179" s="579"/>
      <c r="DE179" s="579"/>
      <c r="DF179" s="579"/>
      <c r="DG179" s="579"/>
    </row>
    <row r="180" spans="1:111" s="598" customFormat="1" hidden="1">
      <c r="A180" s="603" t="s">
        <v>117</v>
      </c>
      <c r="B180" s="598">
        <v>35592</v>
      </c>
      <c r="C180" s="598">
        <v>35592</v>
      </c>
      <c r="D180" s="602"/>
      <c r="F180" s="599"/>
      <c r="G180" s="601"/>
      <c r="H180" s="579"/>
      <c r="I180" s="579"/>
      <c r="J180" s="579"/>
      <c r="K180" s="579"/>
      <c r="L180" s="579"/>
      <c r="M180" s="579"/>
      <c r="N180" s="225"/>
      <c r="O180" s="579"/>
      <c r="P180" s="579"/>
      <c r="Q180" s="579"/>
      <c r="R180" s="579"/>
      <c r="S180" s="579"/>
      <c r="T180" s="579"/>
      <c r="U180" s="579"/>
      <c r="V180" s="579"/>
      <c r="W180" s="579"/>
      <c r="X180" s="579"/>
      <c r="Y180" s="579"/>
      <c r="Z180" s="579"/>
      <c r="AA180" s="579"/>
      <c r="AB180" s="579"/>
      <c r="AC180" s="579"/>
      <c r="AD180" s="579"/>
      <c r="AE180" s="579"/>
      <c r="AF180" s="579"/>
      <c r="AG180" s="579"/>
      <c r="AH180" s="579"/>
      <c r="AI180" s="579"/>
      <c r="AJ180" s="579"/>
      <c r="AK180" s="579"/>
      <c r="AL180" s="579"/>
      <c r="AM180" s="579"/>
      <c r="AN180" s="579"/>
      <c r="AO180" s="579"/>
      <c r="AP180" s="579"/>
      <c r="AQ180" s="579"/>
      <c r="AR180" s="579"/>
      <c r="AS180" s="579"/>
      <c r="AT180" s="579"/>
      <c r="AU180" s="579"/>
      <c r="AV180" s="579"/>
      <c r="AW180" s="579"/>
      <c r="AX180" s="579"/>
      <c r="AY180" s="579"/>
      <c r="AZ180" s="579"/>
      <c r="BA180" s="579"/>
      <c r="BB180" s="579"/>
      <c r="BC180" s="579"/>
      <c r="BD180" s="579"/>
      <c r="BE180" s="579"/>
      <c r="BF180" s="579"/>
      <c r="BG180" s="579"/>
      <c r="BH180" s="579"/>
      <c r="BI180" s="579"/>
      <c r="BJ180" s="579"/>
      <c r="BK180" s="579"/>
      <c r="BL180" s="579"/>
      <c r="BM180" s="579"/>
      <c r="BN180" s="579"/>
      <c r="BO180" s="579"/>
      <c r="BP180" s="579"/>
      <c r="BQ180" s="579"/>
      <c r="BR180" s="579"/>
      <c r="BS180" s="579"/>
      <c r="BT180" s="579"/>
      <c r="BU180" s="579"/>
      <c r="BV180" s="579"/>
      <c r="BW180" s="579"/>
      <c r="BX180" s="579"/>
      <c r="BY180" s="579"/>
      <c r="BZ180" s="579"/>
      <c r="CA180" s="579"/>
      <c r="CB180" s="579"/>
      <c r="CC180" s="579"/>
      <c r="CD180" s="579"/>
      <c r="CE180" s="579"/>
      <c r="CF180" s="579"/>
      <c r="CG180" s="579"/>
      <c r="CH180" s="579"/>
      <c r="CI180" s="579"/>
      <c r="CJ180" s="579"/>
      <c r="CK180" s="579"/>
      <c r="CL180" s="579"/>
      <c r="CM180" s="579"/>
      <c r="CN180" s="579"/>
      <c r="CO180" s="579"/>
      <c r="CP180" s="579"/>
      <c r="CQ180" s="579"/>
      <c r="CR180" s="579"/>
      <c r="CS180" s="579"/>
      <c r="CT180" s="579"/>
      <c r="CU180" s="579"/>
      <c r="CV180" s="579"/>
      <c r="CW180" s="579"/>
      <c r="CX180" s="579"/>
      <c r="CY180" s="579"/>
      <c r="CZ180" s="579"/>
      <c r="DA180" s="579"/>
      <c r="DB180" s="579"/>
      <c r="DC180" s="579"/>
      <c r="DD180" s="579"/>
      <c r="DE180" s="579"/>
      <c r="DF180" s="579"/>
      <c r="DG180" s="579"/>
    </row>
    <row r="181" spans="1:111" s="598" customFormat="1" hidden="1">
      <c r="A181" s="603" t="s">
        <v>116</v>
      </c>
      <c r="B181" s="598">
        <v>35996</v>
      </c>
      <c r="C181" s="598">
        <v>35996</v>
      </c>
      <c r="D181" s="602"/>
      <c r="F181" s="599"/>
      <c r="G181" s="601"/>
      <c r="H181" s="579"/>
      <c r="I181" s="579"/>
      <c r="J181" s="579"/>
      <c r="K181" s="579"/>
      <c r="L181" s="579"/>
      <c r="M181" s="579"/>
      <c r="N181" s="225"/>
      <c r="O181" s="579"/>
      <c r="P181" s="579"/>
      <c r="Q181" s="579"/>
      <c r="R181" s="579"/>
      <c r="S181" s="579"/>
      <c r="T181" s="579"/>
      <c r="U181" s="579"/>
      <c r="V181" s="579"/>
      <c r="W181" s="579"/>
      <c r="X181" s="579"/>
      <c r="Y181" s="579"/>
      <c r="Z181" s="579"/>
      <c r="AA181" s="579"/>
      <c r="AB181" s="579"/>
      <c r="AC181" s="579"/>
      <c r="AD181" s="579"/>
      <c r="AE181" s="579"/>
      <c r="AF181" s="579"/>
      <c r="AG181" s="579"/>
      <c r="AH181" s="579"/>
      <c r="AI181" s="579"/>
      <c r="AJ181" s="579"/>
      <c r="AK181" s="579"/>
      <c r="AL181" s="579"/>
      <c r="AM181" s="579"/>
      <c r="AN181" s="579"/>
      <c r="AO181" s="579"/>
      <c r="AP181" s="579"/>
      <c r="AQ181" s="579"/>
      <c r="AR181" s="579"/>
      <c r="AS181" s="579"/>
      <c r="AT181" s="579"/>
      <c r="AU181" s="579"/>
      <c r="AV181" s="579"/>
      <c r="AW181" s="579"/>
      <c r="AX181" s="579"/>
      <c r="AY181" s="579"/>
      <c r="AZ181" s="579"/>
      <c r="BA181" s="579"/>
      <c r="BB181" s="579"/>
      <c r="BC181" s="579"/>
      <c r="BD181" s="579"/>
      <c r="BE181" s="579"/>
      <c r="BF181" s="579"/>
      <c r="BG181" s="579"/>
      <c r="BH181" s="579"/>
      <c r="BI181" s="579"/>
      <c r="BJ181" s="579"/>
      <c r="BK181" s="579"/>
      <c r="BL181" s="579"/>
      <c r="BM181" s="579"/>
      <c r="BN181" s="579"/>
      <c r="BO181" s="579"/>
      <c r="BP181" s="579"/>
      <c r="BQ181" s="579"/>
      <c r="BR181" s="579"/>
      <c r="BS181" s="579"/>
      <c r="BT181" s="579"/>
      <c r="BU181" s="579"/>
      <c r="BV181" s="579"/>
      <c r="BW181" s="579"/>
      <c r="BX181" s="579"/>
      <c r="BY181" s="579"/>
      <c r="BZ181" s="579"/>
      <c r="CA181" s="579"/>
      <c r="CB181" s="579"/>
      <c r="CC181" s="579"/>
      <c r="CD181" s="579"/>
      <c r="CE181" s="579"/>
      <c r="CF181" s="579"/>
      <c r="CG181" s="579"/>
      <c r="CH181" s="579"/>
      <c r="CI181" s="579"/>
      <c r="CJ181" s="579"/>
      <c r="CK181" s="579"/>
      <c r="CL181" s="579"/>
      <c r="CM181" s="579"/>
      <c r="CN181" s="579"/>
      <c r="CO181" s="579"/>
      <c r="CP181" s="579"/>
      <c r="CQ181" s="579"/>
      <c r="CR181" s="579"/>
      <c r="CS181" s="579"/>
      <c r="CT181" s="579"/>
      <c r="CU181" s="579"/>
      <c r="CV181" s="579"/>
      <c r="CW181" s="579"/>
      <c r="CX181" s="579"/>
      <c r="CY181" s="579"/>
      <c r="CZ181" s="579"/>
      <c r="DA181" s="579"/>
      <c r="DB181" s="579"/>
      <c r="DC181" s="579"/>
      <c r="DD181" s="579"/>
      <c r="DE181" s="579"/>
      <c r="DF181" s="579"/>
      <c r="DG181" s="579"/>
    </row>
    <row r="182" spans="1:111" s="598" customFormat="1" hidden="1">
      <c r="A182" s="603" t="s">
        <v>115</v>
      </c>
      <c r="B182" s="598">
        <v>36407</v>
      </c>
      <c r="C182" s="598">
        <v>36407</v>
      </c>
      <c r="D182" s="602"/>
      <c r="F182" s="599"/>
      <c r="G182" s="601"/>
      <c r="H182" s="579"/>
      <c r="I182" s="579"/>
      <c r="J182" s="579"/>
      <c r="K182" s="579"/>
      <c r="L182" s="579"/>
      <c r="M182" s="579"/>
      <c r="N182" s="225"/>
      <c r="O182" s="579"/>
      <c r="P182" s="579"/>
      <c r="Q182" s="579"/>
      <c r="R182" s="579"/>
      <c r="S182" s="579"/>
      <c r="T182" s="579"/>
      <c r="U182" s="579"/>
      <c r="V182" s="579"/>
      <c r="W182" s="579"/>
      <c r="X182" s="579"/>
      <c r="Y182" s="579"/>
      <c r="Z182" s="579"/>
      <c r="AA182" s="579"/>
      <c r="AB182" s="579"/>
      <c r="AC182" s="579"/>
      <c r="AD182" s="579"/>
      <c r="AE182" s="579"/>
      <c r="AF182" s="579"/>
      <c r="AG182" s="579"/>
      <c r="AH182" s="579"/>
      <c r="AI182" s="579"/>
      <c r="AJ182" s="579"/>
      <c r="AK182" s="579"/>
      <c r="AL182" s="579"/>
      <c r="AM182" s="579"/>
      <c r="AN182" s="579"/>
      <c r="AO182" s="579"/>
      <c r="AP182" s="579"/>
      <c r="AQ182" s="579"/>
      <c r="AR182" s="579"/>
      <c r="AS182" s="579"/>
      <c r="AT182" s="579"/>
      <c r="AU182" s="579"/>
      <c r="AV182" s="579"/>
      <c r="AW182" s="579"/>
      <c r="AX182" s="579"/>
      <c r="AY182" s="579"/>
      <c r="AZ182" s="579"/>
      <c r="BA182" s="579"/>
      <c r="BB182" s="579"/>
      <c r="BC182" s="579"/>
      <c r="BD182" s="579"/>
      <c r="BE182" s="579"/>
      <c r="BF182" s="579"/>
      <c r="BG182" s="579"/>
      <c r="BH182" s="579"/>
      <c r="BI182" s="579"/>
      <c r="BJ182" s="579"/>
      <c r="BK182" s="579"/>
      <c r="BL182" s="579"/>
      <c r="BM182" s="579"/>
      <c r="BN182" s="579"/>
      <c r="BO182" s="579"/>
      <c r="BP182" s="579"/>
      <c r="BQ182" s="579"/>
      <c r="BR182" s="579"/>
      <c r="BS182" s="579"/>
      <c r="BT182" s="579"/>
      <c r="BU182" s="579"/>
      <c r="BV182" s="579"/>
      <c r="BW182" s="579"/>
      <c r="BX182" s="579"/>
      <c r="BY182" s="579"/>
      <c r="BZ182" s="579"/>
      <c r="CA182" s="579"/>
      <c r="CB182" s="579"/>
      <c r="CC182" s="579"/>
      <c r="CD182" s="579"/>
      <c r="CE182" s="579"/>
      <c r="CF182" s="579"/>
      <c r="CG182" s="579"/>
      <c r="CH182" s="579"/>
      <c r="CI182" s="579"/>
      <c r="CJ182" s="579"/>
      <c r="CK182" s="579"/>
      <c r="CL182" s="579"/>
      <c r="CM182" s="579"/>
      <c r="CN182" s="579"/>
      <c r="CO182" s="579"/>
      <c r="CP182" s="579"/>
      <c r="CQ182" s="579"/>
      <c r="CR182" s="579"/>
      <c r="CS182" s="579"/>
      <c r="CT182" s="579"/>
      <c r="CU182" s="579"/>
      <c r="CV182" s="579"/>
      <c r="CW182" s="579"/>
      <c r="CX182" s="579"/>
      <c r="CY182" s="579"/>
      <c r="CZ182" s="579"/>
      <c r="DA182" s="579"/>
      <c r="DB182" s="579"/>
      <c r="DC182" s="579"/>
      <c r="DD182" s="579"/>
      <c r="DE182" s="579"/>
      <c r="DF182" s="579"/>
      <c r="DG182" s="579"/>
    </row>
    <row r="183" spans="1:111" s="598" customFormat="1" hidden="1">
      <c r="A183" s="603" t="s">
        <v>114</v>
      </c>
      <c r="B183" s="598">
        <v>36822</v>
      </c>
      <c r="C183" s="598">
        <v>36822</v>
      </c>
      <c r="D183" s="602"/>
      <c r="F183" s="599"/>
      <c r="G183" s="601"/>
      <c r="H183" s="579"/>
      <c r="I183" s="579"/>
      <c r="J183" s="579"/>
      <c r="K183" s="579"/>
      <c r="L183" s="579"/>
      <c r="M183" s="579"/>
      <c r="N183" s="225"/>
      <c r="O183" s="579"/>
      <c r="P183" s="579"/>
      <c r="Q183" s="579"/>
      <c r="R183" s="579"/>
      <c r="S183" s="579"/>
      <c r="T183" s="579"/>
      <c r="U183" s="579"/>
      <c r="V183" s="579"/>
      <c r="W183" s="579"/>
      <c r="X183" s="579"/>
      <c r="Y183" s="579"/>
      <c r="Z183" s="579"/>
      <c r="AA183" s="579"/>
      <c r="AB183" s="579"/>
      <c r="AC183" s="579"/>
      <c r="AD183" s="579"/>
      <c r="AE183" s="579"/>
      <c r="AF183" s="579"/>
      <c r="AG183" s="579"/>
      <c r="AH183" s="579"/>
      <c r="AI183" s="579"/>
      <c r="AJ183" s="579"/>
      <c r="AK183" s="579"/>
      <c r="AL183" s="579"/>
      <c r="AM183" s="579"/>
      <c r="AN183" s="579"/>
      <c r="AO183" s="579"/>
      <c r="AP183" s="579"/>
      <c r="AQ183" s="579"/>
      <c r="AR183" s="579"/>
      <c r="AS183" s="579"/>
      <c r="AT183" s="579"/>
      <c r="AU183" s="579"/>
      <c r="AV183" s="579"/>
      <c r="AW183" s="579"/>
      <c r="AX183" s="579"/>
      <c r="AY183" s="579"/>
      <c r="AZ183" s="579"/>
      <c r="BA183" s="579"/>
      <c r="BB183" s="579"/>
      <c r="BC183" s="579"/>
      <c r="BD183" s="579"/>
      <c r="BE183" s="579"/>
      <c r="BF183" s="579"/>
      <c r="BG183" s="579"/>
      <c r="BH183" s="579"/>
      <c r="BI183" s="579"/>
      <c r="BJ183" s="579"/>
      <c r="BK183" s="579"/>
      <c r="BL183" s="579"/>
      <c r="BM183" s="579"/>
      <c r="BN183" s="579"/>
      <c r="BO183" s="579"/>
      <c r="BP183" s="579"/>
      <c r="BQ183" s="579"/>
      <c r="BR183" s="579"/>
      <c r="BS183" s="579"/>
      <c r="BT183" s="579"/>
      <c r="BU183" s="579"/>
      <c r="BV183" s="579"/>
      <c r="BW183" s="579"/>
      <c r="BX183" s="579"/>
      <c r="BY183" s="579"/>
      <c r="BZ183" s="579"/>
      <c r="CA183" s="579"/>
      <c r="CB183" s="579"/>
      <c r="CC183" s="579"/>
      <c r="CD183" s="579"/>
      <c r="CE183" s="579"/>
      <c r="CF183" s="579"/>
      <c r="CG183" s="579"/>
      <c r="CH183" s="579"/>
      <c r="CI183" s="579"/>
      <c r="CJ183" s="579"/>
      <c r="CK183" s="579"/>
      <c r="CL183" s="579"/>
      <c r="CM183" s="579"/>
      <c r="CN183" s="579"/>
      <c r="CO183" s="579"/>
      <c r="CP183" s="579"/>
      <c r="CQ183" s="579"/>
      <c r="CR183" s="579"/>
      <c r="CS183" s="579"/>
      <c r="CT183" s="579"/>
      <c r="CU183" s="579"/>
      <c r="CV183" s="579"/>
      <c r="CW183" s="579"/>
      <c r="CX183" s="579"/>
      <c r="CY183" s="579"/>
      <c r="CZ183" s="579"/>
      <c r="DA183" s="579"/>
      <c r="DB183" s="579"/>
      <c r="DC183" s="579"/>
      <c r="DD183" s="579"/>
      <c r="DE183" s="579"/>
      <c r="DF183" s="579"/>
      <c r="DG183" s="579"/>
    </row>
    <row r="184" spans="1:111" s="598" customFormat="1" hidden="1">
      <c r="A184" s="603" t="s">
        <v>113</v>
      </c>
      <c r="B184" s="598">
        <v>37243</v>
      </c>
      <c r="C184" s="598">
        <v>37243</v>
      </c>
      <c r="D184" s="602"/>
      <c r="F184" s="599"/>
      <c r="G184" s="601"/>
      <c r="H184" s="579"/>
      <c r="I184" s="579"/>
      <c r="J184" s="579"/>
      <c r="K184" s="579"/>
      <c r="L184" s="579"/>
      <c r="M184" s="579"/>
      <c r="N184" s="225"/>
      <c r="O184" s="579"/>
      <c r="P184" s="579"/>
      <c r="Q184" s="579"/>
      <c r="R184" s="579"/>
      <c r="S184" s="579"/>
      <c r="T184" s="579"/>
      <c r="U184" s="579"/>
      <c r="V184" s="579"/>
      <c r="W184" s="579"/>
      <c r="X184" s="579"/>
      <c r="Y184" s="579"/>
      <c r="Z184" s="579"/>
      <c r="AA184" s="579"/>
      <c r="AB184" s="579"/>
      <c r="AC184" s="579"/>
      <c r="AD184" s="579"/>
      <c r="AE184" s="579"/>
      <c r="AF184" s="579"/>
      <c r="AG184" s="579"/>
      <c r="AH184" s="579"/>
      <c r="AI184" s="579"/>
      <c r="AJ184" s="579"/>
      <c r="AK184" s="579"/>
      <c r="AL184" s="579"/>
      <c r="AM184" s="579"/>
      <c r="AN184" s="579"/>
      <c r="AO184" s="579"/>
      <c r="AP184" s="579"/>
      <c r="AQ184" s="579"/>
      <c r="AR184" s="579"/>
      <c r="AS184" s="579"/>
      <c r="AT184" s="579"/>
      <c r="AU184" s="579"/>
      <c r="AV184" s="579"/>
      <c r="AW184" s="579"/>
      <c r="AX184" s="579"/>
      <c r="AY184" s="579"/>
      <c r="AZ184" s="579"/>
      <c r="BA184" s="579"/>
      <c r="BB184" s="579"/>
      <c r="BC184" s="579"/>
      <c r="BD184" s="579"/>
      <c r="BE184" s="579"/>
      <c r="BF184" s="579"/>
      <c r="BG184" s="579"/>
      <c r="BH184" s="579"/>
      <c r="BI184" s="579"/>
      <c r="BJ184" s="579"/>
      <c r="BK184" s="579"/>
      <c r="BL184" s="579"/>
      <c r="BM184" s="579"/>
      <c r="BN184" s="579"/>
      <c r="BO184" s="579"/>
      <c r="BP184" s="579"/>
      <c r="BQ184" s="579"/>
      <c r="BR184" s="579"/>
      <c r="BS184" s="579"/>
      <c r="BT184" s="579"/>
      <c r="BU184" s="579"/>
      <c r="BV184" s="579"/>
      <c r="BW184" s="579"/>
      <c r="BX184" s="579"/>
      <c r="BY184" s="579"/>
      <c r="BZ184" s="579"/>
      <c r="CA184" s="579"/>
      <c r="CB184" s="579"/>
      <c r="CC184" s="579"/>
      <c r="CD184" s="579"/>
      <c r="CE184" s="579"/>
      <c r="CF184" s="579"/>
      <c r="CG184" s="579"/>
      <c r="CH184" s="579"/>
      <c r="CI184" s="579"/>
      <c r="CJ184" s="579"/>
      <c r="CK184" s="579"/>
      <c r="CL184" s="579"/>
      <c r="CM184" s="579"/>
      <c r="CN184" s="579"/>
      <c r="CO184" s="579"/>
      <c r="CP184" s="579"/>
      <c r="CQ184" s="579"/>
      <c r="CR184" s="579"/>
      <c r="CS184" s="579"/>
      <c r="CT184" s="579"/>
      <c r="CU184" s="579"/>
      <c r="CV184" s="579"/>
      <c r="CW184" s="579"/>
      <c r="CX184" s="579"/>
      <c r="CY184" s="579"/>
      <c r="CZ184" s="579"/>
      <c r="DA184" s="579"/>
      <c r="DB184" s="579"/>
      <c r="DC184" s="579"/>
      <c r="DD184" s="579"/>
      <c r="DE184" s="579"/>
      <c r="DF184" s="579"/>
      <c r="DG184" s="579"/>
    </row>
    <row r="185" spans="1:111" s="598" customFormat="1" hidden="1">
      <c r="A185" s="603" t="s">
        <v>112</v>
      </c>
      <c r="B185" s="598">
        <v>37668</v>
      </c>
      <c r="C185" s="598">
        <v>37668</v>
      </c>
      <c r="D185" s="602"/>
      <c r="F185" s="599"/>
      <c r="G185" s="601"/>
      <c r="H185" s="579"/>
      <c r="I185" s="579"/>
      <c r="J185" s="579"/>
      <c r="K185" s="579"/>
      <c r="L185" s="579"/>
      <c r="M185" s="579"/>
      <c r="N185" s="225"/>
      <c r="O185" s="579"/>
      <c r="P185" s="579"/>
      <c r="Q185" s="579"/>
      <c r="R185" s="579"/>
      <c r="S185" s="579"/>
      <c r="T185" s="579"/>
      <c r="U185" s="579"/>
      <c r="V185" s="579"/>
      <c r="W185" s="579"/>
      <c r="X185" s="579"/>
      <c r="Y185" s="579"/>
      <c r="Z185" s="579"/>
      <c r="AA185" s="579"/>
      <c r="AB185" s="579"/>
      <c r="AC185" s="579"/>
      <c r="AD185" s="579"/>
      <c r="AE185" s="579"/>
      <c r="AF185" s="579"/>
      <c r="AG185" s="579"/>
      <c r="AH185" s="579"/>
      <c r="AI185" s="579"/>
      <c r="AJ185" s="579"/>
      <c r="AK185" s="579"/>
      <c r="AL185" s="579"/>
      <c r="AM185" s="579"/>
      <c r="AN185" s="579"/>
      <c r="AO185" s="579"/>
      <c r="AP185" s="579"/>
      <c r="AQ185" s="579"/>
      <c r="AR185" s="579"/>
      <c r="AS185" s="579"/>
      <c r="AT185" s="579"/>
      <c r="AU185" s="579"/>
      <c r="AV185" s="579"/>
      <c r="AW185" s="579"/>
      <c r="AX185" s="579"/>
      <c r="AY185" s="579"/>
      <c r="AZ185" s="579"/>
      <c r="BA185" s="579"/>
      <c r="BB185" s="579"/>
      <c r="BC185" s="579"/>
      <c r="BD185" s="579"/>
      <c r="BE185" s="579"/>
      <c r="BF185" s="579"/>
      <c r="BG185" s="579"/>
      <c r="BH185" s="579"/>
      <c r="BI185" s="579"/>
      <c r="BJ185" s="579"/>
      <c r="BK185" s="579"/>
      <c r="BL185" s="579"/>
      <c r="BM185" s="579"/>
      <c r="BN185" s="579"/>
      <c r="BO185" s="579"/>
      <c r="BP185" s="579"/>
      <c r="BQ185" s="579"/>
      <c r="BR185" s="579"/>
      <c r="BS185" s="579"/>
      <c r="BT185" s="579"/>
      <c r="BU185" s="579"/>
      <c r="BV185" s="579"/>
      <c r="BW185" s="579"/>
      <c r="BX185" s="579"/>
      <c r="BY185" s="579"/>
      <c r="BZ185" s="579"/>
      <c r="CA185" s="579"/>
      <c r="CB185" s="579"/>
      <c r="CC185" s="579"/>
      <c r="CD185" s="579"/>
      <c r="CE185" s="579"/>
      <c r="CF185" s="579"/>
      <c r="CG185" s="579"/>
      <c r="CH185" s="579"/>
      <c r="CI185" s="579"/>
      <c r="CJ185" s="579"/>
      <c r="CK185" s="579"/>
      <c r="CL185" s="579"/>
      <c r="CM185" s="579"/>
      <c r="CN185" s="579"/>
      <c r="CO185" s="579"/>
      <c r="CP185" s="579"/>
      <c r="CQ185" s="579"/>
      <c r="CR185" s="579"/>
      <c r="CS185" s="579"/>
      <c r="CT185" s="579"/>
      <c r="CU185" s="579"/>
      <c r="CV185" s="579"/>
      <c r="CW185" s="579"/>
      <c r="CX185" s="579"/>
      <c r="CY185" s="579"/>
      <c r="CZ185" s="579"/>
      <c r="DA185" s="579"/>
      <c r="DB185" s="579"/>
      <c r="DC185" s="579"/>
      <c r="DD185" s="579"/>
      <c r="DE185" s="579"/>
      <c r="DF185" s="579"/>
      <c r="DG185" s="579"/>
    </row>
    <row r="186" spans="1:111" s="598" customFormat="1" hidden="1">
      <c r="A186" s="603" t="s">
        <v>111</v>
      </c>
      <c r="B186" s="598">
        <v>37987</v>
      </c>
      <c r="C186" s="598">
        <v>37987</v>
      </c>
      <c r="D186" s="602"/>
      <c r="F186" s="599"/>
      <c r="G186" s="601"/>
      <c r="H186" s="579"/>
      <c r="I186" s="579"/>
      <c r="J186" s="579"/>
      <c r="K186" s="579"/>
      <c r="L186" s="579"/>
      <c r="M186" s="579"/>
      <c r="N186" s="225"/>
      <c r="O186" s="579"/>
      <c r="P186" s="579"/>
      <c r="Q186" s="579"/>
      <c r="R186" s="579"/>
      <c r="S186" s="579"/>
      <c r="T186" s="579"/>
      <c r="U186" s="579"/>
      <c r="V186" s="579"/>
      <c r="W186" s="579"/>
      <c r="X186" s="579"/>
      <c r="Y186" s="579"/>
      <c r="Z186" s="579"/>
      <c r="AA186" s="579"/>
      <c r="AB186" s="579"/>
      <c r="AC186" s="579"/>
      <c r="AD186" s="579"/>
      <c r="AE186" s="579"/>
      <c r="AF186" s="579"/>
      <c r="AG186" s="579"/>
      <c r="AH186" s="579"/>
      <c r="AI186" s="579"/>
      <c r="AJ186" s="579"/>
      <c r="AK186" s="579"/>
      <c r="AL186" s="579"/>
      <c r="AM186" s="579"/>
      <c r="AN186" s="579"/>
      <c r="AO186" s="579"/>
      <c r="AP186" s="579"/>
      <c r="AQ186" s="579"/>
      <c r="AR186" s="579"/>
      <c r="AS186" s="579"/>
      <c r="AT186" s="579"/>
      <c r="AU186" s="579"/>
      <c r="AV186" s="579"/>
      <c r="AW186" s="579"/>
      <c r="AX186" s="579"/>
      <c r="AY186" s="579"/>
      <c r="AZ186" s="579"/>
      <c r="BA186" s="579"/>
      <c r="BB186" s="579"/>
      <c r="BC186" s="579"/>
      <c r="BD186" s="579"/>
      <c r="BE186" s="579"/>
      <c r="BF186" s="579"/>
      <c r="BG186" s="579"/>
      <c r="BH186" s="579"/>
      <c r="BI186" s="579"/>
      <c r="BJ186" s="579"/>
      <c r="BK186" s="579"/>
      <c r="BL186" s="579"/>
      <c r="BM186" s="579"/>
      <c r="BN186" s="579"/>
      <c r="BO186" s="579"/>
      <c r="BP186" s="579"/>
      <c r="BQ186" s="579"/>
      <c r="BR186" s="579"/>
      <c r="BS186" s="579"/>
      <c r="BT186" s="579"/>
      <c r="BU186" s="579"/>
      <c r="BV186" s="579"/>
      <c r="BW186" s="579"/>
      <c r="BX186" s="579"/>
      <c r="BY186" s="579"/>
      <c r="BZ186" s="579"/>
      <c r="CA186" s="579"/>
      <c r="CB186" s="579"/>
      <c r="CC186" s="579"/>
      <c r="CD186" s="579"/>
      <c r="CE186" s="579"/>
      <c r="CF186" s="579"/>
      <c r="CG186" s="579"/>
      <c r="CH186" s="579"/>
      <c r="CI186" s="579"/>
      <c r="CJ186" s="579"/>
      <c r="CK186" s="579"/>
      <c r="CL186" s="579"/>
      <c r="CM186" s="579"/>
      <c r="CN186" s="579"/>
      <c r="CO186" s="579"/>
      <c r="CP186" s="579"/>
      <c r="CQ186" s="579"/>
      <c r="CR186" s="579"/>
      <c r="CS186" s="579"/>
      <c r="CT186" s="579"/>
      <c r="CU186" s="579"/>
      <c r="CV186" s="579"/>
      <c r="CW186" s="579"/>
      <c r="CX186" s="579"/>
      <c r="CY186" s="579"/>
      <c r="CZ186" s="579"/>
      <c r="DA186" s="579"/>
      <c r="DB186" s="579"/>
      <c r="DC186" s="579"/>
      <c r="DD186" s="579"/>
      <c r="DE186" s="579"/>
      <c r="DF186" s="579"/>
      <c r="DG186" s="579"/>
    </row>
    <row r="187" spans="1:111" s="598" customFormat="1" hidden="1">
      <c r="A187" s="603" t="s">
        <v>110</v>
      </c>
      <c r="B187" s="598">
        <v>38422</v>
      </c>
      <c r="C187" s="598">
        <v>38422</v>
      </c>
      <c r="D187" s="602"/>
      <c r="F187" s="599"/>
      <c r="G187" s="601"/>
      <c r="H187" s="579"/>
      <c r="I187" s="579"/>
      <c r="J187" s="579"/>
      <c r="K187" s="579"/>
      <c r="L187" s="579"/>
      <c r="M187" s="579"/>
      <c r="N187" s="225"/>
      <c r="O187" s="579"/>
      <c r="P187" s="579"/>
      <c r="Q187" s="579"/>
      <c r="R187" s="579"/>
      <c r="S187" s="579"/>
      <c r="T187" s="579"/>
      <c r="U187" s="579"/>
      <c r="V187" s="579"/>
      <c r="W187" s="579"/>
      <c r="X187" s="579"/>
      <c r="Y187" s="579"/>
      <c r="Z187" s="579"/>
      <c r="AA187" s="579"/>
      <c r="AB187" s="579"/>
      <c r="AC187" s="579"/>
      <c r="AD187" s="579"/>
      <c r="AE187" s="579"/>
      <c r="AF187" s="579"/>
      <c r="AG187" s="579"/>
      <c r="AH187" s="579"/>
      <c r="AI187" s="579"/>
      <c r="AJ187" s="579"/>
      <c r="AK187" s="579"/>
      <c r="AL187" s="579"/>
      <c r="AM187" s="579"/>
      <c r="AN187" s="579"/>
      <c r="AO187" s="579"/>
      <c r="AP187" s="579"/>
      <c r="AQ187" s="579"/>
      <c r="AR187" s="579"/>
      <c r="AS187" s="579"/>
      <c r="AT187" s="579"/>
      <c r="AU187" s="579"/>
      <c r="AV187" s="579"/>
      <c r="AW187" s="579"/>
      <c r="AX187" s="579"/>
      <c r="AY187" s="579"/>
      <c r="AZ187" s="579"/>
      <c r="BA187" s="579"/>
      <c r="BB187" s="579"/>
      <c r="BC187" s="579"/>
      <c r="BD187" s="579"/>
      <c r="BE187" s="579"/>
      <c r="BF187" s="579"/>
      <c r="BG187" s="579"/>
      <c r="BH187" s="579"/>
      <c r="BI187" s="579"/>
      <c r="BJ187" s="579"/>
      <c r="BK187" s="579"/>
      <c r="BL187" s="579"/>
      <c r="BM187" s="579"/>
      <c r="BN187" s="579"/>
      <c r="BO187" s="579"/>
      <c r="BP187" s="579"/>
      <c r="BQ187" s="579"/>
      <c r="BR187" s="579"/>
      <c r="BS187" s="579"/>
      <c r="BT187" s="579"/>
      <c r="BU187" s="579"/>
      <c r="BV187" s="579"/>
      <c r="BW187" s="579"/>
      <c r="BX187" s="579"/>
      <c r="BY187" s="579"/>
      <c r="BZ187" s="579"/>
      <c r="CA187" s="579"/>
      <c r="CB187" s="579"/>
      <c r="CC187" s="579"/>
      <c r="CD187" s="579"/>
      <c r="CE187" s="579"/>
      <c r="CF187" s="579"/>
      <c r="CG187" s="579"/>
      <c r="CH187" s="579"/>
      <c r="CI187" s="579"/>
      <c r="CJ187" s="579"/>
      <c r="CK187" s="579"/>
      <c r="CL187" s="579"/>
      <c r="CM187" s="579"/>
      <c r="CN187" s="579"/>
      <c r="CO187" s="579"/>
      <c r="CP187" s="579"/>
      <c r="CQ187" s="579"/>
      <c r="CR187" s="579"/>
      <c r="CS187" s="579"/>
      <c r="CT187" s="579"/>
      <c r="CU187" s="579"/>
      <c r="CV187" s="579"/>
      <c r="CW187" s="579"/>
      <c r="CX187" s="579"/>
      <c r="CY187" s="579"/>
      <c r="CZ187" s="579"/>
      <c r="DA187" s="579"/>
      <c r="DB187" s="579"/>
      <c r="DC187" s="579"/>
      <c r="DD187" s="579"/>
      <c r="DE187" s="579"/>
      <c r="DF187" s="579"/>
      <c r="DG187" s="579"/>
    </row>
    <row r="188" spans="1:111" s="598" customFormat="1" hidden="1">
      <c r="A188" s="603" t="s">
        <v>109</v>
      </c>
      <c r="B188" s="598">
        <v>38862</v>
      </c>
      <c r="C188" s="598">
        <v>38862</v>
      </c>
      <c r="D188" s="602"/>
      <c r="F188" s="599"/>
      <c r="G188" s="601"/>
      <c r="H188" s="579"/>
      <c r="I188" s="579"/>
      <c r="J188" s="579"/>
      <c r="K188" s="579"/>
      <c r="L188" s="579"/>
      <c r="M188" s="579"/>
      <c r="N188" s="225"/>
      <c r="O188" s="579"/>
      <c r="P188" s="579"/>
      <c r="Q188" s="579"/>
      <c r="R188" s="579"/>
      <c r="S188" s="579"/>
      <c r="T188" s="579"/>
      <c r="U188" s="579"/>
      <c r="V188" s="579"/>
      <c r="W188" s="579"/>
      <c r="X188" s="579"/>
      <c r="Y188" s="579"/>
      <c r="Z188" s="579"/>
      <c r="AA188" s="579"/>
      <c r="AB188" s="579"/>
      <c r="AC188" s="579"/>
      <c r="AD188" s="579"/>
      <c r="AE188" s="579"/>
      <c r="AF188" s="579"/>
      <c r="AG188" s="579"/>
      <c r="AH188" s="579"/>
      <c r="AI188" s="579"/>
      <c r="AJ188" s="579"/>
      <c r="AK188" s="579"/>
      <c r="AL188" s="579"/>
      <c r="AM188" s="579"/>
      <c r="AN188" s="579"/>
      <c r="AO188" s="579"/>
      <c r="AP188" s="579"/>
      <c r="AQ188" s="579"/>
      <c r="AR188" s="579"/>
      <c r="AS188" s="579"/>
      <c r="AT188" s="579"/>
      <c r="AU188" s="579"/>
      <c r="AV188" s="579"/>
      <c r="AW188" s="579"/>
      <c r="AX188" s="579"/>
      <c r="AY188" s="579"/>
      <c r="AZ188" s="579"/>
      <c r="BA188" s="579"/>
      <c r="BB188" s="579"/>
      <c r="BC188" s="579"/>
      <c r="BD188" s="579"/>
      <c r="BE188" s="579"/>
      <c r="BF188" s="579"/>
      <c r="BG188" s="579"/>
      <c r="BH188" s="579"/>
      <c r="BI188" s="579"/>
      <c r="BJ188" s="579"/>
      <c r="BK188" s="579"/>
      <c r="BL188" s="579"/>
      <c r="BM188" s="579"/>
      <c r="BN188" s="579"/>
      <c r="BO188" s="579"/>
      <c r="BP188" s="579"/>
      <c r="BQ188" s="579"/>
      <c r="BR188" s="579"/>
      <c r="BS188" s="579"/>
      <c r="BT188" s="579"/>
      <c r="BU188" s="579"/>
      <c r="BV188" s="579"/>
      <c r="BW188" s="579"/>
      <c r="BX188" s="579"/>
      <c r="BY188" s="579"/>
      <c r="BZ188" s="579"/>
      <c r="CA188" s="579"/>
      <c r="CB188" s="579"/>
      <c r="CC188" s="579"/>
      <c r="CD188" s="579"/>
      <c r="CE188" s="579"/>
      <c r="CF188" s="579"/>
      <c r="CG188" s="579"/>
      <c r="CH188" s="579"/>
      <c r="CI188" s="579"/>
      <c r="CJ188" s="579"/>
      <c r="CK188" s="579"/>
      <c r="CL188" s="579"/>
      <c r="CM188" s="579"/>
      <c r="CN188" s="579"/>
      <c r="CO188" s="579"/>
      <c r="CP188" s="579"/>
      <c r="CQ188" s="579"/>
      <c r="CR188" s="579"/>
      <c r="CS188" s="579"/>
      <c r="CT188" s="579"/>
      <c r="CU188" s="579"/>
      <c r="CV188" s="579"/>
      <c r="CW188" s="579"/>
      <c r="CX188" s="579"/>
      <c r="CY188" s="579"/>
      <c r="CZ188" s="579"/>
      <c r="DA188" s="579"/>
      <c r="DB188" s="579"/>
      <c r="DC188" s="579"/>
      <c r="DD188" s="579"/>
      <c r="DE188" s="579"/>
      <c r="DF188" s="579"/>
      <c r="DG188" s="579"/>
    </row>
    <row r="189" spans="1:111" s="598" customFormat="1" hidden="1">
      <c r="A189" s="603" t="s">
        <v>108</v>
      </c>
      <c r="B189" s="598">
        <v>39307</v>
      </c>
      <c r="C189" s="598">
        <v>39307</v>
      </c>
      <c r="D189" s="602"/>
      <c r="F189" s="599"/>
      <c r="G189" s="601"/>
      <c r="H189" s="579"/>
      <c r="I189" s="579"/>
      <c r="J189" s="579"/>
      <c r="K189" s="579"/>
      <c r="L189" s="579"/>
      <c r="M189" s="579"/>
      <c r="N189" s="225"/>
      <c r="O189" s="579"/>
      <c r="P189" s="579"/>
      <c r="Q189" s="579"/>
      <c r="R189" s="579"/>
      <c r="S189" s="579"/>
      <c r="T189" s="579"/>
      <c r="U189" s="579"/>
      <c r="V189" s="579"/>
      <c r="W189" s="579"/>
      <c r="X189" s="579"/>
      <c r="Y189" s="579"/>
      <c r="Z189" s="579"/>
      <c r="AA189" s="579"/>
      <c r="AB189" s="579"/>
      <c r="AC189" s="579"/>
      <c r="AD189" s="579"/>
      <c r="AE189" s="579"/>
      <c r="AF189" s="579"/>
      <c r="AG189" s="579"/>
      <c r="AH189" s="579"/>
      <c r="AI189" s="579"/>
      <c r="AJ189" s="579"/>
      <c r="AK189" s="579"/>
      <c r="AL189" s="579"/>
      <c r="AM189" s="579"/>
      <c r="AN189" s="579"/>
      <c r="AO189" s="579"/>
      <c r="AP189" s="579"/>
      <c r="AQ189" s="579"/>
      <c r="AR189" s="579"/>
      <c r="AS189" s="579"/>
      <c r="AT189" s="579"/>
      <c r="AU189" s="579"/>
      <c r="AV189" s="579"/>
      <c r="AW189" s="579"/>
      <c r="AX189" s="579"/>
      <c r="AY189" s="579"/>
      <c r="AZ189" s="579"/>
      <c r="BA189" s="579"/>
      <c r="BB189" s="579"/>
      <c r="BC189" s="579"/>
      <c r="BD189" s="579"/>
      <c r="BE189" s="579"/>
      <c r="BF189" s="579"/>
      <c r="BG189" s="579"/>
      <c r="BH189" s="579"/>
      <c r="BI189" s="579"/>
      <c r="BJ189" s="579"/>
      <c r="BK189" s="579"/>
      <c r="BL189" s="579"/>
      <c r="BM189" s="579"/>
      <c r="BN189" s="579"/>
      <c r="BO189" s="579"/>
      <c r="BP189" s="579"/>
      <c r="BQ189" s="579"/>
      <c r="BR189" s="579"/>
      <c r="BS189" s="579"/>
      <c r="BT189" s="579"/>
      <c r="BU189" s="579"/>
      <c r="BV189" s="579"/>
      <c r="BW189" s="579"/>
      <c r="BX189" s="579"/>
      <c r="BY189" s="579"/>
      <c r="BZ189" s="579"/>
      <c r="CA189" s="579"/>
      <c r="CB189" s="579"/>
      <c r="CC189" s="579"/>
      <c r="CD189" s="579"/>
      <c r="CE189" s="579"/>
      <c r="CF189" s="579"/>
      <c r="CG189" s="579"/>
      <c r="CH189" s="579"/>
      <c r="CI189" s="579"/>
      <c r="CJ189" s="579"/>
      <c r="CK189" s="579"/>
      <c r="CL189" s="579"/>
      <c r="CM189" s="579"/>
      <c r="CN189" s="579"/>
      <c r="CO189" s="579"/>
      <c r="CP189" s="579"/>
      <c r="CQ189" s="579"/>
      <c r="CR189" s="579"/>
      <c r="CS189" s="579"/>
      <c r="CT189" s="579"/>
      <c r="CU189" s="579"/>
      <c r="CV189" s="579"/>
      <c r="CW189" s="579"/>
      <c r="CX189" s="579"/>
      <c r="CY189" s="579"/>
      <c r="CZ189" s="579"/>
      <c r="DA189" s="579"/>
      <c r="DB189" s="579"/>
      <c r="DC189" s="579"/>
      <c r="DD189" s="579"/>
      <c r="DE189" s="579"/>
      <c r="DF189" s="579"/>
      <c r="DG189" s="579"/>
    </row>
    <row r="190" spans="1:111" s="598" customFormat="1" hidden="1">
      <c r="A190" s="603" t="s">
        <v>107</v>
      </c>
      <c r="B190" s="598">
        <v>39758</v>
      </c>
      <c r="C190" s="598">
        <v>39758</v>
      </c>
      <c r="D190" s="602"/>
      <c r="F190" s="599"/>
      <c r="G190" s="601"/>
      <c r="H190" s="579"/>
      <c r="I190" s="579"/>
      <c r="J190" s="579"/>
      <c r="K190" s="579"/>
      <c r="L190" s="579"/>
      <c r="M190" s="579"/>
      <c r="N190" s="225"/>
      <c r="O190" s="579"/>
      <c r="P190" s="579"/>
      <c r="Q190" s="579"/>
      <c r="R190" s="579"/>
      <c r="S190" s="579"/>
      <c r="T190" s="579"/>
      <c r="U190" s="579"/>
      <c r="V190" s="579"/>
      <c r="W190" s="579"/>
      <c r="X190" s="579"/>
      <c r="Y190" s="579"/>
      <c r="Z190" s="579"/>
      <c r="AA190" s="579"/>
      <c r="AB190" s="579"/>
      <c r="AC190" s="579"/>
      <c r="AD190" s="579"/>
      <c r="AE190" s="579"/>
      <c r="AF190" s="579"/>
      <c r="AG190" s="579"/>
      <c r="AH190" s="579"/>
      <c r="AI190" s="579"/>
      <c r="AJ190" s="579"/>
      <c r="AK190" s="579"/>
      <c r="AL190" s="579"/>
      <c r="AM190" s="579"/>
      <c r="AN190" s="579"/>
      <c r="AO190" s="579"/>
      <c r="AP190" s="579"/>
      <c r="AQ190" s="579"/>
      <c r="AR190" s="579"/>
      <c r="AS190" s="579"/>
      <c r="AT190" s="579"/>
      <c r="AU190" s="579"/>
      <c r="AV190" s="579"/>
      <c r="AW190" s="579"/>
      <c r="AX190" s="579"/>
      <c r="AY190" s="579"/>
      <c r="AZ190" s="579"/>
      <c r="BA190" s="579"/>
      <c r="BB190" s="579"/>
      <c r="BC190" s="579"/>
      <c r="BD190" s="579"/>
      <c r="BE190" s="579"/>
      <c r="BF190" s="579"/>
      <c r="BG190" s="579"/>
      <c r="BH190" s="579"/>
      <c r="BI190" s="579"/>
      <c r="BJ190" s="579"/>
      <c r="BK190" s="579"/>
      <c r="BL190" s="579"/>
      <c r="BM190" s="579"/>
      <c r="BN190" s="579"/>
      <c r="BO190" s="579"/>
      <c r="BP190" s="579"/>
      <c r="BQ190" s="579"/>
      <c r="BR190" s="579"/>
      <c r="BS190" s="579"/>
      <c r="BT190" s="579"/>
      <c r="BU190" s="579"/>
      <c r="BV190" s="579"/>
      <c r="BW190" s="579"/>
      <c r="BX190" s="579"/>
      <c r="BY190" s="579"/>
      <c r="BZ190" s="579"/>
      <c r="CA190" s="579"/>
      <c r="CB190" s="579"/>
      <c r="CC190" s="579"/>
      <c r="CD190" s="579"/>
      <c r="CE190" s="579"/>
      <c r="CF190" s="579"/>
      <c r="CG190" s="579"/>
      <c r="CH190" s="579"/>
      <c r="CI190" s="579"/>
      <c r="CJ190" s="579"/>
      <c r="CK190" s="579"/>
      <c r="CL190" s="579"/>
      <c r="CM190" s="579"/>
      <c r="CN190" s="579"/>
      <c r="CO190" s="579"/>
      <c r="CP190" s="579"/>
      <c r="CQ190" s="579"/>
      <c r="CR190" s="579"/>
      <c r="CS190" s="579"/>
      <c r="CT190" s="579"/>
      <c r="CU190" s="579"/>
      <c r="CV190" s="579"/>
      <c r="CW190" s="579"/>
      <c r="CX190" s="579"/>
      <c r="CY190" s="579"/>
      <c r="CZ190" s="579"/>
      <c r="DA190" s="579"/>
      <c r="DB190" s="579"/>
      <c r="DC190" s="579"/>
      <c r="DD190" s="579"/>
      <c r="DE190" s="579"/>
      <c r="DF190" s="579"/>
      <c r="DG190" s="579"/>
    </row>
    <row r="191" spans="1:111" s="598" customFormat="1" hidden="1">
      <c r="A191" s="603" t="s">
        <v>106</v>
      </c>
      <c r="B191" s="598">
        <v>40215</v>
      </c>
      <c r="C191" s="598">
        <v>40215</v>
      </c>
      <c r="D191" s="602"/>
      <c r="F191" s="599"/>
      <c r="G191" s="601"/>
      <c r="H191" s="579"/>
      <c r="I191" s="579"/>
      <c r="J191" s="579"/>
      <c r="K191" s="579"/>
      <c r="L191" s="579"/>
      <c r="M191" s="579"/>
      <c r="N191" s="225"/>
      <c r="O191" s="579"/>
      <c r="P191" s="579"/>
      <c r="Q191" s="579"/>
      <c r="R191" s="579"/>
      <c r="S191" s="579"/>
      <c r="T191" s="579"/>
      <c r="U191" s="579"/>
      <c r="V191" s="579"/>
      <c r="W191" s="579"/>
      <c r="X191" s="579"/>
      <c r="Y191" s="579"/>
      <c r="Z191" s="579"/>
      <c r="AA191" s="579"/>
      <c r="AB191" s="579"/>
      <c r="AC191" s="579"/>
      <c r="AD191" s="579"/>
      <c r="AE191" s="579"/>
      <c r="AF191" s="579"/>
      <c r="AG191" s="579"/>
      <c r="AH191" s="579"/>
      <c r="AI191" s="579"/>
      <c r="AJ191" s="579"/>
      <c r="AK191" s="579"/>
      <c r="AL191" s="579"/>
      <c r="AM191" s="579"/>
      <c r="AN191" s="579"/>
      <c r="AO191" s="579"/>
      <c r="AP191" s="579"/>
      <c r="AQ191" s="579"/>
      <c r="AR191" s="579"/>
      <c r="AS191" s="579"/>
      <c r="AT191" s="579"/>
      <c r="AU191" s="579"/>
      <c r="AV191" s="579"/>
      <c r="AW191" s="579"/>
      <c r="AX191" s="579"/>
      <c r="AY191" s="579"/>
      <c r="AZ191" s="579"/>
      <c r="BA191" s="579"/>
      <c r="BB191" s="579"/>
      <c r="BC191" s="579"/>
      <c r="BD191" s="579"/>
      <c r="BE191" s="579"/>
      <c r="BF191" s="579"/>
      <c r="BG191" s="579"/>
      <c r="BH191" s="579"/>
      <c r="BI191" s="579"/>
      <c r="BJ191" s="579"/>
      <c r="BK191" s="579"/>
      <c r="BL191" s="579"/>
      <c r="BM191" s="579"/>
      <c r="BN191" s="579"/>
      <c r="BO191" s="579"/>
      <c r="BP191" s="579"/>
      <c r="BQ191" s="579"/>
      <c r="BR191" s="579"/>
      <c r="BS191" s="579"/>
      <c r="BT191" s="579"/>
      <c r="BU191" s="579"/>
      <c r="BV191" s="579"/>
      <c r="BW191" s="579"/>
      <c r="BX191" s="579"/>
      <c r="BY191" s="579"/>
      <c r="BZ191" s="579"/>
      <c r="CA191" s="579"/>
      <c r="CB191" s="579"/>
      <c r="CC191" s="579"/>
      <c r="CD191" s="579"/>
      <c r="CE191" s="579"/>
      <c r="CF191" s="579"/>
      <c r="CG191" s="579"/>
      <c r="CH191" s="579"/>
      <c r="CI191" s="579"/>
      <c r="CJ191" s="579"/>
      <c r="CK191" s="579"/>
      <c r="CL191" s="579"/>
      <c r="CM191" s="579"/>
      <c r="CN191" s="579"/>
      <c r="CO191" s="579"/>
      <c r="CP191" s="579"/>
      <c r="CQ191" s="579"/>
      <c r="CR191" s="579"/>
      <c r="CS191" s="579"/>
      <c r="CT191" s="579"/>
      <c r="CU191" s="579"/>
      <c r="CV191" s="579"/>
      <c r="CW191" s="579"/>
      <c r="CX191" s="579"/>
      <c r="CY191" s="579"/>
      <c r="CZ191" s="579"/>
      <c r="DA191" s="579"/>
      <c r="DB191" s="579"/>
      <c r="DC191" s="579"/>
      <c r="DD191" s="579"/>
      <c r="DE191" s="579"/>
      <c r="DF191" s="579"/>
      <c r="DG191" s="579"/>
    </row>
    <row r="192" spans="1:111" s="598" customFormat="1" hidden="1">
      <c r="A192" s="603" t="s">
        <v>105</v>
      </c>
      <c r="B192" s="598">
        <v>40677</v>
      </c>
      <c r="C192" s="598">
        <v>40677</v>
      </c>
      <c r="D192" s="602"/>
      <c r="F192" s="599"/>
      <c r="G192" s="601"/>
      <c r="H192" s="579"/>
      <c r="I192" s="579"/>
      <c r="J192" s="579"/>
      <c r="K192" s="579"/>
      <c r="L192" s="579"/>
      <c r="M192" s="579"/>
      <c r="N192" s="225"/>
      <c r="O192" s="579"/>
      <c r="P192" s="579"/>
      <c r="Q192" s="579"/>
      <c r="R192" s="579"/>
      <c r="S192" s="579"/>
      <c r="T192" s="579"/>
      <c r="U192" s="579"/>
      <c r="V192" s="579"/>
      <c r="W192" s="579"/>
      <c r="X192" s="579"/>
      <c r="Y192" s="579"/>
      <c r="Z192" s="579"/>
      <c r="AA192" s="579"/>
      <c r="AB192" s="579"/>
      <c r="AC192" s="579"/>
      <c r="AD192" s="579"/>
      <c r="AE192" s="579"/>
      <c r="AF192" s="579"/>
      <c r="AG192" s="579"/>
      <c r="AH192" s="579"/>
      <c r="AI192" s="579"/>
      <c r="AJ192" s="579"/>
      <c r="AK192" s="579"/>
      <c r="AL192" s="579"/>
      <c r="AM192" s="579"/>
      <c r="AN192" s="579"/>
      <c r="AO192" s="579"/>
      <c r="AP192" s="579"/>
      <c r="AQ192" s="579"/>
      <c r="AR192" s="579"/>
      <c r="AS192" s="579"/>
      <c r="AT192" s="579"/>
      <c r="AU192" s="579"/>
      <c r="AV192" s="579"/>
      <c r="AW192" s="579"/>
      <c r="AX192" s="579"/>
      <c r="AY192" s="579"/>
      <c r="AZ192" s="579"/>
      <c r="BA192" s="579"/>
      <c r="BB192" s="579"/>
      <c r="BC192" s="579"/>
      <c r="BD192" s="579"/>
      <c r="BE192" s="579"/>
      <c r="BF192" s="579"/>
      <c r="BG192" s="579"/>
      <c r="BH192" s="579"/>
      <c r="BI192" s="579"/>
      <c r="BJ192" s="579"/>
      <c r="BK192" s="579"/>
      <c r="BL192" s="579"/>
      <c r="BM192" s="579"/>
      <c r="BN192" s="579"/>
      <c r="BO192" s="579"/>
      <c r="BP192" s="579"/>
      <c r="BQ192" s="579"/>
      <c r="BR192" s="579"/>
      <c r="BS192" s="579"/>
      <c r="BT192" s="579"/>
      <c r="BU192" s="579"/>
      <c r="BV192" s="579"/>
      <c r="BW192" s="579"/>
      <c r="BX192" s="579"/>
      <c r="BY192" s="579"/>
      <c r="BZ192" s="579"/>
      <c r="CA192" s="579"/>
      <c r="CB192" s="579"/>
      <c r="CC192" s="579"/>
      <c r="CD192" s="579"/>
      <c r="CE192" s="579"/>
      <c r="CF192" s="579"/>
      <c r="CG192" s="579"/>
      <c r="CH192" s="579"/>
      <c r="CI192" s="579"/>
      <c r="CJ192" s="579"/>
      <c r="CK192" s="579"/>
      <c r="CL192" s="579"/>
      <c r="CM192" s="579"/>
      <c r="CN192" s="579"/>
      <c r="CO192" s="579"/>
      <c r="CP192" s="579"/>
      <c r="CQ192" s="579"/>
      <c r="CR192" s="579"/>
      <c r="CS192" s="579"/>
      <c r="CT192" s="579"/>
      <c r="CU192" s="579"/>
      <c r="CV192" s="579"/>
      <c r="CW192" s="579"/>
      <c r="CX192" s="579"/>
      <c r="CY192" s="579"/>
      <c r="CZ192" s="579"/>
      <c r="DA192" s="579"/>
      <c r="DB192" s="579"/>
      <c r="DC192" s="579"/>
      <c r="DD192" s="579"/>
      <c r="DE192" s="579"/>
      <c r="DF192" s="579"/>
      <c r="DG192" s="579"/>
    </row>
    <row r="193" spans="1:111" s="598" customFormat="1" hidden="1">
      <c r="A193" s="603" t="s">
        <v>104</v>
      </c>
      <c r="B193" s="598">
        <v>41145</v>
      </c>
      <c r="C193" s="598">
        <v>41145</v>
      </c>
      <c r="D193" s="602"/>
      <c r="F193" s="599"/>
      <c r="G193" s="601"/>
      <c r="H193" s="579"/>
      <c r="I193" s="579"/>
      <c r="J193" s="579"/>
      <c r="K193" s="579"/>
      <c r="L193" s="579"/>
      <c r="M193" s="579"/>
      <c r="N193" s="225"/>
      <c r="O193" s="579"/>
      <c r="P193" s="579"/>
      <c r="Q193" s="579"/>
      <c r="R193" s="579"/>
      <c r="S193" s="579"/>
      <c r="T193" s="579"/>
      <c r="U193" s="579"/>
      <c r="V193" s="579"/>
      <c r="W193" s="579"/>
      <c r="X193" s="579"/>
      <c r="Y193" s="579"/>
      <c r="Z193" s="579"/>
      <c r="AA193" s="579"/>
      <c r="AB193" s="579"/>
      <c r="AC193" s="579"/>
      <c r="AD193" s="579"/>
      <c r="AE193" s="579"/>
      <c r="AF193" s="579"/>
      <c r="AG193" s="579"/>
      <c r="AH193" s="579"/>
      <c r="AI193" s="579"/>
      <c r="AJ193" s="579"/>
      <c r="AK193" s="579"/>
      <c r="AL193" s="579"/>
      <c r="AM193" s="579"/>
      <c r="AN193" s="579"/>
      <c r="AO193" s="579"/>
      <c r="AP193" s="579"/>
      <c r="AQ193" s="579"/>
      <c r="AR193" s="579"/>
      <c r="AS193" s="579"/>
      <c r="AT193" s="579"/>
      <c r="AU193" s="579"/>
      <c r="AV193" s="579"/>
      <c r="AW193" s="579"/>
      <c r="AX193" s="579"/>
      <c r="AY193" s="579"/>
      <c r="AZ193" s="579"/>
      <c r="BA193" s="579"/>
      <c r="BB193" s="579"/>
      <c r="BC193" s="579"/>
      <c r="BD193" s="579"/>
      <c r="BE193" s="579"/>
      <c r="BF193" s="579"/>
      <c r="BG193" s="579"/>
      <c r="BH193" s="579"/>
      <c r="BI193" s="579"/>
      <c r="BJ193" s="579"/>
      <c r="BK193" s="579"/>
      <c r="BL193" s="579"/>
      <c r="BM193" s="579"/>
      <c r="BN193" s="579"/>
      <c r="BO193" s="579"/>
      <c r="BP193" s="579"/>
      <c r="BQ193" s="579"/>
      <c r="BR193" s="579"/>
      <c r="BS193" s="579"/>
      <c r="BT193" s="579"/>
      <c r="BU193" s="579"/>
      <c r="BV193" s="579"/>
      <c r="BW193" s="579"/>
      <c r="BX193" s="579"/>
      <c r="BY193" s="579"/>
      <c r="BZ193" s="579"/>
      <c r="CA193" s="579"/>
      <c r="CB193" s="579"/>
      <c r="CC193" s="579"/>
      <c r="CD193" s="579"/>
      <c r="CE193" s="579"/>
      <c r="CF193" s="579"/>
      <c r="CG193" s="579"/>
      <c r="CH193" s="579"/>
      <c r="CI193" s="579"/>
      <c r="CJ193" s="579"/>
      <c r="CK193" s="579"/>
      <c r="CL193" s="579"/>
      <c r="CM193" s="579"/>
      <c r="CN193" s="579"/>
      <c r="CO193" s="579"/>
      <c r="CP193" s="579"/>
      <c r="CQ193" s="579"/>
      <c r="CR193" s="579"/>
      <c r="CS193" s="579"/>
      <c r="CT193" s="579"/>
      <c r="CU193" s="579"/>
      <c r="CV193" s="579"/>
      <c r="CW193" s="579"/>
      <c r="CX193" s="579"/>
      <c r="CY193" s="579"/>
      <c r="CZ193" s="579"/>
      <c r="DA193" s="579"/>
      <c r="DB193" s="579"/>
      <c r="DC193" s="579"/>
      <c r="DD193" s="579"/>
      <c r="DE193" s="579"/>
      <c r="DF193" s="579"/>
      <c r="DG193" s="579"/>
    </row>
    <row r="194" spans="1:111" s="598" customFormat="1" hidden="1">
      <c r="A194" s="603" t="s">
        <v>103</v>
      </c>
      <c r="B194" s="598">
        <v>41497</v>
      </c>
      <c r="C194" s="598">
        <v>41497</v>
      </c>
      <c r="D194" s="602"/>
      <c r="F194" s="599"/>
      <c r="G194" s="601"/>
      <c r="H194" s="579"/>
      <c r="I194" s="579"/>
      <c r="J194" s="579"/>
      <c r="K194" s="579"/>
      <c r="L194" s="579"/>
      <c r="M194" s="579"/>
      <c r="N194" s="225"/>
      <c r="O194" s="579"/>
      <c r="P194" s="579"/>
      <c r="Q194" s="579"/>
      <c r="R194" s="579"/>
      <c r="S194" s="579"/>
      <c r="T194" s="579"/>
      <c r="U194" s="579"/>
      <c r="V194" s="579"/>
      <c r="W194" s="579"/>
      <c r="X194" s="579"/>
      <c r="Y194" s="579"/>
      <c r="Z194" s="579"/>
      <c r="AA194" s="579"/>
      <c r="AB194" s="579"/>
      <c r="AC194" s="579"/>
      <c r="AD194" s="579"/>
      <c r="AE194" s="579"/>
      <c r="AF194" s="579"/>
      <c r="AG194" s="579"/>
      <c r="AH194" s="579"/>
      <c r="AI194" s="579"/>
      <c r="AJ194" s="579"/>
      <c r="AK194" s="579"/>
      <c r="AL194" s="579"/>
      <c r="AM194" s="579"/>
      <c r="AN194" s="579"/>
      <c r="AO194" s="579"/>
      <c r="AP194" s="579"/>
      <c r="AQ194" s="579"/>
      <c r="AR194" s="579"/>
      <c r="AS194" s="579"/>
      <c r="AT194" s="579"/>
      <c r="AU194" s="579"/>
      <c r="AV194" s="579"/>
      <c r="AW194" s="579"/>
      <c r="AX194" s="579"/>
      <c r="AY194" s="579"/>
      <c r="AZ194" s="579"/>
      <c r="BA194" s="579"/>
      <c r="BB194" s="579"/>
      <c r="BC194" s="579"/>
      <c r="BD194" s="579"/>
      <c r="BE194" s="579"/>
      <c r="BF194" s="579"/>
      <c r="BG194" s="579"/>
      <c r="BH194" s="579"/>
      <c r="BI194" s="579"/>
      <c r="BJ194" s="579"/>
      <c r="BK194" s="579"/>
      <c r="BL194" s="579"/>
      <c r="BM194" s="579"/>
      <c r="BN194" s="579"/>
      <c r="BO194" s="579"/>
      <c r="BP194" s="579"/>
      <c r="BQ194" s="579"/>
      <c r="BR194" s="579"/>
      <c r="BS194" s="579"/>
      <c r="BT194" s="579"/>
      <c r="BU194" s="579"/>
      <c r="BV194" s="579"/>
      <c r="BW194" s="579"/>
      <c r="BX194" s="579"/>
      <c r="BY194" s="579"/>
      <c r="BZ194" s="579"/>
      <c r="CA194" s="579"/>
      <c r="CB194" s="579"/>
      <c r="CC194" s="579"/>
      <c r="CD194" s="579"/>
      <c r="CE194" s="579"/>
      <c r="CF194" s="579"/>
      <c r="CG194" s="579"/>
      <c r="CH194" s="579"/>
      <c r="CI194" s="579"/>
      <c r="CJ194" s="579"/>
      <c r="CK194" s="579"/>
      <c r="CL194" s="579"/>
      <c r="CM194" s="579"/>
      <c r="CN194" s="579"/>
      <c r="CO194" s="579"/>
      <c r="CP194" s="579"/>
      <c r="CQ194" s="579"/>
      <c r="CR194" s="579"/>
      <c r="CS194" s="579"/>
      <c r="CT194" s="579"/>
      <c r="CU194" s="579"/>
      <c r="CV194" s="579"/>
      <c r="CW194" s="579"/>
      <c r="CX194" s="579"/>
      <c r="CY194" s="579"/>
      <c r="CZ194" s="579"/>
      <c r="DA194" s="579"/>
      <c r="DB194" s="579"/>
      <c r="DC194" s="579"/>
      <c r="DD194" s="579"/>
      <c r="DE194" s="579"/>
      <c r="DF194" s="579"/>
      <c r="DG194" s="579"/>
    </row>
    <row r="195" spans="1:111" s="598" customFormat="1" hidden="1">
      <c r="A195" s="603" t="s">
        <v>102</v>
      </c>
      <c r="B195" s="598">
        <v>41975</v>
      </c>
      <c r="C195" s="598">
        <v>41975</v>
      </c>
      <c r="D195" s="602"/>
      <c r="F195" s="599"/>
      <c r="G195" s="601"/>
      <c r="H195" s="579"/>
      <c r="I195" s="579"/>
      <c r="J195" s="579"/>
      <c r="K195" s="579"/>
      <c r="L195" s="579"/>
      <c r="M195" s="579"/>
      <c r="N195" s="225"/>
      <c r="O195" s="579"/>
      <c r="P195" s="579"/>
      <c r="Q195" s="579"/>
      <c r="R195" s="579"/>
      <c r="S195" s="579"/>
      <c r="T195" s="579"/>
      <c r="U195" s="579"/>
      <c r="V195" s="579"/>
      <c r="W195" s="579"/>
      <c r="X195" s="579"/>
      <c r="Y195" s="579"/>
      <c r="Z195" s="579"/>
      <c r="AA195" s="579"/>
      <c r="AB195" s="579"/>
      <c r="AC195" s="579"/>
      <c r="AD195" s="579"/>
      <c r="AE195" s="579"/>
      <c r="AF195" s="579"/>
      <c r="AG195" s="579"/>
      <c r="AH195" s="579"/>
      <c r="AI195" s="579"/>
      <c r="AJ195" s="579"/>
      <c r="AK195" s="579"/>
      <c r="AL195" s="579"/>
      <c r="AM195" s="579"/>
      <c r="AN195" s="579"/>
      <c r="AO195" s="579"/>
      <c r="AP195" s="579"/>
      <c r="AQ195" s="579"/>
      <c r="AR195" s="579"/>
      <c r="AS195" s="579"/>
      <c r="AT195" s="579"/>
      <c r="AU195" s="579"/>
      <c r="AV195" s="579"/>
      <c r="AW195" s="579"/>
      <c r="AX195" s="579"/>
      <c r="AY195" s="579"/>
      <c r="AZ195" s="579"/>
      <c r="BA195" s="579"/>
      <c r="BB195" s="579"/>
      <c r="BC195" s="579"/>
      <c r="BD195" s="579"/>
      <c r="BE195" s="579"/>
      <c r="BF195" s="579"/>
      <c r="BG195" s="579"/>
      <c r="BH195" s="579"/>
      <c r="BI195" s="579"/>
      <c r="BJ195" s="579"/>
      <c r="BK195" s="579"/>
      <c r="BL195" s="579"/>
      <c r="BM195" s="579"/>
      <c r="BN195" s="579"/>
      <c r="BO195" s="579"/>
      <c r="BP195" s="579"/>
      <c r="BQ195" s="579"/>
      <c r="BR195" s="579"/>
      <c r="BS195" s="579"/>
      <c r="BT195" s="579"/>
      <c r="BU195" s="579"/>
      <c r="BV195" s="579"/>
      <c r="BW195" s="579"/>
      <c r="BX195" s="579"/>
      <c r="BY195" s="579"/>
      <c r="BZ195" s="579"/>
      <c r="CA195" s="579"/>
      <c r="CB195" s="579"/>
      <c r="CC195" s="579"/>
      <c r="CD195" s="579"/>
      <c r="CE195" s="579"/>
      <c r="CF195" s="579"/>
      <c r="CG195" s="579"/>
      <c r="CH195" s="579"/>
      <c r="CI195" s="579"/>
      <c r="CJ195" s="579"/>
      <c r="CK195" s="579"/>
      <c r="CL195" s="579"/>
      <c r="CM195" s="579"/>
      <c r="CN195" s="579"/>
      <c r="CO195" s="579"/>
      <c r="CP195" s="579"/>
      <c r="CQ195" s="579"/>
      <c r="CR195" s="579"/>
      <c r="CS195" s="579"/>
      <c r="CT195" s="579"/>
      <c r="CU195" s="579"/>
      <c r="CV195" s="579"/>
      <c r="CW195" s="579"/>
      <c r="CX195" s="579"/>
      <c r="CY195" s="579"/>
      <c r="CZ195" s="579"/>
      <c r="DA195" s="579"/>
      <c r="DB195" s="579"/>
      <c r="DC195" s="579"/>
      <c r="DD195" s="579"/>
      <c r="DE195" s="579"/>
      <c r="DF195" s="579"/>
      <c r="DG195" s="579"/>
    </row>
    <row r="196" spans="1:111" s="598" customFormat="1" hidden="1">
      <c r="A196" s="603" t="s">
        <v>101</v>
      </c>
      <c r="B196" s="598">
        <v>42459</v>
      </c>
      <c r="C196" s="598">
        <v>42459</v>
      </c>
      <c r="D196" s="602"/>
      <c r="F196" s="599"/>
      <c r="G196" s="601"/>
      <c r="H196" s="579"/>
      <c r="I196" s="579"/>
      <c r="J196" s="579"/>
      <c r="K196" s="579"/>
      <c r="L196" s="579"/>
      <c r="M196" s="579"/>
      <c r="N196" s="225"/>
      <c r="O196" s="579"/>
      <c r="P196" s="579"/>
      <c r="Q196" s="579"/>
      <c r="R196" s="579"/>
      <c r="S196" s="579"/>
      <c r="T196" s="579"/>
      <c r="U196" s="579"/>
      <c r="V196" s="579"/>
      <c r="W196" s="579"/>
      <c r="X196" s="579"/>
      <c r="Y196" s="579"/>
      <c r="Z196" s="579"/>
      <c r="AA196" s="579"/>
      <c r="AB196" s="579"/>
      <c r="AC196" s="579"/>
      <c r="AD196" s="579"/>
      <c r="AE196" s="579"/>
      <c r="AF196" s="579"/>
      <c r="AG196" s="579"/>
      <c r="AH196" s="579"/>
      <c r="AI196" s="579"/>
      <c r="AJ196" s="579"/>
      <c r="AK196" s="579"/>
      <c r="AL196" s="579"/>
      <c r="AM196" s="579"/>
      <c r="AN196" s="579"/>
      <c r="AO196" s="579"/>
      <c r="AP196" s="579"/>
      <c r="AQ196" s="579"/>
      <c r="AR196" s="579"/>
      <c r="AS196" s="579"/>
      <c r="AT196" s="579"/>
      <c r="AU196" s="579"/>
      <c r="AV196" s="579"/>
      <c r="AW196" s="579"/>
      <c r="AX196" s="579"/>
      <c r="AY196" s="579"/>
      <c r="AZ196" s="579"/>
      <c r="BA196" s="579"/>
      <c r="BB196" s="579"/>
      <c r="BC196" s="579"/>
      <c r="BD196" s="579"/>
      <c r="BE196" s="579"/>
      <c r="BF196" s="579"/>
      <c r="BG196" s="579"/>
      <c r="BH196" s="579"/>
      <c r="BI196" s="579"/>
      <c r="BJ196" s="579"/>
      <c r="BK196" s="579"/>
      <c r="BL196" s="579"/>
      <c r="BM196" s="579"/>
      <c r="BN196" s="579"/>
      <c r="BO196" s="579"/>
      <c r="BP196" s="579"/>
      <c r="BQ196" s="579"/>
      <c r="BR196" s="579"/>
      <c r="BS196" s="579"/>
      <c r="BT196" s="579"/>
      <c r="BU196" s="579"/>
      <c r="BV196" s="579"/>
      <c r="BW196" s="579"/>
      <c r="BX196" s="579"/>
      <c r="BY196" s="579"/>
      <c r="BZ196" s="579"/>
      <c r="CA196" s="579"/>
      <c r="CB196" s="579"/>
      <c r="CC196" s="579"/>
      <c r="CD196" s="579"/>
      <c r="CE196" s="579"/>
      <c r="CF196" s="579"/>
      <c r="CG196" s="579"/>
      <c r="CH196" s="579"/>
      <c r="CI196" s="579"/>
      <c r="CJ196" s="579"/>
      <c r="CK196" s="579"/>
      <c r="CL196" s="579"/>
      <c r="CM196" s="579"/>
      <c r="CN196" s="579"/>
      <c r="CO196" s="579"/>
      <c r="CP196" s="579"/>
      <c r="CQ196" s="579"/>
      <c r="CR196" s="579"/>
      <c r="CS196" s="579"/>
      <c r="CT196" s="579"/>
      <c r="CU196" s="579"/>
      <c r="CV196" s="579"/>
      <c r="CW196" s="579"/>
      <c r="CX196" s="579"/>
      <c r="CY196" s="579"/>
      <c r="CZ196" s="579"/>
      <c r="DA196" s="579"/>
      <c r="DB196" s="579"/>
      <c r="DC196" s="579"/>
      <c r="DD196" s="579"/>
      <c r="DE196" s="579"/>
      <c r="DF196" s="579"/>
      <c r="DG196" s="579"/>
    </row>
    <row r="197" spans="1:111" s="598" customFormat="1" hidden="1">
      <c r="A197" s="603" t="s">
        <v>100</v>
      </c>
      <c r="B197" s="598">
        <v>42949</v>
      </c>
      <c r="C197" s="598">
        <v>42949</v>
      </c>
      <c r="D197" s="602"/>
      <c r="F197" s="599"/>
      <c r="G197" s="601"/>
      <c r="H197" s="579"/>
      <c r="I197" s="579"/>
      <c r="J197" s="579"/>
      <c r="K197" s="579"/>
      <c r="L197" s="579"/>
      <c r="M197" s="579"/>
      <c r="N197" s="225"/>
      <c r="O197" s="579"/>
      <c r="P197" s="579"/>
      <c r="Q197" s="579"/>
      <c r="R197" s="579"/>
      <c r="S197" s="579"/>
      <c r="T197" s="579"/>
      <c r="U197" s="579"/>
      <c r="V197" s="579"/>
      <c r="W197" s="579"/>
      <c r="X197" s="579"/>
      <c r="Y197" s="579"/>
      <c r="Z197" s="579"/>
      <c r="AA197" s="579"/>
      <c r="AB197" s="579"/>
      <c r="AC197" s="579"/>
      <c r="AD197" s="579"/>
      <c r="AE197" s="579"/>
      <c r="AF197" s="579"/>
      <c r="AG197" s="579"/>
      <c r="AH197" s="579"/>
      <c r="AI197" s="579"/>
      <c r="AJ197" s="579"/>
      <c r="AK197" s="579"/>
      <c r="AL197" s="579"/>
      <c r="AM197" s="579"/>
      <c r="AN197" s="579"/>
      <c r="AO197" s="579"/>
      <c r="AP197" s="579"/>
      <c r="AQ197" s="579"/>
      <c r="AR197" s="579"/>
      <c r="AS197" s="579"/>
      <c r="AT197" s="579"/>
      <c r="AU197" s="579"/>
      <c r="AV197" s="579"/>
      <c r="AW197" s="579"/>
      <c r="AX197" s="579"/>
      <c r="AY197" s="579"/>
      <c r="AZ197" s="579"/>
      <c r="BA197" s="579"/>
      <c r="BB197" s="579"/>
      <c r="BC197" s="579"/>
      <c r="BD197" s="579"/>
      <c r="BE197" s="579"/>
      <c r="BF197" s="579"/>
      <c r="BG197" s="579"/>
      <c r="BH197" s="579"/>
      <c r="BI197" s="579"/>
      <c r="BJ197" s="579"/>
      <c r="BK197" s="579"/>
      <c r="BL197" s="579"/>
      <c r="BM197" s="579"/>
      <c r="BN197" s="579"/>
      <c r="BO197" s="579"/>
      <c r="BP197" s="579"/>
      <c r="BQ197" s="579"/>
      <c r="BR197" s="579"/>
      <c r="BS197" s="579"/>
      <c r="BT197" s="579"/>
      <c r="BU197" s="579"/>
      <c r="BV197" s="579"/>
      <c r="BW197" s="579"/>
      <c r="BX197" s="579"/>
      <c r="BY197" s="579"/>
      <c r="BZ197" s="579"/>
      <c r="CA197" s="579"/>
      <c r="CB197" s="579"/>
      <c r="CC197" s="579"/>
      <c r="CD197" s="579"/>
      <c r="CE197" s="579"/>
      <c r="CF197" s="579"/>
      <c r="CG197" s="579"/>
      <c r="CH197" s="579"/>
      <c r="CI197" s="579"/>
      <c r="CJ197" s="579"/>
      <c r="CK197" s="579"/>
      <c r="CL197" s="579"/>
      <c r="CM197" s="579"/>
      <c r="CN197" s="579"/>
      <c r="CO197" s="579"/>
      <c r="CP197" s="579"/>
      <c r="CQ197" s="579"/>
      <c r="CR197" s="579"/>
      <c r="CS197" s="579"/>
      <c r="CT197" s="579"/>
      <c r="CU197" s="579"/>
      <c r="CV197" s="579"/>
      <c r="CW197" s="579"/>
      <c r="CX197" s="579"/>
      <c r="CY197" s="579"/>
      <c r="CZ197" s="579"/>
      <c r="DA197" s="579"/>
      <c r="DB197" s="579"/>
      <c r="DC197" s="579"/>
      <c r="DD197" s="579"/>
      <c r="DE197" s="579"/>
      <c r="DF197" s="579"/>
      <c r="DG197" s="579"/>
    </row>
    <row r="198" spans="1:111" s="598" customFormat="1" hidden="1">
      <c r="A198" s="603" t="s">
        <v>99</v>
      </c>
      <c r="B198" s="598">
        <v>43445</v>
      </c>
      <c r="C198" s="598">
        <v>43445</v>
      </c>
      <c r="D198" s="602"/>
      <c r="F198" s="599"/>
      <c r="G198" s="601"/>
      <c r="H198" s="579"/>
      <c r="I198" s="579"/>
      <c r="J198" s="579"/>
      <c r="K198" s="579"/>
      <c r="L198" s="579"/>
      <c r="M198" s="579"/>
      <c r="N198" s="225"/>
      <c r="O198" s="579"/>
      <c r="P198" s="579"/>
      <c r="Q198" s="579"/>
      <c r="R198" s="579"/>
      <c r="S198" s="579"/>
      <c r="T198" s="579"/>
      <c r="U198" s="579"/>
      <c r="V198" s="579"/>
      <c r="W198" s="579"/>
      <c r="X198" s="579"/>
      <c r="Y198" s="579"/>
      <c r="Z198" s="579"/>
      <c r="AA198" s="579"/>
      <c r="AB198" s="579"/>
      <c r="AC198" s="579"/>
      <c r="AD198" s="579"/>
      <c r="AE198" s="579"/>
      <c r="AF198" s="579"/>
      <c r="AG198" s="579"/>
      <c r="AH198" s="579"/>
      <c r="AI198" s="579"/>
      <c r="AJ198" s="579"/>
      <c r="AK198" s="579"/>
      <c r="AL198" s="579"/>
      <c r="AM198" s="579"/>
      <c r="AN198" s="579"/>
      <c r="AO198" s="579"/>
      <c r="AP198" s="579"/>
      <c r="AQ198" s="579"/>
      <c r="AR198" s="579"/>
      <c r="AS198" s="579"/>
      <c r="AT198" s="579"/>
      <c r="AU198" s="579"/>
      <c r="AV198" s="579"/>
      <c r="AW198" s="579"/>
      <c r="AX198" s="579"/>
      <c r="AY198" s="579"/>
      <c r="AZ198" s="579"/>
      <c r="BA198" s="579"/>
      <c r="BB198" s="579"/>
      <c r="BC198" s="579"/>
      <c r="BD198" s="579"/>
      <c r="BE198" s="579"/>
      <c r="BF198" s="579"/>
      <c r="BG198" s="579"/>
      <c r="BH198" s="579"/>
      <c r="BI198" s="579"/>
      <c r="BJ198" s="579"/>
      <c r="BK198" s="579"/>
      <c r="BL198" s="579"/>
      <c r="BM198" s="579"/>
      <c r="BN198" s="579"/>
      <c r="BO198" s="579"/>
      <c r="BP198" s="579"/>
      <c r="BQ198" s="579"/>
      <c r="BR198" s="579"/>
      <c r="BS198" s="579"/>
      <c r="BT198" s="579"/>
      <c r="BU198" s="579"/>
      <c r="BV198" s="579"/>
      <c r="BW198" s="579"/>
      <c r="BX198" s="579"/>
      <c r="BY198" s="579"/>
      <c r="BZ198" s="579"/>
      <c r="CA198" s="579"/>
      <c r="CB198" s="579"/>
      <c r="CC198" s="579"/>
      <c r="CD198" s="579"/>
      <c r="CE198" s="579"/>
      <c r="CF198" s="579"/>
      <c r="CG198" s="579"/>
      <c r="CH198" s="579"/>
      <c r="CI198" s="579"/>
      <c r="CJ198" s="579"/>
      <c r="CK198" s="579"/>
      <c r="CL198" s="579"/>
      <c r="CM198" s="579"/>
      <c r="CN198" s="579"/>
      <c r="CO198" s="579"/>
      <c r="CP198" s="579"/>
      <c r="CQ198" s="579"/>
      <c r="CR198" s="579"/>
      <c r="CS198" s="579"/>
      <c r="CT198" s="579"/>
      <c r="CU198" s="579"/>
      <c r="CV198" s="579"/>
      <c r="CW198" s="579"/>
      <c r="CX198" s="579"/>
      <c r="CY198" s="579"/>
      <c r="CZ198" s="579"/>
      <c r="DA198" s="579"/>
      <c r="DB198" s="579"/>
      <c r="DC198" s="579"/>
      <c r="DD198" s="579"/>
      <c r="DE198" s="579"/>
      <c r="DF198" s="579"/>
      <c r="DG198" s="579"/>
    </row>
    <row r="199" spans="1:111" s="598" customFormat="1" hidden="1">
      <c r="A199" s="603" t="s">
        <v>98</v>
      </c>
      <c r="B199" s="598">
        <v>43948</v>
      </c>
      <c r="C199" s="598">
        <v>43948</v>
      </c>
      <c r="D199" s="602"/>
      <c r="F199" s="599"/>
      <c r="G199" s="601"/>
      <c r="H199" s="579"/>
      <c r="I199" s="579"/>
      <c r="J199" s="579"/>
      <c r="K199" s="579"/>
      <c r="L199" s="579"/>
      <c r="M199" s="579"/>
      <c r="N199" s="225"/>
      <c r="O199" s="579"/>
      <c r="P199" s="579"/>
      <c r="Q199" s="579"/>
      <c r="R199" s="579"/>
      <c r="S199" s="579"/>
      <c r="T199" s="579"/>
      <c r="U199" s="579"/>
      <c r="V199" s="579"/>
      <c r="W199" s="579"/>
      <c r="X199" s="579"/>
      <c r="Y199" s="579"/>
      <c r="Z199" s="579"/>
      <c r="AA199" s="579"/>
      <c r="AB199" s="579"/>
      <c r="AC199" s="579"/>
      <c r="AD199" s="579"/>
      <c r="AE199" s="579"/>
      <c r="AF199" s="579"/>
      <c r="AG199" s="579"/>
      <c r="AH199" s="579"/>
      <c r="AI199" s="579"/>
      <c r="AJ199" s="579"/>
      <c r="AK199" s="579"/>
      <c r="AL199" s="579"/>
      <c r="AM199" s="579"/>
      <c r="AN199" s="579"/>
      <c r="AO199" s="579"/>
      <c r="AP199" s="579"/>
      <c r="AQ199" s="579"/>
      <c r="AR199" s="579"/>
      <c r="AS199" s="579"/>
      <c r="AT199" s="579"/>
      <c r="AU199" s="579"/>
      <c r="AV199" s="579"/>
      <c r="AW199" s="579"/>
      <c r="AX199" s="579"/>
      <c r="AY199" s="579"/>
      <c r="AZ199" s="579"/>
      <c r="BA199" s="579"/>
      <c r="BB199" s="579"/>
      <c r="BC199" s="579"/>
      <c r="BD199" s="579"/>
      <c r="BE199" s="579"/>
      <c r="BF199" s="579"/>
      <c r="BG199" s="579"/>
      <c r="BH199" s="579"/>
      <c r="BI199" s="579"/>
      <c r="BJ199" s="579"/>
      <c r="BK199" s="579"/>
      <c r="BL199" s="579"/>
      <c r="BM199" s="579"/>
      <c r="BN199" s="579"/>
      <c r="BO199" s="579"/>
      <c r="BP199" s="579"/>
      <c r="BQ199" s="579"/>
      <c r="BR199" s="579"/>
      <c r="BS199" s="579"/>
      <c r="BT199" s="579"/>
      <c r="BU199" s="579"/>
      <c r="BV199" s="579"/>
      <c r="BW199" s="579"/>
      <c r="BX199" s="579"/>
      <c r="BY199" s="579"/>
      <c r="BZ199" s="579"/>
      <c r="CA199" s="579"/>
      <c r="CB199" s="579"/>
      <c r="CC199" s="579"/>
      <c r="CD199" s="579"/>
      <c r="CE199" s="579"/>
      <c r="CF199" s="579"/>
      <c r="CG199" s="579"/>
      <c r="CH199" s="579"/>
      <c r="CI199" s="579"/>
      <c r="CJ199" s="579"/>
      <c r="CK199" s="579"/>
      <c r="CL199" s="579"/>
      <c r="CM199" s="579"/>
      <c r="CN199" s="579"/>
      <c r="CO199" s="579"/>
      <c r="CP199" s="579"/>
      <c r="CQ199" s="579"/>
      <c r="CR199" s="579"/>
      <c r="CS199" s="579"/>
      <c r="CT199" s="579"/>
      <c r="CU199" s="579"/>
      <c r="CV199" s="579"/>
      <c r="CW199" s="579"/>
      <c r="CX199" s="579"/>
      <c r="CY199" s="579"/>
      <c r="CZ199" s="579"/>
      <c r="DA199" s="579"/>
      <c r="DB199" s="579"/>
      <c r="DC199" s="579"/>
      <c r="DD199" s="579"/>
      <c r="DE199" s="579"/>
      <c r="DF199" s="579"/>
      <c r="DG199" s="579"/>
    </row>
    <row r="200" spans="1:111" s="598" customFormat="1" hidden="1">
      <c r="A200" s="603" t="s">
        <v>97</v>
      </c>
      <c r="B200" s="598">
        <v>44456</v>
      </c>
      <c r="C200" s="598">
        <v>44456</v>
      </c>
      <c r="D200" s="602"/>
      <c r="F200" s="599"/>
      <c r="G200" s="601"/>
      <c r="H200" s="579"/>
      <c r="I200" s="579"/>
      <c r="J200" s="579"/>
      <c r="K200" s="579"/>
      <c r="L200" s="579"/>
      <c r="M200" s="579"/>
      <c r="N200" s="225"/>
      <c r="O200" s="579"/>
      <c r="P200" s="579"/>
      <c r="Q200" s="579"/>
      <c r="R200" s="579"/>
      <c r="S200" s="579"/>
      <c r="T200" s="579"/>
      <c r="U200" s="579"/>
      <c r="V200" s="579"/>
      <c r="W200" s="579"/>
      <c r="X200" s="579"/>
      <c r="Y200" s="579"/>
      <c r="Z200" s="579"/>
      <c r="AA200" s="579"/>
      <c r="AB200" s="579"/>
      <c r="AC200" s="579"/>
      <c r="AD200" s="579"/>
      <c r="AE200" s="579"/>
      <c r="AF200" s="579"/>
      <c r="AG200" s="579"/>
      <c r="AH200" s="579"/>
      <c r="AI200" s="579"/>
      <c r="AJ200" s="579"/>
      <c r="AK200" s="579"/>
      <c r="AL200" s="579"/>
      <c r="AM200" s="579"/>
      <c r="AN200" s="579"/>
      <c r="AO200" s="579"/>
      <c r="AP200" s="579"/>
      <c r="AQ200" s="579"/>
      <c r="AR200" s="579"/>
      <c r="AS200" s="579"/>
      <c r="AT200" s="579"/>
      <c r="AU200" s="579"/>
      <c r="AV200" s="579"/>
      <c r="AW200" s="579"/>
      <c r="AX200" s="579"/>
      <c r="AY200" s="579"/>
      <c r="AZ200" s="579"/>
      <c r="BA200" s="579"/>
      <c r="BB200" s="579"/>
      <c r="BC200" s="579"/>
      <c r="BD200" s="579"/>
      <c r="BE200" s="579"/>
      <c r="BF200" s="579"/>
      <c r="BG200" s="579"/>
      <c r="BH200" s="579"/>
      <c r="BI200" s="579"/>
      <c r="BJ200" s="579"/>
      <c r="BK200" s="579"/>
      <c r="BL200" s="579"/>
      <c r="BM200" s="579"/>
      <c r="BN200" s="579"/>
      <c r="BO200" s="579"/>
      <c r="BP200" s="579"/>
      <c r="BQ200" s="579"/>
      <c r="BR200" s="579"/>
      <c r="BS200" s="579"/>
      <c r="BT200" s="579"/>
      <c r="BU200" s="579"/>
      <c r="BV200" s="579"/>
      <c r="BW200" s="579"/>
      <c r="BX200" s="579"/>
      <c r="BY200" s="579"/>
      <c r="BZ200" s="579"/>
      <c r="CA200" s="579"/>
      <c r="CB200" s="579"/>
      <c r="CC200" s="579"/>
      <c r="CD200" s="579"/>
      <c r="CE200" s="579"/>
      <c r="CF200" s="579"/>
      <c r="CG200" s="579"/>
      <c r="CH200" s="579"/>
      <c r="CI200" s="579"/>
      <c r="CJ200" s="579"/>
      <c r="CK200" s="579"/>
      <c r="CL200" s="579"/>
      <c r="CM200" s="579"/>
      <c r="CN200" s="579"/>
      <c r="CO200" s="579"/>
      <c r="CP200" s="579"/>
      <c r="CQ200" s="579"/>
      <c r="CR200" s="579"/>
      <c r="CS200" s="579"/>
      <c r="CT200" s="579"/>
      <c r="CU200" s="579"/>
      <c r="CV200" s="579"/>
      <c r="CW200" s="579"/>
      <c r="CX200" s="579"/>
      <c r="CY200" s="579"/>
      <c r="CZ200" s="579"/>
      <c r="DA200" s="579"/>
      <c r="DB200" s="579"/>
      <c r="DC200" s="579"/>
      <c r="DD200" s="579"/>
      <c r="DE200" s="579"/>
      <c r="DF200" s="579"/>
      <c r="DG200" s="579"/>
    </row>
    <row r="201" spans="1:111" s="598" customFormat="1" hidden="1">
      <c r="A201" s="603" t="s">
        <v>96</v>
      </c>
      <c r="B201" s="598">
        <v>44971</v>
      </c>
      <c r="C201" s="598">
        <v>44971</v>
      </c>
      <c r="D201" s="602"/>
      <c r="F201" s="599"/>
      <c r="G201" s="601"/>
      <c r="H201" s="579"/>
      <c r="I201" s="579"/>
      <c r="J201" s="579"/>
      <c r="K201" s="579"/>
      <c r="L201" s="579"/>
      <c r="M201" s="579"/>
      <c r="N201" s="225"/>
      <c r="O201" s="579"/>
      <c r="P201" s="579"/>
      <c r="Q201" s="579"/>
      <c r="R201" s="579"/>
      <c r="S201" s="579"/>
      <c r="T201" s="579"/>
      <c r="U201" s="579"/>
      <c r="V201" s="579"/>
      <c r="W201" s="579"/>
      <c r="X201" s="579"/>
      <c r="Y201" s="579"/>
      <c r="Z201" s="579"/>
      <c r="AA201" s="579"/>
      <c r="AB201" s="579"/>
      <c r="AC201" s="579"/>
      <c r="AD201" s="579"/>
      <c r="AE201" s="579"/>
      <c r="AF201" s="579"/>
      <c r="AG201" s="579"/>
      <c r="AH201" s="579"/>
      <c r="AI201" s="579"/>
      <c r="AJ201" s="579"/>
      <c r="AK201" s="579"/>
      <c r="AL201" s="579"/>
      <c r="AM201" s="579"/>
      <c r="AN201" s="579"/>
      <c r="AO201" s="579"/>
      <c r="AP201" s="579"/>
      <c r="AQ201" s="579"/>
      <c r="AR201" s="579"/>
      <c r="AS201" s="579"/>
      <c r="AT201" s="579"/>
      <c r="AU201" s="579"/>
      <c r="AV201" s="579"/>
      <c r="AW201" s="579"/>
      <c r="AX201" s="579"/>
      <c r="AY201" s="579"/>
      <c r="AZ201" s="579"/>
      <c r="BA201" s="579"/>
      <c r="BB201" s="579"/>
      <c r="BC201" s="579"/>
      <c r="BD201" s="579"/>
      <c r="BE201" s="579"/>
      <c r="BF201" s="579"/>
      <c r="BG201" s="579"/>
      <c r="BH201" s="579"/>
      <c r="BI201" s="579"/>
      <c r="BJ201" s="579"/>
      <c r="BK201" s="579"/>
      <c r="BL201" s="579"/>
      <c r="BM201" s="579"/>
      <c r="BN201" s="579"/>
      <c r="BO201" s="579"/>
      <c r="BP201" s="579"/>
      <c r="BQ201" s="579"/>
      <c r="BR201" s="579"/>
      <c r="BS201" s="579"/>
      <c r="BT201" s="579"/>
      <c r="BU201" s="579"/>
      <c r="BV201" s="579"/>
      <c r="BW201" s="579"/>
      <c r="BX201" s="579"/>
      <c r="BY201" s="579"/>
      <c r="BZ201" s="579"/>
      <c r="CA201" s="579"/>
      <c r="CB201" s="579"/>
      <c r="CC201" s="579"/>
      <c r="CD201" s="579"/>
      <c r="CE201" s="579"/>
      <c r="CF201" s="579"/>
      <c r="CG201" s="579"/>
      <c r="CH201" s="579"/>
      <c r="CI201" s="579"/>
      <c r="CJ201" s="579"/>
      <c r="CK201" s="579"/>
      <c r="CL201" s="579"/>
      <c r="CM201" s="579"/>
      <c r="CN201" s="579"/>
      <c r="CO201" s="579"/>
      <c r="CP201" s="579"/>
      <c r="CQ201" s="579"/>
      <c r="CR201" s="579"/>
      <c r="CS201" s="579"/>
      <c r="CT201" s="579"/>
      <c r="CU201" s="579"/>
      <c r="CV201" s="579"/>
      <c r="CW201" s="579"/>
      <c r="CX201" s="579"/>
      <c r="CY201" s="579"/>
      <c r="CZ201" s="579"/>
      <c r="DA201" s="579"/>
      <c r="DB201" s="579"/>
      <c r="DC201" s="579"/>
      <c r="DD201" s="579"/>
      <c r="DE201" s="579"/>
      <c r="DF201" s="579"/>
      <c r="DG201" s="579"/>
    </row>
    <row r="202" spans="1:111" s="598" customFormat="1" hidden="1">
      <c r="A202" s="603" t="s">
        <v>95</v>
      </c>
      <c r="B202" s="598">
        <v>45897</v>
      </c>
      <c r="C202" s="598">
        <v>45897</v>
      </c>
      <c r="D202" s="602"/>
      <c r="F202" s="599"/>
      <c r="G202" s="601"/>
      <c r="H202" s="579"/>
      <c r="I202" s="579"/>
      <c r="J202" s="579"/>
      <c r="K202" s="579"/>
      <c r="L202" s="579"/>
      <c r="M202" s="579"/>
      <c r="N202" s="225"/>
      <c r="O202" s="579"/>
      <c r="P202" s="579"/>
      <c r="Q202" s="579"/>
      <c r="R202" s="579"/>
      <c r="S202" s="579"/>
      <c r="T202" s="579"/>
      <c r="U202" s="579"/>
      <c r="V202" s="579"/>
      <c r="W202" s="579"/>
      <c r="X202" s="579"/>
      <c r="Y202" s="579"/>
      <c r="Z202" s="579"/>
      <c r="AA202" s="579"/>
      <c r="AB202" s="579"/>
      <c r="AC202" s="579"/>
      <c r="AD202" s="579"/>
      <c r="AE202" s="579"/>
      <c r="AF202" s="579"/>
      <c r="AG202" s="579"/>
      <c r="AH202" s="579"/>
      <c r="AI202" s="579"/>
      <c r="AJ202" s="579"/>
      <c r="AK202" s="579"/>
      <c r="AL202" s="579"/>
      <c r="AM202" s="579"/>
      <c r="AN202" s="579"/>
      <c r="AO202" s="579"/>
      <c r="AP202" s="579"/>
      <c r="AQ202" s="579"/>
      <c r="AR202" s="579"/>
      <c r="AS202" s="579"/>
      <c r="AT202" s="579"/>
      <c r="AU202" s="579"/>
      <c r="AV202" s="579"/>
      <c r="AW202" s="579"/>
      <c r="AX202" s="579"/>
      <c r="AY202" s="579"/>
      <c r="AZ202" s="579"/>
      <c r="BA202" s="579"/>
      <c r="BB202" s="579"/>
      <c r="BC202" s="579"/>
      <c r="BD202" s="579"/>
      <c r="BE202" s="579"/>
      <c r="BF202" s="579"/>
      <c r="BG202" s="579"/>
      <c r="BH202" s="579"/>
      <c r="BI202" s="579"/>
      <c r="BJ202" s="579"/>
      <c r="BK202" s="579"/>
      <c r="BL202" s="579"/>
      <c r="BM202" s="579"/>
      <c r="BN202" s="579"/>
      <c r="BO202" s="579"/>
      <c r="BP202" s="579"/>
      <c r="BQ202" s="579"/>
      <c r="BR202" s="579"/>
      <c r="BS202" s="579"/>
      <c r="BT202" s="579"/>
      <c r="BU202" s="579"/>
      <c r="BV202" s="579"/>
      <c r="BW202" s="579"/>
      <c r="BX202" s="579"/>
      <c r="BY202" s="579"/>
      <c r="BZ202" s="579"/>
      <c r="CA202" s="579"/>
      <c r="CB202" s="579"/>
      <c r="CC202" s="579"/>
      <c r="CD202" s="579"/>
      <c r="CE202" s="579"/>
      <c r="CF202" s="579"/>
      <c r="CG202" s="579"/>
      <c r="CH202" s="579"/>
      <c r="CI202" s="579"/>
      <c r="CJ202" s="579"/>
      <c r="CK202" s="579"/>
      <c r="CL202" s="579"/>
      <c r="CM202" s="579"/>
      <c r="CN202" s="579"/>
      <c r="CO202" s="579"/>
      <c r="CP202" s="579"/>
      <c r="CQ202" s="579"/>
      <c r="CR202" s="579"/>
      <c r="CS202" s="579"/>
      <c r="CT202" s="579"/>
      <c r="CU202" s="579"/>
      <c r="CV202" s="579"/>
      <c r="CW202" s="579"/>
      <c r="CX202" s="579"/>
      <c r="CY202" s="579"/>
      <c r="CZ202" s="579"/>
      <c r="DA202" s="579"/>
      <c r="DB202" s="579"/>
      <c r="DC202" s="579"/>
      <c r="DD202" s="579"/>
      <c r="DE202" s="579"/>
      <c r="DF202" s="579"/>
      <c r="DG202" s="579"/>
    </row>
    <row r="203" spans="1:111" s="598" customFormat="1" hidden="1">
      <c r="A203" s="603" t="s">
        <v>94</v>
      </c>
      <c r="B203" s="598">
        <v>46599</v>
      </c>
      <c r="C203" s="598">
        <v>46599</v>
      </c>
      <c r="D203" s="602"/>
      <c r="F203" s="599"/>
      <c r="G203" s="601"/>
      <c r="H203" s="579"/>
      <c r="I203" s="579"/>
      <c r="J203" s="579"/>
      <c r="K203" s="579"/>
      <c r="L203" s="579"/>
      <c r="M203" s="579"/>
      <c r="N203" s="225"/>
      <c r="O203" s="579"/>
      <c r="P203" s="579"/>
      <c r="Q203" s="579"/>
      <c r="R203" s="579"/>
      <c r="S203" s="579"/>
      <c r="T203" s="579"/>
      <c r="U203" s="579"/>
      <c r="V203" s="579"/>
      <c r="W203" s="579"/>
      <c r="X203" s="579"/>
      <c r="Y203" s="579"/>
      <c r="Z203" s="579"/>
      <c r="AA203" s="579"/>
      <c r="AB203" s="579"/>
      <c r="AC203" s="579"/>
      <c r="AD203" s="579"/>
      <c r="AE203" s="579"/>
      <c r="AF203" s="579"/>
      <c r="AG203" s="579"/>
      <c r="AH203" s="579"/>
      <c r="AI203" s="579"/>
      <c r="AJ203" s="579"/>
      <c r="AK203" s="579"/>
      <c r="AL203" s="579"/>
      <c r="AM203" s="579"/>
      <c r="AN203" s="579"/>
      <c r="AO203" s="579"/>
      <c r="AP203" s="579"/>
      <c r="AQ203" s="579"/>
      <c r="AR203" s="579"/>
      <c r="AS203" s="579"/>
      <c r="AT203" s="579"/>
      <c r="AU203" s="579"/>
      <c r="AV203" s="579"/>
      <c r="AW203" s="579"/>
      <c r="AX203" s="579"/>
      <c r="AY203" s="579"/>
      <c r="AZ203" s="579"/>
      <c r="BA203" s="579"/>
      <c r="BB203" s="579"/>
      <c r="BC203" s="579"/>
      <c r="BD203" s="579"/>
      <c r="BE203" s="579"/>
      <c r="BF203" s="579"/>
      <c r="BG203" s="579"/>
      <c r="BH203" s="579"/>
      <c r="BI203" s="579"/>
      <c r="BJ203" s="579"/>
      <c r="BK203" s="579"/>
      <c r="BL203" s="579"/>
      <c r="BM203" s="579"/>
      <c r="BN203" s="579"/>
      <c r="BO203" s="579"/>
      <c r="BP203" s="579"/>
      <c r="BQ203" s="579"/>
      <c r="BR203" s="579"/>
      <c r="BS203" s="579"/>
      <c r="BT203" s="579"/>
      <c r="BU203" s="579"/>
      <c r="BV203" s="579"/>
      <c r="BW203" s="579"/>
      <c r="BX203" s="579"/>
      <c r="BY203" s="579"/>
      <c r="BZ203" s="579"/>
      <c r="CA203" s="579"/>
      <c r="CB203" s="579"/>
      <c r="CC203" s="579"/>
      <c r="CD203" s="579"/>
      <c r="CE203" s="579"/>
      <c r="CF203" s="579"/>
      <c r="CG203" s="579"/>
      <c r="CH203" s="579"/>
      <c r="CI203" s="579"/>
      <c r="CJ203" s="579"/>
      <c r="CK203" s="579"/>
      <c r="CL203" s="579"/>
      <c r="CM203" s="579"/>
      <c r="CN203" s="579"/>
      <c r="CO203" s="579"/>
      <c r="CP203" s="579"/>
      <c r="CQ203" s="579"/>
      <c r="CR203" s="579"/>
      <c r="CS203" s="579"/>
      <c r="CT203" s="579"/>
      <c r="CU203" s="579"/>
      <c r="CV203" s="579"/>
      <c r="CW203" s="579"/>
      <c r="CX203" s="579"/>
      <c r="CY203" s="579"/>
      <c r="CZ203" s="579"/>
      <c r="DA203" s="579"/>
      <c r="DB203" s="579"/>
      <c r="DC203" s="579"/>
      <c r="DD203" s="579"/>
      <c r="DE203" s="579"/>
      <c r="DF203" s="579"/>
      <c r="DG203" s="579"/>
    </row>
    <row r="204" spans="1:111" s="598" customFormat="1" hidden="1">
      <c r="A204" s="603" t="s">
        <v>93</v>
      </c>
      <c r="B204" s="598">
        <v>47313</v>
      </c>
      <c r="C204" s="598">
        <v>47313</v>
      </c>
      <c r="D204" s="602"/>
      <c r="F204" s="599"/>
      <c r="G204" s="601"/>
      <c r="H204" s="579"/>
      <c r="I204" s="579"/>
      <c r="J204" s="579"/>
      <c r="K204" s="579"/>
      <c r="L204" s="579"/>
      <c r="M204" s="579"/>
      <c r="N204" s="225"/>
      <c r="O204" s="579"/>
      <c r="P204" s="579"/>
      <c r="Q204" s="579"/>
      <c r="R204" s="579"/>
      <c r="S204" s="579"/>
      <c r="T204" s="579"/>
      <c r="U204" s="579"/>
      <c r="V204" s="579"/>
      <c r="W204" s="579"/>
      <c r="X204" s="579"/>
      <c r="Y204" s="579"/>
      <c r="Z204" s="579"/>
      <c r="AA204" s="579"/>
      <c r="AB204" s="579"/>
      <c r="AC204" s="579"/>
      <c r="AD204" s="579"/>
      <c r="AE204" s="579"/>
      <c r="AF204" s="579"/>
      <c r="AG204" s="579"/>
      <c r="AH204" s="579"/>
      <c r="AI204" s="579"/>
      <c r="AJ204" s="579"/>
      <c r="AK204" s="579"/>
      <c r="AL204" s="579"/>
      <c r="AM204" s="579"/>
      <c r="AN204" s="579"/>
      <c r="AO204" s="579"/>
      <c r="AP204" s="579"/>
      <c r="AQ204" s="579"/>
      <c r="AR204" s="579"/>
      <c r="AS204" s="579"/>
      <c r="AT204" s="579"/>
      <c r="AU204" s="579"/>
      <c r="AV204" s="579"/>
      <c r="AW204" s="579"/>
      <c r="AX204" s="579"/>
      <c r="AY204" s="579"/>
      <c r="AZ204" s="579"/>
      <c r="BA204" s="579"/>
      <c r="BB204" s="579"/>
      <c r="BC204" s="579"/>
      <c r="BD204" s="579"/>
      <c r="BE204" s="579"/>
      <c r="BF204" s="579"/>
      <c r="BG204" s="579"/>
      <c r="BH204" s="579"/>
      <c r="BI204" s="579"/>
      <c r="BJ204" s="579"/>
      <c r="BK204" s="579"/>
      <c r="BL204" s="579"/>
      <c r="BM204" s="579"/>
      <c r="BN204" s="579"/>
      <c r="BO204" s="579"/>
      <c r="BP204" s="579"/>
      <c r="BQ204" s="579"/>
      <c r="BR204" s="579"/>
      <c r="BS204" s="579"/>
      <c r="BT204" s="579"/>
      <c r="BU204" s="579"/>
      <c r="BV204" s="579"/>
      <c r="BW204" s="579"/>
      <c r="BX204" s="579"/>
      <c r="BY204" s="579"/>
      <c r="BZ204" s="579"/>
      <c r="CA204" s="579"/>
      <c r="CB204" s="579"/>
      <c r="CC204" s="579"/>
      <c r="CD204" s="579"/>
      <c r="CE204" s="579"/>
      <c r="CF204" s="579"/>
      <c r="CG204" s="579"/>
      <c r="CH204" s="579"/>
      <c r="CI204" s="579"/>
      <c r="CJ204" s="579"/>
      <c r="CK204" s="579"/>
      <c r="CL204" s="579"/>
      <c r="CM204" s="579"/>
      <c r="CN204" s="579"/>
      <c r="CO204" s="579"/>
      <c r="CP204" s="579"/>
      <c r="CQ204" s="579"/>
      <c r="CR204" s="579"/>
      <c r="CS204" s="579"/>
      <c r="CT204" s="579"/>
      <c r="CU204" s="579"/>
      <c r="CV204" s="579"/>
      <c r="CW204" s="579"/>
      <c r="CX204" s="579"/>
      <c r="CY204" s="579"/>
      <c r="CZ204" s="579"/>
      <c r="DA204" s="579"/>
      <c r="DB204" s="579"/>
      <c r="DC204" s="579"/>
      <c r="DD204" s="579"/>
      <c r="DE204" s="579"/>
      <c r="DF204" s="579"/>
      <c r="DG204" s="579"/>
    </row>
    <row r="205" spans="1:111" s="598" customFormat="1" hidden="1">
      <c r="A205" s="603" t="s">
        <v>92</v>
      </c>
      <c r="B205" s="598">
        <v>48038</v>
      </c>
      <c r="C205" s="598">
        <v>48038</v>
      </c>
      <c r="D205" s="602"/>
      <c r="F205" s="599"/>
      <c r="G205" s="601"/>
      <c r="H205" s="579"/>
      <c r="I205" s="579"/>
      <c r="J205" s="579"/>
      <c r="K205" s="579"/>
      <c r="L205" s="579"/>
      <c r="M205" s="579"/>
      <c r="N205" s="225"/>
      <c r="O205" s="579"/>
      <c r="P205" s="579"/>
      <c r="Q205" s="579"/>
      <c r="R205" s="579"/>
      <c r="S205" s="579"/>
      <c r="T205" s="579"/>
      <c r="U205" s="579"/>
      <c r="V205" s="579"/>
      <c r="W205" s="579"/>
      <c r="X205" s="579"/>
      <c r="Y205" s="579"/>
      <c r="Z205" s="579"/>
      <c r="AA205" s="579"/>
      <c r="AB205" s="579"/>
      <c r="AC205" s="579"/>
      <c r="AD205" s="579"/>
      <c r="AE205" s="579"/>
      <c r="AF205" s="579"/>
      <c r="AG205" s="579"/>
      <c r="AH205" s="579"/>
      <c r="AI205" s="579"/>
      <c r="AJ205" s="579"/>
      <c r="AK205" s="579"/>
      <c r="AL205" s="579"/>
      <c r="AM205" s="579"/>
      <c r="AN205" s="579"/>
      <c r="AO205" s="579"/>
      <c r="AP205" s="579"/>
      <c r="AQ205" s="579"/>
      <c r="AR205" s="579"/>
      <c r="AS205" s="579"/>
      <c r="AT205" s="579"/>
      <c r="AU205" s="579"/>
      <c r="AV205" s="579"/>
      <c r="AW205" s="579"/>
      <c r="AX205" s="579"/>
      <c r="AY205" s="579"/>
      <c r="AZ205" s="579"/>
      <c r="BA205" s="579"/>
      <c r="BB205" s="579"/>
      <c r="BC205" s="579"/>
      <c r="BD205" s="579"/>
      <c r="BE205" s="579"/>
      <c r="BF205" s="579"/>
      <c r="BG205" s="579"/>
      <c r="BH205" s="579"/>
      <c r="BI205" s="579"/>
      <c r="BJ205" s="579"/>
      <c r="BK205" s="579"/>
      <c r="BL205" s="579"/>
      <c r="BM205" s="579"/>
      <c r="BN205" s="579"/>
      <c r="BO205" s="579"/>
      <c r="BP205" s="579"/>
      <c r="BQ205" s="579"/>
      <c r="BR205" s="579"/>
      <c r="BS205" s="579"/>
      <c r="BT205" s="579"/>
      <c r="BU205" s="579"/>
      <c r="BV205" s="579"/>
      <c r="BW205" s="579"/>
      <c r="BX205" s="579"/>
      <c r="BY205" s="579"/>
      <c r="BZ205" s="579"/>
      <c r="CA205" s="579"/>
      <c r="CB205" s="579"/>
      <c r="CC205" s="579"/>
      <c r="CD205" s="579"/>
      <c r="CE205" s="579"/>
      <c r="CF205" s="579"/>
      <c r="CG205" s="579"/>
      <c r="CH205" s="579"/>
      <c r="CI205" s="579"/>
      <c r="CJ205" s="579"/>
      <c r="CK205" s="579"/>
      <c r="CL205" s="579"/>
      <c r="CM205" s="579"/>
      <c r="CN205" s="579"/>
      <c r="CO205" s="579"/>
      <c r="CP205" s="579"/>
      <c r="CQ205" s="579"/>
      <c r="CR205" s="579"/>
      <c r="CS205" s="579"/>
      <c r="CT205" s="579"/>
      <c r="CU205" s="579"/>
      <c r="CV205" s="579"/>
      <c r="CW205" s="579"/>
      <c r="CX205" s="579"/>
      <c r="CY205" s="579"/>
      <c r="CZ205" s="579"/>
      <c r="DA205" s="579"/>
      <c r="DB205" s="579"/>
      <c r="DC205" s="579"/>
      <c r="DD205" s="579"/>
      <c r="DE205" s="579"/>
      <c r="DF205" s="579"/>
      <c r="DG205" s="579"/>
    </row>
    <row r="206" spans="1:111" s="598" customFormat="1" hidden="1">
      <c r="A206" s="603" t="s">
        <v>91</v>
      </c>
      <c r="B206" s="598">
        <v>48775</v>
      </c>
      <c r="C206" s="598">
        <v>48775</v>
      </c>
      <c r="D206" s="602"/>
      <c r="F206" s="599"/>
      <c r="G206" s="601"/>
      <c r="H206" s="579"/>
      <c r="I206" s="579"/>
      <c r="J206" s="579"/>
      <c r="K206" s="579"/>
      <c r="L206" s="579"/>
      <c r="M206" s="579"/>
      <c r="N206" s="225"/>
      <c r="O206" s="579"/>
      <c r="P206" s="579"/>
      <c r="Q206" s="579"/>
      <c r="R206" s="579"/>
      <c r="S206" s="579"/>
      <c r="T206" s="579"/>
      <c r="U206" s="579"/>
      <c r="V206" s="579"/>
      <c r="W206" s="579"/>
      <c r="X206" s="579"/>
      <c r="Y206" s="579"/>
      <c r="Z206" s="579"/>
      <c r="AA206" s="579"/>
      <c r="AB206" s="579"/>
      <c r="AC206" s="579"/>
      <c r="AD206" s="579"/>
      <c r="AE206" s="579"/>
      <c r="AF206" s="579"/>
      <c r="AG206" s="579"/>
      <c r="AH206" s="579"/>
      <c r="AI206" s="579"/>
      <c r="AJ206" s="579"/>
      <c r="AK206" s="579"/>
      <c r="AL206" s="579"/>
      <c r="AM206" s="579"/>
      <c r="AN206" s="579"/>
      <c r="AO206" s="579"/>
      <c r="AP206" s="579"/>
      <c r="AQ206" s="579"/>
      <c r="AR206" s="579"/>
      <c r="AS206" s="579"/>
      <c r="AT206" s="579"/>
      <c r="AU206" s="579"/>
      <c r="AV206" s="579"/>
      <c r="AW206" s="579"/>
      <c r="AX206" s="579"/>
      <c r="AY206" s="579"/>
      <c r="AZ206" s="579"/>
      <c r="BA206" s="579"/>
      <c r="BB206" s="579"/>
      <c r="BC206" s="579"/>
      <c r="BD206" s="579"/>
      <c r="BE206" s="579"/>
      <c r="BF206" s="579"/>
      <c r="BG206" s="579"/>
      <c r="BH206" s="579"/>
      <c r="BI206" s="579"/>
      <c r="BJ206" s="579"/>
      <c r="BK206" s="579"/>
      <c r="BL206" s="579"/>
      <c r="BM206" s="579"/>
      <c r="BN206" s="579"/>
      <c r="BO206" s="579"/>
      <c r="BP206" s="579"/>
      <c r="BQ206" s="579"/>
      <c r="BR206" s="579"/>
      <c r="BS206" s="579"/>
      <c r="BT206" s="579"/>
      <c r="BU206" s="579"/>
      <c r="BV206" s="579"/>
      <c r="BW206" s="579"/>
      <c r="BX206" s="579"/>
      <c r="BY206" s="579"/>
      <c r="BZ206" s="579"/>
      <c r="CA206" s="579"/>
      <c r="CB206" s="579"/>
      <c r="CC206" s="579"/>
      <c r="CD206" s="579"/>
      <c r="CE206" s="579"/>
      <c r="CF206" s="579"/>
      <c r="CG206" s="579"/>
      <c r="CH206" s="579"/>
      <c r="CI206" s="579"/>
      <c r="CJ206" s="579"/>
      <c r="CK206" s="579"/>
      <c r="CL206" s="579"/>
      <c r="CM206" s="579"/>
      <c r="CN206" s="579"/>
      <c r="CO206" s="579"/>
      <c r="CP206" s="579"/>
      <c r="CQ206" s="579"/>
      <c r="CR206" s="579"/>
      <c r="CS206" s="579"/>
      <c r="CT206" s="579"/>
      <c r="CU206" s="579"/>
      <c r="CV206" s="579"/>
      <c r="CW206" s="579"/>
      <c r="CX206" s="579"/>
      <c r="CY206" s="579"/>
      <c r="CZ206" s="579"/>
      <c r="DA206" s="579"/>
      <c r="DB206" s="579"/>
      <c r="DC206" s="579"/>
      <c r="DD206" s="579"/>
      <c r="DE206" s="579"/>
      <c r="DF206" s="579"/>
      <c r="DG206" s="579"/>
    </row>
    <row r="207" spans="1:111" s="598" customFormat="1" hidden="1">
      <c r="A207" s="603" t="s">
        <v>90</v>
      </c>
      <c r="B207" s="598">
        <v>49524</v>
      </c>
      <c r="C207" s="598">
        <v>49524</v>
      </c>
      <c r="D207" s="602"/>
      <c r="F207" s="599"/>
      <c r="G207" s="601"/>
      <c r="H207" s="579"/>
      <c r="I207" s="579"/>
      <c r="J207" s="579"/>
      <c r="K207" s="579"/>
      <c r="L207" s="579"/>
      <c r="M207" s="579"/>
      <c r="N207" s="225"/>
      <c r="O207" s="579"/>
      <c r="P207" s="579"/>
      <c r="Q207" s="579"/>
      <c r="R207" s="579"/>
      <c r="S207" s="579"/>
      <c r="T207" s="579"/>
      <c r="U207" s="579"/>
      <c r="V207" s="579"/>
      <c r="W207" s="579"/>
      <c r="X207" s="579"/>
      <c r="Y207" s="579"/>
      <c r="Z207" s="579"/>
      <c r="AA207" s="579"/>
      <c r="AB207" s="579"/>
      <c r="AC207" s="579"/>
      <c r="AD207" s="579"/>
      <c r="AE207" s="579"/>
      <c r="AF207" s="579"/>
      <c r="AG207" s="579"/>
      <c r="AH207" s="579"/>
      <c r="AI207" s="579"/>
      <c r="AJ207" s="579"/>
      <c r="AK207" s="579"/>
      <c r="AL207" s="579"/>
      <c r="AM207" s="579"/>
      <c r="AN207" s="579"/>
      <c r="AO207" s="579"/>
      <c r="AP207" s="579"/>
      <c r="AQ207" s="579"/>
      <c r="AR207" s="579"/>
      <c r="AS207" s="579"/>
      <c r="AT207" s="579"/>
      <c r="AU207" s="579"/>
      <c r="AV207" s="579"/>
      <c r="AW207" s="579"/>
      <c r="AX207" s="579"/>
      <c r="AY207" s="579"/>
      <c r="AZ207" s="579"/>
      <c r="BA207" s="579"/>
      <c r="BB207" s="579"/>
      <c r="BC207" s="579"/>
      <c r="BD207" s="579"/>
      <c r="BE207" s="579"/>
      <c r="BF207" s="579"/>
      <c r="BG207" s="579"/>
      <c r="BH207" s="579"/>
      <c r="BI207" s="579"/>
      <c r="BJ207" s="579"/>
      <c r="BK207" s="579"/>
      <c r="BL207" s="579"/>
      <c r="BM207" s="579"/>
      <c r="BN207" s="579"/>
      <c r="BO207" s="579"/>
      <c r="BP207" s="579"/>
      <c r="BQ207" s="579"/>
      <c r="BR207" s="579"/>
      <c r="BS207" s="579"/>
      <c r="BT207" s="579"/>
      <c r="BU207" s="579"/>
      <c r="BV207" s="579"/>
      <c r="BW207" s="579"/>
      <c r="BX207" s="579"/>
      <c r="BY207" s="579"/>
      <c r="BZ207" s="579"/>
      <c r="CA207" s="579"/>
      <c r="CB207" s="579"/>
      <c r="CC207" s="579"/>
      <c r="CD207" s="579"/>
      <c r="CE207" s="579"/>
      <c r="CF207" s="579"/>
      <c r="CG207" s="579"/>
      <c r="CH207" s="579"/>
      <c r="CI207" s="579"/>
      <c r="CJ207" s="579"/>
      <c r="CK207" s="579"/>
      <c r="CL207" s="579"/>
      <c r="CM207" s="579"/>
      <c r="CN207" s="579"/>
      <c r="CO207" s="579"/>
      <c r="CP207" s="579"/>
      <c r="CQ207" s="579"/>
      <c r="CR207" s="579"/>
      <c r="CS207" s="579"/>
      <c r="CT207" s="579"/>
      <c r="CU207" s="579"/>
      <c r="CV207" s="579"/>
      <c r="CW207" s="579"/>
      <c r="CX207" s="579"/>
      <c r="CY207" s="579"/>
      <c r="CZ207" s="579"/>
      <c r="DA207" s="579"/>
      <c r="DB207" s="579"/>
      <c r="DC207" s="579"/>
      <c r="DD207" s="579"/>
      <c r="DE207" s="579"/>
      <c r="DF207" s="579"/>
      <c r="DG207" s="579"/>
    </row>
    <row r="208" spans="1:111" s="598" customFormat="1" hidden="1">
      <c r="A208" s="603" t="s">
        <v>89</v>
      </c>
      <c r="B208" s="598">
        <v>50285</v>
      </c>
      <c r="C208" s="598">
        <v>50285</v>
      </c>
      <c r="D208" s="602"/>
      <c r="F208" s="599"/>
      <c r="G208" s="601"/>
      <c r="H208" s="579"/>
      <c r="I208" s="579"/>
      <c r="J208" s="579"/>
      <c r="K208" s="579"/>
      <c r="L208" s="579"/>
      <c r="M208" s="579"/>
      <c r="N208" s="225"/>
      <c r="O208" s="579"/>
      <c r="P208" s="579"/>
      <c r="Q208" s="579"/>
      <c r="R208" s="579"/>
      <c r="S208" s="579"/>
      <c r="T208" s="579"/>
      <c r="U208" s="579"/>
      <c r="V208" s="579"/>
      <c r="W208" s="579"/>
      <c r="X208" s="579"/>
      <c r="Y208" s="579"/>
      <c r="Z208" s="579"/>
      <c r="AA208" s="579"/>
      <c r="AB208" s="579"/>
      <c r="AC208" s="579"/>
      <c r="AD208" s="579"/>
      <c r="AE208" s="579"/>
      <c r="AF208" s="579"/>
      <c r="AG208" s="579"/>
      <c r="AH208" s="579"/>
      <c r="AI208" s="579"/>
      <c r="AJ208" s="579"/>
      <c r="AK208" s="579"/>
      <c r="AL208" s="579"/>
      <c r="AM208" s="579"/>
      <c r="AN208" s="579"/>
      <c r="AO208" s="579"/>
      <c r="AP208" s="579"/>
      <c r="AQ208" s="579"/>
      <c r="AR208" s="579"/>
      <c r="AS208" s="579"/>
      <c r="AT208" s="579"/>
      <c r="AU208" s="579"/>
      <c r="AV208" s="579"/>
      <c r="AW208" s="579"/>
      <c r="AX208" s="579"/>
      <c r="AY208" s="579"/>
      <c r="AZ208" s="579"/>
      <c r="BA208" s="579"/>
      <c r="BB208" s="579"/>
      <c r="BC208" s="579"/>
      <c r="BD208" s="579"/>
      <c r="BE208" s="579"/>
      <c r="BF208" s="579"/>
      <c r="BG208" s="579"/>
      <c r="BH208" s="579"/>
      <c r="BI208" s="579"/>
      <c r="BJ208" s="579"/>
      <c r="BK208" s="579"/>
      <c r="BL208" s="579"/>
      <c r="BM208" s="579"/>
      <c r="BN208" s="579"/>
      <c r="BO208" s="579"/>
      <c r="BP208" s="579"/>
      <c r="BQ208" s="579"/>
      <c r="BR208" s="579"/>
      <c r="BS208" s="579"/>
      <c r="BT208" s="579"/>
      <c r="BU208" s="579"/>
      <c r="BV208" s="579"/>
      <c r="BW208" s="579"/>
      <c r="BX208" s="579"/>
      <c r="BY208" s="579"/>
      <c r="BZ208" s="579"/>
      <c r="CA208" s="579"/>
      <c r="CB208" s="579"/>
      <c r="CC208" s="579"/>
      <c r="CD208" s="579"/>
      <c r="CE208" s="579"/>
      <c r="CF208" s="579"/>
      <c r="CG208" s="579"/>
      <c r="CH208" s="579"/>
      <c r="CI208" s="579"/>
      <c r="CJ208" s="579"/>
      <c r="CK208" s="579"/>
      <c r="CL208" s="579"/>
      <c r="CM208" s="579"/>
      <c r="CN208" s="579"/>
      <c r="CO208" s="579"/>
      <c r="CP208" s="579"/>
      <c r="CQ208" s="579"/>
      <c r="CR208" s="579"/>
      <c r="CS208" s="579"/>
      <c r="CT208" s="579"/>
      <c r="CU208" s="579"/>
      <c r="CV208" s="579"/>
      <c r="CW208" s="579"/>
      <c r="CX208" s="579"/>
      <c r="CY208" s="579"/>
      <c r="CZ208" s="579"/>
      <c r="DA208" s="579"/>
      <c r="DB208" s="579"/>
      <c r="DC208" s="579"/>
      <c r="DD208" s="579"/>
      <c r="DE208" s="579"/>
      <c r="DF208" s="579"/>
      <c r="DG208" s="579"/>
    </row>
    <row r="209" spans="1:111" s="598" customFormat="1" hidden="1">
      <c r="A209" s="603" t="s">
        <v>88</v>
      </c>
      <c r="B209" s="598">
        <v>51059</v>
      </c>
      <c r="C209" s="598">
        <v>51059</v>
      </c>
      <c r="D209" s="602"/>
      <c r="F209" s="599"/>
      <c r="G209" s="601"/>
      <c r="H209" s="579"/>
      <c r="I209" s="579"/>
      <c r="J209" s="579"/>
      <c r="K209" s="579"/>
      <c r="L209" s="579"/>
      <c r="M209" s="579"/>
      <c r="N209" s="225"/>
      <c r="O209" s="579"/>
      <c r="P209" s="579"/>
      <c r="Q209" s="579"/>
      <c r="R209" s="579"/>
      <c r="S209" s="579"/>
      <c r="T209" s="579"/>
      <c r="U209" s="579"/>
      <c r="V209" s="579"/>
      <c r="W209" s="579"/>
      <c r="X209" s="579"/>
      <c r="Y209" s="579"/>
      <c r="Z209" s="579"/>
      <c r="AA209" s="579"/>
      <c r="AB209" s="579"/>
      <c r="AC209" s="579"/>
      <c r="AD209" s="579"/>
      <c r="AE209" s="579"/>
      <c r="AF209" s="579"/>
      <c r="AG209" s="579"/>
      <c r="AH209" s="579"/>
      <c r="AI209" s="579"/>
      <c r="AJ209" s="579"/>
      <c r="AK209" s="579"/>
      <c r="AL209" s="579"/>
      <c r="AM209" s="579"/>
      <c r="AN209" s="579"/>
      <c r="AO209" s="579"/>
      <c r="AP209" s="579"/>
      <c r="AQ209" s="579"/>
      <c r="AR209" s="579"/>
      <c r="AS209" s="579"/>
      <c r="AT209" s="579"/>
      <c r="AU209" s="579"/>
      <c r="AV209" s="579"/>
      <c r="AW209" s="579"/>
      <c r="AX209" s="579"/>
      <c r="AY209" s="579"/>
      <c r="AZ209" s="579"/>
      <c r="BA209" s="579"/>
      <c r="BB209" s="579"/>
      <c r="BC209" s="579"/>
      <c r="BD209" s="579"/>
      <c r="BE209" s="579"/>
      <c r="BF209" s="579"/>
      <c r="BG209" s="579"/>
      <c r="BH209" s="579"/>
      <c r="BI209" s="579"/>
      <c r="BJ209" s="579"/>
      <c r="BK209" s="579"/>
      <c r="BL209" s="579"/>
      <c r="BM209" s="579"/>
      <c r="BN209" s="579"/>
      <c r="BO209" s="579"/>
      <c r="BP209" s="579"/>
      <c r="BQ209" s="579"/>
      <c r="BR209" s="579"/>
      <c r="BS209" s="579"/>
      <c r="BT209" s="579"/>
      <c r="BU209" s="579"/>
      <c r="BV209" s="579"/>
      <c r="BW209" s="579"/>
      <c r="BX209" s="579"/>
      <c r="BY209" s="579"/>
      <c r="BZ209" s="579"/>
      <c r="CA209" s="579"/>
      <c r="CB209" s="579"/>
      <c r="CC209" s="579"/>
      <c r="CD209" s="579"/>
      <c r="CE209" s="579"/>
      <c r="CF209" s="579"/>
      <c r="CG209" s="579"/>
      <c r="CH209" s="579"/>
      <c r="CI209" s="579"/>
      <c r="CJ209" s="579"/>
      <c r="CK209" s="579"/>
      <c r="CL209" s="579"/>
      <c r="CM209" s="579"/>
      <c r="CN209" s="579"/>
      <c r="CO209" s="579"/>
      <c r="CP209" s="579"/>
      <c r="CQ209" s="579"/>
      <c r="CR209" s="579"/>
      <c r="CS209" s="579"/>
      <c r="CT209" s="579"/>
      <c r="CU209" s="579"/>
      <c r="CV209" s="579"/>
      <c r="CW209" s="579"/>
      <c r="CX209" s="579"/>
      <c r="CY209" s="579"/>
      <c r="CZ209" s="579"/>
      <c r="DA209" s="579"/>
      <c r="DB209" s="579"/>
      <c r="DC209" s="579"/>
      <c r="DD209" s="579"/>
      <c r="DE209" s="579"/>
      <c r="DF209" s="579"/>
      <c r="DG209" s="579"/>
    </row>
    <row r="210" spans="1:111" s="598" customFormat="1" hidden="1">
      <c r="A210" s="603" t="s">
        <v>87</v>
      </c>
      <c r="B210" s="598">
        <v>51538</v>
      </c>
      <c r="C210" s="598">
        <v>51538</v>
      </c>
      <c r="D210" s="602"/>
      <c r="F210" s="599"/>
      <c r="G210" s="601"/>
      <c r="H210" s="579"/>
      <c r="I210" s="579"/>
      <c r="J210" s="579"/>
      <c r="K210" s="579"/>
      <c r="L210" s="579"/>
      <c r="M210" s="579"/>
      <c r="N210" s="225"/>
      <c r="O210" s="579"/>
      <c r="P210" s="579"/>
      <c r="Q210" s="579"/>
      <c r="R210" s="579"/>
      <c r="S210" s="579"/>
      <c r="T210" s="579"/>
      <c r="U210" s="579"/>
      <c r="V210" s="579"/>
      <c r="W210" s="579"/>
      <c r="X210" s="579"/>
      <c r="Y210" s="579"/>
      <c r="Z210" s="579"/>
      <c r="AA210" s="579"/>
      <c r="AB210" s="579"/>
      <c r="AC210" s="579"/>
      <c r="AD210" s="579"/>
      <c r="AE210" s="579"/>
      <c r="AF210" s="579"/>
      <c r="AG210" s="579"/>
      <c r="AH210" s="579"/>
      <c r="AI210" s="579"/>
      <c r="AJ210" s="579"/>
      <c r="AK210" s="579"/>
      <c r="AL210" s="579"/>
      <c r="AM210" s="579"/>
      <c r="AN210" s="579"/>
      <c r="AO210" s="579"/>
      <c r="AP210" s="579"/>
      <c r="AQ210" s="579"/>
      <c r="AR210" s="579"/>
      <c r="AS210" s="579"/>
      <c r="AT210" s="579"/>
      <c r="AU210" s="579"/>
      <c r="AV210" s="579"/>
      <c r="AW210" s="579"/>
      <c r="AX210" s="579"/>
      <c r="AY210" s="579"/>
      <c r="AZ210" s="579"/>
      <c r="BA210" s="579"/>
      <c r="BB210" s="579"/>
      <c r="BC210" s="579"/>
      <c r="BD210" s="579"/>
      <c r="BE210" s="579"/>
      <c r="BF210" s="579"/>
      <c r="BG210" s="579"/>
      <c r="BH210" s="579"/>
      <c r="BI210" s="579"/>
      <c r="BJ210" s="579"/>
      <c r="BK210" s="579"/>
      <c r="BL210" s="579"/>
      <c r="BM210" s="579"/>
      <c r="BN210" s="579"/>
      <c r="BO210" s="579"/>
      <c r="BP210" s="579"/>
      <c r="BQ210" s="579"/>
      <c r="BR210" s="579"/>
      <c r="BS210" s="579"/>
      <c r="BT210" s="579"/>
      <c r="BU210" s="579"/>
      <c r="BV210" s="579"/>
      <c r="BW210" s="579"/>
      <c r="BX210" s="579"/>
      <c r="BY210" s="579"/>
      <c r="BZ210" s="579"/>
      <c r="CA210" s="579"/>
      <c r="CB210" s="579"/>
      <c r="CC210" s="579"/>
      <c r="CD210" s="579"/>
      <c r="CE210" s="579"/>
      <c r="CF210" s="579"/>
      <c r="CG210" s="579"/>
      <c r="CH210" s="579"/>
      <c r="CI210" s="579"/>
      <c r="CJ210" s="579"/>
      <c r="CK210" s="579"/>
      <c r="CL210" s="579"/>
      <c r="CM210" s="579"/>
      <c r="CN210" s="579"/>
      <c r="CO210" s="579"/>
      <c r="CP210" s="579"/>
      <c r="CQ210" s="579"/>
      <c r="CR210" s="579"/>
      <c r="CS210" s="579"/>
      <c r="CT210" s="579"/>
      <c r="CU210" s="579"/>
      <c r="CV210" s="579"/>
      <c r="CW210" s="579"/>
      <c r="CX210" s="579"/>
      <c r="CY210" s="579"/>
      <c r="CZ210" s="579"/>
      <c r="DA210" s="579"/>
      <c r="DB210" s="579"/>
      <c r="DC210" s="579"/>
      <c r="DD210" s="579"/>
      <c r="DE210" s="579"/>
      <c r="DF210" s="579"/>
      <c r="DG210" s="579"/>
    </row>
    <row r="211" spans="1:111" s="598" customFormat="1" hidden="1">
      <c r="A211" s="603" t="s">
        <v>86</v>
      </c>
      <c r="B211" s="598">
        <v>52331</v>
      </c>
      <c r="C211" s="598">
        <v>52331</v>
      </c>
      <c r="D211" s="602"/>
      <c r="F211" s="599"/>
      <c r="G211" s="601"/>
      <c r="H211" s="579"/>
      <c r="I211" s="579"/>
      <c r="J211" s="579"/>
      <c r="K211" s="579"/>
      <c r="L211" s="579"/>
      <c r="M211" s="579"/>
      <c r="N211" s="225"/>
      <c r="O211" s="579"/>
      <c r="P211" s="579"/>
      <c r="Q211" s="579"/>
      <c r="R211" s="579"/>
      <c r="S211" s="579"/>
      <c r="T211" s="579"/>
      <c r="U211" s="579"/>
      <c r="V211" s="579"/>
      <c r="W211" s="579"/>
      <c r="X211" s="579"/>
      <c r="Y211" s="579"/>
      <c r="Z211" s="579"/>
      <c r="AA211" s="579"/>
      <c r="AB211" s="579"/>
      <c r="AC211" s="579"/>
      <c r="AD211" s="579"/>
      <c r="AE211" s="579"/>
      <c r="AF211" s="579"/>
      <c r="AG211" s="579"/>
      <c r="AH211" s="579"/>
      <c r="AI211" s="579"/>
      <c r="AJ211" s="579"/>
      <c r="AK211" s="579"/>
      <c r="AL211" s="579"/>
      <c r="AM211" s="579"/>
      <c r="AN211" s="579"/>
      <c r="AO211" s="579"/>
      <c r="AP211" s="579"/>
      <c r="AQ211" s="579"/>
      <c r="AR211" s="579"/>
      <c r="AS211" s="579"/>
      <c r="AT211" s="579"/>
      <c r="AU211" s="579"/>
      <c r="AV211" s="579"/>
      <c r="AW211" s="579"/>
      <c r="AX211" s="579"/>
      <c r="AY211" s="579"/>
      <c r="AZ211" s="579"/>
      <c r="BA211" s="579"/>
      <c r="BB211" s="579"/>
      <c r="BC211" s="579"/>
      <c r="BD211" s="579"/>
      <c r="BE211" s="579"/>
      <c r="BF211" s="579"/>
      <c r="BG211" s="579"/>
      <c r="BH211" s="579"/>
      <c r="BI211" s="579"/>
      <c r="BJ211" s="579"/>
      <c r="BK211" s="579"/>
      <c r="BL211" s="579"/>
      <c r="BM211" s="579"/>
      <c r="BN211" s="579"/>
      <c r="BO211" s="579"/>
      <c r="BP211" s="579"/>
      <c r="BQ211" s="579"/>
      <c r="BR211" s="579"/>
      <c r="BS211" s="579"/>
      <c r="BT211" s="579"/>
      <c r="BU211" s="579"/>
      <c r="BV211" s="579"/>
      <c r="BW211" s="579"/>
      <c r="BX211" s="579"/>
      <c r="BY211" s="579"/>
      <c r="BZ211" s="579"/>
      <c r="CA211" s="579"/>
      <c r="CB211" s="579"/>
      <c r="CC211" s="579"/>
      <c r="CD211" s="579"/>
      <c r="CE211" s="579"/>
      <c r="CF211" s="579"/>
      <c r="CG211" s="579"/>
      <c r="CH211" s="579"/>
      <c r="CI211" s="579"/>
      <c r="CJ211" s="579"/>
      <c r="CK211" s="579"/>
      <c r="CL211" s="579"/>
      <c r="CM211" s="579"/>
      <c r="CN211" s="579"/>
      <c r="CO211" s="579"/>
      <c r="CP211" s="579"/>
      <c r="CQ211" s="579"/>
      <c r="CR211" s="579"/>
      <c r="CS211" s="579"/>
      <c r="CT211" s="579"/>
      <c r="CU211" s="579"/>
      <c r="CV211" s="579"/>
      <c r="CW211" s="579"/>
      <c r="CX211" s="579"/>
      <c r="CY211" s="579"/>
      <c r="CZ211" s="579"/>
      <c r="DA211" s="579"/>
      <c r="DB211" s="579"/>
      <c r="DC211" s="579"/>
      <c r="DD211" s="579"/>
      <c r="DE211" s="579"/>
      <c r="DF211" s="579"/>
      <c r="DG211" s="579"/>
    </row>
    <row r="212" spans="1:111" s="598" customFormat="1" hidden="1">
      <c r="A212" s="603" t="s">
        <v>85</v>
      </c>
      <c r="B212" s="598">
        <v>53137</v>
      </c>
      <c r="C212" s="598">
        <v>53137</v>
      </c>
      <c r="D212" s="602"/>
      <c r="F212" s="599"/>
      <c r="G212" s="601"/>
      <c r="H212" s="579"/>
      <c r="I212" s="579"/>
      <c r="J212" s="579"/>
      <c r="K212" s="579"/>
      <c r="L212" s="579"/>
      <c r="M212" s="579"/>
      <c r="N212" s="225"/>
      <c r="O212" s="579"/>
      <c r="P212" s="579"/>
      <c r="Q212" s="579"/>
      <c r="R212" s="579"/>
      <c r="S212" s="579"/>
      <c r="T212" s="579"/>
      <c r="U212" s="579"/>
      <c r="V212" s="579"/>
      <c r="W212" s="579"/>
      <c r="X212" s="579"/>
      <c r="Y212" s="579"/>
      <c r="Z212" s="579"/>
      <c r="AA212" s="579"/>
      <c r="AB212" s="579"/>
      <c r="AC212" s="579"/>
      <c r="AD212" s="579"/>
      <c r="AE212" s="579"/>
      <c r="AF212" s="579"/>
      <c r="AG212" s="579"/>
      <c r="AH212" s="579"/>
      <c r="AI212" s="579"/>
      <c r="AJ212" s="579"/>
      <c r="AK212" s="579"/>
      <c r="AL212" s="579"/>
      <c r="AM212" s="579"/>
      <c r="AN212" s="579"/>
      <c r="AO212" s="579"/>
      <c r="AP212" s="579"/>
      <c r="AQ212" s="579"/>
      <c r="AR212" s="579"/>
      <c r="AS212" s="579"/>
      <c r="AT212" s="579"/>
      <c r="AU212" s="579"/>
      <c r="AV212" s="579"/>
      <c r="AW212" s="579"/>
      <c r="AX212" s="579"/>
      <c r="AY212" s="579"/>
      <c r="AZ212" s="579"/>
      <c r="BA212" s="579"/>
      <c r="BB212" s="579"/>
      <c r="BC212" s="579"/>
      <c r="BD212" s="579"/>
      <c r="BE212" s="579"/>
      <c r="BF212" s="579"/>
      <c r="BG212" s="579"/>
      <c r="BH212" s="579"/>
      <c r="BI212" s="579"/>
      <c r="BJ212" s="579"/>
      <c r="BK212" s="579"/>
      <c r="BL212" s="579"/>
      <c r="BM212" s="579"/>
      <c r="BN212" s="579"/>
      <c r="BO212" s="579"/>
      <c r="BP212" s="579"/>
      <c r="BQ212" s="579"/>
      <c r="BR212" s="579"/>
      <c r="BS212" s="579"/>
      <c r="BT212" s="579"/>
      <c r="BU212" s="579"/>
      <c r="BV212" s="579"/>
      <c r="BW212" s="579"/>
      <c r="BX212" s="579"/>
      <c r="BY212" s="579"/>
      <c r="BZ212" s="579"/>
      <c r="CA212" s="579"/>
      <c r="CB212" s="579"/>
      <c r="CC212" s="579"/>
      <c r="CD212" s="579"/>
      <c r="CE212" s="579"/>
      <c r="CF212" s="579"/>
      <c r="CG212" s="579"/>
      <c r="CH212" s="579"/>
      <c r="CI212" s="579"/>
      <c r="CJ212" s="579"/>
      <c r="CK212" s="579"/>
      <c r="CL212" s="579"/>
      <c r="CM212" s="579"/>
      <c r="CN212" s="579"/>
      <c r="CO212" s="579"/>
      <c r="CP212" s="579"/>
      <c r="CQ212" s="579"/>
      <c r="CR212" s="579"/>
      <c r="CS212" s="579"/>
      <c r="CT212" s="579"/>
      <c r="CU212" s="579"/>
      <c r="CV212" s="579"/>
      <c r="CW212" s="579"/>
      <c r="CX212" s="579"/>
      <c r="CY212" s="579"/>
      <c r="CZ212" s="579"/>
      <c r="DA212" s="579"/>
      <c r="DB212" s="579"/>
      <c r="DC212" s="579"/>
      <c r="DD212" s="579"/>
      <c r="DE212" s="579"/>
      <c r="DF212" s="579"/>
      <c r="DG212" s="579"/>
    </row>
    <row r="213" spans="1:111" s="598" customFormat="1" hidden="1">
      <c r="A213" s="603" t="s">
        <v>84</v>
      </c>
      <c r="B213" s="598">
        <v>53956</v>
      </c>
      <c r="C213" s="598">
        <v>53956</v>
      </c>
      <c r="D213" s="602"/>
      <c r="F213" s="599"/>
      <c r="G213" s="601"/>
      <c r="H213" s="579"/>
      <c r="I213" s="579"/>
      <c r="J213" s="579"/>
      <c r="K213" s="579"/>
      <c r="L213" s="579"/>
      <c r="M213" s="579"/>
      <c r="N213" s="225"/>
      <c r="O213" s="579"/>
      <c r="P213" s="579"/>
      <c r="Q213" s="579"/>
      <c r="R213" s="579"/>
      <c r="S213" s="579"/>
      <c r="T213" s="579"/>
      <c r="U213" s="579"/>
      <c r="V213" s="579"/>
      <c r="W213" s="579"/>
      <c r="X213" s="579"/>
      <c r="Y213" s="579"/>
      <c r="Z213" s="579"/>
      <c r="AA213" s="579"/>
      <c r="AB213" s="579"/>
      <c r="AC213" s="579"/>
      <c r="AD213" s="579"/>
      <c r="AE213" s="579"/>
      <c r="AF213" s="579"/>
      <c r="AG213" s="579"/>
      <c r="AH213" s="579"/>
      <c r="AI213" s="579"/>
      <c r="AJ213" s="579"/>
      <c r="AK213" s="579"/>
      <c r="AL213" s="579"/>
      <c r="AM213" s="579"/>
      <c r="AN213" s="579"/>
      <c r="AO213" s="579"/>
      <c r="AP213" s="579"/>
      <c r="AQ213" s="579"/>
      <c r="AR213" s="579"/>
      <c r="AS213" s="579"/>
      <c r="AT213" s="579"/>
      <c r="AU213" s="579"/>
      <c r="AV213" s="579"/>
      <c r="AW213" s="579"/>
      <c r="AX213" s="579"/>
      <c r="AY213" s="579"/>
      <c r="AZ213" s="579"/>
      <c r="BA213" s="579"/>
      <c r="BB213" s="579"/>
      <c r="BC213" s="579"/>
      <c r="BD213" s="579"/>
      <c r="BE213" s="579"/>
      <c r="BF213" s="579"/>
      <c r="BG213" s="579"/>
      <c r="BH213" s="579"/>
      <c r="BI213" s="579"/>
      <c r="BJ213" s="579"/>
      <c r="BK213" s="579"/>
      <c r="BL213" s="579"/>
      <c r="BM213" s="579"/>
      <c r="BN213" s="579"/>
      <c r="BO213" s="579"/>
      <c r="BP213" s="579"/>
      <c r="BQ213" s="579"/>
      <c r="BR213" s="579"/>
      <c r="BS213" s="579"/>
      <c r="BT213" s="579"/>
      <c r="BU213" s="579"/>
      <c r="BV213" s="579"/>
      <c r="BW213" s="579"/>
      <c r="BX213" s="579"/>
      <c r="BY213" s="579"/>
      <c r="BZ213" s="579"/>
      <c r="CA213" s="579"/>
      <c r="CB213" s="579"/>
      <c r="CC213" s="579"/>
      <c r="CD213" s="579"/>
      <c r="CE213" s="579"/>
      <c r="CF213" s="579"/>
      <c r="CG213" s="579"/>
      <c r="CH213" s="579"/>
      <c r="CI213" s="579"/>
      <c r="CJ213" s="579"/>
      <c r="CK213" s="579"/>
      <c r="CL213" s="579"/>
      <c r="CM213" s="579"/>
      <c r="CN213" s="579"/>
      <c r="CO213" s="579"/>
      <c r="CP213" s="579"/>
      <c r="CQ213" s="579"/>
      <c r="CR213" s="579"/>
      <c r="CS213" s="579"/>
      <c r="CT213" s="579"/>
      <c r="CU213" s="579"/>
      <c r="CV213" s="579"/>
      <c r="CW213" s="579"/>
      <c r="CX213" s="579"/>
      <c r="CY213" s="579"/>
      <c r="CZ213" s="579"/>
      <c r="DA213" s="579"/>
      <c r="DB213" s="579"/>
      <c r="DC213" s="579"/>
      <c r="DD213" s="579"/>
      <c r="DE213" s="579"/>
      <c r="DF213" s="579"/>
      <c r="DG213" s="579"/>
    </row>
    <row r="214" spans="1:111" s="598" customFormat="1" hidden="1">
      <c r="A214" s="603" t="s">
        <v>83</v>
      </c>
      <c r="B214" s="598">
        <v>54789</v>
      </c>
      <c r="C214" s="598">
        <v>54789</v>
      </c>
      <c r="D214" s="602"/>
      <c r="F214" s="599"/>
      <c r="G214" s="601"/>
      <c r="H214" s="579"/>
      <c r="I214" s="579"/>
      <c r="J214" s="579"/>
      <c r="K214" s="579"/>
      <c r="L214" s="579"/>
      <c r="M214" s="579"/>
      <c r="N214" s="225"/>
      <c r="O214" s="579"/>
      <c r="P214" s="579"/>
      <c r="Q214" s="579"/>
      <c r="R214" s="579"/>
      <c r="S214" s="579"/>
      <c r="T214" s="579"/>
      <c r="U214" s="579"/>
      <c r="V214" s="579"/>
      <c r="W214" s="579"/>
      <c r="X214" s="579"/>
      <c r="Y214" s="579"/>
      <c r="Z214" s="579"/>
      <c r="AA214" s="579"/>
      <c r="AB214" s="579"/>
      <c r="AC214" s="579"/>
      <c r="AD214" s="579"/>
      <c r="AE214" s="579"/>
      <c r="AF214" s="579"/>
      <c r="AG214" s="579"/>
      <c r="AH214" s="579"/>
      <c r="AI214" s="579"/>
      <c r="AJ214" s="579"/>
      <c r="AK214" s="579"/>
      <c r="AL214" s="579"/>
      <c r="AM214" s="579"/>
      <c r="AN214" s="579"/>
      <c r="AO214" s="579"/>
      <c r="AP214" s="579"/>
      <c r="AQ214" s="579"/>
      <c r="AR214" s="579"/>
      <c r="AS214" s="579"/>
      <c r="AT214" s="579"/>
      <c r="AU214" s="579"/>
      <c r="AV214" s="579"/>
      <c r="AW214" s="579"/>
      <c r="AX214" s="579"/>
      <c r="AY214" s="579"/>
      <c r="AZ214" s="579"/>
      <c r="BA214" s="579"/>
      <c r="BB214" s="579"/>
      <c r="BC214" s="579"/>
      <c r="BD214" s="579"/>
      <c r="BE214" s="579"/>
      <c r="BF214" s="579"/>
      <c r="BG214" s="579"/>
      <c r="BH214" s="579"/>
      <c r="BI214" s="579"/>
      <c r="BJ214" s="579"/>
      <c r="BK214" s="579"/>
      <c r="BL214" s="579"/>
      <c r="BM214" s="579"/>
      <c r="BN214" s="579"/>
      <c r="BO214" s="579"/>
      <c r="BP214" s="579"/>
      <c r="BQ214" s="579"/>
      <c r="BR214" s="579"/>
      <c r="BS214" s="579"/>
      <c r="BT214" s="579"/>
      <c r="BU214" s="579"/>
      <c r="BV214" s="579"/>
      <c r="BW214" s="579"/>
      <c r="BX214" s="579"/>
      <c r="BY214" s="579"/>
      <c r="BZ214" s="579"/>
      <c r="CA214" s="579"/>
      <c r="CB214" s="579"/>
      <c r="CC214" s="579"/>
      <c r="CD214" s="579"/>
      <c r="CE214" s="579"/>
      <c r="CF214" s="579"/>
      <c r="CG214" s="579"/>
      <c r="CH214" s="579"/>
      <c r="CI214" s="579"/>
      <c r="CJ214" s="579"/>
      <c r="CK214" s="579"/>
      <c r="CL214" s="579"/>
      <c r="CM214" s="579"/>
      <c r="CN214" s="579"/>
      <c r="CO214" s="579"/>
      <c r="CP214" s="579"/>
      <c r="CQ214" s="579"/>
      <c r="CR214" s="579"/>
      <c r="CS214" s="579"/>
      <c r="CT214" s="579"/>
      <c r="CU214" s="579"/>
      <c r="CV214" s="579"/>
      <c r="CW214" s="579"/>
      <c r="CX214" s="579"/>
      <c r="CY214" s="579"/>
      <c r="CZ214" s="579"/>
      <c r="DA214" s="579"/>
      <c r="DB214" s="579"/>
      <c r="DC214" s="579"/>
      <c r="DD214" s="579"/>
      <c r="DE214" s="579"/>
      <c r="DF214" s="579"/>
      <c r="DG214" s="579"/>
    </row>
    <row r="215" spans="1:111" s="598" customFormat="1" hidden="1">
      <c r="A215" s="603" t="s">
        <v>82</v>
      </c>
      <c r="B215" s="598">
        <v>55636</v>
      </c>
      <c r="C215" s="598">
        <v>55636</v>
      </c>
      <c r="D215" s="602"/>
      <c r="F215" s="599"/>
      <c r="G215" s="601"/>
      <c r="H215" s="579"/>
      <c r="I215" s="579"/>
      <c r="J215" s="579"/>
      <c r="K215" s="579"/>
      <c r="L215" s="579"/>
      <c r="M215" s="579"/>
      <c r="N215" s="225"/>
      <c r="O215" s="579"/>
      <c r="P215" s="579"/>
      <c r="Q215" s="579"/>
      <c r="R215" s="579"/>
      <c r="S215" s="579"/>
      <c r="T215" s="579"/>
      <c r="U215" s="579"/>
      <c r="V215" s="579"/>
      <c r="W215" s="579"/>
      <c r="X215" s="579"/>
      <c r="Y215" s="579"/>
      <c r="Z215" s="579"/>
      <c r="AA215" s="579"/>
      <c r="AB215" s="579"/>
      <c r="AC215" s="579"/>
      <c r="AD215" s="579"/>
      <c r="AE215" s="579"/>
      <c r="AF215" s="579"/>
      <c r="AG215" s="579"/>
      <c r="AH215" s="579"/>
      <c r="AI215" s="579"/>
      <c r="AJ215" s="579"/>
      <c r="AK215" s="579"/>
      <c r="AL215" s="579"/>
      <c r="AM215" s="579"/>
      <c r="AN215" s="579"/>
      <c r="AO215" s="579"/>
      <c r="AP215" s="579"/>
      <c r="AQ215" s="579"/>
      <c r="AR215" s="579"/>
      <c r="AS215" s="579"/>
      <c r="AT215" s="579"/>
      <c r="AU215" s="579"/>
      <c r="AV215" s="579"/>
      <c r="AW215" s="579"/>
      <c r="AX215" s="579"/>
      <c r="AY215" s="579"/>
      <c r="AZ215" s="579"/>
      <c r="BA215" s="579"/>
      <c r="BB215" s="579"/>
      <c r="BC215" s="579"/>
      <c r="BD215" s="579"/>
      <c r="BE215" s="579"/>
      <c r="BF215" s="579"/>
      <c r="BG215" s="579"/>
      <c r="BH215" s="579"/>
      <c r="BI215" s="579"/>
      <c r="BJ215" s="579"/>
      <c r="BK215" s="579"/>
      <c r="BL215" s="579"/>
      <c r="BM215" s="579"/>
      <c r="BN215" s="579"/>
      <c r="BO215" s="579"/>
      <c r="BP215" s="579"/>
      <c r="BQ215" s="579"/>
      <c r="BR215" s="579"/>
      <c r="BS215" s="579"/>
      <c r="BT215" s="579"/>
      <c r="BU215" s="579"/>
      <c r="BV215" s="579"/>
      <c r="BW215" s="579"/>
      <c r="BX215" s="579"/>
      <c r="BY215" s="579"/>
      <c r="BZ215" s="579"/>
      <c r="CA215" s="579"/>
      <c r="CB215" s="579"/>
      <c r="CC215" s="579"/>
      <c r="CD215" s="579"/>
      <c r="CE215" s="579"/>
      <c r="CF215" s="579"/>
      <c r="CG215" s="579"/>
      <c r="CH215" s="579"/>
      <c r="CI215" s="579"/>
      <c r="CJ215" s="579"/>
      <c r="CK215" s="579"/>
      <c r="CL215" s="579"/>
      <c r="CM215" s="579"/>
      <c r="CN215" s="579"/>
      <c r="CO215" s="579"/>
      <c r="CP215" s="579"/>
      <c r="CQ215" s="579"/>
      <c r="CR215" s="579"/>
      <c r="CS215" s="579"/>
      <c r="CT215" s="579"/>
      <c r="CU215" s="579"/>
      <c r="CV215" s="579"/>
      <c r="CW215" s="579"/>
      <c r="CX215" s="579"/>
      <c r="CY215" s="579"/>
      <c r="CZ215" s="579"/>
      <c r="DA215" s="579"/>
      <c r="DB215" s="579"/>
      <c r="DC215" s="579"/>
      <c r="DD215" s="579"/>
      <c r="DE215" s="579"/>
      <c r="DF215" s="579"/>
      <c r="DG215" s="579"/>
    </row>
    <row r="216" spans="1:111" s="598" customFormat="1" hidden="1">
      <c r="A216" s="603" t="s">
        <v>81</v>
      </c>
      <c r="B216" s="598">
        <v>56496</v>
      </c>
      <c r="C216" s="598">
        <v>56496</v>
      </c>
      <c r="D216" s="602"/>
      <c r="F216" s="599"/>
      <c r="G216" s="601"/>
      <c r="H216" s="579"/>
      <c r="I216" s="579"/>
      <c r="J216" s="579"/>
      <c r="K216" s="579"/>
      <c r="L216" s="579"/>
      <c r="M216" s="579"/>
      <c r="N216" s="225"/>
      <c r="O216" s="579"/>
      <c r="P216" s="579"/>
      <c r="Q216" s="579"/>
      <c r="R216" s="579"/>
      <c r="S216" s="579"/>
      <c r="T216" s="579"/>
      <c r="U216" s="579"/>
      <c r="V216" s="579"/>
      <c r="W216" s="579"/>
      <c r="X216" s="579"/>
      <c r="Y216" s="579"/>
      <c r="Z216" s="579"/>
      <c r="AA216" s="579"/>
      <c r="AB216" s="579"/>
      <c r="AC216" s="579"/>
      <c r="AD216" s="579"/>
      <c r="AE216" s="579"/>
      <c r="AF216" s="579"/>
      <c r="AG216" s="579"/>
      <c r="AH216" s="579"/>
      <c r="AI216" s="579"/>
      <c r="AJ216" s="579"/>
      <c r="AK216" s="579"/>
      <c r="AL216" s="579"/>
      <c r="AM216" s="579"/>
      <c r="AN216" s="579"/>
      <c r="AO216" s="579"/>
      <c r="AP216" s="579"/>
      <c r="AQ216" s="579"/>
      <c r="AR216" s="579"/>
      <c r="AS216" s="579"/>
      <c r="AT216" s="579"/>
      <c r="AU216" s="579"/>
      <c r="AV216" s="579"/>
      <c r="AW216" s="579"/>
      <c r="AX216" s="579"/>
      <c r="AY216" s="579"/>
      <c r="AZ216" s="579"/>
      <c r="BA216" s="579"/>
      <c r="BB216" s="579"/>
      <c r="BC216" s="579"/>
      <c r="BD216" s="579"/>
      <c r="BE216" s="579"/>
      <c r="BF216" s="579"/>
      <c r="BG216" s="579"/>
      <c r="BH216" s="579"/>
      <c r="BI216" s="579"/>
      <c r="BJ216" s="579"/>
      <c r="BK216" s="579"/>
      <c r="BL216" s="579"/>
      <c r="BM216" s="579"/>
      <c r="BN216" s="579"/>
      <c r="BO216" s="579"/>
      <c r="BP216" s="579"/>
      <c r="BQ216" s="579"/>
      <c r="BR216" s="579"/>
      <c r="BS216" s="579"/>
      <c r="BT216" s="579"/>
      <c r="BU216" s="579"/>
      <c r="BV216" s="579"/>
      <c r="BW216" s="579"/>
      <c r="BX216" s="579"/>
      <c r="BY216" s="579"/>
      <c r="BZ216" s="579"/>
      <c r="CA216" s="579"/>
      <c r="CB216" s="579"/>
      <c r="CC216" s="579"/>
      <c r="CD216" s="579"/>
      <c r="CE216" s="579"/>
      <c r="CF216" s="579"/>
      <c r="CG216" s="579"/>
      <c r="CH216" s="579"/>
      <c r="CI216" s="579"/>
      <c r="CJ216" s="579"/>
      <c r="CK216" s="579"/>
      <c r="CL216" s="579"/>
      <c r="CM216" s="579"/>
      <c r="CN216" s="579"/>
      <c r="CO216" s="579"/>
      <c r="CP216" s="579"/>
      <c r="CQ216" s="579"/>
      <c r="CR216" s="579"/>
      <c r="CS216" s="579"/>
      <c r="CT216" s="579"/>
      <c r="CU216" s="579"/>
      <c r="CV216" s="579"/>
      <c r="CW216" s="579"/>
      <c r="CX216" s="579"/>
      <c r="CY216" s="579"/>
      <c r="CZ216" s="579"/>
      <c r="DA216" s="579"/>
      <c r="DB216" s="579"/>
      <c r="DC216" s="579"/>
      <c r="DD216" s="579"/>
      <c r="DE216" s="579"/>
      <c r="DF216" s="579"/>
      <c r="DG216" s="579"/>
    </row>
    <row r="217" spans="1:111" s="598" customFormat="1" hidden="1">
      <c r="A217" s="603" t="s">
        <v>80</v>
      </c>
      <c r="B217" s="598">
        <v>57370</v>
      </c>
      <c r="C217" s="598">
        <v>57370</v>
      </c>
      <c r="D217" s="602"/>
      <c r="F217" s="599"/>
      <c r="G217" s="601"/>
      <c r="H217" s="579"/>
      <c r="I217" s="579"/>
      <c r="J217" s="579"/>
      <c r="K217" s="579"/>
      <c r="L217" s="579"/>
      <c r="M217" s="579"/>
      <c r="N217" s="225"/>
      <c r="O217" s="579"/>
      <c r="P217" s="579"/>
      <c r="Q217" s="579"/>
      <c r="R217" s="579"/>
      <c r="S217" s="579"/>
      <c r="T217" s="579"/>
      <c r="U217" s="579"/>
      <c r="V217" s="579"/>
      <c r="W217" s="579"/>
      <c r="X217" s="579"/>
      <c r="Y217" s="579"/>
      <c r="Z217" s="579"/>
      <c r="AA217" s="579"/>
      <c r="AB217" s="579"/>
      <c r="AC217" s="579"/>
      <c r="AD217" s="579"/>
      <c r="AE217" s="579"/>
      <c r="AF217" s="579"/>
      <c r="AG217" s="579"/>
      <c r="AH217" s="579"/>
      <c r="AI217" s="579"/>
      <c r="AJ217" s="579"/>
      <c r="AK217" s="579"/>
      <c r="AL217" s="579"/>
      <c r="AM217" s="579"/>
      <c r="AN217" s="579"/>
      <c r="AO217" s="579"/>
      <c r="AP217" s="579"/>
      <c r="AQ217" s="579"/>
      <c r="AR217" s="579"/>
      <c r="AS217" s="579"/>
      <c r="AT217" s="579"/>
      <c r="AU217" s="579"/>
      <c r="AV217" s="579"/>
      <c r="AW217" s="579"/>
      <c r="AX217" s="579"/>
      <c r="AY217" s="579"/>
      <c r="AZ217" s="579"/>
      <c r="BA217" s="579"/>
      <c r="BB217" s="579"/>
      <c r="BC217" s="579"/>
      <c r="BD217" s="579"/>
      <c r="BE217" s="579"/>
      <c r="BF217" s="579"/>
      <c r="BG217" s="579"/>
      <c r="BH217" s="579"/>
      <c r="BI217" s="579"/>
      <c r="BJ217" s="579"/>
      <c r="BK217" s="579"/>
      <c r="BL217" s="579"/>
      <c r="BM217" s="579"/>
      <c r="BN217" s="579"/>
      <c r="BO217" s="579"/>
      <c r="BP217" s="579"/>
      <c r="BQ217" s="579"/>
      <c r="BR217" s="579"/>
      <c r="BS217" s="579"/>
      <c r="BT217" s="579"/>
      <c r="BU217" s="579"/>
      <c r="BV217" s="579"/>
      <c r="BW217" s="579"/>
      <c r="BX217" s="579"/>
      <c r="BY217" s="579"/>
      <c r="BZ217" s="579"/>
      <c r="CA217" s="579"/>
      <c r="CB217" s="579"/>
      <c r="CC217" s="579"/>
      <c r="CD217" s="579"/>
      <c r="CE217" s="579"/>
      <c r="CF217" s="579"/>
      <c r="CG217" s="579"/>
      <c r="CH217" s="579"/>
      <c r="CI217" s="579"/>
      <c r="CJ217" s="579"/>
      <c r="CK217" s="579"/>
      <c r="CL217" s="579"/>
      <c r="CM217" s="579"/>
      <c r="CN217" s="579"/>
      <c r="CO217" s="579"/>
      <c r="CP217" s="579"/>
      <c r="CQ217" s="579"/>
      <c r="CR217" s="579"/>
      <c r="CS217" s="579"/>
      <c r="CT217" s="579"/>
      <c r="CU217" s="579"/>
      <c r="CV217" s="579"/>
      <c r="CW217" s="579"/>
      <c r="CX217" s="579"/>
      <c r="CY217" s="579"/>
      <c r="CZ217" s="579"/>
      <c r="DA217" s="579"/>
      <c r="DB217" s="579"/>
      <c r="DC217" s="579"/>
      <c r="DD217" s="579"/>
      <c r="DE217" s="579"/>
      <c r="DF217" s="579"/>
      <c r="DG217" s="579"/>
    </row>
    <row r="218" spans="1:111" s="598" customFormat="1" hidden="1">
      <c r="A218" s="603" t="s">
        <v>79</v>
      </c>
      <c r="B218" s="598">
        <v>57856</v>
      </c>
      <c r="C218" s="598">
        <v>57856</v>
      </c>
      <c r="D218" s="602"/>
      <c r="F218" s="599"/>
      <c r="G218" s="601"/>
      <c r="H218" s="579"/>
      <c r="I218" s="579"/>
      <c r="J218" s="579"/>
      <c r="K218" s="579"/>
      <c r="L218" s="579"/>
      <c r="M218" s="579"/>
      <c r="N218" s="225"/>
      <c r="O218" s="579"/>
      <c r="P218" s="579"/>
      <c r="Q218" s="579"/>
      <c r="R218" s="579"/>
      <c r="S218" s="579"/>
      <c r="T218" s="579"/>
      <c r="U218" s="579"/>
      <c r="V218" s="579"/>
      <c r="W218" s="579"/>
      <c r="X218" s="579"/>
      <c r="Y218" s="579"/>
      <c r="Z218" s="579"/>
      <c r="AA218" s="579"/>
      <c r="AB218" s="579"/>
      <c r="AC218" s="579"/>
      <c r="AD218" s="579"/>
      <c r="AE218" s="579"/>
      <c r="AF218" s="579"/>
      <c r="AG218" s="579"/>
      <c r="AH218" s="579"/>
      <c r="AI218" s="579"/>
      <c r="AJ218" s="579"/>
      <c r="AK218" s="579"/>
      <c r="AL218" s="579"/>
      <c r="AM218" s="579"/>
      <c r="AN218" s="579"/>
      <c r="AO218" s="579"/>
      <c r="AP218" s="579"/>
      <c r="AQ218" s="579"/>
      <c r="AR218" s="579"/>
      <c r="AS218" s="579"/>
      <c r="AT218" s="579"/>
      <c r="AU218" s="579"/>
      <c r="AV218" s="579"/>
      <c r="AW218" s="579"/>
      <c r="AX218" s="579"/>
      <c r="AY218" s="579"/>
      <c r="AZ218" s="579"/>
      <c r="BA218" s="579"/>
      <c r="BB218" s="579"/>
      <c r="BC218" s="579"/>
      <c r="BD218" s="579"/>
      <c r="BE218" s="579"/>
      <c r="BF218" s="579"/>
      <c r="BG218" s="579"/>
      <c r="BH218" s="579"/>
      <c r="BI218" s="579"/>
      <c r="BJ218" s="579"/>
      <c r="BK218" s="579"/>
      <c r="BL218" s="579"/>
      <c r="BM218" s="579"/>
      <c r="BN218" s="579"/>
      <c r="BO218" s="579"/>
      <c r="BP218" s="579"/>
      <c r="BQ218" s="579"/>
      <c r="BR218" s="579"/>
      <c r="BS218" s="579"/>
      <c r="BT218" s="579"/>
      <c r="BU218" s="579"/>
      <c r="BV218" s="579"/>
      <c r="BW218" s="579"/>
      <c r="BX218" s="579"/>
      <c r="BY218" s="579"/>
      <c r="BZ218" s="579"/>
      <c r="CA218" s="579"/>
      <c r="CB218" s="579"/>
      <c r="CC218" s="579"/>
      <c r="CD218" s="579"/>
      <c r="CE218" s="579"/>
      <c r="CF218" s="579"/>
      <c r="CG218" s="579"/>
      <c r="CH218" s="579"/>
      <c r="CI218" s="579"/>
      <c r="CJ218" s="579"/>
      <c r="CK218" s="579"/>
      <c r="CL218" s="579"/>
      <c r="CM218" s="579"/>
      <c r="CN218" s="579"/>
      <c r="CO218" s="579"/>
      <c r="CP218" s="579"/>
      <c r="CQ218" s="579"/>
      <c r="CR218" s="579"/>
      <c r="CS218" s="579"/>
      <c r="CT218" s="579"/>
      <c r="CU218" s="579"/>
      <c r="CV218" s="579"/>
      <c r="CW218" s="579"/>
      <c r="CX218" s="579"/>
      <c r="CY218" s="579"/>
      <c r="CZ218" s="579"/>
      <c r="DA218" s="579"/>
      <c r="DB218" s="579"/>
      <c r="DC218" s="579"/>
      <c r="DD218" s="579"/>
      <c r="DE218" s="579"/>
      <c r="DF218" s="579"/>
      <c r="DG218" s="579"/>
    </row>
    <row r="219" spans="1:111" s="598" customFormat="1" hidden="1">
      <c r="A219" s="603" t="s">
        <v>78</v>
      </c>
      <c r="B219" s="598">
        <v>58752</v>
      </c>
      <c r="C219" s="598">
        <v>58752</v>
      </c>
      <c r="D219" s="602"/>
      <c r="F219" s="599"/>
      <c r="G219" s="601"/>
      <c r="H219" s="579"/>
      <c r="I219" s="579"/>
      <c r="J219" s="579"/>
      <c r="K219" s="579"/>
      <c r="L219" s="579"/>
      <c r="M219" s="579"/>
      <c r="N219" s="225"/>
      <c r="O219" s="579"/>
      <c r="P219" s="579"/>
      <c r="Q219" s="579"/>
      <c r="R219" s="579"/>
      <c r="S219" s="579"/>
      <c r="T219" s="579"/>
      <c r="U219" s="579"/>
      <c r="V219" s="579"/>
      <c r="W219" s="579"/>
      <c r="X219" s="579"/>
      <c r="Y219" s="579"/>
      <c r="Z219" s="579"/>
      <c r="AA219" s="579"/>
      <c r="AB219" s="579"/>
      <c r="AC219" s="579"/>
      <c r="AD219" s="579"/>
      <c r="AE219" s="579"/>
      <c r="AF219" s="579"/>
      <c r="AG219" s="579"/>
      <c r="AH219" s="579"/>
      <c r="AI219" s="579"/>
      <c r="AJ219" s="579"/>
      <c r="AK219" s="579"/>
      <c r="AL219" s="579"/>
      <c r="AM219" s="579"/>
      <c r="AN219" s="579"/>
      <c r="AO219" s="579"/>
      <c r="AP219" s="579"/>
      <c r="AQ219" s="579"/>
      <c r="AR219" s="579"/>
      <c r="AS219" s="579"/>
      <c r="AT219" s="579"/>
      <c r="AU219" s="579"/>
      <c r="AV219" s="579"/>
      <c r="AW219" s="579"/>
      <c r="AX219" s="579"/>
      <c r="AY219" s="579"/>
      <c r="AZ219" s="579"/>
      <c r="BA219" s="579"/>
      <c r="BB219" s="579"/>
      <c r="BC219" s="579"/>
      <c r="BD219" s="579"/>
      <c r="BE219" s="579"/>
      <c r="BF219" s="579"/>
      <c r="BG219" s="579"/>
      <c r="BH219" s="579"/>
      <c r="BI219" s="579"/>
      <c r="BJ219" s="579"/>
      <c r="BK219" s="579"/>
      <c r="BL219" s="579"/>
      <c r="BM219" s="579"/>
      <c r="BN219" s="579"/>
      <c r="BO219" s="579"/>
      <c r="BP219" s="579"/>
      <c r="BQ219" s="579"/>
      <c r="BR219" s="579"/>
      <c r="BS219" s="579"/>
      <c r="BT219" s="579"/>
      <c r="BU219" s="579"/>
      <c r="BV219" s="579"/>
      <c r="BW219" s="579"/>
      <c r="BX219" s="579"/>
      <c r="BY219" s="579"/>
      <c r="BZ219" s="579"/>
      <c r="CA219" s="579"/>
      <c r="CB219" s="579"/>
      <c r="CC219" s="579"/>
      <c r="CD219" s="579"/>
      <c r="CE219" s="579"/>
      <c r="CF219" s="579"/>
      <c r="CG219" s="579"/>
      <c r="CH219" s="579"/>
      <c r="CI219" s="579"/>
      <c r="CJ219" s="579"/>
      <c r="CK219" s="579"/>
      <c r="CL219" s="579"/>
      <c r="CM219" s="579"/>
      <c r="CN219" s="579"/>
      <c r="CO219" s="579"/>
      <c r="CP219" s="579"/>
      <c r="CQ219" s="579"/>
      <c r="CR219" s="579"/>
      <c r="CS219" s="579"/>
      <c r="CT219" s="579"/>
      <c r="CU219" s="579"/>
      <c r="CV219" s="579"/>
      <c r="CW219" s="579"/>
      <c r="CX219" s="579"/>
      <c r="CY219" s="579"/>
      <c r="CZ219" s="579"/>
      <c r="DA219" s="579"/>
      <c r="DB219" s="579"/>
      <c r="DC219" s="579"/>
      <c r="DD219" s="579"/>
      <c r="DE219" s="579"/>
      <c r="DF219" s="579"/>
      <c r="DG219" s="579"/>
    </row>
    <row r="220" spans="1:111" s="598" customFormat="1" hidden="1">
      <c r="A220" s="603" t="s">
        <v>77</v>
      </c>
      <c r="B220" s="598">
        <v>59663</v>
      </c>
      <c r="C220" s="598">
        <v>59663</v>
      </c>
      <c r="D220" s="602"/>
      <c r="F220" s="599"/>
      <c r="G220" s="601"/>
      <c r="H220" s="579"/>
      <c r="I220" s="579"/>
      <c r="J220" s="579"/>
      <c r="K220" s="579"/>
      <c r="L220" s="579"/>
      <c r="M220" s="579"/>
      <c r="N220" s="225"/>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579"/>
      <c r="CB220" s="579"/>
      <c r="CC220" s="579"/>
      <c r="CD220" s="579"/>
      <c r="CE220" s="579"/>
      <c r="CF220" s="579"/>
      <c r="CG220" s="579"/>
      <c r="CH220" s="579"/>
      <c r="CI220" s="579"/>
      <c r="CJ220" s="579"/>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row>
    <row r="221" spans="1:111" s="598" customFormat="1" hidden="1">
      <c r="A221" s="603" t="s">
        <v>76</v>
      </c>
      <c r="B221" s="598">
        <v>60588</v>
      </c>
      <c r="C221" s="598">
        <v>60588</v>
      </c>
      <c r="D221" s="602"/>
      <c r="F221" s="599"/>
      <c r="G221" s="601"/>
      <c r="H221" s="579"/>
      <c r="I221" s="579"/>
      <c r="J221" s="579"/>
      <c r="K221" s="579"/>
      <c r="L221" s="579"/>
      <c r="M221" s="579"/>
      <c r="N221" s="225"/>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579"/>
      <c r="CB221" s="579"/>
      <c r="CC221" s="579"/>
      <c r="CD221" s="579"/>
      <c r="CE221" s="579"/>
      <c r="CF221" s="579"/>
      <c r="CG221" s="579"/>
      <c r="CH221" s="579"/>
      <c r="CI221" s="579"/>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row>
    <row r="222" spans="1:111" s="598" customFormat="1" hidden="1">
      <c r="A222" s="603" t="s">
        <v>75</v>
      </c>
      <c r="B222" s="598">
        <v>61530</v>
      </c>
      <c r="C222" s="598">
        <v>61530</v>
      </c>
      <c r="D222" s="602"/>
      <c r="F222" s="599"/>
      <c r="G222" s="601"/>
      <c r="H222" s="579"/>
      <c r="I222" s="579"/>
      <c r="J222" s="579"/>
      <c r="K222" s="579"/>
      <c r="L222" s="579"/>
      <c r="M222" s="579"/>
      <c r="N222" s="225"/>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579"/>
      <c r="CB222" s="579"/>
      <c r="CC222" s="579"/>
      <c r="CD222" s="579"/>
      <c r="CE222" s="579"/>
      <c r="CF222" s="579"/>
      <c r="CG222" s="579"/>
      <c r="CH222" s="579"/>
      <c r="CI222" s="579"/>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row>
    <row r="223" spans="1:111" s="598" customFormat="1" hidden="1">
      <c r="A223" s="603" t="s">
        <v>74</v>
      </c>
      <c r="B223" s="598">
        <v>62485</v>
      </c>
      <c r="C223" s="598">
        <v>62485</v>
      </c>
      <c r="D223" s="602"/>
      <c r="F223" s="599"/>
      <c r="G223" s="601"/>
      <c r="H223" s="579"/>
      <c r="I223" s="579"/>
      <c r="J223" s="579"/>
      <c r="K223" s="579"/>
      <c r="L223" s="579"/>
      <c r="M223" s="579"/>
      <c r="N223" s="225"/>
      <c r="O223" s="579"/>
      <c r="P223" s="579"/>
      <c r="Q223" s="579"/>
      <c r="R223" s="579"/>
      <c r="S223" s="579"/>
      <c r="T223" s="579"/>
      <c r="U223" s="579"/>
      <c r="V223" s="579"/>
      <c r="W223" s="579"/>
      <c r="X223" s="579"/>
      <c r="Y223" s="579"/>
      <c r="Z223" s="579"/>
      <c r="AA223" s="579"/>
      <c r="AB223" s="579"/>
      <c r="AC223" s="579"/>
      <c r="AD223" s="579"/>
      <c r="AE223" s="579"/>
      <c r="AF223" s="579"/>
      <c r="AG223" s="579"/>
      <c r="AH223" s="579"/>
      <c r="AI223" s="579"/>
      <c r="AJ223" s="579"/>
      <c r="AK223" s="579"/>
      <c r="AL223" s="579"/>
      <c r="AM223" s="579"/>
      <c r="AN223" s="579"/>
      <c r="AO223" s="579"/>
      <c r="AP223" s="579"/>
      <c r="AQ223" s="579"/>
      <c r="AR223" s="579"/>
      <c r="AS223" s="579"/>
      <c r="AT223" s="579"/>
      <c r="AU223" s="579"/>
      <c r="AV223" s="579"/>
      <c r="AW223" s="579"/>
      <c r="AX223" s="579"/>
      <c r="AY223" s="579"/>
      <c r="AZ223" s="579"/>
      <c r="BA223" s="579"/>
      <c r="BB223" s="579"/>
      <c r="BC223" s="579"/>
      <c r="BD223" s="579"/>
      <c r="BE223" s="579"/>
      <c r="BF223" s="579"/>
      <c r="BG223" s="579"/>
      <c r="BH223" s="579"/>
      <c r="BI223" s="579"/>
      <c r="BJ223" s="579"/>
      <c r="BK223" s="579"/>
      <c r="BL223" s="579"/>
      <c r="BM223" s="579"/>
      <c r="BN223" s="579"/>
      <c r="BO223" s="579"/>
      <c r="BP223" s="579"/>
      <c r="BQ223" s="579"/>
      <c r="BR223" s="579"/>
      <c r="BS223" s="579"/>
      <c r="BT223" s="579"/>
      <c r="BU223" s="579"/>
      <c r="BV223" s="579"/>
      <c r="BW223" s="579"/>
      <c r="BX223" s="579"/>
      <c r="BY223" s="579"/>
      <c r="BZ223" s="579"/>
      <c r="CA223" s="579"/>
      <c r="CB223" s="579"/>
      <c r="CC223" s="579"/>
      <c r="CD223" s="579"/>
      <c r="CE223" s="579"/>
      <c r="CF223" s="579"/>
      <c r="CG223" s="579"/>
      <c r="CH223" s="579"/>
      <c r="CI223" s="579"/>
      <c r="CJ223" s="579"/>
      <c r="CK223" s="579"/>
      <c r="CL223" s="579"/>
      <c r="CM223" s="579"/>
      <c r="CN223" s="579"/>
      <c r="CO223" s="579"/>
      <c r="CP223" s="579"/>
      <c r="CQ223" s="579"/>
      <c r="CR223" s="579"/>
      <c r="CS223" s="579"/>
      <c r="CT223" s="579"/>
      <c r="CU223" s="579"/>
      <c r="CV223" s="579"/>
      <c r="CW223" s="579"/>
      <c r="CX223" s="579"/>
      <c r="CY223" s="579"/>
      <c r="CZ223" s="579"/>
      <c r="DA223" s="579"/>
      <c r="DB223" s="579"/>
      <c r="DC223" s="579"/>
      <c r="DD223" s="579"/>
      <c r="DE223" s="579"/>
      <c r="DF223" s="579"/>
      <c r="DG223" s="579"/>
    </row>
    <row r="224" spans="1:111" s="598" customFormat="1" hidden="1">
      <c r="A224" s="603" t="s">
        <v>73</v>
      </c>
      <c r="B224" s="598">
        <v>63457</v>
      </c>
      <c r="C224" s="598">
        <v>63457</v>
      </c>
      <c r="D224" s="602"/>
      <c r="F224" s="599"/>
      <c r="G224" s="601"/>
      <c r="H224" s="579"/>
      <c r="I224" s="579"/>
      <c r="J224" s="579"/>
      <c r="K224" s="579"/>
      <c r="L224" s="579"/>
      <c r="M224" s="579"/>
      <c r="N224" s="225"/>
      <c r="O224" s="579"/>
      <c r="P224" s="579"/>
      <c r="Q224" s="579"/>
      <c r="R224" s="579"/>
      <c r="S224" s="579"/>
      <c r="T224" s="579"/>
      <c r="U224" s="579"/>
      <c r="V224" s="579"/>
      <c r="W224" s="579"/>
      <c r="X224" s="579"/>
      <c r="Y224" s="579"/>
      <c r="Z224" s="579"/>
      <c r="AA224" s="579"/>
      <c r="AB224" s="579"/>
      <c r="AC224" s="579"/>
      <c r="AD224" s="579"/>
      <c r="AE224" s="579"/>
      <c r="AF224" s="579"/>
      <c r="AG224" s="579"/>
      <c r="AH224" s="579"/>
      <c r="AI224" s="579"/>
      <c r="AJ224" s="579"/>
      <c r="AK224" s="579"/>
      <c r="AL224" s="579"/>
      <c r="AM224" s="579"/>
      <c r="AN224" s="579"/>
      <c r="AO224" s="579"/>
      <c r="AP224" s="579"/>
      <c r="AQ224" s="579"/>
      <c r="AR224" s="579"/>
      <c r="AS224" s="579"/>
      <c r="AT224" s="579"/>
      <c r="AU224" s="579"/>
      <c r="AV224" s="579"/>
      <c r="AW224" s="579"/>
      <c r="AX224" s="579"/>
      <c r="AY224" s="579"/>
      <c r="AZ224" s="579"/>
      <c r="BA224" s="579"/>
      <c r="BB224" s="579"/>
      <c r="BC224" s="579"/>
      <c r="BD224" s="579"/>
      <c r="BE224" s="579"/>
      <c r="BF224" s="579"/>
      <c r="BG224" s="579"/>
      <c r="BH224" s="579"/>
      <c r="BI224" s="579"/>
      <c r="BJ224" s="579"/>
      <c r="BK224" s="579"/>
      <c r="BL224" s="579"/>
      <c r="BM224" s="579"/>
      <c r="BN224" s="579"/>
      <c r="BO224" s="579"/>
      <c r="BP224" s="579"/>
      <c r="BQ224" s="579"/>
      <c r="BR224" s="579"/>
      <c r="BS224" s="579"/>
      <c r="BT224" s="579"/>
      <c r="BU224" s="579"/>
      <c r="BV224" s="579"/>
      <c r="BW224" s="579"/>
      <c r="BX224" s="579"/>
      <c r="BY224" s="579"/>
      <c r="BZ224" s="579"/>
      <c r="CA224" s="579"/>
      <c r="CB224" s="579"/>
      <c r="CC224" s="579"/>
      <c r="CD224" s="579"/>
      <c r="CE224" s="579"/>
      <c r="CF224" s="579"/>
      <c r="CG224" s="579"/>
      <c r="CH224" s="579"/>
      <c r="CI224" s="579"/>
      <c r="CJ224" s="579"/>
      <c r="CK224" s="579"/>
      <c r="CL224" s="579"/>
      <c r="CM224" s="579"/>
      <c r="CN224" s="579"/>
      <c r="CO224" s="579"/>
      <c r="CP224" s="579"/>
      <c r="CQ224" s="579"/>
      <c r="CR224" s="579"/>
      <c r="CS224" s="579"/>
      <c r="CT224" s="579"/>
      <c r="CU224" s="579"/>
      <c r="CV224" s="579"/>
      <c r="CW224" s="579"/>
      <c r="CX224" s="579"/>
      <c r="CY224" s="579"/>
      <c r="CZ224" s="579"/>
      <c r="DA224" s="579"/>
      <c r="DB224" s="579"/>
      <c r="DC224" s="579"/>
      <c r="DD224" s="579"/>
      <c r="DE224" s="579"/>
      <c r="DF224" s="579"/>
      <c r="DG224" s="579"/>
    </row>
    <row r="225" spans="1:111" s="598" customFormat="1" hidden="1">
      <c r="A225" s="603" t="s">
        <v>72</v>
      </c>
      <c r="B225" s="598">
        <v>64445</v>
      </c>
      <c r="C225" s="598">
        <v>64445</v>
      </c>
      <c r="D225" s="602"/>
      <c r="F225" s="599"/>
      <c r="G225" s="601"/>
      <c r="H225" s="579"/>
      <c r="I225" s="579"/>
      <c r="J225" s="579"/>
      <c r="K225" s="579"/>
      <c r="L225" s="579"/>
      <c r="M225" s="579"/>
      <c r="N225" s="225"/>
      <c r="O225" s="579"/>
      <c r="P225" s="579"/>
      <c r="Q225" s="579"/>
      <c r="R225" s="579"/>
      <c r="S225" s="579"/>
      <c r="T225" s="579"/>
      <c r="U225" s="579"/>
      <c r="V225" s="579"/>
      <c r="W225" s="579"/>
      <c r="X225" s="579"/>
      <c r="Y225" s="579"/>
      <c r="Z225" s="579"/>
      <c r="AA225" s="579"/>
      <c r="AB225" s="579"/>
      <c r="AC225" s="579"/>
      <c r="AD225" s="579"/>
      <c r="AE225" s="579"/>
      <c r="AF225" s="579"/>
      <c r="AG225" s="579"/>
      <c r="AH225" s="579"/>
      <c r="AI225" s="579"/>
      <c r="AJ225" s="579"/>
      <c r="AK225" s="579"/>
      <c r="AL225" s="579"/>
      <c r="AM225" s="579"/>
      <c r="AN225" s="579"/>
      <c r="AO225" s="579"/>
      <c r="AP225" s="579"/>
      <c r="AQ225" s="579"/>
      <c r="AR225" s="579"/>
      <c r="AS225" s="579"/>
      <c r="AT225" s="579"/>
      <c r="AU225" s="579"/>
      <c r="AV225" s="579"/>
      <c r="AW225" s="579"/>
      <c r="AX225" s="579"/>
      <c r="AY225" s="579"/>
      <c r="AZ225" s="579"/>
      <c r="BA225" s="579"/>
      <c r="BB225" s="579"/>
      <c r="BC225" s="579"/>
      <c r="BD225" s="579"/>
      <c r="BE225" s="579"/>
      <c r="BF225" s="579"/>
      <c r="BG225" s="579"/>
      <c r="BH225" s="579"/>
      <c r="BI225" s="579"/>
      <c r="BJ225" s="579"/>
      <c r="BK225" s="579"/>
      <c r="BL225" s="579"/>
      <c r="BM225" s="579"/>
      <c r="BN225" s="579"/>
      <c r="BO225" s="579"/>
      <c r="BP225" s="579"/>
      <c r="BQ225" s="579"/>
      <c r="BR225" s="579"/>
      <c r="BS225" s="579"/>
      <c r="BT225" s="579"/>
      <c r="BU225" s="579"/>
      <c r="BV225" s="579"/>
      <c r="BW225" s="579"/>
      <c r="BX225" s="579"/>
      <c r="BY225" s="579"/>
      <c r="BZ225" s="579"/>
      <c r="CA225" s="579"/>
      <c r="CB225" s="579"/>
      <c r="CC225" s="579"/>
      <c r="CD225" s="579"/>
      <c r="CE225" s="579"/>
      <c r="CF225" s="579"/>
      <c r="CG225" s="579"/>
      <c r="CH225" s="579"/>
      <c r="CI225" s="579"/>
      <c r="CJ225" s="579"/>
      <c r="CK225" s="579"/>
      <c r="CL225" s="579"/>
      <c r="CM225" s="579"/>
      <c r="CN225" s="579"/>
      <c r="CO225" s="579"/>
      <c r="CP225" s="579"/>
      <c r="CQ225" s="579"/>
      <c r="CR225" s="579"/>
      <c r="CS225" s="579"/>
      <c r="CT225" s="579"/>
      <c r="CU225" s="579"/>
      <c r="CV225" s="579"/>
      <c r="CW225" s="579"/>
      <c r="CX225" s="579"/>
      <c r="CY225" s="579"/>
      <c r="CZ225" s="579"/>
      <c r="DA225" s="579"/>
      <c r="DB225" s="579"/>
      <c r="DC225" s="579"/>
      <c r="DD225" s="579"/>
      <c r="DE225" s="579"/>
      <c r="DF225" s="579"/>
      <c r="DG225" s="579"/>
    </row>
    <row r="226" spans="1:111" s="598" customFormat="1" hidden="1">
      <c r="A226" s="603" t="s">
        <v>71</v>
      </c>
      <c r="B226" s="598">
        <v>64994</v>
      </c>
      <c r="C226" s="598">
        <v>64994</v>
      </c>
      <c r="D226" s="602"/>
      <c r="F226" s="599"/>
      <c r="G226" s="601"/>
      <c r="H226" s="579"/>
      <c r="I226" s="579"/>
      <c r="J226" s="579"/>
      <c r="K226" s="579"/>
      <c r="L226" s="579"/>
      <c r="M226" s="579"/>
      <c r="N226" s="225"/>
      <c r="O226" s="579"/>
      <c r="P226" s="579"/>
      <c r="Q226" s="579"/>
      <c r="R226" s="579"/>
      <c r="S226" s="579"/>
      <c r="T226" s="579"/>
      <c r="U226" s="579"/>
      <c r="V226" s="579"/>
      <c r="W226" s="579"/>
      <c r="X226" s="579"/>
      <c r="Y226" s="579"/>
      <c r="Z226" s="579"/>
      <c r="AA226" s="579"/>
      <c r="AB226" s="579"/>
      <c r="AC226" s="579"/>
      <c r="AD226" s="579"/>
      <c r="AE226" s="579"/>
      <c r="AF226" s="579"/>
      <c r="AG226" s="579"/>
      <c r="AH226" s="579"/>
      <c r="AI226" s="579"/>
      <c r="AJ226" s="579"/>
      <c r="AK226" s="579"/>
      <c r="AL226" s="579"/>
      <c r="AM226" s="579"/>
      <c r="AN226" s="579"/>
      <c r="AO226" s="579"/>
      <c r="AP226" s="579"/>
      <c r="AQ226" s="579"/>
      <c r="AR226" s="579"/>
      <c r="AS226" s="579"/>
      <c r="AT226" s="579"/>
      <c r="AU226" s="579"/>
      <c r="AV226" s="579"/>
      <c r="AW226" s="579"/>
      <c r="AX226" s="579"/>
      <c r="AY226" s="579"/>
      <c r="AZ226" s="579"/>
      <c r="BA226" s="579"/>
      <c r="BB226" s="579"/>
      <c r="BC226" s="579"/>
      <c r="BD226" s="579"/>
      <c r="BE226" s="579"/>
      <c r="BF226" s="579"/>
      <c r="BG226" s="579"/>
      <c r="BH226" s="579"/>
      <c r="BI226" s="579"/>
      <c r="BJ226" s="579"/>
      <c r="BK226" s="579"/>
      <c r="BL226" s="579"/>
      <c r="BM226" s="579"/>
      <c r="BN226" s="579"/>
      <c r="BO226" s="579"/>
      <c r="BP226" s="579"/>
      <c r="BQ226" s="579"/>
      <c r="BR226" s="579"/>
      <c r="BS226" s="579"/>
      <c r="BT226" s="579"/>
      <c r="BU226" s="579"/>
      <c r="BV226" s="579"/>
      <c r="BW226" s="579"/>
      <c r="BX226" s="579"/>
      <c r="BY226" s="579"/>
      <c r="BZ226" s="579"/>
      <c r="CA226" s="579"/>
      <c r="CB226" s="579"/>
      <c r="CC226" s="579"/>
      <c r="CD226" s="579"/>
      <c r="CE226" s="579"/>
      <c r="CF226" s="579"/>
      <c r="CG226" s="579"/>
      <c r="CH226" s="579"/>
      <c r="CI226" s="579"/>
      <c r="CJ226" s="579"/>
      <c r="CK226" s="579"/>
      <c r="CL226" s="579"/>
      <c r="CM226" s="579"/>
      <c r="CN226" s="579"/>
      <c r="CO226" s="579"/>
      <c r="CP226" s="579"/>
      <c r="CQ226" s="579"/>
      <c r="CR226" s="579"/>
      <c r="CS226" s="579"/>
      <c r="CT226" s="579"/>
      <c r="CU226" s="579"/>
      <c r="CV226" s="579"/>
      <c r="CW226" s="579"/>
      <c r="CX226" s="579"/>
      <c r="CY226" s="579"/>
      <c r="CZ226" s="579"/>
      <c r="DA226" s="579"/>
      <c r="DB226" s="579"/>
      <c r="DC226" s="579"/>
      <c r="DD226" s="579"/>
      <c r="DE226" s="579"/>
      <c r="DF226" s="579"/>
      <c r="DG226" s="579"/>
    </row>
    <row r="227" spans="1:111" s="598" customFormat="1" hidden="1">
      <c r="A227" s="603" t="s">
        <v>70</v>
      </c>
      <c r="B227" s="598">
        <v>66007</v>
      </c>
      <c r="C227" s="598">
        <v>66007</v>
      </c>
      <c r="D227" s="602"/>
      <c r="F227" s="599"/>
      <c r="G227" s="601"/>
      <c r="H227" s="579"/>
      <c r="I227" s="579"/>
      <c r="J227" s="579"/>
      <c r="K227" s="579"/>
      <c r="L227" s="579"/>
      <c r="M227" s="579"/>
      <c r="N227" s="225"/>
      <c r="O227" s="579"/>
      <c r="P227" s="579"/>
      <c r="Q227" s="579"/>
      <c r="R227" s="579"/>
      <c r="S227" s="579"/>
      <c r="T227" s="579"/>
      <c r="U227" s="579"/>
      <c r="V227" s="579"/>
      <c r="W227" s="579"/>
      <c r="X227" s="579"/>
      <c r="Y227" s="579"/>
      <c r="Z227" s="579"/>
      <c r="AA227" s="579"/>
      <c r="AB227" s="579"/>
      <c r="AC227" s="579"/>
      <c r="AD227" s="579"/>
      <c r="AE227" s="579"/>
      <c r="AF227" s="579"/>
      <c r="AG227" s="579"/>
      <c r="AH227" s="579"/>
      <c r="AI227" s="579"/>
      <c r="AJ227" s="579"/>
      <c r="AK227" s="579"/>
      <c r="AL227" s="579"/>
      <c r="AM227" s="579"/>
      <c r="AN227" s="579"/>
      <c r="AO227" s="579"/>
      <c r="AP227" s="579"/>
      <c r="AQ227" s="579"/>
      <c r="AR227" s="579"/>
      <c r="AS227" s="579"/>
      <c r="AT227" s="579"/>
      <c r="AU227" s="579"/>
      <c r="AV227" s="579"/>
      <c r="AW227" s="579"/>
      <c r="AX227" s="579"/>
      <c r="AY227" s="579"/>
      <c r="AZ227" s="579"/>
      <c r="BA227" s="579"/>
      <c r="BB227" s="579"/>
      <c r="BC227" s="579"/>
      <c r="BD227" s="579"/>
      <c r="BE227" s="579"/>
      <c r="BF227" s="579"/>
      <c r="BG227" s="579"/>
      <c r="BH227" s="579"/>
      <c r="BI227" s="579"/>
      <c r="BJ227" s="579"/>
      <c r="BK227" s="579"/>
      <c r="BL227" s="579"/>
      <c r="BM227" s="579"/>
      <c r="BN227" s="579"/>
      <c r="BO227" s="579"/>
      <c r="BP227" s="579"/>
      <c r="BQ227" s="579"/>
      <c r="BR227" s="579"/>
      <c r="BS227" s="579"/>
      <c r="BT227" s="579"/>
      <c r="BU227" s="579"/>
      <c r="BV227" s="579"/>
      <c r="BW227" s="579"/>
      <c r="BX227" s="579"/>
      <c r="BY227" s="579"/>
      <c r="BZ227" s="579"/>
      <c r="CA227" s="579"/>
      <c r="CB227" s="579"/>
      <c r="CC227" s="579"/>
      <c r="CD227" s="579"/>
      <c r="CE227" s="579"/>
      <c r="CF227" s="579"/>
      <c r="CG227" s="579"/>
      <c r="CH227" s="579"/>
      <c r="CI227" s="579"/>
      <c r="CJ227" s="579"/>
      <c r="CK227" s="579"/>
      <c r="CL227" s="579"/>
      <c r="CM227" s="579"/>
      <c r="CN227" s="579"/>
      <c r="CO227" s="579"/>
      <c r="CP227" s="579"/>
      <c r="CQ227" s="579"/>
      <c r="CR227" s="579"/>
      <c r="CS227" s="579"/>
      <c r="CT227" s="579"/>
      <c r="CU227" s="579"/>
      <c r="CV227" s="579"/>
      <c r="CW227" s="579"/>
      <c r="CX227" s="579"/>
      <c r="CY227" s="579"/>
      <c r="CZ227" s="579"/>
      <c r="DA227" s="579"/>
      <c r="DB227" s="579"/>
      <c r="DC227" s="579"/>
      <c r="DD227" s="579"/>
      <c r="DE227" s="579"/>
      <c r="DF227" s="579"/>
      <c r="DG227" s="579"/>
    </row>
    <row r="228" spans="1:111" s="598" customFormat="1" hidden="1">
      <c r="A228" s="603" t="s">
        <v>69</v>
      </c>
      <c r="B228" s="598">
        <v>67037</v>
      </c>
      <c r="C228" s="598">
        <v>67037</v>
      </c>
      <c r="D228" s="602"/>
      <c r="F228" s="599"/>
      <c r="G228" s="601"/>
      <c r="H228" s="579"/>
      <c r="I228" s="579"/>
      <c r="J228" s="579"/>
      <c r="K228" s="579"/>
      <c r="L228" s="579"/>
      <c r="M228" s="579"/>
      <c r="N228" s="225"/>
      <c r="O228" s="579"/>
      <c r="P228" s="579"/>
      <c r="Q228" s="579"/>
      <c r="R228" s="579"/>
      <c r="S228" s="579"/>
      <c r="T228" s="579"/>
      <c r="U228" s="579"/>
      <c r="V228" s="579"/>
      <c r="W228" s="579"/>
      <c r="X228" s="579"/>
      <c r="Y228" s="579"/>
      <c r="Z228" s="579"/>
      <c r="AA228" s="579"/>
      <c r="AB228" s="579"/>
      <c r="AC228" s="579"/>
      <c r="AD228" s="579"/>
      <c r="AE228" s="579"/>
      <c r="AF228" s="579"/>
      <c r="AG228" s="579"/>
      <c r="AH228" s="579"/>
      <c r="AI228" s="579"/>
      <c r="AJ228" s="579"/>
      <c r="AK228" s="579"/>
      <c r="AL228" s="579"/>
      <c r="AM228" s="579"/>
      <c r="AN228" s="579"/>
      <c r="AO228" s="579"/>
      <c r="AP228" s="579"/>
      <c r="AQ228" s="579"/>
      <c r="AR228" s="579"/>
      <c r="AS228" s="579"/>
      <c r="AT228" s="579"/>
      <c r="AU228" s="579"/>
      <c r="AV228" s="579"/>
      <c r="AW228" s="579"/>
      <c r="AX228" s="579"/>
      <c r="AY228" s="579"/>
      <c r="AZ228" s="579"/>
      <c r="BA228" s="579"/>
      <c r="BB228" s="579"/>
      <c r="BC228" s="579"/>
      <c r="BD228" s="579"/>
      <c r="BE228" s="579"/>
      <c r="BF228" s="579"/>
      <c r="BG228" s="579"/>
      <c r="BH228" s="579"/>
      <c r="BI228" s="579"/>
      <c r="BJ228" s="579"/>
      <c r="BK228" s="579"/>
      <c r="BL228" s="579"/>
      <c r="BM228" s="579"/>
      <c r="BN228" s="579"/>
      <c r="BO228" s="579"/>
      <c r="BP228" s="579"/>
      <c r="BQ228" s="579"/>
      <c r="BR228" s="579"/>
      <c r="BS228" s="579"/>
      <c r="BT228" s="579"/>
      <c r="BU228" s="579"/>
      <c r="BV228" s="579"/>
      <c r="BW228" s="579"/>
      <c r="BX228" s="579"/>
      <c r="BY228" s="579"/>
      <c r="BZ228" s="579"/>
      <c r="CA228" s="579"/>
      <c r="CB228" s="579"/>
      <c r="CC228" s="579"/>
      <c r="CD228" s="579"/>
      <c r="CE228" s="579"/>
      <c r="CF228" s="579"/>
      <c r="CG228" s="579"/>
      <c r="CH228" s="579"/>
      <c r="CI228" s="579"/>
      <c r="CJ228" s="579"/>
      <c r="CK228" s="579"/>
      <c r="CL228" s="579"/>
      <c r="CM228" s="579"/>
      <c r="CN228" s="579"/>
      <c r="CO228" s="579"/>
      <c r="CP228" s="579"/>
      <c r="CQ228" s="579"/>
      <c r="CR228" s="579"/>
      <c r="CS228" s="579"/>
      <c r="CT228" s="579"/>
      <c r="CU228" s="579"/>
      <c r="CV228" s="579"/>
      <c r="CW228" s="579"/>
      <c r="CX228" s="579"/>
      <c r="CY228" s="579"/>
      <c r="CZ228" s="579"/>
      <c r="DA228" s="579"/>
      <c r="DB228" s="579"/>
      <c r="DC228" s="579"/>
      <c r="DD228" s="579"/>
      <c r="DE228" s="579"/>
      <c r="DF228" s="579"/>
      <c r="DG228" s="579"/>
    </row>
    <row r="229" spans="1:111" s="598" customFormat="1" hidden="1">
      <c r="A229" s="603" t="s">
        <v>68</v>
      </c>
      <c r="B229" s="598">
        <v>68083</v>
      </c>
      <c r="C229" s="598">
        <v>68083</v>
      </c>
      <c r="D229" s="602"/>
      <c r="F229" s="599"/>
      <c r="G229" s="601"/>
      <c r="H229" s="579"/>
      <c r="I229" s="579"/>
      <c r="J229" s="579"/>
      <c r="K229" s="579"/>
      <c r="L229" s="579"/>
      <c r="M229" s="579"/>
      <c r="N229" s="225"/>
      <c r="O229" s="579"/>
      <c r="P229" s="579"/>
      <c r="Q229" s="579"/>
      <c r="R229" s="579"/>
      <c r="S229" s="579"/>
      <c r="T229" s="579"/>
      <c r="U229" s="579"/>
      <c r="V229" s="579"/>
      <c r="W229" s="579"/>
      <c r="X229" s="579"/>
      <c r="Y229" s="579"/>
      <c r="Z229" s="579"/>
      <c r="AA229" s="579"/>
      <c r="AB229" s="579"/>
      <c r="AC229" s="579"/>
      <c r="AD229" s="579"/>
      <c r="AE229" s="579"/>
      <c r="AF229" s="579"/>
      <c r="AG229" s="579"/>
      <c r="AH229" s="579"/>
      <c r="AI229" s="579"/>
      <c r="AJ229" s="579"/>
      <c r="AK229" s="579"/>
      <c r="AL229" s="579"/>
      <c r="AM229" s="579"/>
      <c r="AN229" s="579"/>
      <c r="AO229" s="579"/>
      <c r="AP229" s="579"/>
      <c r="AQ229" s="579"/>
      <c r="AR229" s="579"/>
      <c r="AS229" s="579"/>
      <c r="AT229" s="579"/>
      <c r="AU229" s="579"/>
      <c r="AV229" s="579"/>
      <c r="AW229" s="579"/>
      <c r="AX229" s="579"/>
      <c r="AY229" s="579"/>
      <c r="AZ229" s="579"/>
      <c r="BA229" s="579"/>
      <c r="BB229" s="579"/>
      <c r="BC229" s="579"/>
      <c r="BD229" s="579"/>
      <c r="BE229" s="579"/>
      <c r="BF229" s="579"/>
      <c r="BG229" s="579"/>
      <c r="BH229" s="579"/>
      <c r="BI229" s="579"/>
      <c r="BJ229" s="579"/>
      <c r="BK229" s="579"/>
      <c r="BL229" s="579"/>
      <c r="BM229" s="579"/>
      <c r="BN229" s="579"/>
      <c r="BO229" s="579"/>
      <c r="BP229" s="579"/>
      <c r="BQ229" s="579"/>
      <c r="BR229" s="579"/>
      <c r="BS229" s="579"/>
      <c r="BT229" s="579"/>
      <c r="BU229" s="579"/>
      <c r="BV229" s="579"/>
      <c r="BW229" s="579"/>
      <c r="BX229" s="579"/>
      <c r="BY229" s="579"/>
      <c r="BZ229" s="579"/>
      <c r="CA229" s="579"/>
      <c r="CB229" s="579"/>
      <c r="CC229" s="579"/>
      <c r="CD229" s="579"/>
      <c r="CE229" s="579"/>
      <c r="CF229" s="579"/>
      <c r="CG229" s="579"/>
      <c r="CH229" s="579"/>
      <c r="CI229" s="579"/>
      <c r="CJ229" s="579"/>
      <c r="CK229" s="579"/>
      <c r="CL229" s="579"/>
      <c r="CM229" s="579"/>
      <c r="CN229" s="579"/>
      <c r="CO229" s="579"/>
      <c r="CP229" s="579"/>
      <c r="CQ229" s="579"/>
      <c r="CR229" s="579"/>
      <c r="CS229" s="579"/>
      <c r="CT229" s="579"/>
      <c r="CU229" s="579"/>
      <c r="CV229" s="579"/>
      <c r="CW229" s="579"/>
      <c r="CX229" s="579"/>
      <c r="CY229" s="579"/>
      <c r="CZ229" s="579"/>
      <c r="DA229" s="579"/>
      <c r="DB229" s="579"/>
      <c r="DC229" s="579"/>
      <c r="DD229" s="579"/>
      <c r="DE229" s="579"/>
      <c r="DF229" s="579"/>
      <c r="DG229" s="579"/>
    </row>
    <row r="230" spans="1:111" s="598" customFormat="1" hidden="1">
      <c r="A230" s="603" t="s">
        <v>67</v>
      </c>
      <c r="B230" s="598">
        <v>69146</v>
      </c>
      <c r="C230" s="598">
        <v>69146</v>
      </c>
      <c r="D230" s="602"/>
      <c r="F230" s="599"/>
      <c r="G230" s="601"/>
      <c r="H230" s="579"/>
      <c r="I230" s="579"/>
      <c r="J230" s="579"/>
      <c r="K230" s="579"/>
      <c r="L230" s="579"/>
      <c r="M230" s="579"/>
      <c r="N230" s="225"/>
      <c r="O230" s="579"/>
      <c r="P230" s="579"/>
      <c r="Q230" s="579"/>
      <c r="R230" s="579"/>
      <c r="S230" s="579"/>
      <c r="T230" s="579"/>
      <c r="U230" s="579"/>
      <c r="V230" s="579"/>
      <c r="W230" s="579"/>
      <c r="X230" s="579"/>
      <c r="Y230" s="579"/>
      <c r="Z230" s="579"/>
      <c r="AA230" s="579"/>
      <c r="AB230" s="579"/>
      <c r="AC230" s="579"/>
      <c r="AD230" s="579"/>
      <c r="AE230" s="579"/>
      <c r="AF230" s="579"/>
      <c r="AG230" s="579"/>
      <c r="AH230" s="579"/>
      <c r="AI230" s="579"/>
      <c r="AJ230" s="579"/>
      <c r="AK230" s="579"/>
      <c r="AL230" s="579"/>
      <c r="AM230" s="579"/>
      <c r="AN230" s="579"/>
      <c r="AO230" s="579"/>
      <c r="AP230" s="579"/>
      <c r="AQ230" s="579"/>
      <c r="AR230" s="579"/>
      <c r="AS230" s="579"/>
      <c r="AT230" s="579"/>
      <c r="AU230" s="579"/>
      <c r="AV230" s="579"/>
      <c r="AW230" s="579"/>
      <c r="AX230" s="579"/>
      <c r="AY230" s="579"/>
      <c r="AZ230" s="579"/>
      <c r="BA230" s="579"/>
      <c r="BB230" s="579"/>
      <c r="BC230" s="579"/>
      <c r="BD230" s="579"/>
      <c r="BE230" s="579"/>
      <c r="BF230" s="579"/>
      <c r="BG230" s="579"/>
      <c r="BH230" s="579"/>
      <c r="BI230" s="579"/>
      <c r="BJ230" s="579"/>
      <c r="BK230" s="579"/>
      <c r="BL230" s="579"/>
      <c r="BM230" s="579"/>
      <c r="BN230" s="579"/>
      <c r="BO230" s="579"/>
      <c r="BP230" s="579"/>
      <c r="BQ230" s="579"/>
      <c r="BR230" s="579"/>
      <c r="BS230" s="579"/>
      <c r="BT230" s="579"/>
      <c r="BU230" s="579"/>
      <c r="BV230" s="579"/>
      <c r="BW230" s="579"/>
      <c r="BX230" s="579"/>
      <c r="BY230" s="579"/>
      <c r="BZ230" s="579"/>
      <c r="CA230" s="579"/>
      <c r="CB230" s="579"/>
      <c r="CC230" s="579"/>
      <c r="CD230" s="579"/>
      <c r="CE230" s="579"/>
      <c r="CF230" s="579"/>
      <c r="CG230" s="579"/>
      <c r="CH230" s="579"/>
      <c r="CI230" s="579"/>
      <c r="CJ230" s="579"/>
      <c r="CK230" s="579"/>
      <c r="CL230" s="579"/>
      <c r="CM230" s="579"/>
      <c r="CN230" s="579"/>
      <c r="CO230" s="579"/>
      <c r="CP230" s="579"/>
      <c r="CQ230" s="579"/>
      <c r="CR230" s="579"/>
      <c r="CS230" s="579"/>
      <c r="CT230" s="579"/>
      <c r="CU230" s="579"/>
      <c r="CV230" s="579"/>
      <c r="CW230" s="579"/>
      <c r="CX230" s="579"/>
      <c r="CY230" s="579"/>
      <c r="CZ230" s="579"/>
      <c r="DA230" s="579"/>
      <c r="DB230" s="579"/>
      <c r="DC230" s="579"/>
      <c r="DD230" s="579"/>
      <c r="DE230" s="579"/>
      <c r="DF230" s="579"/>
      <c r="DG230" s="579"/>
    </row>
    <row r="231" spans="1:111" s="598" customFormat="1" hidden="1">
      <c r="A231" s="603" t="s">
        <v>66</v>
      </c>
      <c r="B231" s="598">
        <v>70227</v>
      </c>
      <c r="C231" s="598">
        <v>70227</v>
      </c>
      <c r="D231" s="602"/>
      <c r="F231" s="599"/>
      <c r="G231" s="601"/>
      <c r="H231" s="579"/>
      <c r="I231" s="579"/>
      <c r="J231" s="579"/>
      <c r="K231" s="579"/>
      <c r="L231" s="579"/>
      <c r="M231" s="579"/>
      <c r="N231" s="225"/>
      <c r="O231" s="579"/>
      <c r="P231" s="579"/>
      <c r="Q231" s="579"/>
      <c r="R231" s="579"/>
      <c r="S231" s="579"/>
      <c r="T231" s="579"/>
      <c r="U231" s="579"/>
      <c r="V231" s="579"/>
      <c r="W231" s="579"/>
      <c r="X231" s="579"/>
      <c r="Y231" s="579"/>
      <c r="Z231" s="579"/>
      <c r="AA231" s="579"/>
      <c r="AB231" s="579"/>
      <c r="AC231" s="579"/>
      <c r="AD231" s="579"/>
      <c r="AE231" s="579"/>
      <c r="AF231" s="579"/>
      <c r="AG231" s="579"/>
      <c r="AH231" s="579"/>
      <c r="AI231" s="579"/>
      <c r="AJ231" s="579"/>
      <c r="AK231" s="579"/>
      <c r="AL231" s="579"/>
      <c r="AM231" s="579"/>
      <c r="AN231" s="579"/>
      <c r="AO231" s="579"/>
      <c r="AP231" s="579"/>
      <c r="AQ231" s="579"/>
      <c r="AR231" s="579"/>
      <c r="AS231" s="579"/>
      <c r="AT231" s="579"/>
      <c r="AU231" s="579"/>
      <c r="AV231" s="579"/>
      <c r="AW231" s="579"/>
      <c r="AX231" s="579"/>
      <c r="AY231" s="579"/>
      <c r="AZ231" s="579"/>
      <c r="BA231" s="579"/>
      <c r="BB231" s="579"/>
      <c r="BC231" s="579"/>
      <c r="BD231" s="579"/>
      <c r="BE231" s="579"/>
      <c r="BF231" s="579"/>
      <c r="BG231" s="579"/>
      <c r="BH231" s="579"/>
      <c r="BI231" s="579"/>
      <c r="BJ231" s="579"/>
      <c r="BK231" s="579"/>
      <c r="BL231" s="579"/>
      <c r="BM231" s="579"/>
      <c r="BN231" s="579"/>
      <c r="BO231" s="579"/>
      <c r="BP231" s="579"/>
      <c r="BQ231" s="579"/>
      <c r="BR231" s="579"/>
      <c r="BS231" s="579"/>
      <c r="BT231" s="579"/>
      <c r="BU231" s="579"/>
      <c r="BV231" s="579"/>
      <c r="BW231" s="579"/>
      <c r="BX231" s="579"/>
      <c r="BY231" s="579"/>
      <c r="BZ231" s="579"/>
      <c r="CA231" s="579"/>
      <c r="CB231" s="579"/>
      <c r="CC231" s="579"/>
      <c r="CD231" s="579"/>
      <c r="CE231" s="579"/>
      <c r="CF231" s="579"/>
      <c r="CG231" s="579"/>
      <c r="CH231" s="579"/>
      <c r="CI231" s="579"/>
      <c r="CJ231" s="579"/>
      <c r="CK231" s="579"/>
      <c r="CL231" s="579"/>
      <c r="CM231" s="579"/>
      <c r="CN231" s="579"/>
      <c r="CO231" s="579"/>
      <c r="CP231" s="579"/>
      <c r="CQ231" s="579"/>
      <c r="CR231" s="579"/>
      <c r="CS231" s="579"/>
      <c r="CT231" s="579"/>
      <c r="CU231" s="579"/>
      <c r="CV231" s="579"/>
      <c r="CW231" s="579"/>
      <c r="CX231" s="579"/>
      <c r="CY231" s="579"/>
      <c r="CZ231" s="579"/>
      <c r="DA231" s="579"/>
      <c r="DB231" s="579"/>
      <c r="DC231" s="579"/>
      <c r="DD231" s="579"/>
      <c r="DE231" s="579"/>
      <c r="DF231" s="579"/>
      <c r="DG231" s="579"/>
    </row>
    <row r="232" spans="1:111" s="598" customFormat="1" hidden="1">
      <c r="A232" s="603" t="s">
        <v>65</v>
      </c>
      <c r="B232" s="598">
        <v>71325</v>
      </c>
      <c r="C232" s="598">
        <v>71325</v>
      </c>
      <c r="D232" s="602"/>
      <c r="F232" s="599"/>
      <c r="G232" s="601"/>
      <c r="H232" s="579"/>
      <c r="I232" s="579"/>
      <c r="J232" s="579"/>
      <c r="K232" s="579"/>
      <c r="L232" s="579"/>
      <c r="M232" s="579"/>
      <c r="N232" s="225"/>
      <c r="O232" s="579"/>
      <c r="P232" s="579"/>
      <c r="Q232" s="579"/>
      <c r="R232" s="579"/>
      <c r="S232" s="579"/>
      <c r="T232" s="579"/>
      <c r="U232" s="579"/>
      <c r="V232" s="579"/>
      <c r="W232" s="579"/>
      <c r="X232" s="579"/>
      <c r="Y232" s="579"/>
      <c r="Z232" s="579"/>
      <c r="AA232" s="579"/>
      <c r="AB232" s="579"/>
      <c r="AC232" s="579"/>
      <c r="AD232" s="579"/>
      <c r="AE232" s="579"/>
      <c r="AF232" s="579"/>
      <c r="AG232" s="579"/>
      <c r="AH232" s="579"/>
      <c r="AI232" s="579"/>
      <c r="AJ232" s="579"/>
      <c r="AK232" s="579"/>
      <c r="AL232" s="579"/>
      <c r="AM232" s="579"/>
      <c r="AN232" s="579"/>
      <c r="AO232" s="579"/>
      <c r="AP232" s="579"/>
      <c r="AQ232" s="579"/>
      <c r="AR232" s="579"/>
      <c r="AS232" s="579"/>
      <c r="AT232" s="579"/>
      <c r="AU232" s="579"/>
      <c r="AV232" s="579"/>
      <c r="AW232" s="579"/>
      <c r="AX232" s="579"/>
      <c r="AY232" s="579"/>
      <c r="AZ232" s="579"/>
      <c r="BA232" s="579"/>
      <c r="BB232" s="579"/>
      <c r="BC232" s="579"/>
      <c r="BD232" s="579"/>
      <c r="BE232" s="579"/>
      <c r="BF232" s="579"/>
      <c r="BG232" s="579"/>
      <c r="BH232" s="579"/>
      <c r="BI232" s="579"/>
      <c r="BJ232" s="579"/>
      <c r="BK232" s="579"/>
      <c r="BL232" s="579"/>
      <c r="BM232" s="579"/>
      <c r="BN232" s="579"/>
      <c r="BO232" s="579"/>
      <c r="BP232" s="579"/>
      <c r="BQ232" s="579"/>
      <c r="BR232" s="579"/>
      <c r="BS232" s="579"/>
      <c r="BT232" s="579"/>
      <c r="BU232" s="579"/>
      <c r="BV232" s="579"/>
      <c r="BW232" s="579"/>
      <c r="BX232" s="579"/>
      <c r="BY232" s="579"/>
      <c r="BZ232" s="579"/>
      <c r="CA232" s="579"/>
      <c r="CB232" s="579"/>
      <c r="CC232" s="579"/>
      <c r="CD232" s="579"/>
      <c r="CE232" s="579"/>
      <c r="CF232" s="579"/>
      <c r="CG232" s="579"/>
      <c r="CH232" s="579"/>
      <c r="CI232" s="579"/>
      <c r="CJ232" s="579"/>
      <c r="CK232" s="579"/>
      <c r="CL232" s="579"/>
      <c r="CM232" s="579"/>
      <c r="CN232" s="579"/>
      <c r="CO232" s="579"/>
      <c r="CP232" s="579"/>
      <c r="CQ232" s="579"/>
      <c r="CR232" s="579"/>
      <c r="CS232" s="579"/>
      <c r="CT232" s="579"/>
      <c r="CU232" s="579"/>
      <c r="CV232" s="579"/>
      <c r="CW232" s="579"/>
      <c r="CX232" s="579"/>
      <c r="CY232" s="579"/>
      <c r="CZ232" s="579"/>
      <c r="DA232" s="579"/>
      <c r="DB232" s="579"/>
      <c r="DC232" s="579"/>
      <c r="DD232" s="579"/>
      <c r="DE232" s="579"/>
      <c r="DF232" s="579"/>
      <c r="DG232" s="579"/>
    </row>
    <row r="233" spans="1:111" s="598" customFormat="1" hidden="1">
      <c r="A233" s="603" t="s">
        <v>64</v>
      </c>
      <c r="B233" s="598">
        <v>72440</v>
      </c>
      <c r="C233" s="598">
        <v>72440</v>
      </c>
      <c r="D233" s="602"/>
      <c r="F233" s="599"/>
      <c r="G233" s="601"/>
      <c r="H233" s="579"/>
      <c r="I233" s="579"/>
      <c r="J233" s="579"/>
      <c r="K233" s="579"/>
      <c r="L233" s="579"/>
      <c r="M233" s="579"/>
      <c r="N233" s="225"/>
      <c r="O233" s="579"/>
      <c r="P233" s="579"/>
      <c r="Q233" s="579"/>
      <c r="R233" s="579"/>
      <c r="S233" s="579"/>
      <c r="T233" s="579"/>
      <c r="U233" s="579"/>
      <c r="V233" s="579"/>
      <c r="W233" s="579"/>
      <c r="X233" s="579"/>
      <c r="Y233" s="579"/>
      <c r="Z233" s="579"/>
      <c r="AA233" s="579"/>
      <c r="AB233" s="579"/>
      <c r="AC233" s="579"/>
      <c r="AD233" s="579"/>
      <c r="AE233" s="579"/>
      <c r="AF233" s="579"/>
      <c r="AG233" s="579"/>
      <c r="AH233" s="579"/>
      <c r="AI233" s="579"/>
      <c r="AJ233" s="579"/>
      <c r="AK233" s="579"/>
      <c r="AL233" s="579"/>
      <c r="AM233" s="579"/>
      <c r="AN233" s="579"/>
      <c r="AO233" s="579"/>
      <c r="AP233" s="579"/>
      <c r="AQ233" s="579"/>
      <c r="AR233" s="579"/>
      <c r="AS233" s="579"/>
      <c r="AT233" s="579"/>
      <c r="AU233" s="579"/>
      <c r="AV233" s="579"/>
      <c r="AW233" s="579"/>
      <c r="AX233" s="579"/>
      <c r="AY233" s="579"/>
      <c r="AZ233" s="579"/>
      <c r="BA233" s="579"/>
      <c r="BB233" s="579"/>
      <c r="BC233" s="579"/>
      <c r="BD233" s="579"/>
      <c r="BE233" s="579"/>
      <c r="BF233" s="579"/>
      <c r="BG233" s="579"/>
      <c r="BH233" s="579"/>
      <c r="BI233" s="579"/>
      <c r="BJ233" s="579"/>
      <c r="BK233" s="579"/>
      <c r="BL233" s="579"/>
      <c r="BM233" s="579"/>
      <c r="BN233" s="579"/>
      <c r="BO233" s="579"/>
      <c r="BP233" s="579"/>
      <c r="BQ233" s="579"/>
      <c r="BR233" s="579"/>
      <c r="BS233" s="579"/>
      <c r="BT233" s="579"/>
      <c r="BU233" s="579"/>
      <c r="BV233" s="579"/>
      <c r="BW233" s="579"/>
      <c r="BX233" s="579"/>
      <c r="BY233" s="579"/>
      <c r="BZ233" s="579"/>
      <c r="CA233" s="579"/>
      <c r="CB233" s="579"/>
      <c r="CC233" s="579"/>
      <c r="CD233" s="579"/>
      <c r="CE233" s="579"/>
      <c r="CF233" s="579"/>
      <c r="CG233" s="579"/>
      <c r="CH233" s="579"/>
      <c r="CI233" s="579"/>
      <c r="CJ233" s="579"/>
      <c r="CK233" s="579"/>
      <c r="CL233" s="579"/>
      <c r="CM233" s="579"/>
      <c r="CN233" s="579"/>
      <c r="CO233" s="579"/>
      <c r="CP233" s="579"/>
      <c r="CQ233" s="579"/>
      <c r="CR233" s="579"/>
      <c r="CS233" s="579"/>
      <c r="CT233" s="579"/>
      <c r="CU233" s="579"/>
      <c r="CV233" s="579"/>
      <c r="CW233" s="579"/>
      <c r="CX233" s="579"/>
      <c r="CY233" s="579"/>
      <c r="CZ233" s="579"/>
      <c r="DA233" s="579"/>
      <c r="DB233" s="579"/>
      <c r="DC233" s="579"/>
      <c r="DD233" s="579"/>
      <c r="DE233" s="579"/>
      <c r="DF233" s="579"/>
      <c r="DG233" s="579"/>
    </row>
    <row r="234" spans="1:111" s="598" customFormat="1" hidden="1">
      <c r="A234" s="603" t="s">
        <v>63</v>
      </c>
      <c r="B234" s="598">
        <v>73062</v>
      </c>
      <c r="C234" s="598">
        <v>73062</v>
      </c>
      <c r="D234" s="602"/>
      <c r="F234" s="599"/>
      <c r="G234" s="601"/>
      <c r="H234" s="579"/>
      <c r="I234" s="579"/>
      <c r="J234" s="579"/>
      <c r="K234" s="579"/>
      <c r="L234" s="579"/>
      <c r="M234" s="579"/>
      <c r="N234" s="225"/>
      <c r="O234" s="579"/>
      <c r="P234" s="579"/>
      <c r="Q234" s="579"/>
      <c r="R234" s="579"/>
      <c r="S234" s="579"/>
      <c r="T234" s="579"/>
      <c r="U234" s="579"/>
      <c r="V234" s="579"/>
      <c r="W234" s="579"/>
      <c r="X234" s="579"/>
      <c r="Y234" s="579"/>
      <c r="Z234" s="579"/>
      <c r="AA234" s="579"/>
      <c r="AB234" s="579"/>
      <c r="AC234" s="579"/>
      <c r="AD234" s="579"/>
      <c r="AE234" s="579"/>
      <c r="AF234" s="579"/>
      <c r="AG234" s="579"/>
      <c r="AH234" s="579"/>
      <c r="AI234" s="579"/>
      <c r="AJ234" s="579"/>
      <c r="AK234" s="579"/>
      <c r="AL234" s="579"/>
      <c r="AM234" s="579"/>
      <c r="AN234" s="579"/>
      <c r="AO234" s="579"/>
      <c r="AP234" s="579"/>
      <c r="AQ234" s="579"/>
      <c r="AR234" s="579"/>
      <c r="AS234" s="579"/>
      <c r="AT234" s="579"/>
      <c r="AU234" s="579"/>
      <c r="AV234" s="579"/>
      <c r="AW234" s="579"/>
      <c r="AX234" s="579"/>
      <c r="AY234" s="579"/>
      <c r="AZ234" s="579"/>
      <c r="BA234" s="579"/>
      <c r="BB234" s="579"/>
      <c r="BC234" s="579"/>
      <c r="BD234" s="579"/>
      <c r="BE234" s="579"/>
      <c r="BF234" s="579"/>
      <c r="BG234" s="579"/>
      <c r="BH234" s="579"/>
      <c r="BI234" s="579"/>
      <c r="BJ234" s="579"/>
      <c r="BK234" s="579"/>
      <c r="BL234" s="579"/>
      <c r="BM234" s="579"/>
      <c r="BN234" s="579"/>
      <c r="BO234" s="579"/>
      <c r="BP234" s="579"/>
      <c r="BQ234" s="579"/>
      <c r="BR234" s="579"/>
      <c r="BS234" s="579"/>
      <c r="BT234" s="579"/>
      <c r="BU234" s="579"/>
      <c r="BV234" s="579"/>
      <c r="BW234" s="579"/>
      <c r="BX234" s="579"/>
      <c r="BY234" s="579"/>
      <c r="BZ234" s="579"/>
      <c r="CA234" s="579"/>
      <c r="CB234" s="579"/>
      <c r="CC234" s="579"/>
      <c r="CD234" s="579"/>
      <c r="CE234" s="579"/>
      <c r="CF234" s="579"/>
      <c r="CG234" s="579"/>
      <c r="CH234" s="579"/>
      <c r="CI234" s="579"/>
      <c r="CJ234" s="579"/>
      <c r="CK234" s="579"/>
      <c r="CL234" s="579"/>
      <c r="CM234" s="579"/>
      <c r="CN234" s="579"/>
      <c r="CO234" s="579"/>
      <c r="CP234" s="579"/>
      <c r="CQ234" s="579"/>
      <c r="CR234" s="579"/>
      <c r="CS234" s="579"/>
      <c r="CT234" s="579"/>
      <c r="CU234" s="579"/>
      <c r="CV234" s="579"/>
      <c r="CW234" s="579"/>
      <c r="CX234" s="579"/>
      <c r="CY234" s="579"/>
      <c r="CZ234" s="579"/>
      <c r="DA234" s="579"/>
      <c r="DB234" s="579"/>
      <c r="DC234" s="579"/>
      <c r="DD234" s="579"/>
      <c r="DE234" s="579"/>
      <c r="DF234" s="579"/>
      <c r="DG234" s="579"/>
    </row>
    <row r="235" spans="1:111" s="598" customFormat="1" hidden="1">
      <c r="A235" s="603" t="s">
        <v>62</v>
      </c>
      <c r="B235" s="598">
        <v>74205</v>
      </c>
      <c r="C235" s="598">
        <v>74205</v>
      </c>
      <c r="D235" s="602"/>
      <c r="F235" s="599"/>
      <c r="G235" s="601"/>
      <c r="H235" s="579"/>
      <c r="I235" s="579"/>
      <c r="J235" s="579"/>
      <c r="K235" s="579"/>
      <c r="L235" s="579"/>
      <c r="M235" s="579"/>
      <c r="N235" s="225"/>
      <c r="O235" s="579"/>
      <c r="P235" s="579"/>
      <c r="Q235" s="579"/>
      <c r="R235" s="579"/>
      <c r="S235" s="579"/>
      <c r="T235" s="579"/>
      <c r="U235" s="579"/>
      <c r="V235" s="579"/>
      <c r="W235" s="579"/>
      <c r="X235" s="579"/>
      <c r="Y235" s="579"/>
      <c r="Z235" s="579"/>
      <c r="AA235" s="579"/>
      <c r="AB235" s="579"/>
      <c r="AC235" s="579"/>
      <c r="AD235" s="579"/>
      <c r="AE235" s="579"/>
      <c r="AF235" s="579"/>
      <c r="AG235" s="579"/>
      <c r="AH235" s="579"/>
      <c r="AI235" s="579"/>
      <c r="AJ235" s="579"/>
      <c r="AK235" s="579"/>
      <c r="AL235" s="579"/>
      <c r="AM235" s="579"/>
      <c r="AN235" s="579"/>
      <c r="AO235" s="579"/>
      <c r="AP235" s="579"/>
      <c r="AQ235" s="579"/>
      <c r="AR235" s="579"/>
      <c r="AS235" s="579"/>
      <c r="AT235" s="579"/>
      <c r="AU235" s="579"/>
      <c r="AV235" s="579"/>
      <c r="AW235" s="579"/>
      <c r="AX235" s="579"/>
      <c r="AY235" s="579"/>
      <c r="AZ235" s="579"/>
      <c r="BA235" s="579"/>
      <c r="BB235" s="579"/>
      <c r="BC235" s="579"/>
      <c r="BD235" s="579"/>
      <c r="BE235" s="579"/>
      <c r="BF235" s="579"/>
      <c r="BG235" s="579"/>
      <c r="BH235" s="579"/>
      <c r="BI235" s="579"/>
      <c r="BJ235" s="579"/>
      <c r="BK235" s="579"/>
      <c r="BL235" s="579"/>
      <c r="BM235" s="579"/>
      <c r="BN235" s="579"/>
      <c r="BO235" s="579"/>
      <c r="BP235" s="579"/>
      <c r="BQ235" s="579"/>
      <c r="BR235" s="579"/>
      <c r="BS235" s="579"/>
      <c r="BT235" s="579"/>
      <c r="BU235" s="579"/>
      <c r="BV235" s="579"/>
      <c r="BW235" s="579"/>
      <c r="BX235" s="579"/>
      <c r="BY235" s="579"/>
      <c r="BZ235" s="579"/>
      <c r="CA235" s="579"/>
      <c r="CB235" s="579"/>
      <c r="CC235" s="579"/>
      <c r="CD235" s="579"/>
      <c r="CE235" s="579"/>
      <c r="CF235" s="579"/>
      <c r="CG235" s="579"/>
      <c r="CH235" s="579"/>
      <c r="CI235" s="579"/>
      <c r="CJ235" s="579"/>
      <c r="CK235" s="579"/>
      <c r="CL235" s="579"/>
      <c r="CM235" s="579"/>
      <c r="CN235" s="579"/>
      <c r="CO235" s="579"/>
      <c r="CP235" s="579"/>
      <c r="CQ235" s="579"/>
      <c r="CR235" s="579"/>
      <c r="CS235" s="579"/>
      <c r="CT235" s="579"/>
      <c r="CU235" s="579"/>
      <c r="CV235" s="579"/>
      <c r="CW235" s="579"/>
      <c r="CX235" s="579"/>
      <c r="CY235" s="579"/>
      <c r="CZ235" s="579"/>
      <c r="DA235" s="579"/>
      <c r="DB235" s="579"/>
      <c r="DC235" s="579"/>
      <c r="DD235" s="579"/>
      <c r="DE235" s="579"/>
      <c r="DF235" s="579"/>
      <c r="DG235" s="579"/>
    </row>
    <row r="236" spans="1:111" s="598" customFormat="1" hidden="1">
      <c r="A236" s="603" t="s">
        <v>61</v>
      </c>
      <c r="B236" s="598">
        <v>75369</v>
      </c>
      <c r="C236" s="598">
        <v>75369</v>
      </c>
      <c r="D236" s="602"/>
      <c r="F236" s="599"/>
      <c r="G236" s="601"/>
      <c r="H236" s="579"/>
      <c r="I236" s="579"/>
      <c r="J236" s="579"/>
      <c r="K236" s="579"/>
      <c r="L236" s="579"/>
      <c r="M236" s="579"/>
      <c r="N236" s="225"/>
      <c r="O236" s="579"/>
      <c r="P236" s="579"/>
      <c r="Q236" s="579"/>
      <c r="R236" s="579"/>
      <c r="S236" s="579"/>
      <c r="T236" s="579"/>
      <c r="U236" s="579"/>
      <c r="V236" s="579"/>
      <c r="W236" s="579"/>
      <c r="X236" s="579"/>
      <c r="Y236" s="579"/>
      <c r="Z236" s="579"/>
      <c r="AA236" s="579"/>
      <c r="AB236" s="579"/>
      <c r="AC236" s="579"/>
      <c r="AD236" s="579"/>
      <c r="AE236" s="579"/>
      <c r="AF236" s="579"/>
      <c r="AG236" s="579"/>
      <c r="AH236" s="579"/>
      <c r="AI236" s="579"/>
      <c r="AJ236" s="579"/>
      <c r="AK236" s="579"/>
      <c r="AL236" s="579"/>
      <c r="AM236" s="579"/>
      <c r="AN236" s="579"/>
      <c r="AO236" s="579"/>
      <c r="AP236" s="579"/>
      <c r="AQ236" s="579"/>
      <c r="AR236" s="579"/>
      <c r="AS236" s="579"/>
      <c r="AT236" s="579"/>
      <c r="AU236" s="579"/>
      <c r="AV236" s="579"/>
      <c r="AW236" s="579"/>
      <c r="AX236" s="579"/>
      <c r="AY236" s="579"/>
      <c r="AZ236" s="579"/>
      <c r="BA236" s="579"/>
      <c r="BB236" s="579"/>
      <c r="BC236" s="579"/>
      <c r="BD236" s="579"/>
      <c r="BE236" s="579"/>
      <c r="BF236" s="579"/>
      <c r="BG236" s="579"/>
      <c r="BH236" s="579"/>
      <c r="BI236" s="579"/>
      <c r="BJ236" s="579"/>
      <c r="BK236" s="579"/>
      <c r="BL236" s="579"/>
      <c r="BM236" s="579"/>
      <c r="BN236" s="579"/>
      <c r="BO236" s="579"/>
      <c r="BP236" s="579"/>
      <c r="BQ236" s="579"/>
      <c r="BR236" s="579"/>
      <c r="BS236" s="579"/>
      <c r="BT236" s="579"/>
      <c r="BU236" s="579"/>
      <c r="BV236" s="579"/>
      <c r="BW236" s="579"/>
      <c r="BX236" s="579"/>
      <c r="BY236" s="579"/>
      <c r="BZ236" s="579"/>
      <c r="CA236" s="579"/>
      <c r="CB236" s="579"/>
      <c r="CC236" s="579"/>
      <c r="CD236" s="579"/>
      <c r="CE236" s="579"/>
      <c r="CF236" s="579"/>
      <c r="CG236" s="579"/>
      <c r="CH236" s="579"/>
      <c r="CI236" s="579"/>
      <c r="CJ236" s="579"/>
      <c r="CK236" s="579"/>
      <c r="CL236" s="579"/>
      <c r="CM236" s="579"/>
      <c r="CN236" s="579"/>
      <c r="CO236" s="579"/>
      <c r="CP236" s="579"/>
      <c r="CQ236" s="579"/>
      <c r="CR236" s="579"/>
      <c r="CS236" s="579"/>
      <c r="CT236" s="579"/>
      <c r="CU236" s="579"/>
      <c r="CV236" s="579"/>
      <c r="CW236" s="579"/>
      <c r="CX236" s="579"/>
      <c r="CY236" s="579"/>
      <c r="CZ236" s="579"/>
      <c r="DA236" s="579"/>
      <c r="DB236" s="579"/>
      <c r="DC236" s="579"/>
      <c r="DD236" s="579"/>
      <c r="DE236" s="579"/>
      <c r="DF236" s="579"/>
      <c r="DG236" s="579"/>
    </row>
    <row r="237" spans="1:111" s="598" customFormat="1" hidden="1">
      <c r="A237" s="603" t="s">
        <v>60</v>
      </c>
      <c r="B237" s="598">
        <v>76554</v>
      </c>
      <c r="C237" s="598">
        <v>76554</v>
      </c>
      <c r="D237" s="602"/>
      <c r="F237" s="599"/>
      <c r="G237" s="601"/>
      <c r="H237" s="579"/>
      <c r="I237" s="579"/>
      <c r="J237" s="579"/>
      <c r="K237" s="579"/>
      <c r="L237" s="579"/>
      <c r="M237" s="579"/>
      <c r="N237" s="225"/>
      <c r="O237" s="579"/>
      <c r="P237" s="579"/>
      <c r="Q237" s="579"/>
      <c r="R237" s="579"/>
      <c r="S237" s="579"/>
      <c r="T237" s="579"/>
      <c r="U237" s="579"/>
      <c r="V237" s="579"/>
      <c r="W237" s="579"/>
      <c r="X237" s="579"/>
      <c r="Y237" s="579"/>
      <c r="Z237" s="579"/>
      <c r="AA237" s="579"/>
      <c r="AB237" s="579"/>
      <c r="AC237" s="579"/>
      <c r="AD237" s="579"/>
      <c r="AE237" s="579"/>
      <c r="AF237" s="579"/>
      <c r="AG237" s="579"/>
      <c r="AH237" s="579"/>
      <c r="AI237" s="579"/>
      <c r="AJ237" s="579"/>
      <c r="AK237" s="579"/>
      <c r="AL237" s="579"/>
      <c r="AM237" s="579"/>
      <c r="AN237" s="579"/>
      <c r="AO237" s="579"/>
      <c r="AP237" s="579"/>
      <c r="AQ237" s="579"/>
      <c r="AR237" s="579"/>
      <c r="AS237" s="579"/>
      <c r="AT237" s="579"/>
      <c r="AU237" s="579"/>
      <c r="AV237" s="579"/>
      <c r="AW237" s="579"/>
      <c r="AX237" s="579"/>
      <c r="AY237" s="579"/>
      <c r="AZ237" s="579"/>
      <c r="BA237" s="579"/>
      <c r="BB237" s="579"/>
      <c r="BC237" s="579"/>
      <c r="BD237" s="579"/>
      <c r="BE237" s="579"/>
      <c r="BF237" s="579"/>
      <c r="BG237" s="579"/>
      <c r="BH237" s="579"/>
      <c r="BI237" s="579"/>
      <c r="BJ237" s="579"/>
      <c r="BK237" s="579"/>
      <c r="BL237" s="579"/>
      <c r="BM237" s="579"/>
      <c r="BN237" s="579"/>
      <c r="BO237" s="579"/>
      <c r="BP237" s="579"/>
      <c r="BQ237" s="579"/>
      <c r="BR237" s="579"/>
      <c r="BS237" s="579"/>
      <c r="BT237" s="579"/>
      <c r="BU237" s="579"/>
      <c r="BV237" s="579"/>
      <c r="BW237" s="579"/>
      <c r="BX237" s="579"/>
      <c r="BY237" s="579"/>
      <c r="BZ237" s="579"/>
      <c r="CA237" s="579"/>
      <c r="CB237" s="579"/>
      <c r="CC237" s="579"/>
      <c r="CD237" s="579"/>
      <c r="CE237" s="579"/>
      <c r="CF237" s="579"/>
      <c r="CG237" s="579"/>
      <c r="CH237" s="579"/>
      <c r="CI237" s="579"/>
      <c r="CJ237" s="579"/>
      <c r="CK237" s="579"/>
      <c r="CL237" s="579"/>
      <c r="CM237" s="579"/>
      <c r="CN237" s="579"/>
      <c r="CO237" s="579"/>
      <c r="CP237" s="579"/>
      <c r="CQ237" s="579"/>
      <c r="CR237" s="579"/>
      <c r="CS237" s="579"/>
      <c r="CT237" s="579"/>
      <c r="CU237" s="579"/>
      <c r="CV237" s="579"/>
      <c r="CW237" s="579"/>
      <c r="CX237" s="579"/>
      <c r="CY237" s="579"/>
      <c r="CZ237" s="579"/>
      <c r="DA237" s="579"/>
      <c r="DB237" s="579"/>
      <c r="DC237" s="579"/>
      <c r="DD237" s="579"/>
      <c r="DE237" s="579"/>
      <c r="DF237" s="579"/>
      <c r="DG237" s="579"/>
    </row>
    <row r="238" spans="1:111" s="598" customFormat="1" hidden="1">
      <c r="A238" s="603" t="s">
        <v>59</v>
      </c>
      <c r="B238" s="598">
        <v>77804</v>
      </c>
      <c r="C238" s="598">
        <v>77804</v>
      </c>
      <c r="D238" s="602"/>
      <c r="F238" s="599"/>
      <c r="G238" s="601"/>
      <c r="H238" s="579"/>
      <c r="I238" s="579"/>
      <c r="J238" s="579"/>
      <c r="K238" s="579"/>
      <c r="L238" s="579"/>
      <c r="M238" s="579"/>
      <c r="N238" s="225"/>
      <c r="O238" s="579"/>
      <c r="P238" s="579"/>
      <c r="Q238" s="579"/>
      <c r="R238" s="579"/>
      <c r="S238" s="579"/>
      <c r="T238" s="579"/>
      <c r="U238" s="579"/>
      <c r="V238" s="579"/>
      <c r="W238" s="579"/>
      <c r="X238" s="579"/>
      <c r="Y238" s="579"/>
      <c r="Z238" s="579"/>
      <c r="AA238" s="579"/>
      <c r="AB238" s="579"/>
      <c r="AC238" s="579"/>
      <c r="AD238" s="579"/>
      <c r="AE238" s="579"/>
      <c r="AF238" s="579"/>
      <c r="AG238" s="579"/>
      <c r="AH238" s="579"/>
      <c r="AI238" s="579"/>
      <c r="AJ238" s="579"/>
      <c r="AK238" s="579"/>
      <c r="AL238" s="579"/>
      <c r="AM238" s="579"/>
      <c r="AN238" s="579"/>
      <c r="AO238" s="579"/>
      <c r="AP238" s="579"/>
      <c r="AQ238" s="579"/>
      <c r="AR238" s="579"/>
      <c r="AS238" s="579"/>
      <c r="AT238" s="579"/>
      <c r="AU238" s="579"/>
      <c r="AV238" s="579"/>
      <c r="AW238" s="579"/>
      <c r="AX238" s="579"/>
      <c r="AY238" s="579"/>
      <c r="AZ238" s="579"/>
      <c r="BA238" s="579"/>
      <c r="BB238" s="579"/>
      <c r="BC238" s="579"/>
      <c r="BD238" s="579"/>
      <c r="BE238" s="579"/>
      <c r="BF238" s="579"/>
      <c r="BG238" s="579"/>
      <c r="BH238" s="579"/>
      <c r="BI238" s="579"/>
      <c r="BJ238" s="579"/>
      <c r="BK238" s="579"/>
      <c r="BL238" s="579"/>
      <c r="BM238" s="579"/>
      <c r="BN238" s="579"/>
      <c r="BO238" s="579"/>
      <c r="BP238" s="579"/>
      <c r="BQ238" s="579"/>
      <c r="BR238" s="579"/>
      <c r="BS238" s="579"/>
      <c r="BT238" s="579"/>
      <c r="BU238" s="579"/>
      <c r="BV238" s="579"/>
      <c r="BW238" s="579"/>
      <c r="BX238" s="579"/>
      <c r="BY238" s="579"/>
      <c r="BZ238" s="579"/>
      <c r="CA238" s="579"/>
      <c r="CB238" s="579"/>
      <c r="CC238" s="579"/>
      <c r="CD238" s="579"/>
      <c r="CE238" s="579"/>
      <c r="CF238" s="579"/>
      <c r="CG238" s="579"/>
      <c r="CH238" s="579"/>
      <c r="CI238" s="579"/>
      <c r="CJ238" s="579"/>
      <c r="CK238" s="579"/>
      <c r="CL238" s="579"/>
      <c r="CM238" s="579"/>
      <c r="CN238" s="579"/>
      <c r="CO238" s="579"/>
      <c r="CP238" s="579"/>
      <c r="CQ238" s="579"/>
      <c r="CR238" s="579"/>
      <c r="CS238" s="579"/>
      <c r="CT238" s="579"/>
      <c r="CU238" s="579"/>
      <c r="CV238" s="579"/>
      <c r="CW238" s="579"/>
      <c r="CX238" s="579"/>
      <c r="CY238" s="579"/>
      <c r="CZ238" s="579"/>
      <c r="DA238" s="579"/>
      <c r="DB238" s="579"/>
      <c r="DC238" s="579"/>
      <c r="DD238" s="579"/>
      <c r="DE238" s="579"/>
      <c r="DF238" s="579"/>
      <c r="DG238" s="579"/>
    </row>
    <row r="239" spans="1:111" s="598" customFormat="1" hidden="1">
      <c r="A239" s="603" t="s">
        <v>58</v>
      </c>
      <c r="B239" s="598">
        <v>79073</v>
      </c>
      <c r="C239" s="598">
        <v>79073</v>
      </c>
      <c r="D239" s="602"/>
      <c r="F239" s="599"/>
      <c r="G239" s="601"/>
      <c r="H239" s="579"/>
      <c r="I239" s="579"/>
      <c r="J239" s="579"/>
      <c r="K239" s="579"/>
      <c r="L239" s="579"/>
      <c r="M239" s="579"/>
      <c r="N239" s="225"/>
      <c r="O239" s="579"/>
      <c r="P239" s="579"/>
      <c r="Q239" s="579"/>
      <c r="R239" s="579"/>
      <c r="S239" s="579"/>
      <c r="T239" s="579"/>
      <c r="U239" s="579"/>
      <c r="V239" s="579"/>
      <c r="W239" s="579"/>
      <c r="X239" s="579"/>
      <c r="Y239" s="579"/>
      <c r="Z239" s="579"/>
      <c r="AA239" s="579"/>
      <c r="AB239" s="579"/>
      <c r="AC239" s="579"/>
      <c r="AD239" s="579"/>
      <c r="AE239" s="579"/>
      <c r="AF239" s="579"/>
      <c r="AG239" s="579"/>
      <c r="AH239" s="579"/>
      <c r="AI239" s="579"/>
      <c r="AJ239" s="579"/>
      <c r="AK239" s="579"/>
      <c r="AL239" s="579"/>
      <c r="AM239" s="579"/>
      <c r="AN239" s="579"/>
      <c r="AO239" s="579"/>
      <c r="AP239" s="579"/>
      <c r="AQ239" s="579"/>
      <c r="AR239" s="579"/>
      <c r="AS239" s="579"/>
      <c r="AT239" s="579"/>
      <c r="AU239" s="579"/>
      <c r="AV239" s="579"/>
      <c r="AW239" s="579"/>
      <c r="AX239" s="579"/>
      <c r="AY239" s="579"/>
      <c r="AZ239" s="579"/>
      <c r="BA239" s="579"/>
      <c r="BB239" s="579"/>
      <c r="BC239" s="579"/>
      <c r="BD239" s="579"/>
      <c r="BE239" s="579"/>
      <c r="BF239" s="579"/>
      <c r="BG239" s="579"/>
      <c r="BH239" s="579"/>
      <c r="BI239" s="579"/>
      <c r="BJ239" s="579"/>
      <c r="BK239" s="579"/>
      <c r="BL239" s="579"/>
      <c r="BM239" s="579"/>
      <c r="BN239" s="579"/>
      <c r="BO239" s="579"/>
      <c r="BP239" s="579"/>
      <c r="BQ239" s="579"/>
      <c r="BR239" s="579"/>
      <c r="BS239" s="579"/>
      <c r="BT239" s="579"/>
      <c r="BU239" s="579"/>
      <c r="BV239" s="579"/>
      <c r="BW239" s="579"/>
      <c r="BX239" s="579"/>
      <c r="BY239" s="579"/>
      <c r="BZ239" s="579"/>
      <c r="CA239" s="579"/>
      <c r="CB239" s="579"/>
      <c r="CC239" s="579"/>
      <c r="CD239" s="579"/>
      <c r="CE239" s="579"/>
      <c r="CF239" s="579"/>
      <c r="CG239" s="579"/>
      <c r="CH239" s="579"/>
      <c r="CI239" s="579"/>
      <c r="CJ239" s="579"/>
      <c r="CK239" s="579"/>
      <c r="CL239" s="579"/>
      <c r="CM239" s="579"/>
      <c r="CN239" s="579"/>
      <c r="CO239" s="579"/>
      <c r="CP239" s="579"/>
      <c r="CQ239" s="579"/>
      <c r="CR239" s="579"/>
      <c r="CS239" s="579"/>
      <c r="CT239" s="579"/>
      <c r="CU239" s="579"/>
      <c r="CV239" s="579"/>
      <c r="CW239" s="579"/>
      <c r="CX239" s="579"/>
      <c r="CY239" s="579"/>
      <c r="CZ239" s="579"/>
      <c r="DA239" s="579"/>
      <c r="DB239" s="579"/>
      <c r="DC239" s="579"/>
      <c r="DD239" s="579"/>
      <c r="DE239" s="579"/>
      <c r="DF239" s="579"/>
      <c r="DG239" s="579"/>
    </row>
    <row r="240" spans="1:111" s="598" customFormat="1" hidden="1">
      <c r="A240" s="603" t="s">
        <v>57</v>
      </c>
      <c r="B240" s="598">
        <v>80364</v>
      </c>
      <c r="C240" s="598">
        <v>80364</v>
      </c>
      <c r="D240" s="602"/>
      <c r="F240" s="599"/>
      <c r="G240" s="601"/>
      <c r="H240" s="579"/>
      <c r="I240" s="579"/>
      <c r="J240" s="579"/>
      <c r="K240" s="579"/>
      <c r="L240" s="579"/>
      <c r="M240" s="579"/>
      <c r="N240" s="225"/>
      <c r="O240" s="579"/>
      <c r="P240" s="579"/>
      <c r="Q240" s="579"/>
      <c r="R240" s="579"/>
      <c r="S240" s="579"/>
      <c r="T240" s="579"/>
      <c r="U240" s="579"/>
      <c r="V240" s="579"/>
      <c r="W240" s="579"/>
      <c r="X240" s="579"/>
      <c r="Y240" s="579"/>
      <c r="Z240" s="579"/>
      <c r="AA240" s="579"/>
      <c r="AB240" s="579"/>
      <c r="AC240" s="579"/>
      <c r="AD240" s="579"/>
      <c r="AE240" s="579"/>
      <c r="AF240" s="579"/>
      <c r="AG240" s="579"/>
      <c r="AH240" s="579"/>
      <c r="AI240" s="579"/>
      <c r="AJ240" s="579"/>
      <c r="AK240" s="579"/>
      <c r="AL240" s="579"/>
      <c r="AM240" s="579"/>
      <c r="AN240" s="579"/>
      <c r="AO240" s="579"/>
      <c r="AP240" s="579"/>
      <c r="AQ240" s="579"/>
      <c r="AR240" s="579"/>
      <c r="AS240" s="579"/>
      <c r="AT240" s="579"/>
      <c r="AU240" s="579"/>
      <c r="AV240" s="579"/>
      <c r="AW240" s="579"/>
      <c r="AX240" s="579"/>
      <c r="AY240" s="579"/>
      <c r="AZ240" s="579"/>
      <c r="BA240" s="579"/>
      <c r="BB240" s="579"/>
      <c r="BC240" s="579"/>
      <c r="BD240" s="579"/>
      <c r="BE240" s="579"/>
      <c r="BF240" s="579"/>
      <c r="BG240" s="579"/>
      <c r="BH240" s="579"/>
      <c r="BI240" s="579"/>
      <c r="BJ240" s="579"/>
      <c r="BK240" s="579"/>
      <c r="BL240" s="579"/>
      <c r="BM240" s="579"/>
      <c r="BN240" s="579"/>
      <c r="BO240" s="579"/>
      <c r="BP240" s="579"/>
      <c r="BQ240" s="579"/>
      <c r="BR240" s="579"/>
      <c r="BS240" s="579"/>
      <c r="BT240" s="579"/>
      <c r="BU240" s="579"/>
      <c r="BV240" s="579"/>
      <c r="BW240" s="579"/>
      <c r="BX240" s="579"/>
      <c r="BY240" s="579"/>
      <c r="BZ240" s="579"/>
      <c r="CA240" s="579"/>
      <c r="CB240" s="579"/>
      <c r="CC240" s="579"/>
      <c r="CD240" s="579"/>
      <c r="CE240" s="579"/>
      <c r="CF240" s="579"/>
      <c r="CG240" s="579"/>
      <c r="CH240" s="579"/>
      <c r="CI240" s="579"/>
      <c r="CJ240" s="579"/>
      <c r="CK240" s="579"/>
      <c r="CL240" s="579"/>
      <c r="CM240" s="579"/>
      <c r="CN240" s="579"/>
      <c r="CO240" s="579"/>
      <c r="CP240" s="579"/>
      <c r="CQ240" s="579"/>
      <c r="CR240" s="579"/>
      <c r="CS240" s="579"/>
      <c r="CT240" s="579"/>
      <c r="CU240" s="579"/>
      <c r="CV240" s="579"/>
      <c r="CW240" s="579"/>
      <c r="CX240" s="579"/>
      <c r="CY240" s="579"/>
      <c r="CZ240" s="579"/>
      <c r="DA240" s="579"/>
      <c r="DB240" s="579"/>
      <c r="DC240" s="579"/>
      <c r="DD240" s="579"/>
      <c r="DE240" s="579"/>
      <c r="DF240" s="579"/>
      <c r="DG240" s="579"/>
    </row>
    <row r="241" spans="1:111" s="598" customFormat="1" hidden="1">
      <c r="A241" s="603" t="s">
        <v>56</v>
      </c>
      <c r="B241" s="598">
        <v>81676</v>
      </c>
      <c r="C241" s="598">
        <v>81676</v>
      </c>
      <c r="D241" s="602"/>
      <c r="F241" s="599"/>
      <c r="G241" s="601"/>
      <c r="H241" s="579"/>
      <c r="I241" s="579"/>
      <c r="J241" s="579"/>
      <c r="K241" s="579"/>
      <c r="L241" s="579"/>
      <c r="M241" s="579"/>
      <c r="N241" s="225"/>
      <c r="O241" s="579"/>
      <c r="P241" s="579"/>
      <c r="Q241" s="579"/>
      <c r="R241" s="579"/>
      <c r="S241" s="579"/>
      <c r="T241" s="579"/>
      <c r="U241" s="579"/>
      <c r="V241" s="579"/>
      <c r="W241" s="579"/>
      <c r="X241" s="579"/>
      <c r="Y241" s="579"/>
      <c r="Z241" s="579"/>
      <c r="AA241" s="579"/>
      <c r="AB241" s="579"/>
      <c r="AC241" s="579"/>
      <c r="AD241" s="579"/>
      <c r="AE241" s="579"/>
      <c r="AF241" s="579"/>
      <c r="AG241" s="579"/>
      <c r="AH241" s="579"/>
      <c r="AI241" s="579"/>
      <c r="AJ241" s="579"/>
      <c r="AK241" s="579"/>
      <c r="AL241" s="579"/>
      <c r="AM241" s="579"/>
      <c r="AN241" s="579"/>
      <c r="AO241" s="579"/>
      <c r="AP241" s="579"/>
      <c r="AQ241" s="579"/>
      <c r="AR241" s="579"/>
      <c r="AS241" s="579"/>
      <c r="AT241" s="579"/>
      <c r="AU241" s="579"/>
      <c r="AV241" s="579"/>
      <c r="AW241" s="579"/>
      <c r="AX241" s="579"/>
      <c r="AY241" s="579"/>
      <c r="AZ241" s="579"/>
      <c r="BA241" s="579"/>
      <c r="BB241" s="579"/>
      <c r="BC241" s="579"/>
      <c r="BD241" s="579"/>
      <c r="BE241" s="579"/>
      <c r="BF241" s="579"/>
      <c r="BG241" s="579"/>
      <c r="BH241" s="579"/>
      <c r="BI241" s="579"/>
      <c r="BJ241" s="579"/>
      <c r="BK241" s="579"/>
      <c r="BL241" s="579"/>
      <c r="BM241" s="579"/>
      <c r="BN241" s="579"/>
      <c r="BO241" s="579"/>
      <c r="BP241" s="579"/>
      <c r="BQ241" s="579"/>
      <c r="BR241" s="579"/>
      <c r="BS241" s="579"/>
      <c r="BT241" s="579"/>
      <c r="BU241" s="579"/>
      <c r="BV241" s="579"/>
      <c r="BW241" s="579"/>
      <c r="BX241" s="579"/>
      <c r="BY241" s="579"/>
      <c r="BZ241" s="579"/>
      <c r="CA241" s="579"/>
      <c r="CB241" s="579"/>
      <c r="CC241" s="579"/>
      <c r="CD241" s="579"/>
      <c r="CE241" s="579"/>
      <c r="CF241" s="579"/>
      <c r="CG241" s="579"/>
      <c r="CH241" s="579"/>
      <c r="CI241" s="579"/>
      <c r="CJ241" s="579"/>
      <c r="CK241" s="579"/>
      <c r="CL241" s="579"/>
      <c r="CM241" s="579"/>
      <c r="CN241" s="579"/>
      <c r="CO241" s="579"/>
      <c r="CP241" s="579"/>
      <c r="CQ241" s="579"/>
      <c r="CR241" s="579"/>
      <c r="CS241" s="579"/>
      <c r="CT241" s="579"/>
      <c r="CU241" s="579"/>
      <c r="CV241" s="579"/>
      <c r="CW241" s="579"/>
      <c r="CX241" s="579"/>
      <c r="CY241" s="579"/>
      <c r="CZ241" s="579"/>
      <c r="DA241" s="579"/>
      <c r="DB241" s="579"/>
      <c r="DC241" s="579"/>
      <c r="DD241" s="579"/>
      <c r="DE241" s="579"/>
      <c r="DF241" s="579"/>
      <c r="DG241" s="579"/>
    </row>
    <row r="242" spans="1:111" s="598" customFormat="1" hidden="1">
      <c r="A242" s="603" t="s">
        <v>55</v>
      </c>
      <c r="B242" s="598">
        <v>82405</v>
      </c>
      <c r="C242" s="598">
        <v>82405</v>
      </c>
      <c r="D242" s="602"/>
      <c r="F242" s="599"/>
      <c r="G242" s="601"/>
      <c r="H242" s="579"/>
      <c r="I242" s="579"/>
      <c r="J242" s="579"/>
      <c r="K242" s="579"/>
      <c r="L242" s="579"/>
      <c r="M242" s="579"/>
      <c r="N242" s="225"/>
      <c r="O242" s="579"/>
      <c r="P242" s="579"/>
      <c r="Q242" s="579"/>
      <c r="R242" s="579"/>
      <c r="S242" s="579"/>
      <c r="T242" s="579"/>
      <c r="U242" s="579"/>
      <c r="V242" s="579"/>
      <c r="W242" s="579"/>
      <c r="X242" s="579"/>
      <c r="Y242" s="579"/>
      <c r="Z242" s="579"/>
      <c r="AA242" s="579"/>
      <c r="AB242" s="579"/>
      <c r="AC242" s="579"/>
      <c r="AD242" s="579"/>
      <c r="AE242" s="579"/>
      <c r="AF242" s="579"/>
      <c r="AG242" s="579"/>
      <c r="AH242" s="579"/>
      <c r="AI242" s="579"/>
      <c r="AJ242" s="579"/>
      <c r="AK242" s="579"/>
      <c r="AL242" s="579"/>
      <c r="AM242" s="579"/>
      <c r="AN242" s="579"/>
      <c r="AO242" s="579"/>
      <c r="AP242" s="579"/>
      <c r="AQ242" s="579"/>
      <c r="AR242" s="579"/>
      <c r="AS242" s="579"/>
      <c r="AT242" s="579"/>
      <c r="AU242" s="579"/>
      <c r="AV242" s="579"/>
      <c r="AW242" s="579"/>
      <c r="AX242" s="579"/>
      <c r="AY242" s="579"/>
      <c r="AZ242" s="579"/>
      <c r="BA242" s="579"/>
      <c r="BB242" s="579"/>
      <c r="BC242" s="579"/>
      <c r="BD242" s="579"/>
      <c r="BE242" s="579"/>
      <c r="BF242" s="579"/>
      <c r="BG242" s="579"/>
      <c r="BH242" s="579"/>
      <c r="BI242" s="579"/>
      <c r="BJ242" s="579"/>
      <c r="BK242" s="579"/>
      <c r="BL242" s="579"/>
      <c r="BM242" s="579"/>
      <c r="BN242" s="579"/>
      <c r="BO242" s="579"/>
      <c r="BP242" s="579"/>
      <c r="BQ242" s="579"/>
      <c r="BR242" s="579"/>
      <c r="BS242" s="579"/>
      <c r="BT242" s="579"/>
      <c r="BU242" s="579"/>
      <c r="BV242" s="579"/>
      <c r="BW242" s="579"/>
      <c r="BX242" s="579"/>
      <c r="BY242" s="579"/>
      <c r="BZ242" s="579"/>
      <c r="CA242" s="579"/>
      <c r="CB242" s="579"/>
      <c r="CC242" s="579"/>
      <c r="CD242" s="579"/>
      <c r="CE242" s="579"/>
      <c r="CF242" s="579"/>
      <c r="CG242" s="579"/>
      <c r="CH242" s="579"/>
      <c r="CI242" s="579"/>
      <c r="CJ242" s="579"/>
      <c r="CK242" s="579"/>
      <c r="CL242" s="579"/>
      <c r="CM242" s="579"/>
      <c r="CN242" s="579"/>
      <c r="CO242" s="579"/>
      <c r="CP242" s="579"/>
      <c r="CQ242" s="579"/>
      <c r="CR242" s="579"/>
      <c r="CS242" s="579"/>
      <c r="CT242" s="579"/>
      <c r="CU242" s="579"/>
      <c r="CV242" s="579"/>
      <c r="CW242" s="579"/>
      <c r="CX242" s="579"/>
      <c r="CY242" s="579"/>
      <c r="CZ242" s="579"/>
      <c r="DA242" s="579"/>
      <c r="DB242" s="579"/>
      <c r="DC242" s="579"/>
      <c r="DD242" s="579"/>
      <c r="DE242" s="579"/>
      <c r="DF242" s="579"/>
      <c r="DG242" s="579"/>
    </row>
    <row r="243" spans="1:111" s="598" customFormat="1" hidden="1">
      <c r="A243" s="603" t="s">
        <v>54</v>
      </c>
      <c r="B243" s="598">
        <v>83750</v>
      </c>
      <c r="C243" s="598">
        <v>83750</v>
      </c>
      <c r="D243" s="602"/>
      <c r="F243" s="599"/>
      <c r="G243" s="601"/>
      <c r="H243" s="579"/>
      <c r="I243" s="579"/>
      <c r="J243" s="579"/>
      <c r="K243" s="579"/>
      <c r="L243" s="579"/>
      <c r="M243" s="579"/>
      <c r="N243" s="225"/>
      <c r="O243" s="579"/>
      <c r="P243" s="579"/>
      <c r="Q243" s="579"/>
      <c r="R243" s="579"/>
      <c r="S243" s="579"/>
      <c r="T243" s="579"/>
      <c r="U243" s="579"/>
      <c r="V243" s="579"/>
      <c r="W243" s="579"/>
      <c r="X243" s="579"/>
      <c r="Y243" s="579"/>
      <c r="Z243" s="579"/>
      <c r="AA243" s="579"/>
      <c r="AB243" s="579"/>
      <c r="AC243" s="579"/>
      <c r="AD243" s="579"/>
      <c r="AE243" s="579"/>
      <c r="AF243" s="579"/>
      <c r="AG243" s="579"/>
      <c r="AH243" s="579"/>
      <c r="AI243" s="579"/>
      <c r="AJ243" s="579"/>
      <c r="AK243" s="579"/>
      <c r="AL243" s="579"/>
      <c r="AM243" s="579"/>
      <c r="AN243" s="579"/>
      <c r="AO243" s="579"/>
      <c r="AP243" s="579"/>
      <c r="AQ243" s="579"/>
      <c r="AR243" s="579"/>
      <c r="AS243" s="579"/>
      <c r="AT243" s="579"/>
      <c r="AU243" s="579"/>
      <c r="AV243" s="579"/>
      <c r="AW243" s="579"/>
      <c r="AX243" s="579"/>
      <c r="AY243" s="579"/>
      <c r="AZ243" s="579"/>
      <c r="BA243" s="579"/>
      <c r="BB243" s="579"/>
      <c r="BC243" s="579"/>
      <c r="BD243" s="579"/>
      <c r="BE243" s="579"/>
      <c r="BF243" s="579"/>
      <c r="BG243" s="579"/>
      <c r="BH243" s="579"/>
      <c r="BI243" s="579"/>
      <c r="BJ243" s="579"/>
      <c r="BK243" s="579"/>
      <c r="BL243" s="579"/>
      <c r="BM243" s="579"/>
      <c r="BN243" s="579"/>
      <c r="BO243" s="579"/>
      <c r="BP243" s="579"/>
      <c r="BQ243" s="579"/>
      <c r="BR243" s="579"/>
      <c r="BS243" s="579"/>
      <c r="BT243" s="579"/>
      <c r="BU243" s="579"/>
      <c r="BV243" s="579"/>
      <c r="BW243" s="579"/>
      <c r="BX243" s="579"/>
      <c r="BY243" s="579"/>
      <c r="BZ243" s="579"/>
      <c r="CA243" s="579"/>
      <c r="CB243" s="579"/>
      <c r="CC243" s="579"/>
      <c r="CD243" s="579"/>
      <c r="CE243" s="579"/>
      <c r="CF243" s="579"/>
      <c r="CG243" s="579"/>
      <c r="CH243" s="579"/>
      <c r="CI243" s="579"/>
      <c r="CJ243" s="579"/>
      <c r="CK243" s="579"/>
      <c r="CL243" s="579"/>
      <c r="CM243" s="579"/>
      <c r="CN243" s="579"/>
      <c r="CO243" s="579"/>
      <c r="CP243" s="579"/>
      <c r="CQ243" s="579"/>
      <c r="CR243" s="579"/>
      <c r="CS243" s="579"/>
      <c r="CT243" s="579"/>
      <c r="CU243" s="579"/>
      <c r="CV243" s="579"/>
      <c r="CW243" s="579"/>
      <c r="CX243" s="579"/>
      <c r="CY243" s="579"/>
      <c r="CZ243" s="579"/>
      <c r="DA243" s="579"/>
      <c r="DB243" s="579"/>
      <c r="DC243" s="579"/>
      <c r="DD243" s="579"/>
      <c r="DE243" s="579"/>
      <c r="DF243" s="579"/>
      <c r="DG243" s="579"/>
    </row>
    <row r="244" spans="1:111" s="598" customFormat="1" hidden="1">
      <c r="A244" s="603" t="s">
        <v>53</v>
      </c>
      <c r="B244" s="598">
        <v>85117</v>
      </c>
      <c r="C244" s="598">
        <v>85117</v>
      </c>
      <c r="D244" s="602"/>
      <c r="F244" s="599"/>
      <c r="G244" s="601"/>
      <c r="H244" s="579"/>
      <c r="I244" s="579"/>
      <c r="J244" s="579"/>
      <c r="K244" s="579"/>
      <c r="L244" s="579"/>
      <c r="M244" s="579"/>
      <c r="N244" s="225"/>
      <c r="O244" s="579"/>
      <c r="P244" s="579"/>
      <c r="Q244" s="579"/>
      <c r="R244" s="579"/>
      <c r="S244" s="579"/>
      <c r="T244" s="579"/>
      <c r="U244" s="579"/>
      <c r="V244" s="579"/>
      <c r="W244" s="579"/>
      <c r="X244" s="579"/>
      <c r="Y244" s="579"/>
      <c r="Z244" s="579"/>
      <c r="AA244" s="579"/>
      <c r="AB244" s="579"/>
      <c r="AC244" s="579"/>
      <c r="AD244" s="579"/>
      <c r="AE244" s="579"/>
      <c r="AF244" s="579"/>
      <c r="AG244" s="579"/>
      <c r="AH244" s="579"/>
      <c r="AI244" s="579"/>
      <c r="AJ244" s="579"/>
      <c r="AK244" s="579"/>
      <c r="AL244" s="579"/>
      <c r="AM244" s="579"/>
      <c r="AN244" s="579"/>
      <c r="AO244" s="579"/>
      <c r="AP244" s="579"/>
      <c r="AQ244" s="579"/>
      <c r="AR244" s="579"/>
      <c r="AS244" s="579"/>
      <c r="AT244" s="579"/>
      <c r="AU244" s="579"/>
      <c r="AV244" s="579"/>
      <c r="AW244" s="579"/>
      <c r="AX244" s="579"/>
      <c r="AY244" s="579"/>
      <c r="AZ244" s="579"/>
      <c r="BA244" s="579"/>
      <c r="BB244" s="579"/>
      <c r="BC244" s="579"/>
      <c r="BD244" s="579"/>
      <c r="BE244" s="579"/>
      <c r="BF244" s="579"/>
      <c r="BG244" s="579"/>
      <c r="BH244" s="579"/>
      <c r="BI244" s="579"/>
      <c r="BJ244" s="579"/>
      <c r="BK244" s="579"/>
      <c r="BL244" s="579"/>
      <c r="BM244" s="579"/>
      <c r="BN244" s="579"/>
      <c r="BO244" s="579"/>
      <c r="BP244" s="579"/>
      <c r="BQ244" s="579"/>
      <c r="BR244" s="579"/>
      <c r="BS244" s="579"/>
      <c r="BT244" s="579"/>
      <c r="BU244" s="579"/>
      <c r="BV244" s="579"/>
      <c r="BW244" s="579"/>
      <c r="BX244" s="579"/>
      <c r="BY244" s="579"/>
      <c r="BZ244" s="579"/>
      <c r="CA244" s="579"/>
      <c r="CB244" s="579"/>
      <c r="CC244" s="579"/>
      <c r="CD244" s="579"/>
      <c r="CE244" s="579"/>
      <c r="CF244" s="579"/>
      <c r="CG244" s="579"/>
      <c r="CH244" s="579"/>
      <c r="CI244" s="579"/>
      <c r="CJ244" s="579"/>
      <c r="CK244" s="579"/>
      <c r="CL244" s="579"/>
      <c r="CM244" s="579"/>
      <c r="CN244" s="579"/>
      <c r="CO244" s="579"/>
      <c r="CP244" s="579"/>
      <c r="CQ244" s="579"/>
      <c r="CR244" s="579"/>
      <c r="CS244" s="579"/>
      <c r="CT244" s="579"/>
      <c r="CU244" s="579"/>
      <c r="CV244" s="579"/>
      <c r="CW244" s="579"/>
      <c r="CX244" s="579"/>
      <c r="CY244" s="579"/>
      <c r="CZ244" s="579"/>
      <c r="DA244" s="579"/>
      <c r="DB244" s="579"/>
      <c r="DC244" s="579"/>
      <c r="DD244" s="579"/>
      <c r="DE244" s="579"/>
      <c r="DF244" s="579"/>
      <c r="DG244" s="579"/>
    </row>
    <row r="245" spans="1:111" s="598" customFormat="1" hidden="1">
      <c r="A245" s="603" t="s">
        <v>52</v>
      </c>
      <c r="B245" s="598">
        <v>86506</v>
      </c>
      <c r="C245" s="598">
        <v>86506</v>
      </c>
      <c r="D245" s="602"/>
      <c r="F245" s="599"/>
      <c r="G245" s="601"/>
      <c r="H245" s="579"/>
      <c r="I245" s="579"/>
      <c r="J245" s="579"/>
      <c r="K245" s="579"/>
      <c r="L245" s="579"/>
      <c r="M245" s="579"/>
      <c r="N245" s="225"/>
      <c r="O245" s="579"/>
      <c r="P245" s="579"/>
      <c r="Q245" s="579"/>
      <c r="R245" s="579"/>
      <c r="S245" s="579"/>
      <c r="T245" s="579"/>
      <c r="U245" s="579"/>
      <c r="V245" s="579"/>
      <c r="W245" s="579"/>
      <c r="X245" s="579"/>
      <c r="Y245" s="579"/>
      <c r="Z245" s="579"/>
      <c r="AA245" s="579"/>
      <c r="AB245" s="579"/>
      <c r="AC245" s="579"/>
      <c r="AD245" s="579"/>
      <c r="AE245" s="579"/>
      <c r="AF245" s="579"/>
      <c r="AG245" s="579"/>
      <c r="AH245" s="579"/>
      <c r="AI245" s="579"/>
      <c r="AJ245" s="579"/>
      <c r="AK245" s="579"/>
      <c r="AL245" s="579"/>
      <c r="AM245" s="579"/>
      <c r="AN245" s="579"/>
      <c r="AO245" s="579"/>
      <c r="AP245" s="579"/>
      <c r="AQ245" s="579"/>
      <c r="AR245" s="579"/>
      <c r="AS245" s="579"/>
      <c r="AT245" s="579"/>
      <c r="AU245" s="579"/>
      <c r="AV245" s="579"/>
      <c r="AW245" s="579"/>
      <c r="AX245" s="579"/>
      <c r="AY245" s="579"/>
      <c r="AZ245" s="579"/>
      <c r="BA245" s="579"/>
      <c r="BB245" s="579"/>
      <c r="BC245" s="579"/>
      <c r="BD245" s="579"/>
      <c r="BE245" s="579"/>
      <c r="BF245" s="579"/>
      <c r="BG245" s="579"/>
      <c r="BH245" s="579"/>
      <c r="BI245" s="579"/>
      <c r="BJ245" s="579"/>
      <c r="BK245" s="579"/>
      <c r="BL245" s="579"/>
      <c r="BM245" s="579"/>
      <c r="BN245" s="579"/>
      <c r="BO245" s="579"/>
      <c r="BP245" s="579"/>
      <c r="BQ245" s="579"/>
      <c r="BR245" s="579"/>
      <c r="BS245" s="579"/>
      <c r="BT245" s="579"/>
      <c r="BU245" s="579"/>
      <c r="BV245" s="579"/>
      <c r="BW245" s="579"/>
      <c r="BX245" s="579"/>
      <c r="BY245" s="579"/>
      <c r="BZ245" s="579"/>
      <c r="CA245" s="579"/>
      <c r="CB245" s="579"/>
      <c r="CC245" s="579"/>
      <c r="CD245" s="579"/>
      <c r="CE245" s="579"/>
      <c r="CF245" s="579"/>
      <c r="CG245" s="579"/>
      <c r="CH245" s="579"/>
      <c r="CI245" s="579"/>
      <c r="CJ245" s="579"/>
      <c r="CK245" s="579"/>
      <c r="CL245" s="579"/>
      <c r="CM245" s="579"/>
      <c r="CN245" s="579"/>
      <c r="CO245" s="579"/>
      <c r="CP245" s="579"/>
      <c r="CQ245" s="579"/>
      <c r="CR245" s="579"/>
      <c r="CS245" s="579"/>
      <c r="CT245" s="579"/>
      <c r="CU245" s="579"/>
      <c r="CV245" s="579"/>
      <c r="CW245" s="579"/>
      <c r="CX245" s="579"/>
      <c r="CY245" s="579"/>
      <c r="CZ245" s="579"/>
      <c r="DA245" s="579"/>
      <c r="DB245" s="579"/>
      <c r="DC245" s="579"/>
      <c r="DD245" s="579"/>
      <c r="DE245" s="579"/>
      <c r="DF245" s="579"/>
      <c r="DG245" s="579"/>
    </row>
    <row r="246" spans="1:111" s="598" customFormat="1" hidden="1">
      <c r="A246" s="603" t="s">
        <v>51</v>
      </c>
      <c r="B246" s="598">
        <v>87918</v>
      </c>
      <c r="C246" s="598">
        <v>87918</v>
      </c>
      <c r="D246" s="602"/>
      <c r="F246" s="599"/>
      <c r="G246" s="601"/>
      <c r="H246" s="579"/>
      <c r="I246" s="579"/>
      <c r="J246" s="579"/>
      <c r="K246" s="579"/>
      <c r="L246" s="579"/>
      <c r="M246" s="579"/>
      <c r="N246" s="225"/>
      <c r="O246" s="579"/>
      <c r="P246" s="579"/>
      <c r="Q246" s="579"/>
      <c r="R246" s="579"/>
      <c r="S246" s="579"/>
      <c r="T246" s="579"/>
      <c r="U246" s="579"/>
      <c r="V246" s="579"/>
      <c r="W246" s="579"/>
      <c r="X246" s="579"/>
      <c r="Y246" s="579"/>
      <c r="Z246" s="579"/>
      <c r="AA246" s="579"/>
      <c r="AB246" s="579"/>
      <c r="AC246" s="579"/>
      <c r="AD246" s="579"/>
      <c r="AE246" s="579"/>
      <c r="AF246" s="579"/>
      <c r="AG246" s="579"/>
      <c r="AH246" s="579"/>
      <c r="AI246" s="579"/>
      <c r="AJ246" s="579"/>
      <c r="AK246" s="579"/>
      <c r="AL246" s="579"/>
      <c r="AM246" s="579"/>
      <c r="AN246" s="579"/>
      <c r="AO246" s="579"/>
      <c r="AP246" s="579"/>
      <c r="AQ246" s="579"/>
      <c r="AR246" s="579"/>
      <c r="AS246" s="579"/>
      <c r="AT246" s="579"/>
      <c r="AU246" s="579"/>
      <c r="AV246" s="579"/>
      <c r="AW246" s="579"/>
      <c r="AX246" s="579"/>
      <c r="AY246" s="579"/>
      <c r="AZ246" s="579"/>
      <c r="BA246" s="579"/>
      <c r="BB246" s="579"/>
      <c r="BC246" s="579"/>
      <c r="BD246" s="579"/>
      <c r="BE246" s="579"/>
      <c r="BF246" s="579"/>
      <c r="BG246" s="579"/>
      <c r="BH246" s="579"/>
      <c r="BI246" s="579"/>
      <c r="BJ246" s="579"/>
      <c r="BK246" s="579"/>
      <c r="BL246" s="579"/>
      <c r="BM246" s="579"/>
      <c r="BN246" s="579"/>
      <c r="BO246" s="579"/>
      <c r="BP246" s="579"/>
      <c r="BQ246" s="579"/>
      <c r="BR246" s="579"/>
      <c r="BS246" s="579"/>
      <c r="BT246" s="579"/>
      <c r="BU246" s="579"/>
      <c r="BV246" s="579"/>
      <c r="BW246" s="579"/>
      <c r="BX246" s="579"/>
      <c r="BY246" s="579"/>
      <c r="BZ246" s="579"/>
      <c r="CA246" s="579"/>
      <c r="CB246" s="579"/>
      <c r="CC246" s="579"/>
      <c r="CD246" s="579"/>
      <c r="CE246" s="579"/>
      <c r="CF246" s="579"/>
      <c r="CG246" s="579"/>
      <c r="CH246" s="579"/>
      <c r="CI246" s="579"/>
      <c r="CJ246" s="579"/>
      <c r="CK246" s="579"/>
      <c r="CL246" s="579"/>
      <c r="CM246" s="579"/>
      <c r="CN246" s="579"/>
      <c r="CO246" s="579"/>
      <c r="CP246" s="579"/>
      <c r="CQ246" s="579"/>
      <c r="CR246" s="579"/>
      <c r="CS246" s="579"/>
      <c r="CT246" s="579"/>
      <c r="CU246" s="579"/>
      <c r="CV246" s="579"/>
      <c r="CW246" s="579"/>
      <c r="CX246" s="579"/>
      <c r="CY246" s="579"/>
      <c r="CZ246" s="579"/>
      <c r="DA246" s="579"/>
      <c r="DB246" s="579"/>
      <c r="DC246" s="579"/>
      <c r="DD246" s="579"/>
      <c r="DE246" s="579"/>
      <c r="DF246" s="579"/>
      <c r="DG246" s="579"/>
    </row>
    <row r="247" spans="1:111" s="598" customFormat="1" hidden="1">
      <c r="A247" s="603" t="s">
        <v>50</v>
      </c>
      <c r="B247" s="598">
        <v>89354</v>
      </c>
      <c r="C247" s="598">
        <v>89354</v>
      </c>
      <c r="D247" s="602"/>
      <c r="F247" s="599"/>
      <c r="G247" s="601"/>
      <c r="H247" s="579"/>
      <c r="I247" s="579"/>
      <c r="J247" s="579"/>
      <c r="K247" s="579"/>
      <c r="L247" s="579"/>
      <c r="M247" s="579"/>
      <c r="N247" s="225"/>
      <c r="O247" s="579"/>
      <c r="P247" s="579"/>
      <c r="Q247" s="579"/>
      <c r="R247" s="579"/>
      <c r="S247" s="579"/>
      <c r="T247" s="579"/>
      <c r="U247" s="579"/>
      <c r="V247" s="579"/>
      <c r="W247" s="579"/>
      <c r="X247" s="579"/>
      <c r="Y247" s="579"/>
      <c r="Z247" s="579"/>
      <c r="AA247" s="579"/>
      <c r="AB247" s="579"/>
      <c r="AC247" s="579"/>
      <c r="AD247" s="579"/>
      <c r="AE247" s="579"/>
      <c r="AF247" s="579"/>
      <c r="AG247" s="579"/>
      <c r="AH247" s="579"/>
      <c r="AI247" s="579"/>
      <c r="AJ247" s="579"/>
      <c r="AK247" s="579"/>
      <c r="AL247" s="579"/>
      <c r="AM247" s="579"/>
      <c r="AN247" s="579"/>
      <c r="AO247" s="579"/>
      <c r="AP247" s="579"/>
      <c r="AQ247" s="579"/>
      <c r="AR247" s="579"/>
      <c r="AS247" s="579"/>
      <c r="AT247" s="579"/>
      <c r="AU247" s="579"/>
      <c r="AV247" s="579"/>
      <c r="AW247" s="579"/>
      <c r="AX247" s="579"/>
      <c r="AY247" s="579"/>
      <c r="AZ247" s="579"/>
      <c r="BA247" s="579"/>
      <c r="BB247" s="579"/>
      <c r="BC247" s="579"/>
      <c r="BD247" s="579"/>
      <c r="BE247" s="579"/>
      <c r="BF247" s="579"/>
      <c r="BG247" s="579"/>
      <c r="BH247" s="579"/>
      <c r="BI247" s="579"/>
      <c r="BJ247" s="579"/>
      <c r="BK247" s="579"/>
      <c r="BL247" s="579"/>
      <c r="BM247" s="579"/>
      <c r="BN247" s="579"/>
      <c r="BO247" s="579"/>
      <c r="BP247" s="579"/>
      <c r="BQ247" s="579"/>
      <c r="BR247" s="579"/>
      <c r="BS247" s="579"/>
      <c r="BT247" s="579"/>
      <c r="BU247" s="579"/>
      <c r="BV247" s="579"/>
      <c r="BW247" s="579"/>
      <c r="BX247" s="579"/>
      <c r="BY247" s="579"/>
      <c r="BZ247" s="579"/>
      <c r="CA247" s="579"/>
      <c r="CB247" s="579"/>
      <c r="CC247" s="579"/>
      <c r="CD247" s="579"/>
      <c r="CE247" s="579"/>
      <c r="CF247" s="579"/>
      <c r="CG247" s="579"/>
      <c r="CH247" s="579"/>
      <c r="CI247" s="579"/>
      <c r="CJ247" s="579"/>
      <c r="CK247" s="579"/>
      <c r="CL247" s="579"/>
      <c r="CM247" s="579"/>
      <c r="CN247" s="579"/>
      <c r="CO247" s="579"/>
      <c r="CP247" s="579"/>
      <c r="CQ247" s="579"/>
      <c r="CR247" s="579"/>
      <c r="CS247" s="579"/>
      <c r="CT247" s="579"/>
      <c r="CU247" s="579"/>
      <c r="CV247" s="579"/>
      <c r="CW247" s="579"/>
      <c r="CX247" s="579"/>
      <c r="CY247" s="579"/>
      <c r="CZ247" s="579"/>
      <c r="DA247" s="579"/>
      <c r="DB247" s="579"/>
      <c r="DC247" s="579"/>
      <c r="DD247" s="579"/>
      <c r="DE247" s="579"/>
      <c r="DF247" s="579"/>
      <c r="DG247" s="579"/>
    </row>
    <row r="248" spans="1:111" s="598" customFormat="1" hidden="1">
      <c r="A248" s="603" t="s">
        <v>49</v>
      </c>
      <c r="B248" s="598">
        <v>90812</v>
      </c>
      <c r="C248" s="598">
        <v>90812</v>
      </c>
      <c r="D248" s="602"/>
      <c r="F248" s="599"/>
      <c r="G248" s="601"/>
      <c r="H248" s="579"/>
      <c r="I248" s="579"/>
      <c r="J248" s="579"/>
      <c r="K248" s="579"/>
      <c r="L248" s="579"/>
      <c r="M248" s="579"/>
      <c r="N248" s="225"/>
      <c r="O248" s="579"/>
      <c r="P248" s="579"/>
      <c r="Q248" s="579"/>
      <c r="R248" s="579"/>
      <c r="S248" s="579"/>
      <c r="T248" s="579"/>
      <c r="U248" s="579"/>
      <c r="V248" s="579"/>
      <c r="W248" s="579"/>
      <c r="X248" s="579"/>
      <c r="Y248" s="579"/>
      <c r="Z248" s="579"/>
      <c r="AA248" s="579"/>
      <c r="AB248" s="579"/>
      <c r="AC248" s="579"/>
      <c r="AD248" s="579"/>
      <c r="AE248" s="579"/>
      <c r="AF248" s="579"/>
      <c r="AG248" s="579"/>
      <c r="AH248" s="579"/>
      <c r="AI248" s="579"/>
      <c r="AJ248" s="579"/>
      <c r="AK248" s="579"/>
      <c r="AL248" s="579"/>
      <c r="AM248" s="579"/>
      <c r="AN248" s="579"/>
      <c r="AO248" s="579"/>
      <c r="AP248" s="579"/>
      <c r="AQ248" s="579"/>
      <c r="AR248" s="579"/>
      <c r="AS248" s="579"/>
      <c r="AT248" s="579"/>
      <c r="AU248" s="579"/>
      <c r="AV248" s="579"/>
      <c r="AW248" s="579"/>
      <c r="AX248" s="579"/>
      <c r="AY248" s="579"/>
      <c r="AZ248" s="579"/>
      <c r="BA248" s="579"/>
      <c r="BB248" s="579"/>
      <c r="BC248" s="579"/>
      <c r="BD248" s="579"/>
      <c r="BE248" s="579"/>
      <c r="BF248" s="579"/>
      <c r="BG248" s="579"/>
      <c r="BH248" s="579"/>
      <c r="BI248" s="579"/>
      <c r="BJ248" s="579"/>
      <c r="BK248" s="579"/>
      <c r="BL248" s="579"/>
      <c r="BM248" s="579"/>
      <c r="BN248" s="579"/>
      <c r="BO248" s="579"/>
      <c r="BP248" s="579"/>
      <c r="BQ248" s="579"/>
      <c r="BR248" s="579"/>
      <c r="BS248" s="579"/>
      <c r="BT248" s="579"/>
      <c r="BU248" s="579"/>
      <c r="BV248" s="579"/>
      <c r="BW248" s="579"/>
      <c r="BX248" s="579"/>
      <c r="BY248" s="579"/>
      <c r="BZ248" s="579"/>
      <c r="CA248" s="579"/>
      <c r="CB248" s="579"/>
      <c r="CC248" s="579"/>
      <c r="CD248" s="579"/>
      <c r="CE248" s="579"/>
      <c r="CF248" s="579"/>
      <c r="CG248" s="579"/>
      <c r="CH248" s="579"/>
      <c r="CI248" s="579"/>
      <c r="CJ248" s="579"/>
      <c r="CK248" s="579"/>
      <c r="CL248" s="579"/>
      <c r="CM248" s="579"/>
      <c r="CN248" s="579"/>
      <c r="CO248" s="579"/>
      <c r="CP248" s="579"/>
      <c r="CQ248" s="579"/>
      <c r="CR248" s="579"/>
      <c r="CS248" s="579"/>
      <c r="CT248" s="579"/>
      <c r="CU248" s="579"/>
      <c r="CV248" s="579"/>
      <c r="CW248" s="579"/>
      <c r="CX248" s="579"/>
      <c r="CY248" s="579"/>
      <c r="CZ248" s="579"/>
      <c r="DA248" s="579"/>
      <c r="DB248" s="579"/>
      <c r="DC248" s="579"/>
      <c r="DD248" s="579"/>
      <c r="DE248" s="579"/>
      <c r="DF248" s="579"/>
      <c r="DG248" s="579"/>
    </row>
    <row r="249" spans="1:111" s="598" customFormat="1" hidden="1">
      <c r="A249" s="603" t="s">
        <v>48</v>
      </c>
      <c r="B249" s="598">
        <v>92294</v>
      </c>
      <c r="C249" s="598">
        <v>92294</v>
      </c>
      <c r="D249" s="602"/>
      <c r="F249" s="599"/>
      <c r="G249" s="601"/>
      <c r="H249" s="579"/>
      <c r="I249" s="579"/>
      <c r="J249" s="579"/>
      <c r="K249" s="579"/>
      <c r="L249" s="579"/>
      <c r="M249" s="579"/>
      <c r="N249" s="225"/>
      <c r="O249" s="579"/>
      <c r="P249" s="579"/>
      <c r="Q249" s="579"/>
      <c r="R249" s="579"/>
      <c r="S249" s="579"/>
      <c r="T249" s="579"/>
      <c r="U249" s="579"/>
      <c r="V249" s="579"/>
      <c r="W249" s="579"/>
      <c r="X249" s="579"/>
      <c r="Y249" s="579"/>
      <c r="Z249" s="579"/>
      <c r="AA249" s="579"/>
      <c r="AB249" s="579"/>
      <c r="AC249" s="579"/>
      <c r="AD249" s="579"/>
      <c r="AE249" s="579"/>
      <c r="AF249" s="579"/>
      <c r="AG249" s="579"/>
      <c r="AH249" s="579"/>
      <c r="AI249" s="579"/>
      <c r="AJ249" s="579"/>
      <c r="AK249" s="579"/>
      <c r="AL249" s="579"/>
      <c r="AM249" s="579"/>
      <c r="AN249" s="579"/>
      <c r="AO249" s="579"/>
      <c r="AP249" s="579"/>
      <c r="AQ249" s="579"/>
      <c r="AR249" s="579"/>
      <c r="AS249" s="579"/>
      <c r="AT249" s="579"/>
      <c r="AU249" s="579"/>
      <c r="AV249" s="579"/>
      <c r="AW249" s="579"/>
      <c r="AX249" s="579"/>
      <c r="AY249" s="579"/>
      <c r="AZ249" s="579"/>
      <c r="BA249" s="579"/>
      <c r="BB249" s="579"/>
      <c r="BC249" s="579"/>
      <c r="BD249" s="579"/>
      <c r="BE249" s="579"/>
      <c r="BF249" s="579"/>
      <c r="BG249" s="579"/>
      <c r="BH249" s="579"/>
      <c r="BI249" s="579"/>
      <c r="BJ249" s="579"/>
      <c r="BK249" s="579"/>
      <c r="BL249" s="579"/>
      <c r="BM249" s="579"/>
      <c r="BN249" s="579"/>
      <c r="BO249" s="579"/>
      <c r="BP249" s="579"/>
      <c r="BQ249" s="579"/>
      <c r="BR249" s="579"/>
      <c r="BS249" s="579"/>
      <c r="BT249" s="579"/>
      <c r="BU249" s="579"/>
      <c r="BV249" s="579"/>
      <c r="BW249" s="579"/>
      <c r="BX249" s="579"/>
      <c r="BY249" s="579"/>
      <c r="BZ249" s="579"/>
      <c r="CA249" s="579"/>
      <c r="CB249" s="579"/>
      <c r="CC249" s="579"/>
      <c r="CD249" s="579"/>
      <c r="CE249" s="579"/>
      <c r="CF249" s="579"/>
      <c r="CG249" s="579"/>
      <c r="CH249" s="579"/>
      <c r="CI249" s="579"/>
      <c r="CJ249" s="579"/>
      <c r="CK249" s="579"/>
      <c r="CL249" s="579"/>
      <c r="CM249" s="579"/>
      <c r="CN249" s="579"/>
      <c r="CO249" s="579"/>
      <c r="CP249" s="579"/>
      <c r="CQ249" s="579"/>
      <c r="CR249" s="579"/>
      <c r="CS249" s="579"/>
      <c r="CT249" s="579"/>
      <c r="CU249" s="579"/>
      <c r="CV249" s="579"/>
      <c r="CW249" s="579"/>
      <c r="CX249" s="579"/>
      <c r="CY249" s="579"/>
      <c r="CZ249" s="579"/>
      <c r="DA249" s="579"/>
      <c r="DB249" s="579"/>
      <c r="DC249" s="579"/>
      <c r="DD249" s="579"/>
      <c r="DE249" s="579"/>
      <c r="DF249" s="579"/>
      <c r="DG249" s="579"/>
    </row>
    <row r="250" spans="1:111" s="598" customFormat="1" hidden="1">
      <c r="A250" s="603" t="s">
        <v>47</v>
      </c>
      <c r="B250" s="598">
        <v>93942</v>
      </c>
      <c r="C250" s="598">
        <v>93942</v>
      </c>
      <c r="D250" s="602"/>
      <c r="F250" s="599"/>
      <c r="G250" s="601"/>
      <c r="H250" s="579"/>
      <c r="I250" s="579"/>
      <c r="J250" s="579"/>
      <c r="K250" s="579"/>
      <c r="L250" s="579"/>
      <c r="M250" s="579"/>
      <c r="N250" s="225"/>
      <c r="O250" s="579"/>
      <c r="P250" s="579"/>
      <c r="Q250" s="579"/>
      <c r="R250" s="579"/>
      <c r="S250" s="579"/>
      <c r="T250" s="579"/>
      <c r="U250" s="579"/>
      <c r="V250" s="579"/>
      <c r="W250" s="579"/>
      <c r="X250" s="579"/>
      <c r="Y250" s="579"/>
      <c r="Z250" s="579"/>
      <c r="AA250" s="579"/>
      <c r="AB250" s="579"/>
      <c r="AC250" s="579"/>
      <c r="AD250" s="579"/>
      <c r="AE250" s="579"/>
      <c r="AF250" s="579"/>
      <c r="AG250" s="579"/>
      <c r="AH250" s="579"/>
      <c r="AI250" s="579"/>
      <c r="AJ250" s="579"/>
      <c r="AK250" s="579"/>
      <c r="AL250" s="579"/>
      <c r="AM250" s="579"/>
      <c r="AN250" s="579"/>
      <c r="AO250" s="579"/>
      <c r="AP250" s="579"/>
      <c r="AQ250" s="579"/>
      <c r="AR250" s="579"/>
      <c r="AS250" s="579"/>
      <c r="AT250" s="579"/>
      <c r="AU250" s="579"/>
      <c r="AV250" s="579"/>
      <c r="AW250" s="579"/>
      <c r="AX250" s="579"/>
      <c r="AY250" s="579"/>
      <c r="AZ250" s="579"/>
      <c r="BA250" s="579"/>
      <c r="BB250" s="579"/>
      <c r="BC250" s="579"/>
      <c r="BD250" s="579"/>
      <c r="BE250" s="579"/>
      <c r="BF250" s="579"/>
      <c r="BG250" s="579"/>
      <c r="BH250" s="579"/>
      <c r="BI250" s="579"/>
      <c r="BJ250" s="579"/>
      <c r="BK250" s="579"/>
      <c r="BL250" s="579"/>
      <c r="BM250" s="579"/>
      <c r="BN250" s="579"/>
      <c r="BO250" s="579"/>
      <c r="BP250" s="579"/>
      <c r="BQ250" s="579"/>
      <c r="BR250" s="579"/>
      <c r="BS250" s="579"/>
      <c r="BT250" s="579"/>
      <c r="BU250" s="579"/>
      <c r="BV250" s="579"/>
      <c r="BW250" s="579"/>
      <c r="BX250" s="579"/>
      <c r="BY250" s="579"/>
      <c r="BZ250" s="579"/>
      <c r="CA250" s="579"/>
      <c r="CB250" s="579"/>
      <c r="CC250" s="579"/>
      <c r="CD250" s="579"/>
      <c r="CE250" s="579"/>
      <c r="CF250" s="579"/>
      <c r="CG250" s="579"/>
      <c r="CH250" s="579"/>
      <c r="CI250" s="579"/>
      <c r="CJ250" s="579"/>
      <c r="CK250" s="579"/>
      <c r="CL250" s="579"/>
      <c r="CM250" s="579"/>
      <c r="CN250" s="579"/>
      <c r="CO250" s="579"/>
      <c r="CP250" s="579"/>
      <c r="CQ250" s="579"/>
      <c r="CR250" s="579"/>
      <c r="CS250" s="579"/>
      <c r="CT250" s="579"/>
      <c r="CU250" s="579"/>
      <c r="CV250" s="579"/>
      <c r="CW250" s="579"/>
      <c r="CX250" s="579"/>
      <c r="CY250" s="579"/>
      <c r="CZ250" s="579"/>
      <c r="DA250" s="579"/>
      <c r="DB250" s="579"/>
      <c r="DC250" s="579"/>
      <c r="DD250" s="579"/>
      <c r="DE250" s="579"/>
      <c r="DF250" s="579"/>
      <c r="DG250" s="579"/>
    </row>
    <row r="251" spans="1:111" s="598" customFormat="1" hidden="1">
      <c r="A251" s="603" t="s">
        <v>46</v>
      </c>
      <c r="B251" s="598">
        <v>95475</v>
      </c>
      <c r="C251" s="598">
        <v>95475</v>
      </c>
      <c r="D251" s="602"/>
      <c r="F251" s="599"/>
      <c r="G251" s="601"/>
      <c r="H251" s="579"/>
      <c r="I251" s="579"/>
      <c r="J251" s="579"/>
      <c r="K251" s="579"/>
      <c r="L251" s="579"/>
      <c r="M251" s="579"/>
      <c r="N251" s="225"/>
      <c r="O251" s="579"/>
      <c r="P251" s="579"/>
      <c r="Q251" s="579"/>
      <c r="R251" s="579"/>
      <c r="S251" s="579"/>
      <c r="T251" s="579"/>
      <c r="U251" s="579"/>
      <c r="V251" s="579"/>
      <c r="W251" s="579"/>
      <c r="X251" s="579"/>
      <c r="Y251" s="579"/>
      <c r="Z251" s="579"/>
      <c r="AA251" s="579"/>
      <c r="AB251" s="579"/>
      <c r="AC251" s="579"/>
      <c r="AD251" s="579"/>
      <c r="AE251" s="579"/>
      <c r="AF251" s="579"/>
      <c r="AG251" s="579"/>
      <c r="AH251" s="579"/>
      <c r="AI251" s="579"/>
      <c r="AJ251" s="579"/>
      <c r="AK251" s="579"/>
      <c r="AL251" s="579"/>
      <c r="AM251" s="579"/>
      <c r="AN251" s="579"/>
      <c r="AO251" s="579"/>
      <c r="AP251" s="579"/>
      <c r="AQ251" s="579"/>
      <c r="AR251" s="579"/>
      <c r="AS251" s="579"/>
      <c r="AT251" s="579"/>
      <c r="AU251" s="579"/>
      <c r="AV251" s="579"/>
      <c r="AW251" s="579"/>
      <c r="AX251" s="579"/>
      <c r="AY251" s="579"/>
      <c r="AZ251" s="579"/>
      <c r="BA251" s="579"/>
      <c r="BB251" s="579"/>
      <c r="BC251" s="579"/>
      <c r="BD251" s="579"/>
      <c r="BE251" s="579"/>
      <c r="BF251" s="579"/>
      <c r="BG251" s="579"/>
      <c r="BH251" s="579"/>
      <c r="BI251" s="579"/>
      <c r="BJ251" s="579"/>
      <c r="BK251" s="579"/>
      <c r="BL251" s="579"/>
      <c r="BM251" s="579"/>
      <c r="BN251" s="579"/>
      <c r="BO251" s="579"/>
      <c r="BP251" s="579"/>
      <c r="BQ251" s="579"/>
      <c r="BR251" s="579"/>
      <c r="BS251" s="579"/>
      <c r="BT251" s="579"/>
      <c r="BU251" s="579"/>
      <c r="BV251" s="579"/>
      <c r="BW251" s="579"/>
      <c r="BX251" s="579"/>
      <c r="BY251" s="579"/>
      <c r="BZ251" s="579"/>
      <c r="CA251" s="579"/>
      <c r="CB251" s="579"/>
      <c r="CC251" s="579"/>
      <c r="CD251" s="579"/>
      <c r="CE251" s="579"/>
      <c r="CF251" s="579"/>
      <c r="CG251" s="579"/>
      <c r="CH251" s="579"/>
      <c r="CI251" s="579"/>
      <c r="CJ251" s="579"/>
      <c r="CK251" s="579"/>
      <c r="CL251" s="579"/>
      <c r="CM251" s="579"/>
      <c r="CN251" s="579"/>
      <c r="CO251" s="579"/>
      <c r="CP251" s="579"/>
      <c r="CQ251" s="579"/>
      <c r="CR251" s="579"/>
      <c r="CS251" s="579"/>
      <c r="CT251" s="579"/>
      <c r="CU251" s="579"/>
      <c r="CV251" s="579"/>
      <c r="CW251" s="579"/>
      <c r="CX251" s="579"/>
      <c r="CY251" s="579"/>
      <c r="CZ251" s="579"/>
      <c r="DA251" s="579"/>
      <c r="DB251" s="579"/>
      <c r="DC251" s="579"/>
      <c r="DD251" s="579"/>
      <c r="DE251" s="579"/>
      <c r="DF251" s="579"/>
      <c r="DG251" s="579"/>
    </row>
    <row r="252" spans="1:111" s="598" customFormat="1" hidden="1">
      <c r="A252" s="603" t="s">
        <v>45</v>
      </c>
      <c r="B252" s="598">
        <v>97033</v>
      </c>
      <c r="C252" s="598">
        <v>97033</v>
      </c>
      <c r="D252" s="602"/>
      <c r="F252" s="599"/>
      <c r="G252" s="601"/>
      <c r="H252" s="579"/>
      <c r="I252" s="579"/>
      <c r="J252" s="579"/>
      <c r="K252" s="579"/>
      <c r="L252" s="579"/>
      <c r="M252" s="579"/>
      <c r="N252" s="225"/>
      <c r="O252" s="579"/>
      <c r="P252" s="579"/>
      <c r="Q252" s="579"/>
      <c r="R252" s="579"/>
      <c r="S252" s="579"/>
      <c r="T252" s="579"/>
      <c r="U252" s="579"/>
      <c r="V252" s="579"/>
      <c r="W252" s="579"/>
      <c r="X252" s="579"/>
      <c r="Y252" s="579"/>
      <c r="Z252" s="579"/>
      <c r="AA252" s="579"/>
      <c r="AB252" s="579"/>
      <c r="AC252" s="579"/>
      <c r="AD252" s="579"/>
      <c r="AE252" s="579"/>
      <c r="AF252" s="579"/>
      <c r="AG252" s="579"/>
      <c r="AH252" s="579"/>
      <c r="AI252" s="579"/>
      <c r="AJ252" s="579"/>
      <c r="AK252" s="579"/>
      <c r="AL252" s="579"/>
      <c r="AM252" s="579"/>
      <c r="AN252" s="579"/>
      <c r="AO252" s="579"/>
      <c r="AP252" s="579"/>
      <c r="AQ252" s="579"/>
      <c r="AR252" s="579"/>
      <c r="AS252" s="579"/>
      <c r="AT252" s="579"/>
      <c r="AU252" s="579"/>
      <c r="AV252" s="579"/>
      <c r="AW252" s="579"/>
      <c r="AX252" s="579"/>
      <c r="AY252" s="579"/>
      <c r="AZ252" s="579"/>
      <c r="BA252" s="579"/>
      <c r="BB252" s="579"/>
      <c r="BC252" s="579"/>
      <c r="BD252" s="579"/>
      <c r="BE252" s="579"/>
      <c r="BF252" s="579"/>
      <c r="BG252" s="579"/>
      <c r="BH252" s="579"/>
      <c r="BI252" s="579"/>
      <c r="BJ252" s="579"/>
      <c r="BK252" s="579"/>
      <c r="BL252" s="579"/>
      <c r="BM252" s="579"/>
      <c r="BN252" s="579"/>
      <c r="BO252" s="579"/>
      <c r="BP252" s="579"/>
      <c r="BQ252" s="579"/>
      <c r="BR252" s="579"/>
      <c r="BS252" s="579"/>
      <c r="BT252" s="579"/>
      <c r="BU252" s="579"/>
      <c r="BV252" s="579"/>
      <c r="BW252" s="579"/>
      <c r="BX252" s="579"/>
      <c r="BY252" s="579"/>
      <c r="BZ252" s="579"/>
      <c r="CA252" s="579"/>
      <c r="CB252" s="579"/>
      <c r="CC252" s="579"/>
      <c r="CD252" s="579"/>
      <c r="CE252" s="579"/>
      <c r="CF252" s="579"/>
      <c r="CG252" s="579"/>
      <c r="CH252" s="579"/>
      <c r="CI252" s="579"/>
      <c r="CJ252" s="579"/>
      <c r="CK252" s="579"/>
      <c r="CL252" s="579"/>
      <c r="CM252" s="579"/>
      <c r="CN252" s="579"/>
      <c r="CO252" s="579"/>
      <c r="CP252" s="579"/>
      <c r="CQ252" s="579"/>
      <c r="CR252" s="579"/>
      <c r="CS252" s="579"/>
      <c r="CT252" s="579"/>
      <c r="CU252" s="579"/>
      <c r="CV252" s="579"/>
      <c r="CW252" s="579"/>
      <c r="CX252" s="579"/>
      <c r="CY252" s="579"/>
      <c r="CZ252" s="579"/>
      <c r="DA252" s="579"/>
      <c r="DB252" s="579"/>
      <c r="DC252" s="579"/>
      <c r="DD252" s="579"/>
      <c r="DE252" s="579"/>
      <c r="DF252" s="579"/>
      <c r="DG252" s="579"/>
    </row>
    <row r="253" spans="1:111" s="598" customFormat="1" hidden="1">
      <c r="A253" s="603" t="s">
        <v>44</v>
      </c>
      <c r="B253" s="598">
        <v>98618</v>
      </c>
      <c r="C253" s="598">
        <v>98618</v>
      </c>
      <c r="D253" s="602"/>
      <c r="F253" s="599"/>
      <c r="G253" s="601"/>
      <c r="H253" s="579"/>
      <c r="I253" s="579"/>
      <c r="J253" s="579"/>
      <c r="K253" s="579"/>
      <c r="L253" s="579"/>
      <c r="M253" s="579"/>
      <c r="N253" s="225"/>
      <c r="O253" s="579"/>
      <c r="P253" s="579"/>
      <c r="Q253" s="579"/>
      <c r="R253" s="579"/>
      <c r="S253" s="579"/>
      <c r="T253" s="579"/>
      <c r="U253" s="579"/>
      <c r="V253" s="579"/>
      <c r="W253" s="579"/>
      <c r="X253" s="579"/>
      <c r="Y253" s="579"/>
      <c r="Z253" s="579"/>
      <c r="AA253" s="579"/>
      <c r="AB253" s="579"/>
      <c r="AC253" s="579"/>
      <c r="AD253" s="579"/>
      <c r="AE253" s="579"/>
      <c r="AF253" s="579"/>
      <c r="AG253" s="579"/>
      <c r="AH253" s="579"/>
      <c r="AI253" s="579"/>
      <c r="AJ253" s="579"/>
      <c r="AK253" s="579"/>
      <c r="AL253" s="579"/>
      <c r="AM253" s="579"/>
      <c r="AN253" s="579"/>
      <c r="AO253" s="579"/>
      <c r="AP253" s="579"/>
      <c r="AQ253" s="579"/>
      <c r="AR253" s="579"/>
      <c r="AS253" s="579"/>
      <c r="AT253" s="579"/>
      <c r="AU253" s="579"/>
      <c r="AV253" s="579"/>
      <c r="AW253" s="579"/>
      <c r="AX253" s="579"/>
      <c r="AY253" s="579"/>
      <c r="AZ253" s="579"/>
      <c r="BA253" s="579"/>
      <c r="BB253" s="579"/>
      <c r="BC253" s="579"/>
      <c r="BD253" s="579"/>
      <c r="BE253" s="579"/>
      <c r="BF253" s="579"/>
      <c r="BG253" s="579"/>
      <c r="BH253" s="579"/>
      <c r="BI253" s="579"/>
      <c r="BJ253" s="579"/>
      <c r="BK253" s="579"/>
      <c r="BL253" s="579"/>
      <c r="BM253" s="579"/>
      <c r="BN253" s="579"/>
      <c r="BO253" s="579"/>
      <c r="BP253" s="579"/>
      <c r="BQ253" s="579"/>
      <c r="BR253" s="579"/>
      <c r="BS253" s="579"/>
      <c r="BT253" s="579"/>
      <c r="BU253" s="579"/>
      <c r="BV253" s="579"/>
      <c r="BW253" s="579"/>
      <c r="BX253" s="579"/>
      <c r="BY253" s="579"/>
      <c r="BZ253" s="579"/>
      <c r="CA253" s="579"/>
      <c r="CB253" s="579"/>
      <c r="CC253" s="579"/>
      <c r="CD253" s="579"/>
      <c r="CE253" s="579"/>
      <c r="CF253" s="579"/>
      <c r="CG253" s="579"/>
      <c r="CH253" s="579"/>
      <c r="CI253" s="579"/>
      <c r="CJ253" s="579"/>
      <c r="CK253" s="579"/>
      <c r="CL253" s="579"/>
      <c r="CM253" s="579"/>
      <c r="CN253" s="579"/>
      <c r="CO253" s="579"/>
      <c r="CP253" s="579"/>
      <c r="CQ253" s="579"/>
      <c r="CR253" s="579"/>
      <c r="CS253" s="579"/>
      <c r="CT253" s="579"/>
      <c r="CU253" s="579"/>
      <c r="CV253" s="579"/>
      <c r="CW253" s="579"/>
      <c r="CX253" s="579"/>
      <c r="CY253" s="579"/>
      <c r="CZ253" s="579"/>
      <c r="DA253" s="579"/>
      <c r="DB253" s="579"/>
      <c r="DC253" s="579"/>
      <c r="DD253" s="579"/>
      <c r="DE253" s="579"/>
      <c r="DF253" s="579"/>
      <c r="DG253" s="579"/>
    </row>
    <row r="254" spans="1:111" s="598" customFormat="1" hidden="1">
      <c r="A254" s="603" t="s">
        <v>43</v>
      </c>
      <c r="B254" s="598">
        <v>100227</v>
      </c>
      <c r="C254" s="598">
        <v>100227</v>
      </c>
      <c r="D254" s="602"/>
      <c r="F254" s="599"/>
      <c r="G254" s="601"/>
      <c r="H254" s="579"/>
      <c r="I254" s="579"/>
      <c r="J254" s="579"/>
      <c r="K254" s="579"/>
      <c r="L254" s="579"/>
      <c r="M254" s="579"/>
      <c r="N254" s="225"/>
      <c r="O254" s="579"/>
      <c r="P254" s="579"/>
      <c r="Q254" s="579"/>
      <c r="R254" s="579"/>
      <c r="S254" s="579"/>
      <c r="T254" s="579"/>
      <c r="U254" s="579"/>
      <c r="V254" s="579"/>
      <c r="W254" s="579"/>
      <c r="X254" s="579"/>
      <c r="Y254" s="579"/>
      <c r="Z254" s="579"/>
      <c r="AA254" s="579"/>
      <c r="AB254" s="579"/>
      <c r="AC254" s="579"/>
      <c r="AD254" s="579"/>
      <c r="AE254" s="579"/>
      <c r="AF254" s="579"/>
      <c r="AG254" s="579"/>
      <c r="AH254" s="579"/>
      <c r="AI254" s="579"/>
      <c r="AJ254" s="579"/>
      <c r="AK254" s="579"/>
      <c r="AL254" s="579"/>
      <c r="AM254" s="579"/>
      <c r="AN254" s="579"/>
      <c r="AO254" s="579"/>
      <c r="AP254" s="579"/>
      <c r="AQ254" s="579"/>
      <c r="AR254" s="579"/>
      <c r="AS254" s="579"/>
      <c r="AT254" s="579"/>
      <c r="AU254" s="579"/>
      <c r="AV254" s="579"/>
      <c r="AW254" s="579"/>
      <c r="AX254" s="579"/>
      <c r="AY254" s="579"/>
      <c r="AZ254" s="579"/>
      <c r="BA254" s="579"/>
      <c r="BB254" s="579"/>
      <c r="BC254" s="579"/>
      <c r="BD254" s="579"/>
      <c r="BE254" s="579"/>
      <c r="BF254" s="579"/>
      <c r="BG254" s="579"/>
      <c r="BH254" s="579"/>
      <c r="BI254" s="579"/>
      <c r="BJ254" s="579"/>
      <c r="BK254" s="579"/>
      <c r="BL254" s="579"/>
      <c r="BM254" s="579"/>
      <c r="BN254" s="579"/>
      <c r="BO254" s="579"/>
      <c r="BP254" s="579"/>
      <c r="BQ254" s="579"/>
      <c r="BR254" s="579"/>
      <c r="BS254" s="579"/>
      <c r="BT254" s="579"/>
      <c r="BU254" s="579"/>
      <c r="BV254" s="579"/>
      <c r="BW254" s="579"/>
      <c r="BX254" s="579"/>
      <c r="BY254" s="579"/>
      <c r="BZ254" s="579"/>
      <c r="CA254" s="579"/>
      <c r="CB254" s="579"/>
      <c r="CC254" s="579"/>
      <c r="CD254" s="579"/>
      <c r="CE254" s="579"/>
      <c r="CF254" s="579"/>
      <c r="CG254" s="579"/>
      <c r="CH254" s="579"/>
      <c r="CI254" s="579"/>
      <c r="CJ254" s="579"/>
      <c r="CK254" s="579"/>
      <c r="CL254" s="579"/>
      <c r="CM254" s="579"/>
      <c r="CN254" s="579"/>
      <c r="CO254" s="579"/>
      <c r="CP254" s="579"/>
      <c r="CQ254" s="579"/>
      <c r="CR254" s="579"/>
      <c r="CS254" s="579"/>
      <c r="CT254" s="579"/>
      <c r="CU254" s="579"/>
      <c r="CV254" s="579"/>
      <c r="CW254" s="579"/>
      <c r="CX254" s="579"/>
      <c r="CY254" s="579"/>
      <c r="CZ254" s="579"/>
      <c r="DA254" s="579"/>
      <c r="DB254" s="579"/>
      <c r="DC254" s="579"/>
      <c r="DD254" s="579"/>
      <c r="DE254" s="579"/>
      <c r="DF254" s="579"/>
      <c r="DG254" s="579"/>
    </row>
    <row r="255" spans="1:111" hidden="1">
      <c r="A255" s="603" t="s">
        <v>42</v>
      </c>
      <c r="B255" s="598">
        <v>101863</v>
      </c>
      <c r="C255" s="598">
        <v>101863</v>
      </c>
      <c r="D255" s="602"/>
      <c r="F255" s="599"/>
      <c r="G255" s="601"/>
    </row>
    <row r="256" spans="1:111" hidden="1">
      <c r="A256" s="603" t="s">
        <v>41</v>
      </c>
      <c r="B256" s="598">
        <v>103525</v>
      </c>
      <c r="C256" s="598">
        <v>103525</v>
      </c>
      <c r="D256" s="602"/>
      <c r="F256" s="599"/>
      <c r="G256" s="601"/>
    </row>
    <row r="257" spans="1:111" hidden="1">
      <c r="A257" s="603" t="s">
        <v>40</v>
      </c>
      <c r="B257" s="598">
        <v>105215</v>
      </c>
      <c r="C257" s="598">
        <v>105215</v>
      </c>
      <c r="D257" s="602"/>
      <c r="F257" s="599"/>
      <c r="G257" s="601"/>
    </row>
    <row r="258" spans="1:111" hidden="1">
      <c r="A258" s="603" t="s">
        <v>39</v>
      </c>
      <c r="B258" s="598">
        <v>106155</v>
      </c>
      <c r="C258" s="598">
        <v>106155</v>
      </c>
      <c r="D258" s="602"/>
      <c r="F258" s="605"/>
      <c r="G258" s="601"/>
      <c r="H258" s="604"/>
      <c r="I258" s="604"/>
      <c r="J258" s="604"/>
      <c r="K258" s="604"/>
      <c r="L258" s="604"/>
      <c r="M258" s="604"/>
      <c r="N258" s="601"/>
    </row>
    <row r="259" spans="1:111" hidden="1">
      <c r="A259" s="603" t="s">
        <v>38</v>
      </c>
      <c r="B259" s="598">
        <v>107887</v>
      </c>
      <c r="C259" s="598">
        <v>107887</v>
      </c>
      <c r="D259" s="602"/>
      <c r="F259" s="605"/>
      <c r="G259" s="601"/>
      <c r="H259" s="604"/>
      <c r="I259" s="604"/>
      <c r="J259" s="604"/>
      <c r="K259" s="604"/>
      <c r="L259" s="604"/>
      <c r="M259" s="604"/>
      <c r="N259" s="601"/>
    </row>
    <row r="260" spans="1:111" hidden="1">
      <c r="A260" s="603" t="s">
        <v>37</v>
      </c>
      <c r="B260" s="598">
        <v>109648</v>
      </c>
      <c r="C260" s="598">
        <v>109648</v>
      </c>
      <c r="D260" s="602"/>
      <c r="F260" s="599"/>
      <c r="G260" s="601"/>
    </row>
    <row r="261" spans="1:111" hidden="1">
      <c r="A261" s="603" t="s">
        <v>36</v>
      </c>
      <c r="B261" s="598">
        <v>111438</v>
      </c>
      <c r="C261" s="598">
        <v>111438</v>
      </c>
      <c r="D261" s="602"/>
      <c r="F261" s="599"/>
      <c r="G261" s="601"/>
    </row>
    <row r="262" spans="1:111" hidden="1">
      <c r="A262" s="603" t="s">
        <v>35</v>
      </c>
      <c r="B262" s="598">
        <v>113256</v>
      </c>
      <c r="C262" s="598">
        <v>113256</v>
      </c>
      <c r="D262" s="602"/>
      <c r="F262" s="599"/>
      <c r="G262" s="601"/>
    </row>
    <row r="263" spans="1:111" hidden="1">
      <c r="A263" s="603" t="s">
        <v>34</v>
      </c>
      <c r="B263" s="598">
        <v>115105</v>
      </c>
      <c r="C263" s="598">
        <v>115105</v>
      </c>
      <c r="D263" s="602"/>
      <c r="F263" s="599"/>
      <c r="G263" s="601"/>
    </row>
    <row r="264" spans="1:111" hidden="1">
      <c r="A264" s="603" t="s">
        <v>33</v>
      </c>
      <c r="B264" s="598">
        <v>116983</v>
      </c>
      <c r="C264" s="598">
        <v>116983</v>
      </c>
      <c r="D264" s="602"/>
      <c r="F264" s="599"/>
      <c r="G264" s="601"/>
    </row>
    <row r="265" spans="1:111" hidden="1">
      <c r="A265" s="603" t="s">
        <v>32</v>
      </c>
      <c r="B265" s="598">
        <v>118893</v>
      </c>
      <c r="C265" s="598">
        <v>118893</v>
      </c>
      <c r="D265" s="602"/>
      <c r="F265" s="599"/>
      <c r="G265" s="601"/>
    </row>
    <row r="266" spans="1:111" hidden="1">
      <c r="A266" s="603" t="s">
        <v>31</v>
      </c>
      <c r="B266" s="598">
        <v>119954</v>
      </c>
      <c r="C266" s="598">
        <v>119954</v>
      </c>
      <c r="D266" s="602"/>
      <c r="F266" s="599"/>
      <c r="G266" s="601"/>
    </row>
    <row r="267" spans="1:111" hidden="1">
      <c r="A267" s="603" t="s">
        <v>30</v>
      </c>
      <c r="B267" s="598">
        <v>121913</v>
      </c>
      <c r="C267" s="598">
        <v>121913</v>
      </c>
      <c r="D267" s="602"/>
      <c r="F267" s="599"/>
      <c r="G267" s="601"/>
    </row>
    <row r="268" spans="1:111" hidden="1">
      <c r="A268" s="603" t="s">
        <v>29</v>
      </c>
      <c r="B268" s="598">
        <v>123902</v>
      </c>
      <c r="C268" s="598">
        <v>123902</v>
      </c>
      <c r="D268" s="602"/>
      <c r="F268" s="599"/>
      <c r="G268" s="601"/>
    </row>
    <row r="269" spans="1:111" hidden="1">
      <c r="A269" s="603" t="s">
        <v>28</v>
      </c>
      <c r="B269" s="598">
        <v>125924</v>
      </c>
      <c r="C269" s="598">
        <v>125924</v>
      </c>
      <c r="D269" s="602"/>
      <c r="F269" s="599"/>
      <c r="G269" s="601"/>
    </row>
    <row r="270" spans="1:111" hidden="1">
      <c r="A270" s="603" t="s">
        <v>27</v>
      </c>
      <c r="B270" s="598">
        <v>127979</v>
      </c>
      <c r="C270" s="598">
        <v>127979</v>
      </c>
      <c r="D270" s="602"/>
      <c r="F270" s="599"/>
      <c r="G270" s="601"/>
    </row>
    <row r="271" spans="1:111" s="598" customFormat="1" hidden="1">
      <c r="A271" s="603" t="s">
        <v>26</v>
      </c>
      <c r="B271" s="598">
        <v>130068</v>
      </c>
      <c r="C271" s="598">
        <v>130068</v>
      </c>
      <c r="D271" s="602"/>
      <c r="F271" s="599"/>
      <c r="G271" s="601"/>
      <c r="H271" s="579"/>
      <c r="I271" s="579"/>
      <c r="J271" s="579"/>
      <c r="K271" s="579"/>
      <c r="L271" s="579"/>
      <c r="M271" s="579"/>
      <c r="N271" s="225"/>
      <c r="O271" s="579"/>
      <c r="P271" s="579"/>
      <c r="Q271" s="579"/>
      <c r="R271" s="579"/>
      <c r="S271" s="579"/>
      <c r="T271" s="579"/>
      <c r="U271" s="579"/>
      <c r="V271" s="579"/>
      <c r="W271" s="579"/>
      <c r="X271" s="579"/>
      <c r="Y271" s="579"/>
      <c r="Z271" s="579"/>
      <c r="AA271" s="579"/>
      <c r="AB271" s="579"/>
      <c r="AC271" s="579"/>
      <c r="AD271" s="579"/>
      <c r="AE271" s="579"/>
      <c r="AF271" s="579"/>
      <c r="AG271" s="579"/>
      <c r="AH271" s="579"/>
      <c r="AI271" s="579"/>
      <c r="AJ271" s="579"/>
      <c r="AK271" s="579"/>
      <c r="AL271" s="579"/>
      <c r="AM271" s="579"/>
      <c r="AN271" s="579"/>
      <c r="AO271" s="579"/>
      <c r="AP271" s="579"/>
      <c r="AQ271" s="579"/>
      <c r="AR271" s="579"/>
      <c r="AS271" s="579"/>
      <c r="AT271" s="579"/>
      <c r="AU271" s="579"/>
      <c r="AV271" s="579"/>
      <c r="AW271" s="579"/>
      <c r="AX271" s="579"/>
      <c r="AY271" s="579"/>
      <c r="AZ271" s="579"/>
      <c r="BA271" s="579"/>
      <c r="BB271" s="579"/>
      <c r="BC271" s="579"/>
      <c r="BD271" s="579"/>
      <c r="BE271" s="579"/>
      <c r="BF271" s="579"/>
      <c r="BG271" s="579"/>
      <c r="BH271" s="579"/>
      <c r="BI271" s="579"/>
      <c r="BJ271" s="579"/>
      <c r="BK271" s="579"/>
      <c r="BL271" s="579"/>
      <c r="BM271" s="579"/>
      <c r="BN271" s="579"/>
      <c r="BO271" s="579"/>
      <c r="BP271" s="579"/>
      <c r="BQ271" s="579"/>
      <c r="BR271" s="579"/>
      <c r="BS271" s="579"/>
      <c r="BT271" s="579"/>
      <c r="BU271" s="579"/>
      <c r="BV271" s="579"/>
      <c r="BW271" s="579"/>
      <c r="BX271" s="579"/>
      <c r="BY271" s="579"/>
      <c r="BZ271" s="579"/>
      <c r="CA271" s="579"/>
      <c r="CB271" s="579"/>
      <c r="CC271" s="579"/>
      <c r="CD271" s="579"/>
      <c r="CE271" s="579"/>
      <c r="CF271" s="579"/>
      <c r="CG271" s="579"/>
      <c r="CH271" s="579"/>
      <c r="CI271" s="579"/>
      <c r="CJ271" s="579"/>
      <c r="CK271" s="579"/>
      <c r="CL271" s="579"/>
      <c r="CM271" s="579"/>
      <c r="CN271" s="579"/>
      <c r="CO271" s="579"/>
      <c r="CP271" s="579"/>
      <c r="CQ271" s="579"/>
      <c r="CR271" s="579"/>
      <c r="CS271" s="579"/>
      <c r="CT271" s="579"/>
      <c r="CU271" s="579"/>
      <c r="CV271" s="579"/>
      <c r="CW271" s="579"/>
      <c r="CX271" s="579"/>
      <c r="CY271" s="579"/>
      <c r="CZ271" s="579"/>
      <c r="DA271" s="579"/>
      <c r="DB271" s="579"/>
      <c r="DC271" s="579"/>
      <c r="DD271" s="579"/>
      <c r="DE271" s="579"/>
      <c r="DF271" s="579"/>
      <c r="DG271" s="579"/>
    </row>
    <row r="272" spans="1:111" s="598" customFormat="1" hidden="1">
      <c r="A272" s="603" t="s">
        <v>25</v>
      </c>
      <c r="B272" s="598">
        <v>132192</v>
      </c>
      <c r="C272" s="598">
        <v>132192</v>
      </c>
      <c r="D272" s="602"/>
      <c r="F272" s="599"/>
      <c r="G272" s="601"/>
      <c r="H272" s="579"/>
      <c r="I272" s="579"/>
      <c r="J272" s="579"/>
      <c r="K272" s="579"/>
      <c r="L272" s="579"/>
      <c r="M272" s="579"/>
      <c r="N272" s="225"/>
      <c r="O272" s="579"/>
      <c r="P272" s="579"/>
      <c r="Q272" s="579"/>
      <c r="R272" s="579"/>
      <c r="S272" s="579"/>
      <c r="T272" s="579"/>
      <c r="U272" s="579"/>
      <c r="V272" s="579"/>
      <c r="W272" s="579"/>
      <c r="X272" s="579"/>
      <c r="Y272" s="579"/>
      <c r="Z272" s="579"/>
      <c r="AA272" s="579"/>
      <c r="AB272" s="579"/>
      <c r="AC272" s="579"/>
      <c r="AD272" s="579"/>
      <c r="AE272" s="579"/>
      <c r="AF272" s="579"/>
      <c r="AG272" s="579"/>
      <c r="AH272" s="579"/>
      <c r="AI272" s="579"/>
      <c r="AJ272" s="579"/>
      <c r="AK272" s="579"/>
      <c r="AL272" s="579"/>
      <c r="AM272" s="579"/>
      <c r="AN272" s="579"/>
      <c r="AO272" s="579"/>
      <c r="AP272" s="579"/>
      <c r="AQ272" s="579"/>
      <c r="AR272" s="579"/>
      <c r="AS272" s="579"/>
      <c r="AT272" s="579"/>
      <c r="AU272" s="579"/>
      <c r="AV272" s="579"/>
      <c r="AW272" s="579"/>
      <c r="AX272" s="579"/>
      <c r="AY272" s="579"/>
      <c r="AZ272" s="579"/>
      <c r="BA272" s="579"/>
      <c r="BB272" s="579"/>
      <c r="BC272" s="579"/>
      <c r="BD272" s="579"/>
      <c r="BE272" s="579"/>
      <c r="BF272" s="579"/>
      <c r="BG272" s="579"/>
      <c r="BH272" s="579"/>
      <c r="BI272" s="579"/>
      <c r="BJ272" s="579"/>
      <c r="BK272" s="579"/>
      <c r="BL272" s="579"/>
      <c r="BM272" s="579"/>
      <c r="BN272" s="579"/>
      <c r="BO272" s="579"/>
      <c r="BP272" s="579"/>
      <c r="BQ272" s="579"/>
      <c r="BR272" s="579"/>
      <c r="BS272" s="579"/>
      <c r="BT272" s="579"/>
      <c r="BU272" s="579"/>
      <c r="BV272" s="579"/>
      <c r="BW272" s="579"/>
      <c r="BX272" s="579"/>
      <c r="BY272" s="579"/>
      <c r="BZ272" s="579"/>
      <c r="CA272" s="579"/>
      <c r="CB272" s="579"/>
      <c r="CC272" s="579"/>
      <c r="CD272" s="579"/>
      <c r="CE272" s="579"/>
      <c r="CF272" s="579"/>
      <c r="CG272" s="579"/>
      <c r="CH272" s="579"/>
      <c r="CI272" s="579"/>
      <c r="CJ272" s="579"/>
      <c r="CK272" s="579"/>
      <c r="CL272" s="579"/>
      <c r="CM272" s="579"/>
      <c r="CN272" s="579"/>
      <c r="CO272" s="579"/>
      <c r="CP272" s="579"/>
      <c r="CQ272" s="579"/>
      <c r="CR272" s="579"/>
      <c r="CS272" s="579"/>
      <c r="CT272" s="579"/>
      <c r="CU272" s="579"/>
      <c r="CV272" s="579"/>
      <c r="CW272" s="579"/>
      <c r="CX272" s="579"/>
      <c r="CY272" s="579"/>
      <c r="CZ272" s="579"/>
      <c r="DA272" s="579"/>
      <c r="DB272" s="579"/>
      <c r="DC272" s="579"/>
      <c r="DD272" s="579"/>
      <c r="DE272" s="579"/>
      <c r="DF272" s="579"/>
      <c r="DG272" s="579"/>
    </row>
    <row r="273" spans="1:111" s="598" customFormat="1" hidden="1">
      <c r="A273" s="603" t="s">
        <v>24</v>
      </c>
      <c r="B273" s="598">
        <v>134349</v>
      </c>
      <c r="C273" s="598">
        <v>134349</v>
      </c>
      <c r="D273" s="602"/>
      <c r="F273" s="599"/>
      <c r="G273" s="601"/>
      <c r="H273" s="579"/>
      <c r="I273" s="579"/>
      <c r="J273" s="579"/>
      <c r="K273" s="579"/>
      <c r="L273" s="579"/>
      <c r="M273" s="579"/>
      <c r="N273" s="225"/>
      <c r="O273" s="579"/>
      <c r="P273" s="579"/>
      <c r="Q273" s="579"/>
      <c r="R273" s="579"/>
      <c r="S273" s="579"/>
      <c r="T273" s="579"/>
      <c r="U273" s="579"/>
      <c r="V273" s="579"/>
      <c r="W273" s="579"/>
      <c r="X273" s="579"/>
      <c r="Y273" s="579"/>
      <c r="Z273" s="579"/>
      <c r="AA273" s="579"/>
      <c r="AB273" s="579"/>
      <c r="AC273" s="579"/>
      <c r="AD273" s="579"/>
      <c r="AE273" s="579"/>
      <c r="AF273" s="579"/>
      <c r="AG273" s="579"/>
      <c r="AH273" s="579"/>
      <c r="AI273" s="579"/>
      <c r="AJ273" s="579"/>
      <c r="AK273" s="579"/>
      <c r="AL273" s="579"/>
      <c r="AM273" s="579"/>
      <c r="AN273" s="579"/>
      <c r="AO273" s="579"/>
      <c r="AP273" s="579"/>
      <c r="AQ273" s="579"/>
      <c r="AR273" s="579"/>
      <c r="AS273" s="579"/>
      <c r="AT273" s="579"/>
      <c r="AU273" s="579"/>
      <c r="AV273" s="579"/>
      <c r="AW273" s="579"/>
      <c r="AX273" s="579"/>
      <c r="AY273" s="579"/>
      <c r="AZ273" s="579"/>
      <c r="BA273" s="579"/>
      <c r="BB273" s="579"/>
      <c r="BC273" s="579"/>
      <c r="BD273" s="579"/>
      <c r="BE273" s="579"/>
      <c r="BF273" s="579"/>
      <c r="BG273" s="579"/>
      <c r="BH273" s="579"/>
      <c r="BI273" s="579"/>
      <c r="BJ273" s="579"/>
      <c r="BK273" s="579"/>
      <c r="BL273" s="579"/>
      <c r="BM273" s="579"/>
      <c r="BN273" s="579"/>
      <c r="BO273" s="579"/>
      <c r="BP273" s="579"/>
      <c r="BQ273" s="579"/>
      <c r="BR273" s="579"/>
      <c r="BS273" s="579"/>
      <c r="BT273" s="579"/>
      <c r="BU273" s="579"/>
      <c r="BV273" s="579"/>
      <c r="BW273" s="579"/>
      <c r="BX273" s="579"/>
      <c r="BY273" s="579"/>
      <c r="BZ273" s="579"/>
      <c r="CA273" s="579"/>
      <c r="CB273" s="579"/>
      <c r="CC273" s="579"/>
      <c r="CD273" s="579"/>
      <c r="CE273" s="579"/>
      <c r="CF273" s="579"/>
      <c r="CG273" s="579"/>
      <c r="CH273" s="579"/>
      <c r="CI273" s="579"/>
      <c r="CJ273" s="579"/>
      <c r="CK273" s="579"/>
      <c r="CL273" s="579"/>
      <c r="CM273" s="579"/>
      <c r="CN273" s="579"/>
      <c r="CO273" s="579"/>
      <c r="CP273" s="579"/>
      <c r="CQ273" s="579"/>
      <c r="CR273" s="579"/>
      <c r="CS273" s="579"/>
      <c r="CT273" s="579"/>
      <c r="CU273" s="579"/>
      <c r="CV273" s="579"/>
      <c r="CW273" s="579"/>
      <c r="CX273" s="579"/>
      <c r="CY273" s="579"/>
      <c r="CZ273" s="579"/>
      <c r="DA273" s="579"/>
      <c r="DB273" s="579"/>
      <c r="DC273" s="579"/>
      <c r="DD273" s="579"/>
      <c r="DE273" s="579"/>
      <c r="DF273" s="579"/>
      <c r="DG273" s="579"/>
    </row>
    <row r="274" spans="1:111" s="598" customFormat="1" hidden="1">
      <c r="A274" s="603" t="s">
        <v>23</v>
      </c>
      <c r="B274" s="598">
        <v>135549</v>
      </c>
      <c r="C274" s="598">
        <v>135549</v>
      </c>
      <c r="D274" s="602"/>
      <c r="F274" s="599"/>
      <c r="G274" s="601"/>
      <c r="H274" s="579"/>
      <c r="I274" s="579"/>
      <c r="J274" s="579"/>
      <c r="K274" s="579"/>
      <c r="L274" s="579"/>
      <c r="M274" s="579"/>
      <c r="N274" s="225"/>
      <c r="O274" s="579"/>
      <c r="P274" s="579"/>
      <c r="Q274" s="579"/>
      <c r="R274" s="579"/>
      <c r="S274" s="579"/>
      <c r="T274" s="579"/>
      <c r="U274" s="579"/>
      <c r="V274" s="579"/>
      <c r="W274" s="579"/>
      <c r="X274" s="579"/>
      <c r="Y274" s="579"/>
      <c r="Z274" s="579"/>
      <c r="AA274" s="579"/>
      <c r="AB274" s="579"/>
      <c r="AC274" s="579"/>
      <c r="AD274" s="579"/>
      <c r="AE274" s="579"/>
      <c r="AF274" s="579"/>
      <c r="AG274" s="579"/>
      <c r="AH274" s="579"/>
      <c r="AI274" s="579"/>
      <c r="AJ274" s="579"/>
      <c r="AK274" s="579"/>
      <c r="AL274" s="579"/>
      <c r="AM274" s="579"/>
      <c r="AN274" s="579"/>
      <c r="AO274" s="579"/>
      <c r="AP274" s="579"/>
      <c r="AQ274" s="579"/>
      <c r="AR274" s="579"/>
      <c r="AS274" s="579"/>
      <c r="AT274" s="579"/>
      <c r="AU274" s="579"/>
      <c r="AV274" s="579"/>
      <c r="AW274" s="579"/>
      <c r="AX274" s="579"/>
      <c r="AY274" s="579"/>
      <c r="AZ274" s="579"/>
      <c r="BA274" s="579"/>
      <c r="BB274" s="579"/>
      <c r="BC274" s="579"/>
      <c r="BD274" s="579"/>
      <c r="BE274" s="579"/>
      <c r="BF274" s="579"/>
      <c r="BG274" s="579"/>
      <c r="BH274" s="579"/>
      <c r="BI274" s="579"/>
      <c r="BJ274" s="579"/>
      <c r="BK274" s="579"/>
      <c r="BL274" s="579"/>
      <c r="BM274" s="579"/>
      <c r="BN274" s="579"/>
      <c r="BO274" s="579"/>
      <c r="BP274" s="579"/>
      <c r="BQ274" s="579"/>
      <c r="BR274" s="579"/>
      <c r="BS274" s="579"/>
      <c r="BT274" s="579"/>
      <c r="BU274" s="579"/>
      <c r="BV274" s="579"/>
      <c r="BW274" s="579"/>
      <c r="BX274" s="579"/>
      <c r="BY274" s="579"/>
      <c r="BZ274" s="579"/>
      <c r="CA274" s="579"/>
      <c r="CB274" s="579"/>
      <c r="CC274" s="579"/>
      <c r="CD274" s="579"/>
      <c r="CE274" s="579"/>
      <c r="CF274" s="579"/>
      <c r="CG274" s="579"/>
      <c r="CH274" s="579"/>
      <c r="CI274" s="579"/>
      <c r="CJ274" s="579"/>
      <c r="CK274" s="579"/>
      <c r="CL274" s="579"/>
      <c r="CM274" s="579"/>
      <c r="CN274" s="579"/>
      <c r="CO274" s="579"/>
      <c r="CP274" s="579"/>
      <c r="CQ274" s="579"/>
      <c r="CR274" s="579"/>
      <c r="CS274" s="579"/>
      <c r="CT274" s="579"/>
      <c r="CU274" s="579"/>
      <c r="CV274" s="579"/>
      <c r="CW274" s="579"/>
      <c r="CX274" s="579"/>
      <c r="CY274" s="579"/>
      <c r="CZ274" s="579"/>
      <c r="DA274" s="579"/>
      <c r="DB274" s="579"/>
      <c r="DC274" s="579"/>
      <c r="DD274" s="579"/>
      <c r="DE274" s="579"/>
      <c r="DF274" s="579"/>
      <c r="DG274" s="579"/>
    </row>
    <row r="275" spans="1:111" s="598" customFormat="1" hidden="1">
      <c r="A275" s="603" t="s">
        <v>22</v>
      </c>
      <c r="B275" s="598">
        <v>137760</v>
      </c>
      <c r="C275" s="598">
        <v>137760</v>
      </c>
      <c r="D275" s="602"/>
      <c r="F275" s="599"/>
      <c r="G275" s="601"/>
      <c r="H275" s="579"/>
      <c r="I275" s="579"/>
      <c r="J275" s="579"/>
      <c r="K275" s="579"/>
      <c r="L275" s="579"/>
      <c r="M275" s="579"/>
      <c r="N275" s="225"/>
      <c r="O275" s="579"/>
      <c r="P275" s="579"/>
      <c r="Q275" s="579"/>
      <c r="R275" s="579"/>
      <c r="S275" s="579"/>
      <c r="T275" s="579"/>
      <c r="U275" s="579"/>
      <c r="V275" s="579"/>
      <c r="W275" s="579"/>
      <c r="X275" s="579"/>
      <c r="Y275" s="579"/>
      <c r="Z275" s="579"/>
      <c r="AA275" s="579"/>
      <c r="AB275" s="579"/>
      <c r="AC275" s="579"/>
      <c r="AD275" s="579"/>
      <c r="AE275" s="579"/>
      <c r="AF275" s="579"/>
      <c r="AG275" s="579"/>
      <c r="AH275" s="579"/>
      <c r="AI275" s="579"/>
      <c r="AJ275" s="579"/>
      <c r="AK275" s="579"/>
      <c r="AL275" s="579"/>
      <c r="AM275" s="579"/>
      <c r="AN275" s="579"/>
      <c r="AO275" s="579"/>
      <c r="AP275" s="579"/>
      <c r="AQ275" s="579"/>
      <c r="AR275" s="579"/>
      <c r="AS275" s="579"/>
      <c r="AT275" s="579"/>
      <c r="AU275" s="579"/>
      <c r="AV275" s="579"/>
      <c r="AW275" s="579"/>
      <c r="AX275" s="579"/>
      <c r="AY275" s="579"/>
      <c r="AZ275" s="579"/>
      <c r="BA275" s="579"/>
      <c r="BB275" s="579"/>
      <c r="BC275" s="579"/>
      <c r="BD275" s="579"/>
      <c r="BE275" s="579"/>
      <c r="BF275" s="579"/>
      <c r="BG275" s="579"/>
      <c r="BH275" s="579"/>
      <c r="BI275" s="579"/>
      <c r="BJ275" s="579"/>
      <c r="BK275" s="579"/>
      <c r="BL275" s="579"/>
      <c r="BM275" s="579"/>
      <c r="BN275" s="579"/>
      <c r="BO275" s="579"/>
      <c r="BP275" s="579"/>
      <c r="BQ275" s="579"/>
      <c r="BR275" s="579"/>
      <c r="BS275" s="579"/>
      <c r="BT275" s="579"/>
      <c r="BU275" s="579"/>
      <c r="BV275" s="579"/>
      <c r="BW275" s="579"/>
      <c r="BX275" s="579"/>
      <c r="BY275" s="579"/>
      <c r="BZ275" s="579"/>
      <c r="CA275" s="579"/>
      <c r="CB275" s="579"/>
      <c r="CC275" s="579"/>
      <c r="CD275" s="579"/>
      <c r="CE275" s="579"/>
      <c r="CF275" s="579"/>
      <c r="CG275" s="579"/>
      <c r="CH275" s="579"/>
      <c r="CI275" s="579"/>
      <c r="CJ275" s="579"/>
      <c r="CK275" s="579"/>
      <c r="CL275" s="579"/>
      <c r="CM275" s="579"/>
      <c r="CN275" s="579"/>
      <c r="CO275" s="579"/>
      <c r="CP275" s="579"/>
      <c r="CQ275" s="579"/>
      <c r="CR275" s="579"/>
      <c r="CS275" s="579"/>
      <c r="CT275" s="579"/>
      <c r="CU275" s="579"/>
      <c r="CV275" s="579"/>
      <c r="CW275" s="579"/>
      <c r="CX275" s="579"/>
      <c r="CY275" s="579"/>
      <c r="CZ275" s="579"/>
      <c r="DA275" s="579"/>
      <c r="DB275" s="579"/>
      <c r="DC275" s="579"/>
      <c r="DD275" s="579"/>
      <c r="DE275" s="579"/>
      <c r="DF275" s="579"/>
      <c r="DG275" s="579"/>
    </row>
    <row r="276" spans="1:111" s="598" customFormat="1" hidden="1">
      <c r="A276" s="603" t="s">
        <v>21</v>
      </c>
      <c r="B276" s="598">
        <v>140009</v>
      </c>
      <c r="C276" s="598">
        <v>140009</v>
      </c>
      <c r="D276" s="602"/>
      <c r="F276" s="599"/>
      <c r="G276" s="601"/>
      <c r="H276" s="579"/>
      <c r="I276" s="579"/>
      <c r="J276" s="579"/>
      <c r="K276" s="579"/>
      <c r="L276" s="579"/>
      <c r="M276" s="579"/>
      <c r="N276" s="225"/>
      <c r="O276" s="579"/>
      <c r="P276" s="579"/>
      <c r="Q276" s="579"/>
      <c r="R276" s="579"/>
      <c r="S276" s="579"/>
      <c r="T276" s="579"/>
      <c r="U276" s="579"/>
      <c r="V276" s="579"/>
      <c r="W276" s="579"/>
      <c r="X276" s="579"/>
      <c r="Y276" s="579"/>
      <c r="Z276" s="579"/>
      <c r="AA276" s="579"/>
      <c r="AB276" s="579"/>
      <c r="AC276" s="579"/>
      <c r="AD276" s="579"/>
      <c r="AE276" s="579"/>
      <c r="AF276" s="579"/>
      <c r="AG276" s="579"/>
      <c r="AH276" s="579"/>
      <c r="AI276" s="579"/>
      <c r="AJ276" s="579"/>
      <c r="AK276" s="579"/>
      <c r="AL276" s="579"/>
      <c r="AM276" s="579"/>
      <c r="AN276" s="579"/>
      <c r="AO276" s="579"/>
      <c r="AP276" s="579"/>
      <c r="AQ276" s="579"/>
      <c r="AR276" s="579"/>
      <c r="AS276" s="579"/>
      <c r="AT276" s="579"/>
      <c r="AU276" s="579"/>
      <c r="AV276" s="579"/>
      <c r="AW276" s="579"/>
      <c r="AX276" s="579"/>
      <c r="AY276" s="579"/>
      <c r="AZ276" s="579"/>
      <c r="BA276" s="579"/>
      <c r="BB276" s="579"/>
      <c r="BC276" s="579"/>
      <c r="BD276" s="579"/>
      <c r="BE276" s="579"/>
      <c r="BF276" s="579"/>
      <c r="BG276" s="579"/>
      <c r="BH276" s="579"/>
      <c r="BI276" s="579"/>
      <c r="BJ276" s="579"/>
      <c r="BK276" s="579"/>
      <c r="BL276" s="579"/>
      <c r="BM276" s="579"/>
      <c r="BN276" s="579"/>
      <c r="BO276" s="579"/>
      <c r="BP276" s="579"/>
      <c r="BQ276" s="579"/>
      <c r="BR276" s="579"/>
      <c r="BS276" s="579"/>
      <c r="BT276" s="579"/>
      <c r="BU276" s="579"/>
      <c r="BV276" s="579"/>
      <c r="BW276" s="579"/>
      <c r="BX276" s="579"/>
      <c r="BY276" s="579"/>
      <c r="BZ276" s="579"/>
      <c r="CA276" s="579"/>
      <c r="CB276" s="579"/>
      <c r="CC276" s="579"/>
      <c r="CD276" s="579"/>
      <c r="CE276" s="579"/>
      <c r="CF276" s="579"/>
      <c r="CG276" s="579"/>
      <c r="CH276" s="579"/>
      <c r="CI276" s="579"/>
      <c r="CJ276" s="579"/>
      <c r="CK276" s="579"/>
      <c r="CL276" s="579"/>
      <c r="CM276" s="579"/>
      <c r="CN276" s="579"/>
      <c r="CO276" s="579"/>
      <c r="CP276" s="579"/>
      <c r="CQ276" s="579"/>
      <c r="CR276" s="579"/>
      <c r="CS276" s="579"/>
      <c r="CT276" s="579"/>
      <c r="CU276" s="579"/>
      <c r="CV276" s="579"/>
      <c r="CW276" s="579"/>
      <c r="CX276" s="579"/>
      <c r="CY276" s="579"/>
      <c r="CZ276" s="579"/>
      <c r="DA276" s="579"/>
      <c r="DB276" s="579"/>
      <c r="DC276" s="579"/>
      <c r="DD276" s="579"/>
      <c r="DE276" s="579"/>
      <c r="DF276" s="579"/>
      <c r="DG276" s="579"/>
    </row>
    <row r="277" spans="1:111" s="598" customFormat="1" hidden="1">
      <c r="A277" s="603" t="s">
        <v>20</v>
      </c>
      <c r="B277" s="598">
        <v>142295</v>
      </c>
      <c r="C277" s="598">
        <v>142295</v>
      </c>
      <c r="D277" s="602"/>
      <c r="F277" s="599"/>
      <c r="G277" s="601"/>
      <c r="H277" s="579"/>
      <c r="I277" s="579"/>
      <c r="J277" s="579"/>
      <c r="K277" s="579"/>
      <c r="L277" s="579"/>
      <c r="M277" s="579"/>
      <c r="N277" s="225"/>
      <c r="O277" s="579"/>
      <c r="P277" s="579"/>
      <c r="Q277" s="579"/>
      <c r="R277" s="579"/>
      <c r="S277" s="579"/>
      <c r="T277" s="579"/>
      <c r="U277" s="579"/>
      <c r="V277" s="579"/>
      <c r="W277" s="579"/>
      <c r="X277" s="579"/>
      <c r="Y277" s="579"/>
      <c r="Z277" s="579"/>
      <c r="AA277" s="579"/>
      <c r="AB277" s="579"/>
      <c r="AC277" s="579"/>
      <c r="AD277" s="579"/>
      <c r="AE277" s="579"/>
      <c r="AF277" s="579"/>
      <c r="AG277" s="579"/>
      <c r="AH277" s="579"/>
      <c r="AI277" s="579"/>
      <c r="AJ277" s="579"/>
      <c r="AK277" s="579"/>
      <c r="AL277" s="579"/>
      <c r="AM277" s="579"/>
      <c r="AN277" s="579"/>
      <c r="AO277" s="579"/>
      <c r="AP277" s="579"/>
      <c r="AQ277" s="579"/>
      <c r="AR277" s="579"/>
      <c r="AS277" s="579"/>
      <c r="AT277" s="579"/>
      <c r="AU277" s="579"/>
      <c r="AV277" s="579"/>
      <c r="AW277" s="579"/>
      <c r="AX277" s="579"/>
      <c r="AY277" s="579"/>
      <c r="AZ277" s="579"/>
      <c r="BA277" s="579"/>
      <c r="BB277" s="579"/>
      <c r="BC277" s="579"/>
      <c r="BD277" s="579"/>
      <c r="BE277" s="579"/>
      <c r="BF277" s="579"/>
      <c r="BG277" s="579"/>
      <c r="BH277" s="579"/>
      <c r="BI277" s="579"/>
      <c r="BJ277" s="579"/>
      <c r="BK277" s="579"/>
      <c r="BL277" s="579"/>
      <c r="BM277" s="579"/>
      <c r="BN277" s="579"/>
      <c r="BO277" s="579"/>
      <c r="BP277" s="579"/>
      <c r="BQ277" s="579"/>
      <c r="BR277" s="579"/>
      <c r="BS277" s="579"/>
      <c r="BT277" s="579"/>
      <c r="BU277" s="579"/>
      <c r="BV277" s="579"/>
      <c r="BW277" s="579"/>
      <c r="BX277" s="579"/>
      <c r="BY277" s="579"/>
      <c r="BZ277" s="579"/>
      <c r="CA277" s="579"/>
      <c r="CB277" s="579"/>
      <c r="CC277" s="579"/>
      <c r="CD277" s="579"/>
      <c r="CE277" s="579"/>
      <c r="CF277" s="579"/>
      <c r="CG277" s="579"/>
      <c r="CH277" s="579"/>
      <c r="CI277" s="579"/>
      <c r="CJ277" s="579"/>
      <c r="CK277" s="579"/>
      <c r="CL277" s="579"/>
      <c r="CM277" s="579"/>
      <c r="CN277" s="579"/>
      <c r="CO277" s="579"/>
      <c r="CP277" s="579"/>
      <c r="CQ277" s="579"/>
      <c r="CR277" s="579"/>
      <c r="CS277" s="579"/>
      <c r="CT277" s="579"/>
      <c r="CU277" s="579"/>
      <c r="CV277" s="579"/>
      <c r="CW277" s="579"/>
      <c r="CX277" s="579"/>
      <c r="CY277" s="579"/>
      <c r="CZ277" s="579"/>
      <c r="DA277" s="579"/>
      <c r="DB277" s="579"/>
      <c r="DC277" s="579"/>
      <c r="DD277" s="579"/>
      <c r="DE277" s="579"/>
      <c r="DF277" s="579"/>
      <c r="DG277" s="579"/>
    </row>
    <row r="278" spans="1:111" s="598" customFormat="1" hidden="1">
      <c r="A278" s="603" t="s">
        <v>19</v>
      </c>
      <c r="B278" s="598">
        <v>144617</v>
      </c>
      <c r="C278" s="598">
        <v>144617</v>
      </c>
      <c r="D278" s="602"/>
      <c r="F278" s="599"/>
      <c r="G278" s="601"/>
      <c r="H278" s="579"/>
      <c r="I278" s="579"/>
      <c r="J278" s="579"/>
      <c r="K278" s="579"/>
      <c r="L278" s="579"/>
      <c r="M278" s="579"/>
      <c r="N278" s="225"/>
      <c r="O278" s="579"/>
      <c r="P278" s="579"/>
      <c r="Q278" s="579"/>
      <c r="R278" s="579"/>
      <c r="S278" s="579"/>
      <c r="T278" s="579"/>
      <c r="U278" s="579"/>
      <c r="V278" s="579"/>
      <c r="W278" s="579"/>
      <c r="X278" s="579"/>
      <c r="Y278" s="579"/>
      <c r="Z278" s="579"/>
      <c r="AA278" s="579"/>
      <c r="AB278" s="579"/>
      <c r="AC278" s="579"/>
      <c r="AD278" s="579"/>
      <c r="AE278" s="579"/>
      <c r="AF278" s="579"/>
      <c r="AG278" s="579"/>
      <c r="AH278" s="579"/>
      <c r="AI278" s="579"/>
      <c r="AJ278" s="579"/>
      <c r="AK278" s="579"/>
      <c r="AL278" s="579"/>
      <c r="AM278" s="579"/>
      <c r="AN278" s="579"/>
      <c r="AO278" s="579"/>
      <c r="AP278" s="579"/>
      <c r="AQ278" s="579"/>
      <c r="AR278" s="579"/>
      <c r="AS278" s="579"/>
      <c r="AT278" s="579"/>
      <c r="AU278" s="579"/>
      <c r="AV278" s="579"/>
      <c r="AW278" s="579"/>
      <c r="AX278" s="579"/>
      <c r="AY278" s="579"/>
      <c r="AZ278" s="579"/>
      <c r="BA278" s="579"/>
      <c r="BB278" s="579"/>
      <c r="BC278" s="579"/>
      <c r="BD278" s="579"/>
      <c r="BE278" s="579"/>
      <c r="BF278" s="579"/>
      <c r="BG278" s="579"/>
      <c r="BH278" s="579"/>
      <c r="BI278" s="579"/>
      <c r="BJ278" s="579"/>
      <c r="BK278" s="579"/>
      <c r="BL278" s="579"/>
      <c r="BM278" s="579"/>
      <c r="BN278" s="579"/>
      <c r="BO278" s="579"/>
      <c r="BP278" s="579"/>
      <c r="BQ278" s="579"/>
      <c r="BR278" s="579"/>
      <c r="BS278" s="579"/>
      <c r="BT278" s="579"/>
      <c r="BU278" s="579"/>
      <c r="BV278" s="579"/>
      <c r="BW278" s="579"/>
      <c r="BX278" s="579"/>
      <c r="BY278" s="579"/>
      <c r="BZ278" s="579"/>
      <c r="CA278" s="579"/>
      <c r="CB278" s="579"/>
      <c r="CC278" s="579"/>
      <c r="CD278" s="579"/>
      <c r="CE278" s="579"/>
      <c r="CF278" s="579"/>
      <c r="CG278" s="579"/>
      <c r="CH278" s="579"/>
      <c r="CI278" s="579"/>
      <c r="CJ278" s="579"/>
      <c r="CK278" s="579"/>
      <c r="CL278" s="579"/>
      <c r="CM278" s="579"/>
      <c r="CN278" s="579"/>
      <c r="CO278" s="579"/>
      <c r="CP278" s="579"/>
      <c r="CQ278" s="579"/>
      <c r="CR278" s="579"/>
      <c r="CS278" s="579"/>
      <c r="CT278" s="579"/>
      <c r="CU278" s="579"/>
      <c r="CV278" s="579"/>
      <c r="CW278" s="579"/>
      <c r="CX278" s="579"/>
      <c r="CY278" s="579"/>
      <c r="CZ278" s="579"/>
      <c r="DA278" s="579"/>
      <c r="DB278" s="579"/>
      <c r="DC278" s="579"/>
      <c r="DD278" s="579"/>
      <c r="DE278" s="579"/>
      <c r="DF278" s="579"/>
      <c r="DG278" s="579"/>
    </row>
    <row r="279" spans="1:111" s="598" customFormat="1" hidden="1">
      <c r="A279" s="603" t="s">
        <v>18</v>
      </c>
      <c r="B279" s="598">
        <v>146978</v>
      </c>
      <c r="C279" s="598">
        <v>146978</v>
      </c>
      <c r="D279" s="602"/>
      <c r="F279" s="599"/>
      <c r="G279" s="601"/>
      <c r="H279" s="579"/>
      <c r="I279" s="579"/>
      <c r="J279" s="579"/>
      <c r="K279" s="579"/>
      <c r="L279" s="579"/>
      <c r="M279" s="579"/>
      <c r="N279" s="225"/>
      <c r="O279" s="579"/>
      <c r="P279" s="579"/>
      <c r="Q279" s="579"/>
      <c r="R279" s="579"/>
      <c r="S279" s="579"/>
      <c r="T279" s="579"/>
      <c r="U279" s="579"/>
      <c r="V279" s="579"/>
      <c r="W279" s="579"/>
      <c r="X279" s="579"/>
      <c r="Y279" s="579"/>
      <c r="Z279" s="579"/>
      <c r="AA279" s="579"/>
      <c r="AB279" s="579"/>
      <c r="AC279" s="579"/>
      <c r="AD279" s="579"/>
      <c r="AE279" s="579"/>
      <c r="AF279" s="579"/>
      <c r="AG279" s="579"/>
      <c r="AH279" s="579"/>
      <c r="AI279" s="579"/>
      <c r="AJ279" s="579"/>
      <c r="AK279" s="579"/>
      <c r="AL279" s="579"/>
      <c r="AM279" s="579"/>
      <c r="AN279" s="579"/>
      <c r="AO279" s="579"/>
      <c r="AP279" s="579"/>
      <c r="AQ279" s="579"/>
      <c r="AR279" s="579"/>
      <c r="AS279" s="579"/>
      <c r="AT279" s="579"/>
      <c r="AU279" s="579"/>
      <c r="AV279" s="579"/>
      <c r="AW279" s="579"/>
      <c r="AX279" s="579"/>
      <c r="AY279" s="579"/>
      <c r="AZ279" s="579"/>
      <c r="BA279" s="579"/>
      <c r="BB279" s="579"/>
      <c r="BC279" s="579"/>
      <c r="BD279" s="579"/>
      <c r="BE279" s="579"/>
      <c r="BF279" s="579"/>
      <c r="BG279" s="579"/>
      <c r="BH279" s="579"/>
      <c r="BI279" s="579"/>
      <c r="BJ279" s="579"/>
      <c r="BK279" s="579"/>
      <c r="BL279" s="579"/>
      <c r="BM279" s="579"/>
      <c r="BN279" s="579"/>
      <c r="BO279" s="579"/>
      <c r="BP279" s="579"/>
      <c r="BQ279" s="579"/>
      <c r="BR279" s="579"/>
      <c r="BS279" s="579"/>
      <c r="BT279" s="579"/>
      <c r="BU279" s="579"/>
      <c r="BV279" s="579"/>
      <c r="BW279" s="579"/>
      <c r="BX279" s="579"/>
      <c r="BY279" s="579"/>
      <c r="BZ279" s="579"/>
      <c r="CA279" s="579"/>
      <c r="CB279" s="579"/>
      <c r="CC279" s="579"/>
      <c r="CD279" s="579"/>
      <c r="CE279" s="579"/>
      <c r="CF279" s="579"/>
      <c r="CG279" s="579"/>
      <c r="CH279" s="579"/>
      <c r="CI279" s="579"/>
      <c r="CJ279" s="579"/>
      <c r="CK279" s="579"/>
      <c r="CL279" s="579"/>
      <c r="CM279" s="579"/>
      <c r="CN279" s="579"/>
      <c r="CO279" s="579"/>
      <c r="CP279" s="579"/>
      <c r="CQ279" s="579"/>
      <c r="CR279" s="579"/>
      <c r="CS279" s="579"/>
      <c r="CT279" s="579"/>
      <c r="CU279" s="579"/>
      <c r="CV279" s="579"/>
      <c r="CW279" s="579"/>
      <c r="CX279" s="579"/>
      <c r="CY279" s="579"/>
      <c r="CZ279" s="579"/>
      <c r="DA279" s="579"/>
      <c r="DB279" s="579"/>
      <c r="DC279" s="579"/>
      <c r="DD279" s="579"/>
      <c r="DE279" s="579"/>
      <c r="DF279" s="579"/>
      <c r="DG279" s="579"/>
    </row>
    <row r="280" spans="1:111" s="598" customFormat="1" hidden="1">
      <c r="A280" s="603" t="s">
        <v>17</v>
      </c>
      <c r="B280" s="598">
        <v>149377</v>
      </c>
      <c r="C280" s="598">
        <v>149377</v>
      </c>
      <c r="D280" s="602"/>
      <c r="F280" s="599"/>
      <c r="G280" s="601"/>
      <c r="H280" s="579"/>
      <c r="I280" s="579"/>
      <c r="J280" s="579"/>
      <c r="K280" s="579"/>
      <c r="L280" s="579"/>
      <c r="M280" s="579"/>
      <c r="N280" s="225"/>
      <c r="O280" s="579"/>
      <c r="P280" s="579"/>
      <c r="Q280" s="579"/>
      <c r="R280" s="579"/>
      <c r="S280" s="579"/>
      <c r="T280" s="579"/>
      <c r="U280" s="579"/>
      <c r="V280" s="579"/>
      <c r="W280" s="579"/>
      <c r="X280" s="579"/>
      <c r="Y280" s="579"/>
      <c r="Z280" s="579"/>
      <c r="AA280" s="579"/>
      <c r="AB280" s="579"/>
      <c r="AC280" s="579"/>
      <c r="AD280" s="579"/>
      <c r="AE280" s="579"/>
      <c r="AF280" s="579"/>
      <c r="AG280" s="579"/>
      <c r="AH280" s="579"/>
      <c r="AI280" s="579"/>
      <c r="AJ280" s="579"/>
      <c r="AK280" s="579"/>
      <c r="AL280" s="579"/>
      <c r="AM280" s="579"/>
      <c r="AN280" s="579"/>
      <c r="AO280" s="579"/>
      <c r="AP280" s="579"/>
      <c r="AQ280" s="579"/>
      <c r="AR280" s="579"/>
      <c r="AS280" s="579"/>
      <c r="AT280" s="579"/>
      <c r="AU280" s="579"/>
      <c r="AV280" s="579"/>
      <c r="AW280" s="579"/>
      <c r="AX280" s="579"/>
      <c r="AY280" s="579"/>
      <c r="AZ280" s="579"/>
      <c r="BA280" s="579"/>
      <c r="BB280" s="579"/>
      <c r="BC280" s="579"/>
      <c r="BD280" s="579"/>
      <c r="BE280" s="579"/>
      <c r="BF280" s="579"/>
      <c r="BG280" s="579"/>
      <c r="BH280" s="579"/>
      <c r="BI280" s="579"/>
      <c r="BJ280" s="579"/>
      <c r="BK280" s="579"/>
      <c r="BL280" s="579"/>
      <c r="BM280" s="579"/>
      <c r="BN280" s="579"/>
      <c r="BO280" s="579"/>
      <c r="BP280" s="579"/>
      <c r="BQ280" s="579"/>
      <c r="BR280" s="579"/>
      <c r="BS280" s="579"/>
      <c r="BT280" s="579"/>
      <c r="BU280" s="579"/>
      <c r="BV280" s="579"/>
      <c r="BW280" s="579"/>
      <c r="BX280" s="579"/>
      <c r="BY280" s="579"/>
      <c r="BZ280" s="579"/>
      <c r="CA280" s="579"/>
      <c r="CB280" s="579"/>
      <c r="CC280" s="579"/>
      <c r="CD280" s="579"/>
      <c r="CE280" s="579"/>
      <c r="CF280" s="579"/>
      <c r="CG280" s="579"/>
      <c r="CH280" s="579"/>
      <c r="CI280" s="579"/>
      <c r="CJ280" s="579"/>
      <c r="CK280" s="579"/>
      <c r="CL280" s="579"/>
      <c r="CM280" s="579"/>
      <c r="CN280" s="579"/>
      <c r="CO280" s="579"/>
      <c r="CP280" s="579"/>
      <c r="CQ280" s="579"/>
      <c r="CR280" s="579"/>
      <c r="CS280" s="579"/>
      <c r="CT280" s="579"/>
      <c r="CU280" s="579"/>
      <c r="CV280" s="579"/>
      <c r="CW280" s="579"/>
      <c r="CX280" s="579"/>
      <c r="CY280" s="579"/>
      <c r="CZ280" s="579"/>
      <c r="DA280" s="579"/>
      <c r="DB280" s="579"/>
      <c r="DC280" s="579"/>
      <c r="DD280" s="579"/>
      <c r="DE280" s="579"/>
      <c r="DF280" s="579"/>
      <c r="DG280" s="579"/>
    </row>
    <row r="281" spans="1:111" s="598" customFormat="1" hidden="1">
      <c r="A281" s="603" t="s">
        <v>16</v>
      </c>
      <c r="B281" s="598">
        <v>151814</v>
      </c>
      <c r="C281" s="598">
        <v>151814</v>
      </c>
      <c r="D281" s="602"/>
      <c r="F281" s="599"/>
      <c r="G281" s="601"/>
      <c r="H281" s="579"/>
      <c r="I281" s="579"/>
      <c r="J281" s="579"/>
      <c r="K281" s="579"/>
      <c r="L281" s="579"/>
      <c r="M281" s="579"/>
      <c r="N281" s="225"/>
      <c r="O281" s="579"/>
      <c r="P281" s="579"/>
      <c r="Q281" s="579"/>
      <c r="R281" s="579"/>
      <c r="S281" s="579"/>
      <c r="T281" s="579"/>
      <c r="U281" s="579"/>
      <c r="V281" s="579"/>
      <c r="W281" s="579"/>
      <c r="X281" s="579"/>
      <c r="Y281" s="579"/>
      <c r="Z281" s="579"/>
      <c r="AA281" s="579"/>
      <c r="AB281" s="579"/>
      <c r="AC281" s="579"/>
      <c r="AD281" s="579"/>
      <c r="AE281" s="579"/>
      <c r="AF281" s="579"/>
      <c r="AG281" s="579"/>
      <c r="AH281" s="579"/>
      <c r="AI281" s="579"/>
      <c r="AJ281" s="579"/>
      <c r="AK281" s="579"/>
      <c r="AL281" s="579"/>
      <c r="AM281" s="579"/>
      <c r="AN281" s="579"/>
      <c r="AO281" s="579"/>
      <c r="AP281" s="579"/>
      <c r="AQ281" s="579"/>
      <c r="AR281" s="579"/>
      <c r="AS281" s="579"/>
      <c r="AT281" s="579"/>
      <c r="AU281" s="579"/>
      <c r="AV281" s="579"/>
      <c r="AW281" s="579"/>
      <c r="AX281" s="579"/>
      <c r="AY281" s="579"/>
      <c r="AZ281" s="579"/>
      <c r="BA281" s="579"/>
      <c r="BB281" s="579"/>
      <c r="BC281" s="579"/>
      <c r="BD281" s="579"/>
      <c r="BE281" s="579"/>
      <c r="BF281" s="579"/>
      <c r="BG281" s="579"/>
      <c r="BH281" s="579"/>
      <c r="BI281" s="579"/>
      <c r="BJ281" s="579"/>
      <c r="BK281" s="579"/>
      <c r="BL281" s="579"/>
      <c r="BM281" s="579"/>
      <c r="BN281" s="579"/>
      <c r="BO281" s="579"/>
      <c r="BP281" s="579"/>
      <c r="BQ281" s="579"/>
      <c r="BR281" s="579"/>
      <c r="BS281" s="579"/>
      <c r="BT281" s="579"/>
      <c r="BU281" s="579"/>
      <c r="BV281" s="579"/>
      <c r="BW281" s="579"/>
      <c r="BX281" s="579"/>
      <c r="BY281" s="579"/>
      <c r="BZ281" s="579"/>
      <c r="CA281" s="579"/>
      <c r="CB281" s="579"/>
      <c r="CC281" s="579"/>
      <c r="CD281" s="579"/>
      <c r="CE281" s="579"/>
      <c r="CF281" s="579"/>
      <c r="CG281" s="579"/>
      <c r="CH281" s="579"/>
      <c r="CI281" s="579"/>
      <c r="CJ281" s="579"/>
      <c r="CK281" s="579"/>
      <c r="CL281" s="579"/>
      <c r="CM281" s="579"/>
      <c r="CN281" s="579"/>
      <c r="CO281" s="579"/>
      <c r="CP281" s="579"/>
      <c r="CQ281" s="579"/>
      <c r="CR281" s="579"/>
      <c r="CS281" s="579"/>
      <c r="CT281" s="579"/>
      <c r="CU281" s="579"/>
      <c r="CV281" s="579"/>
      <c r="CW281" s="579"/>
      <c r="CX281" s="579"/>
      <c r="CY281" s="579"/>
      <c r="CZ281" s="579"/>
      <c r="DA281" s="579"/>
      <c r="DB281" s="579"/>
      <c r="DC281" s="579"/>
      <c r="DD281" s="579"/>
      <c r="DE281" s="579"/>
      <c r="DF281" s="579"/>
      <c r="DG281" s="579"/>
    </row>
    <row r="282" spans="1:111" s="598" customFormat="1" hidden="1">
      <c r="A282" s="603" t="s">
        <v>15</v>
      </c>
      <c r="B282" s="598">
        <v>153169</v>
      </c>
      <c r="C282" s="598">
        <v>153169</v>
      </c>
      <c r="D282" s="602"/>
      <c r="F282" s="599"/>
      <c r="G282" s="601"/>
      <c r="H282" s="579"/>
      <c r="I282" s="579"/>
      <c r="J282" s="579"/>
      <c r="K282" s="579"/>
      <c r="L282" s="579"/>
      <c r="M282" s="579"/>
      <c r="N282" s="225"/>
      <c r="O282" s="579"/>
      <c r="P282" s="579"/>
      <c r="Q282" s="579"/>
      <c r="R282" s="579"/>
      <c r="S282" s="579"/>
      <c r="T282" s="579"/>
      <c r="U282" s="579"/>
      <c r="V282" s="579"/>
      <c r="W282" s="579"/>
      <c r="X282" s="579"/>
      <c r="Y282" s="579"/>
      <c r="Z282" s="579"/>
      <c r="AA282" s="579"/>
      <c r="AB282" s="579"/>
      <c r="AC282" s="579"/>
      <c r="AD282" s="579"/>
      <c r="AE282" s="579"/>
      <c r="AF282" s="579"/>
      <c r="AG282" s="579"/>
      <c r="AH282" s="579"/>
      <c r="AI282" s="579"/>
      <c r="AJ282" s="579"/>
      <c r="AK282" s="579"/>
      <c r="AL282" s="579"/>
      <c r="AM282" s="579"/>
      <c r="AN282" s="579"/>
      <c r="AO282" s="579"/>
      <c r="AP282" s="579"/>
      <c r="AQ282" s="579"/>
      <c r="AR282" s="579"/>
      <c r="AS282" s="579"/>
      <c r="AT282" s="579"/>
      <c r="AU282" s="579"/>
      <c r="AV282" s="579"/>
      <c r="AW282" s="579"/>
      <c r="AX282" s="579"/>
      <c r="AY282" s="579"/>
      <c r="AZ282" s="579"/>
      <c r="BA282" s="579"/>
      <c r="BB282" s="579"/>
      <c r="BC282" s="579"/>
      <c r="BD282" s="579"/>
      <c r="BE282" s="579"/>
      <c r="BF282" s="579"/>
      <c r="BG282" s="579"/>
      <c r="BH282" s="579"/>
      <c r="BI282" s="579"/>
      <c r="BJ282" s="579"/>
      <c r="BK282" s="579"/>
      <c r="BL282" s="579"/>
      <c r="BM282" s="579"/>
      <c r="BN282" s="579"/>
      <c r="BO282" s="579"/>
      <c r="BP282" s="579"/>
      <c r="BQ282" s="579"/>
      <c r="BR282" s="579"/>
      <c r="BS282" s="579"/>
      <c r="BT282" s="579"/>
      <c r="BU282" s="579"/>
      <c r="BV282" s="579"/>
      <c r="BW282" s="579"/>
      <c r="BX282" s="579"/>
      <c r="BY282" s="579"/>
      <c r="BZ282" s="579"/>
      <c r="CA282" s="579"/>
      <c r="CB282" s="579"/>
      <c r="CC282" s="579"/>
      <c r="CD282" s="579"/>
      <c r="CE282" s="579"/>
      <c r="CF282" s="579"/>
      <c r="CG282" s="579"/>
      <c r="CH282" s="579"/>
      <c r="CI282" s="579"/>
      <c r="CJ282" s="579"/>
      <c r="CK282" s="579"/>
      <c r="CL282" s="579"/>
      <c r="CM282" s="579"/>
      <c r="CN282" s="579"/>
      <c r="CO282" s="579"/>
      <c r="CP282" s="579"/>
      <c r="CQ282" s="579"/>
      <c r="CR282" s="579"/>
      <c r="CS282" s="579"/>
      <c r="CT282" s="579"/>
      <c r="CU282" s="579"/>
      <c r="CV282" s="579"/>
      <c r="CW282" s="579"/>
      <c r="CX282" s="579"/>
      <c r="CY282" s="579"/>
      <c r="CZ282" s="579"/>
      <c r="DA282" s="579"/>
      <c r="DB282" s="579"/>
      <c r="DC282" s="579"/>
      <c r="DD282" s="579"/>
      <c r="DE282" s="579"/>
      <c r="DF282" s="579"/>
      <c r="DG282" s="579"/>
    </row>
    <row r="283" spans="1:111" s="598" customFormat="1" hidden="1">
      <c r="A283" s="603" t="s">
        <v>14</v>
      </c>
      <c r="B283" s="598">
        <v>155670</v>
      </c>
      <c r="C283" s="598">
        <v>155670</v>
      </c>
      <c r="D283" s="602"/>
      <c r="F283" s="599"/>
      <c r="G283" s="601"/>
      <c r="H283" s="579"/>
      <c r="I283" s="579"/>
      <c r="J283" s="579"/>
      <c r="K283" s="579"/>
      <c r="L283" s="579"/>
      <c r="M283" s="579"/>
      <c r="N283" s="225"/>
      <c r="O283" s="579"/>
      <c r="P283" s="579"/>
      <c r="Q283" s="579"/>
      <c r="R283" s="579"/>
      <c r="S283" s="579"/>
      <c r="T283" s="579"/>
      <c r="U283" s="579"/>
      <c r="V283" s="579"/>
      <c r="W283" s="579"/>
      <c r="X283" s="579"/>
      <c r="Y283" s="579"/>
      <c r="Z283" s="579"/>
      <c r="AA283" s="579"/>
      <c r="AB283" s="579"/>
      <c r="AC283" s="579"/>
      <c r="AD283" s="579"/>
      <c r="AE283" s="579"/>
      <c r="AF283" s="579"/>
      <c r="AG283" s="579"/>
      <c r="AH283" s="579"/>
      <c r="AI283" s="579"/>
      <c r="AJ283" s="579"/>
      <c r="AK283" s="579"/>
      <c r="AL283" s="579"/>
      <c r="AM283" s="579"/>
      <c r="AN283" s="579"/>
      <c r="AO283" s="579"/>
      <c r="AP283" s="579"/>
      <c r="AQ283" s="579"/>
      <c r="AR283" s="579"/>
      <c r="AS283" s="579"/>
      <c r="AT283" s="579"/>
      <c r="AU283" s="579"/>
      <c r="AV283" s="579"/>
      <c r="AW283" s="579"/>
      <c r="AX283" s="579"/>
      <c r="AY283" s="579"/>
      <c r="AZ283" s="579"/>
      <c r="BA283" s="579"/>
      <c r="BB283" s="579"/>
      <c r="BC283" s="579"/>
      <c r="BD283" s="579"/>
      <c r="BE283" s="579"/>
      <c r="BF283" s="579"/>
      <c r="BG283" s="579"/>
      <c r="BH283" s="579"/>
      <c r="BI283" s="579"/>
      <c r="BJ283" s="579"/>
      <c r="BK283" s="579"/>
      <c r="BL283" s="579"/>
      <c r="BM283" s="579"/>
      <c r="BN283" s="579"/>
      <c r="BO283" s="579"/>
      <c r="BP283" s="579"/>
      <c r="BQ283" s="579"/>
      <c r="BR283" s="579"/>
      <c r="BS283" s="579"/>
      <c r="BT283" s="579"/>
      <c r="BU283" s="579"/>
      <c r="BV283" s="579"/>
      <c r="BW283" s="579"/>
      <c r="BX283" s="579"/>
      <c r="BY283" s="579"/>
      <c r="BZ283" s="579"/>
      <c r="CA283" s="579"/>
      <c r="CB283" s="579"/>
      <c r="CC283" s="579"/>
      <c r="CD283" s="579"/>
      <c r="CE283" s="579"/>
      <c r="CF283" s="579"/>
      <c r="CG283" s="579"/>
      <c r="CH283" s="579"/>
      <c r="CI283" s="579"/>
      <c r="CJ283" s="579"/>
      <c r="CK283" s="579"/>
      <c r="CL283" s="579"/>
      <c r="CM283" s="579"/>
      <c r="CN283" s="579"/>
      <c r="CO283" s="579"/>
      <c r="CP283" s="579"/>
      <c r="CQ283" s="579"/>
      <c r="CR283" s="579"/>
      <c r="CS283" s="579"/>
      <c r="CT283" s="579"/>
      <c r="CU283" s="579"/>
      <c r="CV283" s="579"/>
      <c r="CW283" s="579"/>
      <c r="CX283" s="579"/>
      <c r="CY283" s="579"/>
      <c r="CZ283" s="579"/>
      <c r="DA283" s="579"/>
      <c r="DB283" s="579"/>
      <c r="DC283" s="579"/>
      <c r="DD283" s="579"/>
      <c r="DE283" s="579"/>
      <c r="DF283" s="579"/>
      <c r="DG283" s="579"/>
    </row>
    <row r="284" spans="1:111" s="598" customFormat="1" hidden="1">
      <c r="A284" s="603" t="s">
        <v>13</v>
      </c>
      <c r="B284" s="598">
        <v>158210</v>
      </c>
      <c r="C284" s="598">
        <v>158210</v>
      </c>
      <c r="D284" s="602"/>
      <c r="F284" s="599"/>
      <c r="G284" s="601"/>
      <c r="H284" s="579"/>
      <c r="I284" s="579"/>
      <c r="J284" s="579"/>
      <c r="K284" s="579"/>
      <c r="L284" s="579"/>
      <c r="M284" s="579"/>
      <c r="N284" s="225"/>
      <c r="O284" s="579"/>
      <c r="P284" s="579"/>
      <c r="Q284" s="579"/>
      <c r="R284" s="579"/>
      <c r="S284" s="579"/>
      <c r="T284" s="579"/>
      <c r="U284" s="579"/>
      <c r="V284" s="579"/>
      <c r="W284" s="579"/>
      <c r="X284" s="579"/>
      <c r="Y284" s="579"/>
      <c r="Z284" s="579"/>
      <c r="AA284" s="579"/>
      <c r="AB284" s="579"/>
      <c r="AC284" s="579"/>
      <c r="AD284" s="579"/>
      <c r="AE284" s="579"/>
      <c r="AF284" s="579"/>
      <c r="AG284" s="579"/>
      <c r="AH284" s="579"/>
      <c r="AI284" s="579"/>
      <c r="AJ284" s="579"/>
      <c r="AK284" s="579"/>
      <c r="AL284" s="579"/>
      <c r="AM284" s="579"/>
      <c r="AN284" s="579"/>
      <c r="AO284" s="579"/>
      <c r="AP284" s="579"/>
      <c r="AQ284" s="579"/>
      <c r="AR284" s="579"/>
      <c r="AS284" s="579"/>
      <c r="AT284" s="579"/>
      <c r="AU284" s="579"/>
      <c r="AV284" s="579"/>
      <c r="AW284" s="579"/>
      <c r="AX284" s="579"/>
      <c r="AY284" s="579"/>
      <c r="AZ284" s="579"/>
      <c r="BA284" s="579"/>
      <c r="BB284" s="579"/>
      <c r="BC284" s="579"/>
      <c r="BD284" s="579"/>
      <c r="BE284" s="579"/>
      <c r="BF284" s="579"/>
      <c r="BG284" s="579"/>
      <c r="BH284" s="579"/>
      <c r="BI284" s="579"/>
      <c r="BJ284" s="579"/>
      <c r="BK284" s="579"/>
      <c r="BL284" s="579"/>
      <c r="BM284" s="579"/>
      <c r="BN284" s="579"/>
      <c r="BO284" s="579"/>
      <c r="BP284" s="579"/>
      <c r="BQ284" s="579"/>
      <c r="BR284" s="579"/>
      <c r="BS284" s="579"/>
      <c r="BT284" s="579"/>
      <c r="BU284" s="579"/>
      <c r="BV284" s="579"/>
      <c r="BW284" s="579"/>
      <c r="BX284" s="579"/>
      <c r="BY284" s="579"/>
      <c r="BZ284" s="579"/>
      <c r="CA284" s="579"/>
      <c r="CB284" s="579"/>
      <c r="CC284" s="579"/>
      <c r="CD284" s="579"/>
      <c r="CE284" s="579"/>
      <c r="CF284" s="579"/>
      <c r="CG284" s="579"/>
      <c r="CH284" s="579"/>
      <c r="CI284" s="579"/>
      <c r="CJ284" s="579"/>
      <c r="CK284" s="579"/>
      <c r="CL284" s="579"/>
      <c r="CM284" s="579"/>
      <c r="CN284" s="579"/>
      <c r="CO284" s="579"/>
      <c r="CP284" s="579"/>
      <c r="CQ284" s="579"/>
      <c r="CR284" s="579"/>
      <c r="CS284" s="579"/>
      <c r="CT284" s="579"/>
      <c r="CU284" s="579"/>
      <c r="CV284" s="579"/>
      <c r="CW284" s="579"/>
      <c r="CX284" s="579"/>
      <c r="CY284" s="579"/>
      <c r="CZ284" s="579"/>
      <c r="DA284" s="579"/>
      <c r="DB284" s="579"/>
      <c r="DC284" s="579"/>
      <c r="DD284" s="579"/>
      <c r="DE284" s="579"/>
      <c r="DF284" s="579"/>
      <c r="DG284" s="579"/>
    </row>
    <row r="285" spans="1:111" s="598" customFormat="1" hidden="1">
      <c r="A285" s="603" t="s">
        <v>12</v>
      </c>
      <c r="B285" s="598">
        <v>160793</v>
      </c>
      <c r="C285" s="598">
        <v>160793</v>
      </c>
      <c r="D285" s="602"/>
      <c r="F285" s="599"/>
      <c r="G285" s="601"/>
      <c r="H285" s="579"/>
      <c r="I285" s="579"/>
      <c r="J285" s="579"/>
      <c r="K285" s="579"/>
      <c r="L285" s="579"/>
      <c r="M285" s="579"/>
      <c r="N285" s="225"/>
      <c r="O285" s="579"/>
      <c r="P285" s="579"/>
      <c r="Q285" s="579"/>
      <c r="R285" s="579"/>
      <c r="S285" s="579"/>
      <c r="T285" s="579"/>
      <c r="U285" s="579"/>
      <c r="V285" s="579"/>
      <c r="W285" s="579"/>
      <c r="X285" s="579"/>
      <c r="Y285" s="579"/>
      <c r="Z285" s="579"/>
      <c r="AA285" s="579"/>
      <c r="AB285" s="579"/>
      <c r="AC285" s="579"/>
      <c r="AD285" s="579"/>
      <c r="AE285" s="579"/>
      <c r="AF285" s="579"/>
      <c r="AG285" s="579"/>
      <c r="AH285" s="579"/>
      <c r="AI285" s="579"/>
      <c r="AJ285" s="579"/>
      <c r="AK285" s="579"/>
      <c r="AL285" s="579"/>
      <c r="AM285" s="579"/>
      <c r="AN285" s="579"/>
      <c r="AO285" s="579"/>
      <c r="AP285" s="579"/>
      <c r="AQ285" s="579"/>
      <c r="AR285" s="579"/>
      <c r="AS285" s="579"/>
      <c r="AT285" s="579"/>
      <c r="AU285" s="579"/>
      <c r="AV285" s="579"/>
      <c r="AW285" s="579"/>
      <c r="AX285" s="579"/>
      <c r="AY285" s="579"/>
      <c r="AZ285" s="579"/>
      <c r="BA285" s="579"/>
      <c r="BB285" s="579"/>
      <c r="BC285" s="579"/>
      <c r="BD285" s="579"/>
      <c r="BE285" s="579"/>
      <c r="BF285" s="579"/>
      <c r="BG285" s="579"/>
      <c r="BH285" s="579"/>
      <c r="BI285" s="579"/>
      <c r="BJ285" s="579"/>
      <c r="BK285" s="579"/>
      <c r="BL285" s="579"/>
      <c r="BM285" s="579"/>
      <c r="BN285" s="579"/>
      <c r="BO285" s="579"/>
      <c r="BP285" s="579"/>
      <c r="BQ285" s="579"/>
      <c r="BR285" s="579"/>
      <c r="BS285" s="579"/>
      <c r="BT285" s="579"/>
      <c r="BU285" s="579"/>
      <c r="BV285" s="579"/>
      <c r="BW285" s="579"/>
      <c r="BX285" s="579"/>
      <c r="BY285" s="579"/>
      <c r="BZ285" s="579"/>
      <c r="CA285" s="579"/>
      <c r="CB285" s="579"/>
      <c r="CC285" s="579"/>
      <c r="CD285" s="579"/>
      <c r="CE285" s="579"/>
      <c r="CF285" s="579"/>
      <c r="CG285" s="579"/>
      <c r="CH285" s="579"/>
      <c r="CI285" s="579"/>
      <c r="CJ285" s="579"/>
      <c r="CK285" s="579"/>
      <c r="CL285" s="579"/>
      <c r="CM285" s="579"/>
      <c r="CN285" s="579"/>
      <c r="CO285" s="579"/>
      <c r="CP285" s="579"/>
      <c r="CQ285" s="579"/>
      <c r="CR285" s="579"/>
      <c r="CS285" s="579"/>
      <c r="CT285" s="579"/>
      <c r="CU285" s="579"/>
      <c r="CV285" s="579"/>
      <c r="CW285" s="579"/>
      <c r="CX285" s="579"/>
      <c r="CY285" s="579"/>
      <c r="CZ285" s="579"/>
      <c r="DA285" s="579"/>
      <c r="DB285" s="579"/>
      <c r="DC285" s="579"/>
      <c r="DD285" s="579"/>
      <c r="DE285" s="579"/>
      <c r="DF285" s="579"/>
      <c r="DG285" s="579"/>
    </row>
    <row r="286" spans="1:111" s="598" customFormat="1" hidden="1">
      <c r="A286" s="603" t="s">
        <v>11</v>
      </c>
      <c r="B286" s="598">
        <v>163417</v>
      </c>
      <c r="C286" s="598">
        <v>163417</v>
      </c>
      <c r="D286" s="602"/>
      <c r="F286" s="599"/>
      <c r="G286" s="601"/>
      <c r="H286" s="579"/>
      <c r="I286" s="579"/>
      <c r="J286" s="579"/>
      <c r="K286" s="579"/>
      <c r="L286" s="579"/>
      <c r="M286" s="579"/>
      <c r="N286" s="225"/>
      <c r="O286" s="579"/>
      <c r="P286" s="579"/>
      <c r="Q286" s="579"/>
      <c r="R286" s="579"/>
      <c r="S286" s="579"/>
      <c r="T286" s="579"/>
      <c r="U286" s="579"/>
      <c r="V286" s="579"/>
      <c r="W286" s="579"/>
      <c r="X286" s="579"/>
      <c r="Y286" s="579"/>
      <c r="Z286" s="579"/>
      <c r="AA286" s="579"/>
      <c r="AB286" s="579"/>
      <c r="AC286" s="579"/>
      <c r="AD286" s="579"/>
      <c r="AE286" s="579"/>
      <c r="AF286" s="579"/>
      <c r="AG286" s="579"/>
      <c r="AH286" s="579"/>
      <c r="AI286" s="579"/>
      <c r="AJ286" s="579"/>
      <c r="AK286" s="579"/>
      <c r="AL286" s="579"/>
      <c r="AM286" s="579"/>
      <c r="AN286" s="579"/>
      <c r="AO286" s="579"/>
      <c r="AP286" s="579"/>
      <c r="AQ286" s="579"/>
      <c r="AR286" s="579"/>
      <c r="AS286" s="579"/>
      <c r="AT286" s="579"/>
      <c r="AU286" s="579"/>
      <c r="AV286" s="579"/>
      <c r="AW286" s="579"/>
      <c r="AX286" s="579"/>
      <c r="AY286" s="579"/>
      <c r="AZ286" s="579"/>
      <c r="BA286" s="579"/>
      <c r="BB286" s="579"/>
      <c r="BC286" s="579"/>
      <c r="BD286" s="579"/>
      <c r="BE286" s="579"/>
      <c r="BF286" s="579"/>
      <c r="BG286" s="579"/>
      <c r="BH286" s="579"/>
      <c r="BI286" s="579"/>
      <c r="BJ286" s="579"/>
      <c r="BK286" s="579"/>
      <c r="BL286" s="579"/>
      <c r="BM286" s="579"/>
      <c r="BN286" s="579"/>
      <c r="BO286" s="579"/>
      <c r="BP286" s="579"/>
      <c r="BQ286" s="579"/>
      <c r="BR286" s="579"/>
      <c r="BS286" s="579"/>
      <c r="BT286" s="579"/>
      <c r="BU286" s="579"/>
      <c r="BV286" s="579"/>
      <c r="BW286" s="579"/>
      <c r="BX286" s="579"/>
      <c r="BY286" s="579"/>
      <c r="BZ286" s="579"/>
      <c r="CA286" s="579"/>
      <c r="CB286" s="579"/>
      <c r="CC286" s="579"/>
      <c r="CD286" s="579"/>
      <c r="CE286" s="579"/>
      <c r="CF286" s="579"/>
      <c r="CG286" s="579"/>
      <c r="CH286" s="579"/>
      <c r="CI286" s="579"/>
      <c r="CJ286" s="579"/>
      <c r="CK286" s="579"/>
      <c r="CL286" s="579"/>
      <c r="CM286" s="579"/>
      <c r="CN286" s="579"/>
      <c r="CO286" s="579"/>
      <c r="CP286" s="579"/>
      <c r="CQ286" s="579"/>
      <c r="CR286" s="579"/>
      <c r="CS286" s="579"/>
      <c r="CT286" s="579"/>
      <c r="CU286" s="579"/>
      <c r="CV286" s="579"/>
      <c r="CW286" s="579"/>
      <c r="CX286" s="579"/>
      <c r="CY286" s="579"/>
      <c r="CZ286" s="579"/>
      <c r="DA286" s="579"/>
      <c r="DB286" s="579"/>
      <c r="DC286" s="579"/>
      <c r="DD286" s="579"/>
      <c r="DE286" s="579"/>
      <c r="DF286" s="579"/>
      <c r="DG286" s="579"/>
    </row>
    <row r="287" spans="1:111" hidden="1">
      <c r="A287" s="603" t="s">
        <v>10</v>
      </c>
      <c r="B287" s="598">
        <v>166085</v>
      </c>
      <c r="C287" s="598">
        <v>166085</v>
      </c>
      <c r="D287" s="602"/>
      <c r="F287" s="599"/>
      <c r="G287" s="601"/>
    </row>
    <row r="288" spans="1:111" hidden="1">
      <c r="A288" s="603" t="s">
        <v>9</v>
      </c>
      <c r="B288" s="598">
        <v>168795</v>
      </c>
      <c r="C288" s="598">
        <v>168795</v>
      </c>
      <c r="D288" s="602"/>
      <c r="F288" s="599"/>
      <c r="G288" s="601"/>
    </row>
    <row r="289" spans="1:7" hidden="1">
      <c r="A289" s="603" t="s">
        <v>8</v>
      </c>
      <c r="B289" s="598">
        <v>171550</v>
      </c>
      <c r="C289" s="598">
        <v>171550</v>
      </c>
      <c r="D289" s="602"/>
      <c r="F289" s="599"/>
      <c r="G289" s="601"/>
    </row>
    <row r="290" spans="1:7" hidden="1">
      <c r="A290" s="603" t="s">
        <v>7</v>
      </c>
      <c r="B290" s="598">
        <v>173081</v>
      </c>
      <c r="C290" s="598">
        <v>173081</v>
      </c>
      <c r="D290" s="602"/>
      <c r="F290" s="599"/>
      <c r="G290" s="601"/>
    </row>
    <row r="291" spans="1:7" hidden="1">
      <c r="A291" s="603" t="s">
        <v>6</v>
      </c>
      <c r="B291" s="598">
        <v>175905</v>
      </c>
      <c r="C291" s="598">
        <v>175905</v>
      </c>
      <c r="D291" s="602"/>
      <c r="F291" s="599"/>
      <c r="G291" s="601"/>
    </row>
    <row r="292" spans="1:7" hidden="1">
      <c r="A292" s="603" t="s">
        <v>5</v>
      </c>
      <c r="B292" s="598">
        <v>178778</v>
      </c>
      <c r="C292" s="598">
        <v>178778</v>
      </c>
      <c r="D292" s="602"/>
      <c r="F292" s="599"/>
      <c r="G292" s="601"/>
    </row>
    <row r="293" spans="1:7" hidden="1">
      <c r="A293" s="603" t="s">
        <v>4</v>
      </c>
      <c r="B293" s="598">
        <v>181696</v>
      </c>
      <c r="C293" s="598">
        <v>181696</v>
      </c>
      <c r="D293" s="602"/>
      <c r="F293" s="599"/>
      <c r="G293" s="601"/>
    </row>
    <row r="294" spans="1:7" hidden="1">
      <c r="A294" s="603" t="s">
        <v>3</v>
      </c>
      <c r="B294" s="598">
        <v>184661</v>
      </c>
      <c r="C294" s="598">
        <v>184661</v>
      </c>
      <c r="D294" s="602"/>
      <c r="F294" s="599"/>
      <c r="G294" s="601"/>
    </row>
    <row r="295" spans="1:7" hidden="1">
      <c r="A295" s="603" t="s">
        <v>2</v>
      </c>
      <c r="B295" s="598">
        <v>187675</v>
      </c>
      <c r="C295" s="598">
        <v>187675</v>
      </c>
      <c r="D295" s="602"/>
      <c r="F295" s="599"/>
      <c r="G295" s="601"/>
    </row>
    <row r="296" spans="1:7" hidden="1">
      <c r="A296" s="603" t="s">
        <v>1</v>
      </c>
      <c r="B296" s="598">
        <v>190738</v>
      </c>
      <c r="C296" s="598">
        <v>190738</v>
      </c>
      <c r="D296" s="602"/>
      <c r="F296" s="599"/>
      <c r="G296" s="601"/>
    </row>
    <row r="297" spans="1:7" hidden="1">
      <c r="A297" s="603" t="s">
        <v>0</v>
      </c>
      <c r="B297" s="598">
        <v>193851</v>
      </c>
      <c r="C297" s="598">
        <v>193851</v>
      </c>
      <c r="D297" s="602"/>
      <c r="F297" s="599"/>
      <c r="G297" s="601"/>
    </row>
    <row r="298" spans="1:7" hidden="1">
      <c r="A298" s="600"/>
      <c r="B298" s="599"/>
      <c r="F298" s="599"/>
    </row>
    <row r="299" spans="1:7" hidden="1">
      <c r="A299" s="600"/>
      <c r="B299" s="599"/>
      <c r="F299" s="599"/>
    </row>
    <row r="300" spans="1:7" hidden="1">
      <c r="A300" s="600"/>
      <c r="B300" s="599"/>
      <c r="F300" s="599"/>
    </row>
    <row r="301" spans="1:7" hidden="1">
      <c r="A301" s="600"/>
      <c r="B301" s="599"/>
      <c r="F301" s="599"/>
    </row>
    <row r="302" spans="1:7" hidden="1">
      <c r="A302" s="600"/>
      <c r="B302" s="599"/>
      <c r="F302" s="599"/>
    </row>
    <row r="303" spans="1:7" hidden="1">
      <c r="A303" s="600"/>
      <c r="B303" s="599"/>
      <c r="F303" s="599"/>
    </row>
    <row r="304" spans="1:7" hidden="1">
      <c r="A304" s="600"/>
      <c r="B304" s="599"/>
      <c r="F304" s="599"/>
    </row>
    <row r="305" spans="1:6" hidden="1">
      <c r="A305" s="600"/>
      <c r="B305" s="599"/>
      <c r="F305" s="599"/>
    </row>
    <row r="306" spans="1:6" hidden="1">
      <c r="A306" s="600"/>
      <c r="B306" s="599"/>
      <c r="F306" s="599"/>
    </row>
    <row r="307" spans="1:6" hidden="1">
      <c r="A307" s="600"/>
      <c r="B307" s="599"/>
      <c r="F307" s="599"/>
    </row>
    <row r="308" spans="1:6" hidden="1">
      <c r="A308" s="600"/>
      <c r="B308" s="599"/>
      <c r="F308" s="599"/>
    </row>
    <row r="309" spans="1:6" hidden="1">
      <c r="A309" s="600"/>
      <c r="B309" s="599"/>
      <c r="F309" s="599"/>
    </row>
    <row r="310" spans="1:6" hidden="1">
      <c r="A310" s="600"/>
      <c r="B310" s="599"/>
      <c r="F310" s="599"/>
    </row>
    <row r="311" spans="1:6" hidden="1">
      <c r="A311" s="600"/>
      <c r="B311" s="599"/>
      <c r="F311" s="599"/>
    </row>
    <row r="312" spans="1:6" hidden="1">
      <c r="A312" s="600"/>
      <c r="B312" s="599"/>
      <c r="F312" s="599"/>
    </row>
    <row r="313" spans="1:6" hidden="1">
      <c r="A313" s="600"/>
      <c r="B313" s="599"/>
      <c r="F313" s="599"/>
    </row>
    <row r="314" spans="1:6" hidden="1">
      <c r="A314" s="600"/>
      <c r="B314" s="599"/>
      <c r="F314" s="599"/>
    </row>
    <row r="315" spans="1:6" hidden="1">
      <c r="A315" s="600"/>
      <c r="B315" s="599"/>
      <c r="F315" s="599"/>
    </row>
    <row r="316" spans="1:6" hidden="1">
      <c r="A316" s="600"/>
      <c r="B316" s="599"/>
      <c r="F316" s="599"/>
    </row>
    <row r="317" spans="1:6" hidden="1">
      <c r="A317" s="600"/>
      <c r="B317" s="599"/>
      <c r="F317" s="599"/>
    </row>
    <row r="318" spans="1:6" hidden="1">
      <c r="A318" s="600"/>
      <c r="B318" s="599"/>
      <c r="F318" s="599"/>
    </row>
    <row r="319" spans="1:6" hidden="1">
      <c r="A319" s="600"/>
      <c r="B319" s="599"/>
      <c r="F319" s="599"/>
    </row>
    <row r="320" spans="1:6" hidden="1">
      <c r="A320" s="600"/>
      <c r="B320" s="599"/>
      <c r="F320" s="599"/>
    </row>
    <row r="321" spans="1:6">
      <c r="A321" s="600"/>
      <c r="B321" s="599"/>
      <c r="F321" s="599"/>
    </row>
    <row r="322" spans="1:6">
      <c r="A322" s="600"/>
      <c r="B322" s="599"/>
      <c r="F322" s="599"/>
    </row>
    <row r="323" spans="1:6">
      <c r="A323" s="600"/>
      <c r="B323" s="599"/>
    </row>
    <row r="324" spans="1:6">
      <c r="A324" s="600"/>
      <c r="B324" s="599"/>
    </row>
    <row r="325" spans="1:6">
      <c r="A325" s="600"/>
      <c r="B325" s="599"/>
    </row>
    <row r="326" spans="1:6">
      <c r="A326" s="600"/>
      <c r="B326" s="599"/>
    </row>
  </sheetData>
  <mergeCells count="32">
    <mergeCell ref="O12:P12"/>
    <mergeCell ref="O13:P13"/>
    <mergeCell ref="L13:M13"/>
    <mergeCell ref="L12:M12"/>
    <mergeCell ref="A55:B55"/>
    <mergeCell ref="C50:D50"/>
    <mergeCell ref="C51:D51"/>
    <mergeCell ref="A45:C45"/>
    <mergeCell ref="A46:C46"/>
    <mergeCell ref="F46:H46"/>
    <mergeCell ref="A56:B56"/>
    <mergeCell ref="E11:F11"/>
    <mergeCell ref="G11:H11"/>
    <mergeCell ref="J11:K11"/>
    <mergeCell ref="A12:B12"/>
    <mergeCell ref="D45:E45"/>
    <mergeCell ref="D46:E46"/>
    <mergeCell ref="D47:E47"/>
    <mergeCell ref="F43:G43"/>
    <mergeCell ref="F45:H45"/>
    <mergeCell ref="A43:B43"/>
    <mergeCell ref="E9:F9"/>
    <mergeCell ref="G9:H9"/>
    <mergeCell ref="J9:K9"/>
    <mergeCell ref="E10:F10"/>
    <mergeCell ref="G10:H10"/>
    <mergeCell ref="J10:K10"/>
    <mergeCell ref="G7:H7"/>
    <mergeCell ref="J8:K8"/>
    <mergeCell ref="A3:H3"/>
    <mergeCell ref="A4:H4"/>
    <mergeCell ref="A5:H5"/>
  </mergeCells>
  <pageMargins left="0" right="0" top="0.25" bottom="0" header="0.5" footer="0.5"/>
  <pageSetup paperSize="5" orientation="portrait" verticalDpi="72"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outlinePr summaryBelow="0"/>
  </sheetPr>
  <dimension ref="A1:ES73"/>
  <sheetViews>
    <sheetView showGridLines="0" showOutlineSymbols="0" workbookViewId="0">
      <selection activeCell="K5" sqref="K5"/>
    </sheetView>
  </sheetViews>
  <sheetFormatPr defaultColWidth="12.5703125" defaultRowHeight="12.75" outlineLevelRow="1" outlineLevelCol="2"/>
  <cols>
    <col min="1" max="1" width="1.85546875" style="1403" customWidth="1"/>
    <col min="2" max="2" width="30.85546875" style="1403" customWidth="1"/>
    <col min="3" max="3" width="10.28515625" style="1403" customWidth="1"/>
    <col min="4" max="4" width="11" style="1403" customWidth="1"/>
    <col min="5" max="5" width="10.7109375" style="1403" customWidth="1"/>
    <col min="6" max="6" width="11.7109375" style="1403" customWidth="1"/>
    <col min="7" max="8" width="11.5703125" style="1403" customWidth="1"/>
    <col min="9" max="9" width="10.7109375" style="1543" customWidth="1"/>
    <col min="10" max="10" width="12.5703125" style="1863"/>
    <col min="11" max="11" width="12.5703125" style="2994"/>
    <col min="12" max="12" width="12.85546875" style="2994" bestFit="1" customWidth="1"/>
    <col min="13" max="20" width="12.5703125" style="2994"/>
    <col min="21" max="48" width="12.5703125" style="1403"/>
    <col min="49" max="53" width="12.5703125" style="1403" outlineLevel="1"/>
    <col min="54" max="59" width="12.5703125" style="1403" outlineLevel="2"/>
    <col min="60" max="62" width="12.5703125" style="1403" outlineLevel="1"/>
    <col min="63" max="82" width="12.5703125" style="1403"/>
    <col min="83" max="86" width="12.5703125" style="1403" outlineLevel="1"/>
    <col min="87" max="134" width="12.5703125" style="1403"/>
    <col min="135" max="140" width="12.5703125" style="1403" outlineLevel="1"/>
    <col min="141" max="146" width="12.5703125" style="1403" outlineLevel="2"/>
    <col min="147" max="149" width="12.5703125" style="1403" outlineLevel="1"/>
    <col min="150" max="16384" width="12.5703125" style="1403"/>
  </cols>
  <sheetData>
    <row r="1" spans="1:13">
      <c r="A1" s="2527" t="s">
        <v>473</v>
      </c>
      <c r="C1" s="2527"/>
      <c r="E1" s="2527"/>
      <c r="F1" s="2527"/>
      <c r="H1" s="2527"/>
    </row>
    <row r="2" spans="1:13" ht="14.25" customHeight="1">
      <c r="A2" s="2526" t="s">
        <v>584</v>
      </c>
      <c r="C2" s="2526"/>
      <c r="E2" s="2526"/>
      <c r="F2" s="2526"/>
      <c r="H2" s="2526"/>
    </row>
    <row r="3" spans="1:13" ht="13.5" customHeight="1">
      <c r="A3" s="4741" t="s">
        <v>471</v>
      </c>
      <c r="B3" s="4741"/>
      <c r="C3" s="4741"/>
      <c r="D3" s="4741"/>
      <c r="E3" s="4741"/>
      <c r="F3" s="4741"/>
      <c r="G3" s="4741"/>
      <c r="H3" s="4741"/>
    </row>
    <row r="4" spans="1:13" ht="14.25" customHeight="1">
      <c r="A4" s="4742" t="s">
        <v>470</v>
      </c>
      <c r="B4" s="4742"/>
      <c r="C4" s="4742"/>
      <c r="D4" s="4742"/>
      <c r="E4" s="4742"/>
      <c r="F4" s="4742"/>
      <c r="G4" s="4742"/>
      <c r="H4" s="4742"/>
    </row>
    <row r="5" spans="1:13" ht="14.25" customHeight="1">
      <c r="A5" s="2522" t="s">
        <v>2281</v>
      </c>
    </row>
    <row r="6" spans="1:13" ht="12" customHeight="1">
      <c r="A6" s="4883" t="s">
        <v>2280</v>
      </c>
      <c r="B6" s="4884"/>
      <c r="C6" s="2607" t="s">
        <v>467</v>
      </c>
      <c r="D6" s="2608" t="s">
        <v>466</v>
      </c>
      <c r="E6" s="4869" t="s">
        <v>465</v>
      </c>
      <c r="F6" s="4870"/>
      <c r="G6" s="4871"/>
      <c r="H6" s="2607" t="s">
        <v>464</v>
      </c>
      <c r="I6" s="3113"/>
    </row>
    <row r="7" spans="1:13" ht="12" customHeight="1">
      <c r="A7" s="4885"/>
      <c r="B7" s="4886"/>
      <c r="C7" s="2606" t="s">
        <v>463</v>
      </c>
      <c r="D7" s="2517">
        <v>2020</v>
      </c>
      <c r="E7" s="2517" t="s">
        <v>462</v>
      </c>
      <c r="F7" s="2517" t="s">
        <v>461</v>
      </c>
      <c r="G7" s="2517" t="s">
        <v>244</v>
      </c>
      <c r="H7" s="2517">
        <v>2022</v>
      </c>
      <c r="I7" s="3112"/>
    </row>
    <row r="8" spans="1:13" ht="11.25" customHeight="1">
      <c r="A8" s="4887"/>
      <c r="B8" s="4888"/>
      <c r="C8" s="2604"/>
      <c r="D8" s="2602" t="s">
        <v>460</v>
      </c>
      <c r="E8" s="2602" t="s">
        <v>460</v>
      </c>
      <c r="F8" s="2602" t="s">
        <v>459</v>
      </c>
      <c r="G8" s="2623"/>
      <c r="H8" s="2602" t="s">
        <v>458</v>
      </c>
      <c r="I8" s="3111"/>
      <c r="J8" s="3110"/>
    </row>
    <row r="9" spans="1:13" ht="14.1" customHeight="1">
      <c r="A9" s="3109" t="s">
        <v>456</v>
      </c>
      <c r="B9" s="3108"/>
      <c r="C9" s="2834"/>
      <c r="D9" s="2834"/>
      <c r="E9" s="2834"/>
      <c r="F9" s="3108"/>
      <c r="G9" s="3108"/>
      <c r="H9" s="2834"/>
      <c r="I9" s="1528"/>
      <c r="J9" s="1626"/>
      <c r="K9" s="1543"/>
      <c r="L9" s="1543"/>
      <c r="M9" s="1543"/>
    </row>
    <row r="10" spans="1:13" ht="12.75" customHeight="1">
      <c r="A10" s="1570" t="s">
        <v>455</v>
      </c>
      <c r="B10" s="3107"/>
      <c r="C10" s="1568"/>
      <c r="D10" s="1567">
        <f>SUM(D11:D36)</f>
        <v>15350133.139999997</v>
      </c>
      <c r="E10" s="1567">
        <f>SUM(E11:E36)</f>
        <v>7302213.0399999991</v>
      </c>
      <c r="F10" s="1567">
        <f>SUM(F11:F36)</f>
        <v>9939342.9600000009</v>
      </c>
      <c r="G10" s="1567">
        <f>SUM(G11:G36)</f>
        <v>17241556</v>
      </c>
      <c r="H10" s="1567">
        <f>SUM(H12:H36)</f>
        <v>20868861</v>
      </c>
      <c r="I10" s="3106"/>
      <c r="J10" s="1626"/>
      <c r="K10" s="1543"/>
      <c r="L10" s="1543"/>
      <c r="M10" s="1543"/>
    </row>
    <row r="11" spans="1:13" ht="11.45" customHeight="1" outlineLevel="1">
      <c r="A11" s="3096" t="s">
        <v>454</v>
      </c>
      <c r="B11" s="3105"/>
      <c r="C11" s="3104"/>
      <c r="D11" s="1563"/>
      <c r="E11" s="1563"/>
      <c r="F11" s="1562"/>
      <c r="G11" s="1562"/>
      <c r="H11" s="2830"/>
      <c r="I11" s="3103"/>
      <c r="J11" s="1626"/>
      <c r="K11" s="1543"/>
      <c r="L11" s="1543"/>
      <c r="M11" s="1543"/>
    </row>
    <row r="12" spans="1:13" ht="11.25" customHeight="1" outlineLevel="1">
      <c r="A12" s="3090" t="s">
        <v>426</v>
      </c>
      <c r="B12" s="3085"/>
      <c r="C12" s="3087" t="s">
        <v>453</v>
      </c>
      <c r="D12" s="1457">
        <v>8533251.3300000001</v>
      </c>
      <c r="E12" s="1431">
        <v>4872582.8499999996</v>
      </c>
      <c r="F12" s="1431">
        <f>G12-E12</f>
        <v>5952557.1500000004</v>
      </c>
      <c r="G12" s="1529">
        <v>10825140</v>
      </c>
      <c r="H12" s="1431">
        <v>12144432</v>
      </c>
      <c r="I12" s="1470"/>
      <c r="J12" s="1862"/>
      <c r="K12" s="1543"/>
      <c r="L12" s="1543"/>
      <c r="M12" s="1543"/>
    </row>
    <row r="13" spans="1:13" ht="10.5" customHeight="1" outlineLevel="1">
      <c r="A13" s="3096" t="s">
        <v>452</v>
      </c>
      <c r="B13" s="3085"/>
      <c r="C13" s="3087"/>
      <c r="D13" s="1428"/>
      <c r="E13" s="1454"/>
      <c r="F13" s="1454"/>
      <c r="G13" s="1425"/>
      <c r="H13" s="1454"/>
      <c r="I13" s="1470"/>
      <c r="J13" s="1862"/>
      <c r="K13" s="1543"/>
      <c r="L13" s="1543"/>
      <c r="M13" s="1543"/>
    </row>
    <row r="14" spans="1:13" ht="11.45" customHeight="1" outlineLevel="1">
      <c r="A14" s="3090" t="s">
        <v>451</v>
      </c>
      <c r="B14" s="3085"/>
      <c r="C14" s="3087" t="s">
        <v>450</v>
      </c>
      <c r="D14" s="1428">
        <v>895600</v>
      </c>
      <c r="E14" s="1454">
        <v>605642.85</v>
      </c>
      <c r="F14" s="1431">
        <f>G14-E14</f>
        <v>570357.15</v>
      </c>
      <c r="G14" s="237">
        <v>1176000</v>
      </c>
      <c r="H14" s="3100">
        <v>1296000</v>
      </c>
      <c r="I14" s="3099"/>
      <c r="J14" s="1862"/>
      <c r="K14" s="1543"/>
      <c r="L14" s="1543"/>
      <c r="M14" s="1543"/>
    </row>
    <row r="15" spans="1:13" ht="11.45" customHeight="1" outlineLevel="1">
      <c r="A15" s="3090" t="s">
        <v>449</v>
      </c>
      <c r="B15" s="3085"/>
      <c r="C15" s="3087" t="s">
        <v>448</v>
      </c>
      <c r="D15" s="1428">
        <v>85500</v>
      </c>
      <c r="E15" s="1454">
        <v>35625</v>
      </c>
      <c r="F15" s="1454">
        <f t="shared" ref="F15:F20" si="0">SUM(G15-E15)</f>
        <v>49875</v>
      </c>
      <c r="G15" s="237">
        <v>85500</v>
      </c>
      <c r="H15" s="3102">
        <f>7125*12</f>
        <v>85500</v>
      </c>
      <c r="I15" s="3101"/>
      <c r="J15" s="1862"/>
      <c r="K15" s="1543"/>
      <c r="L15" s="1543"/>
      <c r="M15" s="1543"/>
    </row>
    <row r="16" spans="1:13" ht="11.45" customHeight="1" outlineLevel="1">
      <c r="A16" s="3090" t="s">
        <v>447</v>
      </c>
      <c r="B16" s="3085"/>
      <c r="C16" s="3087" t="s">
        <v>446</v>
      </c>
      <c r="D16" s="1428">
        <v>85500</v>
      </c>
      <c r="E16" s="1454">
        <v>35625</v>
      </c>
      <c r="F16" s="1454">
        <f t="shared" si="0"/>
        <v>49875</v>
      </c>
      <c r="G16" s="237">
        <v>85500</v>
      </c>
      <c r="H16" s="3102">
        <f>7125*12</f>
        <v>85500</v>
      </c>
      <c r="I16" s="3101"/>
      <c r="J16" s="1862"/>
      <c r="K16" s="1543"/>
      <c r="L16" s="1543"/>
      <c r="M16" s="1543"/>
    </row>
    <row r="17" spans="1:15" ht="11.45" customHeight="1" outlineLevel="1">
      <c r="A17" s="3090" t="s">
        <v>445</v>
      </c>
      <c r="B17" s="3085"/>
      <c r="C17" s="3087" t="s">
        <v>444</v>
      </c>
      <c r="D17" s="1428">
        <v>222000</v>
      </c>
      <c r="E17" s="1454">
        <v>234000</v>
      </c>
      <c r="F17" s="1454">
        <f t="shared" si="0"/>
        <v>60000</v>
      </c>
      <c r="G17" s="237">
        <v>294000</v>
      </c>
      <c r="H17" s="3100">
        <v>624000</v>
      </c>
      <c r="I17" s="3099"/>
      <c r="J17" s="1862"/>
      <c r="K17" s="1543"/>
      <c r="L17" s="1543"/>
      <c r="M17" s="1543"/>
    </row>
    <row r="18" spans="1:15" ht="11.45" customHeight="1" outlineLevel="1">
      <c r="A18" s="3090" t="s">
        <v>1698</v>
      </c>
      <c r="B18" s="3085"/>
      <c r="C18" s="3087" t="s">
        <v>2279</v>
      </c>
      <c r="D18" s="1428">
        <v>16666.669999999998</v>
      </c>
      <c r="E18" s="1454">
        <v>0</v>
      </c>
      <c r="F18" s="1454">
        <f t="shared" si="0"/>
        <v>18000</v>
      </c>
      <c r="G18" s="237">
        <v>18000</v>
      </c>
      <c r="H18" s="3100">
        <f>1500*12</f>
        <v>18000</v>
      </c>
      <c r="I18" s="3099"/>
      <c r="J18" s="1862"/>
      <c r="K18" s="1543"/>
      <c r="L18" s="1543"/>
      <c r="M18" s="1543"/>
    </row>
    <row r="19" spans="1:15" ht="11.45" customHeight="1" outlineLevel="1">
      <c r="A19" s="3090" t="s">
        <v>1696</v>
      </c>
      <c r="B19" s="3085"/>
      <c r="C19" s="3087" t="s">
        <v>440</v>
      </c>
      <c r="D19" s="1428">
        <v>1622.68</v>
      </c>
      <c r="E19" s="1454">
        <v>0</v>
      </c>
      <c r="F19" s="1454">
        <f t="shared" si="0"/>
        <v>1800</v>
      </c>
      <c r="G19" s="237">
        <f>[15]RELEASE!$K$24</f>
        <v>1800</v>
      </c>
      <c r="H19" s="3100">
        <f>150*12</f>
        <v>1800</v>
      </c>
      <c r="I19" s="3099"/>
      <c r="J19" s="1862"/>
      <c r="K19" s="1543"/>
      <c r="L19" s="1543"/>
      <c r="M19" s="1543"/>
    </row>
    <row r="20" spans="1:15" ht="11.45" customHeight="1" outlineLevel="1">
      <c r="A20" s="3090" t="s">
        <v>1690</v>
      </c>
      <c r="B20" s="3085"/>
      <c r="C20" s="3087" t="s">
        <v>1694</v>
      </c>
      <c r="D20" s="1428">
        <v>97823.52</v>
      </c>
      <c r="E20" s="1454">
        <v>41688.6</v>
      </c>
      <c r="F20" s="1454">
        <f t="shared" si="0"/>
        <v>58364.4</v>
      </c>
      <c r="G20" s="1516">
        <v>100053</v>
      </c>
      <c r="H20" s="3098">
        <v>100053</v>
      </c>
      <c r="I20" s="1862"/>
      <c r="J20" s="1862"/>
      <c r="K20" s="1528"/>
      <c r="L20" s="1543"/>
      <c r="M20" s="1543"/>
    </row>
    <row r="21" spans="1:15" ht="11.45" customHeight="1" outlineLevel="1">
      <c r="A21" s="3090" t="s">
        <v>1506</v>
      </c>
      <c r="B21" s="3085"/>
      <c r="C21" s="3082" t="s">
        <v>439</v>
      </c>
      <c r="D21" s="1428">
        <v>708706</v>
      </c>
      <c r="E21" s="1454">
        <v>0</v>
      </c>
      <c r="F21" s="1454">
        <f>G21</f>
        <v>915212</v>
      </c>
      <c r="G21" s="381">
        <v>915212</v>
      </c>
      <c r="H21" s="380">
        <f>H12/12</f>
        <v>1012036</v>
      </c>
      <c r="I21" s="1862"/>
      <c r="J21" s="1862"/>
      <c r="K21" s="1543"/>
      <c r="L21" s="1530"/>
      <c r="M21" s="1543"/>
    </row>
    <row r="22" spans="1:15" ht="11.45" customHeight="1" outlineLevel="1">
      <c r="A22" s="3090" t="s">
        <v>438</v>
      </c>
      <c r="B22" s="3085"/>
      <c r="C22" s="3087" t="s">
        <v>437</v>
      </c>
      <c r="D22" s="1428">
        <v>185000</v>
      </c>
      <c r="E22" s="1454">
        <v>0</v>
      </c>
      <c r="F22" s="1454">
        <f>G22</f>
        <v>245000</v>
      </c>
      <c r="G22" s="1542">
        <v>245000</v>
      </c>
      <c r="H22" s="1490">
        <v>270000</v>
      </c>
      <c r="I22" s="1530"/>
      <c r="J22" s="1626"/>
      <c r="K22" s="1543"/>
      <c r="L22" s="1530"/>
      <c r="M22" s="1543"/>
    </row>
    <row r="23" spans="1:15" ht="11.45" customHeight="1" outlineLevel="1">
      <c r="A23" s="3086" t="s">
        <v>436</v>
      </c>
      <c r="B23" s="3085"/>
      <c r="C23" s="3082" t="s">
        <v>435</v>
      </c>
      <c r="D23" s="1428">
        <v>708545</v>
      </c>
      <c r="E23" s="1454">
        <v>761916</v>
      </c>
      <c r="F23" s="1454">
        <f>SUM(G23-E23)</f>
        <v>153296</v>
      </c>
      <c r="G23" s="1542">
        <v>915212</v>
      </c>
      <c r="H23" s="1490">
        <f>H12/12</f>
        <v>1012036</v>
      </c>
      <c r="I23" s="3094"/>
      <c r="J23" s="1626"/>
      <c r="K23" s="1543"/>
      <c r="L23" s="1543"/>
      <c r="M23" s="1543"/>
    </row>
    <row r="24" spans="1:15" ht="10.5" customHeight="1" outlineLevel="1">
      <c r="A24" s="3096" t="s">
        <v>434</v>
      </c>
      <c r="B24" s="3085"/>
      <c r="C24" s="3087"/>
      <c r="D24" s="1428"/>
      <c r="E24" s="1532"/>
      <c r="F24" s="1454"/>
      <c r="G24" s="1526"/>
      <c r="H24" s="3092"/>
      <c r="I24" s="1862"/>
      <c r="J24" s="1862"/>
      <c r="K24" s="1543"/>
      <c r="L24" s="1543"/>
      <c r="M24" s="1543"/>
    </row>
    <row r="25" spans="1:15" ht="11.45" customHeight="1" outlineLevel="1">
      <c r="A25" s="2715" t="s">
        <v>421</v>
      </c>
      <c r="B25" s="2712"/>
      <c r="C25" s="1535" t="s">
        <v>433</v>
      </c>
      <c r="D25" s="1428">
        <v>1025851.19</v>
      </c>
      <c r="E25" s="1532">
        <v>584678.84</v>
      </c>
      <c r="F25" s="1454">
        <f>SUM(G25-E25)</f>
        <v>733227.16</v>
      </c>
      <c r="G25" s="1526">
        <v>1317906</v>
      </c>
      <c r="H25" s="3089">
        <v>1457332</v>
      </c>
      <c r="I25" s="3094"/>
      <c r="J25" s="1862"/>
      <c r="K25" s="1543"/>
      <c r="L25" s="1543"/>
      <c r="M25" s="1543"/>
    </row>
    <row r="26" spans="1:15" ht="11.45" customHeight="1" outlineLevel="1">
      <c r="A26" s="2715" t="s">
        <v>432</v>
      </c>
      <c r="B26" s="2712"/>
      <c r="C26" s="1535" t="s">
        <v>431</v>
      </c>
      <c r="D26" s="1428">
        <v>44800</v>
      </c>
      <c r="E26" s="1532">
        <v>25900</v>
      </c>
      <c r="F26" s="1454">
        <f>SUM(G26-E26)</f>
        <v>32900</v>
      </c>
      <c r="G26" s="1526">
        <v>58800</v>
      </c>
      <c r="H26" s="3089">
        <v>64800</v>
      </c>
      <c r="I26" s="1862"/>
      <c r="J26" s="1862"/>
      <c r="K26" s="1528"/>
      <c r="L26" s="1543"/>
      <c r="M26" s="1543"/>
      <c r="N26" s="3097"/>
      <c r="O26" s="3097"/>
    </row>
    <row r="27" spans="1:15" ht="11.45" customHeight="1" outlineLevel="1">
      <c r="A27" s="2715" t="s">
        <v>418</v>
      </c>
      <c r="B27" s="2712"/>
      <c r="C27" s="1535" t="s">
        <v>430</v>
      </c>
      <c r="D27" s="1428">
        <v>111059.95</v>
      </c>
      <c r="E27" s="1532">
        <v>68653.899999999994</v>
      </c>
      <c r="F27" s="1454">
        <f>SUM(G27-E27)</f>
        <v>137955.1</v>
      </c>
      <c r="G27" s="1526">
        <v>206609</v>
      </c>
      <c r="H27" s="3089">
        <v>206851</v>
      </c>
      <c r="I27" s="3093"/>
      <c r="J27" s="1862"/>
      <c r="K27" s="1544"/>
      <c r="L27" s="1543"/>
      <c r="M27" s="1543"/>
    </row>
    <row r="28" spans="1:15" ht="11.45" customHeight="1" outlineLevel="1">
      <c r="A28" s="2715" t="s">
        <v>428</v>
      </c>
      <c r="B28" s="2712"/>
      <c r="C28" s="1535" t="s">
        <v>427</v>
      </c>
      <c r="D28" s="1428">
        <v>44800</v>
      </c>
      <c r="E28" s="1532">
        <v>25900</v>
      </c>
      <c r="F28" s="1454">
        <f>SUM(G28-E28)</f>
        <v>32900</v>
      </c>
      <c r="G28" s="1526">
        <v>58800</v>
      </c>
      <c r="H28" s="3089">
        <v>64800</v>
      </c>
      <c r="I28" s="3093"/>
      <c r="J28" s="1862"/>
      <c r="K28" s="2965"/>
      <c r="L28" s="1543"/>
      <c r="M28" s="1543"/>
    </row>
    <row r="29" spans="1:15" ht="10.5" customHeight="1" outlineLevel="1">
      <c r="A29" s="3096" t="s">
        <v>425</v>
      </c>
      <c r="B29" s="3085"/>
      <c r="C29" s="3095"/>
      <c r="D29" s="1428"/>
      <c r="E29" s="1532"/>
      <c r="F29" s="1454"/>
      <c r="G29" s="1526"/>
      <c r="H29" s="3089"/>
      <c r="I29" s="3094"/>
      <c r="J29" s="1862"/>
      <c r="K29" s="2965"/>
      <c r="L29" s="1543"/>
      <c r="M29" s="1543"/>
    </row>
    <row r="30" spans="1:15" ht="11.45" customHeight="1" outlineLevel="1">
      <c r="A30" s="3090" t="s">
        <v>423</v>
      </c>
      <c r="B30" s="3085"/>
      <c r="C30" s="3087" t="s">
        <v>422</v>
      </c>
      <c r="D30" s="1428">
        <v>0</v>
      </c>
      <c r="E30" s="1532">
        <v>0</v>
      </c>
      <c r="F30" s="1454">
        <v>1000</v>
      </c>
      <c r="G30" s="1526">
        <f>F30</f>
        <v>1000</v>
      </c>
      <c r="H30" s="3089">
        <v>472300</v>
      </c>
      <c r="I30" s="3093"/>
      <c r="J30" s="1862"/>
      <c r="K30" s="2965"/>
      <c r="L30" s="1543"/>
      <c r="M30" s="1543"/>
    </row>
    <row r="31" spans="1:15" ht="11.45" customHeight="1" outlineLevel="1">
      <c r="A31" s="3090" t="s">
        <v>420</v>
      </c>
      <c r="B31" s="3085"/>
      <c r="C31" s="3082" t="s">
        <v>419</v>
      </c>
      <c r="D31" s="1428">
        <v>2277406.7999999998</v>
      </c>
      <c r="E31" s="1532">
        <v>0</v>
      </c>
      <c r="F31" s="1454">
        <f>G31-E31</f>
        <v>696024</v>
      </c>
      <c r="G31" s="1529">
        <v>696024</v>
      </c>
      <c r="H31" s="3092">
        <v>1622421</v>
      </c>
      <c r="I31" s="1530"/>
      <c r="J31" s="1626"/>
      <c r="K31" s="3091"/>
      <c r="L31" s="1543"/>
      <c r="M31" s="1543"/>
    </row>
    <row r="32" spans="1:15" ht="11.45" customHeight="1" outlineLevel="1">
      <c r="A32" s="3090" t="s">
        <v>417</v>
      </c>
      <c r="B32" s="3085"/>
      <c r="C32" s="3082" t="s">
        <v>416</v>
      </c>
      <c r="D32" s="1428">
        <v>10000</v>
      </c>
      <c r="E32" s="1532">
        <v>10000</v>
      </c>
      <c r="F32" s="1454">
        <f>G32-E32</f>
        <v>0</v>
      </c>
      <c r="G32" s="1526">
        <v>10000</v>
      </c>
      <c r="H32" s="1504">
        <v>60000</v>
      </c>
      <c r="I32" s="1530"/>
      <c r="J32" s="1626"/>
      <c r="K32" s="2965"/>
      <c r="L32" s="1543"/>
      <c r="M32" s="1543"/>
      <c r="O32" s="1530"/>
    </row>
    <row r="33" spans="1:20" ht="12.75" customHeight="1" outlineLevel="1">
      <c r="A33" s="3084" t="s">
        <v>414</v>
      </c>
      <c r="B33" s="3083"/>
      <c r="C33" s="3082" t="s">
        <v>413</v>
      </c>
      <c r="D33" s="1428">
        <v>0</v>
      </c>
      <c r="E33" s="1517">
        <v>0</v>
      </c>
      <c r="F33" s="1454">
        <f>SUM(G33-E33)</f>
        <v>1000</v>
      </c>
      <c r="G33" s="1526">
        <v>1000</v>
      </c>
      <c r="H33" s="3089">
        <v>1000</v>
      </c>
      <c r="I33" s="3088"/>
      <c r="J33" s="1862"/>
      <c r="K33" s="1528"/>
      <c r="L33" s="1528"/>
      <c r="M33" s="1528"/>
      <c r="N33" s="1514"/>
      <c r="O33" s="1514"/>
    </row>
    <row r="34" spans="1:20" ht="10.5" customHeight="1" outlineLevel="1">
      <c r="A34" s="3086" t="s">
        <v>1689</v>
      </c>
      <c r="B34" s="3085"/>
      <c r="C34" s="3087"/>
      <c r="D34" s="1497"/>
      <c r="E34" s="1517"/>
      <c r="F34" s="1454"/>
      <c r="G34" s="1526"/>
      <c r="H34" s="3081"/>
      <c r="J34" s="1626"/>
      <c r="K34" s="1543"/>
      <c r="L34" s="1543"/>
      <c r="M34" s="1543"/>
    </row>
    <row r="35" spans="1:20" ht="12.75" customHeight="1" outlineLevel="1">
      <c r="A35" s="3086"/>
      <c r="B35" s="3085" t="s">
        <v>1688</v>
      </c>
      <c r="C35" s="3082" t="s">
        <v>411</v>
      </c>
      <c r="D35" s="1497">
        <v>185000</v>
      </c>
      <c r="E35" s="1517">
        <v>0</v>
      </c>
      <c r="F35" s="1454">
        <v>230000</v>
      </c>
      <c r="G35" s="1516">
        <f>F35</f>
        <v>230000</v>
      </c>
      <c r="H35" s="3081">
        <v>270000</v>
      </c>
      <c r="J35" s="1626"/>
      <c r="K35" s="1543"/>
      <c r="L35" s="1543"/>
      <c r="M35" s="1543"/>
    </row>
    <row r="36" spans="1:20" ht="11.45" customHeight="1" outlineLevel="1">
      <c r="A36" s="3084" t="s">
        <v>409</v>
      </c>
      <c r="B36" s="3083"/>
      <c r="C36" s="3082" t="s">
        <v>408</v>
      </c>
      <c r="D36" s="1497">
        <v>111000</v>
      </c>
      <c r="E36" s="1517">
        <v>0</v>
      </c>
      <c r="F36" s="1454">
        <v>0</v>
      </c>
      <c r="G36" s="1516">
        <v>0</v>
      </c>
      <c r="H36" s="3081">
        <v>0</v>
      </c>
      <c r="I36" s="1530"/>
      <c r="J36" s="1626"/>
      <c r="K36" s="1543"/>
      <c r="L36" s="1543"/>
      <c r="M36" s="1543"/>
    </row>
    <row r="37" spans="1:20" ht="15" customHeight="1" outlineLevel="1">
      <c r="A37" s="3080" t="s">
        <v>407</v>
      </c>
      <c r="B37" s="3079"/>
      <c r="C37" s="3078"/>
      <c r="D37" s="3077">
        <f>SUM(D38:D66)</f>
        <v>3397833.3</v>
      </c>
      <c r="E37" s="3077">
        <f>SUM(E38:E66)</f>
        <v>1445786.92</v>
      </c>
      <c r="F37" s="2598">
        <f>SUM(F38:F66)</f>
        <v>3858506.0799999996</v>
      </c>
      <c r="G37" s="3077">
        <f>SUM(G38:G66)</f>
        <v>5304293</v>
      </c>
      <c r="H37" s="3077">
        <f>SUM(H38:H66)</f>
        <v>4399293</v>
      </c>
      <c r="J37" s="1626"/>
      <c r="K37" s="1543"/>
      <c r="L37" s="1543"/>
      <c r="M37" s="1543"/>
    </row>
    <row r="38" spans="1:20" s="1422" customFormat="1" ht="12.6" customHeight="1" outlineLevel="1">
      <c r="A38" s="3076" t="s">
        <v>646</v>
      </c>
      <c r="B38" s="3075"/>
      <c r="C38" s="3074" t="s">
        <v>405</v>
      </c>
      <c r="D38" s="3073">
        <v>50723</v>
      </c>
      <c r="E38" s="3072">
        <v>23398.400000000001</v>
      </c>
      <c r="F38" s="1558">
        <f>SUM(G38-E38)</f>
        <v>126601.60000000001</v>
      </c>
      <c r="G38" s="3072">
        <v>150000</v>
      </c>
      <c r="H38" s="3072">
        <v>140000</v>
      </c>
      <c r="I38" s="2304"/>
      <c r="J38" s="1432"/>
      <c r="K38" s="2304"/>
      <c r="L38" s="2304"/>
      <c r="M38" s="2304"/>
      <c r="N38" s="1437"/>
      <c r="O38" s="1437"/>
      <c r="P38" s="1437"/>
      <c r="Q38" s="1437"/>
      <c r="R38" s="1437"/>
      <c r="S38" s="1437"/>
      <c r="T38" s="1437"/>
    </row>
    <row r="39" spans="1:20" s="1422" customFormat="1" ht="11.25" customHeight="1" outlineLevel="1">
      <c r="A39" s="2824" t="s">
        <v>404</v>
      </c>
      <c r="B39" s="3067"/>
      <c r="C39" s="1993" t="s">
        <v>403</v>
      </c>
      <c r="D39" s="3053">
        <v>29512</v>
      </c>
      <c r="E39" s="3052">
        <v>850</v>
      </c>
      <c r="F39" s="1558">
        <f>SUM(G39-E39)</f>
        <v>99150</v>
      </c>
      <c r="G39" s="3051">
        <v>100000</v>
      </c>
      <c r="H39" s="3051">
        <v>100000</v>
      </c>
      <c r="I39" s="2304"/>
      <c r="J39" s="1432"/>
      <c r="K39" s="2304"/>
      <c r="L39" s="2304"/>
      <c r="M39" s="2304"/>
      <c r="N39" s="1437"/>
      <c r="O39" s="1437"/>
      <c r="P39" s="1437"/>
      <c r="Q39" s="1437"/>
      <c r="R39" s="1437"/>
      <c r="S39" s="1437"/>
      <c r="T39" s="1437"/>
    </row>
    <row r="40" spans="1:20" s="1422" customFormat="1" ht="11.25" customHeight="1" outlineLevel="1">
      <c r="A40" s="2824" t="s">
        <v>402</v>
      </c>
      <c r="B40" s="3067"/>
      <c r="C40" s="1993" t="s">
        <v>401</v>
      </c>
      <c r="D40" s="3053">
        <v>75000</v>
      </c>
      <c r="E40" s="3052">
        <v>36657.699999999997</v>
      </c>
      <c r="F40" s="1558">
        <f>SUM(G40-E40)</f>
        <v>38342.300000000003</v>
      </c>
      <c r="G40" s="3051">
        <v>75000</v>
      </c>
      <c r="H40" s="3051">
        <v>50000</v>
      </c>
      <c r="I40" s="2304"/>
      <c r="J40" s="1432"/>
      <c r="K40" s="2304"/>
      <c r="L40" s="2304"/>
      <c r="M40" s="2304"/>
      <c r="N40" s="1437"/>
      <c r="O40" s="1437"/>
      <c r="P40" s="1437"/>
      <c r="Q40" s="1437"/>
      <c r="R40" s="1437"/>
      <c r="S40" s="1437"/>
      <c r="T40" s="1437"/>
    </row>
    <row r="41" spans="1:20" s="1422" customFormat="1" ht="10.5" customHeight="1" outlineLevel="1">
      <c r="A41" s="2824" t="s">
        <v>1284</v>
      </c>
      <c r="B41" s="3067"/>
      <c r="C41" s="1993"/>
      <c r="D41" s="3053"/>
      <c r="E41" s="3052"/>
      <c r="F41" s="1515"/>
      <c r="G41" s="3051"/>
      <c r="H41" s="3051"/>
      <c r="I41" s="2304"/>
      <c r="J41" s="1432"/>
      <c r="K41" s="2304"/>
      <c r="L41" s="2304"/>
      <c r="M41" s="2304"/>
      <c r="N41" s="1437"/>
      <c r="O41" s="1437"/>
      <c r="P41" s="1437"/>
      <c r="Q41" s="1437"/>
      <c r="R41" s="1437"/>
      <c r="S41" s="1437"/>
      <c r="T41" s="1437"/>
    </row>
    <row r="42" spans="1:20" s="1422" customFormat="1" ht="12" customHeight="1" outlineLevel="1">
      <c r="A42" s="2824"/>
      <c r="B42" s="3067" t="s">
        <v>1283</v>
      </c>
      <c r="C42" s="531" t="s">
        <v>398</v>
      </c>
      <c r="D42" s="3053">
        <v>8134</v>
      </c>
      <c r="E42" s="3052">
        <v>13279.2</v>
      </c>
      <c r="F42" s="1558">
        <f t="shared" ref="F42:F50" si="1">SUM(G42-E42)</f>
        <v>21720.799999999999</v>
      </c>
      <c r="G42" s="3051">
        <v>35000</v>
      </c>
      <c r="H42" s="3051">
        <v>25000</v>
      </c>
      <c r="I42" s="2304"/>
      <c r="J42" s="1432"/>
      <c r="K42" s="2304"/>
      <c r="L42" s="2304"/>
      <c r="M42" s="2304"/>
      <c r="N42" s="1437"/>
      <c r="O42" s="1437"/>
      <c r="P42" s="1437"/>
      <c r="Q42" s="1437"/>
      <c r="R42" s="1437"/>
      <c r="S42" s="1437"/>
      <c r="T42" s="1437"/>
    </row>
    <row r="43" spans="1:20" s="1422" customFormat="1" ht="11.25" customHeight="1" outlineLevel="1">
      <c r="A43" s="1990" t="s">
        <v>674</v>
      </c>
      <c r="B43" s="2796"/>
      <c r="C43" s="1993" t="s">
        <v>396</v>
      </c>
      <c r="D43" s="3053">
        <v>811274.45</v>
      </c>
      <c r="E43" s="3063">
        <v>384840.4</v>
      </c>
      <c r="F43" s="1558">
        <f t="shared" si="1"/>
        <v>1081959.6000000001</v>
      </c>
      <c r="G43" s="3051">
        <v>1466800</v>
      </c>
      <c r="H43" s="3051">
        <v>1116800</v>
      </c>
      <c r="I43" s="2304"/>
      <c r="J43" s="1432"/>
      <c r="K43" s="2304"/>
      <c r="L43" s="2304"/>
      <c r="M43" s="2304"/>
      <c r="N43" s="1437"/>
      <c r="O43" s="1437"/>
      <c r="P43" s="1437"/>
      <c r="Q43" s="1437"/>
      <c r="R43" s="1437"/>
      <c r="S43" s="1437"/>
      <c r="T43" s="1437"/>
    </row>
    <row r="44" spans="1:20" s="1422" customFormat="1" ht="11.45" customHeight="1" outlineLevel="1">
      <c r="A44" s="2824" t="s">
        <v>1975</v>
      </c>
      <c r="B44" s="3067"/>
      <c r="C44" s="531" t="s">
        <v>1974</v>
      </c>
      <c r="D44" s="3053">
        <v>0</v>
      </c>
      <c r="E44" s="2056">
        <v>0</v>
      </c>
      <c r="F44" s="1558">
        <f t="shared" si="1"/>
        <v>2700</v>
      </c>
      <c r="G44" s="3051">
        <v>2700</v>
      </c>
      <c r="H44" s="3051">
        <v>2700</v>
      </c>
      <c r="I44" s="2304"/>
      <c r="J44" s="1432"/>
      <c r="K44" s="2783"/>
      <c r="L44" s="2783"/>
      <c r="M44" s="161"/>
      <c r="N44" s="3053"/>
      <c r="O44" s="3071"/>
      <c r="P44" s="1515"/>
      <c r="Q44" s="3070"/>
      <c r="R44" s="3070"/>
      <c r="S44" s="1437"/>
      <c r="T44" s="1437"/>
    </row>
    <row r="45" spans="1:20" s="1422" customFormat="1" ht="11.45" customHeight="1" outlineLevel="1">
      <c r="A45" s="3069" t="s">
        <v>395</v>
      </c>
      <c r="B45" s="2714"/>
      <c r="C45" s="3068" t="s">
        <v>394</v>
      </c>
      <c r="D45" s="3053">
        <v>38587.660000000003</v>
      </c>
      <c r="E45" s="3063">
        <v>7951.6</v>
      </c>
      <c r="F45" s="1558">
        <f t="shared" si="1"/>
        <v>52048.4</v>
      </c>
      <c r="G45" s="3051">
        <v>60000</v>
      </c>
      <c r="H45" s="3051">
        <v>40000</v>
      </c>
      <c r="I45" s="2304"/>
      <c r="J45" s="1432"/>
      <c r="K45" s="2304"/>
      <c r="L45" s="2304"/>
      <c r="M45" s="2304"/>
      <c r="N45" s="1437"/>
      <c r="O45" s="1437"/>
      <c r="P45" s="1437"/>
      <c r="Q45" s="1437"/>
      <c r="R45" s="1437"/>
      <c r="S45" s="1437"/>
      <c r="T45" s="1437"/>
    </row>
    <row r="46" spans="1:20" s="1422" customFormat="1" ht="11.45" customHeight="1" outlineLevel="1">
      <c r="A46" s="2824" t="s">
        <v>2278</v>
      </c>
      <c r="B46" s="3067"/>
      <c r="C46" s="3066" t="s">
        <v>1269</v>
      </c>
      <c r="D46" s="3053">
        <v>5449</v>
      </c>
      <c r="E46" s="3063">
        <v>775</v>
      </c>
      <c r="F46" s="1558">
        <f t="shared" si="1"/>
        <v>13625</v>
      </c>
      <c r="G46" s="3051">
        <v>14400</v>
      </c>
      <c r="H46" s="3051">
        <v>14400</v>
      </c>
      <c r="I46" s="2304"/>
      <c r="J46" s="1432"/>
      <c r="K46" s="2304"/>
      <c r="L46" s="2304"/>
      <c r="M46" s="2304"/>
      <c r="N46" s="1437"/>
      <c r="O46" s="1437"/>
      <c r="P46" s="1437"/>
      <c r="Q46" s="1437"/>
      <c r="R46" s="1437"/>
      <c r="S46" s="1437"/>
      <c r="T46" s="1437"/>
    </row>
    <row r="47" spans="1:20" s="1422" customFormat="1" ht="11.45" customHeight="1" outlineLevel="1">
      <c r="A47" s="3060" t="s">
        <v>1266</v>
      </c>
      <c r="B47" s="3059"/>
      <c r="C47" s="3066" t="s">
        <v>1265</v>
      </c>
      <c r="D47" s="3053">
        <v>218721.09</v>
      </c>
      <c r="E47" s="3063">
        <v>78887.66</v>
      </c>
      <c r="F47" s="1558">
        <f t="shared" si="1"/>
        <v>191112.34</v>
      </c>
      <c r="G47" s="3051">
        <v>270000</v>
      </c>
      <c r="H47" s="3051">
        <v>120000</v>
      </c>
      <c r="I47" s="2304"/>
      <c r="J47" s="1432"/>
      <c r="K47" s="2304"/>
      <c r="L47" s="2304"/>
      <c r="M47" s="2304"/>
      <c r="N47" s="1437"/>
      <c r="O47" s="1437"/>
      <c r="P47" s="1437"/>
      <c r="Q47" s="1437"/>
      <c r="R47" s="1437"/>
      <c r="S47" s="1437"/>
      <c r="T47" s="1437"/>
    </row>
    <row r="48" spans="1:20" s="1422" customFormat="1" ht="11.45" customHeight="1" outlineLevel="1">
      <c r="A48" s="1990" t="s">
        <v>700</v>
      </c>
      <c r="B48" s="2796"/>
      <c r="C48" s="1993" t="s">
        <v>392</v>
      </c>
      <c r="D48" s="3053">
        <v>910</v>
      </c>
      <c r="E48" s="3063">
        <v>495</v>
      </c>
      <c r="F48" s="1558">
        <f t="shared" si="1"/>
        <v>505</v>
      </c>
      <c r="G48" s="3051">
        <v>1000</v>
      </c>
      <c r="H48" s="3051">
        <v>1000</v>
      </c>
      <c r="I48" s="2304"/>
      <c r="J48" s="1432"/>
      <c r="K48" s="2304"/>
      <c r="L48" s="2304"/>
      <c r="M48" s="2304"/>
      <c r="N48" s="1437"/>
      <c r="O48" s="1437"/>
      <c r="P48" s="1437"/>
      <c r="Q48" s="1437"/>
      <c r="R48" s="1437"/>
      <c r="S48" s="1437"/>
      <c r="T48" s="1437"/>
    </row>
    <row r="49" spans="1:20" s="1422" customFormat="1" ht="11.45" customHeight="1" outlineLevel="1">
      <c r="A49" s="1990" t="s">
        <v>699</v>
      </c>
      <c r="B49" s="2796"/>
      <c r="C49" s="1993" t="s">
        <v>390</v>
      </c>
      <c r="D49" s="3053">
        <v>36741.919999999998</v>
      </c>
      <c r="E49" s="3063">
        <v>13559.36</v>
      </c>
      <c r="F49" s="1558">
        <f t="shared" si="1"/>
        <v>59440.639999999999</v>
      </c>
      <c r="G49" s="3051">
        <v>73000</v>
      </c>
      <c r="H49" s="3051">
        <v>73000</v>
      </c>
      <c r="I49" s="2304"/>
      <c r="J49" s="1432"/>
      <c r="K49" s="2304"/>
      <c r="L49" s="2304"/>
      <c r="M49" s="2304"/>
      <c r="N49" s="1437"/>
      <c r="O49" s="1437"/>
      <c r="P49" s="1437"/>
      <c r="Q49" s="1437"/>
      <c r="R49" s="1437"/>
      <c r="S49" s="1437"/>
      <c r="T49" s="1437"/>
    </row>
    <row r="50" spans="1:20" s="1422" customFormat="1" ht="11.45" customHeight="1" outlineLevel="1">
      <c r="A50" s="1990" t="s">
        <v>1264</v>
      </c>
      <c r="B50" s="2796"/>
      <c r="C50" s="1993" t="s">
        <v>1263</v>
      </c>
      <c r="D50" s="3053">
        <v>3172</v>
      </c>
      <c r="E50" s="3062">
        <v>2340</v>
      </c>
      <c r="F50" s="1558">
        <f t="shared" si="1"/>
        <v>1660</v>
      </c>
      <c r="G50" s="3051">
        <v>4000</v>
      </c>
      <c r="H50" s="3051">
        <v>14000</v>
      </c>
      <c r="I50" s="2304"/>
      <c r="J50" s="1432"/>
      <c r="K50" s="2304"/>
      <c r="L50" s="2304"/>
      <c r="M50" s="2304"/>
      <c r="N50" s="1437"/>
      <c r="O50" s="1437"/>
      <c r="P50" s="1437"/>
      <c r="Q50" s="1437"/>
      <c r="R50" s="1437"/>
      <c r="S50" s="1437"/>
      <c r="T50" s="1437"/>
    </row>
    <row r="51" spans="1:20" s="2302" customFormat="1" ht="11.45" customHeight="1" outlineLevel="1">
      <c r="A51" s="3060" t="s">
        <v>389</v>
      </c>
      <c r="B51" s="3059"/>
      <c r="C51" s="1988" t="s">
        <v>388</v>
      </c>
      <c r="D51" s="3065">
        <v>1448209.95</v>
      </c>
      <c r="E51" s="3064">
        <v>637725</v>
      </c>
      <c r="F51" s="2953">
        <f>G51-E51</f>
        <v>1072475</v>
      </c>
      <c r="G51" s="1493">
        <v>1710200</v>
      </c>
      <c r="H51" s="1493">
        <v>1710200</v>
      </c>
      <c r="I51" s="2304"/>
      <c r="J51" s="1432"/>
      <c r="K51" s="2304"/>
      <c r="L51" s="2304"/>
      <c r="M51" s="2304"/>
      <c r="N51" s="2304"/>
      <c r="O51" s="2304"/>
      <c r="P51" s="2304"/>
      <c r="Q51" s="2304"/>
      <c r="R51" s="2304"/>
      <c r="S51" s="2304"/>
      <c r="T51" s="2304"/>
    </row>
    <row r="52" spans="1:20" s="1422" customFormat="1" ht="11.45" customHeight="1" outlineLevel="1">
      <c r="A52" s="3060" t="s">
        <v>2277</v>
      </c>
      <c r="B52" s="3059"/>
      <c r="C52" s="3056" t="s">
        <v>1934</v>
      </c>
      <c r="D52" s="3053">
        <v>35770</v>
      </c>
      <c r="E52" s="3063">
        <v>0</v>
      </c>
      <c r="F52" s="1558">
        <f>SUM(G52-E52)</f>
        <v>100000</v>
      </c>
      <c r="G52" s="3051">
        <v>100000</v>
      </c>
      <c r="H52" s="3051">
        <v>100000</v>
      </c>
      <c r="I52" s="2304"/>
      <c r="J52" s="1432"/>
      <c r="K52" s="2304"/>
      <c r="L52" s="2304"/>
      <c r="M52" s="2304"/>
      <c r="N52" s="1437"/>
      <c r="O52" s="1437"/>
      <c r="P52" s="1437"/>
      <c r="Q52" s="1437"/>
      <c r="R52" s="1437"/>
      <c r="S52" s="1437"/>
      <c r="T52" s="1437"/>
    </row>
    <row r="53" spans="1:20" s="1422" customFormat="1" ht="11.45" customHeight="1" outlineLevel="1">
      <c r="A53" s="3060" t="s">
        <v>2275</v>
      </c>
      <c r="B53" s="2796"/>
      <c r="C53" s="3061"/>
      <c r="D53" s="3053"/>
      <c r="E53" s="3063"/>
      <c r="F53" s="1558"/>
      <c r="G53" s="3051"/>
      <c r="H53" s="3051"/>
      <c r="I53" s="2304"/>
      <c r="J53" s="1432"/>
      <c r="K53" s="2304"/>
      <c r="L53" s="2304"/>
      <c r="M53" s="2304"/>
      <c r="N53" s="1437"/>
      <c r="O53" s="1437"/>
      <c r="P53" s="1437"/>
      <c r="Q53" s="1437"/>
      <c r="R53" s="1437"/>
      <c r="S53" s="1437"/>
      <c r="T53" s="1437"/>
    </row>
    <row r="54" spans="1:20" s="1422" customFormat="1" ht="11.25" customHeight="1" outlineLevel="1">
      <c r="A54" s="3060"/>
      <c r="B54" s="1997" t="s">
        <v>2276</v>
      </c>
      <c r="C54" s="3056" t="s">
        <v>385</v>
      </c>
      <c r="D54" s="3053">
        <v>0</v>
      </c>
      <c r="E54" s="3062">
        <v>0</v>
      </c>
      <c r="F54" s="1558">
        <f>SUM(G54-E54)</f>
        <v>10000</v>
      </c>
      <c r="G54" s="3051">
        <v>10000</v>
      </c>
      <c r="H54" s="3051">
        <v>10000</v>
      </c>
      <c r="I54" s="2304"/>
      <c r="J54" s="1432"/>
      <c r="K54" s="2304"/>
      <c r="L54" s="2304"/>
      <c r="M54" s="2304"/>
      <c r="N54" s="1437"/>
      <c r="O54" s="1437"/>
      <c r="P54" s="1437"/>
      <c r="Q54" s="1437"/>
      <c r="R54" s="1437"/>
      <c r="S54" s="1437"/>
      <c r="T54" s="1437"/>
    </row>
    <row r="55" spans="1:20" s="1422" customFormat="1" ht="11.45" customHeight="1" outlineLevel="1">
      <c r="A55" s="3060" t="s">
        <v>2275</v>
      </c>
      <c r="B55" s="2796"/>
      <c r="C55" s="3061"/>
      <c r="D55" s="3053"/>
      <c r="E55" s="3052"/>
      <c r="F55" s="1515"/>
      <c r="G55" s="3051"/>
      <c r="H55" s="3051"/>
      <c r="I55" s="2304"/>
      <c r="J55" s="1432"/>
      <c r="K55" s="2304"/>
      <c r="L55" s="2304"/>
      <c r="M55" s="2304"/>
      <c r="N55" s="1437"/>
      <c r="O55" s="1437"/>
      <c r="P55" s="1437"/>
      <c r="Q55" s="1437"/>
      <c r="R55" s="1437"/>
      <c r="S55" s="1437"/>
      <c r="T55" s="1437"/>
    </row>
    <row r="56" spans="1:20" s="1422" customFormat="1" ht="11.45" customHeight="1" outlineLevel="1">
      <c r="A56" s="3060"/>
      <c r="B56" s="1997" t="s">
        <v>2274</v>
      </c>
      <c r="C56" s="3056" t="s">
        <v>380</v>
      </c>
      <c r="D56" s="3053">
        <v>0</v>
      </c>
      <c r="E56" s="3052">
        <v>6350</v>
      </c>
      <c r="F56" s="1558">
        <f>SUM(G56-E56)</f>
        <v>8650</v>
      </c>
      <c r="G56" s="3051">
        <v>15000</v>
      </c>
      <c r="H56" s="3051">
        <v>15000</v>
      </c>
      <c r="I56" s="2304"/>
      <c r="J56" s="1432"/>
      <c r="K56" s="2304"/>
      <c r="L56" s="2304"/>
      <c r="M56" s="2304"/>
      <c r="N56" s="1437"/>
      <c r="O56" s="1437"/>
      <c r="P56" s="1437"/>
      <c r="Q56" s="1437"/>
      <c r="R56" s="1437"/>
      <c r="S56" s="1437"/>
      <c r="T56" s="1437"/>
    </row>
    <row r="57" spans="1:20" s="1422" customFormat="1" ht="11.45" customHeight="1" outlineLevel="1">
      <c r="A57" s="1990" t="s">
        <v>666</v>
      </c>
      <c r="B57" s="2796"/>
      <c r="C57" s="1993"/>
      <c r="D57" s="3053"/>
      <c r="E57" s="3052"/>
      <c r="F57" s="1558"/>
      <c r="G57" s="3051"/>
      <c r="H57" s="3051"/>
      <c r="I57" s="2304"/>
      <c r="J57" s="1432"/>
      <c r="K57" s="2304"/>
      <c r="L57" s="2304"/>
      <c r="M57" s="2304"/>
      <c r="N57" s="1437"/>
      <c r="O57" s="1437"/>
      <c r="P57" s="1437"/>
      <c r="Q57" s="1437"/>
      <c r="R57" s="1437"/>
      <c r="S57" s="1437"/>
      <c r="T57" s="1437"/>
    </row>
    <row r="58" spans="1:20" s="1422" customFormat="1" ht="11.45" customHeight="1" outlineLevel="1">
      <c r="A58" s="1990"/>
      <c r="B58" s="1997" t="s">
        <v>2162</v>
      </c>
      <c r="C58" s="531" t="s">
        <v>376</v>
      </c>
      <c r="D58" s="3053">
        <v>223967.93</v>
      </c>
      <c r="E58" s="3052">
        <v>124245</v>
      </c>
      <c r="F58" s="1558">
        <f>SUM(G58-E58)</f>
        <v>275755</v>
      </c>
      <c r="G58" s="3051">
        <v>400000</v>
      </c>
      <c r="H58" s="3051">
        <v>300000</v>
      </c>
      <c r="I58" s="2304"/>
      <c r="J58" s="1432"/>
      <c r="K58" s="2304"/>
      <c r="L58" s="2304"/>
      <c r="M58" s="2304"/>
      <c r="N58" s="1437"/>
      <c r="O58" s="1437"/>
      <c r="P58" s="1437"/>
      <c r="Q58" s="1437"/>
      <c r="R58" s="1437"/>
      <c r="S58" s="1437"/>
      <c r="T58" s="1437"/>
    </row>
    <row r="59" spans="1:20" s="1422" customFormat="1" ht="11.45" customHeight="1" outlineLevel="1">
      <c r="A59" s="1990" t="s">
        <v>666</v>
      </c>
      <c r="B59" s="2796"/>
      <c r="C59" s="1993"/>
      <c r="D59" s="3053"/>
      <c r="E59" s="3052"/>
      <c r="F59" s="1515"/>
      <c r="G59" s="3051"/>
      <c r="H59" s="3051"/>
      <c r="I59" s="2304"/>
      <c r="J59" s="1432"/>
      <c r="K59" s="2304"/>
      <c r="L59" s="2304"/>
      <c r="M59" s="2304"/>
      <c r="N59" s="1437"/>
      <c r="O59" s="1437"/>
      <c r="P59" s="1437"/>
      <c r="Q59" s="1437"/>
      <c r="R59" s="1437"/>
      <c r="S59" s="1437"/>
      <c r="T59" s="1437"/>
    </row>
    <row r="60" spans="1:20" s="1422" customFormat="1" ht="11.45" customHeight="1" outlineLevel="1">
      <c r="A60" s="1990"/>
      <c r="B60" s="1997" t="s">
        <v>2273</v>
      </c>
      <c r="C60" s="2794" t="s">
        <v>371</v>
      </c>
      <c r="D60" s="3053">
        <v>261888</v>
      </c>
      <c r="E60" s="3052">
        <v>65536</v>
      </c>
      <c r="F60" s="1558">
        <f>SUM(G60-E60)</f>
        <v>384464</v>
      </c>
      <c r="G60" s="3051">
        <v>450000</v>
      </c>
      <c r="H60" s="3051">
        <v>200000</v>
      </c>
      <c r="I60" s="2304"/>
      <c r="J60" s="1432"/>
      <c r="K60" s="2304"/>
      <c r="L60" s="2304"/>
      <c r="M60" s="2304"/>
      <c r="N60" s="1437"/>
      <c r="O60" s="1437"/>
      <c r="P60" s="1437"/>
      <c r="Q60" s="1437"/>
      <c r="R60" s="1437"/>
      <c r="S60" s="1437"/>
      <c r="T60" s="1437"/>
    </row>
    <row r="61" spans="1:20" s="1422" customFormat="1" ht="11.45" customHeight="1" outlineLevel="1">
      <c r="A61" s="3060" t="s">
        <v>370</v>
      </c>
      <c r="B61" s="3059"/>
      <c r="C61" s="1993" t="s">
        <v>369</v>
      </c>
      <c r="D61" s="3053">
        <v>1275</v>
      </c>
      <c r="E61" s="3052">
        <v>150</v>
      </c>
      <c r="F61" s="1558">
        <f>SUM(G61-E61)</f>
        <v>19850</v>
      </c>
      <c r="G61" s="3051">
        <v>20000</v>
      </c>
      <c r="H61" s="3051">
        <v>20000</v>
      </c>
      <c r="I61" s="2304"/>
      <c r="J61" s="1432"/>
      <c r="K61" s="2304"/>
      <c r="L61" s="2304"/>
      <c r="M61" s="2304"/>
      <c r="N61" s="1437"/>
      <c r="O61" s="1437"/>
      <c r="P61" s="1437"/>
      <c r="Q61" s="1437"/>
      <c r="R61" s="1437"/>
      <c r="S61" s="1437"/>
      <c r="T61" s="1437"/>
    </row>
    <row r="62" spans="1:20" s="1422" customFormat="1" ht="11.45" customHeight="1" outlineLevel="1">
      <c r="A62" s="3055" t="s">
        <v>368</v>
      </c>
      <c r="B62" s="3054"/>
      <c r="C62" s="1988" t="s">
        <v>367</v>
      </c>
      <c r="D62" s="3053">
        <v>109377.3</v>
      </c>
      <c r="E62" s="3052">
        <v>48746.6</v>
      </c>
      <c r="F62" s="1558">
        <f>SUM(G62-E62)</f>
        <v>202446.4</v>
      </c>
      <c r="G62" s="3051">
        <v>251193</v>
      </c>
      <c r="H62" s="3051">
        <v>251193</v>
      </c>
      <c r="I62" s="2304"/>
      <c r="J62" s="1432"/>
      <c r="K62" s="2304"/>
      <c r="L62" s="2304"/>
      <c r="M62" s="2304"/>
      <c r="N62" s="1437"/>
      <c r="O62" s="1437"/>
      <c r="P62" s="1437"/>
      <c r="Q62" s="1437"/>
      <c r="R62" s="1437"/>
      <c r="S62" s="1437"/>
      <c r="T62" s="1437"/>
    </row>
    <row r="63" spans="1:20" s="1422" customFormat="1" ht="11.45" customHeight="1" outlineLevel="1">
      <c r="A63" s="3055" t="s">
        <v>368</v>
      </c>
      <c r="B63" s="3054"/>
      <c r="C63" s="1988"/>
      <c r="D63" s="3053"/>
      <c r="E63" s="3052"/>
      <c r="F63" s="1515"/>
      <c r="G63" s="3051"/>
      <c r="H63" s="3051"/>
      <c r="I63" s="2304"/>
      <c r="J63" s="1432"/>
      <c r="K63" s="2304"/>
      <c r="L63" s="2304"/>
      <c r="M63" s="2304"/>
      <c r="N63" s="1437"/>
      <c r="O63" s="1437"/>
      <c r="P63" s="1437"/>
      <c r="Q63" s="1437"/>
      <c r="R63" s="1437"/>
      <c r="S63" s="1437"/>
      <c r="T63" s="1437"/>
    </row>
    <row r="64" spans="1:20" s="1422" customFormat="1" ht="11.45" customHeight="1" outlineLevel="1">
      <c r="A64" s="3058"/>
      <c r="B64" s="3057" t="s">
        <v>2272</v>
      </c>
      <c r="C64" s="3056" t="s">
        <v>2271</v>
      </c>
      <c r="D64" s="3053">
        <v>0</v>
      </c>
      <c r="E64" s="3052">
        <v>0</v>
      </c>
      <c r="F64" s="1558">
        <f>SUM(G64-E64)</f>
        <v>45000</v>
      </c>
      <c r="G64" s="3051">
        <v>45000</v>
      </c>
      <c r="H64" s="3051">
        <v>45000</v>
      </c>
      <c r="I64" s="2304"/>
      <c r="J64" s="1432"/>
      <c r="K64" s="2304"/>
      <c r="L64" s="2304"/>
      <c r="M64" s="2304"/>
      <c r="N64" s="1437"/>
      <c r="O64" s="1437"/>
      <c r="P64" s="1437"/>
      <c r="Q64" s="1437"/>
      <c r="R64" s="1437"/>
      <c r="S64" s="1437"/>
      <c r="T64" s="1437"/>
    </row>
    <row r="65" spans="1:20" s="1422" customFormat="1" ht="11.45" customHeight="1" outlineLevel="1">
      <c r="A65" s="3055" t="s">
        <v>368</v>
      </c>
      <c r="B65" s="3054"/>
      <c r="C65" s="1988"/>
      <c r="D65" s="3053"/>
      <c r="E65" s="3052"/>
      <c r="F65" s="1515"/>
      <c r="G65" s="3051"/>
      <c r="H65" s="3051"/>
      <c r="I65" s="2304"/>
      <c r="J65" s="1432"/>
      <c r="K65" s="2304"/>
      <c r="L65" s="2304"/>
      <c r="M65" s="2304"/>
      <c r="N65" s="1437"/>
      <c r="O65" s="1437"/>
      <c r="P65" s="1437"/>
      <c r="Q65" s="1437"/>
      <c r="R65" s="1437"/>
      <c r="S65" s="1437"/>
      <c r="T65" s="1437"/>
    </row>
    <row r="66" spans="1:20" s="1422" customFormat="1" ht="11.45" customHeight="1" outlineLevel="1">
      <c r="A66" s="2791"/>
      <c r="B66" s="3050" t="s">
        <v>2270</v>
      </c>
      <c r="C66" s="3049" t="s">
        <v>2155</v>
      </c>
      <c r="D66" s="3048">
        <v>39120</v>
      </c>
      <c r="E66" s="3047">
        <v>0</v>
      </c>
      <c r="F66" s="3046">
        <f>SUM(G66-E66)</f>
        <v>51000</v>
      </c>
      <c r="G66" s="3045">
        <v>51000</v>
      </c>
      <c r="H66" s="3044">
        <v>51000</v>
      </c>
      <c r="I66" s="2304"/>
      <c r="J66" s="1432"/>
      <c r="K66" s="2304"/>
      <c r="L66" s="2304"/>
      <c r="M66" s="2304"/>
      <c r="N66" s="1437"/>
      <c r="O66" s="1437"/>
      <c r="P66" s="1437"/>
      <c r="Q66" s="1437"/>
      <c r="R66" s="1437"/>
      <c r="S66" s="1437"/>
      <c r="T66" s="1437"/>
    </row>
    <row r="67" spans="1:20" s="1422" customFormat="1" ht="11.25" customHeight="1" outlineLevel="1">
      <c r="A67" s="3043"/>
      <c r="B67" s="3042"/>
      <c r="C67" s="3041"/>
      <c r="D67" s="2610"/>
      <c r="E67" s="3040"/>
      <c r="F67" s="3039"/>
      <c r="G67" s="1535"/>
      <c r="H67" s="3038"/>
      <c r="I67" s="2304"/>
      <c r="J67" s="1432"/>
      <c r="K67" s="2304"/>
      <c r="L67" s="2304"/>
      <c r="M67" s="2304"/>
      <c r="N67" s="1437"/>
      <c r="O67" s="1437"/>
      <c r="P67" s="1437"/>
      <c r="Q67" s="1437"/>
      <c r="R67" s="1437"/>
      <c r="S67" s="1437"/>
      <c r="T67" s="1437"/>
    </row>
    <row r="68" spans="1:20" ht="15" customHeight="1" thickBot="1">
      <c r="A68" s="1418" t="s">
        <v>366</v>
      </c>
      <c r="B68" s="1418"/>
      <c r="C68" s="1419"/>
      <c r="D68" s="1418">
        <f>D10+D37</f>
        <v>18747966.439999998</v>
      </c>
      <c r="E68" s="1418">
        <f>E10+E37</f>
        <v>8747999.959999999</v>
      </c>
      <c r="F68" s="1418">
        <f>F10+F37</f>
        <v>13797849.040000001</v>
      </c>
      <c r="G68" s="1418">
        <f>G10+G37</f>
        <v>22545849</v>
      </c>
      <c r="H68" s="1418">
        <f>H10+H37</f>
        <v>25268154</v>
      </c>
      <c r="J68" s="1626"/>
      <c r="K68" s="1543"/>
      <c r="L68" s="1543"/>
      <c r="M68" s="1543"/>
    </row>
    <row r="69" spans="1:20" ht="15" customHeight="1" thickTop="1">
      <c r="A69" s="1403" t="s">
        <v>364</v>
      </c>
      <c r="C69" s="3037" t="s">
        <v>363</v>
      </c>
      <c r="E69" s="4742" t="s">
        <v>2269</v>
      </c>
      <c r="F69" s="4742"/>
      <c r="J69" s="1626"/>
      <c r="K69" s="1543"/>
      <c r="L69" s="1543"/>
      <c r="M69" s="1543"/>
    </row>
    <row r="70" spans="1:20" ht="15" customHeight="1">
      <c r="C70" s="3037"/>
      <c r="E70" s="1578"/>
      <c r="F70" s="1578"/>
    </row>
    <row r="71" spans="1:20" ht="13.9" customHeight="1">
      <c r="A71" s="3036" t="s">
        <v>2268</v>
      </c>
      <c r="B71" s="2523"/>
      <c r="C71" s="4760" t="s">
        <v>360</v>
      </c>
      <c r="D71" s="4760"/>
      <c r="E71" s="4741" t="s">
        <v>359</v>
      </c>
      <c r="F71" s="4741"/>
      <c r="G71" s="4741"/>
      <c r="H71" s="4741"/>
    </row>
    <row r="72" spans="1:20" s="1404" customFormat="1">
      <c r="A72" s="3035" t="s">
        <v>2267</v>
      </c>
      <c r="B72" s="3035"/>
      <c r="C72" s="4754" t="s">
        <v>357</v>
      </c>
      <c r="D72" s="4754"/>
      <c r="E72" s="4755" t="s">
        <v>356</v>
      </c>
      <c r="F72" s="4755"/>
      <c r="G72" s="4755"/>
      <c r="H72" s="4755"/>
      <c r="I72" s="3034"/>
      <c r="J72" s="3033"/>
      <c r="K72" s="2429"/>
      <c r="L72" s="2429"/>
      <c r="M72" s="2429"/>
      <c r="N72" s="2429"/>
      <c r="O72" s="2429"/>
      <c r="P72" s="2429"/>
      <c r="Q72" s="2429"/>
      <c r="R72" s="2429"/>
      <c r="S72" s="2429"/>
      <c r="T72" s="2429"/>
    </row>
    <row r="73" spans="1:20" s="1404" customFormat="1">
      <c r="A73" s="4756"/>
      <c r="B73" s="4756"/>
      <c r="D73" s="1406"/>
      <c r="E73" s="1406"/>
      <c r="F73" s="1406"/>
      <c r="G73" s="1406"/>
      <c r="H73" s="1406"/>
      <c r="I73" s="3034"/>
      <c r="J73" s="3033"/>
      <c r="K73" s="2429"/>
      <c r="L73" s="2429"/>
      <c r="M73" s="2429"/>
      <c r="N73" s="2429"/>
      <c r="O73" s="2429"/>
      <c r="P73" s="2429"/>
      <c r="Q73" s="2429"/>
      <c r="R73" s="2429"/>
      <c r="S73" s="2429"/>
      <c r="T73" s="2429"/>
    </row>
  </sheetData>
  <mergeCells count="10">
    <mergeCell ref="C72:D72"/>
    <mergeCell ref="E72:H72"/>
    <mergeCell ref="A73:B73"/>
    <mergeCell ref="A3:H3"/>
    <mergeCell ref="A4:H4"/>
    <mergeCell ref="A6:B8"/>
    <mergeCell ref="E6:G6"/>
    <mergeCell ref="E69:F69"/>
    <mergeCell ref="C71:D71"/>
    <mergeCell ref="E71:H71"/>
  </mergeCells>
  <pageMargins left="0.5" right="0" top="0.25" bottom="0" header="0.5" footer="0"/>
  <pageSetup paperSize="5" orientation="portrait" verticalDpi="30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 transitionEvaluation="1" transitionEntry="1">
    <tabColor rgb="FFFFFF00"/>
    <outlinePr summaryBelow="0"/>
  </sheetPr>
  <dimension ref="A1:ES32"/>
  <sheetViews>
    <sheetView showGridLines="0" showOutlineSymbols="0" topLeftCell="A3" workbookViewId="0">
      <selection activeCell="J21" sqref="J21"/>
    </sheetView>
  </sheetViews>
  <sheetFormatPr defaultColWidth="12.5703125" defaultRowHeight="12.75" outlineLevelRow="1" outlineLevelCol="2"/>
  <cols>
    <col min="1" max="1" width="1.85546875" style="1403" customWidth="1"/>
    <col min="2" max="2" width="35" style="1403" customWidth="1"/>
    <col min="3" max="8" width="10.7109375" style="1403" customWidth="1"/>
    <col min="9" max="9" width="14.140625" style="1403" customWidth="1"/>
    <col min="10" max="48" width="12.5703125" style="1403"/>
    <col min="49" max="53" width="12.5703125" style="1403" outlineLevel="1"/>
    <col min="54" max="59" width="12.5703125" style="1403" outlineLevel="2"/>
    <col min="60" max="62" width="12.5703125" style="1403" outlineLevel="1"/>
    <col min="63" max="82" width="12.5703125" style="1403"/>
    <col min="83" max="86" width="12.5703125" style="1403" outlineLevel="1"/>
    <col min="87" max="134" width="12.5703125" style="1403"/>
    <col min="135" max="140" width="12.5703125" style="1403" outlineLevel="1"/>
    <col min="141" max="146" width="12.5703125" style="1403" outlineLevel="2"/>
    <col min="147" max="149" width="12.5703125" style="1403" outlineLevel="1"/>
    <col min="150" max="16384" width="12.5703125" style="1403"/>
  </cols>
  <sheetData>
    <row r="1" spans="1:8">
      <c r="A1" s="2527" t="s">
        <v>473</v>
      </c>
      <c r="C1" s="2527"/>
      <c r="E1" s="2527"/>
      <c r="F1" s="2527"/>
      <c r="H1" s="2527"/>
    </row>
    <row r="2" spans="1:8" ht="14.25" customHeight="1">
      <c r="A2" s="2526" t="s">
        <v>584</v>
      </c>
      <c r="C2" s="2526"/>
      <c r="E2" s="2526"/>
      <c r="F2" s="2526"/>
      <c r="H2" s="2526"/>
    </row>
    <row r="3" spans="1:8" ht="14.25" customHeight="1">
      <c r="A3" s="2526"/>
      <c r="C3" s="2526"/>
      <c r="E3" s="2526"/>
      <c r="F3" s="2526"/>
      <c r="H3" s="2526"/>
    </row>
    <row r="4" spans="1:8" ht="14.25" customHeight="1">
      <c r="A4" s="4741" t="s">
        <v>471</v>
      </c>
      <c r="B4" s="4741"/>
      <c r="C4" s="4741"/>
      <c r="D4" s="4741"/>
      <c r="E4" s="4741"/>
      <c r="F4" s="4741"/>
      <c r="G4" s="4741"/>
      <c r="H4" s="4741"/>
    </row>
    <row r="5" spans="1:8" ht="14.25" customHeight="1">
      <c r="A5" s="4742" t="s">
        <v>470</v>
      </c>
      <c r="B5" s="4742"/>
      <c r="C5" s="4742"/>
      <c r="D5" s="4742"/>
      <c r="E5" s="4742"/>
      <c r="F5" s="4742"/>
      <c r="G5" s="4742"/>
      <c r="H5" s="4742"/>
    </row>
    <row r="6" spans="1:8" ht="14.25" customHeight="1">
      <c r="A6" s="1578"/>
      <c r="B6" s="1578"/>
      <c r="C6" s="1578"/>
      <c r="D6" s="1578"/>
      <c r="E6" s="1578"/>
      <c r="F6" s="1578"/>
      <c r="G6" s="1578"/>
      <c r="H6" s="1578"/>
    </row>
    <row r="7" spans="1:8" ht="14.25" customHeight="1">
      <c r="A7" s="2522" t="s">
        <v>2283</v>
      </c>
    </row>
    <row r="8" spans="1:8" ht="14.25" customHeight="1">
      <c r="A8" s="3129" t="s">
        <v>2282</v>
      </c>
      <c r="B8" s="2527"/>
    </row>
    <row r="9" spans="1:8" ht="14.25" customHeight="1">
      <c r="A9" s="2523"/>
      <c r="B9" s="2522"/>
    </row>
    <row r="10" spans="1:8" ht="14.25" customHeight="1">
      <c r="A10" s="4934" t="s">
        <v>468</v>
      </c>
      <c r="B10" s="4935"/>
      <c r="C10" s="2607" t="s">
        <v>467</v>
      </c>
      <c r="D10" s="2608" t="s">
        <v>466</v>
      </c>
      <c r="E10" s="4869" t="s">
        <v>465</v>
      </c>
      <c r="F10" s="4870"/>
      <c r="G10" s="4871"/>
      <c r="H10" s="2607" t="s">
        <v>464</v>
      </c>
    </row>
    <row r="11" spans="1:8" ht="14.25" customHeight="1">
      <c r="A11" s="4936"/>
      <c r="B11" s="4937"/>
      <c r="C11" s="2606" t="s">
        <v>463</v>
      </c>
      <c r="D11" s="2517">
        <v>2020</v>
      </c>
      <c r="E11" s="2646" t="s">
        <v>462</v>
      </c>
      <c r="F11" s="2646" t="s">
        <v>461</v>
      </c>
      <c r="G11" s="2517" t="s">
        <v>244</v>
      </c>
      <c r="H11" s="2517">
        <v>2022</v>
      </c>
    </row>
    <row r="12" spans="1:8" ht="14.25" customHeight="1">
      <c r="A12" s="4938"/>
      <c r="B12" s="4939"/>
      <c r="C12" s="2604"/>
      <c r="D12" s="2602" t="s">
        <v>460</v>
      </c>
      <c r="E12" s="2602" t="s">
        <v>460</v>
      </c>
      <c r="F12" s="2602" t="s">
        <v>459</v>
      </c>
      <c r="G12" s="2623"/>
      <c r="H12" s="2602" t="s">
        <v>458</v>
      </c>
    </row>
    <row r="13" spans="1:8" ht="21" customHeight="1">
      <c r="A13" s="3109" t="s">
        <v>456</v>
      </c>
      <c r="B13" s="3108"/>
      <c r="C13" s="2834"/>
      <c r="D13" s="2834"/>
      <c r="E13" s="2834"/>
      <c r="F13" s="3108"/>
      <c r="G13" s="3108"/>
      <c r="H13" s="3108"/>
    </row>
    <row r="14" spans="1:8" ht="21" customHeight="1">
      <c r="A14" s="1436" t="s">
        <v>407</v>
      </c>
      <c r="B14" s="2644"/>
      <c r="C14" s="1513"/>
      <c r="D14" s="3077">
        <f>SUM(D15:D18)</f>
        <v>1535972.22</v>
      </c>
      <c r="E14" s="3077">
        <f>SUM(E15:E18)</f>
        <v>236355</v>
      </c>
      <c r="F14" s="3077">
        <f>SUM(F15:F18)</f>
        <v>4161095</v>
      </c>
      <c r="G14" s="3077">
        <f>SUM(G15:G18)</f>
        <v>4397450</v>
      </c>
      <c r="H14" s="3077">
        <f>SUM(H15:H18)</f>
        <v>1360460</v>
      </c>
    </row>
    <row r="15" spans="1:8" ht="18" customHeight="1" outlineLevel="1">
      <c r="A15" s="519" t="s">
        <v>1980</v>
      </c>
      <c r="B15" s="518"/>
      <c r="C15" s="978" t="s">
        <v>1979</v>
      </c>
      <c r="D15" s="3128">
        <f>'[16]ANIMAL DISEASE '!$E$20</f>
        <v>406800</v>
      </c>
      <c r="E15" s="3127">
        <f>'[17]ANIMAL DISEASE '!$E$20</f>
        <v>0</v>
      </c>
      <c r="F15" s="3127">
        <f>G15-E15</f>
        <v>231200</v>
      </c>
      <c r="G15" s="3126">
        <v>231200</v>
      </c>
      <c r="H15" s="3125">
        <v>231200</v>
      </c>
    </row>
    <row r="16" spans="1:8" ht="18" customHeight="1" outlineLevel="1">
      <c r="A16" s="1560" t="s">
        <v>395</v>
      </c>
      <c r="B16" s="1552"/>
      <c r="C16" s="3124" t="s">
        <v>394</v>
      </c>
      <c r="D16" s="1474">
        <f>'[16]ANIMAL DISEASE '!$E$21</f>
        <v>192591</v>
      </c>
      <c r="E16" s="1448">
        <v>0</v>
      </c>
      <c r="F16" s="1532">
        <f>G16-E16</f>
        <v>282450</v>
      </c>
      <c r="G16" s="1425">
        <v>282450</v>
      </c>
      <c r="H16" s="1424">
        <v>30000</v>
      </c>
    </row>
    <row r="17" spans="1:10" ht="18" customHeight="1" outlineLevel="1">
      <c r="A17" s="517" t="s">
        <v>389</v>
      </c>
      <c r="B17" s="516"/>
      <c r="C17" s="971" t="s">
        <v>388</v>
      </c>
      <c r="D17" s="1474">
        <f>'[16]ANIMAL DISEASE '!$E$22</f>
        <v>936581.22</v>
      </c>
      <c r="E17" s="1448">
        <f>'[17]ANIMAL DISEASE '!$E$22</f>
        <v>236355</v>
      </c>
      <c r="F17" s="1532">
        <f>G17-E17</f>
        <v>647445</v>
      </c>
      <c r="G17" s="1425">
        <v>883800</v>
      </c>
      <c r="H17" s="1424">
        <v>1099260</v>
      </c>
    </row>
    <row r="18" spans="1:10" ht="21" customHeight="1" outlineLevel="1">
      <c r="A18" s="517" t="s">
        <v>368</v>
      </c>
      <c r="B18" s="516"/>
      <c r="C18" s="3123" t="s">
        <v>367</v>
      </c>
      <c r="D18" s="1474">
        <v>0</v>
      </c>
      <c r="E18" s="1448">
        <v>0</v>
      </c>
      <c r="F18" s="1454">
        <v>3000000</v>
      </c>
      <c r="G18" s="1425">
        <f>F18</f>
        <v>3000000</v>
      </c>
      <c r="H18" s="1424">
        <v>0</v>
      </c>
      <c r="J18" s="3122"/>
    </row>
    <row r="19" spans="1:10" ht="21" customHeight="1" outlineLevel="1">
      <c r="A19" s="517"/>
      <c r="B19" s="516"/>
      <c r="C19" s="971"/>
      <c r="D19" s="1474"/>
      <c r="E19" s="1448"/>
      <c r="F19" s="1454"/>
      <c r="G19" s="1425"/>
      <c r="H19" s="1424"/>
    </row>
    <row r="20" spans="1:10" ht="21" customHeight="1" outlineLevel="1">
      <c r="A20" s="517"/>
      <c r="B20" s="516"/>
      <c r="C20" s="971"/>
      <c r="D20" s="1474"/>
      <c r="E20" s="1448"/>
      <c r="F20" s="1454"/>
      <c r="G20" s="1425"/>
      <c r="H20" s="1424"/>
    </row>
    <row r="21" spans="1:10" ht="21" customHeight="1" outlineLevel="1">
      <c r="A21" s="519"/>
      <c r="B21" s="518"/>
      <c r="C21" s="1734"/>
      <c r="D21" s="1474"/>
      <c r="E21" s="1448"/>
      <c r="F21" s="1454"/>
      <c r="G21" s="1425"/>
      <c r="H21" s="1424"/>
    </row>
    <row r="22" spans="1:10" ht="21" customHeight="1" outlineLevel="1">
      <c r="A22" s="517"/>
      <c r="B22" s="516"/>
      <c r="C22" s="1734"/>
      <c r="D22" s="1474"/>
      <c r="E22" s="1448"/>
      <c r="F22" s="1454"/>
      <c r="G22" s="1425"/>
      <c r="H22" s="1424"/>
    </row>
    <row r="23" spans="1:10" s="2994" customFormat="1" ht="21" customHeight="1" outlineLevel="1">
      <c r="A23" s="512"/>
      <c r="B23" s="3121"/>
      <c r="C23" s="3120"/>
      <c r="D23" s="1474"/>
      <c r="E23" s="1448"/>
      <c r="F23" s="1454"/>
      <c r="G23" s="1425"/>
      <c r="H23" s="1424"/>
    </row>
    <row r="24" spans="1:10" s="2994" customFormat="1" ht="21" customHeight="1" outlineLevel="1">
      <c r="A24" s="512"/>
      <c r="B24" s="511"/>
      <c r="C24" s="971"/>
      <c r="D24" s="1474"/>
      <c r="E24" s="1448"/>
      <c r="F24" s="1454"/>
      <c r="G24" s="1425"/>
      <c r="H24" s="1424"/>
    </row>
    <row r="25" spans="1:10" s="2994" customFormat="1" ht="21" customHeight="1" outlineLevel="1">
      <c r="A25" s="508"/>
      <c r="B25" s="3119"/>
      <c r="C25" s="3118"/>
      <c r="D25" s="3117"/>
      <c r="E25" s="1441"/>
      <c r="F25" s="3116"/>
      <c r="G25" s="3115"/>
      <c r="H25" s="1481"/>
    </row>
    <row r="26" spans="1:10" s="2994" customFormat="1" ht="21" customHeight="1" outlineLevel="1" thickBot="1">
      <c r="A26" s="3114" t="s">
        <v>366</v>
      </c>
      <c r="B26" s="3114"/>
      <c r="C26" s="1419"/>
      <c r="D26" s="2480">
        <f>SUM(D14)</f>
        <v>1535972.22</v>
      </c>
      <c r="E26" s="2480">
        <f>SUM(E14)</f>
        <v>236355</v>
      </c>
      <c r="F26" s="3114">
        <f>SUM(F14)</f>
        <v>4161095</v>
      </c>
      <c r="G26" s="2480">
        <f>SUM(G14)</f>
        <v>4397450</v>
      </c>
      <c r="H26" s="2480">
        <f>SUM(H14)</f>
        <v>1360460</v>
      </c>
    </row>
    <row r="27" spans="1:10" ht="20.100000000000001" customHeight="1" outlineLevel="1" thickTop="1"/>
    <row r="28" spans="1:10" ht="19.5" customHeight="1">
      <c r="A28" s="1403" t="s">
        <v>364</v>
      </c>
      <c r="C28" s="3037" t="s">
        <v>363</v>
      </c>
      <c r="E28" s="4742" t="s">
        <v>1779</v>
      </c>
      <c r="F28" s="4742"/>
    </row>
    <row r="29" spans="1:10" ht="18" customHeight="1">
      <c r="C29" s="3037"/>
    </row>
    <row r="30" spans="1:10" ht="18" customHeight="1">
      <c r="A30" s="3036" t="s">
        <v>2268</v>
      </c>
      <c r="C30" s="4760" t="s">
        <v>360</v>
      </c>
      <c r="D30" s="4760"/>
      <c r="E30" s="4741" t="s">
        <v>359</v>
      </c>
      <c r="F30" s="4741"/>
      <c r="G30" s="4741"/>
      <c r="H30" s="4741"/>
    </row>
    <row r="31" spans="1:10" s="1404" customFormat="1">
      <c r="A31" s="1407" t="s">
        <v>2267</v>
      </c>
      <c r="B31" s="1407"/>
      <c r="C31" s="4754" t="s">
        <v>357</v>
      </c>
      <c r="D31" s="4754"/>
      <c r="E31" s="4755" t="s">
        <v>356</v>
      </c>
      <c r="F31" s="4755"/>
      <c r="G31" s="4755"/>
      <c r="H31" s="4755"/>
      <c r="I31" s="2236"/>
    </row>
    <row r="32" spans="1:10" s="1404" customFormat="1">
      <c r="A32" s="4756"/>
      <c r="B32" s="4756"/>
      <c r="D32" s="1406"/>
      <c r="E32" s="1406"/>
      <c r="F32" s="1406"/>
      <c r="G32" s="1406"/>
      <c r="H32" s="1406"/>
      <c r="I32" s="2236"/>
    </row>
  </sheetData>
  <mergeCells count="10">
    <mergeCell ref="A32:B32"/>
    <mergeCell ref="C30:D30"/>
    <mergeCell ref="E10:G10"/>
    <mergeCell ref="E28:F28"/>
    <mergeCell ref="A10:B12"/>
    <mergeCell ref="A4:H4"/>
    <mergeCell ref="A5:H5"/>
    <mergeCell ref="E30:H30"/>
    <mergeCell ref="C31:D31"/>
    <mergeCell ref="E31:H31"/>
  </mergeCells>
  <pageMargins left="0.5" right="0" top="1" bottom="0" header="0.5" footer="0"/>
  <pageSetup paperSize="5" orientation="portrait" verticalDpi="3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2"/>
  <sheetViews>
    <sheetView showGridLines="0" showOutlineSymbols="0" workbookViewId="0">
      <selection activeCell="G18" sqref="G18"/>
    </sheetView>
  </sheetViews>
  <sheetFormatPr defaultColWidth="12.5703125" defaultRowHeight="15.75" outlineLevelRow="1" outlineLevelCol="2"/>
  <cols>
    <col min="1" max="1" width="1.85546875" style="1390" customWidth="1"/>
    <col min="2" max="2" width="35" style="1390" customWidth="1"/>
    <col min="3"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8" s="1403" customFormat="1" ht="12.75">
      <c r="A1" s="2527" t="s">
        <v>473</v>
      </c>
      <c r="C1" s="2527"/>
      <c r="E1" s="2527"/>
      <c r="F1" s="2527"/>
      <c r="H1" s="2527"/>
    </row>
    <row r="2" spans="1:8" s="1403" customFormat="1" ht="14.25" customHeight="1">
      <c r="A2" s="2526" t="s">
        <v>584</v>
      </c>
      <c r="C2" s="2526"/>
      <c r="E2" s="2526"/>
      <c r="F2" s="2526"/>
      <c r="H2" s="2526"/>
    </row>
    <row r="3" spans="1:8" s="1403" customFormat="1" ht="14.25" customHeight="1">
      <c r="E3" s="2526"/>
      <c r="F3" s="2526"/>
      <c r="H3" s="2526"/>
    </row>
    <row r="4" spans="1:8" s="1403" customFormat="1" ht="14.25" customHeight="1">
      <c r="A4" s="4741" t="s">
        <v>471</v>
      </c>
      <c r="B4" s="4741"/>
      <c r="C4" s="4741"/>
      <c r="D4" s="4741"/>
      <c r="E4" s="4741"/>
      <c r="F4" s="4741"/>
      <c r="G4" s="4741"/>
      <c r="H4" s="4741"/>
    </row>
    <row r="5" spans="1:8" s="1403" customFormat="1" ht="14.25" customHeight="1">
      <c r="A5" s="4742" t="s">
        <v>470</v>
      </c>
      <c r="B5" s="4742"/>
      <c r="C5" s="4742"/>
      <c r="D5" s="4742"/>
      <c r="E5" s="4742"/>
      <c r="F5" s="4742"/>
      <c r="G5" s="4742"/>
      <c r="H5" s="4742"/>
    </row>
    <row r="6" spans="1:8" s="1403" customFormat="1" ht="14.25" customHeight="1">
      <c r="A6" s="1578"/>
      <c r="B6" s="1578"/>
      <c r="C6" s="1578"/>
      <c r="D6" s="1578"/>
      <c r="E6" s="1578"/>
      <c r="F6" s="1578"/>
      <c r="G6" s="1578"/>
      <c r="H6" s="1578"/>
    </row>
    <row r="7" spans="1:8" s="1403" customFormat="1" ht="14.25" customHeight="1">
      <c r="A7" s="2522" t="s">
        <v>2283</v>
      </c>
    </row>
    <row r="8" spans="1:8" s="1403" customFormat="1" ht="14.25" customHeight="1">
      <c r="A8" s="3129" t="s">
        <v>2285</v>
      </c>
      <c r="B8" s="2527"/>
    </row>
    <row r="9" spans="1:8" ht="14.25" customHeight="1">
      <c r="A9" s="3135"/>
      <c r="B9" s="1577"/>
      <c r="D9" s="1403"/>
      <c r="E9" s="1403"/>
      <c r="F9" s="1403"/>
      <c r="G9" s="1403"/>
      <c r="H9" s="1403"/>
    </row>
    <row r="10" spans="1:8" ht="14.25" customHeight="1">
      <c r="A10" s="4934" t="s">
        <v>468</v>
      </c>
      <c r="B10" s="4935"/>
      <c r="C10" s="2607" t="s">
        <v>467</v>
      </c>
      <c r="D10" s="2608" t="s">
        <v>466</v>
      </c>
      <c r="E10" s="4869" t="s">
        <v>465</v>
      </c>
      <c r="F10" s="4870"/>
      <c r="G10" s="4871"/>
      <c r="H10" s="2607" t="s">
        <v>464</v>
      </c>
    </row>
    <row r="11" spans="1:8" ht="14.25" customHeight="1">
      <c r="A11" s="4936"/>
      <c r="B11" s="4937"/>
      <c r="C11" s="2606" t="s">
        <v>463</v>
      </c>
      <c r="D11" s="2517" t="s">
        <v>573</v>
      </c>
      <c r="E11" s="2646" t="s">
        <v>462</v>
      </c>
      <c r="F11" s="2646" t="s">
        <v>461</v>
      </c>
      <c r="G11" s="2517" t="s">
        <v>244</v>
      </c>
      <c r="H11" s="2517" t="s">
        <v>652</v>
      </c>
    </row>
    <row r="12" spans="1:8" ht="14.25" customHeight="1">
      <c r="A12" s="4938"/>
      <c r="B12" s="4939"/>
      <c r="C12" s="2604"/>
      <c r="D12" s="2602" t="s">
        <v>460</v>
      </c>
      <c r="E12" s="2602" t="s">
        <v>460</v>
      </c>
      <c r="F12" s="2602" t="s">
        <v>459</v>
      </c>
      <c r="G12" s="2623"/>
      <c r="H12" s="2602" t="s">
        <v>458</v>
      </c>
    </row>
    <row r="13" spans="1:8" ht="20.100000000000001" customHeight="1">
      <c r="A13" s="3109" t="s">
        <v>456</v>
      </c>
      <c r="B13" s="3134"/>
      <c r="C13" s="2834"/>
      <c r="D13" s="2834"/>
      <c r="E13" s="2834"/>
      <c r="F13" s="3108"/>
      <c r="G13" s="3108"/>
      <c r="H13" s="3108"/>
    </row>
    <row r="14" spans="1:8" ht="20.100000000000001" customHeight="1">
      <c r="A14" s="1436" t="s">
        <v>407</v>
      </c>
      <c r="B14" s="1435"/>
      <c r="C14" s="3077"/>
      <c r="D14" s="3077">
        <f>SUM(D15:D25)</f>
        <v>195245</v>
      </c>
      <c r="E14" s="3077">
        <f>SUM(E15:E25)</f>
        <v>72300</v>
      </c>
      <c r="F14" s="3077">
        <f>SUM(F15:F25)</f>
        <v>197700</v>
      </c>
      <c r="G14" s="3077">
        <f>SUM(G15:G25)</f>
        <v>270000</v>
      </c>
      <c r="H14" s="3077">
        <f>SUM(H15:H25)</f>
        <v>270000</v>
      </c>
    </row>
    <row r="15" spans="1:8" ht="21" customHeight="1" outlineLevel="1">
      <c r="A15" s="519" t="s">
        <v>1980</v>
      </c>
      <c r="B15" s="518"/>
      <c r="C15" s="2218" t="s">
        <v>1979</v>
      </c>
      <c r="D15" s="3128">
        <f>'[16]artificial insemination'!$E$16</f>
        <v>43170</v>
      </c>
      <c r="E15" s="3127">
        <v>0</v>
      </c>
      <c r="F15" s="3127">
        <f>G15-E15</f>
        <v>100000</v>
      </c>
      <c r="G15" s="3133">
        <v>100000</v>
      </c>
      <c r="H15" s="3132">
        <v>100000</v>
      </c>
    </row>
    <row r="16" spans="1:8" ht="21" customHeight="1" outlineLevel="1">
      <c r="A16" s="517" t="s">
        <v>389</v>
      </c>
      <c r="B16" s="516"/>
      <c r="C16" s="971" t="s">
        <v>388</v>
      </c>
      <c r="D16" s="1474">
        <f>'[16]artificial insemination'!$E$17</f>
        <v>152075</v>
      </c>
      <c r="E16" s="1448">
        <v>72300</v>
      </c>
      <c r="F16" s="1448">
        <f>G16-E16</f>
        <v>93300</v>
      </c>
      <c r="G16" s="1532">
        <v>165600</v>
      </c>
      <c r="H16" s="1431">
        <v>165600</v>
      </c>
    </row>
    <row r="17" spans="1:9" ht="21" customHeight="1" outlineLevel="1">
      <c r="A17" s="512" t="s">
        <v>368</v>
      </c>
      <c r="B17" s="511"/>
      <c r="C17" s="971" t="s">
        <v>367</v>
      </c>
      <c r="D17" s="1474">
        <v>0</v>
      </c>
      <c r="E17" s="1448">
        <v>0</v>
      </c>
      <c r="F17" s="1448">
        <f>G17-E17</f>
        <v>4400</v>
      </c>
      <c r="G17" s="1504">
        <v>4400</v>
      </c>
      <c r="H17" s="1431">
        <v>4400</v>
      </c>
    </row>
    <row r="18" spans="1:9" ht="21" customHeight="1" outlineLevel="1">
      <c r="A18" s="517"/>
      <c r="B18" s="516"/>
      <c r="C18" s="971"/>
      <c r="D18" s="1474"/>
      <c r="E18" s="1448"/>
      <c r="F18" s="1447"/>
      <c r="G18" s="1446"/>
      <c r="H18" s="1431"/>
    </row>
    <row r="19" spans="1:9" ht="21" customHeight="1" outlineLevel="1">
      <c r="A19" s="519"/>
      <c r="B19" s="518"/>
      <c r="C19" s="530"/>
      <c r="D19" s="1474"/>
      <c r="E19" s="1448"/>
      <c r="F19" s="1447"/>
      <c r="G19" s="1446"/>
      <c r="H19" s="1431"/>
    </row>
    <row r="20" spans="1:9" ht="21" customHeight="1" outlineLevel="1">
      <c r="A20" s="519"/>
      <c r="B20" s="518"/>
      <c r="C20" s="1734"/>
      <c r="D20" s="1474"/>
      <c r="E20" s="1448"/>
      <c r="F20" s="1447"/>
      <c r="G20" s="1446"/>
      <c r="H20" s="1431"/>
    </row>
    <row r="21" spans="1:9" ht="21" customHeight="1" outlineLevel="1">
      <c r="A21" s="517"/>
      <c r="B21" s="516"/>
      <c r="C21" s="1734"/>
      <c r="D21" s="1474"/>
      <c r="E21" s="1448"/>
      <c r="F21" s="1447"/>
      <c r="G21" s="1446"/>
      <c r="H21" s="1431"/>
    </row>
    <row r="22" spans="1:9" s="1395" customFormat="1" ht="21" customHeight="1" outlineLevel="1">
      <c r="A22" s="512"/>
      <c r="B22" s="3131"/>
      <c r="C22" s="3130"/>
      <c r="D22" s="1474"/>
      <c r="E22" s="1448"/>
      <c r="F22" s="1447"/>
      <c r="G22" s="1446"/>
      <c r="H22" s="1431"/>
    </row>
    <row r="23" spans="1:9" s="1395" customFormat="1" ht="21" customHeight="1" outlineLevel="1">
      <c r="A23" s="512"/>
      <c r="B23" s="3131"/>
      <c r="C23" s="3130"/>
      <c r="D23" s="1474"/>
      <c r="E23" s="1448"/>
      <c r="F23" s="1447"/>
      <c r="G23" s="1446"/>
      <c r="H23" s="1431"/>
    </row>
    <row r="24" spans="1:9" s="1395" customFormat="1" ht="21" customHeight="1" outlineLevel="1">
      <c r="A24" s="512"/>
      <c r="B24" s="511"/>
      <c r="C24" s="971"/>
      <c r="D24" s="1474"/>
      <c r="E24" s="1448"/>
      <c r="F24" s="1447"/>
      <c r="G24" s="1446"/>
      <c r="H24" s="1431"/>
    </row>
    <row r="25" spans="1:9" s="1395" customFormat="1" ht="21" customHeight="1" outlineLevel="1">
      <c r="A25" s="508"/>
      <c r="B25" s="3119"/>
      <c r="C25" s="3118"/>
      <c r="D25" s="3117"/>
      <c r="E25" s="1441"/>
      <c r="F25" s="1440"/>
      <c r="G25" s="1439"/>
      <c r="H25" s="1426"/>
    </row>
    <row r="26" spans="1:9" s="1395" customFormat="1" ht="20.100000000000001" customHeight="1" outlineLevel="1" thickBot="1">
      <c r="A26" s="3114" t="s">
        <v>366</v>
      </c>
      <c r="B26" s="1420"/>
      <c r="C26" s="1419"/>
      <c r="D26" s="2480">
        <f>SUM(D14)</f>
        <v>195245</v>
      </c>
      <c r="E26" s="3114">
        <f>SUM(E14)</f>
        <v>72300</v>
      </c>
      <c r="F26" s="3114">
        <f>SUM(F14)</f>
        <v>197700</v>
      </c>
      <c r="G26" s="3114">
        <f>SUM(G14)</f>
        <v>270000</v>
      </c>
      <c r="H26" s="3114">
        <f>SUM(H14)</f>
        <v>270000</v>
      </c>
    </row>
    <row r="27" spans="1:9" ht="20.100000000000001" customHeight="1" outlineLevel="1" thickTop="1"/>
    <row r="28" spans="1:9" s="1403" customFormat="1" ht="19.5" customHeight="1">
      <c r="A28" s="1403" t="s">
        <v>364</v>
      </c>
      <c r="C28" s="3037" t="s">
        <v>363</v>
      </c>
      <c r="E28" s="4742" t="s">
        <v>1779</v>
      </c>
      <c r="F28" s="4742"/>
    </row>
    <row r="29" spans="1:9" s="1403" customFormat="1" ht="18" customHeight="1">
      <c r="C29" s="3037"/>
    </row>
    <row r="30" spans="1:9" s="1403" customFormat="1" ht="18" customHeight="1">
      <c r="A30" s="3036" t="s">
        <v>2268</v>
      </c>
      <c r="C30" s="4760" t="s">
        <v>360</v>
      </c>
      <c r="D30" s="4760"/>
      <c r="E30" s="4741" t="s">
        <v>359</v>
      </c>
      <c r="F30" s="4741"/>
      <c r="G30" s="4741"/>
      <c r="H30" s="4741"/>
    </row>
    <row r="31" spans="1:9" s="1404" customFormat="1" ht="12.75">
      <c r="A31" s="1407" t="s">
        <v>2284</v>
      </c>
      <c r="B31" s="1407"/>
      <c r="C31" s="4754" t="s">
        <v>357</v>
      </c>
      <c r="D31" s="4754"/>
      <c r="E31" s="4755" t="s">
        <v>356</v>
      </c>
      <c r="F31" s="4755"/>
      <c r="G31" s="4755"/>
      <c r="H31" s="4755"/>
      <c r="I31" s="2236"/>
    </row>
    <row r="32" spans="1:9" s="1404" customFormat="1" ht="12.75">
      <c r="A32" s="4756"/>
      <c r="B32" s="4756"/>
      <c r="D32" s="1406"/>
      <c r="E32" s="1406"/>
      <c r="F32" s="1406"/>
      <c r="G32" s="1406"/>
      <c r="H32" s="1406"/>
      <c r="I32" s="2236"/>
    </row>
  </sheetData>
  <mergeCells count="10">
    <mergeCell ref="C31:D31"/>
    <mergeCell ref="E31:H31"/>
    <mergeCell ref="A32:B32"/>
    <mergeCell ref="A4:H4"/>
    <mergeCell ref="A10:B12"/>
    <mergeCell ref="E10:G10"/>
    <mergeCell ref="E28:F28"/>
    <mergeCell ref="C30:D30"/>
    <mergeCell ref="E30:H30"/>
    <mergeCell ref="A5:H5"/>
  </mergeCells>
  <pageMargins left="0.5" right="0" top="1" bottom="0" header="0.5" footer="0"/>
  <pageSetup paperSize="5" orientation="portrait" verticalDpi="3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2"/>
  <sheetViews>
    <sheetView showGridLines="0" showOutlineSymbols="0" workbookViewId="0">
      <selection activeCell="H19" sqref="H19"/>
    </sheetView>
  </sheetViews>
  <sheetFormatPr defaultColWidth="12.5703125" defaultRowHeight="12.75" outlineLevelRow="1" outlineLevelCol="2"/>
  <cols>
    <col min="1" max="1" width="1.85546875" style="1403" customWidth="1"/>
    <col min="2" max="2" width="30.42578125" style="1403" customWidth="1"/>
    <col min="3" max="3" width="10.140625" style="1403" customWidth="1"/>
    <col min="4" max="4" width="10.5703125" style="1403" customWidth="1"/>
    <col min="5" max="5" width="11.28515625" style="1403" customWidth="1"/>
    <col min="6" max="6" width="13" style="1403" customWidth="1"/>
    <col min="7" max="8" width="10.7109375" style="1403" customWidth="1"/>
    <col min="9" max="9" width="14.140625" style="1403" customWidth="1"/>
    <col min="10" max="48" width="12.5703125" style="1403"/>
    <col min="49" max="53" width="12.5703125" style="1403" outlineLevel="1"/>
    <col min="54" max="59" width="12.5703125" style="1403" outlineLevel="2"/>
    <col min="60" max="62" width="12.5703125" style="1403" outlineLevel="1"/>
    <col min="63" max="82" width="12.5703125" style="1403"/>
    <col min="83" max="86" width="12.5703125" style="1403" outlineLevel="1"/>
    <col min="87" max="134" width="12.5703125" style="1403"/>
    <col min="135" max="140" width="12.5703125" style="1403" outlineLevel="1"/>
    <col min="141" max="146" width="12.5703125" style="1403" outlineLevel="2"/>
    <col min="147" max="149" width="12.5703125" style="1403" outlineLevel="1"/>
    <col min="150" max="16384" width="12.5703125" style="1403"/>
  </cols>
  <sheetData>
    <row r="1" spans="1:12">
      <c r="A1" s="2527" t="s">
        <v>473</v>
      </c>
      <c r="C1" s="2527"/>
      <c r="E1" s="2527"/>
      <c r="F1" s="2527"/>
      <c r="H1" s="2527"/>
    </row>
    <row r="2" spans="1:12" ht="14.25" customHeight="1">
      <c r="A2" s="2526" t="s">
        <v>584</v>
      </c>
      <c r="C2" s="2526"/>
      <c r="E2" s="2526"/>
      <c r="F2" s="2526"/>
      <c r="H2" s="2526"/>
    </row>
    <row r="3" spans="1:12" ht="14.25" customHeight="1">
      <c r="E3" s="2526"/>
      <c r="F3" s="2526"/>
      <c r="H3" s="2526"/>
    </row>
    <row r="4" spans="1:12" ht="14.25" customHeight="1">
      <c r="A4" s="4741" t="s">
        <v>471</v>
      </c>
      <c r="B4" s="4741"/>
      <c r="C4" s="4741"/>
      <c r="D4" s="4741"/>
      <c r="E4" s="4741"/>
      <c r="F4" s="4741"/>
      <c r="G4" s="4741"/>
      <c r="H4" s="4741"/>
    </row>
    <row r="5" spans="1:12" ht="14.25" customHeight="1">
      <c r="A5" s="4742" t="s">
        <v>470</v>
      </c>
      <c r="B5" s="4742"/>
      <c r="C5" s="4742"/>
      <c r="D5" s="4742"/>
      <c r="E5" s="4742"/>
      <c r="F5" s="4742"/>
      <c r="G5" s="4742"/>
      <c r="H5" s="4742"/>
    </row>
    <row r="6" spans="1:12" ht="14.25" customHeight="1">
      <c r="A6" s="1578"/>
      <c r="B6" s="1578"/>
      <c r="C6" s="1578"/>
      <c r="D6" s="1578"/>
      <c r="E6" s="1578"/>
      <c r="F6" s="1578"/>
      <c r="G6" s="1578"/>
      <c r="H6" s="1578"/>
    </row>
    <row r="7" spans="1:12" ht="14.25" customHeight="1">
      <c r="A7" s="2522" t="s">
        <v>2283</v>
      </c>
    </row>
    <row r="8" spans="1:12" ht="14.25" customHeight="1">
      <c r="A8" s="2523"/>
      <c r="B8" s="3129" t="s">
        <v>2288</v>
      </c>
    </row>
    <row r="9" spans="1:12" ht="14.25" customHeight="1">
      <c r="A9" s="2523"/>
      <c r="B9" s="2522"/>
    </row>
    <row r="10" spans="1:12" ht="14.25" customHeight="1">
      <c r="A10" s="4934" t="s">
        <v>468</v>
      </c>
      <c r="B10" s="4935"/>
      <c r="C10" s="2607" t="s">
        <v>467</v>
      </c>
      <c r="D10" s="2608" t="s">
        <v>466</v>
      </c>
      <c r="E10" s="4869" t="s">
        <v>465</v>
      </c>
      <c r="F10" s="4870"/>
      <c r="G10" s="4871"/>
      <c r="H10" s="2607" t="s">
        <v>464</v>
      </c>
    </row>
    <row r="11" spans="1:12" ht="14.25" customHeight="1">
      <c r="A11" s="4936"/>
      <c r="B11" s="4937"/>
      <c r="C11" s="2606" t="s">
        <v>463</v>
      </c>
      <c r="D11" s="2517" t="s">
        <v>573</v>
      </c>
      <c r="E11" s="3139" t="s">
        <v>462</v>
      </c>
      <c r="F11" s="2646" t="s">
        <v>461</v>
      </c>
      <c r="G11" s="2517" t="s">
        <v>244</v>
      </c>
      <c r="H11" s="2517" t="s">
        <v>652</v>
      </c>
    </row>
    <row r="12" spans="1:12" ht="14.25" customHeight="1">
      <c r="A12" s="4938"/>
      <c r="B12" s="4939"/>
      <c r="C12" s="2604"/>
      <c r="D12" s="2602" t="s">
        <v>460</v>
      </c>
      <c r="E12" s="2602" t="s">
        <v>460</v>
      </c>
      <c r="F12" s="2602" t="s">
        <v>459</v>
      </c>
      <c r="G12" s="2623"/>
      <c r="H12" s="2602" t="s">
        <v>458</v>
      </c>
    </row>
    <row r="13" spans="1:12" ht="20.100000000000001" customHeight="1">
      <c r="A13" s="3109" t="s">
        <v>456</v>
      </c>
      <c r="B13" s="3134"/>
      <c r="C13" s="2834"/>
      <c r="D13" s="2834"/>
      <c r="E13" s="2834"/>
      <c r="F13" s="3108"/>
      <c r="G13" s="3108"/>
      <c r="H13" s="3108"/>
    </row>
    <row r="14" spans="1:12" ht="20.100000000000001" customHeight="1">
      <c r="A14" s="1436" t="s">
        <v>407</v>
      </c>
      <c r="B14" s="1435"/>
      <c r="C14" s="1513"/>
      <c r="D14" s="2598">
        <f>SUM(D15:D24)</f>
        <v>1635473.4100000001</v>
      </c>
      <c r="E14" s="2598">
        <f>SUM(E15:E24)</f>
        <v>1021662.5</v>
      </c>
      <c r="F14" s="2598">
        <f>SUM(F15:F24)</f>
        <v>851337.5</v>
      </c>
      <c r="G14" s="2598">
        <f>SUM(G15:G24)</f>
        <v>1873000</v>
      </c>
      <c r="H14" s="2598">
        <f>SUM(H15:H24)</f>
        <v>1889500</v>
      </c>
    </row>
    <row r="15" spans="1:12" ht="21" customHeight="1" outlineLevel="1">
      <c r="A15" s="519" t="s">
        <v>1980</v>
      </c>
      <c r="B15" s="518"/>
      <c r="C15" s="978" t="s">
        <v>1979</v>
      </c>
      <c r="D15" s="1427">
        <v>90000</v>
      </c>
      <c r="E15" s="1532">
        <v>90000</v>
      </c>
      <c r="F15" s="1532">
        <v>10000</v>
      </c>
      <c r="G15" s="1504">
        <f>E15+F15</f>
        <v>100000</v>
      </c>
      <c r="H15" s="1424">
        <v>100000</v>
      </c>
    </row>
    <row r="16" spans="1:12" ht="21" customHeight="1" outlineLevel="1">
      <c r="A16" s="519" t="s">
        <v>1975</v>
      </c>
      <c r="B16" s="518"/>
      <c r="C16" s="2176" t="s">
        <v>1974</v>
      </c>
      <c r="D16" s="1427">
        <f>'[18]DISPERSAL OF LARGE FARM ANIMALS'!$F$36</f>
        <v>27000</v>
      </c>
      <c r="E16" s="1532">
        <v>23275</v>
      </c>
      <c r="F16" s="1532">
        <f>G16-E16</f>
        <v>6725</v>
      </c>
      <c r="G16" s="1504">
        <v>30000</v>
      </c>
      <c r="H16" s="1424">
        <v>30000</v>
      </c>
      <c r="K16" s="3138"/>
      <c r="L16" s="3138"/>
    </row>
    <row r="17" spans="1:9" ht="21" customHeight="1" outlineLevel="1">
      <c r="A17" s="1560" t="s">
        <v>395</v>
      </c>
      <c r="B17" s="1552"/>
      <c r="C17" s="3124" t="s">
        <v>394</v>
      </c>
      <c r="D17" s="1427">
        <f>'[18]DISPERSAL OF LARGE FARM ANIMALS'!$G$36</f>
        <v>27300</v>
      </c>
      <c r="E17" s="1532">
        <v>28920</v>
      </c>
      <c r="F17" s="1532">
        <f>G17-E17</f>
        <v>6160</v>
      </c>
      <c r="G17" s="1504">
        <v>35080</v>
      </c>
      <c r="H17" s="1424">
        <v>35080</v>
      </c>
    </row>
    <row r="18" spans="1:9" ht="21" customHeight="1" outlineLevel="1">
      <c r="A18" s="517" t="s">
        <v>389</v>
      </c>
      <c r="B18" s="516"/>
      <c r="C18" s="971" t="s">
        <v>388</v>
      </c>
      <c r="D18" s="1427">
        <f>'[19]DISPERSAL OF LARGE FARM ANIMALS'!$H$120</f>
        <v>1053133.4100000001</v>
      </c>
      <c r="E18" s="1532">
        <f>'[17]DISPERSAL LARGE FARM ANIMAL'!$E$19</f>
        <v>441427.5</v>
      </c>
      <c r="F18" s="1532">
        <f>G18-E18</f>
        <v>790972.5</v>
      </c>
      <c r="G18" s="1504">
        <v>1232400</v>
      </c>
      <c r="H18" s="1424">
        <v>1248900</v>
      </c>
    </row>
    <row r="19" spans="1:9" s="2994" customFormat="1" ht="21" customHeight="1" outlineLevel="1">
      <c r="A19" s="1736" t="s">
        <v>1893</v>
      </c>
      <c r="B19" s="1735"/>
      <c r="C19" s="735" t="s">
        <v>1892</v>
      </c>
      <c r="D19" s="1427">
        <f>'[18]DISPERSAL OF LARGE FARM ANIMALS'!$I$36</f>
        <v>438040</v>
      </c>
      <c r="E19" s="1532">
        <v>438040</v>
      </c>
      <c r="F19" s="1532">
        <f>G19-E19</f>
        <v>14460</v>
      </c>
      <c r="G19" s="1504">
        <v>452500</v>
      </c>
      <c r="H19" s="1424">
        <v>452500</v>
      </c>
    </row>
    <row r="20" spans="1:9" s="2994" customFormat="1" ht="21" customHeight="1" outlineLevel="1">
      <c r="A20" s="517" t="s">
        <v>368</v>
      </c>
      <c r="B20" s="516"/>
      <c r="C20" s="971" t="s">
        <v>367</v>
      </c>
      <c r="D20" s="1427">
        <v>0</v>
      </c>
      <c r="E20" s="1532">
        <v>0</v>
      </c>
      <c r="F20" s="1532">
        <f>G20-E20</f>
        <v>23020</v>
      </c>
      <c r="G20" s="1504">
        <v>23020</v>
      </c>
      <c r="H20" s="1424">
        <v>23020</v>
      </c>
    </row>
    <row r="21" spans="1:9" s="2994" customFormat="1" ht="21" customHeight="1" outlineLevel="1">
      <c r="A21" s="517"/>
      <c r="B21" s="516"/>
      <c r="C21" s="971"/>
      <c r="D21" s="1474"/>
      <c r="E21" s="1532"/>
      <c r="F21" s="1532"/>
      <c r="G21" s="1504"/>
      <c r="H21" s="1424"/>
    </row>
    <row r="22" spans="1:9" s="2994" customFormat="1" ht="21" customHeight="1" outlineLevel="1">
      <c r="A22" s="517"/>
      <c r="B22" s="516"/>
      <c r="C22" s="971"/>
      <c r="D22" s="1474"/>
      <c r="E22" s="1532"/>
      <c r="F22" s="1472"/>
      <c r="G22" s="1504"/>
      <c r="H22" s="1424"/>
    </row>
    <row r="23" spans="1:9" s="2994" customFormat="1" ht="21" customHeight="1" outlineLevel="1">
      <c r="A23" s="517"/>
      <c r="B23" s="516"/>
      <c r="C23" s="971"/>
      <c r="D23" s="1474"/>
      <c r="E23" s="1532"/>
      <c r="F23" s="1472"/>
      <c r="G23" s="1504"/>
      <c r="H23" s="1424"/>
    </row>
    <row r="24" spans="1:9" s="2994" customFormat="1" ht="21" customHeight="1" outlineLevel="1">
      <c r="A24" s="517"/>
      <c r="B24" s="516"/>
      <c r="C24" s="971"/>
      <c r="D24" s="1474"/>
      <c r="E24" s="1532"/>
      <c r="F24" s="1472"/>
      <c r="G24" s="1504"/>
      <c r="H24" s="1424"/>
    </row>
    <row r="25" spans="1:9" s="2994" customFormat="1" ht="21" customHeight="1" outlineLevel="1">
      <c r="A25" s="3137"/>
      <c r="B25" s="3136"/>
      <c r="C25" s="971"/>
      <c r="D25" s="1474"/>
      <c r="E25" s="1532"/>
      <c r="F25" s="1472"/>
      <c r="G25" s="1504"/>
      <c r="H25" s="1424"/>
    </row>
    <row r="26" spans="1:9" s="2994" customFormat="1" ht="21.95" customHeight="1" outlineLevel="1" thickBot="1">
      <c r="A26" s="3114" t="s">
        <v>366</v>
      </c>
      <c r="B26" s="3114"/>
      <c r="C26" s="1419"/>
      <c r="D26" s="2480">
        <f>SUM(D14)</f>
        <v>1635473.4100000001</v>
      </c>
      <c r="E26" s="2480">
        <f>SUM(E14)</f>
        <v>1021662.5</v>
      </c>
      <c r="F26" s="2480">
        <f>SUM(F14)</f>
        <v>851337.5</v>
      </c>
      <c r="G26" s="2480">
        <f>SUM(G14)</f>
        <v>1873000</v>
      </c>
      <c r="H26" s="2480">
        <f>SUM(H14)</f>
        <v>1889500</v>
      </c>
    </row>
    <row r="27" spans="1:9" ht="20.100000000000001" customHeight="1" outlineLevel="1" thickTop="1"/>
    <row r="28" spans="1:9" ht="19.5" customHeight="1">
      <c r="A28" s="1403" t="s">
        <v>364</v>
      </c>
      <c r="C28" s="3037" t="s">
        <v>363</v>
      </c>
      <c r="E28" s="4742" t="s">
        <v>1779</v>
      </c>
      <c r="F28" s="4742"/>
    </row>
    <row r="29" spans="1:9" ht="18" customHeight="1">
      <c r="C29" s="3037"/>
    </row>
    <row r="30" spans="1:9" ht="18" customHeight="1">
      <c r="A30" s="3036" t="s">
        <v>2268</v>
      </c>
      <c r="C30" s="4760" t="s">
        <v>360</v>
      </c>
      <c r="D30" s="4760"/>
      <c r="E30" s="4741" t="s">
        <v>359</v>
      </c>
      <c r="F30" s="4741"/>
      <c r="G30" s="4741"/>
      <c r="H30" s="4741"/>
    </row>
    <row r="31" spans="1:9" s="1404" customFormat="1">
      <c r="A31" s="1407" t="s">
        <v>2287</v>
      </c>
      <c r="B31" s="1407"/>
      <c r="C31" s="4754" t="s">
        <v>357</v>
      </c>
      <c r="D31" s="4754"/>
      <c r="E31" s="4755" t="s">
        <v>356</v>
      </c>
      <c r="F31" s="4755"/>
      <c r="G31" s="4755"/>
      <c r="H31" s="4755"/>
      <c r="I31" s="2236"/>
    </row>
    <row r="32" spans="1:9" s="1404" customFormat="1">
      <c r="A32" s="4756" t="s">
        <v>2286</v>
      </c>
      <c r="B32" s="4756"/>
      <c r="D32" s="1406"/>
      <c r="E32" s="1406"/>
      <c r="F32" s="1406"/>
      <c r="G32" s="1406"/>
      <c r="H32" s="1406"/>
      <c r="I32" s="2236"/>
    </row>
  </sheetData>
  <mergeCells count="10">
    <mergeCell ref="C31:D31"/>
    <mergeCell ref="E31:H31"/>
    <mergeCell ref="A32:B32"/>
    <mergeCell ref="A4:H4"/>
    <mergeCell ref="A10:B12"/>
    <mergeCell ref="E10:G10"/>
    <mergeCell ref="E28:F28"/>
    <mergeCell ref="C30:D30"/>
    <mergeCell ref="E30:H30"/>
    <mergeCell ref="A5:H5"/>
  </mergeCells>
  <pageMargins left="0.5" right="0" top="1" bottom="0" header="0.5" footer="0"/>
  <pageSetup paperSize="5" orientation="portrait" verticalDpi="3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3"/>
  <sheetViews>
    <sheetView showGridLines="0" showOutlineSymbols="0" topLeftCell="A10" workbookViewId="0">
      <selection activeCell="K16" sqref="K16"/>
    </sheetView>
  </sheetViews>
  <sheetFormatPr defaultColWidth="12.5703125" defaultRowHeight="15.75" outlineLevelRow="1" outlineLevelCol="2"/>
  <cols>
    <col min="1" max="1" width="1.85546875" style="1390" customWidth="1"/>
    <col min="2" max="2" width="30.5703125" style="1390" customWidth="1"/>
    <col min="3" max="3" width="10.28515625" style="1390" customWidth="1"/>
    <col min="4" max="4" width="9.42578125" style="1390" customWidth="1"/>
    <col min="5" max="5" width="13" style="1390" customWidth="1"/>
    <col min="6" max="6" width="13.42578125" style="1390" customWidth="1"/>
    <col min="7" max="7" width="9.85546875" style="1390" customWidth="1"/>
    <col min="8"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9" s="1403" customFormat="1" ht="12.75">
      <c r="A1" s="2527" t="s">
        <v>473</v>
      </c>
      <c r="C1" s="2527"/>
      <c r="E1" s="2527"/>
      <c r="F1" s="2527"/>
      <c r="H1" s="2527"/>
    </row>
    <row r="2" spans="1:9" s="1403" customFormat="1" ht="14.25" customHeight="1">
      <c r="A2" s="2526" t="s">
        <v>584</v>
      </c>
      <c r="C2" s="2526"/>
      <c r="E2" s="2526"/>
      <c r="F2" s="2526"/>
      <c r="H2" s="2526"/>
    </row>
    <row r="3" spans="1:9" s="1403" customFormat="1" ht="14.25" customHeight="1">
      <c r="E3" s="2526"/>
      <c r="F3" s="2526"/>
      <c r="H3" s="2526"/>
    </row>
    <row r="4" spans="1:9" s="1403" customFormat="1" ht="14.25" customHeight="1">
      <c r="A4" s="4741" t="s">
        <v>471</v>
      </c>
      <c r="B4" s="4741"/>
      <c r="C4" s="4741"/>
      <c r="D4" s="4741"/>
      <c r="E4" s="4741"/>
      <c r="F4" s="4741"/>
      <c r="G4" s="4741"/>
      <c r="H4" s="4741"/>
    </row>
    <row r="5" spans="1:9" s="1403" customFormat="1" ht="14.25" customHeight="1">
      <c r="A5" s="4742" t="s">
        <v>470</v>
      </c>
      <c r="B5" s="4742"/>
      <c r="C5" s="4742"/>
      <c r="D5" s="4742"/>
      <c r="E5" s="4742"/>
      <c r="F5" s="4742"/>
      <c r="G5" s="4742"/>
      <c r="H5" s="4742"/>
    </row>
    <row r="6" spans="1:9" s="1403" customFormat="1" ht="14.25" customHeight="1">
      <c r="A6" s="1578"/>
      <c r="B6" s="1578"/>
      <c r="C6" s="1578"/>
      <c r="D6" s="1578"/>
      <c r="E6" s="1578"/>
      <c r="F6" s="1578"/>
      <c r="G6" s="1578"/>
      <c r="H6" s="1578"/>
    </row>
    <row r="7" spans="1:9" s="1403" customFormat="1" ht="14.25" customHeight="1">
      <c r="A7" s="2522" t="s">
        <v>2283</v>
      </c>
    </row>
    <row r="8" spans="1:9" ht="14.25" customHeight="1">
      <c r="A8" s="3135"/>
      <c r="B8" s="3129" t="s">
        <v>2290</v>
      </c>
      <c r="D8" s="1403"/>
      <c r="E8" s="1403"/>
      <c r="F8" s="1403"/>
      <c r="G8" s="1403"/>
      <c r="H8" s="1403"/>
    </row>
    <row r="9" spans="1:9" ht="14.25" customHeight="1">
      <c r="A9" s="3135"/>
      <c r="B9" s="1577"/>
      <c r="D9" s="1403"/>
      <c r="E9" s="1403"/>
      <c r="F9" s="1403"/>
      <c r="G9" s="1403"/>
      <c r="H9" s="1403"/>
    </row>
    <row r="10" spans="1:9" ht="14.25" customHeight="1">
      <c r="A10" s="4934" t="s">
        <v>468</v>
      </c>
      <c r="B10" s="4935"/>
      <c r="C10" s="2607" t="s">
        <v>467</v>
      </c>
      <c r="D10" s="2608" t="s">
        <v>466</v>
      </c>
      <c r="E10" s="4869" t="s">
        <v>465</v>
      </c>
      <c r="F10" s="4870"/>
      <c r="G10" s="4871"/>
      <c r="H10" s="2607" t="s">
        <v>464</v>
      </c>
    </row>
    <row r="11" spans="1:9" ht="14.25" customHeight="1">
      <c r="A11" s="4936"/>
      <c r="B11" s="4937"/>
      <c r="C11" s="2606" t="s">
        <v>463</v>
      </c>
      <c r="D11" s="2517" t="s">
        <v>573</v>
      </c>
      <c r="E11" s="2646" t="s">
        <v>462</v>
      </c>
      <c r="F11" s="2646" t="s">
        <v>461</v>
      </c>
      <c r="G11" s="2517" t="s">
        <v>244</v>
      </c>
      <c r="H11" s="2517" t="s">
        <v>652</v>
      </c>
    </row>
    <row r="12" spans="1:9" ht="14.25" customHeight="1">
      <c r="A12" s="4938"/>
      <c r="B12" s="4939"/>
      <c r="C12" s="2604"/>
      <c r="D12" s="2602" t="s">
        <v>460</v>
      </c>
      <c r="E12" s="2602" t="s">
        <v>460</v>
      </c>
      <c r="F12" s="2602" t="s">
        <v>459</v>
      </c>
      <c r="G12" s="2623"/>
      <c r="H12" s="2602" t="s">
        <v>458</v>
      </c>
    </row>
    <row r="13" spans="1:9" ht="20.100000000000001" customHeight="1">
      <c r="A13" s="3109" t="s">
        <v>456</v>
      </c>
      <c r="B13" s="3134"/>
      <c r="C13" s="2834"/>
      <c r="D13" s="2834"/>
      <c r="E13" s="2834"/>
      <c r="F13" s="3108"/>
      <c r="G13" s="3108"/>
      <c r="H13" s="3108"/>
    </row>
    <row r="14" spans="1:9" ht="20.100000000000001" customHeight="1">
      <c r="A14" s="1436" t="s">
        <v>407</v>
      </c>
      <c r="B14" s="1435"/>
      <c r="C14" s="1513"/>
      <c r="D14" s="2598">
        <f>SUM(D15:D26)</f>
        <v>706904.75</v>
      </c>
      <c r="E14" s="2598">
        <f>SUM(E15:E26)</f>
        <v>252030</v>
      </c>
      <c r="F14" s="2598">
        <f>SUM(F15:F26)</f>
        <v>663970</v>
      </c>
      <c r="G14" s="2598">
        <f>SUM(G15:G26)</f>
        <v>916000</v>
      </c>
      <c r="H14" s="2598">
        <f>SUM(H15:H26)</f>
        <v>1266200</v>
      </c>
      <c r="I14" s="3145"/>
    </row>
    <row r="15" spans="1:9" ht="20.100000000000001" customHeight="1" outlineLevel="1">
      <c r="A15" s="1456" t="s">
        <v>1980</v>
      </c>
      <c r="B15" s="1455"/>
      <c r="C15" s="3144" t="s">
        <v>1979</v>
      </c>
      <c r="D15" s="1474">
        <v>158788</v>
      </c>
      <c r="E15" s="1532">
        <v>0</v>
      </c>
      <c r="F15" s="1472">
        <f>G15-E15</f>
        <v>184560</v>
      </c>
      <c r="G15" s="1490">
        <f>'[20]DISPERSAL &amp; UPGRADING (RELEASE)'!$E$19</f>
        <v>184560</v>
      </c>
      <c r="H15" s="1424">
        <v>200000</v>
      </c>
    </row>
    <row r="16" spans="1:9" ht="20.100000000000001" customHeight="1" outlineLevel="1">
      <c r="A16" s="517" t="s">
        <v>389</v>
      </c>
      <c r="B16" s="516"/>
      <c r="C16" s="971" t="s">
        <v>388</v>
      </c>
      <c r="D16" s="1474">
        <v>488368</v>
      </c>
      <c r="E16" s="1532">
        <v>252030</v>
      </c>
      <c r="F16" s="1472">
        <f>G16-E16</f>
        <v>320410</v>
      </c>
      <c r="G16" s="1490">
        <f>'[20]DISPERSAL &amp; UPGRADING (RELEASE)'!$F$19</f>
        <v>572440</v>
      </c>
      <c r="H16" s="1424">
        <v>907200</v>
      </c>
    </row>
    <row r="17" spans="1:9" ht="20.100000000000001" customHeight="1" outlineLevel="1">
      <c r="A17" s="1736" t="s">
        <v>2113</v>
      </c>
      <c r="B17" s="1735"/>
      <c r="C17" s="978" t="s">
        <v>1898</v>
      </c>
      <c r="D17" s="1474">
        <v>59748.75</v>
      </c>
      <c r="E17" s="1532">
        <v>0</v>
      </c>
      <c r="F17" s="1472">
        <f>G17-E17</f>
        <v>159000</v>
      </c>
      <c r="G17" s="1490">
        <v>159000</v>
      </c>
      <c r="H17" s="1424">
        <v>159000</v>
      </c>
    </row>
    <row r="18" spans="1:9" ht="20.100000000000001" customHeight="1" outlineLevel="1">
      <c r="A18" s="517"/>
      <c r="B18" s="516"/>
      <c r="C18" s="971"/>
      <c r="D18" s="1474"/>
      <c r="E18" s="1532"/>
      <c r="F18" s="1472"/>
      <c r="G18" s="1490"/>
      <c r="H18" s="1424"/>
    </row>
    <row r="19" spans="1:9" s="1395" customFormat="1" ht="20.100000000000001" customHeight="1" outlineLevel="1">
      <c r="A19" s="517"/>
      <c r="B19" s="516"/>
      <c r="C19" s="971"/>
      <c r="D19" s="1474"/>
      <c r="E19" s="1532"/>
      <c r="F19" s="1472"/>
      <c r="G19" s="1504"/>
      <c r="H19" s="1424"/>
    </row>
    <row r="20" spans="1:9" s="1395" customFormat="1" ht="20.100000000000001" customHeight="1" outlineLevel="1">
      <c r="A20" s="1396"/>
      <c r="B20" s="1394"/>
      <c r="C20" s="3143"/>
      <c r="D20" s="1474"/>
      <c r="E20" s="1532"/>
      <c r="F20" s="1472"/>
      <c r="G20" s="1504"/>
      <c r="H20" s="1424"/>
    </row>
    <row r="21" spans="1:9" s="1395" customFormat="1" ht="20.100000000000001" customHeight="1" outlineLevel="1">
      <c r="A21" s="1396"/>
      <c r="B21" s="1394"/>
      <c r="C21" s="3143"/>
      <c r="D21" s="1474"/>
      <c r="E21" s="1532"/>
      <c r="F21" s="1472"/>
      <c r="G21" s="1504"/>
      <c r="H21" s="1424"/>
    </row>
    <row r="22" spans="1:9" s="1395" customFormat="1" ht="20.100000000000001" customHeight="1" outlineLevel="1">
      <c r="A22" s="517"/>
      <c r="B22" s="516"/>
      <c r="C22" s="971"/>
      <c r="D22" s="1474"/>
      <c r="E22" s="1532"/>
      <c r="F22" s="1472"/>
      <c r="G22" s="1504"/>
      <c r="H22" s="1424"/>
    </row>
    <row r="23" spans="1:9" s="1395" customFormat="1" ht="20.100000000000001" customHeight="1" outlineLevel="1">
      <c r="A23" s="517"/>
      <c r="B23" s="516"/>
      <c r="C23" s="971"/>
      <c r="D23" s="1474"/>
      <c r="E23" s="1532"/>
      <c r="F23" s="1472"/>
      <c r="G23" s="1504"/>
      <c r="H23" s="1424"/>
    </row>
    <row r="24" spans="1:9" s="1395" customFormat="1" ht="20.100000000000001" customHeight="1" outlineLevel="1">
      <c r="A24" s="517"/>
      <c r="B24" s="516"/>
      <c r="C24" s="971"/>
      <c r="D24" s="1474"/>
      <c r="E24" s="1532"/>
      <c r="F24" s="1472"/>
      <c r="G24" s="1504"/>
      <c r="H24" s="1424"/>
    </row>
    <row r="25" spans="1:9" s="1395" customFormat="1" ht="20.100000000000001" customHeight="1" outlineLevel="1">
      <c r="A25" s="517"/>
      <c r="B25" s="516"/>
      <c r="C25" s="971"/>
      <c r="D25" s="1474"/>
      <c r="E25" s="1532"/>
      <c r="F25" s="1472"/>
      <c r="G25" s="1504"/>
      <c r="H25" s="1424"/>
    </row>
    <row r="26" spans="1:9" s="1395" customFormat="1" ht="20.100000000000001" customHeight="1" outlineLevel="1">
      <c r="A26" s="508"/>
      <c r="B26" s="3119"/>
      <c r="C26" s="3118"/>
      <c r="D26" s="3117"/>
      <c r="E26" s="3142"/>
      <c r="F26" s="3141"/>
      <c r="G26" s="3140"/>
      <c r="H26" s="1481"/>
    </row>
    <row r="27" spans="1:9" s="1395" customFormat="1" ht="21.95" customHeight="1" outlineLevel="1" thickBot="1">
      <c r="A27" s="3114" t="s">
        <v>366</v>
      </c>
      <c r="B27" s="1420"/>
      <c r="C27" s="1419"/>
      <c r="D27" s="2480">
        <f>D14</f>
        <v>706904.75</v>
      </c>
      <c r="E27" s="2480">
        <f>SUM(E14)</f>
        <v>252030</v>
      </c>
      <c r="F27" s="2480">
        <f>SUM(F14)</f>
        <v>663970</v>
      </c>
      <c r="G27" s="2480">
        <f>SUM(G14)</f>
        <v>916000</v>
      </c>
      <c r="H27" s="2480">
        <f>SUM(H14)</f>
        <v>1266200</v>
      </c>
    </row>
    <row r="28" spans="1:9" ht="20.100000000000001" customHeight="1" outlineLevel="1" thickTop="1"/>
    <row r="29" spans="1:9" s="1403" customFormat="1" ht="19.5" customHeight="1">
      <c r="A29" s="1403" t="s">
        <v>364</v>
      </c>
      <c r="C29" s="3037" t="s">
        <v>363</v>
      </c>
      <c r="E29" s="4742" t="s">
        <v>1779</v>
      </c>
      <c r="F29" s="4742"/>
    </row>
    <row r="30" spans="1:9" s="1403" customFormat="1" ht="18" customHeight="1">
      <c r="C30" s="3037"/>
    </row>
    <row r="31" spans="1:9" s="1403" customFormat="1" ht="18" customHeight="1">
      <c r="A31" s="3036" t="s">
        <v>2268</v>
      </c>
      <c r="C31" s="4760" t="s">
        <v>360</v>
      </c>
      <c r="D31" s="4760"/>
      <c r="E31" s="4741" t="s">
        <v>359</v>
      </c>
      <c r="F31" s="4741"/>
      <c r="G31" s="4741"/>
      <c r="H31" s="4741"/>
    </row>
    <row r="32" spans="1:9" s="1404" customFormat="1" ht="12.75">
      <c r="A32" s="3035" t="s">
        <v>2289</v>
      </c>
      <c r="B32" s="3035"/>
      <c r="C32" s="4754" t="s">
        <v>357</v>
      </c>
      <c r="D32" s="4754"/>
      <c r="E32" s="4755" t="s">
        <v>356</v>
      </c>
      <c r="F32" s="4755"/>
      <c r="G32" s="4755"/>
      <c r="H32" s="4755"/>
      <c r="I32" s="2236"/>
    </row>
    <row r="33" spans="1:9" s="1404" customFormat="1" ht="12.75">
      <c r="A33" s="4756"/>
      <c r="B33" s="4756"/>
      <c r="D33" s="1406"/>
      <c r="E33" s="1406"/>
      <c r="F33" s="1406"/>
      <c r="G33" s="1406"/>
      <c r="H33" s="1406"/>
      <c r="I33" s="2236"/>
    </row>
  </sheetData>
  <mergeCells count="10">
    <mergeCell ref="A4:H4"/>
    <mergeCell ref="A5:H5"/>
    <mergeCell ref="C32:D32"/>
    <mergeCell ref="E32:H32"/>
    <mergeCell ref="A33:B33"/>
    <mergeCell ref="A10:B12"/>
    <mergeCell ref="E10:G10"/>
    <mergeCell ref="E29:F29"/>
    <mergeCell ref="C31:D31"/>
    <mergeCell ref="E31:H31"/>
  </mergeCells>
  <pageMargins left="0.5" right="0" top="0.75" bottom="0" header="0.5" footer="0"/>
  <pageSetup paperSize="5" orientation="portrait" verticalDpi="300"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27"/>
  <sheetViews>
    <sheetView showGridLines="0" showOutlineSymbols="0" workbookViewId="0">
      <selection activeCell="J19" sqref="J19"/>
    </sheetView>
  </sheetViews>
  <sheetFormatPr defaultColWidth="12.5703125" defaultRowHeight="15.75" outlineLevelRow="1" outlineLevelCol="2"/>
  <cols>
    <col min="1" max="1" width="1.85546875" style="1390" customWidth="1"/>
    <col min="2" max="2" width="34" style="1390" customWidth="1"/>
    <col min="3" max="3" width="9.85546875" style="1390" customWidth="1"/>
    <col min="4" max="4" width="11.28515625" style="1390" customWidth="1"/>
    <col min="5"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8" s="1403" customFormat="1" ht="12.75">
      <c r="A1" s="2527" t="s">
        <v>473</v>
      </c>
      <c r="C1" s="2527"/>
      <c r="E1" s="2527"/>
      <c r="F1" s="2527"/>
      <c r="H1" s="2527"/>
    </row>
    <row r="2" spans="1:8" s="1403" customFormat="1" ht="14.25" customHeight="1">
      <c r="A2" s="2526" t="s">
        <v>584</v>
      </c>
      <c r="C2" s="2526"/>
      <c r="E2" s="2526"/>
      <c r="F2" s="2526"/>
      <c r="H2" s="2526"/>
    </row>
    <row r="3" spans="1:8" s="1403" customFormat="1" ht="14.25" customHeight="1">
      <c r="E3" s="2526"/>
      <c r="F3" s="2526"/>
      <c r="H3" s="2526"/>
    </row>
    <row r="4" spans="1:8" s="1403" customFormat="1" ht="14.25" customHeight="1">
      <c r="A4" s="4741" t="s">
        <v>471</v>
      </c>
      <c r="B4" s="4741"/>
      <c r="C4" s="4741"/>
      <c r="D4" s="4741"/>
      <c r="E4" s="4741"/>
      <c r="F4" s="4741"/>
      <c r="G4" s="4741"/>
      <c r="H4" s="4741"/>
    </row>
    <row r="5" spans="1:8" s="1403" customFormat="1" ht="14.25" customHeight="1">
      <c r="A5" s="4742" t="s">
        <v>470</v>
      </c>
      <c r="B5" s="4742"/>
      <c r="C5" s="4742"/>
      <c r="D5" s="4742"/>
      <c r="E5" s="4742"/>
      <c r="F5" s="4742"/>
      <c r="G5" s="4742"/>
      <c r="H5" s="4742"/>
    </row>
    <row r="6" spans="1:8" s="1403" customFormat="1" ht="14.25" customHeight="1">
      <c r="A6" s="1578"/>
      <c r="B6" s="1578"/>
      <c r="C6" s="1578"/>
      <c r="D6" s="1578"/>
      <c r="E6" s="1578"/>
      <c r="F6" s="1578"/>
      <c r="G6" s="1578"/>
      <c r="H6" s="1578"/>
    </row>
    <row r="7" spans="1:8" s="1403" customFormat="1" ht="14.25" customHeight="1">
      <c r="A7" s="2522" t="s">
        <v>2283</v>
      </c>
    </row>
    <row r="8" spans="1:8" ht="14.25" customHeight="1">
      <c r="A8" s="3135"/>
      <c r="B8" s="3129" t="s">
        <v>2291</v>
      </c>
      <c r="D8" s="1403"/>
      <c r="E8" s="1403"/>
      <c r="F8" s="1403"/>
      <c r="G8" s="1403"/>
      <c r="H8" s="1403"/>
    </row>
    <row r="9" spans="1:8" ht="14.25" customHeight="1">
      <c r="A9" s="3135"/>
      <c r="B9" s="1577"/>
      <c r="D9" s="1403"/>
      <c r="E9" s="1403"/>
      <c r="F9" s="1403"/>
      <c r="G9" s="1403"/>
      <c r="H9" s="1403"/>
    </row>
    <row r="10" spans="1:8" ht="14.25" customHeight="1">
      <c r="A10" s="4934" t="s">
        <v>468</v>
      </c>
      <c r="B10" s="4935"/>
      <c r="C10" s="2607" t="s">
        <v>467</v>
      </c>
      <c r="D10" s="2608" t="s">
        <v>466</v>
      </c>
      <c r="E10" s="4869" t="s">
        <v>465</v>
      </c>
      <c r="F10" s="4870"/>
      <c r="G10" s="4871"/>
      <c r="H10" s="2607" t="s">
        <v>464</v>
      </c>
    </row>
    <row r="11" spans="1:8" ht="14.25" customHeight="1">
      <c r="A11" s="4936"/>
      <c r="B11" s="4937"/>
      <c r="C11" s="2606" t="s">
        <v>463</v>
      </c>
      <c r="D11" s="2517" t="s">
        <v>573</v>
      </c>
      <c r="E11" s="2646" t="s">
        <v>462</v>
      </c>
      <c r="F11" s="2646" t="s">
        <v>461</v>
      </c>
      <c r="G11" s="2517" t="s">
        <v>244</v>
      </c>
      <c r="H11" s="2517" t="s">
        <v>652</v>
      </c>
    </row>
    <row r="12" spans="1:8" ht="14.25" customHeight="1">
      <c r="A12" s="4938"/>
      <c r="B12" s="4939"/>
      <c r="C12" s="2604"/>
      <c r="D12" s="2602" t="s">
        <v>460</v>
      </c>
      <c r="E12" s="2602" t="s">
        <v>460</v>
      </c>
      <c r="F12" s="2602" t="s">
        <v>459</v>
      </c>
      <c r="G12" s="2623"/>
      <c r="H12" s="2602" t="s">
        <v>458</v>
      </c>
    </row>
    <row r="13" spans="1:8" ht="20.100000000000001" customHeight="1">
      <c r="A13" s="3109" t="s">
        <v>456</v>
      </c>
      <c r="B13" s="3134"/>
      <c r="C13" s="2834"/>
      <c r="D13" s="2834"/>
      <c r="E13" s="2834"/>
      <c r="F13" s="3108"/>
      <c r="G13" s="3108"/>
      <c r="H13" s="3108"/>
    </row>
    <row r="14" spans="1:8" ht="20.100000000000001" customHeight="1">
      <c r="A14" s="1436" t="s">
        <v>407</v>
      </c>
      <c r="B14" s="1435"/>
      <c r="C14" s="1513"/>
      <c r="D14" s="2598">
        <f>SUM(D15:D17)</f>
        <v>791031.86</v>
      </c>
      <c r="E14" s="2598">
        <f>SUM(E15:E17)</f>
        <v>372450</v>
      </c>
      <c r="F14" s="2598">
        <f>SUM(F15:F17)</f>
        <v>592550</v>
      </c>
      <c r="G14" s="2598">
        <f>SUM(G15:G17)</f>
        <v>965000</v>
      </c>
      <c r="H14" s="2598">
        <f>SUM(H15:H17)</f>
        <v>965000</v>
      </c>
    </row>
    <row r="15" spans="1:8" ht="20.100000000000001" customHeight="1" outlineLevel="1">
      <c r="A15" s="3146" t="s">
        <v>395</v>
      </c>
      <c r="B15" s="1552"/>
      <c r="C15" s="3124" t="s">
        <v>394</v>
      </c>
      <c r="D15" s="1474">
        <v>86655</v>
      </c>
      <c r="E15" s="1532">
        <v>75000</v>
      </c>
      <c r="F15" s="1472">
        <f>SUM(G15-E15)</f>
        <v>84800</v>
      </c>
      <c r="G15" s="1504">
        <v>159800</v>
      </c>
      <c r="H15" s="1424">
        <v>159800</v>
      </c>
    </row>
    <row r="16" spans="1:8" ht="20.100000000000001" customHeight="1" outlineLevel="1">
      <c r="A16" s="517" t="s">
        <v>389</v>
      </c>
      <c r="B16" s="516"/>
      <c r="C16" s="971" t="s">
        <v>388</v>
      </c>
      <c r="D16" s="1474">
        <v>704376.86</v>
      </c>
      <c r="E16" s="1532">
        <v>297450</v>
      </c>
      <c r="F16" s="1472">
        <f>G16-E16</f>
        <v>501750</v>
      </c>
      <c r="G16" s="1504">
        <v>799200</v>
      </c>
      <c r="H16" s="1424">
        <v>799200</v>
      </c>
    </row>
    <row r="17" spans="1:9" s="1395" customFormat="1" ht="20.100000000000001" customHeight="1" outlineLevel="1">
      <c r="A17" s="517" t="s">
        <v>368</v>
      </c>
      <c r="B17" s="516"/>
      <c r="C17" s="971" t="s">
        <v>367</v>
      </c>
      <c r="D17" s="1474">
        <v>0</v>
      </c>
      <c r="E17" s="1532">
        <v>0</v>
      </c>
      <c r="F17" s="1472">
        <f>G17-E17</f>
        <v>6000</v>
      </c>
      <c r="G17" s="1504">
        <v>6000</v>
      </c>
      <c r="H17" s="1424">
        <v>6000</v>
      </c>
    </row>
    <row r="18" spans="1:9" s="1395" customFormat="1" ht="20.100000000000001" customHeight="1" outlineLevel="1">
      <c r="A18" s="517"/>
      <c r="B18" s="516"/>
      <c r="C18" s="971"/>
      <c r="D18" s="1474"/>
      <c r="E18" s="1532"/>
      <c r="F18" s="1472"/>
      <c r="G18" s="1504"/>
      <c r="H18" s="1424"/>
    </row>
    <row r="19" spans="1:9" s="1395" customFormat="1" ht="20.100000000000001" customHeight="1" outlineLevel="1">
      <c r="A19" s="517"/>
      <c r="B19" s="516"/>
      <c r="C19" s="971"/>
      <c r="D19" s="1474"/>
      <c r="E19" s="1532"/>
      <c r="F19" s="1472"/>
      <c r="G19" s="1504"/>
      <c r="H19" s="1424"/>
    </row>
    <row r="20" spans="1:9" s="1395" customFormat="1" ht="20.100000000000001" customHeight="1" outlineLevel="1">
      <c r="A20" s="508"/>
      <c r="B20" s="3119"/>
      <c r="C20" s="3118"/>
      <c r="D20" s="3117"/>
      <c r="E20" s="3142"/>
      <c r="F20" s="3141"/>
      <c r="G20" s="3140"/>
      <c r="H20" s="1481"/>
    </row>
    <row r="21" spans="1:9" s="1395" customFormat="1" ht="21.75" customHeight="1" outlineLevel="1" thickBot="1">
      <c r="A21" s="1421" t="s">
        <v>366</v>
      </c>
      <c r="B21" s="1420"/>
      <c r="C21" s="1419"/>
      <c r="D21" s="2598">
        <f>SUM(D15:D17)</f>
        <v>791031.86</v>
      </c>
      <c r="E21" s="2598">
        <f>SUM(E15:E17)</f>
        <v>372450</v>
      </c>
      <c r="F21" s="2598">
        <f>SUM(F15:F17)</f>
        <v>592550</v>
      </c>
      <c r="G21" s="2598">
        <f>SUM(G15:G17)</f>
        <v>965000</v>
      </c>
      <c r="H21" s="2598">
        <f>SUM(H15:H17)</f>
        <v>965000</v>
      </c>
    </row>
    <row r="22" spans="1:9" ht="20.100000000000001" customHeight="1" outlineLevel="1" thickTop="1"/>
    <row r="23" spans="1:9" s="1403" customFormat="1" ht="19.5" customHeight="1">
      <c r="A23" s="1403" t="s">
        <v>364</v>
      </c>
      <c r="C23" s="3037" t="s">
        <v>363</v>
      </c>
      <c r="E23" s="4742" t="s">
        <v>1779</v>
      </c>
      <c r="F23" s="4742"/>
    </row>
    <row r="24" spans="1:9" s="1403" customFormat="1" ht="18" customHeight="1">
      <c r="C24" s="3037"/>
    </row>
    <row r="25" spans="1:9" s="1403" customFormat="1" ht="18" customHeight="1">
      <c r="A25" s="3036" t="s">
        <v>2268</v>
      </c>
      <c r="C25" s="4760" t="s">
        <v>360</v>
      </c>
      <c r="D25" s="4760"/>
      <c r="E25" s="4741" t="s">
        <v>359</v>
      </c>
      <c r="F25" s="4741"/>
      <c r="G25" s="4741"/>
      <c r="H25" s="4741"/>
    </row>
    <row r="26" spans="1:9" s="1404" customFormat="1" ht="12.75">
      <c r="A26" s="1407" t="s">
        <v>2284</v>
      </c>
      <c r="B26" s="1407"/>
      <c r="C26" s="4754" t="s">
        <v>357</v>
      </c>
      <c r="D26" s="4754"/>
      <c r="E26" s="4755" t="s">
        <v>356</v>
      </c>
      <c r="F26" s="4755"/>
      <c r="G26" s="4755"/>
      <c r="H26" s="4755"/>
      <c r="I26" s="2236"/>
    </row>
    <row r="27" spans="1:9" s="1404" customFormat="1" ht="12.75">
      <c r="A27" s="4756"/>
      <c r="B27" s="4756"/>
      <c r="D27" s="1406"/>
      <c r="E27" s="1406"/>
      <c r="F27" s="1406"/>
      <c r="G27" s="1406"/>
      <c r="H27" s="1406"/>
      <c r="I27" s="2236"/>
    </row>
  </sheetData>
  <mergeCells count="10">
    <mergeCell ref="C26:D26"/>
    <mergeCell ref="E26:H26"/>
    <mergeCell ref="A27:B27"/>
    <mergeCell ref="A4:H4"/>
    <mergeCell ref="A10:B12"/>
    <mergeCell ref="E10:G10"/>
    <mergeCell ref="E23:F23"/>
    <mergeCell ref="C25:D25"/>
    <mergeCell ref="E25:H25"/>
    <mergeCell ref="A5:H5"/>
  </mergeCells>
  <pageMargins left="0.5" right="0" top="0.75" bottom="0" header="0.5" footer="0"/>
  <pageSetup paperSize="5" orientation="portrait" verticalDpi="30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5"/>
  <sheetViews>
    <sheetView showGridLines="0" showOutlineSymbols="0" topLeftCell="A3" workbookViewId="0">
      <selection activeCell="I18" sqref="I18"/>
    </sheetView>
  </sheetViews>
  <sheetFormatPr defaultColWidth="12.5703125" defaultRowHeight="15.75" outlineLevelRow="1" outlineLevelCol="2"/>
  <cols>
    <col min="1" max="1" width="1.85546875" style="1390" customWidth="1"/>
    <col min="2" max="2" width="34" style="1390" customWidth="1"/>
    <col min="3"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8" s="1403" customFormat="1" ht="12.75">
      <c r="A1" s="2527" t="s">
        <v>473</v>
      </c>
      <c r="C1" s="2527"/>
      <c r="E1" s="2527"/>
      <c r="F1" s="2527"/>
      <c r="H1" s="2527"/>
    </row>
    <row r="2" spans="1:8" s="1403" customFormat="1" ht="14.25" customHeight="1">
      <c r="A2" s="2526" t="s">
        <v>584</v>
      </c>
      <c r="C2" s="2526"/>
      <c r="E2" s="2526"/>
      <c r="F2" s="2526"/>
      <c r="H2" s="2526"/>
    </row>
    <row r="3" spans="1:8" s="1403" customFormat="1" ht="14.25" customHeight="1">
      <c r="E3" s="2526"/>
      <c r="F3" s="2526"/>
      <c r="H3" s="2526"/>
    </row>
    <row r="4" spans="1:8" s="1403" customFormat="1" ht="14.25" customHeight="1">
      <c r="A4" s="4741" t="s">
        <v>471</v>
      </c>
      <c r="B4" s="4741"/>
      <c r="C4" s="4741"/>
      <c r="D4" s="4741"/>
      <c r="E4" s="4741"/>
      <c r="F4" s="4741"/>
      <c r="G4" s="4741"/>
      <c r="H4" s="4741"/>
    </row>
    <row r="5" spans="1:8" s="1403" customFormat="1" ht="14.25" customHeight="1">
      <c r="A5" s="4742" t="s">
        <v>470</v>
      </c>
      <c r="B5" s="4742"/>
      <c r="C5" s="4742"/>
      <c r="D5" s="4742"/>
      <c r="E5" s="4742"/>
      <c r="F5" s="4742"/>
      <c r="G5" s="4742"/>
      <c r="H5" s="4742"/>
    </row>
    <row r="6" spans="1:8" s="1403" customFormat="1" ht="14.25" customHeight="1">
      <c r="A6" s="1578"/>
      <c r="B6" s="1578"/>
      <c r="C6" s="1578"/>
      <c r="D6" s="1578"/>
      <c r="E6" s="1578"/>
      <c r="F6" s="1578"/>
      <c r="G6" s="1578"/>
      <c r="H6" s="1578"/>
    </row>
    <row r="7" spans="1:8" s="1403" customFormat="1" ht="14.25" customHeight="1">
      <c r="A7" s="2522" t="s">
        <v>2283</v>
      </c>
    </row>
    <row r="8" spans="1:8" ht="14.25" customHeight="1">
      <c r="A8" s="3135"/>
      <c r="B8" s="3129" t="s">
        <v>2292</v>
      </c>
      <c r="D8" s="1403"/>
      <c r="E8" s="1403"/>
      <c r="F8" s="1403"/>
      <c r="G8" s="1403"/>
      <c r="H8" s="1403"/>
    </row>
    <row r="9" spans="1:8" ht="14.25" customHeight="1">
      <c r="A9" s="3135"/>
      <c r="B9" s="1577"/>
      <c r="D9" s="1403"/>
      <c r="E9" s="1403"/>
      <c r="F9" s="1403"/>
      <c r="G9" s="1403"/>
      <c r="H9" s="1403"/>
    </row>
    <row r="10" spans="1:8" ht="14.25" customHeight="1">
      <c r="A10" s="4934" t="s">
        <v>468</v>
      </c>
      <c r="B10" s="4935"/>
      <c r="C10" s="2607" t="s">
        <v>467</v>
      </c>
      <c r="D10" s="2608" t="s">
        <v>466</v>
      </c>
      <c r="E10" s="4869" t="s">
        <v>465</v>
      </c>
      <c r="F10" s="4870"/>
      <c r="G10" s="4871"/>
      <c r="H10" s="2607" t="s">
        <v>464</v>
      </c>
    </row>
    <row r="11" spans="1:8" ht="14.25" customHeight="1">
      <c r="A11" s="4936"/>
      <c r="B11" s="4937"/>
      <c r="C11" s="2606" t="s">
        <v>463</v>
      </c>
      <c r="D11" s="2517" t="s">
        <v>573</v>
      </c>
      <c r="E11" s="2646" t="s">
        <v>462</v>
      </c>
      <c r="F11" s="2646" t="s">
        <v>461</v>
      </c>
      <c r="G11" s="2517" t="s">
        <v>244</v>
      </c>
      <c r="H11" s="2517" t="s">
        <v>652</v>
      </c>
    </row>
    <row r="12" spans="1:8" ht="14.25" customHeight="1">
      <c r="A12" s="4938"/>
      <c r="B12" s="4939"/>
      <c r="C12" s="2604"/>
      <c r="D12" s="2602" t="s">
        <v>460</v>
      </c>
      <c r="E12" s="2602" t="s">
        <v>460</v>
      </c>
      <c r="F12" s="2602" t="s">
        <v>459</v>
      </c>
      <c r="G12" s="2623"/>
      <c r="H12" s="2602" t="s">
        <v>458</v>
      </c>
    </row>
    <row r="13" spans="1:8" ht="20.100000000000001" customHeight="1">
      <c r="A13" s="3109" t="s">
        <v>456</v>
      </c>
      <c r="B13" s="3134"/>
      <c r="C13" s="2834"/>
      <c r="D13" s="2834"/>
      <c r="E13" s="2834"/>
      <c r="F13" s="3108"/>
      <c r="G13" s="3108"/>
      <c r="H13" s="3108"/>
    </row>
    <row r="14" spans="1:8" ht="20.100000000000001" customHeight="1">
      <c r="A14" s="1436" t="s">
        <v>407</v>
      </c>
      <c r="B14" s="1435"/>
      <c r="C14" s="1513"/>
      <c r="D14" s="2598">
        <f>SUM(D15:D28)</f>
        <v>847680.63</v>
      </c>
      <c r="E14" s="2598">
        <f>SUM(E15:E28)</f>
        <v>384743.19</v>
      </c>
      <c r="F14" s="2598">
        <f>SUM(F15:F28)</f>
        <v>795256.81</v>
      </c>
      <c r="G14" s="2598">
        <f>SUM(G15:G28)</f>
        <v>1180000</v>
      </c>
      <c r="H14" s="2598">
        <f>SUM(H15:H28)</f>
        <v>1180000</v>
      </c>
    </row>
    <row r="15" spans="1:8" ht="20.100000000000001" customHeight="1" outlineLevel="1">
      <c r="A15" s="519" t="s">
        <v>1975</v>
      </c>
      <c r="B15" s="518"/>
      <c r="C15" s="978" t="s">
        <v>1974</v>
      </c>
      <c r="D15" s="1474">
        <v>61164</v>
      </c>
      <c r="E15" s="1532">
        <v>97936</v>
      </c>
      <c r="F15" s="1472">
        <f>G15-E15</f>
        <v>177064</v>
      </c>
      <c r="G15" s="1504">
        <v>275000</v>
      </c>
      <c r="H15" s="1424">
        <v>275000</v>
      </c>
    </row>
    <row r="16" spans="1:8" ht="20.100000000000001" customHeight="1" outlineLevel="1">
      <c r="A16" s="517" t="s">
        <v>389</v>
      </c>
      <c r="B16" s="516"/>
      <c r="C16" s="971" t="s">
        <v>388</v>
      </c>
      <c r="D16" s="1474">
        <v>786516.63</v>
      </c>
      <c r="E16" s="1532">
        <v>286807.19</v>
      </c>
      <c r="F16" s="1472">
        <f>G16-E16</f>
        <v>612952.81000000006</v>
      </c>
      <c r="G16" s="1504">
        <v>899760</v>
      </c>
      <c r="H16" s="1424">
        <v>899760</v>
      </c>
    </row>
    <row r="17" spans="1:8" ht="20.100000000000001" customHeight="1" outlineLevel="1">
      <c r="A17" s="517" t="s">
        <v>368</v>
      </c>
      <c r="B17" s="516"/>
      <c r="C17" s="971" t="s">
        <v>367</v>
      </c>
      <c r="D17" s="1474">
        <v>0</v>
      </c>
      <c r="E17" s="1532">
        <v>0</v>
      </c>
      <c r="F17" s="1472">
        <f>G17-E17</f>
        <v>5240</v>
      </c>
      <c r="G17" s="1504">
        <v>5240</v>
      </c>
      <c r="H17" s="1424">
        <v>5240</v>
      </c>
    </row>
    <row r="18" spans="1:8" s="1395" customFormat="1" ht="20.100000000000001" customHeight="1" outlineLevel="1">
      <c r="A18" s="517"/>
      <c r="B18" s="516"/>
      <c r="C18" s="971"/>
      <c r="D18" s="1474"/>
      <c r="E18" s="1532"/>
      <c r="F18" s="1472"/>
      <c r="G18" s="1504"/>
      <c r="H18" s="1424"/>
    </row>
    <row r="19" spans="1:8" s="1395" customFormat="1" ht="20.100000000000001" customHeight="1" outlineLevel="1">
      <c r="A19" s="517"/>
      <c r="B19" s="516"/>
      <c r="C19" s="971"/>
      <c r="D19" s="1474"/>
      <c r="E19" s="1532"/>
      <c r="F19" s="1472"/>
      <c r="G19" s="1504"/>
      <c r="H19" s="1424"/>
    </row>
    <row r="20" spans="1:8" s="1395" customFormat="1" ht="20.100000000000001" customHeight="1" outlineLevel="1">
      <c r="A20" s="517"/>
      <c r="B20" s="516"/>
      <c r="C20" s="971"/>
      <c r="D20" s="1474"/>
      <c r="E20" s="1532"/>
      <c r="F20" s="1472"/>
      <c r="G20" s="1504"/>
      <c r="H20" s="1424"/>
    </row>
    <row r="21" spans="1:8" s="1395" customFormat="1" ht="20.100000000000001" customHeight="1" outlineLevel="1">
      <c r="A21" s="517"/>
      <c r="B21" s="516"/>
      <c r="C21" s="971"/>
      <c r="D21" s="1474"/>
      <c r="E21" s="1532"/>
      <c r="F21" s="1472"/>
      <c r="G21" s="1504"/>
      <c r="H21" s="1424"/>
    </row>
    <row r="22" spans="1:8" s="1395" customFormat="1" ht="20.100000000000001" customHeight="1" outlineLevel="1">
      <c r="A22" s="517"/>
      <c r="B22" s="516"/>
      <c r="C22" s="971"/>
      <c r="D22" s="1474"/>
      <c r="E22" s="1532"/>
      <c r="F22" s="1472"/>
      <c r="G22" s="1504"/>
      <c r="H22" s="1424"/>
    </row>
    <row r="23" spans="1:8" s="1395" customFormat="1" ht="20.100000000000001" customHeight="1" outlineLevel="1">
      <c r="A23" s="517"/>
      <c r="B23" s="516"/>
      <c r="C23" s="971"/>
      <c r="D23" s="1474"/>
      <c r="E23" s="1532"/>
      <c r="F23" s="1472"/>
      <c r="G23" s="1504"/>
      <c r="H23" s="1424"/>
    </row>
    <row r="24" spans="1:8" s="1395" customFormat="1" ht="20.100000000000001" customHeight="1" outlineLevel="1">
      <c r="A24" s="517"/>
      <c r="B24" s="516"/>
      <c r="C24" s="971"/>
      <c r="D24" s="1474"/>
      <c r="E24" s="1532"/>
      <c r="F24" s="1472"/>
      <c r="G24" s="1504"/>
      <c r="H24" s="1424"/>
    </row>
    <row r="25" spans="1:8" s="1395" customFormat="1" ht="20.100000000000001" customHeight="1" outlineLevel="1">
      <c r="A25" s="517"/>
      <c r="B25" s="516"/>
      <c r="C25" s="971"/>
      <c r="D25" s="1474"/>
      <c r="E25" s="1532"/>
      <c r="F25" s="1472"/>
      <c r="G25" s="1504"/>
      <c r="H25" s="1424"/>
    </row>
    <row r="26" spans="1:8" s="1395" customFormat="1" ht="20.100000000000001" customHeight="1" outlineLevel="1">
      <c r="A26" s="1736"/>
      <c r="B26" s="1735"/>
      <c r="C26" s="978"/>
      <c r="D26" s="1474"/>
      <c r="E26" s="1532"/>
      <c r="F26" s="1472"/>
      <c r="G26" s="1504"/>
      <c r="H26" s="1424"/>
    </row>
    <row r="27" spans="1:8" s="1395" customFormat="1" ht="20.100000000000001" customHeight="1" outlineLevel="1">
      <c r="A27" s="517"/>
      <c r="B27" s="516"/>
      <c r="C27" s="971"/>
      <c r="D27" s="1474"/>
      <c r="E27" s="1532"/>
      <c r="F27" s="1472"/>
      <c r="G27" s="1504"/>
      <c r="H27" s="1424"/>
    </row>
    <row r="28" spans="1:8" s="1395" customFormat="1" ht="20.100000000000001" customHeight="1" outlineLevel="1">
      <c r="A28" s="508"/>
      <c r="B28" s="3119"/>
      <c r="C28" s="3118"/>
      <c r="D28" s="3117"/>
      <c r="E28" s="3142"/>
      <c r="F28" s="3141"/>
      <c r="G28" s="3140"/>
      <c r="H28" s="1481"/>
    </row>
    <row r="29" spans="1:8" s="1395" customFormat="1" ht="21.95" customHeight="1" outlineLevel="1" thickBot="1">
      <c r="A29" s="1421" t="s">
        <v>366</v>
      </c>
      <c r="B29" s="1420"/>
      <c r="C29" s="1419"/>
      <c r="D29" s="2480">
        <f>D14</f>
        <v>847680.63</v>
      </c>
      <c r="E29" s="2480">
        <f>SUM(E14)</f>
        <v>384743.19</v>
      </c>
      <c r="F29" s="2480">
        <f>SUM(F14)</f>
        <v>795256.81</v>
      </c>
      <c r="G29" s="2480">
        <f>SUM(G14)</f>
        <v>1180000</v>
      </c>
      <c r="H29" s="2480">
        <f>SUM(H14)</f>
        <v>1180000</v>
      </c>
    </row>
    <row r="30" spans="1:8" ht="20.100000000000001" customHeight="1" outlineLevel="1" thickTop="1"/>
    <row r="31" spans="1:8" s="1403" customFormat="1" ht="19.5" customHeight="1">
      <c r="A31" s="1403" t="s">
        <v>364</v>
      </c>
      <c r="C31" s="3037" t="s">
        <v>363</v>
      </c>
      <c r="E31" s="4742" t="s">
        <v>1779</v>
      </c>
      <c r="F31" s="4742"/>
    </row>
    <row r="32" spans="1:8" s="1403" customFormat="1" ht="18" customHeight="1">
      <c r="C32" s="3037"/>
    </row>
    <row r="33" spans="1:9" s="1403" customFormat="1" ht="18" customHeight="1">
      <c r="A33" s="3036" t="s">
        <v>2268</v>
      </c>
      <c r="C33" s="4760" t="s">
        <v>360</v>
      </c>
      <c r="D33" s="4760"/>
      <c r="E33" s="4741" t="s">
        <v>359</v>
      </c>
      <c r="F33" s="4741"/>
      <c r="G33" s="4741"/>
      <c r="H33" s="4741"/>
    </row>
    <row r="34" spans="1:9" s="1404" customFormat="1" ht="12.75">
      <c r="A34" s="1407" t="s">
        <v>2284</v>
      </c>
      <c r="B34" s="1407"/>
      <c r="C34" s="4754" t="s">
        <v>357</v>
      </c>
      <c r="D34" s="4754"/>
      <c r="E34" s="4755" t="s">
        <v>356</v>
      </c>
      <c r="F34" s="4755"/>
      <c r="G34" s="4755"/>
      <c r="H34" s="4755"/>
      <c r="I34" s="2236"/>
    </row>
    <row r="35" spans="1:9" s="1404" customFormat="1" ht="12.75">
      <c r="A35" s="4756"/>
      <c r="B35" s="4756"/>
      <c r="D35" s="1406"/>
      <c r="E35" s="1406"/>
      <c r="F35" s="1406"/>
      <c r="G35" s="1406"/>
      <c r="H35" s="1406"/>
      <c r="I35" s="2236"/>
    </row>
  </sheetData>
  <mergeCells count="10">
    <mergeCell ref="C34:D34"/>
    <mergeCell ref="E34:H34"/>
    <mergeCell ref="A35:B35"/>
    <mergeCell ref="A4:H4"/>
    <mergeCell ref="A10:B12"/>
    <mergeCell ref="E10:G10"/>
    <mergeCell ref="E31:F31"/>
    <mergeCell ref="C33:D33"/>
    <mergeCell ref="E33:H33"/>
    <mergeCell ref="A5:H5"/>
  </mergeCells>
  <pageMargins left="0.5" right="0" top="0.75" bottom="0" header="0.5" footer="0"/>
  <pageSetup paperSize="5" orientation="portrait" verticalDpi="300"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5"/>
  <sheetViews>
    <sheetView showGridLines="0" showOutlineSymbols="0" workbookViewId="0">
      <selection activeCell="H18" sqref="H18"/>
    </sheetView>
  </sheetViews>
  <sheetFormatPr defaultColWidth="12.5703125" defaultRowHeight="15.75" outlineLevelRow="1" outlineLevelCol="2"/>
  <cols>
    <col min="1" max="1" width="1.85546875" style="1390" customWidth="1"/>
    <col min="2" max="2" width="35" style="1390" customWidth="1"/>
    <col min="3"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8" s="1403" customFormat="1" ht="12.75">
      <c r="A1" s="2527" t="s">
        <v>473</v>
      </c>
      <c r="C1" s="2527"/>
      <c r="E1" s="2527"/>
      <c r="F1" s="2527"/>
      <c r="H1" s="2527"/>
    </row>
    <row r="2" spans="1:8" s="1403" customFormat="1" ht="14.25" customHeight="1">
      <c r="A2" s="2526" t="s">
        <v>584</v>
      </c>
      <c r="C2" s="2526"/>
      <c r="E2" s="2526"/>
      <c r="F2" s="2526"/>
      <c r="H2" s="2526"/>
    </row>
    <row r="3" spans="1:8" s="1403" customFormat="1" ht="14.25" customHeight="1">
      <c r="E3" s="2526"/>
      <c r="F3" s="2526"/>
      <c r="H3" s="2526"/>
    </row>
    <row r="4" spans="1:8" s="1403" customFormat="1" ht="14.25" customHeight="1">
      <c r="A4" s="4741" t="s">
        <v>471</v>
      </c>
      <c r="B4" s="4741"/>
      <c r="C4" s="4741"/>
      <c r="D4" s="4741"/>
      <c r="E4" s="4741"/>
      <c r="F4" s="4741"/>
      <c r="G4" s="4741"/>
      <c r="H4" s="4741"/>
    </row>
    <row r="5" spans="1:8" s="1403" customFormat="1" ht="14.25" customHeight="1">
      <c r="A5" s="4742" t="s">
        <v>470</v>
      </c>
      <c r="B5" s="4742"/>
      <c r="C5" s="4742"/>
      <c r="D5" s="4742"/>
      <c r="E5" s="4742"/>
      <c r="F5" s="4742"/>
      <c r="G5" s="4742"/>
      <c r="H5" s="4742"/>
    </row>
    <row r="6" spans="1:8" s="1403" customFormat="1" ht="14.25" customHeight="1">
      <c r="A6" s="1578"/>
      <c r="B6" s="1578"/>
      <c r="C6" s="1578"/>
      <c r="D6" s="1578"/>
      <c r="E6" s="1578"/>
      <c r="F6" s="1578"/>
      <c r="G6" s="1578"/>
      <c r="H6" s="1578"/>
    </row>
    <row r="7" spans="1:8" s="1403" customFormat="1" ht="14.25" customHeight="1">
      <c r="A7" s="2522" t="s">
        <v>2283</v>
      </c>
    </row>
    <row r="8" spans="1:8" ht="14.25" customHeight="1">
      <c r="A8" s="3135"/>
      <c r="B8" s="3129" t="s">
        <v>2294</v>
      </c>
      <c r="D8" s="1403"/>
      <c r="E8" s="1403"/>
      <c r="F8" s="1403"/>
      <c r="G8" s="1403"/>
      <c r="H8" s="1403"/>
    </row>
    <row r="9" spans="1:8" ht="14.25" customHeight="1">
      <c r="A9" s="3135"/>
      <c r="B9" s="1577"/>
      <c r="D9" s="1403"/>
      <c r="E9" s="1403"/>
      <c r="F9" s="1403"/>
      <c r="G9" s="1403"/>
      <c r="H9" s="1403"/>
    </row>
    <row r="10" spans="1:8" ht="14.25" customHeight="1">
      <c r="A10" s="4934" t="s">
        <v>468</v>
      </c>
      <c r="B10" s="4935"/>
      <c r="C10" s="2607" t="s">
        <v>467</v>
      </c>
      <c r="D10" s="2608" t="s">
        <v>466</v>
      </c>
      <c r="E10" s="4869" t="s">
        <v>465</v>
      </c>
      <c r="F10" s="4870"/>
      <c r="G10" s="4871"/>
      <c r="H10" s="2607" t="s">
        <v>464</v>
      </c>
    </row>
    <row r="11" spans="1:8" ht="14.25" customHeight="1">
      <c r="A11" s="4936"/>
      <c r="B11" s="4937"/>
      <c r="C11" s="2606" t="s">
        <v>463</v>
      </c>
      <c r="D11" s="2517" t="s">
        <v>573</v>
      </c>
      <c r="E11" s="2646" t="s">
        <v>462</v>
      </c>
      <c r="F11" s="2646" t="s">
        <v>461</v>
      </c>
      <c r="G11" s="2517" t="s">
        <v>244</v>
      </c>
      <c r="H11" s="2517" t="s">
        <v>652</v>
      </c>
    </row>
    <row r="12" spans="1:8" ht="14.25" customHeight="1">
      <c r="A12" s="4938"/>
      <c r="B12" s="4939"/>
      <c r="C12" s="2604"/>
      <c r="D12" s="2602" t="s">
        <v>460</v>
      </c>
      <c r="E12" s="2602" t="s">
        <v>460</v>
      </c>
      <c r="F12" s="2602" t="s">
        <v>459</v>
      </c>
      <c r="G12" s="2623"/>
      <c r="H12" s="2602" t="s">
        <v>458</v>
      </c>
    </row>
    <row r="13" spans="1:8" ht="20.100000000000001" customHeight="1">
      <c r="A13" s="3109" t="s">
        <v>456</v>
      </c>
      <c r="B13" s="3134"/>
      <c r="C13" s="2834"/>
      <c r="D13" s="2834"/>
      <c r="E13" s="2834"/>
      <c r="F13" s="3108"/>
      <c r="G13" s="3108"/>
      <c r="H13" s="3108"/>
    </row>
    <row r="14" spans="1:8" ht="20.100000000000001" customHeight="1">
      <c r="A14" s="1436" t="s">
        <v>407</v>
      </c>
      <c r="B14" s="1435"/>
      <c r="C14" s="1513"/>
      <c r="D14" s="2598">
        <f>SUM(D15:D28)</f>
        <v>1212930.03</v>
      </c>
      <c r="E14" s="2598">
        <f>SUM(E15:E28)</f>
        <v>463307.5</v>
      </c>
      <c r="F14" s="2598">
        <f>SUM(F15:F28)</f>
        <v>856692.5</v>
      </c>
      <c r="G14" s="2598">
        <f>SUM(G15:G28)</f>
        <v>1320000</v>
      </c>
      <c r="H14" s="2598">
        <f>SUM(H15:H28)</f>
        <v>1320000</v>
      </c>
    </row>
    <row r="15" spans="1:8" ht="19.5" customHeight="1" outlineLevel="1">
      <c r="A15" s="519" t="s">
        <v>1975</v>
      </c>
      <c r="B15" s="2144"/>
      <c r="C15" s="2176" t="s">
        <v>1974</v>
      </c>
      <c r="D15" s="1474">
        <v>168933</v>
      </c>
      <c r="E15" s="1532">
        <v>0</v>
      </c>
      <c r="F15" s="3147">
        <f>G15-E15</f>
        <v>200000</v>
      </c>
      <c r="G15" s="1504">
        <v>200000</v>
      </c>
      <c r="H15" s="1424">
        <v>200000</v>
      </c>
    </row>
    <row r="16" spans="1:8" ht="19.5" customHeight="1" outlineLevel="1">
      <c r="A16" s="517" t="s">
        <v>389</v>
      </c>
      <c r="B16" s="516"/>
      <c r="C16" s="2192" t="s">
        <v>388</v>
      </c>
      <c r="D16" s="1474">
        <v>1043997.03</v>
      </c>
      <c r="E16" s="1532">
        <v>463307.5</v>
      </c>
      <c r="F16" s="1472">
        <f>G16-E16</f>
        <v>646932.5</v>
      </c>
      <c r="G16" s="1504">
        <v>1110240</v>
      </c>
      <c r="H16" s="1424">
        <v>1110240</v>
      </c>
    </row>
    <row r="17" spans="1:8" ht="19.5" customHeight="1" outlineLevel="1">
      <c r="A17" s="517" t="s">
        <v>368</v>
      </c>
      <c r="B17" s="516"/>
      <c r="C17" s="2192" t="s">
        <v>367</v>
      </c>
      <c r="D17" s="1474">
        <v>0</v>
      </c>
      <c r="E17" s="1532">
        <v>0</v>
      </c>
      <c r="F17" s="1472">
        <f>G17-E17</f>
        <v>9760</v>
      </c>
      <c r="G17" s="1504">
        <v>9760</v>
      </c>
      <c r="H17" s="1424">
        <v>9760</v>
      </c>
    </row>
    <row r="18" spans="1:8" s="1395" customFormat="1" ht="19.5" customHeight="1" outlineLevel="1">
      <c r="A18" s="517"/>
      <c r="B18" s="516"/>
      <c r="C18" s="2192"/>
      <c r="D18" s="1474"/>
      <c r="E18" s="1532"/>
      <c r="F18" s="1472"/>
      <c r="G18" s="1504"/>
      <c r="H18" s="1424"/>
    </row>
    <row r="19" spans="1:8" s="1395" customFormat="1" ht="19.5" customHeight="1" outlineLevel="1">
      <c r="A19" s="1736"/>
      <c r="B19" s="1735"/>
      <c r="C19" s="2176"/>
      <c r="D19" s="1474"/>
      <c r="E19" s="1532"/>
      <c r="F19" s="1472"/>
      <c r="G19" s="1504"/>
      <c r="H19" s="1424"/>
    </row>
    <row r="20" spans="1:8" s="1395" customFormat="1" ht="19.5" customHeight="1" outlineLevel="1">
      <c r="A20" s="517"/>
      <c r="B20" s="516"/>
      <c r="C20" s="971"/>
      <c r="D20" s="1474"/>
      <c r="E20" s="1532"/>
      <c r="F20" s="1472"/>
      <c r="G20" s="1504"/>
      <c r="H20" s="1424"/>
    </row>
    <row r="21" spans="1:8" s="1395" customFormat="1" ht="19.5" customHeight="1" outlineLevel="1">
      <c r="A21" s="517"/>
      <c r="B21" s="516"/>
      <c r="C21" s="971"/>
      <c r="D21" s="1474"/>
      <c r="E21" s="1532"/>
      <c r="F21" s="1472"/>
      <c r="G21" s="1504"/>
      <c r="H21" s="1424"/>
    </row>
    <row r="22" spans="1:8" s="1395" customFormat="1" ht="19.5" customHeight="1" outlineLevel="1">
      <c r="A22" s="517"/>
      <c r="B22" s="516"/>
      <c r="C22" s="971"/>
      <c r="D22" s="1474"/>
      <c r="E22" s="1532"/>
      <c r="F22" s="1472"/>
      <c r="G22" s="1504"/>
      <c r="H22" s="1424"/>
    </row>
    <row r="23" spans="1:8" s="1395" customFormat="1" ht="19.5" customHeight="1" outlineLevel="1">
      <c r="A23" s="517"/>
      <c r="B23" s="516"/>
      <c r="C23" s="971"/>
      <c r="D23" s="1474"/>
      <c r="E23" s="1532"/>
      <c r="F23" s="1472"/>
      <c r="G23" s="1504"/>
      <c r="H23" s="1424"/>
    </row>
    <row r="24" spans="1:8" s="1395" customFormat="1" ht="19.5" customHeight="1" outlineLevel="1">
      <c r="A24" s="517"/>
      <c r="B24" s="516"/>
      <c r="C24" s="971"/>
      <c r="D24" s="1474"/>
      <c r="E24" s="1532"/>
      <c r="F24" s="1472"/>
      <c r="G24" s="1504"/>
      <c r="H24" s="1424"/>
    </row>
    <row r="25" spans="1:8" s="1395" customFormat="1" ht="19.5" customHeight="1" outlineLevel="1">
      <c r="A25" s="517"/>
      <c r="B25" s="516"/>
      <c r="C25" s="971"/>
      <c r="D25" s="1474"/>
      <c r="E25" s="1532"/>
      <c r="F25" s="1472"/>
      <c r="G25" s="1504"/>
      <c r="H25" s="1424"/>
    </row>
    <row r="26" spans="1:8" s="1395" customFormat="1" ht="19.5" customHeight="1" outlineLevel="1">
      <c r="A26" s="1736"/>
      <c r="B26" s="1735"/>
      <c r="C26" s="978"/>
      <c r="D26" s="1474"/>
      <c r="E26" s="1532"/>
      <c r="F26" s="1472"/>
      <c r="G26" s="1504"/>
      <c r="H26" s="1424"/>
    </row>
    <row r="27" spans="1:8" s="1395" customFormat="1" ht="19.5" customHeight="1" outlineLevel="1">
      <c r="A27" s="517"/>
      <c r="B27" s="516"/>
      <c r="C27" s="971"/>
      <c r="D27" s="1474"/>
      <c r="E27" s="1532"/>
      <c r="F27" s="1472"/>
      <c r="G27" s="1504"/>
      <c r="H27" s="1424"/>
    </row>
    <row r="28" spans="1:8" s="1395" customFormat="1" ht="19.5" customHeight="1" outlineLevel="1">
      <c r="A28" s="508"/>
      <c r="B28" s="3119"/>
      <c r="C28" s="3118"/>
      <c r="D28" s="3117"/>
      <c r="E28" s="3142"/>
      <c r="F28" s="3141"/>
      <c r="G28" s="3140"/>
      <c r="H28" s="1481"/>
    </row>
    <row r="29" spans="1:8" s="1395" customFormat="1" ht="20.100000000000001" customHeight="1" outlineLevel="1" thickBot="1">
      <c r="A29" s="1421" t="s">
        <v>366</v>
      </c>
      <c r="B29" s="1420"/>
      <c r="C29" s="1419"/>
      <c r="D29" s="2480">
        <f>D14</f>
        <v>1212930.03</v>
      </c>
      <c r="E29" s="2480">
        <f>SUM(E14)</f>
        <v>463307.5</v>
      </c>
      <c r="F29" s="2480">
        <f>SUM(F14)</f>
        <v>856692.5</v>
      </c>
      <c r="G29" s="2480">
        <f>SUM(G14)</f>
        <v>1320000</v>
      </c>
      <c r="H29" s="2480">
        <f>SUM(H14)</f>
        <v>1320000</v>
      </c>
    </row>
    <row r="30" spans="1:8" ht="20.100000000000001" customHeight="1" outlineLevel="1" thickTop="1"/>
    <row r="31" spans="1:8" s="1403" customFormat="1" ht="19.5" customHeight="1">
      <c r="A31" s="1403" t="s">
        <v>364</v>
      </c>
      <c r="C31" s="3037" t="s">
        <v>363</v>
      </c>
      <c r="E31" s="4742" t="s">
        <v>1779</v>
      </c>
      <c r="F31" s="4742"/>
    </row>
    <row r="32" spans="1:8" s="1403" customFormat="1" ht="18" customHeight="1">
      <c r="C32" s="3037"/>
    </row>
    <row r="33" spans="1:9" s="1403" customFormat="1" ht="18" customHeight="1">
      <c r="A33" s="3036" t="s">
        <v>2268</v>
      </c>
      <c r="C33" s="4760" t="s">
        <v>360</v>
      </c>
      <c r="D33" s="4760"/>
      <c r="E33" s="4741" t="s">
        <v>359</v>
      </c>
      <c r="F33" s="4741"/>
      <c r="G33" s="4741"/>
      <c r="H33" s="4741"/>
    </row>
    <row r="34" spans="1:9" s="1404" customFormat="1" ht="12.75">
      <c r="A34" s="1407" t="s">
        <v>2293</v>
      </c>
      <c r="B34" s="1407"/>
      <c r="C34" s="4754" t="s">
        <v>357</v>
      </c>
      <c r="D34" s="4754"/>
      <c r="E34" s="4755" t="s">
        <v>356</v>
      </c>
      <c r="F34" s="4755"/>
      <c r="G34" s="4755"/>
      <c r="H34" s="4755"/>
      <c r="I34" s="2236"/>
    </row>
    <row r="35" spans="1:9" s="1404" customFormat="1" ht="12.75">
      <c r="A35" s="4756"/>
      <c r="B35" s="4756"/>
      <c r="D35" s="1406"/>
      <c r="E35" s="1406"/>
      <c r="F35" s="1406"/>
      <c r="G35" s="1406"/>
      <c r="H35" s="1406"/>
      <c r="I35" s="2236"/>
    </row>
  </sheetData>
  <mergeCells count="10">
    <mergeCell ref="A4:H4"/>
    <mergeCell ref="A5:H5"/>
    <mergeCell ref="C34:D34"/>
    <mergeCell ref="E34:H34"/>
    <mergeCell ref="A35:B35"/>
    <mergeCell ref="A10:B12"/>
    <mergeCell ref="E10:G10"/>
    <mergeCell ref="E31:F31"/>
    <mergeCell ref="C33:D33"/>
    <mergeCell ref="E33:H33"/>
  </mergeCells>
  <pageMargins left="0.5" right="0" top="0.75" bottom="0" header="0.5" footer="0"/>
  <pageSetup paperSize="5" orientation="portrait" verticalDpi="30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6"/>
  <sheetViews>
    <sheetView showGridLines="0" showOutlineSymbols="0" workbookViewId="0">
      <selection activeCell="J11" sqref="J11"/>
    </sheetView>
  </sheetViews>
  <sheetFormatPr defaultColWidth="12.5703125" defaultRowHeight="15.75" outlineLevelRow="1" outlineLevelCol="2"/>
  <cols>
    <col min="1" max="1" width="1.85546875" style="1390" customWidth="1"/>
    <col min="2" max="2" width="34" style="1390" customWidth="1"/>
    <col min="3"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8" s="1403" customFormat="1" ht="12.75">
      <c r="A1" s="2527" t="s">
        <v>473</v>
      </c>
      <c r="C1" s="2527"/>
      <c r="E1" s="2527"/>
      <c r="F1" s="2527"/>
      <c r="H1" s="2527"/>
    </row>
    <row r="2" spans="1:8" s="1403" customFormat="1" ht="14.25" customHeight="1">
      <c r="A2" s="2526" t="s">
        <v>584</v>
      </c>
      <c r="C2" s="2526"/>
      <c r="E2" s="2526"/>
      <c r="F2" s="2526"/>
      <c r="H2" s="2526"/>
    </row>
    <row r="3" spans="1:8" s="1403" customFormat="1" ht="14.25" customHeight="1">
      <c r="E3" s="2526"/>
      <c r="F3" s="2526"/>
      <c r="H3" s="2526"/>
    </row>
    <row r="4" spans="1:8" s="1403" customFormat="1" ht="14.25" customHeight="1">
      <c r="A4" s="4741" t="s">
        <v>471</v>
      </c>
      <c r="B4" s="4741"/>
      <c r="C4" s="4741"/>
      <c r="D4" s="4741"/>
      <c r="E4" s="4741"/>
      <c r="F4" s="4741"/>
      <c r="G4" s="4741"/>
      <c r="H4" s="4741"/>
    </row>
    <row r="5" spans="1:8" s="1403" customFormat="1" ht="14.25" customHeight="1">
      <c r="A5" s="4742" t="s">
        <v>470</v>
      </c>
      <c r="B5" s="4742"/>
      <c r="C5" s="4742"/>
      <c r="D5" s="4742"/>
      <c r="E5" s="4742"/>
      <c r="F5" s="4742"/>
      <c r="G5" s="4742"/>
      <c r="H5" s="4742"/>
    </row>
    <row r="6" spans="1:8" s="1403" customFormat="1" ht="14.25" customHeight="1">
      <c r="A6" s="1578"/>
      <c r="B6" s="1578"/>
      <c r="C6" s="1578"/>
      <c r="D6" s="1578"/>
      <c r="E6" s="1578"/>
      <c r="F6" s="1578"/>
      <c r="G6" s="1578"/>
      <c r="H6" s="1578"/>
    </row>
    <row r="7" spans="1:8" s="1403" customFormat="1" ht="14.25" customHeight="1">
      <c r="A7" s="2522" t="s">
        <v>2283</v>
      </c>
    </row>
    <row r="8" spans="1:8" ht="14.25" customHeight="1">
      <c r="A8" s="3135"/>
      <c r="B8" s="3129" t="s">
        <v>2295</v>
      </c>
      <c r="D8" s="1403"/>
      <c r="E8" s="1403"/>
      <c r="F8" s="1403"/>
      <c r="G8" s="1403"/>
      <c r="H8" s="1403"/>
    </row>
    <row r="9" spans="1:8" ht="14.25" customHeight="1">
      <c r="A9" s="3135"/>
      <c r="B9" s="1577"/>
      <c r="D9" s="1403"/>
      <c r="E9" s="1403"/>
      <c r="F9" s="1403"/>
      <c r="G9" s="1403"/>
      <c r="H9" s="1403"/>
    </row>
    <row r="10" spans="1:8" ht="14.25" customHeight="1">
      <c r="A10" s="4934" t="s">
        <v>468</v>
      </c>
      <c r="B10" s="4935"/>
      <c r="C10" s="2607" t="s">
        <v>467</v>
      </c>
      <c r="D10" s="2608" t="s">
        <v>466</v>
      </c>
      <c r="E10" s="4869" t="s">
        <v>465</v>
      </c>
      <c r="F10" s="4870"/>
      <c r="G10" s="4871"/>
      <c r="H10" s="2607" t="s">
        <v>464</v>
      </c>
    </row>
    <row r="11" spans="1:8" ht="14.25" customHeight="1">
      <c r="A11" s="4936"/>
      <c r="B11" s="4937"/>
      <c r="C11" s="2606" t="s">
        <v>463</v>
      </c>
      <c r="D11" s="2517" t="s">
        <v>573</v>
      </c>
      <c r="E11" s="2646" t="s">
        <v>462</v>
      </c>
      <c r="F11" s="2646" t="s">
        <v>461</v>
      </c>
      <c r="G11" s="2517" t="s">
        <v>244</v>
      </c>
      <c r="H11" s="2517">
        <v>2022</v>
      </c>
    </row>
    <row r="12" spans="1:8" ht="14.25" customHeight="1">
      <c r="A12" s="4938"/>
      <c r="B12" s="4939"/>
      <c r="C12" s="2604"/>
      <c r="D12" s="2602" t="s">
        <v>460</v>
      </c>
      <c r="E12" s="2602" t="s">
        <v>460</v>
      </c>
      <c r="F12" s="2602" t="s">
        <v>459</v>
      </c>
      <c r="G12" s="2623"/>
      <c r="H12" s="2602" t="s">
        <v>458</v>
      </c>
    </row>
    <row r="13" spans="1:8" ht="20.100000000000001" customHeight="1">
      <c r="A13" s="3109" t="s">
        <v>456</v>
      </c>
      <c r="B13" s="3134"/>
      <c r="C13" s="2834"/>
      <c r="D13" s="2834"/>
      <c r="E13" s="2834"/>
      <c r="F13" s="3108"/>
      <c r="G13" s="3108"/>
      <c r="H13" s="3108"/>
    </row>
    <row r="14" spans="1:8" ht="20.100000000000001" customHeight="1">
      <c r="A14" s="1436" t="s">
        <v>407</v>
      </c>
      <c r="B14" s="1435"/>
      <c r="C14" s="1513"/>
      <c r="D14" s="2598">
        <f>SUM(D15:D29)</f>
        <v>652771.24</v>
      </c>
      <c r="E14" s="2598">
        <f>SUM(E15:E29)</f>
        <v>285745</v>
      </c>
      <c r="F14" s="2598">
        <f>SUM(F15:F29)</f>
        <v>489255</v>
      </c>
      <c r="G14" s="2598">
        <f>SUM(G15:G29)</f>
        <v>775000</v>
      </c>
      <c r="H14" s="2598">
        <f>SUM(H15:H29)</f>
        <v>775000</v>
      </c>
    </row>
    <row r="15" spans="1:8" ht="19.5" customHeight="1" outlineLevel="1">
      <c r="A15" s="519" t="s">
        <v>1975</v>
      </c>
      <c r="B15" s="2144"/>
      <c r="C15" s="2176" t="s">
        <v>1974</v>
      </c>
      <c r="D15" s="1474">
        <v>162225</v>
      </c>
      <c r="E15" s="1532">
        <v>71360</v>
      </c>
      <c r="F15" s="1472">
        <f>G15-E15</f>
        <v>115680</v>
      </c>
      <c r="G15" s="1504">
        <v>187040</v>
      </c>
      <c r="H15" s="1424">
        <v>187040</v>
      </c>
    </row>
    <row r="16" spans="1:8" ht="19.5" customHeight="1" outlineLevel="1">
      <c r="A16" s="3146" t="s">
        <v>395</v>
      </c>
      <c r="B16" s="1552"/>
      <c r="C16" s="3124" t="s">
        <v>394</v>
      </c>
      <c r="D16" s="1474">
        <v>47980</v>
      </c>
      <c r="E16" s="1532">
        <v>0</v>
      </c>
      <c r="F16" s="1472">
        <f>G16-E16</f>
        <v>80160</v>
      </c>
      <c r="G16" s="1504">
        <v>80160</v>
      </c>
      <c r="H16" s="1424">
        <v>80160</v>
      </c>
    </row>
    <row r="17" spans="1:8" ht="19.5" customHeight="1" outlineLevel="1">
      <c r="A17" s="517" t="s">
        <v>389</v>
      </c>
      <c r="B17" s="516"/>
      <c r="C17" s="2192" t="s">
        <v>388</v>
      </c>
      <c r="D17" s="1474">
        <v>442566.24</v>
      </c>
      <c r="E17" s="1532">
        <v>211425</v>
      </c>
      <c r="F17" s="1472">
        <f>G17-E17</f>
        <v>288575</v>
      </c>
      <c r="G17" s="1504">
        <v>500000</v>
      </c>
      <c r="H17" s="1424">
        <v>500000</v>
      </c>
    </row>
    <row r="18" spans="1:8" s="1395" customFormat="1" ht="19.5" customHeight="1" outlineLevel="1">
      <c r="A18" s="517" t="s">
        <v>368</v>
      </c>
      <c r="B18" s="516"/>
      <c r="C18" s="2192" t="s">
        <v>367</v>
      </c>
      <c r="D18" s="1474">
        <v>0</v>
      </c>
      <c r="E18" s="1532">
        <v>2960</v>
      </c>
      <c r="F18" s="1472">
        <f>G18-E18</f>
        <v>4840</v>
      </c>
      <c r="G18" s="1504">
        <v>7800</v>
      </c>
      <c r="H18" s="1424">
        <v>7800</v>
      </c>
    </row>
    <row r="19" spans="1:8" s="1395" customFormat="1" ht="19.5" customHeight="1" outlineLevel="1">
      <c r="A19" s="1396"/>
      <c r="B19" s="1394"/>
      <c r="C19" s="3143"/>
      <c r="D19" s="1474"/>
      <c r="E19" s="1532"/>
      <c r="F19" s="1472"/>
      <c r="G19" s="1504"/>
      <c r="H19" s="1424"/>
    </row>
    <row r="20" spans="1:8" s="1395" customFormat="1" ht="19.5" customHeight="1" outlineLevel="1">
      <c r="A20" s="517"/>
      <c r="B20" s="516"/>
      <c r="C20" s="971"/>
      <c r="D20" s="1474"/>
      <c r="E20" s="1532"/>
      <c r="F20" s="1472"/>
      <c r="G20" s="1504"/>
      <c r="H20" s="1424"/>
    </row>
    <row r="21" spans="1:8" s="1395" customFormat="1" ht="19.5" customHeight="1" outlineLevel="1">
      <c r="A21" s="517"/>
      <c r="B21" s="516"/>
      <c r="C21" s="971"/>
      <c r="D21" s="1474"/>
      <c r="E21" s="1532"/>
      <c r="F21" s="1472"/>
      <c r="G21" s="1504"/>
      <c r="H21" s="1424"/>
    </row>
    <row r="22" spans="1:8" s="1395" customFormat="1" ht="19.5" customHeight="1" outlineLevel="1">
      <c r="A22" s="517"/>
      <c r="B22" s="516"/>
      <c r="C22" s="971"/>
      <c r="D22" s="1474"/>
      <c r="E22" s="1532"/>
      <c r="F22" s="1472"/>
      <c r="G22" s="1504"/>
      <c r="H22" s="1424"/>
    </row>
    <row r="23" spans="1:8" s="1395" customFormat="1" ht="19.5" customHeight="1" outlineLevel="1">
      <c r="A23" s="517"/>
      <c r="B23" s="516"/>
      <c r="C23" s="971"/>
      <c r="D23" s="1474"/>
      <c r="E23" s="1532"/>
      <c r="F23" s="1472"/>
      <c r="G23" s="1504"/>
      <c r="H23" s="1424"/>
    </row>
    <row r="24" spans="1:8" s="1395" customFormat="1" ht="19.5" customHeight="1" outlineLevel="1">
      <c r="A24" s="517"/>
      <c r="B24" s="516"/>
      <c r="C24" s="971"/>
      <c r="D24" s="1474"/>
      <c r="E24" s="1532"/>
      <c r="F24" s="1472"/>
      <c r="G24" s="1504"/>
      <c r="H24" s="1424"/>
    </row>
    <row r="25" spans="1:8" s="1395" customFormat="1" ht="19.5" customHeight="1" outlineLevel="1">
      <c r="A25" s="517"/>
      <c r="B25" s="516"/>
      <c r="C25" s="971"/>
      <c r="D25" s="1474"/>
      <c r="E25" s="1532"/>
      <c r="F25" s="1472"/>
      <c r="G25" s="1504"/>
      <c r="H25" s="1424"/>
    </row>
    <row r="26" spans="1:8" s="1395" customFormat="1" ht="19.5" customHeight="1" outlineLevel="1">
      <c r="A26" s="517"/>
      <c r="B26" s="516"/>
      <c r="C26" s="971"/>
      <c r="D26" s="1474"/>
      <c r="E26" s="1532"/>
      <c r="F26" s="1472"/>
      <c r="G26" s="1504"/>
      <c r="H26" s="1424"/>
    </row>
    <row r="27" spans="1:8" s="1395" customFormat="1" ht="19.5" customHeight="1" outlineLevel="1">
      <c r="A27" s="1736"/>
      <c r="B27" s="1735"/>
      <c r="C27" s="978"/>
      <c r="D27" s="1474"/>
      <c r="E27" s="1532"/>
      <c r="F27" s="1472"/>
      <c r="G27" s="1504"/>
      <c r="H27" s="1424"/>
    </row>
    <row r="28" spans="1:8" s="1395" customFormat="1" ht="19.5" customHeight="1" outlineLevel="1">
      <c r="A28" s="517"/>
      <c r="B28" s="516"/>
      <c r="C28" s="971"/>
      <c r="D28" s="1474"/>
      <c r="E28" s="1532"/>
      <c r="F28" s="1472"/>
      <c r="G28" s="1504"/>
      <c r="H28" s="1424"/>
    </row>
    <row r="29" spans="1:8" s="1395" customFormat="1" ht="19.5" customHeight="1" outlineLevel="1">
      <c r="A29" s="508"/>
      <c r="B29" s="3119"/>
      <c r="C29" s="3118"/>
      <c r="D29" s="3117"/>
      <c r="E29" s="3142"/>
      <c r="F29" s="3141"/>
      <c r="G29" s="3140"/>
      <c r="H29" s="1481"/>
    </row>
    <row r="30" spans="1:8" s="1395" customFormat="1" ht="21" customHeight="1" outlineLevel="1" thickBot="1">
      <c r="A30" s="1421" t="s">
        <v>366</v>
      </c>
      <c r="B30" s="1420"/>
      <c r="C30" s="1419"/>
      <c r="D30" s="2480">
        <f>SUM(D14)</f>
        <v>652771.24</v>
      </c>
      <c r="E30" s="2480">
        <f>SUM(E14)</f>
        <v>285745</v>
      </c>
      <c r="F30" s="2480">
        <f>SUM(F14)</f>
        <v>489255</v>
      </c>
      <c r="G30" s="2480">
        <f>SUM(G14)</f>
        <v>775000</v>
      </c>
      <c r="H30" s="2480">
        <f>SUM(H14)</f>
        <v>775000</v>
      </c>
    </row>
    <row r="31" spans="1:8" ht="20.100000000000001" customHeight="1" outlineLevel="1" thickTop="1"/>
    <row r="32" spans="1:8" s="1403" customFormat="1" ht="19.5" customHeight="1">
      <c r="A32" s="1403" t="s">
        <v>364</v>
      </c>
      <c r="C32" s="3037" t="s">
        <v>363</v>
      </c>
      <c r="E32" s="4742" t="s">
        <v>1779</v>
      </c>
      <c r="F32" s="4742"/>
    </row>
    <row r="33" spans="1:9" s="1403" customFormat="1" ht="18" customHeight="1">
      <c r="C33" s="3037"/>
    </row>
    <row r="34" spans="1:9" s="1403" customFormat="1" ht="18" customHeight="1">
      <c r="A34" s="3036" t="s">
        <v>2268</v>
      </c>
      <c r="C34" s="4760" t="s">
        <v>360</v>
      </c>
      <c r="D34" s="4760"/>
      <c r="E34" s="4741" t="s">
        <v>359</v>
      </c>
      <c r="F34" s="4741"/>
      <c r="G34" s="4741"/>
      <c r="H34" s="4741"/>
    </row>
    <row r="35" spans="1:9" s="1404" customFormat="1" ht="12.75">
      <c r="A35" s="1407" t="s">
        <v>2287</v>
      </c>
      <c r="B35" s="1407"/>
      <c r="C35" s="4754" t="s">
        <v>357</v>
      </c>
      <c r="D35" s="4754"/>
      <c r="E35" s="4755" t="s">
        <v>356</v>
      </c>
      <c r="F35" s="4755"/>
      <c r="G35" s="4755"/>
      <c r="H35" s="4755"/>
      <c r="I35" s="2236"/>
    </row>
    <row r="36" spans="1:9" s="1404" customFormat="1" ht="12.75">
      <c r="A36" s="4756"/>
      <c r="B36" s="4756"/>
      <c r="D36" s="1406"/>
      <c r="E36" s="1406"/>
      <c r="F36" s="1406"/>
      <c r="G36" s="1406"/>
      <c r="H36" s="1406"/>
      <c r="I36" s="2236"/>
    </row>
  </sheetData>
  <mergeCells count="10">
    <mergeCell ref="C35:D35"/>
    <mergeCell ref="E35:H35"/>
    <mergeCell ref="A36:B36"/>
    <mergeCell ref="A4:H4"/>
    <mergeCell ref="A10:B12"/>
    <mergeCell ref="E10:G10"/>
    <mergeCell ref="E32:F32"/>
    <mergeCell ref="C34:D34"/>
    <mergeCell ref="E34:H34"/>
    <mergeCell ref="A5:H5"/>
  </mergeCells>
  <pageMargins left="0.5" right="0" top="0.75" bottom="0" header="0.5" footer="0"/>
  <pageSetup paperSize="5" orientation="portrait" verticalDpi="3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5"/>
  <sheetViews>
    <sheetView showGridLines="0" showOutlineSymbols="0" topLeftCell="A4" workbookViewId="0">
      <selection activeCell="K18" sqref="K18"/>
    </sheetView>
  </sheetViews>
  <sheetFormatPr defaultColWidth="12.5703125" defaultRowHeight="15.75" outlineLevelRow="1" outlineLevelCol="2"/>
  <cols>
    <col min="1" max="1" width="1.85546875" style="1390" customWidth="1"/>
    <col min="2" max="2" width="35" style="1390" customWidth="1"/>
    <col min="3"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8" s="1403" customFormat="1" ht="12.75">
      <c r="A1" s="2527" t="s">
        <v>473</v>
      </c>
      <c r="C1" s="2527"/>
      <c r="E1" s="2527"/>
      <c r="F1" s="2527"/>
      <c r="H1" s="2527"/>
    </row>
    <row r="2" spans="1:8" s="1403" customFormat="1" ht="14.25" customHeight="1">
      <c r="A2" s="2526" t="s">
        <v>584</v>
      </c>
      <c r="C2" s="2526"/>
      <c r="E2" s="2526"/>
      <c r="F2" s="2526"/>
      <c r="H2" s="2526"/>
    </row>
    <row r="3" spans="1:8" s="1403" customFormat="1" ht="14.25" customHeight="1">
      <c r="E3" s="2526"/>
      <c r="F3" s="2526"/>
      <c r="H3" s="2526"/>
    </row>
    <row r="4" spans="1:8" s="1403" customFormat="1" ht="14.25" customHeight="1">
      <c r="A4" s="4741" t="s">
        <v>471</v>
      </c>
      <c r="B4" s="4741"/>
      <c r="C4" s="4741"/>
      <c r="D4" s="4741"/>
      <c r="E4" s="4741"/>
      <c r="F4" s="4741"/>
      <c r="G4" s="4741"/>
      <c r="H4" s="4741"/>
    </row>
    <row r="5" spans="1:8" s="1403" customFormat="1" ht="14.25" customHeight="1">
      <c r="A5" s="4742" t="s">
        <v>470</v>
      </c>
      <c r="B5" s="4742"/>
      <c r="C5" s="4742"/>
      <c r="D5" s="4742"/>
      <c r="E5" s="4742"/>
      <c r="F5" s="4742"/>
      <c r="G5" s="4742"/>
      <c r="H5" s="4742"/>
    </row>
    <row r="6" spans="1:8" s="1403" customFormat="1" ht="14.25" customHeight="1">
      <c r="A6" s="1578"/>
      <c r="B6" s="1578"/>
      <c r="C6" s="1578"/>
      <c r="D6" s="1578"/>
      <c r="E6" s="1578"/>
      <c r="F6" s="1578"/>
      <c r="G6" s="1578"/>
      <c r="H6" s="1578"/>
    </row>
    <row r="7" spans="1:8" s="1403" customFormat="1" ht="14.25" customHeight="1">
      <c r="A7" s="2522" t="s">
        <v>2283</v>
      </c>
    </row>
    <row r="8" spans="1:8" ht="14.25" customHeight="1">
      <c r="A8" s="3135"/>
      <c r="B8" s="3129" t="s">
        <v>2296</v>
      </c>
      <c r="D8" s="1403"/>
      <c r="E8" s="1403"/>
      <c r="F8" s="1403"/>
      <c r="G8" s="1403"/>
      <c r="H8" s="1403"/>
    </row>
    <row r="9" spans="1:8" ht="14.25" customHeight="1">
      <c r="A9" s="3135"/>
      <c r="B9" s="1577"/>
      <c r="D9" s="1403"/>
      <c r="E9" s="1403"/>
      <c r="F9" s="1403"/>
      <c r="G9" s="1403"/>
      <c r="H9" s="1403"/>
    </row>
    <row r="10" spans="1:8" ht="14.25" customHeight="1">
      <c r="A10" s="4934" t="s">
        <v>468</v>
      </c>
      <c r="B10" s="4935"/>
      <c r="C10" s="2607" t="s">
        <v>467</v>
      </c>
      <c r="D10" s="2608" t="s">
        <v>466</v>
      </c>
      <c r="E10" s="4869" t="s">
        <v>465</v>
      </c>
      <c r="F10" s="4870"/>
      <c r="G10" s="4871"/>
      <c r="H10" s="2607" t="s">
        <v>464</v>
      </c>
    </row>
    <row r="11" spans="1:8" ht="14.25" customHeight="1">
      <c r="A11" s="4936"/>
      <c r="B11" s="4937"/>
      <c r="C11" s="2606" t="s">
        <v>463</v>
      </c>
      <c r="D11" s="2517" t="s">
        <v>573</v>
      </c>
      <c r="E11" s="2646" t="s">
        <v>462</v>
      </c>
      <c r="F11" s="2646" t="s">
        <v>461</v>
      </c>
      <c r="G11" s="2517" t="s">
        <v>244</v>
      </c>
      <c r="H11" s="2517" t="s">
        <v>652</v>
      </c>
    </row>
    <row r="12" spans="1:8" ht="14.25" customHeight="1">
      <c r="A12" s="4938"/>
      <c r="B12" s="4939"/>
      <c r="C12" s="2604"/>
      <c r="D12" s="2602" t="s">
        <v>460</v>
      </c>
      <c r="E12" s="2602" t="s">
        <v>460</v>
      </c>
      <c r="F12" s="2602" t="s">
        <v>459</v>
      </c>
      <c r="G12" s="2623"/>
      <c r="H12" s="2602" t="s">
        <v>458</v>
      </c>
    </row>
    <row r="13" spans="1:8" ht="20.100000000000001" customHeight="1">
      <c r="A13" s="3109" t="s">
        <v>456</v>
      </c>
      <c r="B13" s="3134"/>
      <c r="C13" s="2834"/>
      <c r="D13" s="2834"/>
      <c r="E13" s="2834"/>
      <c r="F13" s="3108"/>
      <c r="G13" s="3108"/>
      <c r="H13" s="3108"/>
    </row>
    <row r="14" spans="1:8" ht="20.100000000000001" customHeight="1">
      <c r="A14" s="1436" t="s">
        <v>407</v>
      </c>
      <c r="B14" s="1435"/>
      <c r="C14" s="1513"/>
      <c r="D14" s="2598">
        <f>SUM(D15:D28)</f>
        <v>1981799.26</v>
      </c>
      <c r="E14" s="2598">
        <f>SUM(E15:E28)</f>
        <v>925863.75</v>
      </c>
      <c r="F14" s="2598">
        <f>SUM(F15:F28)</f>
        <v>1094136.25</v>
      </c>
      <c r="G14" s="2598">
        <f>SUM(G15:G28)</f>
        <v>2020000</v>
      </c>
      <c r="H14" s="2598">
        <f>SUM(H15:H28)</f>
        <v>2020000</v>
      </c>
    </row>
    <row r="15" spans="1:8" ht="19.5" customHeight="1" outlineLevel="1">
      <c r="A15" s="519" t="s">
        <v>1975</v>
      </c>
      <c r="B15" s="2144"/>
      <c r="C15" s="2176" t="s">
        <v>1974</v>
      </c>
      <c r="D15" s="1474">
        <v>45000</v>
      </c>
      <c r="E15" s="1532">
        <v>0</v>
      </c>
      <c r="F15" s="1472">
        <f>SUM(G15-E15)</f>
        <v>46400</v>
      </c>
      <c r="G15" s="1504">
        <v>46400</v>
      </c>
      <c r="H15" s="1424">
        <v>46400</v>
      </c>
    </row>
    <row r="16" spans="1:8" ht="19.5" customHeight="1" outlineLevel="1">
      <c r="A16" s="517" t="s">
        <v>389</v>
      </c>
      <c r="B16" s="516"/>
      <c r="C16" s="2192" t="s">
        <v>388</v>
      </c>
      <c r="D16" s="1474">
        <v>1933871.46</v>
      </c>
      <c r="E16" s="1532">
        <v>925863.75</v>
      </c>
      <c r="F16" s="1472">
        <f>G16-E16</f>
        <v>1043336.25</v>
      </c>
      <c r="G16" s="1504">
        <v>1969200</v>
      </c>
      <c r="H16" s="1424">
        <f>G16</f>
        <v>1969200</v>
      </c>
    </row>
    <row r="17" spans="1:8" ht="19.5" customHeight="1" outlineLevel="1">
      <c r="A17" s="517" t="s">
        <v>368</v>
      </c>
      <c r="B17" s="516"/>
      <c r="C17" s="2192" t="s">
        <v>367</v>
      </c>
      <c r="D17" s="1474">
        <v>2927.8</v>
      </c>
      <c r="E17" s="1532">
        <v>0</v>
      </c>
      <c r="F17" s="1472">
        <f>SUM(G17-E17)</f>
        <v>4400</v>
      </c>
      <c r="G17" s="1504">
        <v>4400</v>
      </c>
      <c r="H17" s="1424">
        <v>4400</v>
      </c>
    </row>
    <row r="18" spans="1:8" s="1395" customFormat="1" ht="19.5" customHeight="1" outlineLevel="1">
      <c r="A18" s="517"/>
      <c r="B18" s="516"/>
      <c r="C18" s="2192"/>
      <c r="D18" s="1474"/>
      <c r="E18" s="1532"/>
      <c r="F18" s="1472"/>
      <c r="G18" s="1504"/>
      <c r="H18" s="1424"/>
    </row>
    <row r="19" spans="1:8" s="1395" customFormat="1" ht="19.5" customHeight="1" outlineLevel="1">
      <c r="A19" s="517"/>
      <c r="B19" s="516"/>
      <c r="C19" s="971"/>
      <c r="D19" s="1474"/>
      <c r="E19" s="1532"/>
      <c r="F19" s="1472"/>
      <c r="G19" s="1504"/>
      <c r="H19" s="1424"/>
    </row>
    <row r="20" spans="1:8" s="1395" customFormat="1" ht="19.5" customHeight="1" outlineLevel="1">
      <c r="A20" s="517"/>
      <c r="B20" s="516"/>
      <c r="C20" s="971"/>
      <c r="D20" s="1474"/>
      <c r="E20" s="1532"/>
      <c r="F20" s="1472"/>
      <c r="G20" s="1504"/>
      <c r="H20" s="1424"/>
    </row>
    <row r="21" spans="1:8" s="1395" customFormat="1" ht="19.5" customHeight="1" outlineLevel="1">
      <c r="A21" s="517"/>
      <c r="B21" s="516"/>
      <c r="C21" s="971"/>
      <c r="D21" s="1474"/>
      <c r="E21" s="1532"/>
      <c r="F21" s="1472"/>
      <c r="G21" s="1504"/>
      <c r="H21" s="1424"/>
    </row>
    <row r="22" spans="1:8" s="1395" customFormat="1" ht="19.5" customHeight="1" outlineLevel="1">
      <c r="A22" s="517"/>
      <c r="B22" s="516"/>
      <c r="C22" s="971"/>
      <c r="D22" s="1474"/>
      <c r="E22" s="1532"/>
      <c r="F22" s="1472"/>
      <c r="G22" s="1504"/>
      <c r="H22" s="1424"/>
    </row>
    <row r="23" spans="1:8" s="1395" customFormat="1" ht="19.5" customHeight="1" outlineLevel="1">
      <c r="A23" s="517"/>
      <c r="B23" s="516"/>
      <c r="C23" s="971"/>
      <c r="D23" s="1474"/>
      <c r="E23" s="1532"/>
      <c r="F23" s="1472"/>
      <c r="G23" s="1504"/>
      <c r="H23" s="1424"/>
    </row>
    <row r="24" spans="1:8" s="1395" customFormat="1" ht="19.5" customHeight="1" outlineLevel="1">
      <c r="A24" s="517"/>
      <c r="B24" s="516"/>
      <c r="C24" s="971"/>
      <c r="D24" s="1474"/>
      <c r="E24" s="1532"/>
      <c r="F24" s="1472"/>
      <c r="G24" s="1504"/>
      <c r="H24" s="1424"/>
    </row>
    <row r="25" spans="1:8" s="1395" customFormat="1" ht="19.5" customHeight="1" outlineLevel="1">
      <c r="A25" s="517"/>
      <c r="B25" s="516"/>
      <c r="C25" s="971"/>
      <c r="D25" s="1474"/>
      <c r="E25" s="1532"/>
      <c r="F25" s="1472"/>
      <c r="G25" s="1504"/>
      <c r="H25" s="1424"/>
    </row>
    <row r="26" spans="1:8" s="1395" customFormat="1" ht="19.5" customHeight="1" outlineLevel="1">
      <c r="A26" s="1736"/>
      <c r="B26" s="1735"/>
      <c r="C26" s="978"/>
      <c r="D26" s="1474"/>
      <c r="E26" s="1532"/>
      <c r="F26" s="1472"/>
      <c r="G26" s="1504"/>
      <c r="H26" s="1424"/>
    </row>
    <row r="27" spans="1:8" s="1395" customFormat="1" ht="19.5" customHeight="1" outlineLevel="1">
      <c r="A27" s="517"/>
      <c r="B27" s="516"/>
      <c r="C27" s="971"/>
      <c r="D27" s="1474"/>
      <c r="E27" s="1532"/>
      <c r="F27" s="1472"/>
      <c r="G27" s="1504"/>
      <c r="H27" s="1424"/>
    </row>
    <row r="28" spans="1:8" s="1395" customFormat="1" ht="19.5" customHeight="1" outlineLevel="1">
      <c r="A28" s="508"/>
      <c r="B28" s="3119"/>
      <c r="C28" s="3118"/>
      <c r="D28" s="3117"/>
      <c r="E28" s="3142"/>
      <c r="F28" s="3141"/>
      <c r="G28" s="3140"/>
      <c r="H28" s="1481"/>
    </row>
    <row r="29" spans="1:8" s="1395" customFormat="1" ht="21" customHeight="1" outlineLevel="1" thickBot="1">
      <c r="A29" s="1421" t="s">
        <v>366</v>
      </c>
      <c r="B29" s="1420"/>
      <c r="C29" s="1419"/>
      <c r="D29" s="2480">
        <f>SUM(D14)</f>
        <v>1981799.26</v>
      </c>
      <c r="E29" s="2480">
        <f>SUM(E14)</f>
        <v>925863.75</v>
      </c>
      <c r="F29" s="2480">
        <f>SUM(F14)</f>
        <v>1094136.25</v>
      </c>
      <c r="G29" s="2480">
        <f>SUM(G14)</f>
        <v>2020000</v>
      </c>
      <c r="H29" s="2480">
        <f>SUM(H14)</f>
        <v>2020000</v>
      </c>
    </row>
    <row r="30" spans="1:8" ht="20.100000000000001" customHeight="1" outlineLevel="1" thickTop="1"/>
    <row r="31" spans="1:8" s="1403" customFormat="1" ht="19.5" customHeight="1">
      <c r="A31" s="1403" t="s">
        <v>364</v>
      </c>
      <c r="C31" s="3037" t="s">
        <v>363</v>
      </c>
      <c r="E31" s="4742" t="s">
        <v>1779</v>
      </c>
      <c r="F31" s="4742"/>
    </row>
    <row r="32" spans="1:8" s="1403" customFormat="1" ht="18" customHeight="1">
      <c r="C32" s="3037"/>
    </row>
    <row r="33" spans="1:9" s="1403" customFormat="1" ht="18" customHeight="1">
      <c r="A33" s="3036" t="s">
        <v>2268</v>
      </c>
      <c r="C33" s="4760" t="s">
        <v>360</v>
      </c>
      <c r="D33" s="4760"/>
      <c r="E33" s="4741" t="s">
        <v>359</v>
      </c>
      <c r="F33" s="4741"/>
      <c r="G33" s="4741"/>
      <c r="H33" s="4741"/>
    </row>
    <row r="34" spans="1:9" s="1404" customFormat="1" ht="12.75">
      <c r="A34" s="1407" t="s">
        <v>2287</v>
      </c>
      <c r="B34" s="1407"/>
      <c r="C34" s="4754" t="s">
        <v>357</v>
      </c>
      <c r="D34" s="4754"/>
      <c r="E34" s="4755" t="s">
        <v>356</v>
      </c>
      <c r="F34" s="4755"/>
      <c r="G34" s="4755"/>
      <c r="H34" s="4755"/>
      <c r="I34" s="2236"/>
    </row>
    <row r="35" spans="1:9" s="1404" customFormat="1" ht="12.75">
      <c r="A35" s="4756"/>
      <c r="B35" s="4756"/>
      <c r="D35" s="1406"/>
      <c r="E35" s="1406"/>
      <c r="F35" s="1406"/>
      <c r="G35" s="1406"/>
      <c r="H35" s="1406"/>
      <c r="I35" s="2236"/>
    </row>
  </sheetData>
  <mergeCells count="10">
    <mergeCell ref="C34:D34"/>
    <mergeCell ref="E34:H34"/>
    <mergeCell ref="A35:B35"/>
    <mergeCell ref="A4:H4"/>
    <mergeCell ref="A10:B12"/>
    <mergeCell ref="E10:G10"/>
    <mergeCell ref="E31:F31"/>
    <mergeCell ref="C33:D33"/>
    <mergeCell ref="E33:H33"/>
    <mergeCell ref="A5:H5"/>
  </mergeCells>
  <pageMargins left="0.5" right="0" top="0.75" bottom="0" header="0.5" footer="0"/>
  <pageSetup paperSize="5" orientation="portrait"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77"/>
  <sheetViews>
    <sheetView showGridLines="0" showOutlineSymbols="0" workbookViewId="0">
      <selection activeCell="E68" sqref="E68"/>
    </sheetView>
  </sheetViews>
  <sheetFormatPr defaultColWidth="12.5703125" defaultRowHeight="15.75" outlineLevelRow="2" outlineLevelCol="2"/>
  <cols>
    <col min="1" max="1" width="1.85546875" style="235" customWidth="1"/>
    <col min="2" max="2" width="33.28515625" style="235" customWidth="1"/>
    <col min="3" max="3" width="10.7109375" style="714" customWidth="1"/>
    <col min="4" max="7" width="10.7109375" style="235" customWidth="1"/>
    <col min="8" max="8" width="10.85546875" style="235" customWidth="1"/>
    <col min="9" max="9" width="11.7109375" style="235" hidden="1" customWidth="1"/>
    <col min="10" max="10" width="0" style="572" hidden="1" customWidth="1"/>
    <col min="11" max="12" width="0" style="235" hidden="1" customWidth="1"/>
    <col min="13" max="13" width="10.7109375" style="235" hidden="1" customWidth="1"/>
    <col min="14" max="15" width="0" style="235" hidden="1" customWidth="1"/>
    <col min="16"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13" ht="14.25" customHeight="1">
      <c r="A1" s="271" t="s">
        <v>473</v>
      </c>
      <c r="B1" s="134"/>
      <c r="E1" s="270"/>
      <c r="H1" s="270"/>
    </row>
    <row r="2" spans="1:13" ht="14.25" customHeight="1">
      <c r="A2" s="270" t="s">
        <v>584</v>
      </c>
      <c r="B2" s="134"/>
      <c r="E2" s="270"/>
      <c r="H2" s="270"/>
    </row>
    <row r="3" spans="1:13" ht="14.25" customHeight="1">
      <c r="A3" s="134"/>
      <c r="B3" s="134"/>
      <c r="E3" s="270"/>
      <c r="G3" s="271"/>
      <c r="H3" s="270"/>
    </row>
    <row r="4" spans="1:13" ht="14.25" customHeight="1">
      <c r="A4" s="4648" t="s">
        <v>471</v>
      </c>
      <c r="B4" s="4648"/>
      <c r="C4" s="4648"/>
      <c r="D4" s="4648"/>
      <c r="E4" s="4648"/>
      <c r="F4" s="4648"/>
      <c r="G4" s="4648"/>
      <c r="H4" s="4648"/>
    </row>
    <row r="5" spans="1:13" ht="14.25" customHeight="1">
      <c r="A5" s="4623" t="s">
        <v>583</v>
      </c>
      <c r="B5" s="4631"/>
      <c r="C5" s="4631"/>
      <c r="D5" s="4631"/>
      <c r="E5" s="4631"/>
      <c r="F5" s="4631"/>
      <c r="G5" s="4631"/>
      <c r="H5" s="4631"/>
    </row>
    <row r="6" spans="1:13" ht="12" customHeight="1">
      <c r="A6" s="140"/>
      <c r="B6" s="140"/>
      <c r="C6" s="758"/>
      <c r="D6" s="140"/>
      <c r="E6" s="140"/>
      <c r="F6" s="140"/>
      <c r="G6" s="140"/>
      <c r="H6" s="140"/>
    </row>
    <row r="7" spans="1:13" ht="15.75" customHeight="1">
      <c r="A7" s="757" t="s">
        <v>783</v>
      </c>
      <c r="D7" s="134"/>
      <c r="E7" s="134"/>
      <c r="F7" s="134"/>
      <c r="G7" s="134"/>
      <c r="H7" s="134"/>
    </row>
    <row r="8" spans="1:13" ht="9.75" customHeight="1">
      <c r="A8" s="398"/>
      <c r="B8" s="397"/>
      <c r="D8" s="134"/>
      <c r="E8" s="134"/>
      <c r="F8" s="134"/>
      <c r="G8" s="134"/>
      <c r="H8" s="134"/>
    </row>
    <row r="9" spans="1:13" ht="14.25" customHeight="1">
      <c r="A9" s="4624" t="s">
        <v>468</v>
      </c>
      <c r="B9" s="4625"/>
      <c r="C9" s="756" t="s">
        <v>467</v>
      </c>
      <c r="D9" s="264" t="s">
        <v>466</v>
      </c>
      <c r="E9" s="4632" t="s">
        <v>465</v>
      </c>
      <c r="F9" s="4633"/>
      <c r="G9" s="4634"/>
      <c r="H9" s="265" t="s">
        <v>464</v>
      </c>
      <c r="I9" s="265" t="s">
        <v>464</v>
      </c>
    </row>
    <row r="10" spans="1:13" ht="14.25" customHeight="1">
      <c r="A10" s="4626"/>
      <c r="B10" s="4627"/>
      <c r="C10" s="755" t="s">
        <v>463</v>
      </c>
      <c r="D10" s="262">
        <v>2020</v>
      </c>
      <c r="E10" s="597" t="s">
        <v>462</v>
      </c>
      <c r="F10" s="597" t="s">
        <v>461</v>
      </c>
      <c r="G10" s="262" t="s">
        <v>244</v>
      </c>
      <c r="H10" s="261">
        <v>2022</v>
      </c>
      <c r="I10" s="261">
        <v>2022</v>
      </c>
    </row>
    <row r="11" spans="1:13" ht="14.25" customHeight="1">
      <c r="A11" s="4628"/>
      <c r="B11" s="4629"/>
      <c r="C11" s="754"/>
      <c r="D11" s="258" t="s">
        <v>460</v>
      </c>
      <c r="E11" s="258" t="s">
        <v>460</v>
      </c>
      <c r="F11" s="258" t="s">
        <v>459</v>
      </c>
      <c r="G11" s="259"/>
      <c r="H11" s="258" t="s">
        <v>458</v>
      </c>
      <c r="I11" s="258" t="s">
        <v>457</v>
      </c>
      <c r="J11" s="256">
        <v>0.1</v>
      </c>
      <c r="K11" s="344"/>
      <c r="L11" s="344"/>
      <c r="M11" s="344"/>
    </row>
    <row r="12" spans="1:13" ht="18" customHeight="1">
      <c r="A12" s="255" t="s">
        <v>456</v>
      </c>
      <c r="B12" s="395"/>
      <c r="C12" s="485"/>
      <c r="D12" s="221"/>
      <c r="E12" s="221"/>
      <c r="F12" s="251"/>
      <c r="G12" s="251"/>
      <c r="H12" s="251"/>
      <c r="I12" s="396"/>
      <c r="J12" s="241"/>
      <c r="K12" s="344"/>
      <c r="L12" s="344"/>
      <c r="M12" s="344"/>
    </row>
    <row r="13" spans="1:13" ht="18" customHeight="1">
      <c r="A13" s="252" t="s">
        <v>455</v>
      </c>
      <c r="B13" s="395"/>
      <c r="C13" s="753"/>
      <c r="D13" s="500">
        <f>SUM(D15:D36)</f>
        <v>6487801.5499999998</v>
      </c>
      <c r="E13" s="500">
        <f>SUM(E15:E36)</f>
        <v>2815662.16</v>
      </c>
      <c r="F13" s="500">
        <f>SUM(F15:F36)</f>
        <v>3934258.84</v>
      </c>
      <c r="G13" s="500">
        <f>SUM(G15:G36)</f>
        <v>6749921</v>
      </c>
      <c r="H13" s="500">
        <f>SUM(H15:H36)</f>
        <v>6851205</v>
      </c>
      <c r="I13" s="500">
        <f>SUM(I15:I35)</f>
        <v>6851205</v>
      </c>
      <c r="J13" s="248"/>
      <c r="K13" s="344"/>
      <c r="L13" s="344"/>
      <c r="M13" s="344"/>
    </row>
    <row r="14" spans="1:13" ht="15" customHeight="1" outlineLevel="1">
      <c r="A14" s="215" t="s">
        <v>454</v>
      </c>
      <c r="B14" s="499"/>
      <c r="C14" s="752"/>
      <c r="D14" s="548"/>
      <c r="E14" s="392"/>
      <c r="F14" s="245"/>
      <c r="G14" s="245"/>
      <c r="H14" s="245"/>
      <c r="I14" s="392"/>
      <c r="J14" s="241"/>
      <c r="K14" s="344"/>
      <c r="L14" s="344"/>
      <c r="M14" s="344"/>
    </row>
    <row r="15" spans="1:13" ht="15" customHeight="1" outlineLevel="1">
      <c r="A15" s="166" t="s">
        <v>426</v>
      </c>
      <c r="B15" s="162"/>
      <c r="C15" s="379" t="s">
        <v>453</v>
      </c>
      <c r="D15" s="160">
        <v>3859248.83</v>
      </c>
      <c r="E15" s="238">
        <v>1917546</v>
      </c>
      <c r="F15" s="238">
        <f>SUM(G15-E15)</f>
        <v>2115186</v>
      </c>
      <c r="G15" s="374">
        <v>4032732</v>
      </c>
      <c r="H15" s="751">
        <f>'plantilla (2)'!H41</f>
        <v>4078188</v>
      </c>
      <c r="I15" s="751">
        <f>'plantilla (2)'!K41</f>
        <v>4078188</v>
      </c>
      <c r="J15" s="221">
        <f>SUM(H15*0.1)</f>
        <v>407818.80000000005</v>
      </c>
      <c r="K15" s="344"/>
      <c r="L15" s="344"/>
      <c r="M15" s="344"/>
    </row>
    <row r="16" spans="1:13" ht="15" customHeight="1" outlineLevel="1">
      <c r="A16" s="215" t="s">
        <v>452</v>
      </c>
      <c r="B16" s="162"/>
      <c r="C16" s="379"/>
      <c r="D16" s="160"/>
      <c r="E16" s="238"/>
      <c r="F16" s="238"/>
      <c r="G16" s="390"/>
      <c r="H16" s="751"/>
      <c r="I16" s="751"/>
      <c r="J16" s="224"/>
      <c r="L16" s="344"/>
      <c r="M16" s="344"/>
    </row>
    <row r="17" spans="1:17" ht="15" customHeight="1" outlineLevel="1">
      <c r="A17" s="178" t="s">
        <v>451</v>
      </c>
      <c r="B17" s="177"/>
      <c r="C17" s="379" t="s">
        <v>450</v>
      </c>
      <c r="D17" s="160">
        <v>240000</v>
      </c>
      <c r="E17" s="238">
        <v>124000</v>
      </c>
      <c r="F17" s="238">
        <f t="shared" ref="F17:F24" si="0">SUM(G17-E17)</f>
        <v>116000</v>
      </c>
      <c r="G17" s="237">
        <v>240000</v>
      </c>
      <c r="H17" s="237">
        <f>'plantilla (2)'!B41*2000*12</f>
        <v>264000</v>
      </c>
      <c r="I17" s="237">
        <f>'plantilla (2)'!B41*2000*12</f>
        <v>264000</v>
      </c>
      <c r="J17" s="224"/>
      <c r="K17" s="220"/>
      <c r="L17" s="490"/>
      <c r="M17" s="344"/>
    </row>
    <row r="18" spans="1:17" ht="15" customHeight="1" outlineLevel="1">
      <c r="A18" s="178" t="s">
        <v>449</v>
      </c>
      <c r="B18" s="177"/>
      <c r="C18" s="373" t="s">
        <v>448</v>
      </c>
      <c r="D18" s="160">
        <v>85500</v>
      </c>
      <c r="E18" s="238">
        <v>42750</v>
      </c>
      <c r="F18" s="238">
        <f t="shared" si="0"/>
        <v>42750</v>
      </c>
      <c r="G18" s="237">
        <v>85500</v>
      </c>
      <c r="H18" s="751">
        <f>7125*12</f>
        <v>85500</v>
      </c>
      <c r="I18" s="751">
        <f>7125*12</f>
        <v>85500</v>
      </c>
      <c r="J18" s="224"/>
      <c r="K18" s="225"/>
      <c r="L18" s="223"/>
      <c r="M18" s="344"/>
    </row>
    <row r="19" spans="1:17" ht="15" customHeight="1" outlineLevel="1">
      <c r="A19" s="178" t="s">
        <v>447</v>
      </c>
      <c r="B19" s="177"/>
      <c r="C19" s="373" t="s">
        <v>446</v>
      </c>
      <c r="D19" s="160">
        <v>85500</v>
      </c>
      <c r="E19" s="238">
        <v>42750</v>
      </c>
      <c r="F19" s="238">
        <f t="shared" si="0"/>
        <v>42750</v>
      </c>
      <c r="G19" s="237">
        <v>85500</v>
      </c>
      <c r="H19" s="751">
        <f>7125*12</f>
        <v>85500</v>
      </c>
      <c r="I19" s="751">
        <f>7125*12</f>
        <v>85500</v>
      </c>
      <c r="J19" s="224"/>
      <c r="K19" s="225"/>
      <c r="L19" s="223"/>
      <c r="M19" s="344"/>
    </row>
    <row r="20" spans="1:17" ht="15" customHeight="1" outlineLevel="1">
      <c r="A20" s="178" t="s">
        <v>445</v>
      </c>
      <c r="B20" s="177"/>
      <c r="C20" s="373" t="s">
        <v>444</v>
      </c>
      <c r="D20" s="160">
        <v>60000</v>
      </c>
      <c r="E20" s="238">
        <v>54000</v>
      </c>
      <c r="F20" s="238">
        <f t="shared" si="0"/>
        <v>6000</v>
      </c>
      <c r="G20" s="237">
        <v>60000</v>
      </c>
      <c r="H20" s="237">
        <f>'plantilla (2)'!B41*6000</f>
        <v>66000</v>
      </c>
      <c r="I20" s="237">
        <f>'plantilla (2)'!B41*6000</f>
        <v>66000</v>
      </c>
      <c r="J20" s="224"/>
      <c r="K20" s="220"/>
      <c r="L20" s="223"/>
      <c r="M20" s="490"/>
    </row>
    <row r="21" spans="1:17" ht="15" customHeight="1" outlineLevel="1">
      <c r="A21" s="178" t="s">
        <v>441</v>
      </c>
      <c r="B21" s="177"/>
      <c r="C21" s="373" t="s">
        <v>440</v>
      </c>
      <c r="D21" s="160">
        <v>116923.30000000002</v>
      </c>
      <c r="E21" s="238">
        <v>39051.33</v>
      </c>
      <c r="F21" s="238">
        <f t="shared" si="0"/>
        <v>460948.67</v>
      </c>
      <c r="G21" s="388">
        <v>500000</v>
      </c>
      <c r="H21" s="388">
        <v>350000</v>
      </c>
      <c r="I21" s="388">
        <v>350000</v>
      </c>
      <c r="J21" s="224"/>
      <c r="K21" s="225"/>
      <c r="L21" s="363"/>
      <c r="M21" s="490"/>
    </row>
    <row r="22" spans="1:17" ht="15" customHeight="1" outlineLevel="1">
      <c r="A22" s="178" t="s">
        <v>424</v>
      </c>
      <c r="B22" s="177"/>
      <c r="C22" s="379" t="s">
        <v>439</v>
      </c>
      <c r="D22" s="160">
        <v>322188</v>
      </c>
      <c r="E22" s="238">
        <v>0</v>
      </c>
      <c r="F22" s="238">
        <f t="shared" si="0"/>
        <v>336061</v>
      </c>
      <c r="G22" s="390">
        <v>336061</v>
      </c>
      <c r="H22" s="390">
        <f>H15/12</f>
        <v>339849</v>
      </c>
      <c r="I22" s="390">
        <f>I15/12</f>
        <v>339849</v>
      </c>
      <c r="J22" s="221">
        <f>SUM(H22*0.1)</f>
        <v>33984.9</v>
      </c>
      <c r="K22" s="225"/>
      <c r="L22" s="223"/>
      <c r="M22" s="490"/>
    </row>
    <row r="23" spans="1:17" ht="15" customHeight="1" outlineLevel="1">
      <c r="A23" s="178" t="s">
        <v>438</v>
      </c>
      <c r="B23" s="177"/>
      <c r="C23" s="379" t="s">
        <v>437</v>
      </c>
      <c r="D23" s="160">
        <v>50000</v>
      </c>
      <c r="E23" s="238">
        <v>0</v>
      </c>
      <c r="F23" s="238">
        <f t="shared" si="0"/>
        <v>60567</v>
      </c>
      <c r="G23" s="369">
        <v>60567</v>
      </c>
      <c r="H23" s="369">
        <f>'plantilla (2)'!B41*5000</f>
        <v>55000</v>
      </c>
      <c r="I23" s="369">
        <f>'plantilla (2)'!B41*5000</f>
        <v>55000</v>
      </c>
      <c r="J23" s="224"/>
      <c r="K23" s="220"/>
      <c r="L23" s="490"/>
      <c r="M23" s="490"/>
      <c r="N23" s="488"/>
      <c r="O23" s="488"/>
      <c r="P23" s="344"/>
      <c r="Q23" s="344"/>
    </row>
    <row r="24" spans="1:17" ht="15" customHeight="1" outlineLevel="1">
      <c r="A24" s="178" t="s">
        <v>436</v>
      </c>
      <c r="B24" s="207"/>
      <c r="C24" s="379" t="s">
        <v>435</v>
      </c>
      <c r="D24" s="160">
        <v>321381</v>
      </c>
      <c r="E24" s="238">
        <v>319591</v>
      </c>
      <c r="F24" s="238">
        <f t="shared" si="0"/>
        <v>5903</v>
      </c>
      <c r="G24" s="369">
        <v>325494</v>
      </c>
      <c r="H24" s="369">
        <f>H15/12</f>
        <v>339849</v>
      </c>
      <c r="I24" s="369">
        <f>I15/12</f>
        <v>339849</v>
      </c>
      <c r="J24" s="221">
        <f>SUM(H24*0.1)</f>
        <v>33984.9</v>
      </c>
      <c r="K24" s="750"/>
      <c r="L24" s="490"/>
      <c r="M24" s="490"/>
      <c r="N24" s="225"/>
      <c r="O24" s="490"/>
      <c r="P24" s="344"/>
      <c r="Q24" s="344"/>
    </row>
    <row r="25" spans="1:17" ht="15" customHeight="1" outlineLevel="1">
      <c r="A25" s="230" t="s">
        <v>434</v>
      </c>
      <c r="B25" s="162"/>
      <c r="C25" s="386"/>
      <c r="D25" s="160"/>
      <c r="E25" s="238"/>
      <c r="F25" s="238"/>
      <c r="G25" s="385"/>
      <c r="H25" s="385"/>
      <c r="I25" s="385"/>
      <c r="J25" s="224"/>
      <c r="K25" s="748"/>
      <c r="L25" s="490"/>
      <c r="M25" s="490"/>
      <c r="N25" s="225"/>
      <c r="O25" s="490"/>
      <c r="P25" s="344"/>
      <c r="Q25" s="344"/>
    </row>
    <row r="26" spans="1:17" ht="15" customHeight="1" outlineLevel="1">
      <c r="A26" s="178" t="s">
        <v>421</v>
      </c>
      <c r="B26" s="162"/>
      <c r="C26" s="379" t="s">
        <v>433</v>
      </c>
      <c r="D26" s="160">
        <v>463736.51999999996</v>
      </c>
      <c r="E26" s="238">
        <v>229226.31</v>
      </c>
      <c r="F26" s="238">
        <f>SUM(G26-E26)</f>
        <v>254701.69</v>
      </c>
      <c r="G26" s="381">
        <v>483928</v>
      </c>
      <c r="H26" s="381">
        <f>ROUNDUP(H15*0.12,0)</f>
        <v>489383</v>
      </c>
      <c r="I26" s="381">
        <f>ROUNDUP(I15*0.12,0)</f>
        <v>489383</v>
      </c>
      <c r="J26" s="221">
        <f>SUM(H26*0.1)</f>
        <v>48938.3</v>
      </c>
      <c r="K26" s="748"/>
      <c r="L26" s="490"/>
      <c r="M26" s="490"/>
      <c r="N26" s="225"/>
      <c r="O26" s="490"/>
      <c r="P26" s="344"/>
      <c r="Q26" s="344"/>
    </row>
    <row r="27" spans="1:17" ht="15" customHeight="1" outlineLevel="1">
      <c r="A27" s="178" t="s">
        <v>432</v>
      </c>
      <c r="B27" s="162"/>
      <c r="C27" s="379" t="s">
        <v>431</v>
      </c>
      <c r="D27" s="160">
        <v>12024.28</v>
      </c>
      <c r="E27" s="238">
        <v>5400</v>
      </c>
      <c r="F27" s="238">
        <f>SUM(G27-E27)</f>
        <v>6600</v>
      </c>
      <c r="G27" s="383">
        <v>12000</v>
      </c>
      <c r="H27" s="743">
        <f>'plantilla (2)'!B41*100*12</f>
        <v>13200</v>
      </c>
      <c r="I27" s="743">
        <f>'plantilla (2)'!B41*100*12</f>
        <v>13200</v>
      </c>
      <c r="J27" s="224"/>
      <c r="K27" s="748"/>
      <c r="L27" s="490"/>
      <c r="M27" s="220"/>
      <c r="N27" s="225"/>
      <c r="O27" s="490"/>
      <c r="P27" s="344"/>
      <c r="Q27" s="344"/>
    </row>
    <row r="28" spans="1:17" ht="15" customHeight="1" outlineLevel="1">
      <c r="A28" s="178" t="s">
        <v>418</v>
      </c>
      <c r="B28" s="162"/>
      <c r="C28" s="379" t="s">
        <v>430</v>
      </c>
      <c r="D28" s="160">
        <v>50358</v>
      </c>
      <c r="E28" s="238">
        <v>25947.52</v>
      </c>
      <c r="F28" s="238">
        <f>SUM(G28-E28)</f>
        <v>39276.479999999996</v>
      </c>
      <c r="G28" s="381">
        <v>65224</v>
      </c>
      <c r="H28" s="749">
        <f>'plantilla (2)'!M43</f>
        <v>77099</v>
      </c>
      <c r="I28" s="749">
        <f>'plantilla (2)'!P43</f>
        <v>77099</v>
      </c>
      <c r="J28" s="221">
        <f>SUM(H28*0.1)</f>
        <v>7709.9000000000005</v>
      </c>
      <c r="K28" s="748"/>
      <c r="L28" s="490"/>
      <c r="M28" s="490"/>
      <c r="N28" s="225"/>
      <c r="O28" s="490"/>
      <c r="P28" s="344"/>
      <c r="Q28" s="344"/>
    </row>
    <row r="29" spans="1:17" ht="15" customHeight="1" outlineLevel="1">
      <c r="A29" s="178" t="s">
        <v>428</v>
      </c>
      <c r="B29" s="162"/>
      <c r="C29" s="379" t="s">
        <v>427</v>
      </c>
      <c r="D29" s="663">
        <v>12000</v>
      </c>
      <c r="E29" s="547">
        <v>5400</v>
      </c>
      <c r="F29" s="547">
        <f>SUM(G29-E29)</f>
        <v>6600</v>
      </c>
      <c r="G29" s="747">
        <v>12000</v>
      </c>
      <c r="H29" s="747">
        <f>'plantilla (2)'!B41*100*12</f>
        <v>13200</v>
      </c>
      <c r="I29" s="747">
        <f>'plantilla (2)'!B41*100*12</f>
        <v>13200</v>
      </c>
      <c r="J29" s="216"/>
      <c r="K29" s="220" t="str">
        <f>A7</f>
        <v>Office : CITY BUDGET AND MANAGEMENT OFFICE (1071)</v>
      </c>
      <c r="L29" s="223"/>
      <c r="M29" s="134"/>
      <c r="N29" s="225"/>
      <c r="O29" s="223"/>
      <c r="P29" s="344"/>
      <c r="Q29" s="344"/>
    </row>
    <row r="30" spans="1:17" ht="15" customHeight="1" outlineLevel="1">
      <c r="A30" s="215" t="s">
        <v>425</v>
      </c>
      <c r="B30" s="162"/>
      <c r="C30" s="379"/>
      <c r="D30" s="663"/>
      <c r="E30" s="547"/>
      <c r="F30" s="547"/>
      <c r="G30" s="747"/>
      <c r="H30" s="747"/>
      <c r="I30" s="747"/>
      <c r="J30" s="214"/>
      <c r="K30" s="220" t="s">
        <v>429</v>
      </c>
      <c r="L30" s="134"/>
      <c r="M30" s="219"/>
      <c r="N30" s="220"/>
      <c r="O30" s="220"/>
      <c r="P30" s="344"/>
      <c r="Q30" s="344"/>
    </row>
    <row r="31" spans="1:17" ht="15" customHeight="1" outlineLevel="1">
      <c r="A31" s="178" t="s">
        <v>423</v>
      </c>
      <c r="B31" s="162"/>
      <c r="C31" s="379" t="s">
        <v>422</v>
      </c>
      <c r="D31" s="663">
        <v>0</v>
      </c>
      <c r="E31" s="547">
        <v>0</v>
      </c>
      <c r="F31" s="547">
        <f t="shared" ref="F31:F36" si="1">SUM(G31-E31)</f>
        <v>46000</v>
      </c>
      <c r="G31" s="747">
        <v>46000</v>
      </c>
      <c r="H31" s="743">
        <v>1000</v>
      </c>
      <c r="I31" s="743">
        <v>1000</v>
      </c>
      <c r="J31" s="214"/>
      <c r="K31" s="179" t="s">
        <v>426</v>
      </c>
      <c r="L31" s="134"/>
      <c r="M31" s="134">
        <f>ROUND(J15,0)</f>
        <v>407819</v>
      </c>
      <c r="O31" s="344"/>
      <c r="P31" s="344"/>
      <c r="Q31" s="344"/>
    </row>
    <row r="32" spans="1:17" ht="15" customHeight="1" outlineLevel="1" thickBot="1">
      <c r="A32" s="197" t="s">
        <v>420</v>
      </c>
      <c r="B32" s="162"/>
      <c r="C32" s="373" t="s">
        <v>419</v>
      </c>
      <c r="D32" s="663">
        <v>718941.61999999988</v>
      </c>
      <c r="E32" s="746">
        <v>0</v>
      </c>
      <c r="F32" s="547">
        <f t="shared" si="1"/>
        <v>343915</v>
      </c>
      <c r="G32" s="747">
        <v>343915</v>
      </c>
      <c r="H32" s="747">
        <f>M37</f>
        <v>532437</v>
      </c>
      <c r="I32" s="747">
        <f>H32</f>
        <v>532437</v>
      </c>
      <c r="J32" s="210">
        <f>SUM(J15:J31)</f>
        <v>532436.80000000016</v>
      </c>
      <c r="K32" s="207" t="s">
        <v>424</v>
      </c>
      <c r="L32" s="134"/>
      <c r="M32" s="134">
        <f>ROUND(J22,0)</f>
        <v>33985</v>
      </c>
      <c r="O32" s="344"/>
      <c r="P32" s="344"/>
      <c r="Q32" s="344"/>
    </row>
    <row r="33" spans="1:17" ht="15" customHeight="1" outlineLevel="1" thickTop="1">
      <c r="A33" s="197" t="s">
        <v>417</v>
      </c>
      <c r="B33" s="162"/>
      <c r="C33" s="373" t="s">
        <v>416</v>
      </c>
      <c r="D33" s="663">
        <v>10000</v>
      </c>
      <c r="E33" s="746">
        <v>10000</v>
      </c>
      <c r="F33" s="547">
        <f t="shared" si="1"/>
        <v>0</v>
      </c>
      <c r="G33" s="747">
        <v>10000</v>
      </c>
      <c r="H33" s="745">
        <v>5000</v>
      </c>
      <c r="I33" s="745">
        <v>5000</v>
      </c>
      <c r="J33" s="744"/>
      <c r="K33" s="207" t="s">
        <v>421</v>
      </c>
      <c r="L33" s="148"/>
      <c r="M33" s="148">
        <f>ROUND(J26,0)</f>
        <v>48938</v>
      </c>
    </row>
    <row r="34" spans="1:17" ht="15" customHeight="1" outlineLevel="1">
      <c r="A34" s="197" t="s">
        <v>414</v>
      </c>
      <c r="B34" s="162"/>
      <c r="C34" s="373" t="s">
        <v>413</v>
      </c>
      <c r="D34" s="663">
        <v>0</v>
      </c>
      <c r="E34" s="746">
        <v>0</v>
      </c>
      <c r="F34" s="547">
        <f t="shared" si="1"/>
        <v>1000</v>
      </c>
      <c r="G34" s="745">
        <v>1000</v>
      </c>
      <c r="H34" s="745">
        <v>1000</v>
      </c>
      <c r="I34" s="745">
        <v>1000</v>
      </c>
      <c r="J34" s="744"/>
      <c r="K34" s="207" t="s">
        <v>418</v>
      </c>
      <c r="L34" s="148"/>
      <c r="M34" s="148">
        <f>ROUND(J28,0)</f>
        <v>7710</v>
      </c>
      <c r="O34" s="471">
        <f>SUM(N45-L45)</f>
        <v>-23100</v>
      </c>
      <c r="P34" s="347"/>
    </row>
    <row r="35" spans="1:17" ht="15" customHeight="1" outlineLevel="1">
      <c r="A35" s="372" t="s">
        <v>648</v>
      </c>
      <c r="B35" s="162"/>
      <c r="C35" s="373" t="s">
        <v>411</v>
      </c>
      <c r="D35" s="663">
        <v>50000</v>
      </c>
      <c r="E35" s="746">
        <v>0</v>
      </c>
      <c r="F35" s="547">
        <f t="shared" si="1"/>
        <v>50000</v>
      </c>
      <c r="G35" s="745">
        <v>50000</v>
      </c>
      <c r="H35" s="745">
        <f>'plantilla (2)'!B41*5000</f>
        <v>55000</v>
      </c>
      <c r="I35" s="745">
        <f>H35</f>
        <v>55000</v>
      </c>
      <c r="J35" s="744"/>
      <c r="K35" s="207" t="s">
        <v>415</v>
      </c>
      <c r="L35" s="148"/>
      <c r="M35" s="148">
        <f>ROUND(J24,0)</f>
        <v>33985</v>
      </c>
      <c r="O35" s="471"/>
      <c r="P35" s="347"/>
    </row>
    <row r="36" spans="1:17" ht="15" customHeight="1" outlineLevel="1">
      <c r="A36" s="372" t="s">
        <v>782</v>
      </c>
      <c r="B36" s="162"/>
      <c r="C36" s="371" t="s">
        <v>408</v>
      </c>
      <c r="D36" s="663">
        <v>30000</v>
      </c>
      <c r="E36" s="746">
        <v>0</v>
      </c>
      <c r="F36" s="547">
        <f t="shared" si="1"/>
        <v>0</v>
      </c>
      <c r="G36" s="745">
        <v>0</v>
      </c>
      <c r="H36" s="745">
        <v>0</v>
      </c>
      <c r="I36" s="745">
        <v>0</v>
      </c>
      <c r="J36" s="744"/>
      <c r="K36" s="207"/>
      <c r="L36" s="148"/>
      <c r="M36" s="148"/>
      <c r="O36" s="471"/>
      <c r="P36" s="347"/>
    </row>
    <row r="37" spans="1:17" ht="18" customHeight="1" outlineLevel="1" thickBot="1">
      <c r="A37" s="189" t="s">
        <v>407</v>
      </c>
      <c r="B37" s="366"/>
      <c r="C37" s="187"/>
      <c r="D37" s="479">
        <f>SUM(D38:D52)</f>
        <v>534282.34</v>
      </c>
      <c r="E37" s="479">
        <f>SUM(E38:E52)</f>
        <v>288380.15999999997</v>
      </c>
      <c r="F37" s="479">
        <f>SUM(F38:F52)</f>
        <v>753219.84</v>
      </c>
      <c r="G37" s="479">
        <f>SUM(G38:G52)</f>
        <v>1041600</v>
      </c>
      <c r="H37" s="479">
        <f>SUM(H38:H52)</f>
        <v>881600</v>
      </c>
      <c r="K37" s="190" t="s">
        <v>410</v>
      </c>
      <c r="L37" s="190"/>
      <c r="M37" s="357">
        <f>SUM(M31:M36)</f>
        <v>532437</v>
      </c>
      <c r="O37" s="471"/>
      <c r="P37" s="347"/>
    </row>
    <row r="38" spans="1:17" s="347" customFormat="1" ht="15" customHeight="1" outlineLevel="1" thickTop="1">
      <c r="A38" s="522" t="s">
        <v>676</v>
      </c>
      <c r="B38" s="185"/>
      <c r="C38" s="354" t="s">
        <v>405</v>
      </c>
      <c r="D38" s="663">
        <v>12308</v>
      </c>
      <c r="E38" s="157">
        <v>1710</v>
      </c>
      <c r="F38" s="547">
        <f>SUM(G38-E38)</f>
        <v>123290</v>
      </c>
      <c r="G38" s="743">
        <v>125000</v>
      </c>
      <c r="H38" s="157">
        <v>117000</v>
      </c>
      <c r="I38" s="349"/>
      <c r="J38" s="741"/>
      <c r="K38" s="344"/>
      <c r="O38" s="737">
        <f>SUM(L48+O34)</f>
        <v>-23100</v>
      </c>
      <c r="Q38" s="235"/>
    </row>
    <row r="39" spans="1:17" s="347" customFormat="1" ht="15" customHeight="1" outlineLevel="1">
      <c r="A39" s="178" t="s">
        <v>404</v>
      </c>
      <c r="B39" s="177"/>
      <c r="C39" s="354" t="s">
        <v>403</v>
      </c>
      <c r="D39" s="663">
        <v>3800</v>
      </c>
      <c r="E39" s="157">
        <v>700</v>
      </c>
      <c r="F39" s="547">
        <f>SUM(G39-E39)</f>
        <v>79300</v>
      </c>
      <c r="G39" s="743">
        <v>80000</v>
      </c>
      <c r="H39" s="157">
        <v>80000</v>
      </c>
      <c r="I39" s="349"/>
      <c r="J39" s="741"/>
      <c r="K39" s="220" t="s">
        <v>781</v>
      </c>
      <c r="Q39" s="235"/>
    </row>
    <row r="40" spans="1:17" s="347" customFormat="1" ht="15" customHeight="1" outlineLevel="1">
      <c r="A40" s="178" t="s">
        <v>402</v>
      </c>
      <c r="B40" s="177"/>
      <c r="C40" s="354" t="s">
        <v>401</v>
      </c>
      <c r="D40" s="160">
        <v>106500</v>
      </c>
      <c r="E40" s="158">
        <v>65485.25</v>
      </c>
      <c r="F40" s="238">
        <f>SUM(G40-E40)</f>
        <v>49514.75</v>
      </c>
      <c r="G40" s="742">
        <v>115000</v>
      </c>
      <c r="H40" s="157">
        <v>85000</v>
      </c>
      <c r="I40" s="349"/>
      <c r="J40" s="741"/>
      <c r="K40" s="235" t="s">
        <v>780</v>
      </c>
      <c r="L40" s="235"/>
      <c r="M40" s="235"/>
      <c r="N40" s="235"/>
      <c r="O40" s="235"/>
      <c r="P40" s="235"/>
      <c r="Q40" s="235"/>
    </row>
    <row r="41" spans="1:17" s="347" customFormat="1" ht="15" customHeight="1" outlineLevel="1">
      <c r="A41" s="166" t="s">
        <v>572</v>
      </c>
      <c r="B41" s="162"/>
      <c r="C41" s="354"/>
      <c r="D41" s="160"/>
      <c r="E41" s="158"/>
      <c r="F41" s="238"/>
      <c r="G41" s="742"/>
      <c r="H41" s="157"/>
      <c r="I41" s="349"/>
      <c r="J41" s="741"/>
      <c r="Q41" s="235"/>
    </row>
    <row r="42" spans="1:17" s="347" customFormat="1" ht="15" customHeight="1" outlineLevel="1">
      <c r="A42" s="181"/>
      <c r="B42" s="360" t="s">
        <v>571</v>
      </c>
      <c r="C42" s="350" t="s">
        <v>398</v>
      </c>
      <c r="D42" s="160">
        <v>25625</v>
      </c>
      <c r="E42" s="158">
        <v>31449</v>
      </c>
      <c r="F42" s="238">
        <f t="shared" ref="F42:F47" si="2">SUM(G42-E42)</f>
        <v>33551</v>
      </c>
      <c r="G42" s="742">
        <v>65000</v>
      </c>
      <c r="H42" s="157">
        <v>55000</v>
      </c>
      <c r="I42" s="349"/>
      <c r="J42" s="741"/>
      <c r="K42" s="739" t="s">
        <v>779</v>
      </c>
    </row>
    <row r="43" spans="1:17" s="347" customFormat="1" ht="15" customHeight="1" outlineLevel="1">
      <c r="A43" s="181" t="s">
        <v>674</v>
      </c>
      <c r="B43" s="360"/>
      <c r="C43" s="350" t="s">
        <v>396</v>
      </c>
      <c r="D43" s="160">
        <v>0</v>
      </c>
      <c r="E43" s="158">
        <v>1410</v>
      </c>
      <c r="F43" s="238">
        <f t="shared" si="2"/>
        <v>18590</v>
      </c>
      <c r="G43" s="742">
        <v>20000</v>
      </c>
      <c r="H43" s="157">
        <v>20000</v>
      </c>
      <c r="I43" s="349"/>
      <c r="J43" s="741"/>
    </row>
    <row r="44" spans="1:17" s="347" customFormat="1" ht="15" customHeight="1" outlineLevel="1">
      <c r="A44" s="166" t="s">
        <v>395</v>
      </c>
      <c r="B44" s="162"/>
      <c r="C44" s="341" t="s">
        <v>394</v>
      </c>
      <c r="D44" s="160">
        <v>36109.550000000003</v>
      </c>
      <c r="E44" s="158">
        <v>15000</v>
      </c>
      <c r="F44" s="238">
        <f t="shared" si="2"/>
        <v>35000</v>
      </c>
      <c r="G44" s="742">
        <v>50000</v>
      </c>
      <c r="H44" s="157">
        <v>30000</v>
      </c>
      <c r="I44" s="349"/>
      <c r="J44" s="741"/>
      <c r="K44" s="740" t="s">
        <v>778</v>
      </c>
      <c r="L44" s="740"/>
    </row>
    <row r="45" spans="1:17" ht="15" customHeight="1" outlineLevel="1">
      <c r="A45" s="166" t="s">
        <v>700</v>
      </c>
      <c r="B45" s="162"/>
      <c r="C45" s="354" t="s">
        <v>392</v>
      </c>
      <c r="D45" s="160">
        <v>0</v>
      </c>
      <c r="E45" s="158">
        <v>0</v>
      </c>
      <c r="F45" s="238">
        <f t="shared" si="2"/>
        <v>1000</v>
      </c>
      <c r="G45" s="390">
        <v>1000</v>
      </c>
      <c r="H45" s="157">
        <v>1000</v>
      </c>
      <c r="I45" s="344"/>
      <c r="J45" s="136"/>
      <c r="K45" s="739" t="s">
        <v>777</v>
      </c>
      <c r="L45" s="739">
        <f>'plantilla (2)'!B41*2100</f>
        <v>23100</v>
      </c>
      <c r="N45" s="471"/>
      <c r="Q45" s="347"/>
    </row>
    <row r="46" spans="1:17" ht="15" customHeight="1" outlineLevel="1">
      <c r="A46" s="178" t="s">
        <v>391</v>
      </c>
      <c r="B46" s="177"/>
      <c r="C46" s="350" t="s">
        <v>390</v>
      </c>
      <c r="D46" s="160">
        <v>62022.92</v>
      </c>
      <c r="E46" s="157">
        <v>19551.310000000001</v>
      </c>
      <c r="F46" s="238">
        <f t="shared" si="2"/>
        <v>45448.69</v>
      </c>
      <c r="G46" s="390">
        <v>65000</v>
      </c>
      <c r="H46" s="157">
        <v>60000</v>
      </c>
      <c r="K46" s="739" t="s">
        <v>387</v>
      </c>
      <c r="L46" s="739">
        <f>'plantilla (2)'!B41*200</f>
        <v>2200</v>
      </c>
      <c r="N46" s="471"/>
      <c r="Q46" s="347"/>
    </row>
    <row r="47" spans="1:17" ht="15" customHeight="1" outlineLevel="1">
      <c r="A47" s="176" t="s">
        <v>389</v>
      </c>
      <c r="B47" s="175"/>
      <c r="C47" s="341" t="s">
        <v>388</v>
      </c>
      <c r="D47" s="160">
        <v>226364.37</v>
      </c>
      <c r="E47" s="157">
        <v>110625</v>
      </c>
      <c r="F47" s="238">
        <f t="shared" si="2"/>
        <v>186975</v>
      </c>
      <c r="G47" s="390">
        <v>297600</v>
      </c>
      <c r="H47" s="157">
        <v>237600</v>
      </c>
      <c r="K47" s="739" t="s">
        <v>382</v>
      </c>
      <c r="L47" s="739">
        <f>SUM(H54-L45-L46)</f>
        <v>-25300</v>
      </c>
      <c r="N47" s="471"/>
      <c r="Q47" s="347"/>
    </row>
    <row r="48" spans="1:17" ht="15" customHeight="1" outlineLevel="1">
      <c r="A48" s="166" t="s">
        <v>383</v>
      </c>
      <c r="B48" s="173"/>
      <c r="C48" s="736"/>
      <c r="D48" s="195"/>
      <c r="E48" s="157"/>
      <c r="F48" s="238"/>
      <c r="G48" s="390"/>
      <c r="H48" s="157"/>
      <c r="K48" s="739" t="s">
        <v>379</v>
      </c>
      <c r="L48" s="738">
        <f>SUM(L45:L47)</f>
        <v>0</v>
      </c>
      <c r="N48" s="471"/>
      <c r="Q48" s="347"/>
    </row>
    <row r="49" spans="1:17" ht="15" customHeight="1" outlineLevel="1">
      <c r="A49" s="163"/>
      <c r="B49" s="164" t="s">
        <v>386</v>
      </c>
      <c r="C49" s="735" t="s">
        <v>385</v>
      </c>
      <c r="D49" s="195">
        <v>0</v>
      </c>
      <c r="E49" s="157">
        <v>0</v>
      </c>
      <c r="F49" s="238">
        <f>SUM(G49-E49)</f>
        <v>20000</v>
      </c>
      <c r="G49" s="390">
        <v>20000</v>
      </c>
      <c r="H49" s="157">
        <v>10000</v>
      </c>
      <c r="N49" s="737"/>
    </row>
    <row r="50" spans="1:17" ht="15" customHeight="1" outlineLevel="1">
      <c r="A50" s="166" t="s">
        <v>383</v>
      </c>
      <c r="B50" s="173"/>
      <c r="C50" s="736"/>
      <c r="D50" s="195"/>
      <c r="E50" s="157"/>
      <c r="F50" s="238"/>
      <c r="G50" s="390"/>
      <c r="H50" s="157"/>
      <c r="L50" s="475" t="s">
        <v>645</v>
      </c>
      <c r="M50" s="471"/>
      <c r="N50" s="347"/>
    </row>
    <row r="51" spans="1:17" ht="15" customHeight="1" outlineLevel="2">
      <c r="A51" s="163"/>
      <c r="B51" s="164" t="s">
        <v>381</v>
      </c>
      <c r="C51" s="735" t="s">
        <v>380</v>
      </c>
      <c r="D51" s="195">
        <v>13850</v>
      </c>
      <c r="E51" s="157">
        <v>41240</v>
      </c>
      <c r="F51" s="238">
        <f>SUM(G51-E51)</f>
        <v>25560</v>
      </c>
      <c r="G51" s="390">
        <v>66800</v>
      </c>
      <c r="H51" s="157">
        <v>60000</v>
      </c>
      <c r="J51" s="336"/>
      <c r="K51" s="336"/>
    </row>
    <row r="52" spans="1:17" ht="15" customHeight="1" outlineLevel="2">
      <c r="A52" s="734" t="s">
        <v>776</v>
      </c>
      <c r="B52" s="342"/>
      <c r="C52" s="733" t="s">
        <v>367</v>
      </c>
      <c r="D52" s="195">
        <v>47702.5</v>
      </c>
      <c r="E52" s="157">
        <v>1209.5999999999999</v>
      </c>
      <c r="F52" s="238">
        <f>SUM(G52-E52)</f>
        <v>134990.39999999999</v>
      </c>
      <c r="G52" s="390">
        <v>136200</v>
      </c>
      <c r="H52" s="157">
        <v>126000</v>
      </c>
      <c r="J52" s="336"/>
      <c r="K52" s="336"/>
    </row>
    <row r="53" spans="1:17" ht="15" customHeight="1" outlineLevel="2">
      <c r="A53" s="189" t="s">
        <v>775</v>
      </c>
      <c r="B53" s="366"/>
      <c r="C53" s="187"/>
      <c r="D53" s="479">
        <f>D54</f>
        <v>0</v>
      </c>
      <c r="E53" s="479">
        <f>E54</f>
        <v>0</v>
      </c>
      <c r="F53" s="479">
        <f>F54</f>
        <v>120000</v>
      </c>
      <c r="G53" s="479">
        <f>G54</f>
        <v>120000</v>
      </c>
      <c r="H53" s="479">
        <f>H54</f>
        <v>0</v>
      </c>
      <c r="J53" s="336"/>
      <c r="K53" s="336"/>
    </row>
    <row r="54" spans="1:17" ht="15" customHeight="1" outlineLevel="2">
      <c r="A54" s="154" t="s">
        <v>774</v>
      </c>
      <c r="B54" s="153"/>
      <c r="C54" s="341" t="s">
        <v>773</v>
      </c>
      <c r="D54" s="160">
        <v>0</v>
      </c>
      <c r="E54" s="157">
        <v>0</v>
      </c>
      <c r="F54" s="238">
        <f>SUM(G54-E54)</f>
        <v>120000</v>
      </c>
      <c r="G54" s="390">
        <v>120000</v>
      </c>
      <c r="H54" s="157">
        <v>0</v>
      </c>
      <c r="J54" s="4687" t="s">
        <v>772</v>
      </c>
      <c r="K54" s="4687"/>
      <c r="L54" s="4687"/>
      <c r="M54" s="4687"/>
      <c r="N54" s="4687"/>
    </row>
    <row r="55" spans="1:17" ht="20.100000000000001" customHeight="1" outlineLevel="1" thickBot="1">
      <c r="A55" s="732" t="s">
        <v>366</v>
      </c>
      <c r="B55" s="731"/>
      <c r="C55" s="730"/>
      <c r="D55" s="456">
        <f>SUM(D13+D37+D53)</f>
        <v>7022083.8899999997</v>
      </c>
      <c r="E55" s="456">
        <f>SUM(E13+E37+E53)</f>
        <v>3104042.3200000003</v>
      </c>
      <c r="F55" s="456">
        <f>SUM(F13+F37+F53)</f>
        <v>4807478.68</v>
      </c>
      <c r="G55" s="456">
        <f>SUM(G13+G37+G53)</f>
        <v>7911521</v>
      </c>
      <c r="H55" s="456">
        <f>SUM(H13+H37+H53)</f>
        <v>7732805</v>
      </c>
      <c r="I55" s="340" t="s">
        <v>771</v>
      </c>
      <c r="J55" s="235"/>
      <c r="K55" s="729" t="s">
        <v>770</v>
      </c>
      <c r="L55" s="729" t="s">
        <v>769</v>
      </c>
      <c r="M55" s="729" t="s">
        <v>769</v>
      </c>
      <c r="N55" s="728"/>
      <c r="O55" s="347"/>
      <c r="P55" s="347"/>
    </row>
    <row r="56" spans="1:17" s="347" customFormat="1" ht="6.75" customHeight="1" outlineLevel="1" thickTop="1">
      <c r="A56" s="134"/>
      <c r="B56" s="134"/>
      <c r="C56" s="141"/>
      <c r="D56" s="134"/>
      <c r="E56" s="140"/>
      <c r="F56" s="140"/>
      <c r="G56" s="134"/>
      <c r="H56" s="235"/>
      <c r="I56" s="235"/>
      <c r="J56" s="723" t="s">
        <v>768</v>
      </c>
      <c r="K56" s="722">
        <v>27</v>
      </c>
      <c r="L56" s="722">
        <v>22</v>
      </c>
      <c r="M56" s="722">
        <v>22</v>
      </c>
      <c r="N56" s="722"/>
      <c r="Q56" s="235"/>
    </row>
    <row r="57" spans="1:17" s="347" customFormat="1" ht="15" customHeight="1" outlineLevel="1">
      <c r="A57" s="134" t="s">
        <v>767</v>
      </c>
      <c r="B57" s="134"/>
      <c r="C57" s="141" t="s">
        <v>363</v>
      </c>
      <c r="D57" s="134"/>
      <c r="E57" s="140" t="s">
        <v>766</v>
      </c>
      <c r="F57" s="140"/>
      <c r="G57" s="134"/>
      <c r="H57" s="235"/>
      <c r="I57" s="235"/>
      <c r="J57" s="723" t="s">
        <v>765</v>
      </c>
      <c r="K57" s="722">
        <v>24</v>
      </c>
      <c r="L57" s="722">
        <v>22</v>
      </c>
      <c r="M57" s="722">
        <v>22</v>
      </c>
      <c r="N57" s="722"/>
      <c r="Q57" s="235"/>
    </row>
    <row r="58" spans="1:17" ht="10.5" customHeight="1" outlineLevel="2">
      <c r="A58" s="134"/>
      <c r="C58" s="727"/>
      <c r="E58" s="140"/>
      <c r="F58" s="140"/>
      <c r="G58" s="134"/>
      <c r="J58" s="723" t="s">
        <v>764</v>
      </c>
      <c r="K58" s="722">
        <v>27</v>
      </c>
      <c r="L58" s="722">
        <v>22</v>
      </c>
      <c r="M58" s="722">
        <v>22</v>
      </c>
      <c r="N58" s="722"/>
    </row>
    <row r="59" spans="1:17" ht="7.5" customHeight="1">
      <c r="I59" s="134"/>
      <c r="J59" s="723" t="s">
        <v>763</v>
      </c>
      <c r="K59" s="722">
        <v>25</v>
      </c>
      <c r="L59" s="722">
        <v>22</v>
      </c>
      <c r="M59" s="722">
        <v>22</v>
      </c>
      <c r="N59" s="722"/>
    </row>
    <row r="60" spans="1:17" ht="15" customHeight="1">
      <c r="A60" s="726" t="s">
        <v>762</v>
      </c>
      <c r="B60" s="134"/>
      <c r="C60" s="4635" t="s">
        <v>360</v>
      </c>
      <c r="D60" s="4635"/>
      <c r="E60" s="4630" t="s">
        <v>359</v>
      </c>
      <c r="F60" s="4630"/>
      <c r="G60" s="4630"/>
      <c r="H60" s="4630"/>
      <c r="I60" s="136"/>
      <c r="J60" s="723" t="s">
        <v>761</v>
      </c>
      <c r="K60" s="722">
        <v>27</v>
      </c>
      <c r="L60" s="722">
        <v>22</v>
      </c>
      <c r="M60" s="722">
        <v>22</v>
      </c>
      <c r="N60" s="722"/>
    </row>
    <row r="61" spans="1:17" ht="15" customHeight="1">
      <c r="A61" s="725" t="s">
        <v>760</v>
      </c>
      <c r="B61" s="136"/>
      <c r="C61" s="4622" t="s">
        <v>357</v>
      </c>
      <c r="D61" s="4622"/>
      <c r="E61" s="4623" t="s">
        <v>356</v>
      </c>
      <c r="F61" s="4623"/>
      <c r="G61" s="4623"/>
      <c r="H61" s="4623"/>
      <c r="J61" s="723" t="s">
        <v>759</v>
      </c>
      <c r="K61" s="722">
        <v>26</v>
      </c>
      <c r="L61" s="722">
        <v>22</v>
      </c>
      <c r="M61" s="722">
        <v>22</v>
      </c>
      <c r="N61" s="722"/>
    </row>
    <row r="62" spans="1:17" s="134" customFormat="1" ht="15" customHeight="1">
      <c r="J62" s="723" t="s">
        <v>758</v>
      </c>
      <c r="K62" s="724">
        <v>27</v>
      </c>
      <c r="L62" s="724">
        <v>22</v>
      </c>
      <c r="M62" s="724">
        <v>22</v>
      </c>
      <c r="N62" s="724"/>
    </row>
    <row r="63" spans="1:17" s="135" customFormat="1" ht="15" customHeight="1">
      <c r="J63" s="723" t="s">
        <v>757</v>
      </c>
      <c r="K63" s="722">
        <v>25</v>
      </c>
      <c r="L63" s="722">
        <v>22</v>
      </c>
      <c r="M63" s="722">
        <v>22</v>
      </c>
      <c r="N63" s="722"/>
    </row>
    <row r="64" spans="1:17" s="135" customFormat="1" ht="15" customHeight="1">
      <c r="B64" s="136"/>
      <c r="C64" s="4621"/>
      <c r="D64" s="4621"/>
      <c r="E64" s="137"/>
      <c r="F64" s="137"/>
      <c r="G64" s="137"/>
      <c r="H64" s="137"/>
      <c r="I64" s="136"/>
      <c r="J64" s="723" t="s">
        <v>756</v>
      </c>
      <c r="K64" s="722">
        <v>27</v>
      </c>
      <c r="L64" s="722">
        <v>22</v>
      </c>
      <c r="M64" s="722">
        <v>22</v>
      </c>
      <c r="N64" s="722"/>
    </row>
    <row r="65" spans="2:14" s="135" customFormat="1" ht="15" customHeight="1">
      <c r="B65" s="136"/>
      <c r="C65" s="721"/>
      <c r="D65" s="137"/>
      <c r="E65" s="137"/>
      <c r="F65" s="137"/>
      <c r="G65" s="137"/>
      <c r="H65" s="137"/>
      <c r="I65" s="136"/>
      <c r="J65" s="723" t="s">
        <v>755</v>
      </c>
      <c r="K65" s="722">
        <v>26</v>
      </c>
      <c r="L65" s="722">
        <v>22</v>
      </c>
      <c r="M65" s="722">
        <v>22</v>
      </c>
      <c r="N65" s="722"/>
    </row>
    <row r="66" spans="2:14" s="135" customFormat="1" ht="15" customHeight="1">
      <c r="B66" s="136"/>
      <c r="C66" s="721"/>
      <c r="D66" s="137"/>
      <c r="E66" s="137"/>
      <c r="F66" s="137"/>
      <c r="G66" s="137"/>
      <c r="H66" s="137"/>
      <c r="I66" s="136"/>
      <c r="J66" s="723" t="s">
        <v>754</v>
      </c>
      <c r="K66" s="722">
        <v>26</v>
      </c>
      <c r="L66" s="722">
        <v>22</v>
      </c>
      <c r="M66" s="722">
        <v>22</v>
      </c>
      <c r="N66" s="722"/>
    </row>
    <row r="67" spans="2:14" s="135" customFormat="1" ht="15" customHeight="1">
      <c r="C67" s="721"/>
      <c r="D67" s="137"/>
      <c r="E67" s="137"/>
      <c r="F67" s="137"/>
      <c r="G67" s="137"/>
      <c r="H67" s="137"/>
      <c r="I67" s="136"/>
      <c r="J67" s="720" t="s">
        <v>753</v>
      </c>
      <c r="K67" s="719">
        <f>SUM(K56:K66)</f>
        <v>287</v>
      </c>
      <c r="L67" s="719">
        <f>SUM(L56:L66)</f>
        <v>242</v>
      </c>
      <c r="M67" s="719">
        <f>SUM(M56:M66)</f>
        <v>242</v>
      </c>
      <c r="N67" s="718"/>
    </row>
    <row r="68" spans="2:14" s="336" customFormat="1" ht="15" customHeight="1">
      <c r="C68" s="714"/>
    </row>
    <row r="69" spans="2:14" s="336" customFormat="1" ht="15" customHeight="1">
      <c r="C69" s="714"/>
      <c r="J69" s="235"/>
      <c r="K69" s="717">
        <f>SUM(K67:N67)</f>
        <v>771</v>
      </c>
      <c r="L69" s="235" t="s">
        <v>752</v>
      </c>
      <c r="M69" s="235"/>
      <c r="N69" s="235"/>
    </row>
    <row r="70" spans="2:14" s="336" customFormat="1" ht="15" customHeight="1">
      <c r="C70" s="714"/>
      <c r="J70" s="235"/>
      <c r="K70" s="716">
        <v>280</v>
      </c>
      <c r="L70" s="235" t="s">
        <v>751</v>
      </c>
      <c r="M70" s="235"/>
      <c r="N70" s="235"/>
    </row>
    <row r="71" spans="2:14" s="336" customFormat="1" ht="15" customHeight="1" thickBot="1">
      <c r="C71" s="714"/>
      <c r="J71" s="235"/>
      <c r="K71" s="715">
        <f>SUM(K69*K70)</f>
        <v>215880</v>
      </c>
      <c r="L71" s="134" t="s">
        <v>750</v>
      </c>
      <c r="M71" s="235"/>
      <c r="N71" s="235"/>
    </row>
    <row r="72" spans="2:14" s="336" customFormat="1" ht="12" customHeight="1" thickTop="1">
      <c r="C72" s="714"/>
      <c r="J72" s="235"/>
      <c r="K72" s="235"/>
      <c r="L72" s="235"/>
      <c r="M72" s="235"/>
      <c r="N72" s="235"/>
    </row>
    <row r="73" spans="2:14" s="336" customFormat="1" ht="12" customHeight="1">
      <c r="C73" s="714"/>
      <c r="J73" s="235"/>
    </row>
    <row r="74" spans="2:14">
      <c r="J74" s="235"/>
    </row>
    <row r="76" spans="2:14">
      <c r="K76" s="235">
        <v>22</v>
      </c>
      <c r="L76" s="235">
        <v>280</v>
      </c>
      <c r="M76" s="235">
        <f>SUM(K76*L76*12)</f>
        <v>73920</v>
      </c>
      <c r="N76" s="235" t="s">
        <v>749</v>
      </c>
    </row>
    <row r="77" spans="2:14">
      <c r="K77" s="235">
        <v>26</v>
      </c>
      <c r="L77" s="235">
        <v>280</v>
      </c>
      <c r="M77" s="235">
        <f>SUM(K77*L77*12)</f>
        <v>87360</v>
      </c>
      <c r="N77" s="235" t="s">
        <v>748</v>
      </c>
    </row>
  </sheetData>
  <mergeCells count="10">
    <mergeCell ref="C64:D64"/>
    <mergeCell ref="A9:B11"/>
    <mergeCell ref="J54:N54"/>
    <mergeCell ref="C61:D61"/>
    <mergeCell ref="E61:H61"/>
    <mergeCell ref="A4:H4"/>
    <mergeCell ref="A5:H5"/>
    <mergeCell ref="E9:G9"/>
    <mergeCell ref="C60:D60"/>
    <mergeCell ref="E60:H60"/>
  </mergeCells>
  <pageMargins left="0.5" right="0" top="0.25" bottom="0" header="0.5" footer="0"/>
  <pageSetup paperSize="5" orientation="portrait" verticalDpi="3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5"/>
  <sheetViews>
    <sheetView showGridLines="0" showOutlineSymbols="0" workbookViewId="0">
      <selection activeCell="F19" sqref="F19"/>
    </sheetView>
  </sheetViews>
  <sheetFormatPr defaultColWidth="12.5703125" defaultRowHeight="15.75" outlineLevelRow="1" outlineLevelCol="2"/>
  <cols>
    <col min="1" max="1" width="1.85546875" style="1390" customWidth="1"/>
    <col min="2" max="2" width="34" style="1390" customWidth="1"/>
    <col min="3"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8" s="1403" customFormat="1" ht="12.75">
      <c r="A1" s="2527" t="s">
        <v>473</v>
      </c>
      <c r="C1" s="2527"/>
      <c r="E1" s="2527"/>
      <c r="F1" s="2527"/>
      <c r="H1" s="2527"/>
    </row>
    <row r="2" spans="1:8" s="1403" customFormat="1" ht="14.25" customHeight="1">
      <c r="A2" s="2526" t="s">
        <v>584</v>
      </c>
      <c r="C2" s="2526"/>
      <c r="E2" s="2526"/>
      <c r="F2" s="2526"/>
      <c r="H2" s="2526"/>
    </row>
    <row r="3" spans="1:8" s="1403" customFormat="1" ht="14.25" customHeight="1">
      <c r="E3" s="2526"/>
      <c r="F3" s="2526"/>
      <c r="H3" s="2526"/>
    </row>
    <row r="4" spans="1:8" s="1403" customFormat="1" ht="14.25" customHeight="1">
      <c r="A4" s="4741" t="s">
        <v>471</v>
      </c>
      <c r="B4" s="4741"/>
      <c r="C4" s="4741"/>
      <c r="D4" s="4741"/>
      <c r="E4" s="4741"/>
      <c r="F4" s="4741"/>
      <c r="G4" s="4741"/>
      <c r="H4" s="4741"/>
    </row>
    <row r="5" spans="1:8" s="1403" customFormat="1" ht="14.25" customHeight="1">
      <c r="A5" s="4742" t="s">
        <v>470</v>
      </c>
      <c r="B5" s="4742"/>
      <c r="C5" s="4742"/>
      <c r="D5" s="4742"/>
      <c r="E5" s="4742"/>
      <c r="F5" s="4742"/>
      <c r="G5" s="4742"/>
      <c r="H5" s="4742"/>
    </row>
    <row r="6" spans="1:8" s="1403" customFormat="1" ht="14.25" customHeight="1">
      <c r="A6" s="1578"/>
      <c r="B6" s="1578"/>
      <c r="C6" s="1578"/>
      <c r="D6" s="1578"/>
      <c r="E6" s="1578"/>
      <c r="F6" s="1578"/>
      <c r="G6" s="1578"/>
      <c r="H6" s="1578"/>
    </row>
    <row r="7" spans="1:8" s="1403" customFormat="1" ht="14.25" customHeight="1">
      <c r="A7" s="2522" t="s">
        <v>2283</v>
      </c>
    </row>
    <row r="8" spans="1:8" ht="14.25" customHeight="1">
      <c r="A8" s="3135"/>
      <c r="B8" s="3129" t="s">
        <v>2297</v>
      </c>
      <c r="D8" s="1403"/>
      <c r="E8" s="1403"/>
      <c r="F8" s="1403"/>
      <c r="G8" s="1403"/>
      <c r="H8" s="1403"/>
    </row>
    <row r="9" spans="1:8" ht="14.25" customHeight="1">
      <c r="A9" s="3135"/>
      <c r="B9" s="1577"/>
      <c r="D9" s="1403"/>
      <c r="E9" s="1403"/>
      <c r="F9" s="1403"/>
      <c r="G9" s="1403"/>
      <c r="H9" s="1403"/>
    </row>
    <row r="10" spans="1:8" ht="14.25" customHeight="1">
      <c r="A10" s="4934" t="s">
        <v>468</v>
      </c>
      <c r="B10" s="4935"/>
      <c r="C10" s="2607" t="s">
        <v>467</v>
      </c>
      <c r="D10" s="2608" t="s">
        <v>466</v>
      </c>
      <c r="E10" s="4869" t="s">
        <v>465</v>
      </c>
      <c r="F10" s="4870"/>
      <c r="G10" s="4871"/>
      <c r="H10" s="2607" t="s">
        <v>464</v>
      </c>
    </row>
    <row r="11" spans="1:8" ht="14.25" customHeight="1">
      <c r="A11" s="4936"/>
      <c r="B11" s="4937"/>
      <c r="C11" s="2606" t="s">
        <v>463</v>
      </c>
      <c r="D11" s="2517" t="s">
        <v>573</v>
      </c>
      <c r="E11" s="2646" t="s">
        <v>462</v>
      </c>
      <c r="F11" s="2646" t="s">
        <v>461</v>
      </c>
      <c r="G11" s="2517" t="s">
        <v>244</v>
      </c>
      <c r="H11" s="2517">
        <v>2022</v>
      </c>
    </row>
    <row r="12" spans="1:8" ht="14.25" customHeight="1">
      <c r="A12" s="4938"/>
      <c r="B12" s="4939"/>
      <c r="C12" s="2604"/>
      <c r="D12" s="2602" t="s">
        <v>460</v>
      </c>
      <c r="E12" s="2602" t="s">
        <v>460</v>
      </c>
      <c r="F12" s="2602" t="s">
        <v>459</v>
      </c>
      <c r="G12" s="2623"/>
      <c r="H12" s="2602" t="s">
        <v>458</v>
      </c>
    </row>
    <row r="13" spans="1:8" ht="20.100000000000001" customHeight="1">
      <c r="A13" s="3109" t="s">
        <v>456</v>
      </c>
      <c r="B13" s="3134"/>
      <c r="C13" s="2834"/>
      <c r="D13" s="2834"/>
      <c r="E13" s="2834"/>
      <c r="F13" s="3108"/>
      <c r="G13" s="3108"/>
      <c r="H13" s="3108"/>
    </row>
    <row r="14" spans="1:8" ht="20.100000000000001" customHeight="1">
      <c r="A14" s="1436" t="s">
        <v>407</v>
      </c>
      <c r="B14" s="1435"/>
      <c r="C14" s="1513"/>
      <c r="D14" s="2598">
        <f>SUM(D15:D28)</f>
        <v>182765</v>
      </c>
      <c r="E14" s="2598">
        <f>SUM(E15:E28)</f>
        <v>62985</v>
      </c>
      <c r="F14" s="2598">
        <f>SUM(F15:F28)</f>
        <v>237015</v>
      </c>
      <c r="G14" s="2598">
        <f>SUM(G15:G28)</f>
        <v>300000</v>
      </c>
      <c r="H14" s="2598">
        <f>SUM(H15:H28)</f>
        <v>300000</v>
      </c>
    </row>
    <row r="15" spans="1:8" ht="19.5" customHeight="1" outlineLevel="1">
      <c r="A15" s="519" t="s">
        <v>1975</v>
      </c>
      <c r="B15" s="2144"/>
      <c r="C15" s="2176" t="s">
        <v>1974</v>
      </c>
      <c r="D15" s="1474">
        <v>48680</v>
      </c>
      <c r="E15" s="1532">
        <v>0</v>
      </c>
      <c r="F15" s="1472">
        <f>G15-E15</f>
        <v>41000</v>
      </c>
      <c r="G15" s="1504">
        <v>41000</v>
      </c>
      <c r="H15" s="1424">
        <v>41000</v>
      </c>
    </row>
    <row r="16" spans="1:8" ht="19.5" customHeight="1" outlineLevel="1">
      <c r="A16" s="517" t="s">
        <v>389</v>
      </c>
      <c r="B16" s="516"/>
      <c r="C16" s="971" t="s">
        <v>388</v>
      </c>
      <c r="D16" s="1474">
        <v>134085</v>
      </c>
      <c r="E16" s="1532">
        <v>62985</v>
      </c>
      <c r="F16" s="1472">
        <f>G16-E16</f>
        <v>187495</v>
      </c>
      <c r="G16" s="1504">
        <v>250480</v>
      </c>
      <c r="H16" s="1424">
        <f>G16</f>
        <v>250480</v>
      </c>
    </row>
    <row r="17" spans="1:8" ht="19.5" customHeight="1" outlineLevel="1">
      <c r="A17" s="517" t="s">
        <v>368</v>
      </c>
      <c r="B17" s="516"/>
      <c r="C17" s="971" t="s">
        <v>367</v>
      </c>
      <c r="D17" s="1474">
        <v>0</v>
      </c>
      <c r="E17" s="1532">
        <v>0</v>
      </c>
      <c r="F17" s="1472">
        <f>G17-E17</f>
        <v>8520</v>
      </c>
      <c r="G17" s="1504">
        <v>8520</v>
      </c>
      <c r="H17" s="1424">
        <v>8520</v>
      </c>
    </row>
    <row r="18" spans="1:8" s="1395" customFormat="1" ht="19.5" customHeight="1" outlineLevel="1">
      <c r="A18" s="1396"/>
      <c r="B18" s="1394"/>
      <c r="C18" s="3143"/>
      <c r="D18" s="1474"/>
      <c r="E18" s="1532"/>
      <c r="F18" s="1472"/>
      <c r="G18" s="1504"/>
      <c r="H18" s="1424"/>
    </row>
    <row r="19" spans="1:8" s="1395" customFormat="1" ht="19.5" customHeight="1" outlineLevel="1">
      <c r="A19" s="1396"/>
      <c r="B19" s="1394"/>
      <c r="C19" s="3143"/>
      <c r="D19" s="1474"/>
      <c r="E19" s="1532"/>
      <c r="F19" s="1472"/>
      <c r="G19" s="1504"/>
      <c r="H19" s="1424"/>
    </row>
    <row r="20" spans="1:8" s="1395" customFormat="1" ht="19.5" customHeight="1" outlineLevel="1">
      <c r="A20" s="519"/>
      <c r="B20" s="518"/>
      <c r="C20" s="2176"/>
      <c r="D20" s="1474"/>
      <c r="E20" s="1532"/>
      <c r="F20" s="1472"/>
      <c r="G20" s="1504"/>
      <c r="H20" s="1424"/>
    </row>
    <row r="21" spans="1:8" s="1395" customFormat="1" ht="19.5" customHeight="1" outlineLevel="1">
      <c r="A21" s="517"/>
      <c r="B21" s="516"/>
      <c r="C21" s="971"/>
      <c r="D21" s="1474"/>
      <c r="E21" s="1532"/>
      <c r="F21" s="1472"/>
      <c r="G21" s="1504"/>
      <c r="H21" s="1424"/>
    </row>
    <row r="22" spans="1:8" s="1395" customFormat="1" ht="19.5" customHeight="1" outlineLevel="1">
      <c r="A22" s="517"/>
      <c r="B22" s="516"/>
      <c r="C22" s="971"/>
      <c r="D22" s="1474"/>
      <c r="E22" s="1532"/>
      <c r="F22" s="1472"/>
      <c r="G22" s="1504"/>
      <c r="H22" s="1424"/>
    </row>
    <row r="23" spans="1:8" s="1395" customFormat="1" ht="19.5" customHeight="1" outlineLevel="1">
      <c r="A23" s="517"/>
      <c r="B23" s="516"/>
      <c r="C23" s="971"/>
      <c r="D23" s="1474"/>
      <c r="E23" s="1532"/>
      <c r="F23" s="1472"/>
      <c r="G23" s="1504"/>
      <c r="H23" s="1424"/>
    </row>
    <row r="24" spans="1:8" s="1395" customFormat="1" ht="19.5" customHeight="1" outlineLevel="1">
      <c r="A24" s="517"/>
      <c r="B24" s="516"/>
      <c r="C24" s="971"/>
      <c r="D24" s="1474"/>
      <c r="E24" s="1532"/>
      <c r="F24" s="1472"/>
      <c r="G24" s="1504"/>
      <c r="H24" s="1424"/>
    </row>
    <row r="25" spans="1:8" s="1395" customFormat="1" ht="19.5" customHeight="1" outlineLevel="1">
      <c r="A25" s="517"/>
      <c r="B25" s="516"/>
      <c r="C25" s="971"/>
      <c r="D25" s="1474"/>
      <c r="E25" s="1532"/>
      <c r="F25" s="1472"/>
      <c r="G25" s="1504"/>
      <c r="H25" s="1424"/>
    </row>
    <row r="26" spans="1:8" s="1395" customFormat="1" ht="19.5" customHeight="1" outlineLevel="1">
      <c r="A26" s="1736"/>
      <c r="B26" s="1735"/>
      <c r="C26" s="978"/>
      <c r="D26" s="1474"/>
      <c r="E26" s="1532"/>
      <c r="F26" s="1472"/>
      <c r="G26" s="1504"/>
      <c r="H26" s="1424"/>
    </row>
    <row r="27" spans="1:8" s="1395" customFormat="1" ht="19.5" customHeight="1" outlineLevel="1">
      <c r="A27" s="517"/>
      <c r="B27" s="516"/>
      <c r="C27" s="971"/>
      <c r="D27" s="1474"/>
      <c r="E27" s="1532"/>
      <c r="F27" s="1472"/>
      <c r="G27" s="1504"/>
      <c r="H27" s="1424"/>
    </row>
    <row r="28" spans="1:8" s="1395" customFormat="1" ht="19.5" customHeight="1" outlineLevel="1">
      <c r="A28" s="508"/>
      <c r="B28" s="3119"/>
      <c r="C28" s="3118"/>
      <c r="D28" s="3117"/>
      <c r="E28" s="3142"/>
      <c r="F28" s="3141"/>
      <c r="G28" s="3140"/>
      <c r="H28" s="1481"/>
    </row>
    <row r="29" spans="1:8" s="1395" customFormat="1" ht="21.95" customHeight="1" outlineLevel="1" thickBot="1">
      <c r="A29" s="1421" t="s">
        <v>366</v>
      </c>
      <c r="B29" s="1420"/>
      <c r="C29" s="1419"/>
      <c r="D29" s="2480">
        <f>D14</f>
        <v>182765</v>
      </c>
      <c r="E29" s="2480">
        <f>SUM(E14)</f>
        <v>62985</v>
      </c>
      <c r="F29" s="2480">
        <f>SUM(F14)</f>
        <v>237015</v>
      </c>
      <c r="G29" s="2480">
        <f>SUM(G14)</f>
        <v>300000</v>
      </c>
      <c r="H29" s="2480">
        <f>SUM(H14)</f>
        <v>300000</v>
      </c>
    </row>
    <row r="30" spans="1:8" ht="20.100000000000001" customHeight="1" outlineLevel="1" thickTop="1"/>
    <row r="31" spans="1:8" s="1403" customFormat="1" ht="19.5" customHeight="1">
      <c r="A31" s="1403" t="s">
        <v>364</v>
      </c>
      <c r="C31" s="3037" t="s">
        <v>363</v>
      </c>
      <c r="E31" s="4742" t="s">
        <v>1779</v>
      </c>
      <c r="F31" s="4742"/>
    </row>
    <row r="32" spans="1:8" s="1403" customFormat="1" ht="18" customHeight="1">
      <c r="C32" s="3037"/>
    </row>
    <row r="33" spans="1:9" s="1403" customFormat="1" ht="18" customHeight="1">
      <c r="A33" s="3036" t="s">
        <v>2268</v>
      </c>
      <c r="C33" s="4760" t="s">
        <v>360</v>
      </c>
      <c r="D33" s="4760"/>
      <c r="E33" s="4741" t="s">
        <v>359</v>
      </c>
      <c r="F33" s="4741"/>
      <c r="G33" s="4741"/>
      <c r="H33" s="4741"/>
    </row>
    <row r="34" spans="1:9" s="1404" customFormat="1" ht="12.75">
      <c r="A34" s="1407" t="s">
        <v>2287</v>
      </c>
      <c r="B34" s="1407"/>
      <c r="C34" s="4754" t="s">
        <v>357</v>
      </c>
      <c r="D34" s="4754"/>
      <c r="E34" s="4755" t="s">
        <v>356</v>
      </c>
      <c r="F34" s="4755"/>
      <c r="G34" s="4755"/>
      <c r="H34" s="4755"/>
      <c r="I34" s="2236"/>
    </row>
    <row r="35" spans="1:9" s="1404" customFormat="1" ht="12.75">
      <c r="A35" s="4756"/>
      <c r="B35" s="4756"/>
      <c r="D35" s="1406"/>
      <c r="E35" s="1406"/>
      <c r="F35" s="1406"/>
      <c r="G35" s="1406"/>
      <c r="H35" s="1406"/>
      <c r="I35" s="2236"/>
    </row>
  </sheetData>
  <mergeCells count="10">
    <mergeCell ref="C34:D34"/>
    <mergeCell ref="E34:H34"/>
    <mergeCell ref="A35:B35"/>
    <mergeCell ref="A4:H4"/>
    <mergeCell ref="A10:B12"/>
    <mergeCell ref="E10:G10"/>
    <mergeCell ref="E31:F31"/>
    <mergeCell ref="C33:D33"/>
    <mergeCell ref="E33:H33"/>
    <mergeCell ref="A5:H5"/>
  </mergeCells>
  <pageMargins left="0.5" right="0" top="0.75" bottom="0" header="0.5" footer="0"/>
  <pageSetup paperSize="5" orientation="portrait" verticalDpi="300"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5"/>
  <sheetViews>
    <sheetView showGridLines="0" showOutlineSymbols="0" workbookViewId="0">
      <selection activeCell="D19" sqref="D19"/>
    </sheetView>
  </sheetViews>
  <sheetFormatPr defaultColWidth="12.5703125" defaultRowHeight="15.75" outlineLevelRow="1" outlineLevelCol="2"/>
  <cols>
    <col min="1" max="1" width="1.85546875" style="1390" customWidth="1"/>
    <col min="2" max="2" width="34" style="1390" customWidth="1"/>
    <col min="3"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9" s="1403" customFormat="1" ht="12.75">
      <c r="A1" s="2527" t="s">
        <v>473</v>
      </c>
      <c r="C1" s="2527"/>
      <c r="E1" s="2527"/>
      <c r="F1" s="2527"/>
      <c r="H1" s="2527"/>
    </row>
    <row r="2" spans="1:9" s="1403" customFormat="1" ht="14.25" customHeight="1">
      <c r="A2" s="2526" t="s">
        <v>584</v>
      </c>
      <c r="C2" s="2526"/>
      <c r="E2" s="2526"/>
      <c r="F2" s="2526"/>
      <c r="H2" s="2526"/>
    </row>
    <row r="3" spans="1:9" s="1403" customFormat="1" ht="14.25" customHeight="1">
      <c r="E3" s="2526"/>
      <c r="F3" s="2526"/>
      <c r="H3" s="2526"/>
    </row>
    <row r="4" spans="1:9" s="1403" customFormat="1" ht="14.25" customHeight="1">
      <c r="A4" s="4741" t="s">
        <v>471</v>
      </c>
      <c r="B4" s="4741"/>
      <c r="C4" s="4741"/>
      <c r="D4" s="4741"/>
      <c r="E4" s="4741"/>
      <c r="F4" s="4741"/>
      <c r="G4" s="4741"/>
      <c r="H4" s="4741"/>
    </row>
    <row r="5" spans="1:9" s="1403" customFormat="1" ht="14.25" customHeight="1">
      <c r="A5" s="4742" t="s">
        <v>470</v>
      </c>
      <c r="B5" s="4742"/>
      <c r="C5" s="4742"/>
      <c r="D5" s="4742"/>
      <c r="E5" s="4742"/>
      <c r="F5" s="4742"/>
      <c r="G5" s="4742"/>
      <c r="H5" s="4742"/>
    </row>
    <row r="6" spans="1:9" s="1403" customFormat="1" ht="14.25" customHeight="1">
      <c r="A6" s="1578"/>
      <c r="B6" s="1578"/>
      <c r="C6" s="1578"/>
      <c r="D6" s="1578"/>
      <c r="E6" s="1578"/>
      <c r="F6" s="1578"/>
      <c r="G6" s="1578"/>
      <c r="H6" s="1578"/>
    </row>
    <row r="7" spans="1:9" s="1403" customFormat="1" ht="14.25" customHeight="1">
      <c r="A7" s="2522" t="s">
        <v>2283</v>
      </c>
    </row>
    <row r="8" spans="1:9" ht="14.25" customHeight="1">
      <c r="A8" s="3135"/>
      <c r="B8" s="3129" t="s">
        <v>2298</v>
      </c>
      <c r="D8" s="1403"/>
      <c r="E8" s="1403"/>
      <c r="F8" s="1403"/>
      <c r="G8" s="1403"/>
      <c r="H8" s="1403"/>
    </row>
    <row r="9" spans="1:9" ht="14.25" customHeight="1">
      <c r="A9" s="3135"/>
      <c r="B9" s="1577"/>
      <c r="D9" s="1403"/>
      <c r="E9" s="1403"/>
      <c r="F9" s="1403"/>
      <c r="G9" s="1403"/>
      <c r="H9" s="1403"/>
    </row>
    <row r="10" spans="1:9" ht="14.25" customHeight="1">
      <c r="A10" s="4934" t="s">
        <v>468</v>
      </c>
      <c r="B10" s="4935"/>
      <c r="C10" s="2607" t="s">
        <v>467</v>
      </c>
      <c r="D10" s="2608" t="s">
        <v>466</v>
      </c>
      <c r="E10" s="4869" t="s">
        <v>465</v>
      </c>
      <c r="F10" s="4870"/>
      <c r="G10" s="4871"/>
      <c r="H10" s="2607" t="s">
        <v>464</v>
      </c>
    </row>
    <row r="11" spans="1:9" ht="14.25" customHeight="1">
      <c r="A11" s="4936"/>
      <c r="B11" s="4937"/>
      <c r="C11" s="2606" t="s">
        <v>463</v>
      </c>
      <c r="D11" s="2517" t="s">
        <v>573</v>
      </c>
      <c r="E11" s="2646" t="s">
        <v>462</v>
      </c>
      <c r="F11" s="2646" t="s">
        <v>461</v>
      </c>
      <c r="G11" s="2517" t="s">
        <v>244</v>
      </c>
      <c r="H11" s="2517" t="s">
        <v>652</v>
      </c>
    </row>
    <row r="12" spans="1:9" ht="14.25" customHeight="1">
      <c r="A12" s="4938"/>
      <c r="B12" s="4939"/>
      <c r="C12" s="2604"/>
      <c r="D12" s="2602" t="s">
        <v>460</v>
      </c>
      <c r="E12" s="2602" t="s">
        <v>460</v>
      </c>
      <c r="F12" s="2602" t="s">
        <v>459</v>
      </c>
      <c r="G12" s="2623"/>
      <c r="H12" s="2602" t="s">
        <v>458</v>
      </c>
    </row>
    <row r="13" spans="1:9" ht="20.100000000000001" customHeight="1">
      <c r="A13" s="3109" t="s">
        <v>456</v>
      </c>
      <c r="B13" s="3134"/>
      <c r="C13" s="2834"/>
      <c r="D13" s="2834"/>
      <c r="E13" s="2834"/>
      <c r="F13" s="3108"/>
      <c r="G13" s="3108"/>
      <c r="H13" s="3108"/>
    </row>
    <row r="14" spans="1:9" ht="20.100000000000001" customHeight="1">
      <c r="A14" s="1436" t="s">
        <v>407</v>
      </c>
      <c r="B14" s="1435"/>
      <c r="C14" s="1513"/>
      <c r="D14" s="2598">
        <f>SUM(D15:D28)</f>
        <v>161118</v>
      </c>
      <c r="E14" s="2598">
        <f>SUM(E15:E28)</f>
        <v>63270</v>
      </c>
      <c r="F14" s="2598">
        <f>SUM(F15:F28)</f>
        <v>151730</v>
      </c>
      <c r="G14" s="2598">
        <f>SUM(G15:G28)</f>
        <v>215000</v>
      </c>
      <c r="H14" s="2598">
        <f>SUM(H15:H28)</f>
        <v>215000</v>
      </c>
      <c r="I14" s="3145"/>
    </row>
    <row r="15" spans="1:9" ht="19.5" customHeight="1" outlineLevel="1">
      <c r="A15" s="519" t="s">
        <v>1975</v>
      </c>
      <c r="B15" s="2144"/>
      <c r="C15" s="2218" t="s">
        <v>1974</v>
      </c>
      <c r="D15" s="1474">
        <v>18000</v>
      </c>
      <c r="E15" s="1532">
        <v>0</v>
      </c>
      <c r="F15" s="1472">
        <f>G15-E15</f>
        <v>20000</v>
      </c>
      <c r="G15" s="1504">
        <v>20000</v>
      </c>
      <c r="H15" s="1424">
        <v>20000</v>
      </c>
    </row>
    <row r="16" spans="1:9" ht="19.5" customHeight="1" outlineLevel="1">
      <c r="A16" s="3149" t="s">
        <v>389</v>
      </c>
      <c r="B16" s="1488"/>
      <c r="C16" s="3148" t="s">
        <v>388</v>
      </c>
      <c r="D16" s="1474">
        <v>137370</v>
      </c>
      <c r="E16" s="1532">
        <v>63270</v>
      </c>
      <c r="F16" s="1472">
        <f>G16-E16</f>
        <v>125370</v>
      </c>
      <c r="G16" s="1504">
        <v>188640</v>
      </c>
      <c r="H16" s="1424">
        <f>G16</f>
        <v>188640</v>
      </c>
    </row>
    <row r="17" spans="1:8" ht="19.5" customHeight="1" outlineLevel="1">
      <c r="A17" s="517" t="s">
        <v>368</v>
      </c>
      <c r="B17" s="516"/>
      <c r="C17" s="971" t="s">
        <v>367</v>
      </c>
      <c r="D17" s="1474">
        <v>5748</v>
      </c>
      <c r="E17" s="1532">
        <v>0</v>
      </c>
      <c r="F17" s="1472">
        <f>G17-E17</f>
        <v>6360</v>
      </c>
      <c r="G17" s="1504">
        <v>6360</v>
      </c>
      <c r="H17" s="1424">
        <f>G17</f>
        <v>6360</v>
      </c>
    </row>
    <row r="18" spans="1:8" s="1395" customFormat="1" ht="19.5" customHeight="1" outlineLevel="1">
      <c r="A18" s="1396"/>
      <c r="B18" s="1394"/>
      <c r="C18" s="3143"/>
      <c r="D18" s="1474"/>
      <c r="E18" s="1532"/>
      <c r="F18" s="1472"/>
      <c r="G18" s="1504"/>
      <c r="H18" s="1424"/>
    </row>
    <row r="19" spans="1:8" s="1395" customFormat="1" ht="19.5" customHeight="1" outlineLevel="1">
      <c r="A19" s="1396"/>
      <c r="B19" s="1394"/>
      <c r="C19" s="3143"/>
      <c r="D19" s="1474"/>
      <c r="E19" s="1532"/>
      <c r="F19" s="1472"/>
      <c r="G19" s="1504"/>
      <c r="H19" s="1424"/>
    </row>
    <row r="20" spans="1:8" s="1395" customFormat="1" ht="19.5" customHeight="1" outlineLevel="1">
      <c r="A20" s="517"/>
      <c r="B20" s="516"/>
      <c r="C20" s="971"/>
      <c r="D20" s="1474"/>
      <c r="E20" s="1532"/>
      <c r="F20" s="1472"/>
      <c r="G20" s="1504"/>
      <c r="H20" s="1424"/>
    </row>
    <row r="21" spans="1:8" s="1395" customFormat="1" ht="19.5" customHeight="1" outlineLevel="1">
      <c r="A21" s="517"/>
      <c r="B21" s="516"/>
      <c r="C21" s="971"/>
      <c r="D21" s="1474"/>
      <c r="E21" s="1532"/>
      <c r="F21" s="1472"/>
      <c r="G21" s="1504"/>
      <c r="H21" s="1424"/>
    </row>
    <row r="22" spans="1:8" s="1395" customFormat="1" ht="19.5" customHeight="1" outlineLevel="1">
      <c r="A22" s="517"/>
      <c r="B22" s="516"/>
      <c r="C22" s="971"/>
      <c r="D22" s="1474"/>
      <c r="E22" s="1532"/>
      <c r="F22" s="1472"/>
      <c r="G22" s="1504"/>
      <c r="H22" s="1424"/>
    </row>
    <row r="23" spans="1:8" s="1395" customFormat="1" ht="19.5" customHeight="1" outlineLevel="1">
      <c r="A23" s="517"/>
      <c r="B23" s="516"/>
      <c r="C23" s="971"/>
      <c r="D23" s="1474"/>
      <c r="E23" s="1532"/>
      <c r="F23" s="1472"/>
      <c r="G23" s="1504"/>
      <c r="H23" s="1424"/>
    </row>
    <row r="24" spans="1:8" s="1395" customFormat="1" ht="19.5" customHeight="1" outlineLevel="1">
      <c r="A24" s="517"/>
      <c r="B24" s="516"/>
      <c r="C24" s="971"/>
      <c r="D24" s="1474"/>
      <c r="E24" s="1532"/>
      <c r="F24" s="1472"/>
      <c r="G24" s="1504"/>
      <c r="H24" s="1424"/>
    </row>
    <row r="25" spans="1:8" s="1395" customFormat="1" ht="19.5" customHeight="1" outlineLevel="1">
      <c r="A25" s="517"/>
      <c r="B25" s="516"/>
      <c r="C25" s="971"/>
      <c r="D25" s="1474"/>
      <c r="E25" s="1532"/>
      <c r="F25" s="1472"/>
      <c r="G25" s="1504"/>
      <c r="H25" s="1424"/>
    </row>
    <row r="26" spans="1:8" s="1395" customFormat="1" ht="19.5" customHeight="1" outlineLevel="1">
      <c r="A26" s="1736"/>
      <c r="B26" s="1735"/>
      <c r="C26" s="978"/>
      <c r="D26" s="1474"/>
      <c r="E26" s="1532"/>
      <c r="F26" s="1472"/>
      <c r="G26" s="1504"/>
      <c r="H26" s="1424"/>
    </row>
    <row r="27" spans="1:8" s="1395" customFormat="1" ht="19.5" customHeight="1" outlineLevel="1">
      <c r="A27" s="517"/>
      <c r="B27" s="516"/>
      <c r="C27" s="971"/>
      <c r="D27" s="1474"/>
      <c r="E27" s="1532"/>
      <c r="F27" s="1472"/>
      <c r="G27" s="1504"/>
      <c r="H27" s="1424"/>
    </row>
    <row r="28" spans="1:8" s="1395" customFormat="1" ht="19.5" customHeight="1" outlineLevel="1">
      <c r="A28" s="508"/>
      <c r="B28" s="3119"/>
      <c r="C28" s="3118"/>
      <c r="D28" s="3117"/>
      <c r="E28" s="3142"/>
      <c r="F28" s="3141"/>
      <c r="G28" s="3140"/>
      <c r="H28" s="1481"/>
    </row>
    <row r="29" spans="1:8" s="1395" customFormat="1" ht="21" customHeight="1" outlineLevel="1" thickBot="1">
      <c r="A29" s="1421" t="s">
        <v>366</v>
      </c>
      <c r="B29" s="1420"/>
      <c r="C29" s="1419"/>
      <c r="D29" s="2480">
        <f>SUM(D14)</f>
        <v>161118</v>
      </c>
      <c r="E29" s="2480">
        <f>SUM(E14)</f>
        <v>63270</v>
      </c>
      <c r="F29" s="2480">
        <f>SUM(F14)</f>
        <v>151730</v>
      </c>
      <c r="G29" s="2480">
        <f>SUM(G14)</f>
        <v>215000</v>
      </c>
      <c r="H29" s="2480">
        <f>SUM(H14)</f>
        <v>215000</v>
      </c>
    </row>
    <row r="30" spans="1:8" ht="20.100000000000001" customHeight="1" outlineLevel="1" thickTop="1"/>
    <row r="31" spans="1:8" s="1403" customFormat="1" ht="19.5" customHeight="1">
      <c r="A31" s="1403" t="s">
        <v>364</v>
      </c>
      <c r="C31" s="3037" t="s">
        <v>363</v>
      </c>
      <c r="E31" s="4742" t="s">
        <v>1779</v>
      </c>
      <c r="F31" s="4742"/>
    </row>
    <row r="32" spans="1:8" s="1403" customFormat="1" ht="18" customHeight="1">
      <c r="C32" s="3037"/>
    </row>
    <row r="33" spans="1:9" s="1403" customFormat="1" ht="18" customHeight="1">
      <c r="A33" s="3036" t="s">
        <v>2268</v>
      </c>
      <c r="C33" s="4760" t="s">
        <v>360</v>
      </c>
      <c r="D33" s="4760"/>
      <c r="E33" s="4741" t="s">
        <v>359</v>
      </c>
      <c r="F33" s="4741"/>
      <c r="G33" s="4741"/>
      <c r="H33" s="4741"/>
    </row>
    <row r="34" spans="1:9" s="1404" customFormat="1" ht="12.75">
      <c r="A34" s="1407" t="s">
        <v>2287</v>
      </c>
      <c r="B34" s="1407"/>
      <c r="C34" s="4754" t="s">
        <v>357</v>
      </c>
      <c r="D34" s="4754"/>
      <c r="E34" s="4755" t="s">
        <v>356</v>
      </c>
      <c r="F34" s="4755"/>
      <c r="G34" s="4755"/>
      <c r="H34" s="4755"/>
      <c r="I34" s="2236"/>
    </row>
    <row r="35" spans="1:9" s="1404" customFormat="1" ht="12.75">
      <c r="A35" s="4756"/>
      <c r="B35" s="4756"/>
      <c r="D35" s="1406"/>
      <c r="E35" s="1406"/>
      <c r="F35" s="1406"/>
      <c r="G35" s="1406"/>
      <c r="H35" s="1406"/>
      <c r="I35" s="2236"/>
    </row>
  </sheetData>
  <mergeCells count="10">
    <mergeCell ref="A4:H4"/>
    <mergeCell ref="A5:H5"/>
    <mergeCell ref="C34:D34"/>
    <mergeCell ref="E34:H34"/>
    <mergeCell ref="A35:B35"/>
    <mergeCell ref="A10:B12"/>
    <mergeCell ref="E10:G10"/>
    <mergeCell ref="E31:F31"/>
    <mergeCell ref="C33:D33"/>
    <mergeCell ref="E33:H33"/>
  </mergeCells>
  <pageMargins left="0.5" right="0" top="0.75" bottom="0" header="0.5" footer="0"/>
  <pageSetup paperSize="5" orientation="portrait" verticalDpi="300"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5"/>
  <sheetViews>
    <sheetView showGridLines="0" showOutlineSymbols="0" workbookViewId="0">
      <selection activeCell="J15" sqref="J15"/>
    </sheetView>
  </sheetViews>
  <sheetFormatPr defaultColWidth="12.5703125" defaultRowHeight="15.75" outlineLevelRow="1" outlineLevelCol="2"/>
  <cols>
    <col min="1" max="1" width="1.85546875" style="1390" customWidth="1"/>
    <col min="2" max="2" width="34" style="1390" customWidth="1"/>
    <col min="3"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8" s="1403" customFormat="1" ht="12.75">
      <c r="A1" s="2527" t="s">
        <v>473</v>
      </c>
      <c r="C1" s="2527"/>
      <c r="E1" s="2527"/>
      <c r="F1" s="2527"/>
      <c r="H1" s="2527"/>
    </row>
    <row r="2" spans="1:8" s="1403" customFormat="1" ht="14.25" customHeight="1">
      <c r="A2" s="2526" t="s">
        <v>584</v>
      </c>
      <c r="C2" s="2526"/>
      <c r="E2" s="2526"/>
      <c r="F2" s="2526"/>
      <c r="H2" s="2526"/>
    </row>
    <row r="3" spans="1:8" s="1403" customFormat="1" ht="14.25" customHeight="1">
      <c r="E3" s="2526"/>
      <c r="F3" s="2526"/>
      <c r="H3" s="2526"/>
    </row>
    <row r="4" spans="1:8" s="1403" customFormat="1" ht="14.25" customHeight="1">
      <c r="A4" s="4741" t="s">
        <v>471</v>
      </c>
      <c r="B4" s="4741"/>
      <c r="C4" s="4741"/>
      <c r="D4" s="4741"/>
      <c r="E4" s="4741"/>
      <c r="F4" s="4741"/>
      <c r="G4" s="4741"/>
      <c r="H4" s="4741"/>
    </row>
    <row r="5" spans="1:8" s="1403" customFormat="1" ht="14.25" customHeight="1">
      <c r="A5" s="4742" t="s">
        <v>470</v>
      </c>
      <c r="B5" s="4742"/>
      <c r="C5" s="4742"/>
      <c r="D5" s="4742"/>
      <c r="E5" s="4742"/>
      <c r="F5" s="4742"/>
      <c r="G5" s="4742"/>
      <c r="H5" s="4742"/>
    </row>
    <row r="6" spans="1:8" s="1403" customFormat="1" ht="14.25" customHeight="1">
      <c r="A6" s="1578"/>
      <c r="B6" s="1578"/>
      <c r="C6" s="1578"/>
      <c r="D6" s="1578"/>
      <c r="E6" s="1578"/>
      <c r="F6" s="1578"/>
      <c r="G6" s="1578"/>
      <c r="H6" s="1578"/>
    </row>
    <row r="7" spans="1:8" s="1403" customFormat="1" ht="14.25" customHeight="1">
      <c r="A7" s="2522" t="s">
        <v>2281</v>
      </c>
    </row>
    <row r="8" spans="1:8" ht="14.25" customHeight="1">
      <c r="A8" s="3135"/>
      <c r="B8" s="3129" t="s">
        <v>2299</v>
      </c>
      <c r="D8" s="1403"/>
      <c r="E8" s="1403"/>
      <c r="F8" s="1403"/>
      <c r="G8" s="1403"/>
      <c r="H8" s="1403"/>
    </row>
    <row r="9" spans="1:8" ht="14.25" customHeight="1">
      <c r="A9" s="3135"/>
      <c r="B9" s="1577"/>
      <c r="D9" s="1403"/>
      <c r="E9" s="1403"/>
      <c r="F9" s="1403"/>
      <c r="G9" s="1403"/>
      <c r="H9" s="1403"/>
    </row>
    <row r="10" spans="1:8" ht="14.25" customHeight="1">
      <c r="A10" s="4934" t="s">
        <v>468</v>
      </c>
      <c r="B10" s="4935"/>
      <c r="C10" s="2607" t="s">
        <v>467</v>
      </c>
      <c r="D10" s="2608" t="s">
        <v>466</v>
      </c>
      <c r="E10" s="4869" t="s">
        <v>465</v>
      </c>
      <c r="F10" s="4870"/>
      <c r="G10" s="4871"/>
      <c r="H10" s="2607" t="s">
        <v>464</v>
      </c>
    </row>
    <row r="11" spans="1:8" ht="14.25" customHeight="1">
      <c r="A11" s="4936"/>
      <c r="B11" s="4937"/>
      <c r="C11" s="2606" t="s">
        <v>463</v>
      </c>
      <c r="D11" s="2517" t="s">
        <v>573</v>
      </c>
      <c r="E11" s="2646" t="s">
        <v>462</v>
      </c>
      <c r="F11" s="2646" t="s">
        <v>461</v>
      </c>
      <c r="G11" s="2517" t="s">
        <v>244</v>
      </c>
      <c r="H11" s="2517" t="s">
        <v>652</v>
      </c>
    </row>
    <row r="12" spans="1:8" ht="14.25" customHeight="1">
      <c r="A12" s="4938"/>
      <c r="B12" s="4939"/>
      <c r="C12" s="2604"/>
      <c r="D12" s="2602" t="s">
        <v>460</v>
      </c>
      <c r="E12" s="2602" t="s">
        <v>460</v>
      </c>
      <c r="F12" s="2602" t="s">
        <v>459</v>
      </c>
      <c r="G12" s="2623"/>
      <c r="H12" s="2602" t="s">
        <v>458</v>
      </c>
    </row>
    <row r="13" spans="1:8" ht="20.100000000000001" customHeight="1">
      <c r="A13" s="3109" t="s">
        <v>581</v>
      </c>
      <c r="B13" s="3134"/>
      <c r="C13" s="2834"/>
      <c r="D13" s="2834"/>
      <c r="E13" s="2834"/>
      <c r="F13" s="3108"/>
      <c r="G13" s="3108"/>
      <c r="H13" s="3108"/>
    </row>
    <row r="14" spans="1:8" ht="20.100000000000001" customHeight="1">
      <c r="A14" s="1436" t="s">
        <v>407</v>
      </c>
      <c r="B14" s="1435"/>
      <c r="C14" s="1513"/>
      <c r="D14" s="2598">
        <f>SUM(D15:D28)</f>
        <v>395992.8</v>
      </c>
      <c r="E14" s="2598">
        <f>SUM(E15:E28)</f>
        <v>281335</v>
      </c>
      <c r="F14" s="2598">
        <f>SUM(F15:F28)</f>
        <v>373665</v>
      </c>
      <c r="G14" s="2598">
        <f>SUM(G15:G28)</f>
        <v>655000</v>
      </c>
      <c r="H14" s="2598">
        <f>SUM(H15:H28)</f>
        <v>655000</v>
      </c>
    </row>
    <row r="15" spans="1:8" ht="19.5" customHeight="1" outlineLevel="1">
      <c r="A15" s="519" t="s">
        <v>1975</v>
      </c>
      <c r="B15" s="2144"/>
      <c r="C15" s="2176" t="s">
        <v>1974</v>
      </c>
      <c r="D15" s="1474">
        <v>0</v>
      </c>
      <c r="E15" s="1532">
        <v>100000</v>
      </c>
      <c r="F15" s="1472">
        <f>G15-E15</f>
        <v>20000</v>
      </c>
      <c r="G15" s="1504">
        <v>120000</v>
      </c>
      <c r="H15" s="1424">
        <v>120000</v>
      </c>
    </row>
    <row r="16" spans="1:8" ht="19.5" customHeight="1" outlineLevel="1">
      <c r="A16" s="3146" t="s">
        <v>395</v>
      </c>
      <c r="B16" s="1552"/>
      <c r="C16" s="3124" t="s">
        <v>394</v>
      </c>
      <c r="D16" s="1474">
        <v>0</v>
      </c>
      <c r="E16" s="1532">
        <v>0</v>
      </c>
      <c r="F16" s="1472">
        <f>G16-E16</f>
        <v>75640</v>
      </c>
      <c r="G16" s="1504">
        <v>75640</v>
      </c>
      <c r="H16" s="1424">
        <f>G16</f>
        <v>75640</v>
      </c>
    </row>
    <row r="17" spans="1:8" ht="19.5" customHeight="1" outlineLevel="1">
      <c r="A17" s="517" t="s">
        <v>389</v>
      </c>
      <c r="B17" s="516"/>
      <c r="C17" s="2192" t="s">
        <v>388</v>
      </c>
      <c r="D17" s="1474">
        <v>395992.8</v>
      </c>
      <c r="E17" s="1532">
        <v>181335</v>
      </c>
      <c r="F17" s="1472">
        <f>G17-E17</f>
        <v>278025</v>
      </c>
      <c r="G17" s="1504">
        <v>459360</v>
      </c>
      <c r="H17" s="1424">
        <f>G17</f>
        <v>459360</v>
      </c>
    </row>
    <row r="18" spans="1:8" s="1395" customFormat="1" ht="19.5" customHeight="1" outlineLevel="1">
      <c r="A18" s="517"/>
      <c r="B18" s="516"/>
      <c r="C18" s="2192"/>
      <c r="D18" s="1474"/>
      <c r="E18" s="1532"/>
      <c r="F18" s="1472"/>
      <c r="G18" s="1504"/>
      <c r="H18" s="1424"/>
    </row>
    <row r="19" spans="1:8" s="1395" customFormat="1" ht="19.5" customHeight="1" outlineLevel="1">
      <c r="A19" s="1396"/>
      <c r="B19" s="1394"/>
      <c r="C19" s="3143"/>
      <c r="D19" s="1474"/>
      <c r="E19" s="1532"/>
      <c r="F19" s="1472"/>
      <c r="G19" s="1504"/>
      <c r="H19" s="1424"/>
    </row>
    <row r="20" spans="1:8" s="1395" customFormat="1" ht="19.5" customHeight="1" outlineLevel="1">
      <c r="A20" s="519"/>
      <c r="B20" s="518"/>
      <c r="C20" s="2176"/>
      <c r="D20" s="1474"/>
      <c r="E20" s="1532"/>
      <c r="F20" s="1472"/>
      <c r="G20" s="1504"/>
      <c r="H20" s="1424"/>
    </row>
    <row r="21" spans="1:8" s="1395" customFormat="1" ht="19.5" customHeight="1" outlineLevel="1">
      <c r="A21" s="517"/>
      <c r="B21" s="516"/>
      <c r="C21" s="971"/>
      <c r="D21" s="1474"/>
      <c r="E21" s="1532"/>
      <c r="F21" s="1472"/>
      <c r="G21" s="1504"/>
      <c r="H21" s="1424"/>
    </row>
    <row r="22" spans="1:8" s="1395" customFormat="1" ht="19.5" customHeight="1" outlineLevel="1">
      <c r="A22" s="517"/>
      <c r="B22" s="516"/>
      <c r="C22" s="971"/>
      <c r="D22" s="1474"/>
      <c r="E22" s="1532"/>
      <c r="F22" s="1472"/>
      <c r="G22" s="1504"/>
      <c r="H22" s="1424"/>
    </row>
    <row r="23" spans="1:8" s="1395" customFormat="1" ht="19.5" customHeight="1" outlineLevel="1">
      <c r="A23" s="517"/>
      <c r="B23" s="516"/>
      <c r="C23" s="971"/>
      <c r="D23" s="1474"/>
      <c r="E23" s="1532"/>
      <c r="F23" s="1472"/>
      <c r="G23" s="1504"/>
      <c r="H23" s="1424"/>
    </row>
    <row r="24" spans="1:8" s="1395" customFormat="1" ht="19.5" customHeight="1" outlineLevel="1">
      <c r="A24" s="517"/>
      <c r="B24" s="516"/>
      <c r="C24" s="971"/>
      <c r="D24" s="1474"/>
      <c r="E24" s="1532"/>
      <c r="F24" s="1472"/>
      <c r="G24" s="1504"/>
      <c r="H24" s="1424"/>
    </row>
    <row r="25" spans="1:8" s="1395" customFormat="1" ht="19.5" customHeight="1" outlineLevel="1">
      <c r="A25" s="517"/>
      <c r="B25" s="516"/>
      <c r="C25" s="971"/>
      <c r="D25" s="1474"/>
      <c r="E25" s="1532"/>
      <c r="F25" s="1472"/>
      <c r="G25" s="1504"/>
      <c r="H25" s="1424"/>
    </row>
    <row r="26" spans="1:8" s="1395" customFormat="1" ht="19.5" customHeight="1" outlineLevel="1">
      <c r="A26" s="1736"/>
      <c r="B26" s="1735"/>
      <c r="C26" s="978"/>
      <c r="D26" s="1474"/>
      <c r="E26" s="1532"/>
      <c r="F26" s="1472"/>
      <c r="G26" s="1504"/>
      <c r="H26" s="1424"/>
    </row>
    <row r="27" spans="1:8" s="1395" customFormat="1" ht="19.5" customHeight="1" outlineLevel="1">
      <c r="A27" s="517"/>
      <c r="B27" s="516"/>
      <c r="C27" s="971"/>
      <c r="D27" s="1474"/>
      <c r="E27" s="1532"/>
      <c r="F27" s="1472"/>
      <c r="G27" s="1504"/>
      <c r="H27" s="1424"/>
    </row>
    <row r="28" spans="1:8" s="1395" customFormat="1" ht="19.5" customHeight="1" outlineLevel="1">
      <c r="A28" s="508"/>
      <c r="B28" s="3119"/>
      <c r="C28" s="3118"/>
      <c r="D28" s="3117"/>
      <c r="E28" s="3142"/>
      <c r="F28" s="3141"/>
      <c r="G28" s="3140"/>
      <c r="H28" s="1481"/>
    </row>
    <row r="29" spans="1:8" s="1395" customFormat="1" ht="21.95" customHeight="1" outlineLevel="1" thickBot="1">
      <c r="A29" s="1421" t="s">
        <v>366</v>
      </c>
      <c r="B29" s="1420"/>
      <c r="C29" s="1419"/>
      <c r="D29" s="2480">
        <f>D14</f>
        <v>395992.8</v>
      </c>
      <c r="E29" s="2480">
        <f>SUM(E14)</f>
        <v>281335</v>
      </c>
      <c r="F29" s="2480">
        <f>SUM(F14)</f>
        <v>373665</v>
      </c>
      <c r="G29" s="2480">
        <f>SUM(G14)</f>
        <v>655000</v>
      </c>
      <c r="H29" s="2480">
        <f>SUM(H14)</f>
        <v>655000</v>
      </c>
    </row>
    <row r="30" spans="1:8" ht="20.100000000000001" customHeight="1" outlineLevel="1" thickTop="1"/>
    <row r="31" spans="1:8" s="1403" customFormat="1" ht="19.5" customHeight="1">
      <c r="A31" s="1403" t="s">
        <v>364</v>
      </c>
      <c r="C31" s="3037" t="s">
        <v>363</v>
      </c>
      <c r="E31" s="4742" t="s">
        <v>1779</v>
      </c>
      <c r="F31" s="4742"/>
    </row>
    <row r="32" spans="1:8" s="1403" customFormat="1" ht="18" customHeight="1">
      <c r="C32" s="3037"/>
    </row>
    <row r="33" spans="1:9" s="1403" customFormat="1" ht="18" customHeight="1">
      <c r="A33" s="3036" t="s">
        <v>2268</v>
      </c>
      <c r="C33" s="4760" t="s">
        <v>360</v>
      </c>
      <c r="D33" s="4760"/>
      <c r="E33" s="4741" t="s">
        <v>359</v>
      </c>
      <c r="F33" s="4741"/>
      <c r="G33" s="4741"/>
      <c r="H33" s="4741"/>
    </row>
    <row r="34" spans="1:9" s="1404" customFormat="1" ht="12.75">
      <c r="A34" s="1407" t="s">
        <v>2284</v>
      </c>
      <c r="B34" s="1407"/>
      <c r="C34" s="4754" t="s">
        <v>357</v>
      </c>
      <c r="D34" s="4754"/>
      <c r="E34" s="4755" t="s">
        <v>356</v>
      </c>
      <c r="F34" s="4755"/>
      <c r="G34" s="4755"/>
      <c r="H34" s="4755"/>
      <c r="I34" s="2236"/>
    </row>
    <row r="35" spans="1:9" s="1404" customFormat="1" ht="12.75">
      <c r="A35" s="4756"/>
      <c r="B35" s="4756"/>
      <c r="D35" s="1406"/>
      <c r="E35" s="1406"/>
      <c r="F35" s="1406"/>
      <c r="G35" s="1406"/>
      <c r="H35" s="1406"/>
      <c r="I35" s="2236"/>
    </row>
  </sheetData>
  <mergeCells count="10">
    <mergeCell ref="C34:D34"/>
    <mergeCell ref="E34:H34"/>
    <mergeCell ref="A35:B35"/>
    <mergeCell ref="A4:H4"/>
    <mergeCell ref="A10:B12"/>
    <mergeCell ref="E10:G10"/>
    <mergeCell ref="E31:F31"/>
    <mergeCell ref="C33:D33"/>
    <mergeCell ref="E33:H33"/>
    <mergeCell ref="A5:H5"/>
  </mergeCells>
  <pageMargins left="0.5" right="0" top="0.75" bottom="0" header="0.5" footer="0"/>
  <pageSetup paperSize="5" orientation="portrait" verticalDpi="30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5"/>
  <sheetViews>
    <sheetView showGridLines="0" showOutlineSymbols="0" workbookViewId="0">
      <selection activeCell="G20" sqref="G20"/>
    </sheetView>
  </sheetViews>
  <sheetFormatPr defaultColWidth="12.5703125" defaultRowHeight="15.75" outlineLevelRow="1" outlineLevelCol="2"/>
  <cols>
    <col min="1" max="1" width="1.85546875" style="1390" customWidth="1"/>
    <col min="2" max="2" width="34" style="1390" customWidth="1"/>
    <col min="3"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8" s="1403" customFormat="1" ht="12.75">
      <c r="A1" s="2527" t="s">
        <v>473</v>
      </c>
      <c r="C1" s="2527"/>
      <c r="E1" s="2527"/>
      <c r="F1" s="2527"/>
      <c r="H1" s="2527"/>
    </row>
    <row r="2" spans="1:8" s="1403" customFormat="1" ht="14.25" customHeight="1">
      <c r="A2" s="2526" t="s">
        <v>584</v>
      </c>
      <c r="C2" s="2526"/>
      <c r="E2" s="2526"/>
      <c r="F2" s="2526"/>
      <c r="H2" s="2526"/>
    </row>
    <row r="3" spans="1:8" s="1403" customFormat="1" ht="14.25" customHeight="1">
      <c r="E3" s="2526"/>
      <c r="F3" s="2526"/>
      <c r="H3" s="2526"/>
    </row>
    <row r="4" spans="1:8" s="1403" customFormat="1" ht="14.25" customHeight="1">
      <c r="A4" s="4741" t="s">
        <v>471</v>
      </c>
      <c r="B4" s="4741"/>
      <c r="C4" s="4741"/>
      <c r="D4" s="4741"/>
      <c r="E4" s="4741"/>
      <c r="F4" s="4741"/>
      <c r="G4" s="4741"/>
      <c r="H4" s="4741"/>
    </row>
    <row r="5" spans="1:8" s="1403" customFormat="1" ht="14.25" customHeight="1">
      <c r="A5" s="4742" t="s">
        <v>470</v>
      </c>
      <c r="B5" s="4742"/>
      <c r="C5" s="4742"/>
      <c r="D5" s="4742"/>
      <c r="E5" s="4742"/>
      <c r="F5" s="4742"/>
      <c r="G5" s="4742"/>
      <c r="H5" s="4742"/>
    </row>
    <row r="6" spans="1:8" s="1403" customFormat="1" ht="14.25" customHeight="1">
      <c r="A6" s="1578"/>
      <c r="B6" s="1578"/>
      <c r="C6" s="1578"/>
      <c r="D6" s="1578"/>
      <c r="E6" s="1578"/>
      <c r="F6" s="1578"/>
      <c r="G6" s="1578"/>
      <c r="H6" s="1578"/>
    </row>
    <row r="7" spans="1:8" s="1403" customFormat="1" ht="14.25" customHeight="1">
      <c r="A7" s="2522" t="s">
        <v>2281</v>
      </c>
    </row>
    <row r="8" spans="1:8" ht="14.25" customHeight="1">
      <c r="A8" s="3135"/>
      <c r="B8" s="3129" t="s">
        <v>2301</v>
      </c>
      <c r="D8" s="1403"/>
      <c r="E8" s="1403"/>
      <c r="F8" s="1403"/>
      <c r="G8" s="1403"/>
      <c r="H8" s="1403"/>
    </row>
    <row r="9" spans="1:8" ht="14.25" customHeight="1">
      <c r="A9" s="3135"/>
      <c r="B9" s="1577"/>
      <c r="D9" s="1403"/>
      <c r="E9" s="1403"/>
      <c r="F9" s="1403"/>
      <c r="G9" s="1403"/>
      <c r="H9" s="1403"/>
    </row>
    <row r="10" spans="1:8" ht="14.25" customHeight="1">
      <c r="A10" s="4934" t="s">
        <v>468</v>
      </c>
      <c r="B10" s="4935"/>
      <c r="C10" s="2607" t="s">
        <v>467</v>
      </c>
      <c r="D10" s="2608" t="s">
        <v>466</v>
      </c>
      <c r="E10" s="4869" t="s">
        <v>465</v>
      </c>
      <c r="F10" s="4870"/>
      <c r="G10" s="4871"/>
      <c r="H10" s="2607" t="s">
        <v>464</v>
      </c>
    </row>
    <row r="11" spans="1:8" ht="14.25" customHeight="1">
      <c r="A11" s="4936"/>
      <c r="B11" s="4937"/>
      <c r="C11" s="2606" t="s">
        <v>463</v>
      </c>
      <c r="D11" s="2517" t="s">
        <v>573</v>
      </c>
      <c r="E11" s="2646" t="s">
        <v>462</v>
      </c>
      <c r="F11" s="2646" t="s">
        <v>461</v>
      </c>
      <c r="G11" s="2517" t="s">
        <v>244</v>
      </c>
      <c r="H11" s="2517">
        <v>2022</v>
      </c>
    </row>
    <row r="12" spans="1:8" ht="14.25" customHeight="1">
      <c r="A12" s="4938"/>
      <c r="B12" s="4939"/>
      <c r="C12" s="2604"/>
      <c r="D12" s="2602" t="s">
        <v>460</v>
      </c>
      <c r="E12" s="2602" t="s">
        <v>460</v>
      </c>
      <c r="F12" s="2602" t="s">
        <v>459</v>
      </c>
      <c r="G12" s="2623"/>
      <c r="H12" s="2602" t="s">
        <v>458</v>
      </c>
    </row>
    <row r="13" spans="1:8" ht="20.100000000000001" customHeight="1">
      <c r="A13" s="3109" t="s">
        <v>581</v>
      </c>
      <c r="B13" s="3134"/>
      <c r="C13" s="2834"/>
      <c r="D13" s="2834"/>
      <c r="E13" s="2834"/>
      <c r="F13" s="3108"/>
      <c r="G13" s="3108"/>
      <c r="H13" s="3108"/>
    </row>
    <row r="14" spans="1:8" ht="20.100000000000001" customHeight="1">
      <c r="A14" s="1436" t="s">
        <v>407</v>
      </c>
      <c r="B14" s="1435"/>
      <c r="C14" s="1513"/>
      <c r="D14" s="2598">
        <f>SUM(D15:D28)</f>
        <v>208767.61</v>
      </c>
      <c r="E14" s="2598">
        <f>SUM(E15:E28)</f>
        <v>116782.6</v>
      </c>
      <c r="F14" s="2598">
        <f>SUM(F15:F28)</f>
        <v>243217.4</v>
      </c>
      <c r="G14" s="2598">
        <f>SUM(G15:G28)</f>
        <v>360000</v>
      </c>
      <c r="H14" s="2598">
        <f>SUM(H15:H28)</f>
        <v>360000</v>
      </c>
    </row>
    <row r="15" spans="1:8" ht="19.5" customHeight="1" outlineLevel="1">
      <c r="A15" s="519" t="s">
        <v>1975</v>
      </c>
      <c r="B15" s="2144"/>
      <c r="C15" s="2176" t="s">
        <v>1974</v>
      </c>
      <c r="D15" s="1474">
        <v>0</v>
      </c>
      <c r="E15" s="1532">
        <v>0</v>
      </c>
      <c r="F15" s="1472">
        <f>G15-E15</f>
        <v>125000</v>
      </c>
      <c r="G15" s="1504">
        <v>125000</v>
      </c>
      <c r="H15" s="1424">
        <v>125000</v>
      </c>
    </row>
    <row r="16" spans="1:8" ht="19.5" customHeight="1" outlineLevel="1">
      <c r="A16" s="517" t="s">
        <v>389</v>
      </c>
      <c r="B16" s="516"/>
      <c r="C16" s="2192" t="s">
        <v>388</v>
      </c>
      <c r="D16" s="1474">
        <v>208767.61</v>
      </c>
      <c r="E16" s="1532">
        <v>116782.6</v>
      </c>
      <c r="F16" s="1472">
        <f>G16-E16</f>
        <v>112897.4</v>
      </c>
      <c r="G16" s="1504">
        <f>229680</f>
        <v>229680</v>
      </c>
      <c r="H16" s="1424">
        <f>G16</f>
        <v>229680</v>
      </c>
    </row>
    <row r="17" spans="1:8" ht="19.5" customHeight="1" outlineLevel="1">
      <c r="A17" s="517" t="s">
        <v>368</v>
      </c>
      <c r="B17" s="516"/>
      <c r="C17" s="2192" t="s">
        <v>367</v>
      </c>
      <c r="D17" s="1474">
        <v>0</v>
      </c>
      <c r="E17" s="1532">
        <v>0</v>
      </c>
      <c r="F17" s="1472">
        <f>G17-E17</f>
        <v>5320</v>
      </c>
      <c r="G17" s="1504">
        <v>5320</v>
      </c>
      <c r="H17" s="1424">
        <v>5320</v>
      </c>
    </row>
    <row r="18" spans="1:8" s="1395" customFormat="1" ht="19.5" customHeight="1" outlineLevel="1">
      <c r="A18" s="517"/>
      <c r="B18" s="516"/>
      <c r="C18" s="2192"/>
      <c r="D18" s="1474"/>
      <c r="E18" s="1532"/>
      <c r="F18" s="1472"/>
      <c r="G18" s="1504"/>
      <c r="H18" s="1424"/>
    </row>
    <row r="19" spans="1:8" s="1395" customFormat="1" ht="19.5" customHeight="1" outlineLevel="1">
      <c r="A19" s="1396"/>
      <c r="B19" s="1394"/>
      <c r="C19" s="3143"/>
      <c r="D19" s="1474"/>
      <c r="E19" s="1532"/>
      <c r="F19" s="1472"/>
      <c r="G19" s="1504"/>
      <c r="H19" s="1424"/>
    </row>
    <row r="20" spans="1:8" s="1395" customFormat="1" ht="19.5" customHeight="1" outlineLevel="1">
      <c r="A20" s="517"/>
      <c r="B20" s="516"/>
      <c r="C20" s="971"/>
      <c r="D20" s="1474"/>
      <c r="E20" s="1532"/>
      <c r="F20" s="1472"/>
      <c r="G20" s="1504"/>
      <c r="H20" s="1424"/>
    </row>
    <row r="21" spans="1:8" s="1395" customFormat="1" ht="19.5" customHeight="1" outlineLevel="1">
      <c r="A21" s="517"/>
      <c r="B21" s="516"/>
      <c r="C21" s="971"/>
      <c r="D21" s="1474"/>
      <c r="E21" s="1532"/>
      <c r="F21" s="1472"/>
      <c r="G21" s="1504"/>
      <c r="H21" s="1424"/>
    </row>
    <row r="22" spans="1:8" s="1395" customFormat="1" ht="19.5" customHeight="1" outlineLevel="1">
      <c r="A22" s="517"/>
      <c r="B22" s="516"/>
      <c r="C22" s="971"/>
      <c r="D22" s="1474"/>
      <c r="E22" s="1532"/>
      <c r="F22" s="1472"/>
      <c r="G22" s="1504"/>
      <c r="H22" s="1424"/>
    </row>
    <row r="23" spans="1:8" s="1395" customFormat="1" ht="19.5" customHeight="1" outlineLevel="1">
      <c r="A23" s="517"/>
      <c r="B23" s="516"/>
      <c r="C23" s="971"/>
      <c r="D23" s="1474"/>
      <c r="E23" s="1532"/>
      <c r="F23" s="1472"/>
      <c r="G23" s="1504"/>
      <c r="H23" s="1424"/>
    </row>
    <row r="24" spans="1:8" s="1395" customFormat="1" ht="19.5" customHeight="1" outlineLevel="1">
      <c r="A24" s="517"/>
      <c r="B24" s="516"/>
      <c r="C24" s="971"/>
      <c r="D24" s="1474"/>
      <c r="E24" s="1532"/>
      <c r="F24" s="1472"/>
      <c r="G24" s="1504"/>
      <c r="H24" s="1424"/>
    </row>
    <row r="25" spans="1:8" s="1395" customFormat="1" ht="19.5" customHeight="1" outlineLevel="1">
      <c r="A25" s="517"/>
      <c r="B25" s="516"/>
      <c r="C25" s="971"/>
      <c r="D25" s="1474"/>
      <c r="E25" s="1532"/>
      <c r="F25" s="1472"/>
      <c r="G25" s="1504"/>
      <c r="H25" s="1424"/>
    </row>
    <row r="26" spans="1:8" s="1395" customFormat="1" ht="19.5" customHeight="1" outlineLevel="1">
      <c r="A26" s="1736"/>
      <c r="B26" s="1735"/>
      <c r="C26" s="978"/>
      <c r="D26" s="1474"/>
      <c r="E26" s="1532"/>
      <c r="F26" s="1472"/>
      <c r="G26" s="1504"/>
      <c r="H26" s="1424"/>
    </row>
    <row r="27" spans="1:8" s="1395" customFormat="1" ht="19.5" customHeight="1" outlineLevel="1">
      <c r="A27" s="517"/>
      <c r="B27" s="516"/>
      <c r="C27" s="971"/>
      <c r="D27" s="1474"/>
      <c r="E27" s="1532"/>
      <c r="F27" s="1472"/>
      <c r="G27" s="1504"/>
      <c r="H27" s="1424"/>
    </row>
    <row r="28" spans="1:8" s="1395" customFormat="1" ht="19.5" customHeight="1" outlineLevel="1">
      <c r="A28" s="508"/>
      <c r="B28" s="3119"/>
      <c r="C28" s="3118"/>
      <c r="D28" s="3117"/>
      <c r="E28" s="3142"/>
      <c r="F28" s="3141"/>
      <c r="G28" s="3140"/>
      <c r="H28" s="1481"/>
    </row>
    <row r="29" spans="1:8" s="1395" customFormat="1" ht="19.5" customHeight="1" outlineLevel="1" thickBot="1">
      <c r="A29" s="1421" t="s">
        <v>366</v>
      </c>
      <c r="B29" s="1420"/>
      <c r="C29" s="1419"/>
      <c r="D29" s="2480">
        <f>D14</f>
        <v>208767.61</v>
      </c>
      <c r="E29" s="2480">
        <f>SUM(E14)</f>
        <v>116782.6</v>
      </c>
      <c r="F29" s="2480">
        <f>SUM(F14)</f>
        <v>243217.4</v>
      </c>
      <c r="G29" s="2480">
        <f>SUM(G14)</f>
        <v>360000</v>
      </c>
      <c r="H29" s="2480">
        <f>SUM(H14)</f>
        <v>360000</v>
      </c>
    </row>
    <row r="30" spans="1:8" ht="20.100000000000001" customHeight="1" outlineLevel="1" thickTop="1"/>
    <row r="31" spans="1:8" s="1403" customFormat="1" ht="19.5" customHeight="1">
      <c r="A31" s="1403" t="s">
        <v>364</v>
      </c>
      <c r="C31" s="3037" t="s">
        <v>363</v>
      </c>
      <c r="E31" s="4742" t="s">
        <v>1779</v>
      </c>
      <c r="F31" s="4742"/>
    </row>
    <row r="32" spans="1:8" s="1403" customFormat="1" ht="18" customHeight="1">
      <c r="C32" s="3037"/>
    </row>
    <row r="33" spans="1:9" s="1403" customFormat="1" ht="18" customHeight="1">
      <c r="A33" s="3036" t="s">
        <v>2268</v>
      </c>
      <c r="C33" s="4760" t="s">
        <v>360</v>
      </c>
      <c r="D33" s="4760"/>
      <c r="E33" s="4741" t="s">
        <v>359</v>
      </c>
      <c r="F33" s="4741"/>
      <c r="G33" s="4741"/>
      <c r="H33" s="4741"/>
    </row>
    <row r="34" spans="1:9" s="1404" customFormat="1" ht="12.75">
      <c r="A34" s="1407" t="s">
        <v>2300</v>
      </c>
      <c r="B34" s="1407"/>
      <c r="C34" s="4754" t="s">
        <v>357</v>
      </c>
      <c r="D34" s="4754"/>
      <c r="E34" s="4755" t="s">
        <v>356</v>
      </c>
      <c r="F34" s="4755"/>
      <c r="G34" s="4755"/>
      <c r="H34" s="4755"/>
      <c r="I34" s="2236"/>
    </row>
    <row r="35" spans="1:9" s="1404" customFormat="1" ht="12.75">
      <c r="A35" s="4756"/>
      <c r="B35" s="4756"/>
      <c r="D35" s="1406"/>
      <c r="E35" s="1406"/>
      <c r="F35" s="1406"/>
      <c r="G35" s="1406"/>
      <c r="H35" s="1406"/>
      <c r="I35" s="2236"/>
    </row>
  </sheetData>
  <mergeCells count="10">
    <mergeCell ref="C34:D34"/>
    <mergeCell ref="E34:H34"/>
    <mergeCell ref="A35:B35"/>
    <mergeCell ref="A4:H4"/>
    <mergeCell ref="A10:B12"/>
    <mergeCell ref="E10:G10"/>
    <mergeCell ref="E31:F31"/>
    <mergeCell ref="C33:D33"/>
    <mergeCell ref="E33:H33"/>
    <mergeCell ref="A5:H5"/>
  </mergeCells>
  <pageMargins left="0.5" right="0" top="0.75" bottom="0" header="0.5" footer="0"/>
  <pageSetup paperSize="5" orientation="portrait" verticalDpi="30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3"/>
  <sheetViews>
    <sheetView showGridLines="0" showOutlineSymbols="0" workbookViewId="0">
      <selection activeCell="J22" sqref="J22"/>
    </sheetView>
  </sheetViews>
  <sheetFormatPr defaultColWidth="12.5703125" defaultRowHeight="15.75" outlineLevelRow="1" outlineLevelCol="2"/>
  <cols>
    <col min="1" max="1" width="1.85546875" style="1390" customWidth="1"/>
    <col min="2" max="2" width="34" style="1390" customWidth="1"/>
    <col min="3" max="5" width="10.7109375" style="1390" customWidth="1"/>
    <col min="6" max="6" width="10.7109375" style="572" customWidth="1"/>
    <col min="7"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9" s="1403" customFormat="1" ht="12.75">
      <c r="A1" s="2527"/>
      <c r="B1" s="2527" t="s">
        <v>473</v>
      </c>
      <c r="D1" s="2527"/>
      <c r="E1" s="2527"/>
      <c r="F1" s="2527"/>
      <c r="H1" s="2527"/>
    </row>
    <row r="2" spans="1:9" s="1403" customFormat="1" ht="14.25" customHeight="1">
      <c r="A2" s="2526"/>
      <c r="B2" s="2526" t="s">
        <v>584</v>
      </c>
      <c r="D2" s="2526"/>
      <c r="E2" s="2526"/>
      <c r="F2" s="2526"/>
      <c r="H2" s="2526"/>
    </row>
    <row r="3" spans="1:9" s="1403" customFormat="1" ht="14.25" customHeight="1">
      <c r="E3" s="2526"/>
      <c r="F3" s="2526"/>
      <c r="H3" s="2526"/>
    </row>
    <row r="4" spans="1:9" s="1403" customFormat="1" ht="14.25" customHeight="1">
      <c r="A4" s="4741" t="s">
        <v>471</v>
      </c>
      <c r="B4" s="4741"/>
      <c r="C4" s="4741"/>
      <c r="D4" s="4741"/>
      <c r="E4" s="4741"/>
      <c r="F4" s="4741"/>
      <c r="G4" s="4741"/>
      <c r="H4" s="4741"/>
    </row>
    <row r="5" spans="1:9" s="1403" customFormat="1" ht="14.25" customHeight="1">
      <c r="A5" s="4742" t="s">
        <v>470</v>
      </c>
      <c r="B5" s="4742"/>
      <c r="C5" s="4742"/>
      <c r="D5" s="4742"/>
      <c r="E5" s="4742"/>
      <c r="F5" s="4742"/>
      <c r="G5" s="4742"/>
      <c r="H5" s="4742"/>
    </row>
    <row r="6" spans="1:9" s="1403" customFormat="1" ht="14.25" customHeight="1">
      <c r="A6" s="1578"/>
      <c r="B6" s="1578"/>
      <c r="C6" s="1578"/>
      <c r="D6" s="1578"/>
      <c r="E6" s="1578"/>
      <c r="F6" s="1578"/>
      <c r="G6" s="1578"/>
      <c r="H6" s="1578"/>
    </row>
    <row r="7" spans="1:9" s="1403" customFormat="1" ht="14.25" customHeight="1">
      <c r="A7" s="2522" t="s">
        <v>2281</v>
      </c>
    </row>
    <row r="8" spans="1:9" ht="14.25" customHeight="1">
      <c r="A8" s="3135"/>
      <c r="B8" s="3129" t="s">
        <v>2302</v>
      </c>
      <c r="D8" s="1403"/>
      <c r="E8" s="1403"/>
      <c r="F8" s="1408"/>
      <c r="G8" s="1403"/>
      <c r="H8" s="1403"/>
    </row>
    <row r="9" spans="1:9" ht="14.25" customHeight="1">
      <c r="A9" s="3135"/>
      <c r="B9" s="1577"/>
      <c r="D9" s="1403"/>
      <c r="E9" s="1403"/>
      <c r="F9" s="1408"/>
      <c r="G9" s="1403"/>
      <c r="H9" s="1403"/>
    </row>
    <row r="10" spans="1:9" ht="14.25" customHeight="1">
      <c r="A10" s="4934" t="s">
        <v>468</v>
      </c>
      <c r="B10" s="4935"/>
      <c r="C10" s="2607" t="s">
        <v>467</v>
      </c>
      <c r="D10" s="2608" t="s">
        <v>466</v>
      </c>
      <c r="E10" s="4869" t="s">
        <v>465</v>
      </c>
      <c r="F10" s="4870"/>
      <c r="G10" s="4871"/>
      <c r="H10" s="2607" t="s">
        <v>464</v>
      </c>
    </row>
    <row r="11" spans="1:9" ht="14.25" customHeight="1">
      <c r="A11" s="4936"/>
      <c r="B11" s="4937"/>
      <c r="C11" s="2606" t="s">
        <v>463</v>
      </c>
      <c r="D11" s="2517" t="s">
        <v>573</v>
      </c>
      <c r="E11" s="2646" t="s">
        <v>462</v>
      </c>
      <c r="F11" s="2646" t="s">
        <v>461</v>
      </c>
      <c r="G11" s="2517" t="s">
        <v>244</v>
      </c>
      <c r="H11" s="2517">
        <v>2022</v>
      </c>
    </row>
    <row r="12" spans="1:9" ht="14.25" customHeight="1">
      <c r="A12" s="4938"/>
      <c r="B12" s="4939"/>
      <c r="C12" s="2604"/>
      <c r="D12" s="2602" t="s">
        <v>460</v>
      </c>
      <c r="E12" s="2602" t="s">
        <v>460</v>
      </c>
      <c r="F12" s="2602" t="s">
        <v>459</v>
      </c>
      <c r="G12" s="2623"/>
      <c r="H12" s="2602" t="s">
        <v>458</v>
      </c>
    </row>
    <row r="13" spans="1:9" ht="20.100000000000001" customHeight="1">
      <c r="A13" s="3109" t="s">
        <v>456</v>
      </c>
      <c r="B13" s="3134"/>
      <c r="C13" s="2834"/>
      <c r="D13" s="2834"/>
      <c r="E13" s="2834"/>
      <c r="F13" s="3157"/>
      <c r="G13" s="3108"/>
      <c r="H13" s="3108"/>
    </row>
    <row r="14" spans="1:9" ht="20.100000000000001" customHeight="1">
      <c r="A14" s="2806" t="s">
        <v>407</v>
      </c>
      <c r="B14" s="2805"/>
      <c r="C14" s="3078"/>
      <c r="D14" s="2598">
        <f>SUM(D15:D26)</f>
        <v>1563106.3</v>
      </c>
      <c r="E14" s="2598">
        <f>SUM(E15:E26)</f>
        <v>409396</v>
      </c>
      <c r="F14" s="3156">
        <f>SUM(F15:F26)</f>
        <v>1526100</v>
      </c>
      <c r="G14" s="2598">
        <f>SUM(G15:G26)</f>
        <v>1935496</v>
      </c>
      <c r="H14" s="2598">
        <f>SUM(H15:H26)</f>
        <v>1676400</v>
      </c>
      <c r="I14" s="3145"/>
    </row>
    <row r="15" spans="1:9" ht="19.5" customHeight="1" outlineLevel="1">
      <c r="A15" s="3155" t="s">
        <v>1980</v>
      </c>
      <c r="B15" s="3154"/>
      <c r="C15" s="3144" t="s">
        <v>1979</v>
      </c>
      <c r="D15" s="1474">
        <v>516790</v>
      </c>
      <c r="E15" s="1532">
        <v>24285</v>
      </c>
      <c r="F15" s="3151">
        <f>G15-E15</f>
        <v>500000</v>
      </c>
      <c r="G15" s="1504">
        <v>524285</v>
      </c>
      <c r="H15" s="1424">
        <v>500000</v>
      </c>
    </row>
    <row r="16" spans="1:9" ht="19.5" customHeight="1" outlineLevel="1">
      <c r="A16" s="2972" t="s">
        <v>395</v>
      </c>
      <c r="B16" s="3153"/>
      <c r="C16" s="3152" t="s">
        <v>394</v>
      </c>
      <c r="D16" s="1474">
        <v>23401</v>
      </c>
      <c r="E16" s="1532">
        <v>16745</v>
      </c>
      <c r="F16" s="3151">
        <f>G16-E16</f>
        <v>30000</v>
      </c>
      <c r="G16" s="1504">
        <v>46745</v>
      </c>
      <c r="H16" s="1424">
        <v>30000</v>
      </c>
    </row>
    <row r="17" spans="1:9" s="1551" customFormat="1" ht="19.5" customHeight="1" outlineLevel="1">
      <c r="A17" s="517" t="s">
        <v>389</v>
      </c>
      <c r="B17" s="516"/>
      <c r="C17" s="971" t="s">
        <v>388</v>
      </c>
      <c r="D17" s="3024">
        <v>697224.3</v>
      </c>
      <c r="E17" s="1431">
        <v>284300</v>
      </c>
      <c r="F17" s="1862">
        <f>G17-E17</f>
        <v>421300</v>
      </c>
      <c r="G17" s="1504">
        <v>705600</v>
      </c>
      <c r="H17" s="1424">
        <v>792000</v>
      </c>
    </row>
    <row r="18" spans="1:9" ht="19.5" customHeight="1" outlineLevel="1">
      <c r="A18" s="517" t="s">
        <v>2277</v>
      </c>
      <c r="B18" s="516"/>
      <c r="C18" s="3123" t="s">
        <v>1934</v>
      </c>
      <c r="D18" s="1474">
        <v>42041</v>
      </c>
      <c r="E18" s="1532">
        <v>10136</v>
      </c>
      <c r="F18" s="3147">
        <f>G18-E18</f>
        <v>270000</v>
      </c>
      <c r="G18" s="1504">
        <v>280136</v>
      </c>
      <c r="H18" s="1424">
        <v>20000</v>
      </c>
    </row>
    <row r="19" spans="1:9" s="1395" customFormat="1" ht="19.5" customHeight="1" outlineLevel="1">
      <c r="A19" s="517" t="s">
        <v>368</v>
      </c>
      <c r="B19" s="516"/>
      <c r="C19" s="971" t="s">
        <v>367</v>
      </c>
      <c r="D19" s="1474">
        <v>283650</v>
      </c>
      <c r="E19" s="1532">
        <v>73930</v>
      </c>
      <c r="F19" s="3151">
        <f>G19-E19</f>
        <v>304800</v>
      </c>
      <c r="G19" s="1504">
        <v>378730</v>
      </c>
      <c r="H19" s="1424">
        <v>334400</v>
      </c>
    </row>
    <row r="20" spans="1:9" s="1395" customFormat="1" ht="19.5" customHeight="1" outlineLevel="1">
      <c r="A20" s="517"/>
      <c r="B20" s="516"/>
      <c r="C20" s="971"/>
      <c r="D20" s="1474"/>
      <c r="E20" s="1532"/>
      <c r="F20" s="3151"/>
      <c r="G20" s="1504"/>
      <c r="H20" s="1424"/>
    </row>
    <row r="21" spans="1:9" s="1395" customFormat="1" ht="19.5" customHeight="1" outlineLevel="1">
      <c r="A21" s="1396"/>
      <c r="B21" s="1394"/>
      <c r="C21" s="3143"/>
      <c r="D21" s="1474"/>
      <c r="E21" s="1532"/>
      <c r="F21" s="3151"/>
      <c r="G21" s="1504"/>
      <c r="H21" s="1424"/>
    </row>
    <row r="22" spans="1:9" s="1395" customFormat="1" ht="19.5" customHeight="1" outlineLevel="1">
      <c r="A22" s="1396"/>
      <c r="B22" s="1394"/>
      <c r="C22" s="3143"/>
      <c r="D22" s="1474"/>
      <c r="E22" s="1532"/>
      <c r="F22" s="3151"/>
      <c r="G22" s="1504"/>
      <c r="H22" s="1424"/>
    </row>
    <row r="23" spans="1:9" s="1395" customFormat="1" ht="19.5" customHeight="1" outlineLevel="1">
      <c r="A23" s="517"/>
      <c r="B23" s="516"/>
      <c r="C23" s="971"/>
      <c r="D23" s="1474"/>
      <c r="E23" s="1532"/>
      <c r="F23" s="3151"/>
      <c r="G23" s="1504"/>
      <c r="H23" s="1424"/>
    </row>
    <row r="24" spans="1:9" s="1395" customFormat="1" ht="19.5" customHeight="1" outlineLevel="1">
      <c r="A24" s="1736"/>
      <c r="B24" s="1735"/>
      <c r="C24" s="978"/>
      <c r="D24" s="1474"/>
      <c r="E24" s="1532"/>
      <c r="F24" s="3151"/>
      <c r="G24" s="1504"/>
      <c r="H24" s="1424"/>
    </row>
    <row r="25" spans="1:9" s="1395" customFormat="1" ht="19.5" customHeight="1" outlineLevel="1">
      <c r="A25" s="517"/>
      <c r="B25" s="516"/>
      <c r="C25" s="971"/>
      <c r="D25" s="1474"/>
      <c r="E25" s="1532"/>
      <c r="F25" s="3151"/>
      <c r="G25" s="1504"/>
      <c r="H25" s="1424"/>
    </row>
    <row r="26" spans="1:9" s="1395" customFormat="1" ht="19.5" customHeight="1" outlineLevel="1">
      <c r="A26" s="508"/>
      <c r="B26" s="3119"/>
      <c r="C26" s="3118"/>
      <c r="D26" s="3117"/>
      <c r="E26" s="3142"/>
      <c r="F26" s="3150"/>
      <c r="G26" s="3140"/>
      <c r="H26" s="1481"/>
    </row>
    <row r="27" spans="1:9" s="1395" customFormat="1" ht="21.95" customHeight="1" outlineLevel="1" thickBot="1">
      <c r="A27" s="1421" t="s">
        <v>366</v>
      </c>
      <c r="B27" s="1420"/>
      <c r="C27" s="1419"/>
      <c r="D27" s="2480">
        <f>D14</f>
        <v>1563106.3</v>
      </c>
      <c r="E27" s="2480">
        <f>SUM(E14)</f>
        <v>409396</v>
      </c>
      <c r="F27" s="1795">
        <f>SUM(F14)</f>
        <v>1526100</v>
      </c>
      <c r="G27" s="2480">
        <f>SUM(G14)</f>
        <v>1935496</v>
      </c>
      <c r="H27" s="2480">
        <f>SUM(H14)</f>
        <v>1676400</v>
      </c>
    </row>
    <row r="28" spans="1:9" ht="20.100000000000001" customHeight="1" outlineLevel="1" thickTop="1"/>
    <row r="29" spans="1:9" s="1403" customFormat="1" ht="19.5" customHeight="1">
      <c r="A29" s="1403" t="s">
        <v>364</v>
      </c>
      <c r="C29" s="3037" t="s">
        <v>363</v>
      </c>
      <c r="E29" s="4742" t="s">
        <v>1779</v>
      </c>
      <c r="F29" s="4742"/>
    </row>
    <row r="30" spans="1:9" s="1403" customFormat="1" ht="18" customHeight="1">
      <c r="C30" s="3037"/>
    </row>
    <row r="31" spans="1:9" s="1403" customFormat="1" ht="18" customHeight="1">
      <c r="A31" s="3036" t="s">
        <v>2268</v>
      </c>
      <c r="C31" s="4760" t="s">
        <v>360</v>
      </c>
      <c r="D31" s="4760"/>
      <c r="E31" s="4741" t="s">
        <v>359</v>
      </c>
      <c r="F31" s="4741"/>
      <c r="G31" s="4741"/>
      <c r="H31" s="4741"/>
    </row>
    <row r="32" spans="1:9" s="1404" customFormat="1" ht="12.75">
      <c r="A32" s="1407" t="s">
        <v>2284</v>
      </c>
      <c r="B32" s="1407"/>
      <c r="C32" s="4754" t="s">
        <v>357</v>
      </c>
      <c r="D32" s="4754"/>
      <c r="E32" s="4755" t="s">
        <v>356</v>
      </c>
      <c r="F32" s="4755"/>
      <c r="G32" s="4755"/>
      <c r="H32" s="4755"/>
      <c r="I32" s="2236"/>
    </row>
    <row r="33" spans="1:9" s="1404" customFormat="1" ht="12.75">
      <c r="A33" s="4756"/>
      <c r="B33" s="4756"/>
      <c r="D33" s="1406"/>
      <c r="E33" s="1406"/>
      <c r="F33" s="1406"/>
      <c r="G33" s="1406"/>
      <c r="H33" s="1406"/>
      <c r="I33" s="2236"/>
    </row>
  </sheetData>
  <mergeCells count="10">
    <mergeCell ref="C32:D32"/>
    <mergeCell ref="E32:H32"/>
    <mergeCell ref="A33:B33"/>
    <mergeCell ref="A4:H4"/>
    <mergeCell ref="A10:B12"/>
    <mergeCell ref="E10:G10"/>
    <mergeCell ref="E29:F29"/>
    <mergeCell ref="C31:D31"/>
    <mergeCell ref="E31:H31"/>
    <mergeCell ref="A5:H5"/>
  </mergeCells>
  <pageMargins left="0.5" right="0" top="0.75" bottom="0" header="0.5" footer="0"/>
  <pageSetup paperSize="5" orientation="portrait" verticalDpi="30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0"/>
  <sheetViews>
    <sheetView showGridLines="0" showOutlineSymbols="0" workbookViewId="0">
      <selection activeCell="H16" sqref="H16"/>
    </sheetView>
  </sheetViews>
  <sheetFormatPr defaultColWidth="12.5703125" defaultRowHeight="15.75" outlineLevelRow="1" outlineLevelCol="2"/>
  <cols>
    <col min="1" max="1" width="1.85546875" style="1390" customWidth="1"/>
    <col min="2" max="2" width="34" style="1390" customWidth="1"/>
    <col min="3" max="5" width="10.7109375" style="1390" customWidth="1"/>
    <col min="6" max="6" width="11.28515625" style="572" customWidth="1"/>
    <col min="7"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9" s="1403" customFormat="1" ht="12.75">
      <c r="A1" s="2527" t="s">
        <v>473</v>
      </c>
      <c r="C1" s="2527"/>
      <c r="E1" s="2527"/>
      <c r="F1" s="2527"/>
      <c r="H1" s="2527"/>
    </row>
    <row r="2" spans="1:9" s="1403" customFormat="1" ht="14.25" customHeight="1">
      <c r="A2" s="2526" t="s">
        <v>584</v>
      </c>
      <c r="C2" s="2526"/>
      <c r="E2" s="2526"/>
      <c r="F2" s="2526"/>
      <c r="H2" s="2526"/>
    </row>
    <row r="3" spans="1:9" s="1403" customFormat="1" ht="14.25" customHeight="1">
      <c r="E3" s="2526"/>
      <c r="F3" s="2526"/>
      <c r="H3" s="2526"/>
    </row>
    <row r="4" spans="1:9" s="1403" customFormat="1" ht="14.25" customHeight="1">
      <c r="A4" s="4741" t="s">
        <v>471</v>
      </c>
      <c r="B4" s="4741"/>
      <c r="C4" s="4741"/>
      <c r="D4" s="4741"/>
      <c r="E4" s="4741"/>
      <c r="F4" s="4741"/>
      <c r="G4" s="4741"/>
      <c r="H4" s="4741"/>
    </row>
    <row r="5" spans="1:9" s="1403" customFormat="1" ht="14.25" customHeight="1">
      <c r="A5" s="4742" t="s">
        <v>470</v>
      </c>
      <c r="B5" s="4742"/>
      <c r="C5" s="4742"/>
      <c r="D5" s="4742"/>
      <c r="E5" s="4742"/>
      <c r="F5" s="4742"/>
      <c r="G5" s="4742"/>
      <c r="H5" s="4742"/>
    </row>
    <row r="6" spans="1:9" s="1403" customFormat="1" ht="14.25" customHeight="1">
      <c r="A6" s="1578"/>
      <c r="B6" s="1578"/>
      <c r="C6" s="1578"/>
      <c r="D6" s="1578"/>
      <c r="E6" s="1578"/>
      <c r="F6" s="1578"/>
      <c r="G6" s="1578"/>
      <c r="H6" s="1578"/>
    </row>
    <row r="7" spans="1:9" s="1403" customFormat="1" ht="14.25" customHeight="1">
      <c r="A7" s="2522" t="s">
        <v>2281</v>
      </c>
    </row>
    <row r="8" spans="1:9" ht="14.25" customHeight="1">
      <c r="A8" s="3135"/>
      <c r="B8" s="3129" t="s">
        <v>2303</v>
      </c>
      <c r="D8" s="1403"/>
      <c r="E8" s="1403"/>
      <c r="F8" s="1408"/>
      <c r="G8" s="1403"/>
      <c r="H8" s="1403"/>
    </row>
    <row r="9" spans="1:9" ht="14.25" customHeight="1">
      <c r="A9" s="3135"/>
      <c r="B9" s="1577"/>
      <c r="D9" s="1403"/>
      <c r="E9" s="1403"/>
      <c r="F9" s="1408"/>
      <c r="G9" s="1403"/>
      <c r="H9" s="1403"/>
    </row>
    <row r="10" spans="1:9" ht="14.25" customHeight="1">
      <c r="A10" s="4934" t="s">
        <v>468</v>
      </c>
      <c r="B10" s="4935"/>
      <c r="C10" s="2607" t="s">
        <v>467</v>
      </c>
      <c r="D10" s="2608" t="s">
        <v>466</v>
      </c>
      <c r="E10" s="4869" t="s">
        <v>465</v>
      </c>
      <c r="F10" s="4870"/>
      <c r="G10" s="4871"/>
      <c r="H10" s="2607" t="s">
        <v>464</v>
      </c>
    </row>
    <row r="11" spans="1:9" ht="14.25" customHeight="1">
      <c r="A11" s="4936"/>
      <c r="B11" s="4937"/>
      <c r="C11" s="2606" t="s">
        <v>463</v>
      </c>
      <c r="D11" s="2517" t="s">
        <v>573</v>
      </c>
      <c r="E11" s="2646" t="s">
        <v>462</v>
      </c>
      <c r="F11" s="2646" t="s">
        <v>461</v>
      </c>
      <c r="G11" s="2517" t="s">
        <v>244</v>
      </c>
      <c r="H11" s="2517">
        <v>2022</v>
      </c>
    </row>
    <row r="12" spans="1:9" ht="14.25" customHeight="1">
      <c r="A12" s="4938"/>
      <c r="B12" s="4939"/>
      <c r="C12" s="2604"/>
      <c r="D12" s="2602" t="s">
        <v>460</v>
      </c>
      <c r="E12" s="2602" t="s">
        <v>460</v>
      </c>
      <c r="F12" s="2602" t="s">
        <v>459</v>
      </c>
      <c r="G12" s="2623"/>
      <c r="H12" s="2602" t="s">
        <v>458</v>
      </c>
    </row>
    <row r="13" spans="1:9" ht="20.100000000000001" customHeight="1">
      <c r="A13" s="3109" t="s">
        <v>456</v>
      </c>
      <c r="B13" s="3134"/>
      <c r="C13" s="2834"/>
      <c r="D13" s="2834"/>
      <c r="E13" s="2834"/>
      <c r="F13" s="3157"/>
      <c r="G13" s="3108"/>
      <c r="H13" s="3108"/>
    </row>
    <row r="14" spans="1:9" ht="20.100000000000001" customHeight="1">
      <c r="A14" s="1436" t="s">
        <v>407</v>
      </c>
      <c r="B14" s="2805"/>
      <c r="C14" s="1513"/>
      <c r="D14" s="2598">
        <f>SUM(D15:D23)</f>
        <v>1063405</v>
      </c>
      <c r="E14" s="2598">
        <f>SUM(E15:E23)</f>
        <v>563117.5</v>
      </c>
      <c r="F14" s="2803">
        <f>SUM(F15:F23)</f>
        <v>921882.5</v>
      </c>
      <c r="G14" s="2598">
        <f>SUM(G15:G23)</f>
        <v>1485000</v>
      </c>
      <c r="H14" s="2598">
        <f>SUM(H15:H23)</f>
        <v>1485000</v>
      </c>
      <c r="I14" s="3145"/>
    </row>
    <row r="15" spans="1:9" ht="19.5" customHeight="1" outlineLevel="1">
      <c r="A15" s="519" t="s">
        <v>1975</v>
      </c>
      <c r="B15" s="2144"/>
      <c r="C15" s="2176" t="s">
        <v>1974</v>
      </c>
      <c r="D15" s="1474">
        <v>387855</v>
      </c>
      <c r="E15" s="1532">
        <v>232450</v>
      </c>
      <c r="F15" s="3151">
        <f>G15-E15</f>
        <v>264430</v>
      </c>
      <c r="G15" s="1504">
        <v>496880</v>
      </c>
      <c r="H15" s="1424">
        <v>496880</v>
      </c>
    </row>
    <row r="16" spans="1:9" s="1551" customFormat="1" ht="19.5" customHeight="1" outlineLevel="1">
      <c r="A16" s="517" t="s">
        <v>389</v>
      </c>
      <c r="B16" s="516"/>
      <c r="C16" s="971" t="s">
        <v>388</v>
      </c>
      <c r="D16" s="3024">
        <v>675550</v>
      </c>
      <c r="E16" s="1431">
        <v>330667.5</v>
      </c>
      <c r="F16" s="1862">
        <f>G16-E16</f>
        <v>647452.5</v>
      </c>
      <c r="G16" s="1504">
        <v>978120</v>
      </c>
      <c r="H16" s="1424">
        <f>G16</f>
        <v>978120</v>
      </c>
    </row>
    <row r="17" spans="1:9" s="1395" customFormat="1" ht="19.5" customHeight="1" outlineLevel="1">
      <c r="A17" s="517" t="s">
        <v>2113</v>
      </c>
      <c r="B17" s="516"/>
      <c r="C17" s="3123" t="s">
        <v>1898</v>
      </c>
      <c r="D17" s="1474">
        <v>0</v>
      </c>
      <c r="E17" s="1532">
        <v>0</v>
      </c>
      <c r="F17" s="1862">
        <f>G17-E17</f>
        <v>10000</v>
      </c>
      <c r="G17" s="1504">
        <v>10000</v>
      </c>
      <c r="H17" s="1424">
        <v>10000</v>
      </c>
    </row>
    <row r="18" spans="1:9" s="1395" customFormat="1" ht="19.5" customHeight="1" outlineLevel="1">
      <c r="A18" s="1396"/>
      <c r="B18" s="1394"/>
      <c r="C18" s="3143"/>
      <c r="D18" s="1474"/>
      <c r="E18" s="1532"/>
      <c r="F18" s="3151"/>
      <c r="G18" s="1504"/>
      <c r="H18" s="1424"/>
    </row>
    <row r="19" spans="1:9" s="1395" customFormat="1" ht="19.5" customHeight="1" outlineLevel="1">
      <c r="A19" s="1396"/>
      <c r="B19" s="1394"/>
      <c r="C19" s="3143"/>
      <c r="D19" s="1474"/>
      <c r="E19" s="1532"/>
      <c r="F19" s="3151"/>
      <c r="G19" s="1504"/>
      <c r="H19" s="1424"/>
    </row>
    <row r="20" spans="1:9" s="1395" customFormat="1" ht="19.5" customHeight="1" outlineLevel="1">
      <c r="A20" s="517"/>
      <c r="B20" s="516"/>
      <c r="C20" s="971"/>
      <c r="D20" s="1474"/>
      <c r="E20" s="1532"/>
      <c r="F20" s="3151"/>
      <c r="G20" s="1504"/>
      <c r="H20" s="1424"/>
    </row>
    <row r="21" spans="1:9" s="1395" customFormat="1" ht="19.5" customHeight="1" outlineLevel="1">
      <c r="A21" s="1736"/>
      <c r="B21" s="1735"/>
      <c r="C21" s="978"/>
      <c r="D21" s="1474"/>
      <c r="E21" s="1532"/>
      <c r="F21" s="3151"/>
      <c r="G21" s="1504"/>
      <c r="H21" s="1424"/>
    </row>
    <row r="22" spans="1:9" s="1395" customFormat="1" ht="19.5" customHeight="1" outlineLevel="1">
      <c r="A22" s="517"/>
      <c r="B22" s="516"/>
      <c r="C22" s="971"/>
      <c r="D22" s="1474"/>
      <c r="E22" s="1532"/>
      <c r="F22" s="3151"/>
      <c r="G22" s="1504"/>
      <c r="H22" s="1424"/>
    </row>
    <row r="23" spans="1:9" s="1395" customFormat="1" ht="19.5" customHeight="1" outlineLevel="1">
      <c r="A23" s="508"/>
      <c r="B23" s="3119"/>
      <c r="C23" s="3118"/>
      <c r="D23" s="3117"/>
      <c r="E23" s="3142"/>
      <c r="F23" s="3150"/>
      <c r="G23" s="3140"/>
      <c r="H23" s="1481"/>
    </row>
    <row r="24" spans="1:9" s="1395" customFormat="1" ht="21.95" customHeight="1" outlineLevel="1" thickBot="1">
      <c r="A24" s="1421" t="s">
        <v>366</v>
      </c>
      <c r="B24" s="1420"/>
      <c r="C24" s="1419"/>
      <c r="D24" s="2480">
        <f>D14</f>
        <v>1063405</v>
      </c>
      <c r="E24" s="2480">
        <f>SUM(E14)</f>
        <v>563117.5</v>
      </c>
      <c r="F24" s="3158">
        <f>SUM(F14)</f>
        <v>921882.5</v>
      </c>
      <c r="G24" s="2480">
        <f>SUM(G14)</f>
        <v>1485000</v>
      </c>
      <c r="H24" s="2480">
        <f>SUM(H14)</f>
        <v>1485000</v>
      </c>
    </row>
    <row r="25" spans="1:9" ht="20.100000000000001" customHeight="1" outlineLevel="1" thickTop="1"/>
    <row r="26" spans="1:9" s="1403" customFormat="1" ht="19.5" customHeight="1">
      <c r="A26" s="1403" t="s">
        <v>364</v>
      </c>
      <c r="C26" s="3037" t="s">
        <v>363</v>
      </c>
      <c r="E26" s="4742" t="s">
        <v>1779</v>
      </c>
      <c r="F26" s="4742"/>
    </row>
    <row r="27" spans="1:9" s="1403" customFormat="1" ht="18" customHeight="1">
      <c r="C27" s="3037"/>
    </row>
    <row r="28" spans="1:9" s="1403" customFormat="1" ht="18" customHeight="1">
      <c r="A28" s="3036" t="s">
        <v>2268</v>
      </c>
      <c r="C28" s="4760" t="s">
        <v>360</v>
      </c>
      <c r="D28" s="4760"/>
      <c r="E28" s="4741" t="s">
        <v>359</v>
      </c>
      <c r="F28" s="4741"/>
      <c r="G28" s="4741"/>
      <c r="H28" s="4741"/>
    </row>
    <row r="29" spans="1:9" s="1404" customFormat="1" ht="12.75">
      <c r="A29" s="1407" t="s">
        <v>2284</v>
      </c>
      <c r="B29" s="1407"/>
      <c r="C29" s="4754" t="s">
        <v>357</v>
      </c>
      <c r="D29" s="4754"/>
      <c r="E29" s="4755" t="s">
        <v>356</v>
      </c>
      <c r="F29" s="4755"/>
      <c r="G29" s="4755"/>
      <c r="H29" s="4755"/>
      <c r="I29" s="2236"/>
    </row>
    <row r="30" spans="1:9" s="1404" customFormat="1" ht="12.75">
      <c r="A30" s="4756"/>
      <c r="B30" s="4756"/>
      <c r="D30" s="1406"/>
      <c r="E30" s="1406"/>
      <c r="F30" s="1406"/>
      <c r="G30" s="1406"/>
      <c r="H30" s="1406"/>
      <c r="I30" s="2236"/>
    </row>
  </sheetData>
  <mergeCells count="10">
    <mergeCell ref="C29:D29"/>
    <mergeCell ref="E29:H29"/>
    <mergeCell ref="A30:B30"/>
    <mergeCell ref="A4:H4"/>
    <mergeCell ref="A5:H5"/>
    <mergeCell ref="A10:B12"/>
    <mergeCell ref="E10:G10"/>
    <mergeCell ref="E26:F26"/>
    <mergeCell ref="C28:D28"/>
    <mergeCell ref="E28:H28"/>
  </mergeCells>
  <pageMargins left="0.5" right="0" top="0.75" bottom="0" header="0.5" footer="0"/>
  <pageSetup paperSize="5" orientation="portrait" verticalDpi="300"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27"/>
  <sheetViews>
    <sheetView showGridLines="0" showOutlineSymbols="0" topLeftCell="A5" workbookViewId="0">
      <selection activeCell="H14" sqref="H14"/>
    </sheetView>
  </sheetViews>
  <sheetFormatPr defaultColWidth="12.5703125" defaultRowHeight="15.75" outlineLevelRow="1" outlineLevelCol="2"/>
  <cols>
    <col min="1" max="1" width="1.85546875" style="1390" customWidth="1"/>
    <col min="2" max="2" width="32.7109375" style="1390" customWidth="1"/>
    <col min="3" max="5" width="10.7109375" style="1390" customWidth="1"/>
    <col min="6" max="6" width="11.28515625" style="572" customWidth="1"/>
    <col min="7"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9" s="1403" customFormat="1" ht="12.75">
      <c r="A1" s="2527" t="s">
        <v>473</v>
      </c>
      <c r="C1" s="2527"/>
      <c r="E1" s="2527"/>
      <c r="F1" s="2527"/>
      <c r="H1" s="2527"/>
    </row>
    <row r="2" spans="1:9" s="1403" customFormat="1" ht="14.25" customHeight="1">
      <c r="A2" s="2526" t="s">
        <v>584</v>
      </c>
      <c r="C2" s="2526"/>
      <c r="E2" s="2526"/>
      <c r="F2" s="2526"/>
      <c r="H2" s="2526"/>
    </row>
    <row r="3" spans="1:9" s="1403" customFormat="1" ht="14.25" customHeight="1">
      <c r="E3" s="2526"/>
      <c r="F3" s="2526"/>
      <c r="H3" s="2526"/>
    </row>
    <row r="4" spans="1:9" s="1403" customFormat="1" ht="14.25" customHeight="1">
      <c r="A4" s="4741" t="s">
        <v>471</v>
      </c>
      <c r="B4" s="4741"/>
      <c r="C4" s="4741"/>
      <c r="D4" s="4741"/>
      <c r="E4" s="4741"/>
      <c r="F4" s="4741"/>
      <c r="G4" s="4741"/>
      <c r="H4" s="4741"/>
    </row>
    <row r="5" spans="1:9" s="1403" customFormat="1" ht="14.25" customHeight="1">
      <c r="A5" s="4742" t="s">
        <v>470</v>
      </c>
      <c r="B5" s="4742"/>
      <c r="C5" s="4742"/>
      <c r="D5" s="4742"/>
      <c r="E5" s="4742"/>
      <c r="F5" s="4742"/>
      <c r="G5" s="4742"/>
      <c r="H5" s="4742"/>
    </row>
    <row r="6" spans="1:9" s="1403" customFormat="1" ht="14.25" customHeight="1">
      <c r="A6" s="1578"/>
      <c r="B6" s="1578"/>
      <c r="C6" s="1578"/>
      <c r="D6" s="1578"/>
      <c r="E6" s="1578"/>
      <c r="F6" s="1578"/>
      <c r="G6" s="1578"/>
      <c r="H6" s="1578"/>
    </row>
    <row r="7" spans="1:9" s="1403" customFormat="1" ht="14.25" customHeight="1">
      <c r="A7" s="2522" t="s">
        <v>2281</v>
      </c>
    </row>
    <row r="8" spans="1:9" ht="14.25" customHeight="1">
      <c r="A8" s="3135"/>
      <c r="B8" s="3159" t="s">
        <v>2304</v>
      </c>
      <c r="D8" s="1403"/>
      <c r="E8" s="1403"/>
      <c r="F8" s="1408"/>
      <c r="G8" s="1403"/>
      <c r="H8" s="1403"/>
    </row>
    <row r="9" spans="1:9" ht="14.25" customHeight="1">
      <c r="A9" s="3135"/>
      <c r="B9" s="1577"/>
      <c r="D9" s="1403"/>
      <c r="E9" s="1403"/>
      <c r="F9" s="1408"/>
      <c r="G9" s="1403"/>
      <c r="H9" s="1403"/>
    </row>
    <row r="10" spans="1:9" ht="14.25" customHeight="1">
      <c r="A10" s="4934" t="s">
        <v>468</v>
      </c>
      <c r="B10" s="4935"/>
      <c r="C10" s="2607" t="s">
        <v>467</v>
      </c>
      <c r="D10" s="2608" t="s">
        <v>466</v>
      </c>
      <c r="E10" s="4869" t="s">
        <v>465</v>
      </c>
      <c r="F10" s="4870"/>
      <c r="G10" s="4871"/>
      <c r="H10" s="2607" t="s">
        <v>464</v>
      </c>
    </row>
    <row r="11" spans="1:9" ht="14.25" customHeight="1">
      <c r="A11" s="4936"/>
      <c r="B11" s="4937"/>
      <c r="C11" s="2606" t="s">
        <v>463</v>
      </c>
      <c r="D11" s="2517" t="s">
        <v>573</v>
      </c>
      <c r="E11" s="2646" t="s">
        <v>462</v>
      </c>
      <c r="F11" s="2646" t="s">
        <v>461</v>
      </c>
      <c r="G11" s="2517" t="s">
        <v>244</v>
      </c>
      <c r="H11" s="2517" t="s">
        <v>652</v>
      </c>
    </row>
    <row r="12" spans="1:9" ht="14.25" customHeight="1">
      <c r="A12" s="4938"/>
      <c r="B12" s="4939"/>
      <c r="C12" s="2604"/>
      <c r="D12" s="2602" t="s">
        <v>460</v>
      </c>
      <c r="E12" s="2602" t="s">
        <v>460</v>
      </c>
      <c r="F12" s="2602" t="s">
        <v>459</v>
      </c>
      <c r="G12" s="2623"/>
      <c r="H12" s="2602" t="s">
        <v>458</v>
      </c>
    </row>
    <row r="13" spans="1:9" ht="20.100000000000001" customHeight="1">
      <c r="A13" s="3109" t="s">
        <v>456</v>
      </c>
      <c r="B13" s="3134"/>
      <c r="C13" s="2834"/>
      <c r="D13" s="2834"/>
      <c r="E13" s="2834"/>
      <c r="F13" s="3157"/>
      <c r="G13" s="3108"/>
      <c r="H13" s="3108"/>
    </row>
    <row r="14" spans="1:9" ht="20.100000000000001" customHeight="1">
      <c r="A14" s="1436" t="s">
        <v>407</v>
      </c>
      <c r="B14" s="2805"/>
      <c r="C14" s="1513"/>
      <c r="D14" s="2598">
        <f>SUM(D15:D20)</f>
        <v>667615</v>
      </c>
      <c r="E14" s="2598">
        <f>SUM(E15:E18)</f>
        <v>370745</v>
      </c>
      <c r="F14" s="2598">
        <f>SUM(F15:F18)</f>
        <v>389255</v>
      </c>
      <c r="G14" s="2598">
        <f>SUM(G15:G18)</f>
        <v>760000</v>
      </c>
      <c r="H14" s="2598">
        <f>SUM(H15:H18)</f>
        <v>760000</v>
      </c>
      <c r="I14" s="3145"/>
    </row>
    <row r="15" spans="1:9" ht="19.5" customHeight="1" outlineLevel="1">
      <c r="A15" s="519"/>
      <c r="B15" s="2144" t="s">
        <v>1980</v>
      </c>
      <c r="C15" s="2176" t="s">
        <v>1979</v>
      </c>
      <c r="D15" s="1474">
        <v>415270</v>
      </c>
      <c r="E15" s="1532">
        <v>247040</v>
      </c>
      <c r="F15" s="1504">
        <f>G15-E15</f>
        <v>179960</v>
      </c>
      <c r="G15" s="1504">
        <v>427000</v>
      </c>
      <c r="H15" s="1424">
        <v>427000</v>
      </c>
    </row>
    <row r="16" spans="1:9" s="1551" customFormat="1" ht="19.5" customHeight="1" outlineLevel="1">
      <c r="A16" s="517"/>
      <c r="B16" s="516" t="s">
        <v>878</v>
      </c>
      <c r="C16" s="2176" t="s">
        <v>394</v>
      </c>
      <c r="D16" s="3024">
        <v>55800</v>
      </c>
      <c r="E16" s="1431">
        <v>0</v>
      </c>
      <c r="F16" s="1504">
        <f>G16-E16</f>
        <v>62000</v>
      </c>
      <c r="G16" s="1504">
        <v>62000</v>
      </c>
      <c r="H16" s="1424">
        <v>62000</v>
      </c>
    </row>
    <row r="17" spans="1:9" s="1395" customFormat="1" ht="19.5" customHeight="1" outlineLevel="1">
      <c r="A17" s="517"/>
      <c r="B17" s="516" t="s">
        <v>389</v>
      </c>
      <c r="C17" s="2176" t="s">
        <v>388</v>
      </c>
      <c r="D17" s="1474">
        <v>158745</v>
      </c>
      <c r="E17" s="1532">
        <v>87375</v>
      </c>
      <c r="F17" s="1504">
        <f>G17-E17</f>
        <v>135825</v>
      </c>
      <c r="G17" s="1504">
        <v>223200</v>
      </c>
      <c r="H17" s="1424">
        <f>G17</f>
        <v>223200</v>
      </c>
    </row>
    <row r="18" spans="1:9" s="1395" customFormat="1" ht="19.5" customHeight="1" outlineLevel="1">
      <c r="A18" s="517"/>
      <c r="B18" s="516" t="s">
        <v>776</v>
      </c>
      <c r="C18" s="2176" t="s">
        <v>367</v>
      </c>
      <c r="D18" s="1474">
        <v>37800</v>
      </c>
      <c r="E18" s="1532">
        <v>36330</v>
      </c>
      <c r="F18" s="1504">
        <f>G18-E18</f>
        <v>11470</v>
      </c>
      <c r="G18" s="1504">
        <v>47800</v>
      </c>
      <c r="H18" s="1424">
        <v>47800</v>
      </c>
    </row>
    <row r="19" spans="1:9" s="1395" customFormat="1" ht="20.25" customHeight="1" outlineLevel="1">
      <c r="A19" s="517"/>
      <c r="B19" s="516"/>
      <c r="C19" s="971"/>
      <c r="D19" s="1474"/>
      <c r="E19" s="1532"/>
      <c r="F19" s="3151"/>
      <c r="G19" s="1504"/>
      <c r="H19" s="1424"/>
    </row>
    <row r="20" spans="1:9" s="1395" customFormat="1" ht="19.5" customHeight="1" outlineLevel="1">
      <c r="A20" s="508"/>
      <c r="B20" s="3119"/>
      <c r="C20" s="3118"/>
      <c r="D20" s="3117"/>
      <c r="E20" s="3142"/>
      <c r="F20" s="3150"/>
      <c r="G20" s="3140"/>
      <c r="H20" s="1481"/>
    </row>
    <row r="21" spans="1:9" s="1395" customFormat="1" ht="21.95" customHeight="1" outlineLevel="1" thickBot="1">
      <c r="A21" s="1421" t="s">
        <v>366</v>
      </c>
      <c r="B21" s="1420"/>
      <c r="C21" s="1419"/>
      <c r="D21" s="2480">
        <f>SUM(D15:D18)</f>
        <v>667615</v>
      </c>
      <c r="E21" s="2480">
        <f>SUM(E15:E18)</f>
        <v>370745</v>
      </c>
      <c r="F21" s="2480">
        <f>SUM(F15:F18)</f>
        <v>389255</v>
      </c>
      <c r="G21" s="2480">
        <f>SUM(G15:G18)</f>
        <v>760000</v>
      </c>
      <c r="H21" s="2480">
        <f>SUM(H15:H18)</f>
        <v>760000</v>
      </c>
    </row>
    <row r="22" spans="1:9" ht="20.100000000000001" customHeight="1" outlineLevel="1" thickTop="1"/>
    <row r="23" spans="1:9" s="1403" customFormat="1" ht="19.5" customHeight="1">
      <c r="A23" s="1403" t="s">
        <v>364</v>
      </c>
      <c r="C23" s="3037" t="s">
        <v>363</v>
      </c>
      <c r="E23" s="4742" t="s">
        <v>1779</v>
      </c>
      <c r="F23" s="4742"/>
    </row>
    <row r="24" spans="1:9" s="1403" customFormat="1" ht="18" customHeight="1">
      <c r="C24" s="3037"/>
    </row>
    <row r="25" spans="1:9" s="1403" customFormat="1" ht="18" customHeight="1">
      <c r="A25" s="3036" t="s">
        <v>2268</v>
      </c>
      <c r="C25" s="4760" t="s">
        <v>360</v>
      </c>
      <c r="D25" s="4760"/>
      <c r="E25" s="4741" t="s">
        <v>359</v>
      </c>
      <c r="F25" s="4741"/>
      <c r="G25" s="4741"/>
      <c r="H25" s="4741"/>
    </row>
    <row r="26" spans="1:9" s="1404" customFormat="1" ht="12.75">
      <c r="A26" s="1407" t="s">
        <v>2284</v>
      </c>
      <c r="B26" s="1407"/>
      <c r="C26" s="4754" t="s">
        <v>357</v>
      </c>
      <c r="D26" s="4754"/>
      <c r="E26" s="4755" t="s">
        <v>356</v>
      </c>
      <c r="F26" s="4755"/>
      <c r="G26" s="4755"/>
      <c r="H26" s="4755"/>
      <c r="I26" s="2236"/>
    </row>
    <row r="27" spans="1:9" s="1404" customFormat="1" ht="12.75">
      <c r="A27" s="4756"/>
      <c r="B27" s="4756"/>
      <c r="D27" s="1406"/>
      <c r="E27" s="1406"/>
      <c r="F27" s="1406"/>
      <c r="G27" s="1406"/>
      <c r="H27" s="1406"/>
      <c r="I27" s="2236"/>
    </row>
  </sheetData>
  <mergeCells count="10">
    <mergeCell ref="C26:D26"/>
    <mergeCell ref="E26:H26"/>
    <mergeCell ref="A27:B27"/>
    <mergeCell ref="A4:H4"/>
    <mergeCell ref="A5:H5"/>
    <mergeCell ref="A10:B12"/>
    <mergeCell ref="E10:G10"/>
    <mergeCell ref="E23:F23"/>
    <mergeCell ref="C25:D25"/>
    <mergeCell ref="E25:H25"/>
  </mergeCells>
  <pageMargins left="0.5" right="0" top="0.75" bottom="0" header="0.5" footer="0"/>
  <pageSetup paperSize="5" orientation="portrait" verticalDpi="300"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26"/>
  <sheetViews>
    <sheetView showGridLines="0" showOutlineSymbols="0" workbookViewId="0">
      <selection activeCell="J17" sqref="J17"/>
    </sheetView>
  </sheetViews>
  <sheetFormatPr defaultColWidth="12.5703125" defaultRowHeight="15.75" outlineLevelRow="1" outlineLevelCol="2"/>
  <cols>
    <col min="1" max="1" width="1.85546875" style="1390" customWidth="1"/>
    <col min="2" max="2" width="34" style="1390" customWidth="1"/>
    <col min="3" max="5" width="10.7109375" style="1390" customWidth="1"/>
    <col min="6" max="6" width="11.28515625" style="572" customWidth="1"/>
    <col min="7" max="7" width="9.7109375" style="1390" customWidth="1"/>
    <col min="8"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9" s="1403" customFormat="1" ht="12.75">
      <c r="A1" s="2527" t="s">
        <v>473</v>
      </c>
      <c r="C1" s="2527"/>
      <c r="E1" s="2527"/>
      <c r="F1" s="2527"/>
      <c r="H1" s="2527"/>
    </row>
    <row r="2" spans="1:9" s="1403" customFormat="1" ht="14.25" customHeight="1">
      <c r="A2" s="2526" t="s">
        <v>584</v>
      </c>
      <c r="C2" s="2526"/>
      <c r="E2" s="2526"/>
      <c r="F2" s="2526"/>
      <c r="H2" s="2526"/>
    </row>
    <row r="3" spans="1:9" s="1403" customFormat="1" ht="14.25" customHeight="1">
      <c r="E3" s="2526"/>
      <c r="F3" s="2526"/>
      <c r="H3" s="2526"/>
    </row>
    <row r="4" spans="1:9" s="1403" customFormat="1" ht="14.25" customHeight="1">
      <c r="A4" s="4741" t="s">
        <v>471</v>
      </c>
      <c r="B4" s="4741"/>
      <c r="C4" s="4741"/>
      <c r="D4" s="4741"/>
      <c r="E4" s="4741"/>
      <c r="F4" s="4741"/>
      <c r="G4" s="4741"/>
      <c r="H4" s="4741"/>
    </row>
    <row r="5" spans="1:9" s="1403" customFormat="1" ht="14.25" customHeight="1">
      <c r="A5" s="4742" t="s">
        <v>470</v>
      </c>
      <c r="B5" s="4742"/>
      <c r="C5" s="4742"/>
      <c r="D5" s="4742"/>
      <c r="E5" s="4742"/>
      <c r="F5" s="4742"/>
      <c r="G5" s="4742"/>
      <c r="H5" s="4742"/>
    </row>
    <row r="6" spans="1:9" s="1403" customFormat="1" ht="14.25" customHeight="1">
      <c r="A6" s="1578"/>
      <c r="B6" s="1578"/>
      <c r="C6" s="1578"/>
      <c r="D6" s="1578"/>
      <c r="E6" s="1578"/>
      <c r="F6" s="1578"/>
      <c r="G6" s="1578"/>
      <c r="H6" s="1578"/>
    </row>
    <row r="7" spans="1:9" s="1403" customFormat="1" ht="14.25" customHeight="1">
      <c r="A7" s="2522" t="s">
        <v>2281</v>
      </c>
    </row>
    <row r="8" spans="1:9" ht="14.25" customHeight="1">
      <c r="A8" s="3135"/>
      <c r="B8" s="3159" t="s">
        <v>2305</v>
      </c>
      <c r="D8" s="1403"/>
      <c r="E8" s="1403"/>
      <c r="F8" s="1408"/>
      <c r="G8" s="1403"/>
      <c r="H8" s="1403"/>
    </row>
    <row r="9" spans="1:9" ht="14.25" customHeight="1">
      <c r="A9" s="3135"/>
      <c r="B9" s="1577"/>
      <c r="D9" s="1403"/>
      <c r="E9" s="1403"/>
      <c r="F9" s="1408"/>
      <c r="G9" s="1403"/>
      <c r="H9" s="1403"/>
    </row>
    <row r="10" spans="1:9" ht="14.25" customHeight="1">
      <c r="A10" s="4934" t="s">
        <v>468</v>
      </c>
      <c r="B10" s="4935"/>
      <c r="C10" s="2607" t="s">
        <v>467</v>
      </c>
      <c r="D10" s="2608" t="s">
        <v>466</v>
      </c>
      <c r="E10" s="4869" t="s">
        <v>465</v>
      </c>
      <c r="F10" s="4870"/>
      <c r="G10" s="4871"/>
      <c r="H10" s="2607" t="s">
        <v>464</v>
      </c>
    </row>
    <row r="11" spans="1:9" ht="14.25" customHeight="1">
      <c r="A11" s="4936"/>
      <c r="B11" s="4937"/>
      <c r="C11" s="2606" t="s">
        <v>463</v>
      </c>
      <c r="D11" s="2517" t="s">
        <v>573</v>
      </c>
      <c r="E11" s="2646" t="s">
        <v>462</v>
      </c>
      <c r="F11" s="2646" t="s">
        <v>461</v>
      </c>
      <c r="G11" s="2517" t="s">
        <v>244</v>
      </c>
      <c r="H11" s="2517" t="s">
        <v>652</v>
      </c>
    </row>
    <row r="12" spans="1:9" ht="14.25" customHeight="1">
      <c r="A12" s="4938"/>
      <c r="B12" s="4939"/>
      <c r="C12" s="2604"/>
      <c r="D12" s="2602" t="s">
        <v>460</v>
      </c>
      <c r="E12" s="2602" t="s">
        <v>460</v>
      </c>
      <c r="F12" s="2602" t="s">
        <v>459</v>
      </c>
      <c r="G12" s="2623"/>
      <c r="H12" s="2602" t="s">
        <v>458</v>
      </c>
    </row>
    <row r="13" spans="1:9" ht="20.100000000000001" customHeight="1">
      <c r="A13" s="3109" t="s">
        <v>456</v>
      </c>
      <c r="B13" s="3134"/>
      <c r="C13" s="2834"/>
      <c r="D13" s="2834"/>
      <c r="E13" s="2834"/>
      <c r="F13" s="3157"/>
      <c r="G13" s="3108"/>
      <c r="H13" s="3108"/>
    </row>
    <row r="14" spans="1:9" ht="20.100000000000001" customHeight="1">
      <c r="A14" s="1436" t="s">
        <v>407</v>
      </c>
      <c r="B14" s="2805"/>
      <c r="C14" s="1513"/>
      <c r="D14" s="2598">
        <f>SUM(D15:D19)</f>
        <v>91819.7</v>
      </c>
      <c r="E14" s="2598">
        <f>SUM(E15:E19)</f>
        <v>38250</v>
      </c>
      <c r="F14" s="2598">
        <f>SUM(F15:F19)</f>
        <v>161750</v>
      </c>
      <c r="G14" s="2598">
        <f>SUM(G15:G19)</f>
        <v>200000</v>
      </c>
      <c r="H14" s="2598">
        <f>SUM(H15:H17)</f>
        <v>200000</v>
      </c>
      <c r="I14" s="3145"/>
    </row>
    <row r="15" spans="1:9" ht="19.5" customHeight="1" outlineLevel="1">
      <c r="A15" s="519"/>
      <c r="B15" s="2144" t="s">
        <v>1975</v>
      </c>
      <c r="C15" s="2176" t="s">
        <v>1974</v>
      </c>
      <c r="D15" s="1474">
        <v>14122.2</v>
      </c>
      <c r="E15" s="1532">
        <v>0</v>
      </c>
      <c r="F15" s="1504">
        <f>G15-E15</f>
        <v>103600</v>
      </c>
      <c r="G15" s="1504">
        <v>103600</v>
      </c>
      <c r="H15" s="1424">
        <f>G15</f>
        <v>103600</v>
      </c>
    </row>
    <row r="16" spans="1:9" s="1395" customFormat="1" ht="19.5" customHeight="1" outlineLevel="1">
      <c r="A16" s="517"/>
      <c r="B16" s="516" t="s">
        <v>389</v>
      </c>
      <c r="C16" s="2176" t="s">
        <v>388</v>
      </c>
      <c r="D16" s="1474">
        <v>77697.5</v>
      </c>
      <c r="E16" s="1532">
        <v>38250</v>
      </c>
      <c r="F16" s="1504">
        <f>G16-E16</f>
        <v>48150</v>
      </c>
      <c r="G16" s="1504">
        <v>86400</v>
      </c>
      <c r="H16" s="1424">
        <f>G16</f>
        <v>86400</v>
      </c>
    </row>
    <row r="17" spans="1:9" s="1395" customFormat="1" ht="19.5" customHeight="1" outlineLevel="1">
      <c r="A17" s="517"/>
      <c r="B17" s="516" t="s">
        <v>776</v>
      </c>
      <c r="C17" s="2176" t="s">
        <v>367</v>
      </c>
      <c r="D17" s="1474">
        <v>0</v>
      </c>
      <c r="E17" s="1532">
        <v>0</v>
      </c>
      <c r="F17" s="1504">
        <f>G17-E17</f>
        <v>10000</v>
      </c>
      <c r="G17" s="1504">
        <v>10000</v>
      </c>
      <c r="H17" s="1424">
        <f>G17</f>
        <v>10000</v>
      </c>
    </row>
    <row r="18" spans="1:9" s="1395" customFormat="1" ht="19.5" customHeight="1" outlineLevel="1">
      <c r="A18" s="517"/>
      <c r="B18" s="516"/>
      <c r="C18" s="971"/>
      <c r="D18" s="1474"/>
      <c r="E18" s="1532"/>
      <c r="F18" s="3151"/>
      <c r="G18" s="1504"/>
      <c r="H18" s="1424"/>
    </row>
    <row r="19" spans="1:9" s="1395" customFormat="1" ht="19.5" customHeight="1" outlineLevel="1">
      <c r="A19" s="508"/>
      <c r="B19" s="3119"/>
      <c r="C19" s="3118"/>
      <c r="D19" s="3117"/>
      <c r="E19" s="3142"/>
      <c r="F19" s="3150"/>
      <c r="G19" s="3140"/>
      <c r="H19" s="1481"/>
    </row>
    <row r="20" spans="1:9" s="1395" customFormat="1" ht="21.95" customHeight="1" outlineLevel="1" thickBot="1">
      <c r="A20" s="1421" t="s">
        <v>366</v>
      </c>
      <c r="B20" s="1420"/>
      <c r="C20" s="1419"/>
      <c r="D20" s="2480">
        <f>D14</f>
        <v>91819.7</v>
      </c>
      <c r="E20" s="2480">
        <f>SUM(E14)</f>
        <v>38250</v>
      </c>
      <c r="F20" s="2480">
        <f>SUM(F14)</f>
        <v>161750</v>
      </c>
      <c r="G20" s="2480">
        <f>SUM(G14)</f>
        <v>200000</v>
      </c>
      <c r="H20" s="2480">
        <f>SUM(H14)</f>
        <v>200000</v>
      </c>
    </row>
    <row r="21" spans="1:9" ht="20.100000000000001" customHeight="1" outlineLevel="1" thickTop="1"/>
    <row r="22" spans="1:9" s="1403" customFormat="1" ht="19.5" customHeight="1">
      <c r="A22" s="1403" t="s">
        <v>364</v>
      </c>
      <c r="C22" s="3037" t="s">
        <v>363</v>
      </c>
      <c r="E22" s="4742" t="s">
        <v>1779</v>
      </c>
      <c r="F22" s="4742"/>
    </row>
    <row r="23" spans="1:9" s="1403" customFormat="1" ht="18" customHeight="1">
      <c r="C23" s="3037"/>
    </row>
    <row r="24" spans="1:9" s="1403" customFormat="1" ht="18" customHeight="1">
      <c r="A24" s="3036" t="s">
        <v>2268</v>
      </c>
      <c r="C24" s="4760" t="s">
        <v>360</v>
      </c>
      <c r="D24" s="4760"/>
      <c r="E24" s="4741" t="s">
        <v>359</v>
      </c>
      <c r="F24" s="4741"/>
      <c r="G24" s="4741"/>
      <c r="H24" s="4741"/>
    </row>
    <row r="25" spans="1:9" s="1404" customFormat="1" ht="12.75">
      <c r="A25" s="1407" t="s">
        <v>2284</v>
      </c>
      <c r="B25" s="1407"/>
      <c r="C25" s="4754" t="s">
        <v>357</v>
      </c>
      <c r="D25" s="4754"/>
      <c r="E25" s="4755" t="s">
        <v>356</v>
      </c>
      <c r="F25" s="4755"/>
      <c r="G25" s="4755"/>
      <c r="H25" s="4755"/>
      <c r="I25" s="2236"/>
    </row>
    <row r="26" spans="1:9" s="1404" customFormat="1" ht="12.75">
      <c r="A26" s="4756"/>
      <c r="B26" s="4756"/>
      <c r="D26" s="1406"/>
      <c r="E26" s="1406"/>
      <c r="F26" s="1406"/>
      <c r="G26" s="1406"/>
      <c r="H26" s="1406"/>
      <c r="I26" s="2236"/>
    </row>
  </sheetData>
  <mergeCells count="10">
    <mergeCell ref="C25:D25"/>
    <mergeCell ref="E25:H25"/>
    <mergeCell ref="A26:B26"/>
    <mergeCell ref="A4:H4"/>
    <mergeCell ref="A5:H5"/>
    <mergeCell ref="A10:B12"/>
    <mergeCell ref="E10:G10"/>
    <mergeCell ref="E22:F22"/>
    <mergeCell ref="C24:D24"/>
    <mergeCell ref="E24:H24"/>
  </mergeCells>
  <pageMargins left="0.5" right="0" top="0.75" bottom="0" header="0.5" footer="0"/>
  <pageSetup paperSize="5" orientation="portrait" verticalDpi="300"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27"/>
  <sheetViews>
    <sheetView showGridLines="0" showOutlineSymbols="0" workbookViewId="0">
      <selection activeCell="J13" sqref="J13"/>
    </sheetView>
  </sheetViews>
  <sheetFormatPr defaultColWidth="12.5703125" defaultRowHeight="15.75" outlineLevelRow="1" outlineLevelCol="2"/>
  <cols>
    <col min="1" max="1" width="1.85546875" style="1390" customWidth="1"/>
    <col min="2" max="2" width="32.7109375" style="1390" customWidth="1"/>
    <col min="3" max="5" width="10.7109375" style="1390" customWidth="1"/>
    <col min="6" max="6" width="11.28515625" style="572" customWidth="1"/>
    <col min="7" max="8" width="10.7109375" style="1390"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9" s="1403" customFormat="1" ht="12.75">
      <c r="A1" s="2527" t="s">
        <v>473</v>
      </c>
      <c r="C1" s="2527"/>
      <c r="E1" s="2527"/>
      <c r="F1" s="2527"/>
      <c r="H1" s="2527"/>
    </row>
    <row r="2" spans="1:9" s="1403" customFormat="1" ht="14.25" customHeight="1">
      <c r="A2" s="2526" t="s">
        <v>584</v>
      </c>
      <c r="C2" s="2526"/>
      <c r="E2" s="2526"/>
      <c r="F2" s="2526"/>
      <c r="H2" s="2526"/>
    </row>
    <row r="3" spans="1:9" s="1403" customFormat="1" ht="14.25" customHeight="1">
      <c r="E3" s="2526"/>
      <c r="F3" s="2526"/>
      <c r="H3" s="2526"/>
    </row>
    <row r="4" spans="1:9" s="1403" customFormat="1" ht="14.25" customHeight="1">
      <c r="A4" s="4741" t="s">
        <v>471</v>
      </c>
      <c r="B4" s="4741"/>
      <c r="C4" s="4741"/>
      <c r="D4" s="4741"/>
      <c r="E4" s="4741"/>
      <c r="F4" s="4741"/>
      <c r="G4" s="4741"/>
      <c r="H4" s="4741"/>
    </row>
    <row r="5" spans="1:9" s="1403" customFormat="1" ht="14.25" customHeight="1">
      <c r="A5" s="4742" t="s">
        <v>470</v>
      </c>
      <c r="B5" s="4742"/>
      <c r="C5" s="4742"/>
      <c r="D5" s="4742"/>
      <c r="E5" s="4742"/>
      <c r="F5" s="4742"/>
      <c r="G5" s="4742"/>
      <c r="H5" s="4742"/>
    </row>
    <row r="6" spans="1:9" s="1403" customFormat="1" ht="14.25" customHeight="1">
      <c r="A6" s="1578"/>
      <c r="B6" s="1578"/>
      <c r="C6" s="1578"/>
      <c r="D6" s="1578"/>
      <c r="E6" s="1578"/>
      <c r="F6" s="1578"/>
      <c r="G6" s="1578"/>
      <c r="H6" s="1578"/>
    </row>
    <row r="7" spans="1:9" s="1403" customFormat="1" ht="14.25" customHeight="1">
      <c r="A7" s="2522" t="s">
        <v>2281</v>
      </c>
    </row>
    <row r="8" spans="1:9" ht="14.25" customHeight="1">
      <c r="A8" s="3135"/>
      <c r="B8" s="3159" t="s">
        <v>2306</v>
      </c>
      <c r="D8" s="1403"/>
      <c r="E8" s="1403"/>
      <c r="F8" s="1408"/>
      <c r="G8" s="1403"/>
      <c r="H8" s="1403"/>
    </row>
    <row r="9" spans="1:9" ht="14.25" customHeight="1">
      <c r="A9" s="3135"/>
      <c r="B9" s="1577"/>
      <c r="D9" s="1403"/>
      <c r="E9" s="1403"/>
      <c r="F9" s="1408"/>
      <c r="G9" s="1403"/>
      <c r="H9" s="1403"/>
    </row>
    <row r="10" spans="1:9" ht="14.25" customHeight="1">
      <c r="A10" s="4934" t="s">
        <v>468</v>
      </c>
      <c r="B10" s="4935"/>
      <c r="C10" s="2607" t="s">
        <v>467</v>
      </c>
      <c r="D10" s="2608" t="s">
        <v>466</v>
      </c>
      <c r="E10" s="4869" t="s">
        <v>465</v>
      </c>
      <c r="F10" s="4870"/>
      <c r="G10" s="4871"/>
      <c r="H10" s="2607" t="s">
        <v>464</v>
      </c>
    </row>
    <row r="11" spans="1:9" ht="14.25" customHeight="1">
      <c r="A11" s="4936"/>
      <c r="B11" s="4937"/>
      <c r="C11" s="2606" t="s">
        <v>463</v>
      </c>
      <c r="D11" s="2517" t="s">
        <v>573</v>
      </c>
      <c r="E11" s="2646" t="s">
        <v>462</v>
      </c>
      <c r="F11" s="2646" t="s">
        <v>461</v>
      </c>
      <c r="G11" s="2517" t="s">
        <v>244</v>
      </c>
      <c r="H11" s="2517" t="s">
        <v>652</v>
      </c>
    </row>
    <row r="12" spans="1:9" ht="14.25" customHeight="1">
      <c r="A12" s="4938"/>
      <c r="B12" s="4939"/>
      <c r="C12" s="2604"/>
      <c r="D12" s="2602" t="s">
        <v>460</v>
      </c>
      <c r="E12" s="2602" t="s">
        <v>460</v>
      </c>
      <c r="F12" s="2602" t="s">
        <v>459</v>
      </c>
      <c r="G12" s="2623"/>
      <c r="H12" s="2602" t="s">
        <v>458</v>
      </c>
    </row>
    <row r="13" spans="1:9" ht="20.100000000000001" customHeight="1">
      <c r="A13" s="3109" t="s">
        <v>456</v>
      </c>
      <c r="B13" s="3134"/>
      <c r="C13" s="2834"/>
      <c r="D13" s="2834"/>
      <c r="E13" s="2834"/>
      <c r="F13" s="3157"/>
      <c r="G13" s="3108"/>
      <c r="H13" s="3108"/>
    </row>
    <row r="14" spans="1:9" ht="20.100000000000001" customHeight="1">
      <c r="A14" s="1436" t="s">
        <v>407</v>
      </c>
      <c r="B14" s="2805"/>
      <c r="C14" s="1513"/>
      <c r="D14" s="2598">
        <f>SUM(D15:D20)</f>
        <v>0</v>
      </c>
      <c r="E14" s="2598">
        <f>SUM(E15:E17)</f>
        <v>195300</v>
      </c>
      <c r="F14" s="2598">
        <f>SUM(F15:F17)</f>
        <v>654700</v>
      </c>
      <c r="G14" s="2598">
        <f>SUM(G15:G17)</f>
        <v>850000</v>
      </c>
      <c r="H14" s="2598">
        <f>SUM(H15:H17)</f>
        <v>850000</v>
      </c>
      <c r="I14" s="3145"/>
    </row>
    <row r="15" spans="1:9" ht="19.5" customHeight="1" outlineLevel="1">
      <c r="A15" s="519"/>
      <c r="B15" s="2144" t="s">
        <v>1980</v>
      </c>
      <c r="C15" s="2176" t="s">
        <v>1979</v>
      </c>
      <c r="D15" s="1474">
        <v>0</v>
      </c>
      <c r="E15" s="1532">
        <v>166500</v>
      </c>
      <c r="F15" s="1504">
        <f>G15-E15</f>
        <v>533500</v>
      </c>
      <c r="G15" s="1504">
        <v>700000</v>
      </c>
      <c r="H15" s="1424">
        <v>700000</v>
      </c>
    </row>
    <row r="16" spans="1:9" s="1395" customFormat="1" ht="19.5" customHeight="1" outlineLevel="1">
      <c r="A16" s="517"/>
      <c r="B16" s="516" t="s">
        <v>389</v>
      </c>
      <c r="C16" s="2176" t="s">
        <v>388</v>
      </c>
      <c r="D16" s="1474">
        <v>0</v>
      </c>
      <c r="E16" s="1532">
        <v>28800</v>
      </c>
      <c r="F16" s="1504">
        <f>G16-E16</f>
        <v>82800</v>
      </c>
      <c r="G16" s="1504">
        <v>111600</v>
      </c>
      <c r="H16" s="1424">
        <v>111600</v>
      </c>
    </row>
    <row r="17" spans="1:9" s="1395" customFormat="1" ht="19.5" customHeight="1" outlineLevel="1">
      <c r="A17" s="517"/>
      <c r="B17" s="516" t="s">
        <v>776</v>
      </c>
      <c r="C17" s="2176" t="s">
        <v>367</v>
      </c>
      <c r="D17" s="1474">
        <v>0</v>
      </c>
      <c r="E17" s="1532">
        <v>0</v>
      </c>
      <c r="F17" s="1504">
        <v>38400</v>
      </c>
      <c r="G17" s="1504">
        <v>38400</v>
      </c>
      <c r="H17" s="1424">
        <v>38400</v>
      </c>
    </row>
    <row r="18" spans="1:9" s="1395" customFormat="1" ht="19.5" customHeight="1" outlineLevel="1">
      <c r="A18" s="517"/>
      <c r="B18" s="516"/>
      <c r="C18" s="2176"/>
      <c r="D18" s="1474"/>
      <c r="E18" s="1532"/>
      <c r="F18" s="1471"/>
      <c r="G18" s="1504"/>
      <c r="H18" s="1424"/>
    </row>
    <row r="19" spans="1:9" s="1395" customFormat="1" ht="19.5" customHeight="1" outlineLevel="1">
      <c r="A19" s="517"/>
      <c r="B19" s="516"/>
      <c r="C19" s="971"/>
      <c r="D19" s="1474"/>
      <c r="E19" s="1532"/>
      <c r="F19" s="3151"/>
      <c r="G19" s="1504"/>
      <c r="H19" s="1424"/>
    </row>
    <row r="20" spans="1:9" s="1395" customFormat="1" ht="19.5" customHeight="1" outlineLevel="1">
      <c r="A20" s="508"/>
      <c r="B20" s="3119"/>
      <c r="C20" s="3118"/>
      <c r="D20" s="3117"/>
      <c r="E20" s="3142"/>
      <c r="F20" s="3150"/>
      <c r="G20" s="3140"/>
      <c r="H20" s="1481"/>
    </row>
    <row r="21" spans="1:9" s="1395" customFormat="1" ht="21.95" customHeight="1" outlineLevel="1" thickBot="1">
      <c r="A21" s="1421" t="s">
        <v>366</v>
      </c>
      <c r="B21" s="1420"/>
      <c r="C21" s="1419"/>
      <c r="D21" s="2480">
        <f>D14</f>
        <v>0</v>
      </c>
      <c r="E21" s="2480">
        <f>E14</f>
        <v>195300</v>
      </c>
      <c r="F21" s="2480">
        <f>F14</f>
        <v>654700</v>
      </c>
      <c r="G21" s="2480">
        <f>G14</f>
        <v>850000</v>
      </c>
      <c r="H21" s="2480">
        <f>H14</f>
        <v>850000</v>
      </c>
    </row>
    <row r="22" spans="1:9" ht="20.100000000000001" customHeight="1" outlineLevel="1" thickTop="1"/>
    <row r="23" spans="1:9" s="1403" customFormat="1" ht="19.5" customHeight="1">
      <c r="A23" s="1403" t="s">
        <v>364</v>
      </c>
      <c r="C23" s="3037" t="s">
        <v>363</v>
      </c>
      <c r="E23" s="4742" t="s">
        <v>1779</v>
      </c>
      <c r="F23" s="4742"/>
    </row>
    <row r="24" spans="1:9" s="1403" customFormat="1" ht="18" customHeight="1">
      <c r="C24" s="3037"/>
    </row>
    <row r="25" spans="1:9" s="1403" customFormat="1" ht="18" customHeight="1">
      <c r="A25" s="3036" t="s">
        <v>2268</v>
      </c>
      <c r="C25" s="4760" t="s">
        <v>360</v>
      </c>
      <c r="D25" s="4760"/>
      <c r="E25" s="4741" t="s">
        <v>359</v>
      </c>
      <c r="F25" s="4741"/>
      <c r="G25" s="4741"/>
      <c r="H25" s="4741"/>
    </row>
    <row r="26" spans="1:9" s="1404" customFormat="1" ht="12.75">
      <c r="A26" s="1407" t="s">
        <v>2284</v>
      </c>
      <c r="B26" s="1407"/>
      <c r="C26" s="4754" t="s">
        <v>357</v>
      </c>
      <c r="D26" s="4754"/>
      <c r="E26" s="4755" t="s">
        <v>356</v>
      </c>
      <c r="F26" s="4755"/>
      <c r="G26" s="4755"/>
      <c r="H26" s="4755"/>
      <c r="I26" s="2236"/>
    </row>
    <row r="27" spans="1:9" s="1404" customFormat="1" ht="12.75">
      <c r="A27" s="4756"/>
      <c r="B27" s="4756"/>
      <c r="D27" s="1406"/>
      <c r="E27" s="1406"/>
      <c r="F27" s="1406"/>
      <c r="G27" s="1406"/>
      <c r="H27" s="1406"/>
      <c r="I27" s="2236"/>
    </row>
  </sheetData>
  <mergeCells count="10">
    <mergeCell ref="C26:D26"/>
    <mergeCell ref="E26:H26"/>
    <mergeCell ref="A27:B27"/>
    <mergeCell ref="A4:H4"/>
    <mergeCell ref="A5:H5"/>
    <mergeCell ref="A10:B12"/>
    <mergeCell ref="E10:G10"/>
    <mergeCell ref="E23:F23"/>
    <mergeCell ref="C25:D25"/>
    <mergeCell ref="E25:H25"/>
  </mergeCells>
  <pageMargins left="0.5" right="0" top="0.75" bottom="0" header="0.5" footer="0"/>
  <pageSetup paperSize="5" orientation="portrait" verticalDpi="300" r:id="rId1"/>
  <headerFooter alignWithMargins="0"/>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 transitionEvaluation="1" transitionEntry="1">
    <tabColor rgb="FF7030A0"/>
    <outlinePr summaryBelow="0"/>
  </sheetPr>
  <dimension ref="A1:EJ122"/>
  <sheetViews>
    <sheetView showGridLines="0" showOutlineSymbols="0" workbookViewId="0">
      <selection activeCell="G115" sqref="G115"/>
    </sheetView>
  </sheetViews>
  <sheetFormatPr defaultColWidth="12.5703125" defaultRowHeight="13.5" outlineLevelRow="2" outlineLevelCol="2"/>
  <cols>
    <col min="1" max="1" width="1.85546875" style="3160" customWidth="1"/>
    <col min="2" max="2" width="32.5703125" style="3160" customWidth="1"/>
    <col min="3" max="3" width="10.28515625" style="3161" customWidth="1"/>
    <col min="4" max="5" width="9.5703125" style="3161" customWidth="1"/>
    <col min="6" max="6" width="10.7109375" style="3161" customWidth="1"/>
    <col min="7" max="8" width="10.28515625" style="3161" customWidth="1"/>
    <col min="9" max="39" width="12.5703125" style="3160"/>
    <col min="40" max="44" width="12.5703125" style="3160" outlineLevel="1"/>
    <col min="45" max="50" width="12.5703125" style="3160" outlineLevel="2"/>
    <col min="51" max="53" width="12.5703125" style="3160" outlineLevel="1"/>
    <col min="54" max="73" width="12.5703125" style="3160"/>
    <col min="74" max="77" width="12.5703125" style="3160" outlineLevel="1"/>
    <col min="78" max="125" width="12.5703125" style="3160"/>
    <col min="126" max="131" width="12.5703125" style="3160" outlineLevel="1"/>
    <col min="132" max="137" width="12.5703125" style="3160" outlineLevel="2"/>
    <col min="138" max="140" width="12.5703125" style="3160" outlineLevel="1"/>
    <col min="141" max="16384" width="12.5703125" style="3160"/>
  </cols>
  <sheetData>
    <row r="1" spans="1:8">
      <c r="A1" s="3226" t="s">
        <v>473</v>
      </c>
      <c r="E1" s="3285"/>
      <c r="F1" s="3285"/>
      <c r="G1" s="3285"/>
      <c r="H1" s="3285"/>
    </row>
    <row r="2" spans="1:8" ht="14.25" customHeight="1">
      <c r="A2" s="3221" t="s">
        <v>2362</v>
      </c>
      <c r="E2" s="3284"/>
      <c r="F2" s="3284"/>
      <c r="G2" s="3284"/>
      <c r="H2" s="3284"/>
    </row>
    <row r="3" spans="1:8" ht="14.25" customHeight="1">
      <c r="E3" s="3284"/>
      <c r="G3" s="3284"/>
      <c r="H3" s="3284"/>
    </row>
    <row r="4" spans="1:8" ht="14.25" customHeight="1">
      <c r="E4" s="3284"/>
      <c r="G4" s="3284"/>
      <c r="H4" s="3284"/>
    </row>
    <row r="5" spans="1:8" ht="14.25" customHeight="1">
      <c r="A5" s="4940" t="s">
        <v>471</v>
      </c>
      <c r="B5" s="4940"/>
      <c r="C5" s="4940"/>
      <c r="D5" s="4940"/>
      <c r="E5" s="4940"/>
      <c r="F5" s="4940"/>
      <c r="G5" s="4940"/>
      <c r="H5" s="4940"/>
    </row>
    <row r="6" spans="1:8" ht="14.25" customHeight="1">
      <c r="A6" s="4941" t="s">
        <v>746</v>
      </c>
      <c r="B6" s="4941"/>
      <c r="C6" s="4941"/>
      <c r="D6" s="4941"/>
      <c r="E6" s="4941"/>
      <c r="F6" s="4941"/>
      <c r="G6" s="4941"/>
      <c r="H6" s="4941"/>
    </row>
    <row r="7" spans="1:8" ht="14.25" customHeight="1">
      <c r="A7" s="3283"/>
      <c r="B7" s="3283"/>
      <c r="C7" s="3282"/>
      <c r="D7" s="3282"/>
      <c r="E7" s="3282"/>
      <c r="F7" s="3282"/>
      <c r="G7" s="3282"/>
      <c r="H7" s="3282"/>
    </row>
    <row r="8" spans="1:8" ht="14.25" customHeight="1">
      <c r="A8" s="3283"/>
      <c r="B8" s="3283"/>
      <c r="C8" s="3282"/>
      <c r="D8" s="3282"/>
      <c r="E8" s="3282"/>
      <c r="F8" s="3282"/>
      <c r="G8" s="3282"/>
      <c r="H8" s="3282"/>
    </row>
    <row r="9" spans="1:8" ht="14.25" customHeight="1">
      <c r="A9" s="2522" t="s">
        <v>2361</v>
      </c>
      <c r="B9" s="3281"/>
    </row>
    <row r="10" spans="1:8" ht="14.25" customHeight="1">
      <c r="A10" s="3281"/>
      <c r="B10" s="3281"/>
    </row>
    <row r="11" spans="1:8" ht="14.25" customHeight="1">
      <c r="A11" s="4942" t="s">
        <v>468</v>
      </c>
      <c r="B11" s="4943"/>
      <c r="C11" s="3280"/>
      <c r="D11" s="3220" t="s">
        <v>466</v>
      </c>
      <c r="E11" s="4948" t="s">
        <v>465</v>
      </c>
      <c r="F11" s="4949"/>
      <c r="G11" s="4950"/>
      <c r="H11" s="3220" t="s">
        <v>2345</v>
      </c>
    </row>
    <row r="12" spans="1:8" ht="14.25" customHeight="1">
      <c r="A12" s="4944"/>
      <c r="B12" s="4945"/>
      <c r="C12" s="3280" t="s">
        <v>467</v>
      </c>
      <c r="D12" s="3218">
        <v>2020</v>
      </c>
      <c r="E12" s="3218" t="s">
        <v>2344</v>
      </c>
      <c r="F12" s="3218" t="s">
        <v>2343</v>
      </c>
      <c r="G12" s="3218"/>
      <c r="H12" s="3218" t="s">
        <v>2342</v>
      </c>
    </row>
    <row r="13" spans="1:8" ht="14.25" customHeight="1">
      <c r="A13" s="4944"/>
      <c r="B13" s="4945"/>
      <c r="C13" s="3279" t="s">
        <v>463</v>
      </c>
      <c r="D13" s="3218"/>
      <c r="E13" s="3218" t="s">
        <v>2341</v>
      </c>
      <c r="F13" s="3218" t="s">
        <v>2341</v>
      </c>
      <c r="G13" s="3218" t="s">
        <v>244</v>
      </c>
      <c r="H13" s="3218" t="s">
        <v>652</v>
      </c>
    </row>
    <row r="14" spans="1:8" ht="14.25" customHeight="1">
      <c r="A14" s="4946"/>
      <c r="B14" s="4947"/>
      <c r="C14" s="3278"/>
      <c r="D14" s="3215" t="s">
        <v>460</v>
      </c>
      <c r="E14" s="3215" t="s">
        <v>460</v>
      </c>
      <c r="F14" s="3215" t="s">
        <v>459</v>
      </c>
      <c r="G14" s="3216"/>
      <c r="H14" s="3215" t="s">
        <v>458</v>
      </c>
    </row>
    <row r="15" spans="1:8" ht="20.100000000000001" customHeight="1">
      <c r="A15" s="3277" t="s">
        <v>456</v>
      </c>
      <c r="B15" s="3276"/>
      <c r="C15" s="3275"/>
      <c r="D15" s="3275"/>
      <c r="E15" s="3275"/>
      <c r="F15" s="3274"/>
      <c r="G15" s="3274"/>
      <c r="H15" s="3274"/>
    </row>
    <row r="16" spans="1:8" ht="20.100000000000001" customHeight="1">
      <c r="A16" s="3273" t="s">
        <v>455</v>
      </c>
      <c r="B16" s="3272"/>
      <c r="C16" s="3271"/>
      <c r="D16" s="3245">
        <f>SUM(D18:D37)</f>
        <v>0</v>
      </c>
      <c r="E16" s="3245">
        <f>SUM(E18:E37)</f>
        <v>2831499.2199999997</v>
      </c>
      <c r="F16" s="3245">
        <f>SUM(F18:F37)</f>
        <v>5827502.7799999993</v>
      </c>
      <c r="G16" s="3245">
        <f>SUM(G18:G37)</f>
        <v>8659002</v>
      </c>
      <c r="H16" s="3245">
        <f>SUM(H18:H37)</f>
        <v>9075178</v>
      </c>
    </row>
    <row r="17" spans="1:10" ht="16.7" customHeight="1" outlineLevel="1">
      <c r="A17" s="3270" t="s">
        <v>454</v>
      </c>
      <c r="B17" s="3269"/>
      <c r="C17" s="3267"/>
      <c r="D17" s="3268"/>
      <c r="E17" s="3268"/>
      <c r="F17" s="3267"/>
      <c r="G17" s="3267"/>
      <c r="H17" s="3267"/>
    </row>
    <row r="18" spans="1:10" ht="16.7" customHeight="1" outlineLevel="1">
      <c r="A18" s="3259" t="s">
        <v>426</v>
      </c>
      <c r="B18" s="3258"/>
      <c r="C18" s="3266" t="s">
        <v>453</v>
      </c>
      <c r="D18" s="3180">
        <v>0</v>
      </c>
      <c r="E18" s="3052">
        <v>1790689.26</v>
      </c>
      <c r="F18" s="3052">
        <v>3477958.74</v>
      </c>
      <c r="G18" s="2619">
        <v>5268648</v>
      </c>
      <c r="H18" s="2619">
        <f>[21]CDRRMO!$H$49</f>
        <v>5458620</v>
      </c>
      <c r="I18" s="3160">
        <f>H18*0.1</f>
        <v>545862</v>
      </c>
    </row>
    <row r="19" spans="1:10" ht="16.7" customHeight="1" outlineLevel="1">
      <c r="A19" s="3261" t="s">
        <v>452</v>
      </c>
      <c r="B19" s="3258"/>
      <c r="C19" s="3212"/>
      <c r="D19" s="3180"/>
      <c r="E19" s="3052"/>
      <c r="F19" s="3052"/>
      <c r="G19" s="2619"/>
      <c r="H19" s="2619"/>
    </row>
    <row r="20" spans="1:10" ht="16.7" customHeight="1" outlineLevel="1">
      <c r="A20" s="3259" t="s">
        <v>1507</v>
      </c>
      <c r="B20" s="3258"/>
      <c r="C20" s="3266" t="s">
        <v>450</v>
      </c>
      <c r="D20" s="3180">
        <v>0</v>
      </c>
      <c r="E20" s="3052">
        <v>254000</v>
      </c>
      <c r="F20" s="3052">
        <v>274000</v>
      </c>
      <c r="G20" s="2619">
        <v>528000</v>
      </c>
      <c r="H20" s="2619">
        <f>[21]CDRRMO!$B$48*2000*12</f>
        <v>600000</v>
      </c>
    </row>
    <row r="21" spans="1:10" ht="16.7" customHeight="1" outlineLevel="1">
      <c r="A21" s="3259" t="s">
        <v>449</v>
      </c>
      <c r="B21" s="3258"/>
      <c r="C21" s="3266" t="s">
        <v>448</v>
      </c>
      <c r="D21" s="3180">
        <v>0</v>
      </c>
      <c r="E21" s="3260">
        <v>42750</v>
      </c>
      <c r="F21" s="3052">
        <v>42750</v>
      </c>
      <c r="G21" s="3262">
        <v>85500</v>
      </c>
      <c r="H21" s="2619">
        <v>85500</v>
      </c>
    </row>
    <row r="22" spans="1:10" ht="16.7" customHeight="1" outlineLevel="1">
      <c r="A22" s="3259" t="s">
        <v>447</v>
      </c>
      <c r="B22" s="3258"/>
      <c r="C22" s="3266" t="s">
        <v>446</v>
      </c>
      <c r="D22" s="3180">
        <v>0</v>
      </c>
      <c r="E22" s="3260">
        <v>42750</v>
      </c>
      <c r="F22" s="3052">
        <v>42750</v>
      </c>
      <c r="G22" s="3262">
        <v>85500</v>
      </c>
      <c r="H22" s="2619">
        <v>85500</v>
      </c>
    </row>
    <row r="23" spans="1:10" ht="16.7" customHeight="1" outlineLevel="1">
      <c r="A23" s="3259" t="s">
        <v>445</v>
      </c>
      <c r="B23" s="3258"/>
      <c r="C23" s="3266" t="s">
        <v>2360</v>
      </c>
      <c r="D23" s="3180">
        <v>0</v>
      </c>
      <c r="E23" s="3260">
        <v>114000</v>
      </c>
      <c r="F23" s="3052">
        <v>18000</v>
      </c>
      <c r="G23" s="3262">
        <v>132000</v>
      </c>
      <c r="H23" s="3262">
        <f>[21]CDRRMO!$B$48*6000</f>
        <v>150000</v>
      </c>
    </row>
    <row r="24" spans="1:10" ht="16.7" customHeight="1" outlineLevel="1">
      <c r="A24" s="3259" t="s">
        <v>1506</v>
      </c>
      <c r="B24" s="3258"/>
      <c r="C24" s="3212" t="s">
        <v>439</v>
      </c>
      <c r="D24" s="3180">
        <v>0</v>
      </c>
      <c r="E24" s="3260">
        <v>0</v>
      </c>
      <c r="F24" s="3052">
        <v>439054</v>
      </c>
      <c r="G24" s="3262">
        <v>439054</v>
      </c>
      <c r="H24" s="3052">
        <f>H18/12</f>
        <v>454885</v>
      </c>
      <c r="I24" s="3160">
        <f>H24*0.1</f>
        <v>45488.5</v>
      </c>
    </row>
    <row r="25" spans="1:10" ht="16.7" customHeight="1" outlineLevel="1">
      <c r="A25" s="3259" t="s">
        <v>2359</v>
      </c>
      <c r="B25" s="3258"/>
      <c r="C25" s="3212" t="s">
        <v>437</v>
      </c>
      <c r="D25" s="3180">
        <v>0</v>
      </c>
      <c r="E25" s="3260">
        <v>0</v>
      </c>
      <c r="F25" s="3052">
        <v>110000</v>
      </c>
      <c r="G25" s="3265">
        <v>110000</v>
      </c>
      <c r="H25" s="3264">
        <f>[21]CDRRMO!$B$48*5000</f>
        <v>125000</v>
      </c>
    </row>
    <row r="26" spans="1:10" ht="16.7" customHeight="1" outlineLevel="1">
      <c r="A26" s="3259" t="s">
        <v>436</v>
      </c>
      <c r="B26" s="3258"/>
      <c r="C26" s="3212" t="s">
        <v>435</v>
      </c>
      <c r="D26" s="3180">
        <v>0</v>
      </c>
      <c r="E26" s="3264">
        <v>341395</v>
      </c>
      <c r="F26" s="3052">
        <v>97659</v>
      </c>
      <c r="G26" s="3262">
        <v>439054</v>
      </c>
      <c r="H26" s="3052">
        <f>H18/12</f>
        <v>454885</v>
      </c>
      <c r="I26" s="3160">
        <f>H26*0.1</f>
        <v>45488.5</v>
      </c>
    </row>
    <row r="27" spans="1:10" ht="16.7" customHeight="1" outlineLevel="1">
      <c r="A27" s="3261" t="s">
        <v>434</v>
      </c>
      <c r="B27" s="3258"/>
      <c r="C27" s="3212"/>
      <c r="D27" s="3180"/>
      <c r="E27" s="3260"/>
      <c r="F27" s="3052"/>
      <c r="G27" s="3262"/>
      <c r="H27" s="3052"/>
    </row>
    <row r="28" spans="1:10" ht="16.7" customHeight="1" outlineLevel="1">
      <c r="A28" s="3259" t="s">
        <v>421</v>
      </c>
      <c r="B28" s="3258"/>
      <c r="C28" s="3212" t="s">
        <v>433</v>
      </c>
      <c r="D28" s="3180">
        <v>0</v>
      </c>
      <c r="E28" s="3260">
        <v>204194.73</v>
      </c>
      <c r="F28" s="3052">
        <v>428043.27</v>
      </c>
      <c r="G28" s="3262">
        <v>632238</v>
      </c>
      <c r="H28" s="3052">
        <v>655035</v>
      </c>
      <c r="I28" s="3160">
        <f>H28*0.1</f>
        <v>65503.5</v>
      </c>
      <c r="J28" s="3160">
        <f>H18*0.12</f>
        <v>655034.4</v>
      </c>
    </row>
    <row r="29" spans="1:10" ht="16.7" customHeight="1" outlineLevel="1">
      <c r="A29" s="3259" t="s">
        <v>2358</v>
      </c>
      <c r="B29" s="3258"/>
      <c r="C29" s="3212" t="s">
        <v>431</v>
      </c>
      <c r="D29" s="3180">
        <v>0</v>
      </c>
      <c r="E29" s="3260">
        <v>9200</v>
      </c>
      <c r="F29" s="3052">
        <v>17200</v>
      </c>
      <c r="G29" s="3262">
        <v>26400</v>
      </c>
      <c r="H29" s="3052">
        <f>[21]CDRRMO!$B$48*100*12</f>
        <v>30000</v>
      </c>
    </row>
    <row r="30" spans="1:10" ht="16.7" customHeight="1" outlineLevel="1">
      <c r="A30" s="3259" t="s">
        <v>418</v>
      </c>
      <c r="B30" s="3258"/>
      <c r="C30" s="3212" t="s">
        <v>430</v>
      </c>
      <c r="D30" s="3180">
        <v>0</v>
      </c>
      <c r="E30" s="3260">
        <v>23320.23</v>
      </c>
      <c r="F30" s="3052">
        <v>64232.77</v>
      </c>
      <c r="G30" s="3262">
        <v>87553</v>
      </c>
      <c r="H30" s="3052">
        <f>[21]CDRRMO!$K$51</f>
        <v>105827</v>
      </c>
      <c r="I30" s="3263">
        <f>H30*0.1</f>
        <v>10582.7</v>
      </c>
    </row>
    <row r="31" spans="1:10" ht="16.7" customHeight="1" outlineLevel="1">
      <c r="A31" s="3259" t="s">
        <v>428</v>
      </c>
      <c r="B31" s="3258"/>
      <c r="C31" s="3212" t="s">
        <v>427</v>
      </c>
      <c r="D31" s="3180">
        <v>0</v>
      </c>
      <c r="E31" s="3260">
        <v>9200</v>
      </c>
      <c r="F31" s="3052">
        <v>17200</v>
      </c>
      <c r="G31" s="3262">
        <v>26400</v>
      </c>
      <c r="H31" s="3052">
        <f>H29</f>
        <v>30000</v>
      </c>
      <c r="I31" s="3160">
        <f>SUM(I18:I30)</f>
        <v>712925.2</v>
      </c>
    </row>
    <row r="32" spans="1:10" ht="16.7" customHeight="1" outlineLevel="1">
      <c r="A32" s="3261" t="s">
        <v>425</v>
      </c>
      <c r="B32" s="3258"/>
      <c r="C32" s="3212"/>
      <c r="D32" s="3180"/>
      <c r="E32" s="3260"/>
      <c r="F32" s="3052"/>
      <c r="G32" s="3223"/>
      <c r="H32" s="3052"/>
      <c r="I32" s="3160">
        <v>712926</v>
      </c>
    </row>
    <row r="33" spans="1:9" ht="16.7" customHeight="1" outlineLevel="1">
      <c r="A33" s="3259" t="s">
        <v>423</v>
      </c>
      <c r="B33" s="3258"/>
      <c r="C33" s="3212" t="s">
        <v>422</v>
      </c>
      <c r="D33" s="3180">
        <v>0</v>
      </c>
      <c r="E33" s="3260">
        <v>0</v>
      </c>
      <c r="F33" s="3052">
        <v>1000</v>
      </c>
      <c r="G33" s="3223">
        <v>1000</v>
      </c>
      <c r="H33" s="3052">
        <v>1000</v>
      </c>
    </row>
    <row r="34" spans="1:9" ht="16.7" customHeight="1" outlineLevel="1">
      <c r="A34" s="3259" t="s">
        <v>420</v>
      </c>
      <c r="B34" s="3258"/>
      <c r="C34" s="3255" t="s">
        <v>1996</v>
      </c>
      <c r="D34" s="3180">
        <v>0</v>
      </c>
      <c r="E34" s="3254">
        <v>0</v>
      </c>
      <c r="F34" s="3052">
        <v>686655</v>
      </c>
      <c r="G34" s="3223">
        <v>686655</v>
      </c>
      <c r="H34" s="3052">
        <f>I32</f>
        <v>712926</v>
      </c>
    </row>
    <row r="35" spans="1:9" ht="16.7" customHeight="1" outlineLevel="1">
      <c r="A35" s="3259" t="s">
        <v>414</v>
      </c>
      <c r="B35" s="3258"/>
      <c r="C35" s="3255" t="s">
        <v>2357</v>
      </c>
      <c r="D35" s="3180">
        <v>0</v>
      </c>
      <c r="E35" s="3254">
        <v>0</v>
      </c>
      <c r="F35" s="3052">
        <v>1000</v>
      </c>
      <c r="G35" s="3254">
        <v>1000</v>
      </c>
      <c r="H35" s="3052">
        <v>1000</v>
      </c>
    </row>
    <row r="36" spans="1:9" ht="16.7" customHeight="1" outlineLevel="1">
      <c r="A36" s="3257" t="s">
        <v>2356</v>
      </c>
      <c r="B36" s="3256"/>
      <c r="C36" s="3255"/>
      <c r="D36" s="3180">
        <v>0</v>
      </c>
      <c r="E36" s="3254"/>
      <c r="F36" s="3052"/>
      <c r="G36" s="3254"/>
      <c r="H36" s="3052"/>
    </row>
    <row r="37" spans="1:9" ht="16.7" customHeight="1" outlineLevel="1">
      <c r="A37" s="3253"/>
      <c r="B37" s="3252" t="s">
        <v>1688</v>
      </c>
      <c r="C37" s="3251" t="s">
        <v>2355</v>
      </c>
      <c r="D37" s="3195">
        <v>0</v>
      </c>
      <c r="E37" s="3250">
        <v>0</v>
      </c>
      <c r="F37" s="3047">
        <v>110000</v>
      </c>
      <c r="G37" s="3250">
        <v>110000</v>
      </c>
      <c r="H37" s="3047">
        <f>[21]CDRRMO!$B$48*5000</f>
        <v>125000</v>
      </c>
      <c r="I37" s="3249"/>
    </row>
    <row r="38" spans="1:9" s="2256" customFormat="1" ht="12.75" customHeight="1" outlineLevel="1">
      <c r="A38" s="3244" t="s">
        <v>2354</v>
      </c>
      <c r="B38" s="3244"/>
      <c r="C38" s="3248"/>
      <c r="D38" s="3247">
        <f>[22]CDRRMO!$F$76</f>
        <v>18033711.310000002</v>
      </c>
      <c r="E38" s="3245">
        <v>4908894</v>
      </c>
      <c r="F38" s="3246">
        <v>15007711.619999999</v>
      </c>
      <c r="G38" s="3239">
        <v>19916605.620000001</v>
      </c>
      <c r="H38" s="3245">
        <v>24731767.93</v>
      </c>
    </row>
    <row r="39" spans="1:9" s="2255" customFormat="1" ht="12.75" customHeight="1" outlineLevel="1">
      <c r="A39" s="3244" t="s">
        <v>2353</v>
      </c>
      <c r="B39" s="3243"/>
      <c r="C39" s="3242"/>
      <c r="D39" s="3241"/>
      <c r="E39" s="3238"/>
      <c r="F39" s="3240"/>
      <c r="G39" s="3239"/>
      <c r="H39" s="3238"/>
    </row>
    <row r="40" spans="1:9" s="1511" customFormat="1" ht="12" customHeight="1" outlineLevel="1">
      <c r="A40" s="3192" t="s">
        <v>407</v>
      </c>
      <c r="B40" s="3237"/>
      <c r="C40" s="3190"/>
      <c r="D40" s="3189">
        <f>SUM(D41:D99)</f>
        <v>18898771.879999999</v>
      </c>
      <c r="E40" s="3189">
        <f>SUM(E41:E99)</f>
        <v>4932568.34</v>
      </c>
      <c r="F40" s="3189">
        <f>SUM(F41:F99)</f>
        <v>13439511.439999999</v>
      </c>
      <c r="G40" s="3189">
        <f>SUM(G41:G99)</f>
        <v>18372079.780000001</v>
      </c>
      <c r="H40" s="1512">
        <f>SUM(H41:H99)</f>
        <v>23082983.41</v>
      </c>
      <c r="I40" s="2255"/>
    </row>
    <row r="41" spans="1:9" s="2253" customFormat="1" ht="16.7" customHeight="1" outlineLevel="1">
      <c r="A41" s="3209" t="s">
        <v>2352</v>
      </c>
      <c r="B41" s="3228"/>
      <c r="C41" s="3236" t="s">
        <v>405</v>
      </c>
      <c r="D41" s="3224">
        <f>[22]CDRRMO!$F$14</f>
        <v>145512.68</v>
      </c>
      <c r="E41" s="3072">
        <v>47664</v>
      </c>
      <c r="F41" s="3052">
        <v>452336</v>
      </c>
      <c r="G41" s="3235">
        <v>500000</v>
      </c>
      <c r="H41" s="3072">
        <v>200000</v>
      </c>
      <c r="I41" s="2255"/>
    </row>
    <row r="42" spans="1:9" s="2253" customFormat="1" ht="16.7" customHeight="1" outlineLevel="1">
      <c r="A42" s="3209" t="s">
        <v>2351</v>
      </c>
      <c r="B42" s="3228"/>
      <c r="C42" s="3203" t="s">
        <v>1985</v>
      </c>
      <c r="D42" s="3180">
        <f>[22]CDRRMO!$F$15</f>
        <v>0</v>
      </c>
      <c r="E42" s="3052">
        <v>0</v>
      </c>
      <c r="F42" s="3052">
        <v>20000</v>
      </c>
      <c r="G42" s="3234">
        <v>20000</v>
      </c>
      <c r="H42" s="3052">
        <v>80000</v>
      </c>
      <c r="I42" s="2255"/>
    </row>
    <row r="43" spans="1:9" s="2253" customFormat="1" ht="16.7" customHeight="1" outlineLevel="1">
      <c r="A43" s="3209" t="s">
        <v>404</v>
      </c>
      <c r="B43" s="3228"/>
      <c r="C43" s="3203" t="s">
        <v>403</v>
      </c>
      <c r="D43" s="3233">
        <f>[22]CDRRMO!$F$16</f>
        <v>536820</v>
      </c>
      <c r="E43" s="3052">
        <v>0</v>
      </c>
      <c r="F43" s="3052">
        <v>300000</v>
      </c>
      <c r="G43" s="3234">
        <v>300000</v>
      </c>
      <c r="H43" s="3052">
        <v>500000</v>
      </c>
      <c r="I43" s="2255"/>
    </row>
    <row r="44" spans="1:9" s="2255" customFormat="1" ht="16.7" customHeight="1" outlineLevel="1">
      <c r="A44" s="3211" t="s">
        <v>402</v>
      </c>
      <c r="B44" s="3228"/>
      <c r="C44" s="3184" t="s">
        <v>401</v>
      </c>
      <c r="D44" s="3233">
        <f>[22]CDRRMO!$F$17</f>
        <v>230000</v>
      </c>
      <c r="E44" s="3052">
        <v>80815.259999999995</v>
      </c>
      <c r="F44" s="3052">
        <v>219184.74</v>
      </c>
      <c r="G44" s="3199">
        <v>300000</v>
      </c>
      <c r="H44" s="3052">
        <v>300000</v>
      </c>
    </row>
    <row r="45" spans="1:9" s="2255" customFormat="1" ht="16.7" customHeight="1" outlineLevel="1">
      <c r="A45" s="3211" t="s">
        <v>2350</v>
      </c>
      <c r="B45" s="3228"/>
      <c r="C45" s="3184" t="s">
        <v>1977</v>
      </c>
      <c r="D45" s="3233">
        <f>[22]CDRRMO!$F$18</f>
        <v>217140</v>
      </c>
      <c r="E45" s="3052">
        <v>0</v>
      </c>
      <c r="F45" s="3052">
        <v>450000</v>
      </c>
      <c r="G45" s="3199">
        <v>450000</v>
      </c>
      <c r="H45" s="2619">
        <v>1000000</v>
      </c>
    </row>
    <row r="46" spans="1:9" s="2255" customFormat="1" ht="16.7" customHeight="1" outlineLevel="1">
      <c r="A46" s="3209" t="s">
        <v>1738</v>
      </c>
      <c r="B46" s="3228"/>
      <c r="C46" s="3184" t="s">
        <v>1679</v>
      </c>
      <c r="D46" s="3233">
        <f>[22]CDRRMO!$F$19</f>
        <v>0</v>
      </c>
      <c r="E46" s="3052">
        <v>0</v>
      </c>
      <c r="F46" s="3052">
        <v>100000</v>
      </c>
      <c r="G46" s="3199">
        <v>100000</v>
      </c>
      <c r="H46" s="2619">
        <v>100000</v>
      </c>
    </row>
    <row r="47" spans="1:9" s="2255" customFormat="1" ht="16.7" customHeight="1" outlineLevel="1">
      <c r="A47" s="3209" t="s">
        <v>2349</v>
      </c>
      <c r="B47" s="3228"/>
      <c r="C47" s="3184" t="s">
        <v>2348</v>
      </c>
      <c r="D47" s="3233">
        <f>[22]CDRRMO!$F$20</f>
        <v>79365</v>
      </c>
      <c r="E47" s="3052">
        <v>777250</v>
      </c>
      <c r="F47" s="3052">
        <v>2072750</v>
      </c>
      <c r="G47" s="3199">
        <v>2850000</v>
      </c>
      <c r="H47" s="2619">
        <v>4704928.41</v>
      </c>
    </row>
    <row r="48" spans="1:9" s="2255" customFormat="1" ht="16.7" customHeight="1" outlineLevel="1">
      <c r="A48" s="3211" t="s">
        <v>674</v>
      </c>
      <c r="B48" s="3208"/>
      <c r="C48" s="3184" t="s">
        <v>396</v>
      </c>
      <c r="D48" s="3233">
        <f>[22]CDRRMO!$F$21</f>
        <v>835759.96999999986</v>
      </c>
      <c r="E48" s="3052">
        <v>127990.71</v>
      </c>
      <c r="F48" s="3052">
        <v>1872009.29</v>
      </c>
      <c r="G48" s="3199">
        <v>2000000</v>
      </c>
      <c r="H48" s="2619">
        <v>2355975</v>
      </c>
    </row>
    <row r="49" spans="1:8" s="2255" customFormat="1" ht="16.7" customHeight="1" outlineLevel="1">
      <c r="A49" s="3211" t="s">
        <v>878</v>
      </c>
      <c r="B49" s="3208"/>
      <c r="C49" s="3184" t="s">
        <v>2347</v>
      </c>
      <c r="D49" s="3233">
        <f>[22]CDRRMO!$F$22</f>
        <v>51488.54</v>
      </c>
      <c r="E49" s="3052">
        <v>0</v>
      </c>
      <c r="F49" s="3052">
        <v>60000</v>
      </c>
      <c r="G49" s="3199">
        <v>60000</v>
      </c>
      <c r="H49" s="2619">
        <v>60000</v>
      </c>
    </row>
    <row r="50" spans="1:8" s="2255" customFormat="1" ht="16.7" customHeight="1" outlineLevel="1">
      <c r="A50" s="3211" t="s">
        <v>673</v>
      </c>
      <c r="B50" s="3208"/>
      <c r="C50" s="3184" t="s">
        <v>1269</v>
      </c>
      <c r="D50" s="3233">
        <f>[22]CDRRMO!$F$23</f>
        <v>0</v>
      </c>
      <c r="E50" s="3052">
        <v>2784</v>
      </c>
      <c r="F50" s="3052">
        <v>57216</v>
      </c>
      <c r="G50" s="3199">
        <v>60000</v>
      </c>
      <c r="H50" s="2619">
        <v>60000</v>
      </c>
    </row>
    <row r="51" spans="1:8" s="2255" customFormat="1" ht="16.7" customHeight="1" outlineLevel="1">
      <c r="A51" s="3209" t="s">
        <v>1266</v>
      </c>
      <c r="B51" s="3208"/>
      <c r="C51" s="3184" t="s">
        <v>1265</v>
      </c>
      <c r="D51" s="3233">
        <f>[22]CDRRMO!$F$25</f>
        <v>0</v>
      </c>
      <c r="E51" s="3052">
        <v>0</v>
      </c>
      <c r="F51" s="3052">
        <v>20000</v>
      </c>
      <c r="G51" s="3199">
        <v>20000</v>
      </c>
      <c r="H51" s="2619">
        <v>100000</v>
      </c>
    </row>
    <row r="52" spans="1:8" s="2255" customFormat="1" ht="16.7" customHeight="1" outlineLevel="1">
      <c r="A52" s="3209" t="s">
        <v>700</v>
      </c>
      <c r="B52" s="3208"/>
      <c r="C52" s="3184" t="s">
        <v>392</v>
      </c>
      <c r="D52" s="3233">
        <f>[22]CDRRMO!$F$24</f>
        <v>0</v>
      </c>
      <c r="E52" s="3052">
        <v>0</v>
      </c>
      <c r="F52" s="3052">
        <v>10000</v>
      </c>
      <c r="G52" s="3199">
        <v>10000</v>
      </c>
      <c r="H52" s="2619">
        <v>10000</v>
      </c>
    </row>
    <row r="53" spans="1:8" s="2255" customFormat="1" ht="16.7" customHeight="1" outlineLevel="1">
      <c r="A53" s="3211" t="s">
        <v>391</v>
      </c>
      <c r="B53" s="3208"/>
      <c r="C53" s="3212" t="s">
        <v>390</v>
      </c>
      <c r="D53" s="3233">
        <f>[22]CDRRMO!$F$26</f>
        <v>50197.13</v>
      </c>
      <c r="E53" s="3052">
        <v>29880.639999999999</v>
      </c>
      <c r="F53" s="3052">
        <v>80119.360000000001</v>
      </c>
      <c r="G53" s="3199">
        <v>110000</v>
      </c>
      <c r="H53" s="2619">
        <v>70000</v>
      </c>
    </row>
    <row r="54" spans="1:8" s="2255" customFormat="1" ht="16.7" customHeight="1" outlineLevel="1">
      <c r="A54" s="3209" t="s">
        <v>1264</v>
      </c>
      <c r="B54" s="3208"/>
      <c r="C54" s="3212" t="s">
        <v>1263</v>
      </c>
      <c r="D54" s="3233">
        <f>[22]CDRRMO!$F$27</f>
        <v>20375.88</v>
      </c>
      <c r="E54" s="3052">
        <v>6791.96</v>
      </c>
      <c r="F54" s="3052">
        <v>63208.04</v>
      </c>
      <c r="G54" s="3199">
        <v>70000</v>
      </c>
      <c r="H54" s="2619">
        <v>70000</v>
      </c>
    </row>
    <row r="55" spans="1:8" s="2255" customFormat="1" ht="16.7" customHeight="1" outlineLevel="1">
      <c r="A55" s="3232" t="s">
        <v>2163</v>
      </c>
      <c r="B55" s="3231"/>
      <c r="C55" s="3230" t="s">
        <v>1962</v>
      </c>
      <c r="D55" s="3229">
        <f>[22]CDRRMO!$F$28</f>
        <v>11550</v>
      </c>
      <c r="E55" s="3047">
        <v>6300</v>
      </c>
      <c r="F55" s="3047">
        <v>18700</v>
      </c>
      <c r="G55" s="3194">
        <v>25000</v>
      </c>
      <c r="H55" s="3193">
        <v>25000</v>
      </c>
    </row>
    <row r="56" spans="1:8" s="2255" customFormat="1" ht="16.7" customHeight="1" outlineLevel="1">
      <c r="A56" s="3228"/>
      <c r="B56" s="3228"/>
      <c r="C56" s="3212"/>
      <c r="D56" s="3224"/>
      <c r="E56" s="3222"/>
      <c r="F56" s="3222"/>
      <c r="G56" s="3227"/>
      <c r="H56" s="3222"/>
    </row>
    <row r="57" spans="1:8" s="2255" customFormat="1" ht="16.7" customHeight="1" outlineLevel="1">
      <c r="A57" s="3228"/>
      <c r="B57" s="3228"/>
      <c r="C57" s="3212"/>
      <c r="D57" s="3224"/>
      <c r="E57" s="3222"/>
      <c r="F57" s="3222"/>
      <c r="G57" s="3227"/>
      <c r="H57" s="3222"/>
    </row>
    <row r="58" spans="1:8" s="2255" customFormat="1" ht="16.7" customHeight="1" outlineLevel="1">
      <c r="A58" s="3228"/>
      <c r="B58" s="3228"/>
      <c r="C58" s="3212"/>
      <c r="D58" s="3224"/>
      <c r="E58" s="3222"/>
      <c r="F58" s="3222"/>
      <c r="G58" s="3227"/>
      <c r="H58" s="3222"/>
    </row>
    <row r="59" spans="1:8" s="2255" customFormat="1" ht="16.7" customHeight="1" outlineLevel="1">
      <c r="A59" s="3228"/>
      <c r="B59" s="3228"/>
      <c r="C59" s="3212"/>
      <c r="D59" s="3224"/>
      <c r="E59" s="3222"/>
      <c r="F59" s="3222"/>
      <c r="G59" s="3227"/>
      <c r="H59" s="3222"/>
    </row>
    <row r="60" spans="1:8" s="2255" customFormat="1" ht="16.7" customHeight="1" outlineLevel="1">
      <c r="A60" s="3228"/>
      <c r="B60" s="3228"/>
      <c r="C60" s="3212"/>
      <c r="D60" s="3224"/>
      <c r="E60" s="3222"/>
      <c r="F60" s="3222"/>
      <c r="G60" s="3227"/>
      <c r="H60" s="3222"/>
    </row>
    <row r="61" spans="1:8" s="2255" customFormat="1" ht="16.7" customHeight="1" outlineLevel="1">
      <c r="A61" s="3228"/>
      <c r="B61" s="3228"/>
      <c r="C61" s="3212"/>
      <c r="D61" s="3224"/>
      <c r="E61" s="3222"/>
      <c r="F61" s="3222"/>
      <c r="G61" s="3227"/>
      <c r="H61" s="3222"/>
    </row>
    <row r="62" spans="1:8" s="2255" customFormat="1" ht="16.7" customHeight="1" outlineLevel="1">
      <c r="A62" s="3228"/>
      <c r="B62" s="3228"/>
      <c r="C62" s="3212"/>
      <c r="D62" s="3224"/>
      <c r="E62" s="3222"/>
      <c r="F62" s="3222"/>
      <c r="G62" s="3227"/>
      <c r="H62" s="3222"/>
    </row>
    <row r="63" spans="1:8" s="2609" customFormat="1" ht="16.7" customHeight="1" outlineLevel="1">
      <c r="A63" s="3226" t="s">
        <v>473</v>
      </c>
      <c r="B63" s="3160"/>
      <c r="C63" s="3225"/>
      <c r="D63" s="3224"/>
      <c r="E63" s="3223"/>
      <c r="F63" s="3222"/>
      <c r="G63" s="3223"/>
      <c r="H63" s="3222"/>
    </row>
    <row r="64" spans="1:8">
      <c r="A64" s="3221" t="s">
        <v>2346</v>
      </c>
    </row>
    <row r="65" spans="1:9">
      <c r="A65" s="3221"/>
    </row>
    <row r="66" spans="1:9">
      <c r="A66" s="3221"/>
    </row>
    <row r="69" spans="1:9" s="1403" customFormat="1" ht="14.25" customHeight="1">
      <c r="A69" s="4743" t="s">
        <v>468</v>
      </c>
      <c r="B69" s="4744"/>
      <c r="C69" s="3220" t="s">
        <v>467</v>
      </c>
      <c r="D69" s="3220" t="s">
        <v>466</v>
      </c>
      <c r="E69" s="4948" t="s">
        <v>465</v>
      </c>
      <c r="F69" s="4949"/>
      <c r="G69" s="4950"/>
      <c r="H69" s="3220" t="s">
        <v>2345</v>
      </c>
    </row>
    <row r="70" spans="1:9" s="1403" customFormat="1" ht="14.25" customHeight="1">
      <c r="A70" s="4745"/>
      <c r="B70" s="4746"/>
      <c r="C70" s="3219" t="s">
        <v>463</v>
      </c>
      <c r="D70" s="3218" t="s">
        <v>573</v>
      </c>
      <c r="E70" s="3218" t="s">
        <v>2344</v>
      </c>
      <c r="F70" s="3218" t="s">
        <v>2343</v>
      </c>
      <c r="G70" s="3218"/>
      <c r="H70" s="3218" t="s">
        <v>2342</v>
      </c>
    </row>
    <row r="71" spans="1:9" s="1403" customFormat="1" ht="14.25" customHeight="1">
      <c r="A71" s="4745"/>
      <c r="B71" s="4746"/>
      <c r="C71" s="3219"/>
      <c r="D71" s="3218"/>
      <c r="E71" s="3218" t="s">
        <v>2341</v>
      </c>
      <c r="F71" s="3218" t="s">
        <v>2341</v>
      </c>
      <c r="G71" s="3218" t="s">
        <v>244</v>
      </c>
      <c r="H71" s="3218" t="s">
        <v>652</v>
      </c>
    </row>
    <row r="72" spans="1:9" s="1403" customFormat="1" ht="12" customHeight="1">
      <c r="A72" s="4747"/>
      <c r="B72" s="4748"/>
      <c r="C72" s="3217"/>
      <c r="D72" s="3215" t="s">
        <v>460</v>
      </c>
      <c r="E72" s="3215" t="s">
        <v>460</v>
      </c>
      <c r="F72" s="3215" t="s">
        <v>459</v>
      </c>
      <c r="G72" s="3216"/>
      <c r="H72" s="3215" t="s">
        <v>458</v>
      </c>
    </row>
    <row r="73" spans="1:9" s="2255" customFormat="1" ht="16.7" customHeight="1" outlineLevel="1">
      <c r="A73" s="3211" t="s">
        <v>1953</v>
      </c>
      <c r="B73" s="3208"/>
      <c r="C73" s="3212" t="s">
        <v>1952</v>
      </c>
      <c r="D73" s="3180">
        <f>[22]CDRRMO!$F$30</f>
        <v>0</v>
      </c>
      <c r="E73" s="2619">
        <v>0</v>
      </c>
      <c r="F73" s="3052">
        <v>50000</v>
      </c>
      <c r="G73" s="3199">
        <v>50000</v>
      </c>
      <c r="H73" s="2619">
        <v>50000</v>
      </c>
      <c r="I73" s="3214" t="s">
        <v>2340</v>
      </c>
    </row>
    <row r="74" spans="1:9" s="2255" customFormat="1" ht="16.7" customHeight="1" outlineLevel="1">
      <c r="A74" s="3209" t="s">
        <v>389</v>
      </c>
      <c r="B74" s="3208"/>
      <c r="C74" s="3212" t="s">
        <v>388</v>
      </c>
      <c r="D74" s="3180">
        <f>[22]CDRRMO!$F$31</f>
        <v>6025124.4900000002</v>
      </c>
      <c r="E74" s="2619">
        <v>3170041.68</v>
      </c>
      <c r="F74" s="3052">
        <f>G74-E74</f>
        <v>5379958.3200000003</v>
      </c>
      <c r="G74" s="3199">
        <v>8550000</v>
      </c>
      <c r="H74" s="2619">
        <v>10500000</v>
      </c>
      <c r="I74" s="3213">
        <v>156000</v>
      </c>
    </row>
    <row r="75" spans="1:9" s="2255" customFormat="1" ht="16.7" customHeight="1" outlineLevel="1">
      <c r="A75" s="3211" t="s">
        <v>2339</v>
      </c>
      <c r="B75" s="3208"/>
      <c r="C75" s="3212"/>
      <c r="D75" s="3180"/>
      <c r="E75" s="2619"/>
      <c r="F75" s="3052"/>
      <c r="G75" s="3199"/>
      <c r="H75" s="2619"/>
    </row>
    <row r="76" spans="1:9" s="2255" customFormat="1" ht="16.7" customHeight="1" outlineLevel="1">
      <c r="A76" s="3209"/>
      <c r="B76" s="3210" t="s">
        <v>2338</v>
      </c>
      <c r="C76" s="3184" t="s">
        <v>2337</v>
      </c>
      <c r="D76" s="3180">
        <f>[22]CDRRMO!$F$33</f>
        <v>0</v>
      </c>
      <c r="E76" s="2619">
        <v>0</v>
      </c>
      <c r="F76" s="3052">
        <f>G76-E76</f>
        <v>20000</v>
      </c>
      <c r="G76" s="3199">
        <v>20000</v>
      </c>
      <c r="H76" s="2619">
        <v>20000</v>
      </c>
    </row>
    <row r="77" spans="1:9" s="2255" customFormat="1" ht="16.7" customHeight="1" outlineLevel="1">
      <c r="A77" s="3211" t="s">
        <v>1925</v>
      </c>
      <c r="B77" s="3208"/>
      <c r="C77" s="3184"/>
      <c r="D77" s="3180"/>
      <c r="E77" s="2619"/>
      <c r="F77" s="3052"/>
      <c r="G77" s="3199"/>
      <c r="H77" s="2619"/>
    </row>
    <row r="78" spans="1:9" s="2255" customFormat="1" ht="16.7" customHeight="1" outlineLevel="1">
      <c r="A78" s="3209"/>
      <c r="B78" s="3210" t="s">
        <v>2336</v>
      </c>
      <c r="C78" s="3184" t="s">
        <v>2335</v>
      </c>
      <c r="D78" s="3180">
        <f>[22]CDRRMO!$F$35</f>
        <v>0</v>
      </c>
      <c r="E78" s="2619">
        <v>0</v>
      </c>
      <c r="F78" s="3052">
        <f>G78-E78</f>
        <v>20000</v>
      </c>
      <c r="G78" s="3199">
        <v>20000</v>
      </c>
      <c r="H78" s="2619">
        <v>20000</v>
      </c>
    </row>
    <row r="79" spans="1:9" s="2255" customFormat="1" ht="16.7" customHeight="1" outlineLevel="1">
      <c r="A79" s="3202" t="s">
        <v>1925</v>
      </c>
      <c r="B79" s="3208"/>
      <c r="C79" s="3184"/>
      <c r="D79" s="3180"/>
      <c r="E79" s="2619"/>
      <c r="F79" s="3052"/>
      <c r="G79" s="3199"/>
      <c r="H79" s="2619"/>
    </row>
    <row r="80" spans="1:9" s="2255" customFormat="1" ht="16.7" customHeight="1" outlineLevel="1">
      <c r="A80" s="3209"/>
      <c r="B80" s="3208" t="s">
        <v>1810</v>
      </c>
      <c r="C80" s="3184" t="s">
        <v>2334</v>
      </c>
      <c r="D80" s="3180">
        <f>[22]CDRRMO!$F$37</f>
        <v>0</v>
      </c>
      <c r="E80" s="2619">
        <v>0</v>
      </c>
      <c r="F80" s="3052">
        <f>G80-E80</f>
        <v>10000</v>
      </c>
      <c r="G80" s="3199">
        <v>10000</v>
      </c>
      <c r="H80" s="2619">
        <v>10000</v>
      </c>
    </row>
    <row r="81" spans="1:8" s="2255" customFormat="1" ht="16.7" customHeight="1" outlineLevel="1">
      <c r="A81" s="3202" t="s">
        <v>1925</v>
      </c>
      <c r="B81" s="3205"/>
      <c r="C81" s="3184"/>
      <c r="D81" s="3180"/>
      <c r="E81" s="2619"/>
      <c r="F81" s="3052"/>
      <c r="G81" s="3199"/>
      <c r="H81" s="2619"/>
    </row>
    <row r="82" spans="1:8" s="2255" customFormat="1" ht="16.7" customHeight="1" outlineLevel="1">
      <c r="A82" s="3202"/>
      <c r="B82" s="3207" t="s">
        <v>2313</v>
      </c>
      <c r="C82" s="3184" t="s">
        <v>2333</v>
      </c>
      <c r="D82" s="3180">
        <f>[22]CDRRMO!$F$39</f>
        <v>0</v>
      </c>
      <c r="E82" s="2619">
        <v>0</v>
      </c>
      <c r="F82" s="3052">
        <f>G82-E82</f>
        <v>10000</v>
      </c>
      <c r="G82" s="3199">
        <v>10000</v>
      </c>
      <c r="H82" s="2619">
        <v>10000</v>
      </c>
    </row>
    <row r="83" spans="1:8" s="2255" customFormat="1" ht="16.7" customHeight="1" outlineLevel="1">
      <c r="A83" s="3202" t="s">
        <v>873</v>
      </c>
      <c r="B83" s="3205"/>
      <c r="C83" s="3184"/>
      <c r="D83" s="3180"/>
      <c r="E83" s="2619"/>
      <c r="F83" s="3052"/>
      <c r="G83" s="3199"/>
      <c r="H83" s="2619"/>
    </row>
    <row r="84" spans="1:8" s="2255" customFormat="1" ht="16.7" customHeight="1" outlineLevel="1">
      <c r="A84" s="3202"/>
      <c r="B84" s="3205" t="s">
        <v>1808</v>
      </c>
      <c r="C84" s="3184" t="s">
        <v>1915</v>
      </c>
      <c r="D84" s="3180">
        <f>[22]CDRRMO!$F$41</f>
        <v>0</v>
      </c>
      <c r="E84" s="2619">
        <v>0</v>
      </c>
      <c r="F84" s="3052">
        <f>G84-E84</f>
        <v>10000</v>
      </c>
      <c r="G84" s="3199">
        <v>10000</v>
      </c>
      <c r="H84" s="2619">
        <v>10000</v>
      </c>
    </row>
    <row r="85" spans="1:8" s="2255" customFormat="1" ht="16.7" customHeight="1" outlineLevel="1">
      <c r="A85" s="3202" t="s">
        <v>2332</v>
      </c>
      <c r="B85" s="3205"/>
      <c r="C85" s="3184"/>
      <c r="D85" s="3180"/>
      <c r="E85" s="2619"/>
      <c r="F85" s="3052"/>
      <c r="G85" s="3199"/>
      <c r="H85" s="2619"/>
    </row>
    <row r="86" spans="1:8" s="2255" customFormat="1" ht="16.7" customHeight="1" outlineLevel="1">
      <c r="A86" s="3202"/>
      <c r="B86" s="3205" t="s">
        <v>2331</v>
      </c>
      <c r="C86" s="3184" t="s">
        <v>2330</v>
      </c>
      <c r="D86" s="3180">
        <f>[22]CDRRMO!$F$43</f>
        <v>0</v>
      </c>
      <c r="E86" s="2619">
        <v>0</v>
      </c>
      <c r="F86" s="3052">
        <f>G86-E86</f>
        <v>25000</v>
      </c>
      <c r="G86" s="3199">
        <v>25000</v>
      </c>
      <c r="H86" s="2619">
        <v>25000</v>
      </c>
    </row>
    <row r="87" spans="1:8" s="2255" customFormat="1" ht="16.7" customHeight="1" outlineLevel="1">
      <c r="A87" s="3202" t="s">
        <v>1925</v>
      </c>
      <c r="B87" s="3205"/>
      <c r="C87" s="3184"/>
      <c r="D87" s="3180"/>
      <c r="E87" s="2619"/>
      <c r="F87" s="3052"/>
      <c r="G87" s="3199"/>
      <c r="H87" s="2619"/>
    </row>
    <row r="88" spans="1:8" s="2255" customFormat="1" ht="12.75" customHeight="1" outlineLevel="1">
      <c r="A88" s="3202"/>
      <c r="B88" s="3207" t="s">
        <v>1798</v>
      </c>
      <c r="C88" s="3184" t="s">
        <v>2329</v>
      </c>
      <c r="D88" s="3180">
        <f>[22]CDRRMO!$F$45</f>
        <v>0</v>
      </c>
      <c r="E88" s="2619">
        <v>0</v>
      </c>
      <c r="F88" s="3052">
        <f>G88-E88</f>
        <v>25000</v>
      </c>
      <c r="G88" s="3199">
        <v>25000</v>
      </c>
      <c r="H88" s="2619">
        <v>25000</v>
      </c>
    </row>
    <row r="89" spans="1:8" s="2255" customFormat="1" ht="16.7" customHeight="1" outlineLevel="1">
      <c r="A89" s="3206" t="s">
        <v>2076</v>
      </c>
      <c r="B89" s="3205"/>
      <c r="C89" s="3184"/>
      <c r="D89" s="3180"/>
      <c r="E89" s="2619"/>
      <c r="F89" s="3052"/>
      <c r="G89" s="3199"/>
      <c r="H89" s="2619"/>
    </row>
    <row r="90" spans="1:8" s="2255" customFormat="1" ht="13.5" customHeight="1" outlineLevel="1">
      <c r="A90" s="3202"/>
      <c r="B90" s="3204" t="s">
        <v>2328</v>
      </c>
      <c r="C90" s="3184" t="s">
        <v>2327</v>
      </c>
      <c r="D90" s="3180">
        <f>[22]CDRRMO!$F$47</f>
        <v>44869.96</v>
      </c>
      <c r="E90" s="2619">
        <v>73510.66</v>
      </c>
      <c r="F90" s="3052">
        <f>G90-E90</f>
        <v>426489.33999999997</v>
      </c>
      <c r="G90" s="3199">
        <v>500000</v>
      </c>
      <c r="H90" s="2619">
        <v>500000</v>
      </c>
    </row>
    <row r="91" spans="1:8" s="2255" customFormat="1" ht="13.5" customHeight="1" outlineLevel="1">
      <c r="A91" s="3206" t="s">
        <v>2076</v>
      </c>
      <c r="B91" s="3205"/>
      <c r="C91" s="3203"/>
      <c r="D91" s="3180"/>
      <c r="E91" s="2619"/>
      <c r="F91" s="3052"/>
      <c r="G91" s="3199"/>
      <c r="H91" s="2619"/>
    </row>
    <row r="92" spans="1:8" s="2255" customFormat="1" ht="13.5" customHeight="1" outlineLevel="1">
      <c r="A92" s="3202"/>
      <c r="B92" s="3204" t="s">
        <v>2326</v>
      </c>
      <c r="C92" s="3184" t="s">
        <v>1909</v>
      </c>
      <c r="D92" s="3180">
        <f>[22]CDRRMO!$F$49</f>
        <v>8981.23</v>
      </c>
      <c r="E92" s="2619">
        <v>95705.83</v>
      </c>
      <c r="F92" s="3052">
        <f>G92-E92</f>
        <v>404294.17</v>
      </c>
      <c r="G92" s="3199">
        <v>500000</v>
      </c>
      <c r="H92" s="2619">
        <v>500000</v>
      </c>
    </row>
    <row r="93" spans="1:8" s="2255" customFormat="1" ht="13.5" customHeight="1" outlineLevel="1">
      <c r="A93" s="3206" t="s">
        <v>2076</v>
      </c>
      <c r="B93" s="3205"/>
      <c r="C93" s="3203"/>
      <c r="D93" s="3180"/>
      <c r="E93" s="2619"/>
      <c r="F93" s="3052"/>
      <c r="G93" s="3199"/>
      <c r="H93" s="2619"/>
    </row>
    <row r="94" spans="1:8" s="2255" customFormat="1" ht="13.5" customHeight="1" outlineLevel="1">
      <c r="A94" s="3202"/>
      <c r="B94" s="3204" t="s">
        <v>2325</v>
      </c>
      <c r="C94" s="3184" t="s">
        <v>1906</v>
      </c>
      <c r="D94" s="3180">
        <f>[22]CDRRMO!$F$51</f>
        <v>473300</v>
      </c>
      <c r="E94" s="2619">
        <v>436050</v>
      </c>
      <c r="F94" s="3052">
        <f>G94-E94</f>
        <v>263950</v>
      </c>
      <c r="G94" s="3199">
        <v>700000</v>
      </c>
      <c r="H94" s="2619">
        <v>700000</v>
      </c>
    </row>
    <row r="95" spans="1:8" s="2255" customFormat="1" ht="16.7" customHeight="1" outlineLevel="1">
      <c r="A95" s="3202" t="s">
        <v>2324</v>
      </c>
      <c r="B95" s="3201"/>
      <c r="C95" s="3184" t="s">
        <v>1902</v>
      </c>
      <c r="D95" s="3180">
        <f>[22]CDRRMO!$F$52</f>
        <v>0</v>
      </c>
      <c r="E95" s="2619">
        <v>0</v>
      </c>
      <c r="F95" s="3052">
        <f>G95-E95</f>
        <v>20000</v>
      </c>
      <c r="G95" s="3199">
        <v>20000</v>
      </c>
      <c r="H95" s="2619">
        <v>20000</v>
      </c>
    </row>
    <row r="96" spans="1:8" s="2255" customFormat="1" ht="16.7" customHeight="1" outlineLevel="1">
      <c r="A96" s="3202" t="s">
        <v>2323</v>
      </c>
      <c r="B96" s="3201"/>
      <c r="C96" s="3203"/>
      <c r="D96" s="3180"/>
      <c r="E96" s="2619"/>
      <c r="F96" s="3052"/>
      <c r="G96" s="3199"/>
      <c r="H96" s="2619"/>
    </row>
    <row r="97" spans="1:8" s="2255" customFormat="1" ht="16.7" customHeight="1" outlineLevel="1">
      <c r="A97" s="3202"/>
      <c r="B97" s="3201" t="s">
        <v>2322</v>
      </c>
      <c r="C97" s="3184" t="s">
        <v>1900</v>
      </c>
      <c r="D97" s="3180">
        <f>[22]CDRRMO!$F$53</f>
        <v>0</v>
      </c>
      <c r="E97" s="2619">
        <v>0</v>
      </c>
      <c r="F97" s="3052">
        <f>G97-E97</f>
        <v>50000</v>
      </c>
      <c r="G97" s="3199">
        <v>50000</v>
      </c>
      <c r="H97" s="2619">
        <v>50000</v>
      </c>
    </row>
    <row r="98" spans="1:8" s="2255" customFormat="1" ht="16.7" customHeight="1" outlineLevel="1">
      <c r="A98" s="3187" t="s">
        <v>2321</v>
      </c>
      <c r="B98" s="3182"/>
      <c r="C98" s="3200" t="s">
        <v>1871</v>
      </c>
      <c r="D98" s="3180">
        <f>[22]CDRRMO!$F$54</f>
        <v>0</v>
      </c>
      <c r="E98" s="2619">
        <v>0</v>
      </c>
      <c r="F98" s="3052">
        <f>G98-E98</f>
        <v>100000</v>
      </c>
      <c r="G98" s="3199">
        <v>100000</v>
      </c>
      <c r="H98" s="2619">
        <v>100000</v>
      </c>
    </row>
    <row r="99" spans="1:8" s="2255" customFormat="1" ht="16.7" customHeight="1" outlineLevel="1">
      <c r="A99" s="3198" t="s">
        <v>693</v>
      </c>
      <c r="B99" s="3197"/>
      <c r="C99" s="3196" t="s">
        <v>367</v>
      </c>
      <c r="D99" s="3195">
        <f>[22]CDRRMO!$F$55</f>
        <v>10168287</v>
      </c>
      <c r="E99" s="3193">
        <v>77783.600000000006</v>
      </c>
      <c r="F99" s="3047">
        <f>G99-E99</f>
        <v>829296.18</v>
      </c>
      <c r="G99" s="3194">
        <v>907079.78</v>
      </c>
      <c r="H99" s="3193">
        <v>907080</v>
      </c>
    </row>
    <row r="100" spans="1:8" s="2256" customFormat="1" ht="15" customHeight="1" outlineLevel="1">
      <c r="A100" s="3192" t="s">
        <v>775</v>
      </c>
      <c r="B100" s="3191"/>
      <c r="C100" s="3190"/>
      <c r="D100" s="3189">
        <f>SUM(D101:D114)</f>
        <v>896371.76</v>
      </c>
      <c r="E100" s="3189">
        <f>SUM(E101:E114)</f>
        <v>25135743</v>
      </c>
      <c r="F100" s="3189">
        <f>SUM(F101:F114)</f>
        <v>3114257</v>
      </c>
      <c r="G100" s="3189">
        <f>SUM(G101:G114)</f>
        <v>28250000</v>
      </c>
      <c r="H100" s="1512">
        <f>SUM(H101:H114)</f>
        <v>34624475.659999996</v>
      </c>
    </row>
    <row r="101" spans="1:8" s="2255" customFormat="1" ht="12.75" customHeight="1" outlineLevel="1">
      <c r="A101" s="3183" t="s">
        <v>1822</v>
      </c>
      <c r="B101" s="3186"/>
      <c r="C101" s="3185" t="s">
        <v>1821</v>
      </c>
      <c r="D101" s="3180">
        <f>[22]CDRRMO!$F$58</f>
        <v>0</v>
      </c>
      <c r="E101" s="2619">
        <v>0</v>
      </c>
      <c r="F101" s="2619">
        <f>G101-E101</f>
        <v>0</v>
      </c>
      <c r="G101" s="2619">
        <v>0</v>
      </c>
      <c r="H101" s="2619">
        <v>1000000</v>
      </c>
    </row>
    <row r="102" spans="1:8" s="2255" customFormat="1" ht="12.75" customHeight="1" outlineLevel="1">
      <c r="A102" s="3183" t="s">
        <v>1820</v>
      </c>
      <c r="B102" s="3186"/>
      <c r="C102" s="3185" t="s">
        <v>1819</v>
      </c>
      <c r="D102" s="3180">
        <v>0</v>
      </c>
      <c r="E102" s="2619">
        <v>0</v>
      </c>
      <c r="F102" s="2619">
        <v>0</v>
      </c>
      <c r="G102" s="2619">
        <v>0</v>
      </c>
      <c r="H102" s="2619">
        <v>1300000</v>
      </c>
    </row>
    <row r="103" spans="1:8" s="2255" customFormat="1" ht="14.25" customHeight="1" outlineLevel="1">
      <c r="A103" s="3188" t="s">
        <v>2320</v>
      </c>
      <c r="B103" s="3186"/>
      <c r="C103" s="3185" t="s">
        <v>1817</v>
      </c>
      <c r="D103" s="3180">
        <f>[22]CDRRMO!$F$60</f>
        <v>0</v>
      </c>
      <c r="E103" s="2619">
        <v>0</v>
      </c>
      <c r="F103" s="2619">
        <f>G103-E103</f>
        <v>0</v>
      </c>
      <c r="G103" s="2619">
        <v>0</v>
      </c>
      <c r="H103" s="2619">
        <v>2000000</v>
      </c>
    </row>
    <row r="104" spans="1:8" s="2255" customFormat="1" ht="12.75" customHeight="1" outlineLevel="1">
      <c r="A104" s="3183" t="s">
        <v>2319</v>
      </c>
      <c r="B104" s="3186"/>
      <c r="C104" s="3185"/>
      <c r="D104" s="3180"/>
      <c r="E104" s="2619"/>
      <c r="F104" s="2619"/>
      <c r="G104" s="2619"/>
      <c r="H104" s="2619"/>
    </row>
    <row r="105" spans="1:8" s="2255" customFormat="1" ht="12.75" customHeight="1" outlineLevel="1">
      <c r="A105" s="3187"/>
      <c r="B105" s="3186" t="s">
        <v>2318</v>
      </c>
      <c r="C105" s="3185" t="s">
        <v>2317</v>
      </c>
      <c r="D105" s="3180">
        <f>[22]CDRRMO!$F$63</f>
        <v>0</v>
      </c>
      <c r="E105" s="2619">
        <v>0</v>
      </c>
      <c r="F105" s="2619">
        <f t="shared" ref="F105:F112" si="0">G105-E105</f>
        <v>0</v>
      </c>
      <c r="G105" s="2619">
        <v>0</v>
      </c>
      <c r="H105" s="2619">
        <v>1000000</v>
      </c>
    </row>
    <row r="106" spans="1:8" s="2255" customFormat="1" ht="12.75" customHeight="1" outlineLevel="1">
      <c r="A106" s="3187" t="s">
        <v>1812</v>
      </c>
      <c r="B106" s="3186"/>
      <c r="C106" s="3185" t="s">
        <v>1811</v>
      </c>
      <c r="D106" s="3180">
        <f>[22]CDRRMO!$F$64</f>
        <v>0</v>
      </c>
      <c r="E106" s="2619">
        <v>0</v>
      </c>
      <c r="F106" s="2619">
        <f t="shared" si="0"/>
        <v>0</v>
      </c>
      <c r="G106" s="2619">
        <v>0</v>
      </c>
      <c r="H106" s="2619">
        <v>500000</v>
      </c>
    </row>
    <row r="107" spans="1:8" s="2255" customFormat="1" ht="12.75" customHeight="1" outlineLevel="1">
      <c r="A107" s="3187" t="s">
        <v>2316</v>
      </c>
      <c r="B107" s="3186"/>
      <c r="C107" s="3185" t="s">
        <v>949</v>
      </c>
      <c r="D107" s="3180">
        <f>[22]CDRRMO!$F$71</f>
        <v>0</v>
      </c>
      <c r="E107" s="2619">
        <v>0</v>
      </c>
      <c r="F107" s="2619">
        <f t="shared" si="0"/>
        <v>700000</v>
      </c>
      <c r="G107" s="2619">
        <v>700000</v>
      </c>
      <c r="H107" s="2619">
        <v>500000</v>
      </c>
    </row>
    <row r="108" spans="1:8" s="2255" customFormat="1" ht="12.75" customHeight="1" outlineLevel="1">
      <c r="A108" s="3183" t="s">
        <v>1810</v>
      </c>
      <c r="B108" s="3186"/>
      <c r="C108" s="3185" t="s">
        <v>1809</v>
      </c>
      <c r="D108" s="3180">
        <f>[22]CDRRMO!$F$72</f>
        <v>0</v>
      </c>
      <c r="E108" s="2619">
        <v>0</v>
      </c>
      <c r="F108" s="2619">
        <f t="shared" si="0"/>
        <v>1000000</v>
      </c>
      <c r="G108" s="2619">
        <v>1000000</v>
      </c>
      <c r="H108" s="2619">
        <v>1124475.6599999999</v>
      </c>
    </row>
    <row r="109" spans="1:8" s="2255" customFormat="1" ht="12.75" customHeight="1" outlineLevel="1">
      <c r="A109" s="3183" t="s">
        <v>2315</v>
      </c>
      <c r="B109" s="3186"/>
      <c r="C109" s="3185" t="s">
        <v>1807</v>
      </c>
      <c r="D109" s="3180">
        <f>[22]CDRRMO!$F$73</f>
        <v>0</v>
      </c>
      <c r="E109" s="2619">
        <v>0</v>
      </c>
      <c r="F109" s="2619">
        <f t="shared" si="0"/>
        <v>0</v>
      </c>
      <c r="G109" s="2619">
        <v>0</v>
      </c>
      <c r="H109" s="2619">
        <v>5000000</v>
      </c>
    </row>
    <row r="110" spans="1:8" s="2255" customFormat="1" ht="12.75" customHeight="1" outlineLevel="1">
      <c r="A110" s="3183" t="s">
        <v>2314</v>
      </c>
      <c r="B110" s="3182"/>
      <c r="C110" s="3184" t="s">
        <v>1805</v>
      </c>
      <c r="D110" s="3180">
        <f>[22]CDRRMO!$F$74</f>
        <v>896371.76</v>
      </c>
      <c r="E110" s="2619">
        <v>1145743</v>
      </c>
      <c r="F110" s="2619">
        <f t="shared" si="0"/>
        <v>404257</v>
      </c>
      <c r="G110" s="2619">
        <v>1550000</v>
      </c>
      <c r="H110" s="2619">
        <v>15000000</v>
      </c>
    </row>
    <row r="111" spans="1:8" s="2255" customFormat="1" ht="12.75" customHeight="1" outlineLevel="1">
      <c r="A111" s="3183" t="s">
        <v>1802</v>
      </c>
      <c r="B111" s="3182"/>
      <c r="C111" s="3184" t="s">
        <v>1801</v>
      </c>
      <c r="D111" s="3180">
        <v>0</v>
      </c>
      <c r="E111" s="3052">
        <v>0</v>
      </c>
      <c r="F111" s="2619">
        <f t="shared" si="0"/>
        <v>1000000</v>
      </c>
      <c r="G111" s="2619">
        <v>1000000</v>
      </c>
      <c r="H111" s="2619">
        <v>6000000</v>
      </c>
    </row>
    <row r="112" spans="1:8" s="2255" customFormat="1" ht="12.75" customHeight="1" outlineLevel="1">
      <c r="A112" s="3183" t="s">
        <v>2313</v>
      </c>
      <c r="B112" s="3182"/>
      <c r="C112" s="3184" t="s">
        <v>2251</v>
      </c>
      <c r="D112" s="3180">
        <v>0</v>
      </c>
      <c r="E112" s="2619">
        <v>23990000</v>
      </c>
      <c r="F112" s="2619">
        <f t="shared" si="0"/>
        <v>10000</v>
      </c>
      <c r="G112" s="2619">
        <v>24000000</v>
      </c>
      <c r="H112" s="2619">
        <v>0</v>
      </c>
    </row>
    <row r="113" spans="1:19" s="2255" customFormat="1" ht="12.75" customHeight="1" outlineLevel="1">
      <c r="A113" s="3183" t="s">
        <v>2087</v>
      </c>
      <c r="B113" s="3182"/>
      <c r="C113" s="3184" t="s">
        <v>1799</v>
      </c>
      <c r="D113" s="3180">
        <v>0</v>
      </c>
      <c r="E113" s="2619">
        <v>0</v>
      </c>
      <c r="F113" s="2619">
        <v>0</v>
      </c>
      <c r="G113" s="2619">
        <v>0</v>
      </c>
      <c r="H113" s="2619">
        <v>1000000</v>
      </c>
    </row>
    <row r="114" spans="1:19" s="2255" customFormat="1" ht="13.5" customHeight="1" outlineLevel="1">
      <c r="A114" s="3183" t="s">
        <v>1798</v>
      </c>
      <c r="B114" s="3182"/>
      <c r="C114" s="3181" t="s">
        <v>1797</v>
      </c>
      <c r="D114" s="3180">
        <f>[22]CDRRMO!$F$57</f>
        <v>0</v>
      </c>
      <c r="E114" s="2619">
        <v>0</v>
      </c>
      <c r="F114" s="2619">
        <f>G114-E114</f>
        <v>0</v>
      </c>
      <c r="G114" s="2619">
        <v>0</v>
      </c>
      <c r="H114" s="2619">
        <v>200000</v>
      </c>
    </row>
    <row r="115" spans="1:19" s="2233" customFormat="1" ht="12.75" customHeight="1" outlineLevel="2" thickBot="1">
      <c r="A115" s="1418" t="s">
        <v>366</v>
      </c>
      <c r="B115" s="1418"/>
      <c r="C115" s="3179"/>
      <c r="D115" s="3178">
        <f>D100+D40+D38+D16</f>
        <v>37828854.950000003</v>
      </c>
      <c r="E115" s="3178">
        <f>E100+E40+E38+E16</f>
        <v>37808704.560000002</v>
      </c>
      <c r="F115" s="3178">
        <f>F100+F40+F38+F16</f>
        <v>37388982.839999996</v>
      </c>
      <c r="G115" s="3178">
        <f>G100+G40+G38+G16</f>
        <v>75197687.400000006</v>
      </c>
      <c r="H115" s="3178">
        <f>H100+H40+H38+H16</f>
        <v>91514405</v>
      </c>
      <c r="I115" s="2255">
        <f>H100+'CDRRMO - FINAL 2022 - 9-28-21'!H40+'CDRRMO - FINAL 2022 - 9-28-21'!H38</f>
        <v>82439227</v>
      </c>
    </row>
    <row r="116" spans="1:19" s="2233" customFormat="1" ht="12.75" customHeight="1" outlineLevel="2" thickTop="1">
      <c r="A116" s="1411"/>
      <c r="B116" s="1411"/>
      <c r="C116" s="3177"/>
      <c r="D116" s="3176"/>
      <c r="E116" s="3176"/>
      <c r="F116" s="3176"/>
      <c r="G116" s="3176"/>
      <c r="H116" s="3176"/>
      <c r="I116" s="2255"/>
    </row>
    <row r="117" spans="1:19" s="2233" customFormat="1" ht="12.75" customHeight="1" outlineLevel="2">
      <c r="A117" s="1411"/>
      <c r="B117" s="1411"/>
      <c r="C117" s="3177"/>
      <c r="D117" s="3176"/>
      <c r="E117" s="3176"/>
      <c r="F117" s="3176"/>
      <c r="G117" s="3176"/>
      <c r="H117" s="3176"/>
      <c r="I117" s="2255"/>
    </row>
    <row r="118" spans="1:19" s="3162" customFormat="1" ht="14.25" customHeight="1">
      <c r="A118" s="3175" t="s">
        <v>2312</v>
      </c>
      <c r="B118" s="3174"/>
      <c r="C118" s="3174"/>
      <c r="D118" s="3174"/>
      <c r="E118" s="3173"/>
      <c r="F118" s="3173"/>
      <c r="G118" s="3173" t="s">
        <v>2311</v>
      </c>
      <c r="H118" s="3173"/>
      <c r="I118" s="2233"/>
      <c r="J118" s="2255"/>
      <c r="K118" s="2255"/>
      <c r="L118" s="2255"/>
      <c r="M118" s="2255"/>
      <c r="N118" s="2255"/>
      <c r="O118" s="2255"/>
      <c r="P118" s="2255"/>
      <c r="Q118" s="2255"/>
      <c r="R118" s="2255"/>
      <c r="S118" s="2255"/>
    </row>
    <row r="119" spans="1:19" s="3162" customFormat="1" ht="11.25" customHeight="1">
      <c r="A119" s="3173"/>
      <c r="B119" s="3174"/>
      <c r="C119" s="3174"/>
      <c r="D119" s="3174"/>
      <c r="E119" s="3173"/>
      <c r="F119" s="3173"/>
      <c r="G119" s="3173"/>
      <c r="H119" s="3173"/>
      <c r="I119" s="2233"/>
      <c r="J119" s="2255">
        <f>H100+H40+H38+H16</f>
        <v>91514405</v>
      </c>
      <c r="K119" s="2255"/>
      <c r="L119" s="2255"/>
      <c r="M119" s="2255"/>
      <c r="N119" s="2255"/>
      <c r="O119" s="2255"/>
      <c r="P119" s="2255"/>
      <c r="Q119" s="2255"/>
      <c r="R119" s="2255"/>
      <c r="S119" s="2255"/>
    </row>
    <row r="120" spans="1:19" s="3162" customFormat="1" ht="6" customHeight="1">
      <c r="A120" s="3173"/>
      <c r="B120" s="3174"/>
      <c r="C120" s="3174"/>
      <c r="D120" s="3174"/>
      <c r="E120" s="3173"/>
      <c r="F120" s="3173"/>
      <c r="G120" s="3173"/>
      <c r="H120" s="3173"/>
      <c r="I120" s="2233"/>
      <c r="J120" s="2255"/>
      <c r="K120" s="2255"/>
      <c r="L120" s="2255"/>
      <c r="M120" s="2255"/>
      <c r="N120" s="2255"/>
      <c r="O120" s="2255"/>
      <c r="P120" s="2255"/>
      <c r="Q120" s="2255"/>
      <c r="R120" s="2255"/>
      <c r="S120" s="2255"/>
    </row>
    <row r="121" spans="1:19" s="3162" customFormat="1" ht="14.25" customHeight="1">
      <c r="A121" s="3172" t="s">
        <v>2310</v>
      </c>
      <c r="B121" s="3167"/>
      <c r="C121" s="3171" t="s">
        <v>2309</v>
      </c>
      <c r="D121" s="3165"/>
      <c r="E121" s="3169"/>
      <c r="F121" s="3169"/>
      <c r="G121" s="3170" t="s">
        <v>359</v>
      </c>
      <c r="H121" s="3169"/>
      <c r="I121" s="2233"/>
      <c r="J121" s="2255"/>
      <c r="K121" s="2255"/>
      <c r="L121" s="2255"/>
      <c r="M121" s="2255"/>
      <c r="N121" s="2255"/>
      <c r="O121" s="2255"/>
      <c r="P121" s="2255"/>
      <c r="Q121" s="2255"/>
      <c r="R121" s="2255"/>
      <c r="S121" s="2255"/>
    </row>
    <row r="122" spans="1:19" s="3162" customFormat="1" ht="14.25" customHeight="1">
      <c r="A122" s="3168" t="s">
        <v>940</v>
      </c>
      <c r="B122" s="3167"/>
      <c r="C122" s="3166" t="s">
        <v>2308</v>
      </c>
      <c r="D122" s="3165"/>
      <c r="E122" s="3163"/>
      <c r="F122" s="3163"/>
      <c r="G122" s="3164" t="s">
        <v>2307</v>
      </c>
      <c r="H122" s="3163"/>
      <c r="I122" s="2233"/>
      <c r="J122" s="2255"/>
      <c r="K122" s="2255"/>
      <c r="L122" s="2255"/>
      <c r="M122" s="2255"/>
      <c r="N122" s="2255"/>
      <c r="O122" s="2255"/>
      <c r="P122" s="2255"/>
      <c r="Q122" s="2255"/>
      <c r="R122" s="2255"/>
      <c r="S122" s="2255"/>
    </row>
  </sheetData>
  <mergeCells count="6">
    <mergeCell ref="A5:H5"/>
    <mergeCell ref="A6:H6"/>
    <mergeCell ref="A11:B14"/>
    <mergeCell ref="E11:G11"/>
    <mergeCell ref="A69:B72"/>
    <mergeCell ref="E69:G69"/>
  </mergeCells>
  <pageMargins left="0.5" right="0" top="0" bottom="0" header="0.25" footer="0"/>
  <pageSetup paperSize="5" orientation="portrait"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Z75"/>
  <sheetViews>
    <sheetView showGridLines="0" showOutlineSymbols="0" topLeftCell="A40" workbookViewId="0">
      <selection activeCell="P19" sqref="P19"/>
    </sheetView>
  </sheetViews>
  <sheetFormatPr defaultColWidth="12.5703125" defaultRowHeight="11.25" outlineLevelRow="2" outlineLevelCol="2"/>
  <cols>
    <col min="1" max="1" width="8.140625" style="759" customWidth="1"/>
    <col min="2" max="2" width="17.42578125" style="759" customWidth="1"/>
    <col min="3" max="3" width="14.42578125" style="759" customWidth="1"/>
    <col min="4" max="4" width="13" style="759" customWidth="1"/>
    <col min="5" max="5" width="11" style="759" customWidth="1"/>
    <col min="6" max="6" width="11.28515625" style="759" customWidth="1"/>
    <col min="7" max="7" width="8.85546875" style="759" customWidth="1" outlineLevel="1"/>
    <col min="8" max="8" width="3.140625" style="759" customWidth="1" outlineLevel="1"/>
    <col min="9" max="9" width="12" style="759" customWidth="1" outlineLevel="1"/>
    <col min="10" max="10" width="10.140625" style="760" hidden="1" customWidth="1" outlineLevel="1"/>
    <col min="11" max="11" width="12.28515625" style="759" hidden="1" customWidth="1" outlineLevel="1"/>
    <col min="12" max="13" width="10.140625" style="759" hidden="1" customWidth="1" outlineLevel="1"/>
    <col min="14" max="14" width="15.7109375" style="759" hidden="1" customWidth="1"/>
    <col min="15" max="22" width="15.7109375" style="759" customWidth="1"/>
    <col min="23" max="117" width="12.5703125" style="759"/>
    <col min="118" max="121" width="12.5703125" style="759" outlineLevel="1"/>
    <col min="122" max="127" width="12.5703125" style="759" outlineLevel="2"/>
    <col min="128" max="130" width="12.5703125" style="759" outlineLevel="1"/>
    <col min="131" max="16384" width="12.5703125" style="759"/>
  </cols>
  <sheetData>
    <row r="1" spans="1:13" ht="12.75">
      <c r="A1" s="271" t="s">
        <v>866</v>
      </c>
    </row>
    <row r="2" spans="1:13" ht="12.75" customHeight="1">
      <c r="A2" s="270" t="s">
        <v>584</v>
      </c>
    </row>
    <row r="3" spans="1:13" ht="12.75" customHeight="1">
      <c r="F3" s="858"/>
    </row>
    <row r="4" spans="1:13" s="837" customFormat="1" ht="22.5" customHeight="1">
      <c r="A4" s="4691" t="s">
        <v>865</v>
      </c>
      <c r="B4" s="4691"/>
      <c r="C4" s="4691"/>
      <c r="D4" s="4691"/>
      <c r="E4" s="4691"/>
      <c r="F4" s="4691"/>
      <c r="G4" s="4691"/>
      <c r="H4" s="4691"/>
      <c r="I4" s="4691"/>
      <c r="J4" s="857"/>
      <c r="K4" s="856"/>
      <c r="L4" s="856"/>
      <c r="M4" s="856"/>
    </row>
    <row r="5" spans="1:13" s="852" customFormat="1" ht="12" customHeight="1">
      <c r="A5" s="4692" t="s">
        <v>864</v>
      </c>
      <c r="B5" s="4692"/>
      <c r="C5" s="4692"/>
      <c r="D5" s="4692"/>
      <c r="E5" s="4692"/>
      <c r="F5" s="4692"/>
      <c r="G5" s="4692"/>
      <c r="H5" s="4692"/>
      <c r="I5" s="4692"/>
      <c r="J5" s="854"/>
      <c r="K5" s="853"/>
      <c r="L5" s="853"/>
      <c r="M5" s="853"/>
    </row>
    <row r="6" spans="1:13" s="852" customFormat="1" ht="24" customHeight="1">
      <c r="A6" s="855"/>
      <c r="B6" s="855"/>
      <c r="C6" s="855"/>
      <c r="D6" s="855"/>
      <c r="E6" s="855"/>
      <c r="F6" s="855"/>
      <c r="G6" s="855"/>
      <c r="H6" s="855"/>
      <c r="I6" s="855"/>
      <c r="J6" s="854"/>
      <c r="K6" s="853"/>
      <c r="L6" s="853"/>
      <c r="M6" s="853"/>
    </row>
    <row r="7" spans="1:13" s="837" customFormat="1" ht="15" customHeight="1">
      <c r="A7" s="850" t="s">
        <v>863</v>
      </c>
      <c r="B7" s="4689" t="s">
        <v>862</v>
      </c>
      <c r="C7" s="4689"/>
      <c r="D7" s="4689"/>
      <c r="E7" s="4689"/>
      <c r="F7" s="4689"/>
      <c r="G7" s="4689"/>
      <c r="H7" s="4689"/>
      <c r="I7" s="4689"/>
      <c r="J7" s="848"/>
    </row>
    <row r="8" spans="1:13" s="837" customFormat="1" ht="22.15" customHeight="1">
      <c r="A8" s="850"/>
      <c r="B8" s="4689"/>
      <c r="C8" s="4689"/>
      <c r="D8" s="4689"/>
      <c r="E8" s="4689"/>
      <c r="F8" s="4689"/>
      <c r="G8" s="4689"/>
      <c r="H8" s="4689"/>
      <c r="I8" s="4689"/>
      <c r="J8" s="848"/>
    </row>
    <row r="9" spans="1:13" s="837" customFormat="1" ht="5.25" customHeight="1">
      <c r="A9" s="850"/>
      <c r="B9" s="849"/>
      <c r="C9" s="849"/>
      <c r="D9" s="849"/>
      <c r="E9" s="849"/>
      <c r="F9" s="849"/>
      <c r="G9" s="849"/>
      <c r="H9" s="849"/>
      <c r="I9" s="849"/>
      <c r="J9" s="848"/>
    </row>
    <row r="10" spans="1:13" s="837" customFormat="1" ht="15" customHeight="1">
      <c r="A10" s="850" t="s">
        <v>861</v>
      </c>
      <c r="B10" s="4689" t="s">
        <v>860</v>
      </c>
      <c r="C10" s="4689"/>
      <c r="D10" s="4689"/>
      <c r="E10" s="4689"/>
      <c r="F10" s="4689"/>
      <c r="G10" s="4689"/>
      <c r="H10" s="4689"/>
      <c r="I10" s="4689"/>
      <c r="J10" s="848"/>
    </row>
    <row r="11" spans="1:13" s="837" customFormat="1" ht="22.15" customHeight="1">
      <c r="A11" s="850"/>
      <c r="B11" s="4689"/>
      <c r="C11" s="4689"/>
      <c r="D11" s="4689"/>
      <c r="E11" s="4689"/>
      <c r="F11" s="4689"/>
      <c r="G11" s="4689"/>
      <c r="H11" s="4689"/>
      <c r="I11" s="4689"/>
      <c r="J11" s="848"/>
    </row>
    <row r="12" spans="1:13" s="837" customFormat="1" ht="5.25" customHeight="1">
      <c r="A12" s="850"/>
      <c r="B12" s="851"/>
      <c r="C12" s="851"/>
      <c r="D12" s="851"/>
      <c r="E12" s="851"/>
      <c r="F12" s="851"/>
      <c r="G12" s="851"/>
      <c r="H12" s="851"/>
      <c r="I12" s="851"/>
      <c r="J12" s="848"/>
    </row>
    <row r="13" spans="1:13" s="837" customFormat="1" ht="15" customHeight="1">
      <c r="A13" s="850" t="s">
        <v>859</v>
      </c>
      <c r="B13" s="4689" t="s">
        <v>858</v>
      </c>
      <c r="C13" s="4689"/>
      <c r="D13" s="4689"/>
      <c r="E13" s="4689"/>
      <c r="F13" s="4689"/>
      <c r="G13" s="4689"/>
      <c r="H13" s="4689"/>
      <c r="I13" s="4689"/>
      <c r="J13" s="848"/>
    </row>
    <row r="14" spans="1:13" s="837" customFormat="1" ht="15" customHeight="1">
      <c r="A14" s="850"/>
      <c r="B14" s="4689"/>
      <c r="C14" s="4689"/>
      <c r="D14" s="4689"/>
      <c r="E14" s="4689"/>
      <c r="F14" s="4689"/>
      <c r="G14" s="4689"/>
      <c r="H14" s="4689"/>
      <c r="I14" s="4689"/>
      <c r="J14" s="848"/>
    </row>
    <row r="15" spans="1:13" s="837" customFormat="1" ht="3.75" customHeight="1">
      <c r="A15" s="850"/>
      <c r="B15" s="849"/>
      <c r="C15" s="849"/>
      <c r="D15" s="849"/>
      <c r="E15" s="849"/>
      <c r="F15" s="849"/>
      <c r="G15" s="849"/>
      <c r="H15" s="849"/>
      <c r="I15" s="849"/>
      <c r="J15" s="848"/>
    </row>
    <row r="16" spans="1:13" ht="12.6" customHeight="1">
      <c r="A16" s="847" t="s">
        <v>857</v>
      </c>
      <c r="B16" s="846"/>
      <c r="C16" s="845"/>
      <c r="D16" s="845"/>
      <c r="E16" s="845"/>
      <c r="F16" s="845"/>
      <c r="G16" s="845"/>
      <c r="H16" s="845"/>
      <c r="I16" s="845"/>
      <c r="J16" s="843"/>
      <c r="K16" s="842"/>
      <c r="L16" s="842"/>
      <c r="M16" s="842"/>
    </row>
    <row r="17" spans="1:13" ht="13.5" customHeight="1">
      <c r="A17" s="844"/>
      <c r="B17" s="844"/>
      <c r="D17" s="761"/>
      <c r="E17" s="761"/>
      <c r="I17" s="842"/>
      <c r="J17" s="843"/>
      <c r="K17" s="842"/>
      <c r="L17" s="842"/>
      <c r="M17" s="842"/>
    </row>
    <row r="18" spans="1:13" s="837" customFormat="1" ht="13.5" customHeight="1">
      <c r="A18" s="841" t="s">
        <v>856</v>
      </c>
      <c r="B18" s="841" t="s">
        <v>855</v>
      </c>
      <c r="C18" s="840" t="s">
        <v>854</v>
      </c>
      <c r="D18" s="841" t="s">
        <v>853</v>
      </c>
      <c r="E18" s="840" t="s">
        <v>852</v>
      </c>
      <c r="F18" s="4693" t="s">
        <v>851</v>
      </c>
      <c r="G18" s="4694"/>
      <c r="H18" s="4694"/>
      <c r="I18" s="4695"/>
      <c r="J18" s="839"/>
      <c r="K18" s="838"/>
      <c r="L18" s="838"/>
      <c r="M18" s="838"/>
    </row>
    <row r="19" spans="1:13" ht="14.25" customHeight="1">
      <c r="A19" s="836" t="s">
        <v>850</v>
      </c>
      <c r="B19" s="834" t="s">
        <v>849</v>
      </c>
      <c r="C19" s="835" t="s">
        <v>848</v>
      </c>
      <c r="D19" s="834" t="s">
        <v>847</v>
      </c>
      <c r="E19" s="835" t="s">
        <v>464</v>
      </c>
      <c r="F19" s="834" t="s">
        <v>846</v>
      </c>
      <c r="G19" s="834" t="s">
        <v>845</v>
      </c>
      <c r="H19" s="834" t="s">
        <v>844</v>
      </c>
      <c r="I19" s="833" t="s">
        <v>244</v>
      </c>
      <c r="J19" s="823"/>
      <c r="K19" s="822"/>
      <c r="L19" s="822"/>
      <c r="M19" s="822"/>
    </row>
    <row r="20" spans="1:13" s="821" customFormat="1" ht="10.9" customHeight="1">
      <c r="A20" s="832" t="s">
        <v>843</v>
      </c>
      <c r="B20" s="831" t="s">
        <v>330</v>
      </c>
      <c r="C20" s="831" t="s">
        <v>329</v>
      </c>
      <c r="D20" s="831" t="s">
        <v>328</v>
      </c>
      <c r="E20" s="830" t="s">
        <v>327</v>
      </c>
      <c r="F20" s="831" t="s">
        <v>326</v>
      </c>
      <c r="G20" s="830" t="s">
        <v>324</v>
      </c>
      <c r="H20" s="830" t="s">
        <v>323</v>
      </c>
      <c r="I20" s="830" t="s">
        <v>325</v>
      </c>
      <c r="J20" s="823"/>
      <c r="K20" s="822"/>
      <c r="L20" s="822"/>
      <c r="M20" s="822"/>
    </row>
    <row r="21" spans="1:13" s="821" customFormat="1" ht="10.9" customHeight="1">
      <c r="A21" s="829"/>
      <c r="B21" s="828"/>
      <c r="C21" s="827"/>
      <c r="D21" s="826"/>
      <c r="E21" s="824"/>
      <c r="F21" s="825"/>
      <c r="G21" s="824"/>
      <c r="H21" s="824"/>
      <c r="I21" s="824"/>
      <c r="J21" s="823"/>
      <c r="K21" s="822"/>
      <c r="L21" s="822"/>
      <c r="M21" s="822"/>
    </row>
    <row r="22" spans="1:13" s="781" customFormat="1" ht="12" customHeight="1" outlineLevel="1">
      <c r="A22" s="4699" t="s">
        <v>842</v>
      </c>
      <c r="B22" s="808" t="s">
        <v>841</v>
      </c>
      <c r="C22" s="806" t="s">
        <v>840</v>
      </c>
      <c r="D22" s="805" t="s">
        <v>840</v>
      </c>
      <c r="E22" s="820" t="s">
        <v>839</v>
      </c>
      <c r="F22" s="812">
        <f>K22*J22</f>
        <v>1370241</v>
      </c>
      <c r="G22" s="793">
        <f>K24*J22</f>
        <v>176320</v>
      </c>
      <c r="H22" s="792"/>
      <c r="I22" s="800">
        <f>SUM(F22:H22)</f>
        <v>1546561</v>
      </c>
      <c r="J22" s="783">
        <v>0.2</v>
      </c>
      <c r="K22" s="818">
        <f>paao!H13</f>
        <v>6851205</v>
      </c>
      <c r="L22" s="782"/>
      <c r="M22" s="782"/>
    </row>
    <row r="23" spans="1:13" s="781" customFormat="1" ht="14.1" customHeight="1" outlineLevel="1">
      <c r="A23" s="4699"/>
      <c r="B23" s="808"/>
      <c r="C23" s="806" t="s">
        <v>838</v>
      </c>
      <c r="D23" s="805" t="s">
        <v>837</v>
      </c>
      <c r="E23" s="804" t="s">
        <v>836</v>
      </c>
      <c r="F23" s="794"/>
      <c r="G23" s="793"/>
      <c r="H23" s="792"/>
      <c r="I23" s="800"/>
      <c r="J23" s="783"/>
      <c r="K23" s="782"/>
      <c r="L23" s="782"/>
      <c r="M23" s="782"/>
    </row>
    <row r="24" spans="1:13" s="781" customFormat="1" ht="14.1" customHeight="1" outlineLevel="1">
      <c r="A24" s="4699"/>
      <c r="B24" s="808"/>
      <c r="C24" s="819"/>
      <c r="D24" s="805"/>
      <c r="E24" s="804" t="s">
        <v>835</v>
      </c>
      <c r="F24" s="794"/>
      <c r="G24" s="793"/>
      <c r="H24" s="792"/>
      <c r="I24" s="800"/>
      <c r="J24" s="783"/>
      <c r="K24" s="818">
        <f>paao!H37</f>
        <v>881600</v>
      </c>
      <c r="L24" s="782"/>
      <c r="M24" s="782"/>
    </row>
    <row r="25" spans="1:13" s="781" customFormat="1" ht="14.1" customHeight="1" outlineLevel="1">
      <c r="A25" s="4699"/>
      <c r="B25" s="4688" t="s">
        <v>834</v>
      </c>
      <c r="C25" s="806" t="s">
        <v>833</v>
      </c>
      <c r="D25" s="805" t="s">
        <v>833</v>
      </c>
      <c r="E25" s="4690" t="s">
        <v>832</v>
      </c>
      <c r="F25" s="794">
        <f>K22*J25</f>
        <v>685120.5</v>
      </c>
      <c r="G25" s="793">
        <f>K24*J25</f>
        <v>88160</v>
      </c>
      <c r="H25" s="792"/>
      <c r="I25" s="800">
        <f>SUM(F25:H25)</f>
        <v>773280.5</v>
      </c>
      <c r="J25" s="783">
        <v>0.1</v>
      </c>
      <c r="K25" s="782"/>
      <c r="L25" s="782"/>
      <c r="M25" s="782"/>
    </row>
    <row r="26" spans="1:13" s="781" customFormat="1" ht="21.75" customHeight="1" outlineLevel="1">
      <c r="A26" s="817"/>
      <c r="B26" s="4688"/>
      <c r="C26" s="806"/>
      <c r="D26" s="805" t="s">
        <v>831</v>
      </c>
      <c r="E26" s="4690"/>
      <c r="F26" s="794"/>
      <c r="G26" s="793"/>
      <c r="H26" s="792"/>
      <c r="I26" s="800"/>
      <c r="J26" s="783"/>
      <c r="K26" s="782"/>
      <c r="L26" s="782"/>
      <c r="M26" s="782"/>
    </row>
    <row r="27" spans="1:13" s="781" customFormat="1" ht="6.75" customHeight="1" outlineLevel="1">
      <c r="A27" s="816"/>
      <c r="B27" s="808"/>
      <c r="C27" s="806"/>
      <c r="D27" s="805"/>
      <c r="E27" s="804"/>
      <c r="F27" s="794"/>
      <c r="G27" s="793"/>
      <c r="H27" s="792"/>
      <c r="I27" s="800"/>
      <c r="J27" s="783"/>
      <c r="K27" s="782"/>
      <c r="L27" s="782"/>
      <c r="M27" s="782"/>
    </row>
    <row r="28" spans="1:13" s="781" customFormat="1" ht="14.1" customHeight="1" outlineLevel="1">
      <c r="A28" s="816"/>
      <c r="B28" s="808" t="s">
        <v>830</v>
      </c>
      <c r="C28" s="806"/>
      <c r="D28" s="805"/>
      <c r="E28" s="804"/>
      <c r="F28" s="794"/>
      <c r="G28" s="793"/>
      <c r="H28" s="792"/>
      <c r="I28" s="800"/>
      <c r="J28" s="783"/>
      <c r="K28" s="782"/>
      <c r="L28" s="782"/>
      <c r="M28" s="782"/>
    </row>
    <row r="29" spans="1:13" s="781" customFormat="1" ht="14.1" customHeight="1" outlineLevel="1">
      <c r="A29" s="815"/>
      <c r="B29" s="809" t="s">
        <v>829</v>
      </c>
      <c r="C29" s="806" t="s">
        <v>828</v>
      </c>
      <c r="D29" s="805" t="s">
        <v>827</v>
      </c>
      <c r="E29" s="813" t="s">
        <v>826</v>
      </c>
      <c r="F29" s="794">
        <f>K22*J29</f>
        <v>685120.5</v>
      </c>
      <c r="G29" s="793">
        <f>K24*J29</f>
        <v>88160</v>
      </c>
      <c r="H29" s="792"/>
      <c r="I29" s="800">
        <f>SUM(F29:H29)</f>
        <v>773280.5</v>
      </c>
      <c r="J29" s="783">
        <v>0.1</v>
      </c>
      <c r="K29" s="782"/>
      <c r="L29" s="782"/>
      <c r="M29" s="782"/>
    </row>
    <row r="30" spans="1:13" s="781" customFormat="1" ht="14.1" customHeight="1" outlineLevel="1">
      <c r="A30" s="815"/>
      <c r="B30" s="4688" t="s">
        <v>825</v>
      </c>
      <c r="C30" s="4697" t="s">
        <v>824</v>
      </c>
      <c r="D30" s="4697" t="s">
        <v>823</v>
      </c>
      <c r="E30" s="4698" t="s">
        <v>818</v>
      </c>
      <c r="F30" s="794"/>
      <c r="G30" s="793"/>
      <c r="H30" s="792"/>
      <c r="I30" s="800"/>
      <c r="J30" s="783"/>
      <c r="K30" s="782"/>
      <c r="L30" s="782"/>
      <c r="M30" s="782"/>
    </row>
    <row r="31" spans="1:13" s="781" customFormat="1" ht="14.1" customHeight="1" outlineLevel="2">
      <c r="A31" s="799"/>
      <c r="B31" s="4688"/>
      <c r="C31" s="4697"/>
      <c r="D31" s="4697"/>
      <c r="E31" s="4698"/>
      <c r="F31" s="803"/>
      <c r="G31" s="802"/>
      <c r="H31" s="801"/>
      <c r="I31" s="800"/>
      <c r="J31" s="783"/>
      <c r="K31" s="782"/>
      <c r="L31" s="782"/>
      <c r="M31" s="782"/>
    </row>
    <row r="32" spans="1:13" s="781" customFormat="1" ht="14.1" customHeight="1" outlineLevel="2">
      <c r="A32" s="799"/>
      <c r="B32" s="4688"/>
      <c r="C32" s="4697"/>
      <c r="D32" s="4697"/>
      <c r="E32" s="4698"/>
      <c r="F32" s="803"/>
      <c r="G32" s="802"/>
      <c r="H32" s="801"/>
      <c r="I32" s="800"/>
      <c r="J32" s="783"/>
      <c r="K32" s="782"/>
      <c r="L32" s="782"/>
      <c r="M32" s="782"/>
    </row>
    <row r="33" spans="1:13" s="781" customFormat="1" ht="14.1" customHeight="1" outlineLevel="2">
      <c r="A33" s="799"/>
      <c r="B33" s="4688"/>
      <c r="C33" s="4697"/>
      <c r="D33" s="4697"/>
      <c r="E33" s="4698"/>
      <c r="F33" s="803"/>
      <c r="G33" s="802"/>
      <c r="H33" s="801"/>
      <c r="I33" s="800"/>
      <c r="J33" s="783"/>
      <c r="K33" s="782"/>
      <c r="L33" s="782"/>
      <c r="M33" s="782"/>
    </row>
    <row r="34" spans="1:13" s="781" customFormat="1" ht="6" customHeight="1" outlineLevel="2">
      <c r="A34" s="799"/>
      <c r="B34" s="814"/>
      <c r="C34" s="806"/>
      <c r="D34" s="805"/>
      <c r="E34" s="804"/>
      <c r="F34" s="803"/>
      <c r="G34" s="802"/>
      <c r="H34" s="801"/>
      <c r="I34" s="800"/>
      <c r="J34" s="783"/>
      <c r="K34" s="782"/>
      <c r="L34" s="782"/>
      <c r="M34" s="782"/>
    </row>
    <row r="35" spans="1:13" s="781" customFormat="1" ht="14.1" customHeight="1" outlineLevel="2">
      <c r="A35" s="799"/>
      <c r="B35" s="808" t="s">
        <v>822</v>
      </c>
      <c r="C35" s="806"/>
      <c r="D35" s="805"/>
      <c r="E35" s="804"/>
      <c r="F35" s="803"/>
      <c r="G35" s="802"/>
      <c r="H35" s="801"/>
      <c r="I35" s="800"/>
      <c r="J35" s="783">
        <v>0.4</v>
      </c>
      <c r="K35" s="782"/>
      <c r="L35" s="782"/>
      <c r="M35" s="782"/>
    </row>
    <row r="36" spans="1:13" s="781" customFormat="1" ht="14.1" customHeight="1" outlineLevel="2">
      <c r="A36" s="799"/>
      <c r="B36" s="809" t="s">
        <v>821</v>
      </c>
      <c r="C36" s="806" t="s">
        <v>820</v>
      </c>
      <c r="D36" s="4696" t="s">
        <v>819</v>
      </c>
      <c r="E36" s="813" t="s">
        <v>818</v>
      </c>
      <c r="F36" s="812">
        <f>K22*J35</f>
        <v>2740482</v>
      </c>
      <c r="G36" s="793">
        <f>K24*J35</f>
        <v>352640</v>
      </c>
      <c r="H36" s="801"/>
      <c r="I36" s="800">
        <f>SUM(F36:H36)</f>
        <v>3093122</v>
      </c>
      <c r="J36" s="783"/>
      <c r="K36" s="782"/>
      <c r="L36" s="782"/>
      <c r="M36" s="782"/>
    </row>
    <row r="37" spans="1:13" s="781" customFormat="1" ht="14.1" customHeight="1" outlineLevel="2">
      <c r="A37" s="799"/>
      <c r="B37" s="809" t="s">
        <v>817</v>
      </c>
      <c r="C37" s="806" t="s">
        <v>816</v>
      </c>
      <c r="D37" s="4696"/>
      <c r="E37" s="804"/>
      <c r="F37" s="803"/>
      <c r="G37" s="802"/>
      <c r="H37" s="801"/>
      <c r="I37" s="800"/>
      <c r="J37" s="783"/>
      <c r="K37" s="782"/>
      <c r="L37" s="782"/>
      <c r="M37" s="782"/>
    </row>
    <row r="38" spans="1:13" s="781" customFormat="1" ht="14.1" customHeight="1" outlineLevel="2">
      <c r="A38" s="799"/>
      <c r="B38" s="809" t="s">
        <v>815</v>
      </c>
      <c r="C38" s="806" t="s">
        <v>814</v>
      </c>
      <c r="D38" s="805"/>
      <c r="E38" s="804"/>
      <c r="F38" s="803"/>
      <c r="G38" s="802"/>
      <c r="H38" s="801"/>
      <c r="I38" s="800"/>
      <c r="J38" s="783"/>
      <c r="K38" s="782"/>
      <c r="L38" s="782"/>
      <c r="M38" s="782"/>
    </row>
    <row r="39" spans="1:13" s="781" customFormat="1" ht="9" customHeight="1" outlineLevel="2">
      <c r="A39" s="799"/>
      <c r="B39" s="809"/>
      <c r="C39" s="806"/>
      <c r="D39" s="805"/>
      <c r="E39" s="804"/>
      <c r="F39" s="803"/>
      <c r="G39" s="802"/>
      <c r="H39" s="801"/>
      <c r="I39" s="800"/>
      <c r="J39" s="783"/>
      <c r="K39" s="782"/>
      <c r="L39" s="782"/>
      <c r="M39" s="782"/>
    </row>
    <row r="40" spans="1:13" s="781" customFormat="1" ht="14.1" customHeight="1" outlineLevel="2">
      <c r="A40" s="799"/>
      <c r="B40" s="809" t="s">
        <v>813</v>
      </c>
      <c r="C40" s="806" t="s">
        <v>812</v>
      </c>
      <c r="D40" s="805" t="s">
        <v>811</v>
      </c>
      <c r="E40" s="804" t="s">
        <v>810</v>
      </c>
      <c r="F40" s="794">
        <f>K22*J40</f>
        <v>685120.5</v>
      </c>
      <c r="G40" s="793">
        <f>K24*J40</f>
        <v>88160</v>
      </c>
      <c r="H40" s="801"/>
      <c r="I40" s="800">
        <f>SUM(F40:H40)</f>
        <v>773280.5</v>
      </c>
      <c r="J40" s="783">
        <v>0.1</v>
      </c>
      <c r="K40" s="782"/>
      <c r="L40" s="782"/>
      <c r="M40" s="782"/>
    </row>
    <row r="41" spans="1:13" s="781" customFormat="1" ht="14.1" customHeight="1" outlineLevel="2">
      <c r="A41" s="799"/>
      <c r="B41" s="809" t="s">
        <v>809</v>
      </c>
      <c r="C41" s="806" t="s">
        <v>808</v>
      </c>
      <c r="D41" s="805"/>
      <c r="E41" s="804"/>
      <c r="F41" s="794"/>
      <c r="G41" s="793"/>
      <c r="H41" s="792"/>
      <c r="I41" s="800"/>
      <c r="J41" s="783"/>
      <c r="K41" s="782"/>
      <c r="L41" s="782"/>
      <c r="M41" s="782"/>
    </row>
    <row r="42" spans="1:13" s="781" customFormat="1" ht="14.1" customHeight="1" outlineLevel="2">
      <c r="A42" s="811"/>
      <c r="B42" s="809" t="s">
        <v>807</v>
      </c>
      <c r="C42" s="806"/>
      <c r="D42" s="805"/>
      <c r="E42" s="804"/>
      <c r="F42" s="803"/>
      <c r="G42" s="802"/>
      <c r="H42" s="801"/>
      <c r="I42" s="800"/>
      <c r="J42" s="783"/>
      <c r="K42" s="782"/>
      <c r="L42" s="782"/>
      <c r="M42" s="782"/>
    </row>
    <row r="43" spans="1:13" s="781" customFormat="1" ht="14.1" customHeight="1" outlineLevel="2">
      <c r="A43" s="810"/>
      <c r="B43" s="809" t="s">
        <v>806</v>
      </c>
      <c r="C43" s="806"/>
      <c r="D43" s="805"/>
      <c r="E43" s="804"/>
      <c r="F43" s="803"/>
      <c r="G43" s="802"/>
      <c r="H43" s="801"/>
      <c r="I43" s="800"/>
      <c r="J43" s="783"/>
      <c r="K43" s="782"/>
      <c r="L43" s="782"/>
      <c r="M43" s="782"/>
    </row>
    <row r="44" spans="1:13" s="781" customFormat="1" ht="6" customHeight="1" outlineLevel="2">
      <c r="A44" s="810"/>
      <c r="B44" s="809"/>
      <c r="C44" s="806"/>
      <c r="D44" s="805"/>
      <c r="E44" s="804"/>
      <c r="F44" s="794"/>
      <c r="G44" s="793"/>
      <c r="H44" s="801"/>
      <c r="I44" s="800"/>
      <c r="J44" s="783"/>
      <c r="K44" s="782"/>
      <c r="L44" s="782"/>
      <c r="M44" s="782"/>
    </row>
    <row r="45" spans="1:13" s="781" customFormat="1" ht="14.1" customHeight="1" outlineLevel="2">
      <c r="A45" s="810"/>
      <c r="B45" s="809" t="s">
        <v>805</v>
      </c>
      <c r="C45" s="806" t="s">
        <v>804</v>
      </c>
      <c r="D45" s="4696" t="s">
        <v>803</v>
      </c>
      <c r="E45" s="804"/>
      <c r="F45" s="803">
        <f>K22*J45</f>
        <v>342560.25</v>
      </c>
      <c r="G45" s="793">
        <f>K24*J45</f>
        <v>44080</v>
      </c>
      <c r="H45" s="801"/>
      <c r="I45" s="800">
        <f>paao!H55-'LBPF No. 4'!K52</f>
        <v>386640.25</v>
      </c>
      <c r="J45" s="783">
        <v>0.05</v>
      </c>
      <c r="K45" s="782"/>
      <c r="L45" s="782"/>
      <c r="M45" s="782"/>
    </row>
    <row r="46" spans="1:13" s="781" customFormat="1" ht="14.1" customHeight="1" outlineLevel="2">
      <c r="A46" s="810"/>
      <c r="B46" s="809" t="s">
        <v>802</v>
      </c>
      <c r="C46" s="806"/>
      <c r="D46" s="4696"/>
      <c r="E46" s="804"/>
      <c r="F46" s="803"/>
      <c r="G46" s="802"/>
      <c r="H46" s="801"/>
      <c r="I46" s="800"/>
      <c r="J46" s="783"/>
      <c r="K46" s="782"/>
      <c r="L46" s="782"/>
      <c r="M46" s="782"/>
    </row>
    <row r="47" spans="1:13" s="781" customFormat="1" ht="23.25" customHeight="1" outlineLevel="2">
      <c r="A47" s="810"/>
      <c r="B47" s="809" t="s">
        <v>801</v>
      </c>
      <c r="C47" s="806"/>
      <c r="D47" s="4696"/>
      <c r="E47" s="804"/>
      <c r="F47" s="803"/>
      <c r="G47" s="802"/>
      <c r="H47" s="801"/>
      <c r="I47" s="800"/>
      <c r="J47" s="783"/>
      <c r="K47" s="782"/>
      <c r="L47" s="782"/>
      <c r="M47" s="782"/>
    </row>
    <row r="48" spans="1:13" s="781" customFormat="1" ht="6" customHeight="1" outlineLevel="2">
      <c r="A48" s="810"/>
      <c r="B48" s="809"/>
      <c r="C48" s="806"/>
      <c r="D48" s="805"/>
      <c r="E48" s="804"/>
      <c r="F48" s="803"/>
      <c r="G48" s="802"/>
      <c r="H48" s="801"/>
      <c r="I48" s="800"/>
      <c r="J48" s="783"/>
      <c r="K48" s="782"/>
      <c r="L48" s="782"/>
      <c r="M48" s="782"/>
    </row>
    <row r="49" spans="1:13" s="781" customFormat="1" ht="14.1" customHeight="1" outlineLevel="2">
      <c r="A49" s="799"/>
      <c r="B49" s="808" t="s">
        <v>800</v>
      </c>
      <c r="C49" s="806" t="s">
        <v>799</v>
      </c>
      <c r="D49" s="805" t="s">
        <v>799</v>
      </c>
      <c r="E49" s="804" t="s">
        <v>798</v>
      </c>
      <c r="F49" s="794">
        <f>K22*J49</f>
        <v>342560.25</v>
      </c>
      <c r="G49" s="793">
        <f>K24*J49</f>
        <v>44080</v>
      </c>
      <c r="H49" s="792"/>
      <c r="I49" s="800">
        <f>SUM(F49:H49)</f>
        <v>386640.25</v>
      </c>
      <c r="J49" s="783">
        <v>0.05</v>
      </c>
      <c r="K49" s="782"/>
      <c r="L49" s="782"/>
      <c r="M49" s="782"/>
    </row>
    <row r="50" spans="1:13" s="781" customFormat="1" ht="14.1" customHeight="1" outlineLevel="2">
      <c r="A50" s="799"/>
      <c r="B50" s="807" t="s">
        <v>797</v>
      </c>
      <c r="C50" s="806" t="s">
        <v>796</v>
      </c>
      <c r="D50" s="805" t="s">
        <v>795</v>
      </c>
      <c r="E50" s="804" t="s">
        <v>794</v>
      </c>
      <c r="F50" s="803"/>
      <c r="G50" s="802"/>
      <c r="H50" s="801"/>
      <c r="I50" s="800"/>
      <c r="J50" s="783"/>
      <c r="K50" s="782"/>
      <c r="L50" s="782"/>
      <c r="M50" s="782"/>
    </row>
    <row r="51" spans="1:13" s="781" customFormat="1" ht="3.75" customHeight="1" outlineLevel="2">
      <c r="A51" s="799"/>
      <c r="B51" s="798"/>
      <c r="C51" s="797"/>
      <c r="D51" s="796"/>
      <c r="E51" s="795"/>
      <c r="F51" s="794"/>
      <c r="G51" s="793"/>
      <c r="H51" s="792"/>
      <c r="I51" s="791"/>
      <c r="J51" s="783"/>
      <c r="K51" s="782"/>
      <c r="L51" s="782"/>
      <c r="M51" s="782"/>
    </row>
    <row r="52" spans="1:13" s="781" customFormat="1" ht="15" customHeight="1">
      <c r="A52" s="790"/>
      <c r="B52" s="789"/>
      <c r="C52" s="788"/>
      <c r="D52" s="787"/>
      <c r="E52" s="786" t="s">
        <v>244</v>
      </c>
      <c r="F52" s="785">
        <f>SUM(F22:F51)</f>
        <v>6851205</v>
      </c>
      <c r="G52" s="784">
        <f>SUM(G22:G51)</f>
        <v>881600</v>
      </c>
      <c r="H52" s="784"/>
      <c r="I52" s="784">
        <f>SUM(I22:I51)</f>
        <v>7732805</v>
      </c>
      <c r="J52" s="783">
        <f>SUM(J22:J51)</f>
        <v>1</v>
      </c>
      <c r="K52" s="782">
        <f>SUM(I22+I25+I29+I36+I40+I49)</f>
        <v>7346164.75</v>
      </c>
      <c r="L52" s="782"/>
      <c r="M52" s="782"/>
    </row>
    <row r="53" spans="1:13" ht="14.25" customHeight="1">
      <c r="A53" s="780" t="s">
        <v>793</v>
      </c>
      <c r="B53" s="764"/>
      <c r="C53" s="766" t="s">
        <v>792</v>
      </c>
      <c r="D53" s="779"/>
      <c r="E53" s="778"/>
      <c r="F53" s="762"/>
      <c r="G53" s="762"/>
      <c r="H53" s="763"/>
      <c r="I53" s="777"/>
      <c r="J53" s="776"/>
      <c r="K53" s="775"/>
      <c r="L53" s="775"/>
      <c r="M53" s="775"/>
    </row>
    <row r="54" spans="1:13" ht="19.5" customHeight="1">
      <c r="C54" s="774"/>
      <c r="D54" s="774"/>
      <c r="E54" s="774"/>
      <c r="F54" s="774"/>
      <c r="G54" s="774"/>
      <c r="H54" s="773"/>
      <c r="I54" s="762"/>
    </row>
    <row r="55" spans="1:13" s="714" customFormat="1" ht="21.6" customHeight="1">
      <c r="A55" s="4635" t="s">
        <v>737</v>
      </c>
      <c r="B55" s="4635"/>
      <c r="C55" s="4635" t="s">
        <v>791</v>
      </c>
      <c r="D55" s="4635"/>
      <c r="E55" s="4635"/>
      <c r="F55" s="4635" t="s">
        <v>360</v>
      </c>
      <c r="G55" s="4635"/>
      <c r="H55" s="4635"/>
      <c r="J55" s="770"/>
    </row>
    <row r="56" spans="1:13" s="767" customFormat="1" ht="12" customHeight="1">
      <c r="A56" s="4655" t="s">
        <v>790</v>
      </c>
      <c r="B56" s="4655"/>
      <c r="C56" s="4622" t="s">
        <v>789</v>
      </c>
      <c r="D56" s="4622"/>
      <c r="E56" s="4622"/>
      <c r="F56" s="4622" t="s">
        <v>357</v>
      </c>
      <c r="G56" s="4622"/>
      <c r="H56" s="4622"/>
      <c r="J56" s="768"/>
    </row>
    <row r="57" spans="1:13" ht="12" customHeight="1">
      <c r="A57" s="4655"/>
      <c r="B57" s="4655"/>
      <c r="C57" s="4622"/>
      <c r="D57" s="4622"/>
      <c r="E57" s="4622"/>
      <c r="F57" s="772"/>
      <c r="G57" s="762"/>
      <c r="H57" s="762"/>
      <c r="I57" s="762"/>
    </row>
    <row r="58" spans="1:13" ht="12" customHeight="1">
      <c r="F58" s="763"/>
      <c r="G58" s="762"/>
      <c r="H58" s="762"/>
      <c r="I58" s="762"/>
    </row>
    <row r="59" spans="1:13" s="714" customFormat="1" ht="16.5" customHeight="1">
      <c r="C59" s="4635" t="s">
        <v>788</v>
      </c>
      <c r="D59" s="4635"/>
      <c r="E59" s="4635"/>
      <c r="F59" s="771" t="s">
        <v>787</v>
      </c>
      <c r="G59" s="771"/>
      <c r="H59" s="134"/>
      <c r="J59" s="770"/>
    </row>
    <row r="60" spans="1:13" s="767" customFormat="1" ht="12" customHeight="1">
      <c r="C60" s="4702" t="s">
        <v>786</v>
      </c>
      <c r="D60" s="4702"/>
      <c r="E60" s="4702"/>
      <c r="F60" s="4701" t="s">
        <v>554</v>
      </c>
      <c r="G60" s="4701"/>
      <c r="H60" s="4701"/>
      <c r="I60" s="769"/>
      <c r="J60" s="768"/>
    </row>
    <row r="61" spans="1:13" ht="14.25" customHeight="1">
      <c r="A61" s="766" t="s">
        <v>785</v>
      </c>
      <c r="B61" s="764"/>
      <c r="E61" s="4621"/>
      <c r="F61" s="4621"/>
      <c r="G61" s="762"/>
      <c r="H61" s="762"/>
      <c r="I61" s="762"/>
    </row>
    <row r="62" spans="1:13" ht="14.25" customHeight="1">
      <c r="A62" s="765"/>
      <c r="B62" s="764"/>
      <c r="F62" s="763"/>
      <c r="G62" s="762"/>
      <c r="H62" s="762"/>
      <c r="I62" s="762"/>
    </row>
    <row r="63" spans="1:13" ht="21.75" customHeight="1">
      <c r="A63" s="4700" t="s">
        <v>359</v>
      </c>
      <c r="B63" s="4700"/>
      <c r="F63" s="763"/>
      <c r="G63" s="762"/>
      <c r="H63" s="762"/>
      <c r="I63" s="762"/>
    </row>
    <row r="64" spans="1:13" ht="14.25" customHeight="1">
      <c r="A64" s="4701" t="s">
        <v>356</v>
      </c>
      <c r="B64" s="4701"/>
      <c r="F64" s="763"/>
      <c r="G64" s="762"/>
      <c r="H64" s="762"/>
      <c r="I64" s="762"/>
    </row>
    <row r="65" spans="2:9" ht="14.25" customHeight="1">
      <c r="F65" s="763"/>
      <c r="G65" s="762"/>
      <c r="H65" s="762"/>
      <c r="I65" s="762"/>
    </row>
    <row r="66" spans="2:9" ht="14.25" customHeight="1">
      <c r="F66" s="763"/>
      <c r="G66" s="762"/>
      <c r="H66" s="762"/>
      <c r="I66" s="762"/>
    </row>
    <row r="67" spans="2:9" ht="14.25" customHeight="1">
      <c r="F67" s="763"/>
      <c r="G67" s="762"/>
      <c r="H67" s="762"/>
      <c r="I67" s="762"/>
    </row>
    <row r="68" spans="2:9" ht="14.25" customHeight="1">
      <c r="F68" s="763"/>
      <c r="G68" s="762"/>
      <c r="H68" s="762"/>
      <c r="I68" s="762"/>
    </row>
    <row r="69" spans="2:9" ht="14.25" customHeight="1">
      <c r="F69" s="763"/>
      <c r="G69" s="762"/>
      <c r="H69" s="762"/>
      <c r="I69" s="762"/>
    </row>
    <row r="70" spans="2:9" ht="14.25" customHeight="1">
      <c r="F70" s="763"/>
      <c r="G70" s="762"/>
      <c r="H70" s="762"/>
      <c r="I70" s="762"/>
    </row>
    <row r="71" spans="2:9" ht="14.25" customHeight="1">
      <c r="F71" s="763"/>
      <c r="G71" s="762"/>
      <c r="H71" s="762"/>
      <c r="I71" s="762"/>
    </row>
    <row r="72" spans="2:9" ht="14.25" customHeight="1">
      <c r="F72" s="763"/>
      <c r="G72" s="762"/>
      <c r="H72" s="762"/>
      <c r="I72" s="762"/>
    </row>
    <row r="73" spans="2:9" ht="14.25" customHeight="1">
      <c r="B73" s="759" t="s">
        <v>784</v>
      </c>
      <c r="F73" s="763"/>
      <c r="G73" s="762"/>
      <c r="H73" s="762"/>
      <c r="I73" s="762"/>
    </row>
    <row r="74" spans="2:9" ht="14.25" customHeight="1">
      <c r="F74" s="761"/>
    </row>
    <row r="75" spans="2:9" ht="14.25" customHeight="1">
      <c r="F75" s="761"/>
    </row>
  </sheetData>
  <mergeCells count="29">
    <mergeCell ref="E61:F61"/>
    <mergeCell ref="A63:B63"/>
    <mergeCell ref="A64:B64"/>
    <mergeCell ref="C59:E59"/>
    <mergeCell ref="F60:H60"/>
    <mergeCell ref="C60:E60"/>
    <mergeCell ref="A55:B55"/>
    <mergeCell ref="A57:B57"/>
    <mergeCell ref="A56:B56"/>
    <mergeCell ref="F55:H55"/>
    <mergeCell ref="F56:H56"/>
    <mergeCell ref="C55:E55"/>
    <mergeCell ref="C56:E56"/>
    <mergeCell ref="C57:E57"/>
    <mergeCell ref="B30:B33"/>
    <mergeCell ref="A4:I4"/>
    <mergeCell ref="A5:I5"/>
    <mergeCell ref="F18:I18"/>
    <mergeCell ref="D45:D47"/>
    <mergeCell ref="C30:C33"/>
    <mergeCell ref="D30:D33"/>
    <mergeCell ref="E30:E33"/>
    <mergeCell ref="D36:D37"/>
    <mergeCell ref="A22:A25"/>
    <mergeCell ref="B25:B26"/>
    <mergeCell ref="B7:I8"/>
    <mergeCell ref="B10:I11"/>
    <mergeCell ref="B13:I14"/>
    <mergeCell ref="E25:E26"/>
  </mergeCells>
  <pageMargins left="0.5" right="0" top="0.25" bottom="0" header="0.5" footer="0.5"/>
  <pageSetup paperSize="5" orientation="portrait" verticalDpi="72" r:id="rId1"/>
  <headerFooter alignWithMargins="0"/>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 transitionEvaluation="1" transitionEntry="1">
    <tabColor rgb="FFFF0000"/>
    <outlinePr summaryBelow="0"/>
  </sheetPr>
  <dimension ref="A1:EJ126"/>
  <sheetViews>
    <sheetView showGridLines="0" showOutlineSymbols="0" workbookViewId="0">
      <selection activeCell="A72" sqref="A72"/>
    </sheetView>
  </sheetViews>
  <sheetFormatPr defaultColWidth="12.5703125" defaultRowHeight="13.5" outlineLevelRow="2" outlineLevelCol="2"/>
  <cols>
    <col min="1" max="1" width="1.85546875" style="3160" customWidth="1"/>
    <col min="2" max="2" width="31.42578125" style="3160" customWidth="1"/>
    <col min="3" max="3" width="10.28515625" style="3161" customWidth="1"/>
    <col min="4" max="5" width="9.5703125" style="3161" customWidth="1"/>
    <col min="6" max="6" width="10.7109375" style="3161" customWidth="1"/>
    <col min="7" max="7" width="10.5703125" style="3161" customWidth="1"/>
    <col min="8" max="8" width="11.28515625" style="3161" customWidth="1"/>
    <col min="9" max="39" width="12.5703125" style="3160"/>
    <col min="40" max="44" width="12.5703125" style="3160" outlineLevel="1"/>
    <col min="45" max="50" width="12.5703125" style="3160" outlineLevel="2"/>
    <col min="51" max="53" width="12.5703125" style="3160" outlineLevel="1"/>
    <col min="54" max="73" width="12.5703125" style="3160"/>
    <col min="74" max="77" width="12.5703125" style="3160" outlineLevel="1"/>
    <col min="78" max="125" width="12.5703125" style="3160"/>
    <col min="126" max="131" width="12.5703125" style="3160" outlineLevel="1"/>
    <col min="132" max="137" width="12.5703125" style="3160" outlineLevel="2"/>
    <col min="138" max="140" width="12.5703125" style="3160" outlineLevel="1"/>
    <col min="141" max="16384" width="12.5703125" style="3160"/>
  </cols>
  <sheetData>
    <row r="1" spans="1:8">
      <c r="A1" s="3226" t="s">
        <v>473</v>
      </c>
      <c r="E1" s="3285"/>
      <c r="F1" s="3285"/>
      <c r="G1" s="3285"/>
      <c r="H1" s="3285"/>
    </row>
    <row r="2" spans="1:8" ht="14.25" customHeight="1">
      <c r="A2" s="3221" t="s">
        <v>2362</v>
      </c>
      <c r="E2" s="3284"/>
      <c r="F2" s="3284"/>
      <c r="G2" s="3284"/>
      <c r="H2" s="3284"/>
    </row>
    <row r="3" spans="1:8" ht="14.25" customHeight="1">
      <c r="E3" s="3284"/>
      <c r="G3" s="3284"/>
      <c r="H3" s="3284"/>
    </row>
    <row r="4" spans="1:8" ht="14.25" customHeight="1">
      <c r="E4" s="3284"/>
      <c r="G4" s="3284"/>
      <c r="H4" s="3284"/>
    </row>
    <row r="5" spans="1:8" ht="14.25" customHeight="1">
      <c r="A5" s="4940" t="s">
        <v>471</v>
      </c>
      <c r="B5" s="4940"/>
      <c r="C5" s="4940"/>
      <c r="D5" s="4940"/>
      <c r="E5" s="4940"/>
      <c r="F5" s="4940"/>
      <c r="G5" s="4940"/>
      <c r="H5" s="4940"/>
    </row>
    <row r="6" spans="1:8" ht="14.25" customHeight="1">
      <c r="A6" s="4941" t="s">
        <v>746</v>
      </c>
      <c r="B6" s="4941"/>
      <c r="C6" s="4941"/>
      <c r="D6" s="4941"/>
      <c r="E6" s="4941"/>
      <c r="F6" s="4941"/>
      <c r="G6" s="4941"/>
      <c r="H6" s="4941"/>
    </row>
    <row r="7" spans="1:8" ht="14.25" customHeight="1">
      <c r="A7" s="3283"/>
      <c r="B7" s="3283"/>
      <c r="C7" s="3282"/>
      <c r="D7" s="3282"/>
      <c r="E7" s="3282"/>
      <c r="F7" s="3282"/>
      <c r="G7" s="3282"/>
      <c r="H7" s="3282"/>
    </row>
    <row r="8" spans="1:8" ht="14.25" customHeight="1">
      <c r="A8" s="3283"/>
      <c r="B8" s="3283"/>
      <c r="C8" s="3282"/>
      <c r="D8" s="3282"/>
      <c r="E8" s="3282"/>
      <c r="F8" s="3282"/>
      <c r="G8" s="3282"/>
      <c r="H8" s="3282"/>
    </row>
    <row r="9" spans="1:8" ht="14.25" customHeight="1">
      <c r="A9" s="3281" t="s">
        <v>2400</v>
      </c>
      <c r="B9" s="3281"/>
    </row>
    <row r="10" spans="1:8" ht="14.25" customHeight="1">
      <c r="A10" s="3281"/>
      <c r="B10" s="3281"/>
    </row>
    <row r="11" spans="1:8" ht="14.25" customHeight="1">
      <c r="A11" s="4942" t="s">
        <v>468</v>
      </c>
      <c r="B11" s="4943"/>
      <c r="C11" s="3280"/>
      <c r="D11" s="3220" t="s">
        <v>466</v>
      </c>
      <c r="E11" s="4948" t="s">
        <v>465</v>
      </c>
      <c r="F11" s="4949"/>
      <c r="G11" s="4950"/>
      <c r="H11" s="3220" t="s">
        <v>2345</v>
      </c>
    </row>
    <row r="12" spans="1:8" ht="14.25" customHeight="1">
      <c r="A12" s="4944"/>
      <c r="B12" s="4945"/>
      <c r="C12" s="3280" t="s">
        <v>467</v>
      </c>
      <c r="D12" s="3218">
        <v>2020</v>
      </c>
      <c r="E12" s="3218" t="s">
        <v>2344</v>
      </c>
      <c r="F12" s="3218" t="s">
        <v>2343</v>
      </c>
      <c r="G12" s="3218"/>
      <c r="H12" s="3218" t="s">
        <v>2342</v>
      </c>
    </row>
    <row r="13" spans="1:8" ht="14.25" customHeight="1">
      <c r="A13" s="4944"/>
      <c r="B13" s="4945"/>
      <c r="C13" s="3279" t="s">
        <v>463</v>
      </c>
      <c r="D13" s="3218"/>
      <c r="E13" s="3218" t="s">
        <v>2341</v>
      </c>
      <c r="F13" s="3218" t="s">
        <v>2341</v>
      </c>
      <c r="G13" s="3218" t="s">
        <v>244</v>
      </c>
      <c r="H13" s="3218" t="s">
        <v>652</v>
      </c>
    </row>
    <row r="14" spans="1:8" ht="14.25" customHeight="1">
      <c r="A14" s="4946"/>
      <c r="B14" s="4947"/>
      <c r="C14" s="3278"/>
      <c r="D14" s="3215" t="s">
        <v>460</v>
      </c>
      <c r="E14" s="3215" t="s">
        <v>460</v>
      </c>
      <c r="F14" s="3215" t="s">
        <v>459</v>
      </c>
      <c r="G14" s="3216"/>
      <c r="H14" s="3215" t="s">
        <v>458</v>
      </c>
    </row>
    <row r="15" spans="1:8" ht="20.100000000000001" customHeight="1">
      <c r="A15" s="3277" t="s">
        <v>456</v>
      </c>
      <c r="B15" s="3276"/>
      <c r="C15" s="3275"/>
      <c r="D15" s="3275"/>
      <c r="E15" s="3275"/>
      <c r="F15" s="3274"/>
      <c r="G15" s="3274"/>
      <c r="H15" s="3274"/>
    </row>
    <row r="16" spans="1:8" ht="20.100000000000001" customHeight="1">
      <c r="A16" s="3273" t="s">
        <v>455</v>
      </c>
      <c r="B16" s="3272"/>
      <c r="C16" s="3271"/>
      <c r="D16" s="3245">
        <f>SUM(D18:D40)</f>
        <v>39038846.789999999</v>
      </c>
      <c r="E16" s="3245">
        <f>SUM(E18:E40)</f>
        <v>17271242.830000002</v>
      </c>
      <c r="F16" s="3245">
        <f>SUM(F18:F40)</f>
        <v>24695188.809999999</v>
      </c>
      <c r="G16" s="3245">
        <f>SUM(G18:G40)</f>
        <v>41966431.640000001</v>
      </c>
      <c r="H16" s="3245">
        <f>SUM(H18:H40)</f>
        <v>44145124</v>
      </c>
    </row>
    <row r="17" spans="1:10" ht="16.7" customHeight="1" outlineLevel="1">
      <c r="A17" s="3270" t="s">
        <v>454</v>
      </c>
      <c r="B17" s="3269"/>
      <c r="C17" s="3267"/>
      <c r="D17" s="3268"/>
      <c r="E17" s="3268"/>
      <c r="F17" s="3267"/>
      <c r="G17" s="3267"/>
      <c r="H17" s="3267"/>
    </row>
    <row r="18" spans="1:10" ht="16.7" customHeight="1" outlineLevel="1">
      <c r="A18" s="3259" t="s">
        <v>426</v>
      </c>
      <c r="B18" s="3258"/>
      <c r="C18" s="3266" t="s">
        <v>453</v>
      </c>
      <c r="D18" s="3180">
        <f>'[22]8751'!$F$12</f>
        <v>22452526.609999999</v>
      </c>
      <c r="E18" s="3052">
        <f>'[23]8751'!$F$12</f>
        <v>11804944.01</v>
      </c>
      <c r="F18" s="3052">
        <f>G18-E18</f>
        <v>15255601.99</v>
      </c>
      <c r="G18" s="2619">
        <f>'[23]8751'!$D$12</f>
        <v>27060546</v>
      </c>
      <c r="H18" s="2619">
        <f>'[24]CEO-FINAL'!$H$134</f>
        <v>27283404</v>
      </c>
      <c r="I18" s="3160">
        <f>H18*0.1</f>
        <v>2728340.4000000004</v>
      </c>
    </row>
    <row r="19" spans="1:10" ht="16.7" customHeight="1" outlineLevel="1">
      <c r="A19" s="3261" t="s">
        <v>452</v>
      </c>
      <c r="B19" s="3258"/>
      <c r="C19" s="3212"/>
      <c r="D19" s="3180"/>
      <c r="E19" s="3052"/>
      <c r="F19" s="3052"/>
      <c r="G19" s="2619"/>
      <c r="H19" s="2619"/>
    </row>
    <row r="20" spans="1:10" ht="16.7" customHeight="1" outlineLevel="1">
      <c r="A20" s="3259" t="s">
        <v>1507</v>
      </c>
      <c r="B20" s="3258"/>
      <c r="C20" s="3266" t="s">
        <v>450</v>
      </c>
      <c r="D20" s="3180">
        <f>'[22]8751'!$F$13</f>
        <v>1963387.1099999999</v>
      </c>
      <c r="E20" s="3052">
        <f>'[23]8751'!$F$13</f>
        <v>1051096.78</v>
      </c>
      <c r="F20" s="3052">
        <f t="shared" ref="F20:F27" si="0">G20-E20</f>
        <v>1204903.22</v>
      </c>
      <c r="G20" s="2619">
        <f>'[23]8751'!$D$13</f>
        <v>2256000</v>
      </c>
      <c r="H20" s="2619">
        <f>'[24]CEO-FINAL'!$B$132*2000*12</f>
        <v>2328000</v>
      </c>
    </row>
    <row r="21" spans="1:10" ht="16.7" customHeight="1" outlineLevel="1">
      <c r="A21" s="3259" t="s">
        <v>449</v>
      </c>
      <c r="B21" s="3258"/>
      <c r="C21" s="3266" t="s">
        <v>448</v>
      </c>
      <c r="D21" s="3180">
        <f>'[22]8751'!$F$14</f>
        <v>142500</v>
      </c>
      <c r="E21" s="3260">
        <f>'[23]8751'!$F$14</f>
        <v>59375</v>
      </c>
      <c r="F21" s="3052">
        <f t="shared" si="0"/>
        <v>83125</v>
      </c>
      <c r="G21" s="3262">
        <f>'[23]8751'!$D$14</f>
        <v>142500</v>
      </c>
      <c r="H21" s="2619">
        <v>142500</v>
      </c>
    </row>
    <row r="22" spans="1:10" ht="16.7" customHeight="1" outlineLevel="1">
      <c r="A22" s="3259" t="s">
        <v>447</v>
      </c>
      <c r="B22" s="3258"/>
      <c r="C22" s="3266" t="s">
        <v>446</v>
      </c>
      <c r="D22" s="3180">
        <f>'[22]8751'!$F$15</f>
        <v>142500</v>
      </c>
      <c r="E22" s="3260">
        <f>'[23]8751'!$F$15</f>
        <v>59375</v>
      </c>
      <c r="F22" s="3052">
        <f t="shared" si="0"/>
        <v>83125</v>
      </c>
      <c r="G22" s="3262">
        <f>'[23]8751'!$D$15</f>
        <v>142500</v>
      </c>
      <c r="H22" s="2619">
        <v>142500</v>
      </c>
    </row>
    <row r="23" spans="1:10" ht="16.7" customHeight="1" outlineLevel="1">
      <c r="A23" s="3259" t="s">
        <v>445</v>
      </c>
      <c r="B23" s="3258"/>
      <c r="C23" s="3266" t="s">
        <v>2360</v>
      </c>
      <c r="D23" s="3180">
        <f>'[22]8751'!$F$16</f>
        <v>510000</v>
      </c>
      <c r="E23" s="3260">
        <f>'[23]8751'!$F$16</f>
        <v>492000</v>
      </c>
      <c r="F23" s="3052">
        <f t="shared" si="0"/>
        <v>72000</v>
      </c>
      <c r="G23" s="3262">
        <f>'[23]8751'!$D$16</f>
        <v>564000</v>
      </c>
      <c r="H23" s="3262">
        <f>'[24]CEO-FINAL'!$B$132*6000</f>
        <v>582000</v>
      </c>
    </row>
    <row r="24" spans="1:10" ht="16.7" customHeight="1" outlineLevel="1">
      <c r="A24" s="3310" t="s">
        <v>441</v>
      </c>
      <c r="B24" s="3258"/>
      <c r="C24" s="3266" t="s">
        <v>440</v>
      </c>
      <c r="D24" s="3180">
        <f>'[22]8751'!$F$17</f>
        <v>146550.89000000001</v>
      </c>
      <c r="E24" s="3260">
        <f>'[23]8751'!$F$17</f>
        <v>78626.98</v>
      </c>
      <c r="F24" s="3052">
        <f t="shared" si="0"/>
        <v>173123.66000000003</v>
      </c>
      <c r="G24" s="3262">
        <f>'[23]8751'!$D$17</f>
        <v>251750.64</v>
      </c>
      <c r="H24" s="3262">
        <v>250000</v>
      </c>
    </row>
    <row r="25" spans="1:10" ht="16.7" customHeight="1" outlineLevel="1">
      <c r="A25" s="3259" t="s">
        <v>1506</v>
      </c>
      <c r="B25" s="3258"/>
      <c r="C25" s="3212" t="s">
        <v>439</v>
      </c>
      <c r="D25" s="3180">
        <f>'[22]8751'!$F$18</f>
        <v>1889708</v>
      </c>
      <c r="E25" s="3260">
        <f>'[23]8751'!$F$18</f>
        <v>0</v>
      </c>
      <c r="F25" s="3052">
        <f t="shared" si="0"/>
        <v>2255283</v>
      </c>
      <c r="G25" s="3262">
        <f>'[23]8751'!$D$18</f>
        <v>2255283</v>
      </c>
      <c r="H25" s="3052">
        <f>H18/12</f>
        <v>2273617</v>
      </c>
      <c r="I25" s="3160">
        <f>H25*0.1</f>
        <v>227361.7</v>
      </c>
    </row>
    <row r="26" spans="1:10" ht="16.7" customHeight="1" outlineLevel="1">
      <c r="A26" s="3259" t="s">
        <v>2359</v>
      </c>
      <c r="B26" s="3258"/>
      <c r="C26" s="3212" t="s">
        <v>437</v>
      </c>
      <c r="D26" s="3180">
        <f>'[22]8751'!$F$19</f>
        <v>414750</v>
      </c>
      <c r="E26" s="3260">
        <f>'[23]8751'!$F$19</f>
        <v>0</v>
      </c>
      <c r="F26" s="3052">
        <f t="shared" si="0"/>
        <v>470000</v>
      </c>
      <c r="G26" s="3265">
        <f>'[23]8751'!$D$19</f>
        <v>470000</v>
      </c>
      <c r="H26" s="3264">
        <f>'[24]CEO-FINAL'!$B$132*5000</f>
        <v>485000</v>
      </c>
    </row>
    <row r="27" spans="1:10" ht="16.7" customHeight="1" outlineLevel="1">
      <c r="A27" s="3259" t="s">
        <v>436</v>
      </c>
      <c r="B27" s="3258"/>
      <c r="C27" s="3212" t="s">
        <v>435</v>
      </c>
      <c r="D27" s="3180">
        <f>'[22]8751'!$F$20</f>
        <v>1850709</v>
      </c>
      <c r="E27" s="3264">
        <f>'[23]8751'!$F$20</f>
        <v>1966120</v>
      </c>
      <c r="F27" s="3052">
        <f t="shared" si="0"/>
        <v>289163</v>
      </c>
      <c r="G27" s="3262">
        <f>'[23]8751'!$D$20</f>
        <v>2255283</v>
      </c>
      <c r="H27" s="3052">
        <f>H25</f>
        <v>2273617</v>
      </c>
      <c r="I27" s="3160">
        <f>H27*0.1</f>
        <v>227361.7</v>
      </c>
    </row>
    <row r="28" spans="1:10" ht="16.7" customHeight="1" outlineLevel="1">
      <c r="A28" s="3261" t="s">
        <v>434</v>
      </c>
      <c r="B28" s="3258"/>
      <c r="C28" s="3212"/>
      <c r="D28" s="3180"/>
      <c r="E28" s="3260"/>
      <c r="F28" s="3052"/>
      <c r="G28" s="3262"/>
      <c r="H28" s="3052"/>
    </row>
    <row r="29" spans="1:10" ht="16.7" customHeight="1" outlineLevel="1">
      <c r="A29" s="3259" t="s">
        <v>421</v>
      </c>
      <c r="B29" s="3258"/>
      <c r="C29" s="3212" t="s">
        <v>433</v>
      </c>
      <c r="D29" s="3180">
        <f>'[22]8751'!$F$21</f>
        <v>2692434.38</v>
      </c>
      <c r="E29" s="3260">
        <f>'[23]8751'!$F$21</f>
        <v>1415993.1599999997</v>
      </c>
      <c r="F29" s="3052">
        <f>G29-E29</f>
        <v>1831615.8400000003</v>
      </c>
      <c r="G29" s="3262">
        <f>'[23]8751'!$D$21</f>
        <v>3247609</v>
      </c>
      <c r="H29" s="3052">
        <f>J30</f>
        <v>3274009</v>
      </c>
      <c r="I29" s="3160">
        <f>H29*0.1</f>
        <v>327400.90000000002</v>
      </c>
      <c r="J29" s="3160">
        <f>H18*0.12</f>
        <v>3274008.48</v>
      </c>
    </row>
    <row r="30" spans="1:10" ht="16.7" customHeight="1" outlineLevel="1">
      <c r="A30" s="3259" t="s">
        <v>2358</v>
      </c>
      <c r="B30" s="3258"/>
      <c r="C30" s="3212" t="s">
        <v>431</v>
      </c>
      <c r="D30" s="3180">
        <f>'[22]8751'!$F$22</f>
        <v>98596.76</v>
      </c>
      <c r="E30" s="3260">
        <f>'[23]8751'!$F$22</f>
        <v>50541.91</v>
      </c>
      <c r="F30" s="3052">
        <f>G30-E30</f>
        <v>62258.09</v>
      </c>
      <c r="G30" s="3262">
        <f>'[23]8751'!$D$22</f>
        <v>112800</v>
      </c>
      <c r="H30" s="3052">
        <f>'[24]CEO-FINAL'!$B$132*100*12</f>
        <v>116400</v>
      </c>
      <c r="J30" s="3160">
        <v>3274009</v>
      </c>
    </row>
    <row r="31" spans="1:10" ht="16.7" customHeight="1" outlineLevel="1">
      <c r="A31" s="3259" t="s">
        <v>418</v>
      </c>
      <c r="B31" s="3258"/>
      <c r="C31" s="3212" t="s">
        <v>430</v>
      </c>
      <c r="D31" s="3180">
        <f>'[22]8751'!$F$23</f>
        <v>323009.12</v>
      </c>
      <c r="E31" s="3260">
        <f>'[23]8751'!$F$23</f>
        <v>168674.00999999998</v>
      </c>
      <c r="F31" s="3052">
        <f>G31-E31</f>
        <v>298942.99</v>
      </c>
      <c r="G31" s="3262">
        <f>'[23]8751'!$D$23</f>
        <v>467617</v>
      </c>
      <c r="H31" s="3052">
        <v>530098</v>
      </c>
      <c r="I31" s="3263">
        <f>H31*0.1</f>
        <v>53009.8</v>
      </c>
    </row>
    <row r="32" spans="1:10" ht="16.7" customHeight="1" outlineLevel="1">
      <c r="A32" s="3259" t="s">
        <v>428</v>
      </c>
      <c r="B32" s="3258"/>
      <c r="C32" s="3212" t="s">
        <v>427</v>
      </c>
      <c r="D32" s="3180">
        <f>'[22]8751'!$F$24</f>
        <v>98700</v>
      </c>
      <c r="E32" s="3260">
        <f>'[23]8751'!$F$24</f>
        <v>49900</v>
      </c>
      <c r="F32" s="3052">
        <f>G32-E32</f>
        <v>62900</v>
      </c>
      <c r="G32" s="3262">
        <f>'[23]8751'!$D$24</f>
        <v>112800</v>
      </c>
      <c r="H32" s="3052">
        <f>H30</f>
        <v>116400</v>
      </c>
      <c r="I32" s="3160">
        <f>SUM(I18:I31)</f>
        <v>3563474.5000000005</v>
      </c>
    </row>
    <row r="33" spans="1:9" ht="16.7" customHeight="1" outlineLevel="1">
      <c r="A33" s="3261" t="s">
        <v>425</v>
      </c>
      <c r="B33" s="3258"/>
      <c r="C33" s="3212"/>
      <c r="D33" s="3180"/>
      <c r="E33" s="3260"/>
      <c r="F33" s="3052"/>
      <c r="G33" s="3223"/>
      <c r="H33" s="3052"/>
      <c r="I33" s="3160">
        <v>3612729</v>
      </c>
    </row>
    <row r="34" spans="1:9" ht="16.7" customHeight="1" outlineLevel="1">
      <c r="A34" s="3259" t="s">
        <v>423</v>
      </c>
      <c r="B34" s="3258"/>
      <c r="C34" s="3212" t="s">
        <v>422</v>
      </c>
      <c r="D34" s="3180">
        <f>'[22]8751'!$F$25</f>
        <v>275026.91000000003</v>
      </c>
      <c r="E34" s="3260">
        <f>'[23]8751'!$F$25</f>
        <v>39595.980000000003</v>
      </c>
      <c r="F34" s="3052">
        <f>G34-E34</f>
        <v>7.0199999999967986</v>
      </c>
      <c r="G34" s="3223">
        <f>'[23]8751'!$D$25</f>
        <v>39603</v>
      </c>
      <c r="H34" s="3052">
        <v>168850</v>
      </c>
    </row>
    <row r="35" spans="1:9" ht="16.7" customHeight="1" outlineLevel="1">
      <c r="A35" s="3259" t="s">
        <v>420</v>
      </c>
      <c r="B35" s="3258"/>
      <c r="C35" s="3255" t="s">
        <v>1996</v>
      </c>
      <c r="D35" s="3233">
        <f>'[22]8751'!$F$26</f>
        <v>5322448.01</v>
      </c>
      <c r="E35" s="3254">
        <f>'[23]8751'!$F$26</f>
        <v>0</v>
      </c>
      <c r="F35" s="3052">
        <f>G35-E35</f>
        <v>2072140</v>
      </c>
      <c r="G35" s="3223">
        <f>'[23]8751'!$D$26</f>
        <v>2072140</v>
      </c>
      <c r="H35" s="3052">
        <f>I33</f>
        <v>3612729</v>
      </c>
    </row>
    <row r="36" spans="1:9" ht="16.7" customHeight="1" outlineLevel="1">
      <c r="A36" s="3259" t="s">
        <v>417</v>
      </c>
      <c r="B36" s="3258"/>
      <c r="C36" s="3255" t="s">
        <v>2399</v>
      </c>
      <c r="D36" s="3233">
        <f>'[22]8751'!$F$27</f>
        <v>65000</v>
      </c>
      <c r="E36" s="3254">
        <f>'[23]8751'!$F$27</f>
        <v>35000</v>
      </c>
      <c r="F36" s="3052">
        <f>G36-E36</f>
        <v>10000</v>
      </c>
      <c r="G36" s="3254">
        <f>'[23]8751'!$D$27</f>
        <v>45000</v>
      </c>
      <c r="H36" s="3052">
        <v>80000</v>
      </c>
    </row>
    <row r="37" spans="1:9" ht="16.7" customHeight="1" outlineLevel="1">
      <c r="A37" s="3259" t="s">
        <v>414</v>
      </c>
      <c r="B37" s="3258"/>
      <c r="C37" s="3255" t="s">
        <v>2357</v>
      </c>
      <c r="D37" s="3233">
        <f>'[22]8751'!$F$28</f>
        <v>0</v>
      </c>
      <c r="E37" s="3254">
        <f>'[23]8751'!$F$28</f>
        <v>0</v>
      </c>
      <c r="F37" s="3052">
        <f>G37-E37</f>
        <v>1000</v>
      </c>
      <c r="G37" s="3254">
        <f>'[23]8751'!$D$28</f>
        <v>1000</v>
      </c>
      <c r="H37" s="3052">
        <v>1000</v>
      </c>
    </row>
    <row r="38" spans="1:9" ht="16.7" customHeight="1" outlineLevel="1">
      <c r="A38" s="3257" t="s">
        <v>2356</v>
      </c>
      <c r="B38" s="3256"/>
      <c r="C38" s="3255"/>
      <c r="D38" s="3233"/>
      <c r="E38" s="3254"/>
      <c r="F38" s="3052"/>
      <c r="G38" s="3254"/>
      <c r="H38" s="3052"/>
    </row>
    <row r="39" spans="1:9" ht="16.7" customHeight="1" outlineLevel="1">
      <c r="A39" s="3310"/>
      <c r="B39" s="3309" t="s">
        <v>1688</v>
      </c>
      <c r="C39" s="3255" t="s">
        <v>2355</v>
      </c>
      <c r="D39" s="3180">
        <f>'[22]8751'!$F$29</f>
        <v>411000</v>
      </c>
      <c r="E39" s="3260">
        <f>'[23]8751'!$F$29</f>
        <v>0</v>
      </c>
      <c r="F39" s="3052">
        <f>G39-E39</f>
        <v>470000</v>
      </c>
      <c r="G39" s="3260">
        <f>'[23]8751'!$D$29</f>
        <v>470000</v>
      </c>
      <c r="H39" s="3052">
        <f>'[24]CEO-FINAL'!$B$132*5000</f>
        <v>485000</v>
      </c>
      <c r="I39" s="3249"/>
    </row>
    <row r="40" spans="1:9" ht="16.7" customHeight="1" outlineLevel="1">
      <c r="A40" s="3308" t="s">
        <v>409</v>
      </c>
      <c r="B40" s="3307"/>
      <c r="C40" s="3251" t="s">
        <v>2355</v>
      </c>
      <c r="D40" s="3229">
        <f>'[22]8751'!$F$30</f>
        <v>240000</v>
      </c>
      <c r="E40" s="3306">
        <v>0</v>
      </c>
      <c r="F40" s="3047">
        <f>G40-E40</f>
        <v>0</v>
      </c>
      <c r="G40" s="3306">
        <v>0</v>
      </c>
      <c r="H40" s="3047">
        <v>0</v>
      </c>
    </row>
    <row r="41" spans="1:9" s="2999" customFormat="1" ht="12.75" customHeight="1" outlineLevel="1">
      <c r="A41" s="3192" t="s">
        <v>407</v>
      </c>
      <c r="B41" s="3291"/>
      <c r="C41" s="3190"/>
      <c r="D41" s="1512">
        <f>SUM(D42:D107)</f>
        <v>21336458.390000001</v>
      </c>
      <c r="E41" s="1512">
        <f>SUM(E42:E107)</f>
        <v>9318017.4399999995</v>
      </c>
      <c r="F41" s="1512">
        <f>SUM(F42:F107)</f>
        <v>19482159.040000003</v>
      </c>
      <c r="G41" s="1512">
        <f>SUM(G42:G107)</f>
        <v>28800176.48</v>
      </c>
      <c r="H41" s="1512">
        <f>SUM(H42:H107)</f>
        <v>21314905</v>
      </c>
    </row>
    <row r="42" spans="1:9" s="3297" customFormat="1" ht="12" customHeight="1" outlineLevel="1">
      <c r="A42" s="3305" t="s">
        <v>2352</v>
      </c>
      <c r="B42" s="3304"/>
      <c r="C42" s="3236" t="s">
        <v>405</v>
      </c>
      <c r="D42" s="3303">
        <f>'[22]8751'!$F$32</f>
        <v>252410.36000000002</v>
      </c>
      <c r="E42" s="3302">
        <f>'[23]8751'!$F$31</f>
        <v>37350</v>
      </c>
      <c r="F42" s="3072">
        <f>G42-E42</f>
        <v>242650</v>
      </c>
      <c r="G42" s="3235">
        <f>'[23]8751'!$D$31</f>
        <v>280000</v>
      </c>
      <c r="H42" s="3072">
        <v>150000</v>
      </c>
    </row>
    <row r="43" spans="1:9" s="3297" customFormat="1" ht="12" customHeight="1" outlineLevel="1">
      <c r="A43" s="3202" t="s">
        <v>404</v>
      </c>
      <c r="B43" s="3201"/>
      <c r="C43" s="3203" t="s">
        <v>403</v>
      </c>
      <c r="D43" s="3180">
        <f>'[22]8751'!$F$33</f>
        <v>7000</v>
      </c>
      <c r="E43" s="3301">
        <f>'[23]8751'!$F$32</f>
        <v>0</v>
      </c>
      <c r="F43" s="3052">
        <f>G43-E43</f>
        <v>100000</v>
      </c>
      <c r="G43" s="3234">
        <f>'[23]8751'!$D$32</f>
        <v>100000</v>
      </c>
      <c r="H43" s="3052">
        <v>50000</v>
      </c>
    </row>
    <row r="44" spans="1:9" s="3290" customFormat="1" ht="12" customHeight="1" outlineLevel="1">
      <c r="A44" s="3206" t="s">
        <v>402</v>
      </c>
      <c r="B44" s="3201"/>
      <c r="C44" s="3184" t="s">
        <v>401</v>
      </c>
      <c r="D44" s="3180">
        <f>'[22]8751'!$F$34</f>
        <v>168990.95</v>
      </c>
      <c r="E44" s="3222">
        <f>'[23]8751'!$F$33</f>
        <v>91654.05</v>
      </c>
      <c r="F44" s="3052">
        <f>G44-E44</f>
        <v>128345.95</v>
      </c>
      <c r="G44" s="3199">
        <f>'[23]8751'!$D$33</f>
        <v>220000</v>
      </c>
      <c r="H44" s="3052">
        <f>'[25]CEO-CA'!$G$14</f>
        <v>220000</v>
      </c>
    </row>
    <row r="45" spans="1:9" s="3290" customFormat="1" ht="12" customHeight="1" outlineLevel="1">
      <c r="A45" s="3206" t="s">
        <v>402</v>
      </c>
      <c r="B45" s="3205"/>
      <c r="C45" s="3184"/>
      <c r="D45" s="3180"/>
      <c r="E45" s="3222"/>
      <c r="F45" s="3052"/>
      <c r="G45" s="3199"/>
      <c r="H45" s="2619"/>
    </row>
    <row r="46" spans="1:9" s="3290" customFormat="1" ht="12" customHeight="1" outlineLevel="1">
      <c r="A46" s="3202"/>
      <c r="B46" s="3207" t="s">
        <v>571</v>
      </c>
      <c r="C46" s="3184" t="s">
        <v>2398</v>
      </c>
      <c r="D46" s="3180">
        <f>'[22]8751'!$F$35</f>
        <v>62395</v>
      </c>
      <c r="E46" s="3222">
        <f>'[23]8751'!$F$34</f>
        <v>68280</v>
      </c>
      <c r="F46" s="3052">
        <f>G46-E46</f>
        <v>111720</v>
      </c>
      <c r="G46" s="3199">
        <f>'[23]8751'!$D$34</f>
        <v>180000</v>
      </c>
      <c r="H46" s="2619">
        <f>'[25]CEO-CA'!$G$16</f>
        <v>170000</v>
      </c>
    </row>
    <row r="47" spans="1:9" s="3290" customFormat="1" ht="12" customHeight="1" outlineLevel="1">
      <c r="A47" s="3206" t="s">
        <v>570</v>
      </c>
      <c r="B47" s="3205"/>
      <c r="C47" s="3184" t="s">
        <v>2397</v>
      </c>
      <c r="D47" s="3180">
        <f>'[22]8751'!$F$36</f>
        <v>19500</v>
      </c>
      <c r="E47" s="3222">
        <f>'[23]8751'!$F$35</f>
        <v>10000</v>
      </c>
      <c r="F47" s="3052">
        <f>G47-E47</f>
        <v>46000</v>
      </c>
      <c r="G47" s="3199">
        <f>'[23]8751'!$D$35</f>
        <v>56000</v>
      </c>
      <c r="H47" s="2619">
        <f>'[25]CEO-CA'!$G$17</f>
        <v>56000</v>
      </c>
    </row>
    <row r="48" spans="1:9" s="3290" customFormat="1" ht="12" customHeight="1" outlineLevel="1">
      <c r="A48" s="3206" t="s">
        <v>674</v>
      </c>
      <c r="B48" s="3205"/>
      <c r="C48" s="3184" t="s">
        <v>396</v>
      </c>
      <c r="D48" s="3180">
        <f>'[22]8751'!$F$37</f>
        <v>1288114.24</v>
      </c>
      <c r="E48" s="3222">
        <f>'[23]8751'!$F$36</f>
        <v>797415.78</v>
      </c>
      <c r="F48" s="3052">
        <f>G48-E48</f>
        <v>1016584.22</v>
      </c>
      <c r="G48" s="3199">
        <f>'[23]8751'!$D$36</f>
        <v>1814000</v>
      </c>
      <c r="H48" s="2619">
        <v>2100000</v>
      </c>
    </row>
    <row r="49" spans="1:9" s="3290" customFormat="1" ht="12" customHeight="1" outlineLevel="1">
      <c r="A49" s="3206" t="s">
        <v>2396</v>
      </c>
      <c r="B49" s="3205"/>
      <c r="C49" s="3184" t="s">
        <v>394</v>
      </c>
      <c r="D49" s="3180">
        <f>'[22]8751'!$F$38</f>
        <v>34053</v>
      </c>
      <c r="E49" s="2619">
        <f>'[23]8751'!$F$37</f>
        <v>4580</v>
      </c>
      <c r="F49" s="3052">
        <f>G49-E49</f>
        <v>245420</v>
      </c>
      <c r="G49" s="3199">
        <f>'[23]8751'!$D$37</f>
        <v>250000</v>
      </c>
      <c r="H49" s="2619">
        <f>'[25]CEO-CA'!$G$19</f>
        <v>200000</v>
      </c>
    </row>
    <row r="50" spans="1:9" s="3290" customFormat="1" ht="12" customHeight="1" outlineLevel="1">
      <c r="A50" s="3206" t="s">
        <v>2395</v>
      </c>
      <c r="B50" s="3205"/>
      <c r="C50" s="3184"/>
      <c r="D50" s="3180"/>
      <c r="E50" s="2619"/>
      <c r="F50" s="3052"/>
      <c r="G50" s="3199"/>
      <c r="H50" s="2619"/>
    </row>
    <row r="51" spans="1:9" s="3290" customFormat="1" ht="12" customHeight="1" outlineLevel="1">
      <c r="A51" s="3202"/>
      <c r="B51" s="3205" t="s">
        <v>2394</v>
      </c>
      <c r="C51" s="3184" t="s">
        <v>2393</v>
      </c>
      <c r="D51" s="3180">
        <f>'[22]8751'!$F$39</f>
        <v>0</v>
      </c>
      <c r="E51" s="2619">
        <f>'[23]8751'!$F$38</f>
        <v>0</v>
      </c>
      <c r="F51" s="3052">
        <f t="shared" ref="F51:F56" si="1">G51-E51</f>
        <v>75000</v>
      </c>
      <c r="G51" s="3199">
        <f>'[23]8751'!$D$38</f>
        <v>75000</v>
      </c>
      <c r="H51" s="2619">
        <f>'[25]CEO-CA'!$G$21</f>
        <v>75000</v>
      </c>
    </row>
    <row r="52" spans="1:9" s="3290" customFormat="1" ht="12" customHeight="1" outlineLevel="1">
      <c r="A52" s="3206" t="s">
        <v>673</v>
      </c>
      <c r="B52" s="3205"/>
      <c r="C52" s="3184" t="s">
        <v>1269</v>
      </c>
      <c r="D52" s="3180">
        <f>'[22]8751'!$F$40</f>
        <v>77111.25</v>
      </c>
      <c r="E52" s="2619">
        <f>'[23]8751'!$F$39</f>
        <v>46134.5</v>
      </c>
      <c r="F52" s="3052">
        <f t="shared" si="1"/>
        <v>13865.5</v>
      </c>
      <c r="G52" s="3199">
        <f>'[23]8751'!$D$39</f>
        <v>60000</v>
      </c>
      <c r="H52" s="2619">
        <f>'[25]CEO-CA'!$G$22</f>
        <v>120000</v>
      </c>
    </row>
    <row r="53" spans="1:9" s="3290" customFormat="1" ht="12" customHeight="1" outlineLevel="1">
      <c r="A53" s="3202" t="s">
        <v>700</v>
      </c>
      <c r="B53" s="3205"/>
      <c r="C53" s="3184" t="s">
        <v>392</v>
      </c>
      <c r="D53" s="3180">
        <f>'[22]8751'!$F$41</f>
        <v>0</v>
      </c>
      <c r="E53" s="2619">
        <f>'[23]8751'!$F$40</f>
        <v>0</v>
      </c>
      <c r="F53" s="3052">
        <f t="shared" si="1"/>
        <v>5000</v>
      </c>
      <c r="G53" s="3199">
        <f>'[23]8751'!$D$40</f>
        <v>5000</v>
      </c>
      <c r="H53" s="2619">
        <f>'[25]CEO-CA'!$G$23</f>
        <v>5000</v>
      </c>
    </row>
    <row r="54" spans="1:9" s="3290" customFormat="1" ht="12" customHeight="1" outlineLevel="1">
      <c r="A54" s="3206" t="s">
        <v>2038</v>
      </c>
      <c r="B54" s="3205"/>
      <c r="C54" s="3212" t="s">
        <v>390</v>
      </c>
      <c r="D54" s="3180">
        <f>'[22]8751'!$F$42</f>
        <v>37076.58</v>
      </c>
      <c r="E54" s="2619">
        <f>'[23]8751'!$F$41</f>
        <v>23119.089999999997</v>
      </c>
      <c r="F54" s="3052">
        <f t="shared" si="1"/>
        <v>67662.39</v>
      </c>
      <c r="G54" s="3199">
        <f>'[23]8751'!$D$41</f>
        <v>90781.48</v>
      </c>
      <c r="H54" s="2619">
        <f>'[25]CEO-CA'!$G$24</f>
        <v>90000</v>
      </c>
    </row>
    <row r="55" spans="1:9" s="3290" customFormat="1" ht="12" customHeight="1" outlineLevel="1">
      <c r="A55" s="3206" t="s">
        <v>1959</v>
      </c>
      <c r="B55" s="3205"/>
      <c r="C55" s="3212" t="s">
        <v>1958</v>
      </c>
      <c r="D55" s="3180">
        <f>'[22]8751'!$F$43</f>
        <v>481620</v>
      </c>
      <c r="E55" s="2619">
        <f>'[23]8751'!$F$42</f>
        <v>221130</v>
      </c>
      <c r="F55" s="3052">
        <f t="shared" si="1"/>
        <v>260870</v>
      </c>
      <c r="G55" s="3199">
        <f>'[23]8751'!$D$42</f>
        <v>482000</v>
      </c>
      <c r="H55" s="3199">
        <f>'[25]CEO-CA'!$G$25</f>
        <v>482000</v>
      </c>
    </row>
    <row r="56" spans="1:9" s="3290" customFormat="1" ht="12" customHeight="1" outlineLevel="1">
      <c r="A56" s="3206" t="s">
        <v>389</v>
      </c>
      <c r="B56" s="3205"/>
      <c r="C56" s="3212" t="s">
        <v>388</v>
      </c>
      <c r="D56" s="3180">
        <f>'[22]8751'!$F$44</f>
        <v>4052699.6800000011</v>
      </c>
      <c r="E56" s="2619">
        <f>'[23]8751'!$F$43</f>
        <v>2037683.7200000002</v>
      </c>
      <c r="F56" s="3052">
        <f t="shared" si="1"/>
        <v>1711641.2799999998</v>
      </c>
      <c r="G56" s="3199">
        <f>'[23]8751'!$D$43</f>
        <v>3749325</v>
      </c>
      <c r="H56" s="2619">
        <f>'[25]CEO-CA'!$G$26</f>
        <v>3749325</v>
      </c>
      <c r="I56" s="3290">
        <v>234000</v>
      </c>
    </row>
    <row r="57" spans="1:9" s="3290" customFormat="1" ht="12" customHeight="1" outlineLevel="1">
      <c r="A57" s="3206" t="s">
        <v>1938</v>
      </c>
      <c r="B57" s="3201"/>
      <c r="C57" s="3203"/>
      <c r="D57" s="3180"/>
      <c r="E57" s="2619"/>
      <c r="F57" s="3052"/>
      <c r="G57" s="3199"/>
      <c r="H57" s="2619"/>
    </row>
    <row r="58" spans="1:9" s="3290" customFormat="1" ht="12" customHeight="1" outlineLevel="1">
      <c r="A58" s="3202"/>
      <c r="B58" s="3204" t="s">
        <v>2392</v>
      </c>
      <c r="C58" s="3203" t="s">
        <v>2391</v>
      </c>
      <c r="D58" s="3180">
        <f>'[22]8751'!$F$45</f>
        <v>2183429.9700000002</v>
      </c>
      <c r="E58" s="2619">
        <f>'[23]8751'!$F$44</f>
        <v>909960</v>
      </c>
      <c r="F58" s="3052">
        <f>G58-E58</f>
        <v>1490040</v>
      </c>
      <c r="G58" s="3199">
        <f>'[23]8751'!$D$44</f>
        <v>2400000</v>
      </c>
      <c r="H58" s="2619">
        <f>'[25]CEO-CA'!$G$28</f>
        <v>1600000</v>
      </c>
    </row>
    <row r="59" spans="1:9" s="3290" customFormat="1" ht="12" customHeight="1" outlineLevel="1">
      <c r="A59" s="3202" t="s">
        <v>1938</v>
      </c>
      <c r="B59" s="3201"/>
      <c r="C59" s="3203"/>
      <c r="D59" s="3180"/>
      <c r="E59" s="2619"/>
      <c r="F59" s="3052"/>
      <c r="G59" s="3199"/>
      <c r="H59" s="2619"/>
    </row>
    <row r="60" spans="1:9" s="3290" customFormat="1" ht="12" customHeight="1" outlineLevel="1">
      <c r="A60" s="3300"/>
      <c r="B60" s="3299" t="s">
        <v>2390</v>
      </c>
      <c r="C60" s="3298" t="s">
        <v>2389</v>
      </c>
      <c r="D60" s="3195">
        <f>'[22]8751'!$F$46</f>
        <v>6781987.2500000009</v>
      </c>
      <c r="E60" s="3193">
        <f>'[23]8751'!$F$45</f>
        <v>1667781.6</v>
      </c>
      <c r="F60" s="3047">
        <f>G60-E60</f>
        <v>7032218.4000000004</v>
      </c>
      <c r="G60" s="3194">
        <f>'[23]8751'!$D$45</f>
        <v>8700000</v>
      </c>
      <c r="H60" s="3193">
        <f>'[25]CEO-CA'!$G$30</f>
        <v>4700000</v>
      </c>
    </row>
    <row r="61" spans="1:9" s="3297" customFormat="1" ht="12" customHeight="1" outlineLevel="1">
      <c r="A61" s="3201"/>
      <c r="B61" s="3204"/>
      <c r="C61" s="3212"/>
      <c r="D61" s="3224"/>
      <c r="E61" s="3222"/>
      <c r="F61" s="3222"/>
      <c r="G61" s="3227"/>
      <c r="H61" s="3222"/>
    </row>
    <row r="62" spans="1:9" s="3297" customFormat="1" ht="12" customHeight="1" outlineLevel="1">
      <c r="A62" s="3201"/>
      <c r="B62" s="3204"/>
      <c r="C62" s="3212"/>
      <c r="D62" s="3224"/>
      <c r="E62" s="3222"/>
      <c r="F62" s="3222"/>
      <c r="G62" s="3227"/>
      <c r="H62" s="3222"/>
    </row>
    <row r="63" spans="1:9" s="3297" customFormat="1" ht="12" customHeight="1" outlineLevel="1">
      <c r="A63" s="3201"/>
      <c r="B63" s="3204"/>
      <c r="C63" s="3212"/>
      <c r="D63" s="3224"/>
      <c r="E63" s="3222"/>
      <c r="F63" s="3222"/>
      <c r="G63" s="3227"/>
      <c r="H63" s="3222"/>
    </row>
    <row r="64" spans="1:9" s="3297" customFormat="1" ht="12" customHeight="1" outlineLevel="1">
      <c r="A64" s="3201"/>
      <c r="B64" s="3204"/>
      <c r="C64" s="3212"/>
      <c r="D64" s="3224"/>
      <c r="E64" s="3222"/>
      <c r="F64" s="3222"/>
      <c r="G64" s="3227"/>
      <c r="H64" s="3222"/>
    </row>
    <row r="65" spans="1:8" s="3297" customFormat="1" ht="12" customHeight="1" outlineLevel="1">
      <c r="A65" s="3201"/>
      <c r="B65" s="3204"/>
      <c r="C65" s="3212"/>
      <c r="D65" s="3224"/>
      <c r="E65" s="3222"/>
      <c r="F65" s="3222"/>
      <c r="G65" s="3227"/>
      <c r="H65" s="3222"/>
    </row>
    <row r="66" spans="1:8" s="3297" customFormat="1" ht="12" customHeight="1" outlineLevel="1">
      <c r="A66" s="3201"/>
      <c r="B66" s="3204"/>
      <c r="C66" s="3212"/>
      <c r="D66" s="3224"/>
      <c r="E66" s="3222"/>
      <c r="F66" s="3222"/>
      <c r="G66" s="3227"/>
      <c r="H66" s="3222"/>
    </row>
    <row r="67" spans="1:8" s="3297" customFormat="1" ht="12" customHeight="1" outlineLevel="1">
      <c r="A67" s="3201"/>
      <c r="B67" s="3204"/>
      <c r="C67" s="3212"/>
      <c r="D67" s="3224"/>
      <c r="E67" s="3222"/>
      <c r="F67" s="3222"/>
      <c r="G67" s="3227"/>
      <c r="H67" s="3222"/>
    </row>
    <row r="68" spans="1:8" s="3297" customFormat="1" ht="12" customHeight="1" outlineLevel="1">
      <c r="A68" s="3201"/>
      <c r="B68" s="3204"/>
      <c r="C68" s="3212"/>
      <c r="D68" s="3224"/>
      <c r="E68" s="3222"/>
      <c r="F68" s="3222"/>
      <c r="G68" s="3227"/>
      <c r="H68" s="3222"/>
    </row>
    <row r="69" spans="1:8" s="3297" customFormat="1" ht="12" customHeight="1" outlineLevel="1">
      <c r="A69" s="3201"/>
      <c r="B69" s="3204"/>
      <c r="C69" s="3212"/>
      <c r="D69" s="3224"/>
      <c r="E69" s="3222"/>
      <c r="F69" s="3222"/>
      <c r="G69" s="3227"/>
      <c r="H69" s="3222"/>
    </row>
    <row r="70" spans="1:8" s="3297" customFormat="1" ht="12" customHeight="1" outlineLevel="1">
      <c r="A70" s="3226" t="s">
        <v>473</v>
      </c>
      <c r="B70" s="3160"/>
      <c r="C70" s="3212"/>
      <c r="D70" s="3224"/>
      <c r="E70" s="3222"/>
      <c r="F70" s="3222"/>
      <c r="G70" s="3227"/>
      <c r="H70" s="3222"/>
    </row>
    <row r="71" spans="1:8" s="3297" customFormat="1" ht="12" customHeight="1" outlineLevel="1">
      <c r="A71" s="3221" t="s">
        <v>2346</v>
      </c>
      <c r="B71" s="3160"/>
      <c r="C71" s="3212"/>
      <c r="D71" s="3224"/>
      <c r="E71" s="3222"/>
      <c r="F71" s="3222"/>
      <c r="G71" s="3227"/>
      <c r="H71" s="3222"/>
    </row>
    <row r="72" spans="1:8" s="3297" customFormat="1" ht="12" customHeight="1" outlineLevel="1">
      <c r="A72" s="3201"/>
      <c r="B72" s="3204"/>
      <c r="C72" s="3212"/>
      <c r="D72" s="3224"/>
      <c r="E72" s="3222"/>
      <c r="F72" s="3222"/>
      <c r="G72" s="3227"/>
      <c r="H72" s="3222"/>
    </row>
    <row r="73" spans="1:8" s="3290" customFormat="1" ht="12" customHeight="1" outlineLevel="1">
      <c r="A73" s="4942" t="s">
        <v>468</v>
      </c>
      <c r="B73" s="4943"/>
      <c r="C73" s="3280"/>
      <c r="D73" s="3220" t="s">
        <v>466</v>
      </c>
      <c r="E73" s="4948" t="s">
        <v>465</v>
      </c>
      <c r="F73" s="4949"/>
      <c r="G73" s="4950"/>
      <c r="H73" s="3220" t="s">
        <v>2345</v>
      </c>
    </row>
    <row r="74" spans="1:8" s="3290" customFormat="1" ht="12" customHeight="1" outlineLevel="1">
      <c r="A74" s="4944"/>
      <c r="B74" s="4945"/>
      <c r="C74" s="3280" t="s">
        <v>467</v>
      </c>
      <c r="D74" s="3218">
        <v>2020</v>
      </c>
      <c r="E74" s="3218" t="s">
        <v>2344</v>
      </c>
      <c r="F74" s="3218" t="s">
        <v>2343</v>
      </c>
      <c r="G74" s="3218"/>
      <c r="H74" s="3218" t="s">
        <v>2342</v>
      </c>
    </row>
    <row r="75" spans="1:8" s="3290" customFormat="1" ht="12" customHeight="1" outlineLevel="1">
      <c r="A75" s="4944"/>
      <c r="B75" s="4945"/>
      <c r="C75" s="3279" t="s">
        <v>463</v>
      </c>
      <c r="D75" s="3218"/>
      <c r="E75" s="3218" t="s">
        <v>2341</v>
      </c>
      <c r="F75" s="3218" t="s">
        <v>2341</v>
      </c>
      <c r="G75" s="3218" t="s">
        <v>244</v>
      </c>
      <c r="H75" s="3218" t="s">
        <v>652</v>
      </c>
    </row>
    <row r="76" spans="1:8" s="3290" customFormat="1" ht="12" customHeight="1" outlineLevel="1">
      <c r="A76" s="4946"/>
      <c r="B76" s="4947"/>
      <c r="C76" s="3278"/>
      <c r="D76" s="3215" t="s">
        <v>460</v>
      </c>
      <c r="E76" s="3215" t="s">
        <v>460</v>
      </c>
      <c r="F76" s="3215" t="s">
        <v>459</v>
      </c>
      <c r="G76" s="3216"/>
      <c r="H76" s="3215" t="s">
        <v>458</v>
      </c>
    </row>
    <row r="77" spans="1:8" s="3290" customFormat="1" ht="12" customHeight="1" outlineLevel="1">
      <c r="A77" s="3202" t="s">
        <v>1948</v>
      </c>
      <c r="B77" s="3201"/>
      <c r="C77" s="3203"/>
      <c r="D77" s="3180"/>
      <c r="E77" s="2619"/>
      <c r="F77" s="3052"/>
      <c r="G77" s="3199"/>
      <c r="H77" s="2619"/>
    </row>
    <row r="78" spans="1:8" s="3290" customFormat="1" ht="12" customHeight="1" outlineLevel="1">
      <c r="A78" s="3202"/>
      <c r="B78" s="3204" t="s">
        <v>2388</v>
      </c>
      <c r="C78" s="3203" t="s">
        <v>2387</v>
      </c>
      <c r="D78" s="3180">
        <f>'[22]8751'!$F$47</f>
        <v>80708</v>
      </c>
      <c r="E78" s="2619">
        <f>'[23]8751'!$F$46</f>
        <v>80730</v>
      </c>
      <c r="F78" s="3052">
        <f>G78-E78</f>
        <v>186770</v>
      </c>
      <c r="G78" s="3199">
        <f>'[23]8751'!$D$46</f>
        <v>267500</v>
      </c>
      <c r="H78" s="2619">
        <f>'[25]CEO-CA'!$G$32</f>
        <v>267500</v>
      </c>
    </row>
    <row r="79" spans="1:8" s="3290" customFormat="1" ht="12" customHeight="1" outlineLevel="1">
      <c r="A79" s="3206" t="s">
        <v>1938</v>
      </c>
      <c r="B79" s="3201"/>
      <c r="C79" s="3203"/>
      <c r="D79" s="3180"/>
      <c r="E79" s="2619"/>
      <c r="F79" s="3052"/>
      <c r="G79" s="3199"/>
      <c r="H79" s="2619"/>
    </row>
    <row r="80" spans="1:8" s="3290" customFormat="1" ht="12" customHeight="1" outlineLevel="1">
      <c r="A80" s="3201" t="s">
        <v>2386</v>
      </c>
      <c r="B80" s="3201"/>
      <c r="C80" s="3212" t="s">
        <v>2385</v>
      </c>
      <c r="D80" s="3180">
        <f>'[22]8751'!$F$49</f>
        <v>357186.87</v>
      </c>
      <c r="E80" s="3052">
        <f>'[23]8751'!$F$48</f>
        <v>220300</v>
      </c>
      <c r="F80" s="3052">
        <f>G80-E80</f>
        <v>154200</v>
      </c>
      <c r="G80" s="3296">
        <f>'[23]8751'!$D$48</f>
        <v>374500</v>
      </c>
      <c r="H80" s="3052">
        <f>'[25]CEO-CA'!$G$34</f>
        <v>374500</v>
      </c>
    </row>
    <row r="81" spans="1:8" s="3290" customFormat="1" ht="12" customHeight="1" outlineLevel="1">
      <c r="A81" s="3206" t="s">
        <v>1938</v>
      </c>
      <c r="B81" s="3201"/>
      <c r="C81" s="3203"/>
      <c r="D81" s="3180"/>
      <c r="E81" s="2619"/>
      <c r="F81" s="3052"/>
      <c r="G81" s="3199"/>
      <c r="H81" s="2619"/>
    </row>
    <row r="82" spans="1:8" s="3290" customFormat="1" ht="12" customHeight="1" outlineLevel="1">
      <c r="A82" s="3202"/>
      <c r="B82" s="3204" t="s">
        <v>2384</v>
      </c>
      <c r="C82" s="3203" t="s">
        <v>2383</v>
      </c>
      <c r="D82" s="3180">
        <f>'[22]8751'!$F$51</f>
        <v>149145</v>
      </c>
      <c r="E82" s="2619">
        <f>'[23]8751'!$F$50</f>
        <v>87007.5</v>
      </c>
      <c r="F82" s="3052">
        <f>G82-E82</f>
        <v>84192.5</v>
      </c>
      <c r="G82" s="3199">
        <f>'[23]8751'!$D$50</f>
        <v>171200</v>
      </c>
      <c r="H82" s="2619">
        <f>'[25]CEO-CA'!$G$36</f>
        <v>171200</v>
      </c>
    </row>
    <row r="83" spans="1:8" s="3290" customFormat="1" ht="12" customHeight="1" outlineLevel="1">
      <c r="A83" s="3206" t="s">
        <v>2376</v>
      </c>
      <c r="B83" s="3205"/>
      <c r="C83" s="3184"/>
      <c r="D83" s="3180"/>
      <c r="E83" s="2619"/>
      <c r="F83" s="3052"/>
      <c r="G83" s="3199"/>
      <c r="H83" s="2619"/>
    </row>
    <row r="84" spans="1:8" s="3290" customFormat="1" ht="12" customHeight="1" outlineLevel="1">
      <c r="A84" s="3202"/>
      <c r="B84" s="3207" t="s">
        <v>2382</v>
      </c>
      <c r="C84" s="3184" t="s">
        <v>2381</v>
      </c>
      <c r="D84" s="3180">
        <f>'[22]8751'!$F$53</f>
        <v>1572436.57</v>
      </c>
      <c r="E84" s="2619">
        <f>'[23]8751'!$F$52</f>
        <v>859200</v>
      </c>
      <c r="F84" s="3052">
        <f>G84-E84</f>
        <v>745800</v>
      </c>
      <c r="G84" s="3199">
        <f>'[23]8751'!$D$52</f>
        <v>1605000</v>
      </c>
      <c r="H84" s="2619">
        <f>'[25]CEO-CA'!$G$38</f>
        <v>1605000</v>
      </c>
    </row>
    <row r="85" spans="1:8" s="3290" customFormat="1" ht="12" customHeight="1" outlineLevel="1">
      <c r="A85" s="3206" t="s">
        <v>2376</v>
      </c>
      <c r="B85" s="3205"/>
      <c r="C85" s="3184"/>
      <c r="D85" s="3180"/>
      <c r="E85" s="2619"/>
      <c r="F85" s="3052"/>
      <c r="G85" s="3199"/>
      <c r="H85" s="2619"/>
    </row>
    <row r="86" spans="1:8" s="3290" customFormat="1" ht="12" customHeight="1" outlineLevel="1">
      <c r="A86" s="3202"/>
      <c r="B86" s="3204" t="s">
        <v>2380</v>
      </c>
      <c r="C86" s="3184" t="s">
        <v>2379</v>
      </c>
      <c r="D86" s="3180">
        <f>'[22]8751'!$F$55</f>
        <v>86640</v>
      </c>
      <c r="E86" s="2619">
        <f>'[23]8751'!$F$54</f>
        <v>48450</v>
      </c>
      <c r="F86" s="3052">
        <f>G86-E86</f>
        <v>47850</v>
      </c>
      <c r="G86" s="3199">
        <f>'[23]8751'!$D$54</f>
        <v>96300</v>
      </c>
      <c r="H86" s="2619">
        <f>'[25]CEO-CA'!$G$40</f>
        <v>96300</v>
      </c>
    </row>
    <row r="87" spans="1:8" s="3290" customFormat="1" ht="12" customHeight="1" outlineLevel="1">
      <c r="A87" s="3206" t="s">
        <v>2376</v>
      </c>
      <c r="B87" s="3205"/>
      <c r="C87" s="3184"/>
      <c r="D87" s="3180"/>
      <c r="E87" s="2619"/>
      <c r="F87" s="3052"/>
      <c r="G87" s="3199"/>
      <c r="H87" s="2619"/>
    </row>
    <row r="88" spans="1:8" s="3290" customFormat="1" ht="12" customHeight="1" outlineLevel="1">
      <c r="A88" s="3295"/>
      <c r="B88" s="3207" t="s">
        <v>2378</v>
      </c>
      <c r="C88" s="3184" t="s">
        <v>2377</v>
      </c>
      <c r="D88" s="3180">
        <f>'[22]8751'!$F$57</f>
        <v>46560</v>
      </c>
      <c r="E88" s="2619">
        <f>'[23]8751'!$F$56</f>
        <v>0</v>
      </c>
      <c r="F88" s="3052">
        <f>G88-E88</f>
        <v>53500</v>
      </c>
      <c r="G88" s="3199">
        <f>'[23]8751'!$D$56</f>
        <v>53500</v>
      </c>
      <c r="H88" s="2619">
        <f>'[25]CEO-CA'!$G$42</f>
        <v>53500</v>
      </c>
    </row>
    <row r="89" spans="1:8" s="3290" customFormat="1" ht="12" customHeight="1" outlineLevel="1">
      <c r="A89" s="3202" t="s">
        <v>2376</v>
      </c>
      <c r="B89" s="3205"/>
      <c r="C89" s="3184"/>
      <c r="D89" s="3180"/>
      <c r="E89" s="2619"/>
      <c r="F89" s="3052"/>
      <c r="G89" s="3199"/>
      <c r="H89" s="2619"/>
    </row>
    <row r="90" spans="1:8" s="3290" customFormat="1" ht="12" customHeight="1" outlineLevel="1">
      <c r="A90" s="3202"/>
      <c r="B90" s="3207" t="s">
        <v>2375</v>
      </c>
      <c r="C90" s="3184" t="s">
        <v>2374</v>
      </c>
      <c r="D90" s="3180">
        <f>'[22]8751'!$F$59</f>
        <v>566790</v>
      </c>
      <c r="E90" s="2619">
        <f>'[23]8751'!$F$58</f>
        <v>154255</v>
      </c>
      <c r="F90" s="3052">
        <f>G90-E90</f>
        <v>273745</v>
      </c>
      <c r="G90" s="3199">
        <f>'[23]8751'!$D$58</f>
        <v>428000</v>
      </c>
      <c r="H90" s="2619">
        <f>'[25]CEO-CA'!$G$44</f>
        <v>428000</v>
      </c>
    </row>
    <row r="91" spans="1:8" s="3290" customFormat="1" ht="12" customHeight="1" outlineLevel="1">
      <c r="A91" s="3202" t="s">
        <v>1925</v>
      </c>
      <c r="B91" s="3205"/>
      <c r="C91" s="3184"/>
      <c r="D91" s="3180"/>
      <c r="E91" s="2619"/>
      <c r="F91" s="3052"/>
      <c r="G91" s="3199"/>
      <c r="H91" s="2619"/>
    </row>
    <row r="92" spans="1:8" s="3290" customFormat="1" ht="12" customHeight="1" outlineLevel="1">
      <c r="A92" s="3202"/>
      <c r="B92" s="3207" t="s">
        <v>2373</v>
      </c>
      <c r="C92" s="3184" t="s">
        <v>2337</v>
      </c>
      <c r="D92" s="3180">
        <f>'[22]8751'!$F$61</f>
        <v>0</v>
      </c>
      <c r="E92" s="2619">
        <f>'[23]8751'!$F$60</f>
        <v>0</v>
      </c>
      <c r="F92" s="3052">
        <f>G92-E92</f>
        <v>10000</v>
      </c>
      <c r="G92" s="3199">
        <f>'[23]8751'!$D$60</f>
        <v>10000</v>
      </c>
      <c r="H92" s="2619">
        <f>'[25]CEO-CA'!$G$46</f>
        <v>10000</v>
      </c>
    </row>
    <row r="93" spans="1:8" s="3290" customFormat="1" ht="12" customHeight="1" outlineLevel="1">
      <c r="A93" s="3202" t="s">
        <v>1925</v>
      </c>
      <c r="B93" s="3205"/>
      <c r="C93" s="3184"/>
      <c r="D93" s="3180"/>
      <c r="E93" s="2619"/>
      <c r="F93" s="3052"/>
      <c r="G93" s="3199"/>
      <c r="H93" s="2619"/>
    </row>
    <row r="94" spans="1:8" s="3290" customFormat="1" ht="12" customHeight="1" outlineLevel="1">
      <c r="A94" s="3202"/>
      <c r="B94" s="3207" t="s">
        <v>2336</v>
      </c>
      <c r="C94" s="3184" t="s">
        <v>2335</v>
      </c>
      <c r="D94" s="3180">
        <f>'[22]8751'!$F$62</f>
        <v>54110</v>
      </c>
      <c r="E94" s="2619">
        <f>'[23]8751'!$F$61</f>
        <v>20100</v>
      </c>
      <c r="F94" s="3052">
        <f>G94-E94</f>
        <v>79900</v>
      </c>
      <c r="G94" s="3199">
        <f>'[23]8751'!$D$61</f>
        <v>100000</v>
      </c>
      <c r="H94" s="2619">
        <f>'[25]CEO-CA'!$G$48</f>
        <v>100000</v>
      </c>
    </row>
    <row r="95" spans="1:8" s="3290" customFormat="1" ht="12" customHeight="1" outlineLevel="1">
      <c r="A95" s="3206" t="s">
        <v>1925</v>
      </c>
      <c r="B95" s="3205"/>
      <c r="C95" s="3184"/>
      <c r="D95" s="3180"/>
      <c r="E95" s="2619"/>
      <c r="F95" s="3052"/>
      <c r="G95" s="3199"/>
      <c r="H95" s="2619"/>
    </row>
    <row r="96" spans="1:8" s="3290" customFormat="1" ht="12" customHeight="1" outlineLevel="1">
      <c r="A96" s="3202" t="s">
        <v>2372</v>
      </c>
      <c r="B96" s="3207" t="s">
        <v>2371</v>
      </c>
      <c r="C96" s="3184" t="s">
        <v>2333</v>
      </c>
      <c r="D96" s="3180">
        <f>'[22]8751'!$F$64</f>
        <v>848615.78000000026</v>
      </c>
      <c r="E96" s="2619">
        <f>'[23]8751'!$F$63</f>
        <v>870751</v>
      </c>
      <c r="F96" s="3052">
        <f>G96-E96</f>
        <v>2754249</v>
      </c>
      <c r="G96" s="3199">
        <f>'[23]8751'!$D$63</f>
        <v>3625000</v>
      </c>
      <c r="H96" s="2619">
        <f>'[25]CEO-CA'!$G$50</f>
        <v>1625000</v>
      </c>
    </row>
    <row r="97" spans="1:8" s="3290" customFormat="1" ht="12" customHeight="1" outlineLevel="1">
      <c r="A97" s="3206" t="s">
        <v>2076</v>
      </c>
      <c r="B97" s="3205"/>
      <c r="C97" s="3184"/>
      <c r="D97" s="3180"/>
      <c r="E97" s="2619"/>
      <c r="F97" s="3052"/>
      <c r="G97" s="3199"/>
      <c r="H97" s="2619"/>
    </row>
    <row r="98" spans="1:8" s="3290" customFormat="1" ht="12" customHeight="1" outlineLevel="1">
      <c r="A98" s="3202"/>
      <c r="B98" s="3205" t="s">
        <v>2370</v>
      </c>
      <c r="C98" s="3184" t="s">
        <v>2327</v>
      </c>
      <c r="D98" s="3180">
        <f>'[22]8751'!$F$65</f>
        <v>580171.09</v>
      </c>
      <c r="E98" s="2619">
        <f>'[23]8751'!$F$64</f>
        <v>236324</v>
      </c>
      <c r="F98" s="3052">
        <f>G98-E98</f>
        <v>649166</v>
      </c>
      <c r="G98" s="3199">
        <f>'[23]8751'!$D$64</f>
        <v>885490</v>
      </c>
      <c r="H98" s="2619">
        <f>'[25]CEO-CA'!$G$52</f>
        <v>595000</v>
      </c>
    </row>
    <row r="99" spans="1:8" s="3290" customFormat="1" ht="12" customHeight="1" outlineLevel="1">
      <c r="A99" s="3206" t="s">
        <v>2076</v>
      </c>
      <c r="B99" s="3205"/>
      <c r="C99" s="3184"/>
      <c r="D99" s="3180"/>
      <c r="E99" s="2619"/>
      <c r="F99" s="3052"/>
      <c r="G99" s="3199"/>
      <c r="H99" s="2619"/>
    </row>
    <row r="100" spans="1:8" s="3290" customFormat="1" ht="12" customHeight="1" outlineLevel="1">
      <c r="A100" s="3202"/>
      <c r="B100" s="3205" t="s">
        <v>2369</v>
      </c>
      <c r="C100" s="3184" t="s">
        <v>1906</v>
      </c>
      <c r="D100" s="3180">
        <f>'[22]8751'!$F$66</f>
        <v>1216650</v>
      </c>
      <c r="E100" s="2619">
        <f>'[23]8751'!$F$65</f>
        <v>650466</v>
      </c>
      <c r="F100" s="3052">
        <f>G100-E100</f>
        <v>1414534</v>
      </c>
      <c r="G100" s="3199">
        <f>'[23]8751'!$D$65</f>
        <v>2065000</v>
      </c>
      <c r="H100" s="2619">
        <f>'[25]CEO-CA'!$G$54</f>
        <v>1565000</v>
      </c>
    </row>
    <row r="101" spans="1:8" s="3290" customFormat="1" ht="12" customHeight="1" outlineLevel="1">
      <c r="A101" s="3294" t="s">
        <v>1903</v>
      </c>
      <c r="B101" s="3293"/>
      <c r="C101" s="3292" t="s">
        <v>1902</v>
      </c>
      <c r="D101" s="3180">
        <f>'[22]8751'!$F$67</f>
        <v>82995</v>
      </c>
      <c r="E101" s="2619">
        <f>'[23]8751'!$F$66</f>
        <v>62490</v>
      </c>
      <c r="F101" s="3052">
        <f>G101-E101</f>
        <v>37510</v>
      </c>
      <c r="G101" s="3199">
        <f>'[23]8751'!$D$66</f>
        <v>100000</v>
      </c>
      <c r="H101" s="2619">
        <f>'[25]CEO-CA'!$G$55</f>
        <v>100000</v>
      </c>
    </row>
    <row r="102" spans="1:8" s="3290" customFormat="1" ht="12" customHeight="1" outlineLevel="1">
      <c r="A102" s="3202" t="s">
        <v>693</v>
      </c>
      <c r="B102" s="3205"/>
      <c r="C102" s="3184" t="s">
        <v>367</v>
      </c>
      <c r="D102" s="3180">
        <f>'[22]8751'!$F$68</f>
        <v>49956.800000000003</v>
      </c>
      <c r="E102" s="2619">
        <f>'[23]8751'!$F$67</f>
        <v>17710.2</v>
      </c>
      <c r="F102" s="3052">
        <f>G102-E102</f>
        <v>228869.8</v>
      </c>
      <c r="G102" s="3199">
        <f>'[23]8751'!$D$67</f>
        <v>246580</v>
      </c>
      <c r="H102" s="2619">
        <f>'[25]CEO-CA'!$G$56</f>
        <v>246580</v>
      </c>
    </row>
    <row r="103" spans="1:8" s="3290" customFormat="1" ht="12" customHeight="1" outlineLevel="1">
      <c r="A103" s="3202" t="s">
        <v>2368</v>
      </c>
      <c r="B103" s="3205"/>
      <c r="C103" s="3184" t="s">
        <v>1857</v>
      </c>
      <c r="D103" s="3180">
        <f>'[22]8751'!$F$69</f>
        <v>0</v>
      </c>
      <c r="E103" s="2619">
        <f>'[23]8751'!$F$68</f>
        <v>0</v>
      </c>
      <c r="F103" s="3052">
        <f>G103-E103</f>
        <v>70000</v>
      </c>
      <c r="G103" s="3199">
        <f>'[23]8751'!$D$68</f>
        <v>70000</v>
      </c>
      <c r="H103" s="2619">
        <f>'[25]CEO-CA'!$G$57</f>
        <v>70000</v>
      </c>
    </row>
    <row r="104" spans="1:8" s="3290" customFormat="1" ht="12" customHeight="1" outlineLevel="1">
      <c r="A104" s="3202" t="s">
        <v>693</v>
      </c>
      <c r="B104" s="3205"/>
      <c r="C104" s="3184"/>
      <c r="D104" s="3180"/>
      <c r="E104" s="2619"/>
      <c r="F104" s="3052"/>
      <c r="G104" s="3199"/>
      <c r="H104" s="2619"/>
    </row>
    <row r="105" spans="1:8" s="3290" customFormat="1" ht="12" customHeight="1" outlineLevel="1">
      <c r="A105" s="3202"/>
      <c r="B105" s="3207" t="s">
        <v>2367</v>
      </c>
      <c r="C105" s="3184" t="s">
        <v>1855</v>
      </c>
      <c r="D105" s="3180">
        <f>'[22]8751'!$F$70</f>
        <v>186285</v>
      </c>
      <c r="E105" s="2619">
        <f>'[23]8751'!$F$69</f>
        <v>90345</v>
      </c>
      <c r="F105" s="3052">
        <f>G105-E105</f>
        <v>99655</v>
      </c>
      <c r="G105" s="3199">
        <f>'[23]8751'!$D$69</f>
        <v>190000</v>
      </c>
      <c r="H105" s="2619">
        <f>'[25]CEO-CA'!$G$59</f>
        <v>190000</v>
      </c>
    </row>
    <row r="106" spans="1:8" s="3290" customFormat="1" ht="12" customHeight="1" outlineLevel="1">
      <c r="A106" s="3202" t="s">
        <v>693</v>
      </c>
      <c r="B106" s="3205"/>
      <c r="C106" s="3184"/>
      <c r="D106" s="3180"/>
      <c r="E106" s="2619"/>
      <c r="F106" s="3052"/>
      <c r="G106" s="3199"/>
      <c r="H106" s="2619"/>
    </row>
    <row r="107" spans="1:8" s="3290" customFormat="1" ht="12" customHeight="1" outlineLevel="1">
      <c r="A107" s="3202"/>
      <c r="B107" s="3207" t="s">
        <v>2366</v>
      </c>
      <c r="C107" s="3184" t="s">
        <v>1836</v>
      </c>
      <c r="D107" s="3180">
        <f>'[22]8751'!$F$79</f>
        <v>9800</v>
      </c>
      <c r="E107" s="2619">
        <f>'[23]8751'!$F$79</f>
        <v>4800</v>
      </c>
      <c r="F107" s="3052">
        <f>G107-E107</f>
        <v>45200</v>
      </c>
      <c r="G107" s="3199">
        <f>'[23]8751'!$D$79</f>
        <v>50000</v>
      </c>
      <c r="H107" s="2619">
        <f>'[25]CEO-CA'!$G$61</f>
        <v>50000</v>
      </c>
    </row>
    <row r="108" spans="1:8" s="2999" customFormat="1" ht="11.25" customHeight="1" outlineLevel="1">
      <c r="A108" s="3192" t="s">
        <v>775</v>
      </c>
      <c r="B108" s="3291"/>
      <c r="C108" s="3190"/>
      <c r="D108" s="1512">
        <f>SUM(D109:D110)</f>
        <v>23117978.009999998</v>
      </c>
      <c r="E108" s="1512">
        <f>SUM(E109:E110)</f>
        <v>416459.99999999988</v>
      </c>
      <c r="F108" s="1512">
        <f>SUM(F109:F110)</f>
        <v>63483540</v>
      </c>
      <c r="G108" s="1512">
        <f>SUM(G109:G110)</f>
        <v>63900000</v>
      </c>
      <c r="H108" s="1512">
        <f>SUM(H109:H110)</f>
        <v>100000000</v>
      </c>
    </row>
    <row r="109" spans="1:8" s="3290" customFormat="1" ht="16.7" customHeight="1" outlineLevel="1">
      <c r="A109" s="3202" t="s">
        <v>1796</v>
      </c>
      <c r="B109" s="3207"/>
      <c r="C109" s="3185"/>
      <c r="D109" s="3180">
        <f>'[22]8751'!$F$81</f>
        <v>23117978.009999998</v>
      </c>
      <c r="E109" s="2619">
        <f>'[23]8751'!$F$81</f>
        <v>416459.99999999988</v>
      </c>
      <c r="F109" s="3052">
        <f>G109-E109</f>
        <v>60483540</v>
      </c>
      <c r="G109" s="3199">
        <f>'[23]8751'!$D$81</f>
        <v>60900000</v>
      </c>
      <c r="H109" s="2619">
        <v>100000000</v>
      </c>
    </row>
    <row r="110" spans="1:8" s="3290" customFormat="1" ht="16.7" customHeight="1" outlineLevel="1">
      <c r="A110" s="3202" t="s">
        <v>2365</v>
      </c>
      <c r="B110" s="3207"/>
      <c r="C110" s="3185"/>
      <c r="D110" s="3180">
        <v>0</v>
      </c>
      <c r="E110" s="2619">
        <v>0</v>
      </c>
      <c r="F110" s="3052">
        <f>G110-E110</f>
        <v>3000000</v>
      </c>
      <c r="G110" s="3199">
        <f>'[23]8751'!$D$82</f>
        <v>3000000</v>
      </c>
      <c r="H110" s="2619">
        <v>0</v>
      </c>
    </row>
    <row r="111" spans="1:8" s="3161" customFormat="1" ht="13.5" customHeight="1" outlineLevel="2" thickBot="1">
      <c r="A111" s="3178" t="s">
        <v>366</v>
      </c>
      <c r="B111" s="3178"/>
      <c r="C111" s="3179"/>
      <c r="D111" s="3178">
        <f>D108+D41+D16</f>
        <v>83493283.189999998</v>
      </c>
      <c r="E111" s="3178">
        <f>E108+E41+E16</f>
        <v>27005720.270000003</v>
      </c>
      <c r="F111" s="3178">
        <f>F108+F41+F16</f>
        <v>107660887.85000001</v>
      </c>
      <c r="G111" s="3178">
        <f>G108+G41+G16</f>
        <v>134666608.12</v>
      </c>
      <c r="H111" s="3178">
        <f>H108+H41+H16</f>
        <v>165460029</v>
      </c>
    </row>
    <row r="112" spans="1:8" s="3161" customFormat="1" ht="13.5" customHeight="1" outlineLevel="2" thickTop="1">
      <c r="A112" s="3176"/>
      <c r="B112" s="3176"/>
      <c r="C112" s="3177"/>
      <c r="D112" s="3176"/>
      <c r="E112" s="3176"/>
      <c r="F112" s="3176"/>
      <c r="G112" s="3176"/>
      <c r="H112" s="3176"/>
    </row>
    <row r="113" spans="1:19" s="3162" customFormat="1" ht="14.25" customHeight="1">
      <c r="A113" s="3175" t="s">
        <v>2312</v>
      </c>
      <c r="B113" s="3174"/>
      <c r="C113" s="3174"/>
      <c r="D113" s="3174"/>
      <c r="E113" s="3173"/>
      <c r="F113" s="3173"/>
      <c r="G113" s="3173" t="s">
        <v>2311</v>
      </c>
      <c r="H113" s="3173"/>
      <c r="I113" s="2233"/>
      <c r="J113" s="2255"/>
      <c r="K113" s="2255"/>
      <c r="L113" s="2255"/>
      <c r="M113" s="2255"/>
      <c r="N113" s="2255"/>
      <c r="O113" s="2255"/>
      <c r="P113" s="2255"/>
      <c r="Q113" s="2255"/>
      <c r="R113" s="2255"/>
      <c r="S113" s="2255"/>
    </row>
    <row r="114" spans="1:19" s="3162" customFormat="1" ht="11.25" customHeight="1">
      <c r="A114" s="3173"/>
      <c r="B114" s="3174"/>
      <c r="C114" s="3174"/>
      <c r="D114" s="3174"/>
      <c r="E114" s="3173"/>
      <c r="F114" s="3173"/>
      <c r="G114" s="3173"/>
      <c r="H114" s="3173"/>
      <c r="I114" s="2233"/>
      <c r="J114" s="2255"/>
      <c r="K114" s="2255"/>
      <c r="L114" s="2255"/>
      <c r="M114" s="2255"/>
      <c r="N114" s="2255"/>
      <c r="O114" s="2255"/>
      <c r="P114" s="2255"/>
      <c r="Q114" s="2255"/>
      <c r="R114" s="2255"/>
      <c r="S114" s="2255"/>
    </row>
    <row r="115" spans="1:19" s="3162" customFormat="1" ht="6" customHeight="1">
      <c r="A115" s="3173"/>
      <c r="B115" s="3174"/>
      <c r="C115" s="3174"/>
      <c r="D115" s="3174"/>
      <c r="E115" s="3173"/>
      <c r="F115" s="3173"/>
      <c r="G115" s="3173"/>
      <c r="H115" s="3173"/>
      <c r="I115" s="2233"/>
      <c r="J115" s="2255"/>
      <c r="K115" s="2255"/>
      <c r="L115" s="2255"/>
      <c r="M115" s="2255"/>
      <c r="N115" s="2255"/>
      <c r="O115" s="2255"/>
      <c r="P115" s="2255"/>
      <c r="Q115" s="2255"/>
      <c r="R115" s="2255"/>
      <c r="S115" s="2255"/>
    </row>
    <row r="116" spans="1:19" s="3162" customFormat="1" ht="14.25" customHeight="1">
      <c r="A116" s="3172" t="s">
        <v>2364</v>
      </c>
      <c r="B116" s="3167"/>
      <c r="C116" s="3171" t="s">
        <v>2309</v>
      </c>
      <c r="D116" s="3165"/>
      <c r="E116" s="3169"/>
      <c r="F116" s="3169"/>
      <c r="G116" s="3170" t="s">
        <v>359</v>
      </c>
      <c r="H116" s="3169"/>
      <c r="I116" s="2233"/>
      <c r="J116" s="2255"/>
      <c r="K116" s="2255"/>
      <c r="L116" s="2255"/>
      <c r="M116" s="2255"/>
      <c r="N116" s="2255"/>
      <c r="O116" s="2255"/>
      <c r="P116" s="2255"/>
      <c r="Q116" s="2255"/>
      <c r="R116" s="2255"/>
      <c r="S116" s="2255"/>
    </row>
    <row r="117" spans="1:19" s="3162" customFormat="1" ht="14.25" customHeight="1">
      <c r="A117" s="3168" t="s">
        <v>2363</v>
      </c>
      <c r="B117" s="3167"/>
      <c r="C117" s="3166" t="s">
        <v>2308</v>
      </c>
      <c r="D117" s="3165"/>
      <c r="E117" s="3163"/>
      <c r="F117" s="3163"/>
      <c r="G117" s="3164" t="s">
        <v>2307</v>
      </c>
      <c r="H117" s="3163"/>
      <c r="I117" s="2233"/>
      <c r="J117" s="2255"/>
      <c r="K117" s="2255"/>
      <c r="L117" s="2255"/>
      <c r="M117" s="2255"/>
      <c r="N117" s="2255"/>
      <c r="O117" s="2255"/>
      <c r="P117" s="2255"/>
      <c r="Q117" s="2255"/>
      <c r="R117" s="2255"/>
      <c r="S117" s="2255"/>
    </row>
    <row r="118" spans="1:19" s="3286" customFormat="1">
      <c r="B118" s="3289"/>
      <c r="C118" s="3288"/>
      <c r="D118" s="3287"/>
      <c r="E118" s="3287"/>
      <c r="F118" s="3287"/>
      <c r="G118" s="3287"/>
      <c r="H118" s="3287"/>
    </row>
    <row r="119" spans="1:19" s="3286" customFormat="1">
      <c r="B119" s="3289"/>
      <c r="C119" s="3288"/>
      <c r="D119" s="3287"/>
      <c r="E119" s="3287"/>
      <c r="F119" s="3287"/>
      <c r="G119" s="3287"/>
      <c r="H119" s="3287"/>
    </row>
    <row r="120" spans="1:19" s="3286" customFormat="1">
      <c r="B120" s="3289"/>
      <c r="C120" s="3288"/>
      <c r="D120" s="3287"/>
      <c r="E120" s="3287"/>
      <c r="F120" s="3287"/>
      <c r="G120" s="3287"/>
      <c r="H120" s="3287"/>
    </row>
    <row r="121" spans="1:19" s="3286" customFormat="1">
      <c r="B121" s="3289"/>
      <c r="C121" s="3288"/>
      <c r="D121" s="3287"/>
      <c r="E121" s="3287"/>
      <c r="F121" s="3287"/>
      <c r="G121" s="3287"/>
      <c r="H121" s="3287"/>
    </row>
    <row r="122" spans="1:19" s="3286" customFormat="1">
      <c r="B122" s="3289"/>
      <c r="C122" s="3288"/>
      <c r="D122" s="3287"/>
      <c r="E122" s="3287"/>
      <c r="F122" s="3287"/>
      <c r="G122" s="3287"/>
      <c r="H122" s="3287"/>
    </row>
    <row r="123" spans="1:19" s="3286" customFormat="1">
      <c r="B123" s="3289"/>
      <c r="C123" s="3288"/>
      <c r="D123" s="3287"/>
      <c r="E123" s="3287"/>
      <c r="F123" s="3287"/>
      <c r="G123" s="3287"/>
      <c r="H123" s="3287"/>
    </row>
    <row r="124" spans="1:19" s="3286" customFormat="1">
      <c r="B124" s="3289"/>
      <c r="C124" s="3288"/>
      <c r="D124" s="3287"/>
      <c r="E124" s="3287"/>
      <c r="F124" s="3287"/>
      <c r="G124" s="3287"/>
      <c r="H124" s="3287"/>
    </row>
    <row r="125" spans="1:19" s="3286" customFormat="1">
      <c r="B125" s="3289"/>
      <c r="C125" s="3288"/>
      <c r="D125" s="3287"/>
      <c r="E125" s="3287"/>
      <c r="F125" s="3287"/>
      <c r="G125" s="3287"/>
      <c r="H125" s="3287"/>
    </row>
    <row r="126" spans="1:19" s="3286" customFormat="1">
      <c r="B126" s="3289"/>
      <c r="C126" s="3288"/>
      <c r="D126" s="3287"/>
      <c r="E126" s="3287"/>
      <c r="F126" s="3287"/>
      <c r="G126" s="3287"/>
      <c r="H126" s="3287"/>
    </row>
  </sheetData>
  <mergeCells count="6">
    <mergeCell ref="A5:H5"/>
    <mergeCell ref="A6:H6"/>
    <mergeCell ref="A11:B14"/>
    <mergeCell ref="E11:G11"/>
    <mergeCell ref="A73:B76"/>
    <mergeCell ref="E73:G73"/>
  </mergeCells>
  <pageMargins left="0.5" right="0" top="0" bottom="0" header="0.25" footer="0"/>
  <pageSetup paperSize="5" orientation="portrait" verticalDpi="300" r:id="rId1"/>
  <headerFooter alignWithMargins="0"/>
  <legacyDrawing r:id="rId2"/>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 transitionEvaluation="1" transitionEntry="1"/>
  <dimension ref="A1:L582"/>
  <sheetViews>
    <sheetView showGridLines="0" workbookViewId="0">
      <selection activeCell="L329" sqref="L329"/>
    </sheetView>
  </sheetViews>
  <sheetFormatPr defaultColWidth="12.5703125" defaultRowHeight="15.75"/>
  <cols>
    <col min="1" max="1" width="3.7109375" style="3311" customWidth="1"/>
    <col min="2" max="2" width="3.7109375" style="3313" customWidth="1"/>
    <col min="3" max="3" width="27.28515625" style="3311" customWidth="1"/>
    <col min="4" max="4" width="25.7109375" style="3311" customWidth="1"/>
    <col min="5" max="5" width="3.7109375" style="3312" customWidth="1"/>
    <col min="6" max="6" width="11.7109375" style="3311" customWidth="1"/>
    <col min="7" max="7" width="5.28515625" style="3312" customWidth="1"/>
    <col min="8" max="8" width="11.7109375" style="3311" customWidth="1"/>
    <col min="9" max="9" width="12" style="3311" customWidth="1"/>
    <col min="10" max="10" width="1" style="3311" customWidth="1"/>
    <col min="11" max="16384" width="12.5703125" style="3311"/>
  </cols>
  <sheetData>
    <row r="1" spans="1:11" s="3390" customFormat="1" ht="13.5" customHeight="1">
      <c r="A1" s="2868"/>
      <c r="B1" s="3592" t="s">
        <v>2457</v>
      </c>
      <c r="C1" s="2868"/>
      <c r="D1" s="2868"/>
      <c r="E1" s="3338"/>
      <c r="F1" s="3338"/>
      <c r="H1" s="3589"/>
      <c r="I1" s="3589"/>
      <c r="J1" s="3574"/>
    </row>
    <row r="2" spans="1:11" s="3390" customFormat="1" ht="13.5" customHeight="1">
      <c r="A2" s="2868"/>
      <c r="B2" s="3446" t="s">
        <v>2677</v>
      </c>
      <c r="C2" s="2868"/>
      <c r="D2" s="2868"/>
      <c r="E2" s="3338"/>
      <c r="F2" s="3591"/>
      <c r="H2" s="3590"/>
      <c r="I2" s="3589"/>
      <c r="J2" s="3574"/>
    </row>
    <row r="3" spans="1:11" s="3390" customFormat="1" ht="13.5" customHeight="1">
      <c r="A3" s="4951" t="s">
        <v>353</v>
      </c>
      <c r="B3" s="4951"/>
      <c r="C3" s="4951"/>
      <c r="D3" s="4951"/>
      <c r="E3" s="4951"/>
      <c r="F3" s="4951"/>
      <c r="G3" s="4951"/>
      <c r="H3" s="4951"/>
      <c r="I3" s="4951"/>
      <c r="J3" s="3588"/>
      <c r="K3" s="3574"/>
    </row>
    <row r="4" spans="1:11" s="3390" customFormat="1" ht="13.5" customHeight="1">
      <c r="A4" s="4952" t="s">
        <v>2676</v>
      </c>
      <c r="B4" s="4952"/>
      <c r="C4" s="4952"/>
      <c r="D4" s="4952"/>
      <c r="E4" s="4952"/>
      <c r="F4" s="4952"/>
      <c r="G4" s="4952"/>
      <c r="H4" s="4952"/>
      <c r="I4" s="4952"/>
      <c r="J4" s="3588"/>
      <c r="K4" s="3574"/>
    </row>
    <row r="5" spans="1:11" s="3390" customFormat="1" ht="13.5" customHeight="1">
      <c r="A5" s="4953" t="s">
        <v>2675</v>
      </c>
      <c r="B5" s="4953"/>
      <c r="C5" s="4953"/>
      <c r="D5" s="4953"/>
      <c r="E5" s="4953"/>
      <c r="F5" s="4953"/>
      <c r="G5" s="4953"/>
      <c r="H5" s="4953"/>
      <c r="I5" s="4953"/>
      <c r="J5" s="3586"/>
      <c r="K5" s="3574"/>
    </row>
    <row r="6" spans="1:11" s="3390" customFormat="1" ht="13.5" customHeight="1">
      <c r="A6" s="3587"/>
      <c r="B6" s="3587"/>
      <c r="C6" s="3587"/>
      <c r="D6" s="3587"/>
      <c r="E6" s="3587"/>
      <c r="F6" s="3587"/>
      <c r="G6" s="3587"/>
      <c r="H6" s="3587"/>
      <c r="I6" s="3587"/>
      <c r="J6" s="3586"/>
      <c r="K6" s="3574"/>
    </row>
    <row r="7" spans="1:11" s="3390" customFormat="1" ht="13.5" customHeight="1">
      <c r="A7" s="3585" t="s">
        <v>624</v>
      </c>
      <c r="B7" s="3584"/>
      <c r="C7" s="3583" t="s">
        <v>2674</v>
      </c>
      <c r="D7" s="3582"/>
      <c r="E7" s="3580"/>
      <c r="F7" s="3581"/>
      <c r="G7" s="3580"/>
      <c r="H7" s="2868"/>
      <c r="I7" s="2868"/>
      <c r="J7" s="3579"/>
      <c r="K7" s="3579"/>
    </row>
    <row r="8" spans="1:11" s="3390" customFormat="1" ht="13.5" customHeight="1">
      <c r="A8" s="3166"/>
      <c r="B8" s="3313"/>
      <c r="D8" s="3164"/>
      <c r="E8" s="3578"/>
      <c r="F8" s="3165"/>
      <c r="G8" s="3577"/>
      <c r="H8" s="3165"/>
      <c r="I8" s="3165"/>
      <c r="J8" s="3574"/>
      <c r="K8" s="3574"/>
    </row>
    <row r="9" spans="1:11" s="3390" customFormat="1" ht="13.5" customHeight="1">
      <c r="A9" s="3441"/>
      <c r="B9" s="3442"/>
      <c r="C9" s="3387"/>
      <c r="D9" s="3441"/>
      <c r="E9" s="4954" t="s">
        <v>348</v>
      </c>
      <c r="F9" s="4955"/>
      <c r="G9" s="4954" t="s">
        <v>2455</v>
      </c>
      <c r="H9" s="4955"/>
      <c r="I9" s="3440"/>
      <c r="J9" s="3576"/>
      <c r="K9" s="3574"/>
    </row>
    <row r="10" spans="1:11" s="3390" customFormat="1" ht="13.5" customHeight="1">
      <c r="A10" s="3439"/>
      <c r="B10" s="3438"/>
      <c r="C10" s="3406"/>
      <c r="D10" s="3257"/>
      <c r="E10" s="4956" t="s">
        <v>346</v>
      </c>
      <c r="F10" s="4957"/>
      <c r="G10" s="4956" t="s">
        <v>345</v>
      </c>
      <c r="H10" s="4957"/>
      <c r="I10" s="3434"/>
      <c r="J10" s="3575"/>
      <c r="K10" s="3574"/>
    </row>
    <row r="11" spans="1:11" s="3390" customFormat="1" ht="13.5" customHeight="1">
      <c r="A11" s="4956" t="s">
        <v>2454</v>
      </c>
      <c r="B11" s="4957"/>
      <c r="C11" s="3434" t="s">
        <v>342</v>
      </c>
      <c r="D11" s="3433" t="s">
        <v>341</v>
      </c>
      <c r="E11" s="4958" t="s">
        <v>2453</v>
      </c>
      <c r="F11" s="4958"/>
      <c r="G11" s="4958" t="s">
        <v>2453</v>
      </c>
      <c r="H11" s="4958"/>
      <c r="I11" s="3434" t="s">
        <v>340</v>
      </c>
      <c r="J11" s="3575"/>
      <c r="K11" s="3574"/>
    </row>
    <row r="12" spans="1:11" s="3390" customFormat="1" ht="13.5" customHeight="1">
      <c r="A12" s="4956" t="s">
        <v>2452</v>
      </c>
      <c r="B12" s="4957"/>
      <c r="C12" s="3434"/>
      <c r="D12" s="3433"/>
      <c r="E12" s="3434" t="s">
        <v>339</v>
      </c>
      <c r="F12" s="3256"/>
      <c r="G12" s="3434" t="s">
        <v>339</v>
      </c>
      <c r="H12" s="3256"/>
      <c r="I12" s="3432" t="s">
        <v>335</v>
      </c>
      <c r="J12" s="3575"/>
      <c r="K12" s="3574"/>
    </row>
    <row r="13" spans="1:11" s="3390" customFormat="1" ht="13.5" customHeight="1">
      <c r="A13" s="3437" t="s">
        <v>337</v>
      </c>
      <c r="B13" s="3436" t="s">
        <v>336</v>
      </c>
      <c r="C13" s="3435"/>
      <c r="D13" s="3435"/>
      <c r="E13" s="3434" t="s">
        <v>334</v>
      </c>
      <c r="F13" s="3433" t="s">
        <v>333</v>
      </c>
      <c r="G13" s="3434" t="s">
        <v>334</v>
      </c>
      <c r="H13" s="3433" t="s">
        <v>333</v>
      </c>
      <c r="I13" s="3432"/>
      <c r="J13" s="3575"/>
      <c r="K13" s="3574"/>
    </row>
    <row r="14" spans="1:11" s="3390" customFormat="1" ht="13.5" customHeight="1">
      <c r="A14" s="3431" t="s">
        <v>331</v>
      </c>
      <c r="B14" s="3251" t="s">
        <v>330</v>
      </c>
      <c r="C14" s="3430" t="s">
        <v>329</v>
      </c>
      <c r="D14" s="3430" t="s">
        <v>328</v>
      </c>
      <c r="E14" s="3429" t="s">
        <v>327</v>
      </c>
      <c r="F14" s="3430" t="s">
        <v>326</v>
      </c>
      <c r="G14" s="3429" t="s">
        <v>324</v>
      </c>
      <c r="H14" s="3429" t="s">
        <v>323</v>
      </c>
      <c r="I14" s="3429" t="s">
        <v>325</v>
      </c>
      <c r="J14" s="3575"/>
      <c r="K14" s="3574"/>
    </row>
    <row r="15" spans="1:11" s="3568" customFormat="1" ht="18" customHeight="1">
      <c r="A15" s="3573"/>
      <c r="B15" s="3572"/>
      <c r="C15" s="3571" t="s">
        <v>2673</v>
      </c>
      <c r="D15" s="3526"/>
      <c r="E15" s="3525"/>
      <c r="F15" s="3526"/>
      <c r="G15" s="3525"/>
      <c r="H15" s="3525"/>
      <c r="I15" s="3525"/>
      <c r="J15" s="3570"/>
      <c r="K15" s="3569"/>
    </row>
    <row r="16" spans="1:11" s="3568" customFormat="1" ht="18" customHeight="1">
      <c r="A16" s="3573"/>
      <c r="B16" s="3572"/>
      <c r="C16" s="3571"/>
      <c r="D16" s="3526"/>
      <c r="E16" s="3525"/>
      <c r="F16" s="3526"/>
      <c r="G16" s="3525"/>
      <c r="H16" s="3525"/>
      <c r="I16" s="3525"/>
      <c r="J16" s="3570"/>
      <c r="K16" s="3569"/>
    </row>
    <row r="17" spans="1:12" s="3390" customFormat="1" ht="18" customHeight="1">
      <c r="A17" s="3403">
        <v>1</v>
      </c>
      <c r="B17" s="3403">
        <v>1</v>
      </c>
      <c r="C17" s="3551" t="s">
        <v>356</v>
      </c>
      <c r="D17" s="3417" t="s">
        <v>359</v>
      </c>
      <c r="E17" s="3401" t="s">
        <v>7</v>
      </c>
      <c r="F17" s="3399">
        <v>2076972</v>
      </c>
      <c r="G17" s="3404" t="s">
        <v>6</v>
      </c>
      <c r="H17" s="3399">
        <f>VLOOKUP(G17,$A$545:$B$571,2)*12</f>
        <v>2110884</v>
      </c>
      <c r="I17" s="3398">
        <f>SUM(H17-F17)</f>
        <v>33912</v>
      </c>
      <c r="J17" s="3528"/>
      <c r="K17" s="3390">
        <f t="shared" ref="K17:K80" si="0">H17/12</f>
        <v>175907</v>
      </c>
      <c r="L17" s="3390">
        <v>1600</v>
      </c>
    </row>
    <row r="18" spans="1:12" s="3390" customFormat="1" ht="18" customHeight="1">
      <c r="A18" s="3403"/>
      <c r="B18" s="3403"/>
      <c r="C18" s="3551"/>
      <c r="D18" s="3417"/>
      <c r="E18" s="3401"/>
      <c r="F18" s="3399"/>
      <c r="G18" s="3401"/>
      <c r="H18" s="3399"/>
      <c r="I18" s="3398"/>
      <c r="J18" s="3528"/>
      <c r="K18" s="3390">
        <f t="shared" si="0"/>
        <v>0</v>
      </c>
    </row>
    <row r="19" spans="1:12" s="3390" customFormat="1" ht="18" customHeight="1">
      <c r="A19" s="3403"/>
      <c r="B19" s="3403"/>
      <c r="C19" s="3402" t="s">
        <v>2672</v>
      </c>
      <c r="D19" s="3417"/>
      <c r="E19" s="3401"/>
      <c r="F19" s="3399"/>
      <c r="G19" s="3401"/>
      <c r="H19" s="3399"/>
      <c r="I19" s="3398"/>
      <c r="J19" s="3528"/>
      <c r="K19" s="3390">
        <f t="shared" si="0"/>
        <v>0</v>
      </c>
    </row>
    <row r="20" spans="1:12" s="3390" customFormat="1" ht="18" customHeight="1">
      <c r="A20" s="3403">
        <v>2</v>
      </c>
      <c r="B20" s="3403">
        <v>2</v>
      </c>
      <c r="C20" s="3406" t="s">
        <v>2670</v>
      </c>
      <c r="D20" s="3405" t="s">
        <v>2671</v>
      </c>
      <c r="E20" s="3401" t="s">
        <v>68</v>
      </c>
      <c r="F20" s="3399">
        <v>816996</v>
      </c>
      <c r="G20" s="3404" t="s">
        <v>67</v>
      </c>
      <c r="H20" s="3399">
        <f t="shared" ref="H20:H47" si="1">VLOOKUP(G20,$A$337:$B$545,2)*12</f>
        <v>829752</v>
      </c>
      <c r="I20" s="3398">
        <f>SUM(H20-F20)</f>
        <v>12756</v>
      </c>
      <c r="J20" s="3528"/>
      <c r="K20" s="3390">
        <f t="shared" si="0"/>
        <v>69146</v>
      </c>
      <c r="L20" s="3389">
        <f t="shared" ref="L20:L83" si="2">K20*0.04/2</f>
        <v>1382.92</v>
      </c>
    </row>
    <row r="21" spans="1:12" s="3390" customFormat="1" ht="18" customHeight="1">
      <c r="A21" s="3403">
        <v>3</v>
      </c>
      <c r="B21" s="3403">
        <v>3</v>
      </c>
      <c r="C21" s="3406" t="s">
        <v>2670</v>
      </c>
      <c r="D21" s="3412" t="s">
        <v>2669</v>
      </c>
      <c r="E21" s="3401" t="s">
        <v>71</v>
      </c>
      <c r="F21" s="3399">
        <v>779928</v>
      </c>
      <c r="G21" s="3401" t="s">
        <v>71</v>
      </c>
      <c r="H21" s="3399">
        <f t="shared" si="1"/>
        <v>779928</v>
      </c>
      <c r="I21" s="3398">
        <f>SUM(H21-F21)</f>
        <v>0</v>
      </c>
      <c r="J21" s="3528"/>
      <c r="K21" s="3390">
        <f t="shared" si="0"/>
        <v>64994</v>
      </c>
      <c r="L21" s="3389">
        <f t="shared" si="2"/>
        <v>1299.8800000000001</v>
      </c>
    </row>
    <row r="22" spans="1:12" s="3336" customFormat="1" ht="18" customHeight="1">
      <c r="A22" s="3397">
        <v>173</v>
      </c>
      <c r="B22" s="3403">
        <v>4</v>
      </c>
      <c r="C22" s="3413" t="s">
        <v>2668</v>
      </c>
      <c r="D22" s="3412" t="s">
        <v>245</v>
      </c>
      <c r="E22" s="3565"/>
      <c r="F22" s="3392">
        <v>0</v>
      </c>
      <c r="G22" s="3565" t="s">
        <v>71</v>
      </c>
      <c r="H22" s="3392">
        <f t="shared" si="1"/>
        <v>779928</v>
      </c>
      <c r="I22" s="3391">
        <f>SUM(H22-F22)</f>
        <v>779928</v>
      </c>
      <c r="J22" s="3532"/>
      <c r="K22" s="3390">
        <f t="shared" si="0"/>
        <v>64994</v>
      </c>
      <c r="L22" s="3389">
        <f t="shared" si="2"/>
        <v>1299.8800000000001</v>
      </c>
    </row>
    <row r="23" spans="1:12" s="3390" customFormat="1" ht="18" customHeight="1">
      <c r="A23" s="3403">
        <v>4</v>
      </c>
      <c r="B23" s="3403">
        <v>5</v>
      </c>
      <c r="C23" s="3406" t="s">
        <v>2665</v>
      </c>
      <c r="D23" s="3395" t="s">
        <v>2667</v>
      </c>
      <c r="E23" s="3401" t="s">
        <v>86</v>
      </c>
      <c r="F23" s="3399">
        <v>627972</v>
      </c>
      <c r="G23" s="3401" t="s">
        <v>86</v>
      </c>
      <c r="H23" s="3399">
        <f t="shared" si="1"/>
        <v>627972</v>
      </c>
      <c r="I23" s="3398">
        <f>H23-F23</f>
        <v>0</v>
      </c>
      <c r="J23" s="3566"/>
      <c r="K23" s="3390">
        <f t="shared" si="0"/>
        <v>52331</v>
      </c>
      <c r="L23" s="3389">
        <f t="shared" si="2"/>
        <v>1046.6200000000001</v>
      </c>
    </row>
    <row r="24" spans="1:12" s="3390" customFormat="1" ht="18" customHeight="1">
      <c r="A24" s="3403">
        <v>6</v>
      </c>
      <c r="B24" s="3403">
        <v>6</v>
      </c>
      <c r="C24" s="3406" t="s">
        <v>2665</v>
      </c>
      <c r="D24" s="3395" t="s">
        <v>2666</v>
      </c>
      <c r="E24" s="3567" t="s">
        <v>87</v>
      </c>
      <c r="F24" s="3399">
        <v>618456</v>
      </c>
      <c r="G24" s="3404" t="s">
        <v>86</v>
      </c>
      <c r="H24" s="3399">
        <f t="shared" si="1"/>
        <v>627972</v>
      </c>
      <c r="I24" s="3398">
        <f>SUM(H24-F24)</f>
        <v>9516</v>
      </c>
      <c r="J24" s="3566"/>
      <c r="K24" s="3390">
        <f t="shared" si="0"/>
        <v>52331</v>
      </c>
      <c r="L24" s="3389">
        <f t="shared" si="2"/>
        <v>1046.6200000000001</v>
      </c>
    </row>
    <row r="25" spans="1:12" s="3390" customFormat="1" ht="18" customHeight="1">
      <c r="A25" s="3403">
        <v>7</v>
      </c>
      <c r="B25" s="3403">
        <v>7</v>
      </c>
      <c r="C25" s="3406" t="s">
        <v>2665</v>
      </c>
      <c r="D25" s="3395" t="s">
        <v>2664</v>
      </c>
      <c r="E25" s="3401" t="s">
        <v>87</v>
      </c>
      <c r="F25" s="3399">
        <v>618456</v>
      </c>
      <c r="G25" s="3404" t="s">
        <v>86</v>
      </c>
      <c r="H25" s="3399">
        <f t="shared" si="1"/>
        <v>627972</v>
      </c>
      <c r="I25" s="3398">
        <f>H25-F25</f>
        <v>9516</v>
      </c>
      <c r="J25" s="3566"/>
      <c r="K25" s="3390">
        <f t="shared" si="0"/>
        <v>52331</v>
      </c>
      <c r="L25" s="3389">
        <f t="shared" si="2"/>
        <v>1046.6200000000001</v>
      </c>
    </row>
    <row r="26" spans="1:12" s="3336" customFormat="1" ht="18" customHeight="1">
      <c r="A26" s="3397">
        <v>5</v>
      </c>
      <c r="B26" s="3397">
        <v>8</v>
      </c>
      <c r="C26" s="3413" t="s">
        <v>2663</v>
      </c>
      <c r="D26" s="3412" t="s">
        <v>245</v>
      </c>
      <c r="E26" s="3565" t="s">
        <v>87</v>
      </c>
      <c r="F26" s="3392">
        <v>618456</v>
      </c>
      <c r="G26" s="3565" t="s">
        <v>111</v>
      </c>
      <c r="H26" s="3392">
        <f t="shared" si="1"/>
        <v>455844</v>
      </c>
      <c r="I26" s="3391">
        <f t="shared" ref="I26:I37" si="3">SUM(H26-F26)</f>
        <v>-162612</v>
      </c>
      <c r="J26" s="3564"/>
      <c r="K26" s="3390">
        <f t="shared" si="0"/>
        <v>37987</v>
      </c>
      <c r="L26" s="3389">
        <f t="shared" si="2"/>
        <v>759.74</v>
      </c>
    </row>
    <row r="27" spans="1:12" s="3390" customFormat="1" ht="18" customHeight="1">
      <c r="A27" s="3403">
        <v>8</v>
      </c>
      <c r="B27" s="3403">
        <v>9</v>
      </c>
      <c r="C27" s="3551" t="s">
        <v>2662</v>
      </c>
      <c r="D27" s="3563" t="s">
        <v>2661</v>
      </c>
      <c r="E27" s="3401" t="s">
        <v>134</v>
      </c>
      <c r="F27" s="3399">
        <v>355032</v>
      </c>
      <c r="G27" s="3404" t="s">
        <v>133</v>
      </c>
      <c r="H27" s="3399">
        <f t="shared" si="1"/>
        <v>358992</v>
      </c>
      <c r="I27" s="3398">
        <f t="shared" si="3"/>
        <v>3960</v>
      </c>
      <c r="J27" s="3528"/>
      <c r="K27" s="3390">
        <f t="shared" si="0"/>
        <v>29916</v>
      </c>
      <c r="L27" s="3389">
        <f t="shared" si="2"/>
        <v>598.32000000000005</v>
      </c>
    </row>
    <row r="28" spans="1:12" s="3390" customFormat="1" ht="18" customHeight="1">
      <c r="A28" s="3403">
        <v>9</v>
      </c>
      <c r="B28" s="3403">
        <v>10</v>
      </c>
      <c r="C28" s="3551" t="s">
        <v>2659</v>
      </c>
      <c r="D28" s="3395" t="s">
        <v>2660</v>
      </c>
      <c r="E28" s="3401" t="s">
        <v>135</v>
      </c>
      <c r="F28" s="3399">
        <v>351108</v>
      </c>
      <c r="G28" s="3404" t="s">
        <v>134</v>
      </c>
      <c r="H28" s="3399">
        <f t="shared" si="1"/>
        <v>355032</v>
      </c>
      <c r="I28" s="3398">
        <f t="shared" si="3"/>
        <v>3924</v>
      </c>
      <c r="J28" s="3528"/>
      <c r="K28" s="3390">
        <f t="shared" si="0"/>
        <v>29586</v>
      </c>
      <c r="L28" s="3389">
        <f t="shared" si="2"/>
        <v>591.72</v>
      </c>
    </row>
    <row r="29" spans="1:12" s="3390" customFormat="1" ht="18" customHeight="1">
      <c r="A29" s="3403">
        <v>10</v>
      </c>
      <c r="B29" s="3403">
        <v>11</v>
      </c>
      <c r="C29" s="3551" t="s">
        <v>2659</v>
      </c>
      <c r="D29" s="3395" t="s">
        <v>2658</v>
      </c>
      <c r="E29" s="3401" t="s">
        <v>135</v>
      </c>
      <c r="F29" s="3399">
        <v>351108</v>
      </c>
      <c r="G29" s="3401" t="s">
        <v>135</v>
      </c>
      <c r="H29" s="3399">
        <f t="shared" si="1"/>
        <v>351108</v>
      </c>
      <c r="I29" s="3398">
        <f t="shared" si="3"/>
        <v>0</v>
      </c>
      <c r="J29" s="3528"/>
      <c r="K29" s="3390">
        <f t="shared" si="0"/>
        <v>29259</v>
      </c>
      <c r="L29" s="3389">
        <f t="shared" si="2"/>
        <v>585.18000000000006</v>
      </c>
    </row>
    <row r="30" spans="1:12" s="3390" customFormat="1" ht="18" customHeight="1">
      <c r="A30" s="3403">
        <v>11</v>
      </c>
      <c r="B30" s="3403">
        <v>12</v>
      </c>
      <c r="C30" s="3551" t="s">
        <v>2657</v>
      </c>
      <c r="D30" s="3417" t="s">
        <v>2656</v>
      </c>
      <c r="E30" s="3401" t="s">
        <v>127</v>
      </c>
      <c r="F30" s="3399">
        <v>382752</v>
      </c>
      <c r="G30" s="3404" t="s">
        <v>126</v>
      </c>
      <c r="H30" s="3399">
        <f t="shared" si="1"/>
        <v>387060</v>
      </c>
      <c r="I30" s="3398">
        <f t="shared" si="3"/>
        <v>4308</v>
      </c>
      <c r="J30" s="3528"/>
      <c r="K30" s="3390">
        <f t="shared" si="0"/>
        <v>32255</v>
      </c>
      <c r="L30" s="3389">
        <f t="shared" si="2"/>
        <v>645.1</v>
      </c>
    </row>
    <row r="31" spans="1:12" s="3390" customFormat="1" ht="18" customHeight="1">
      <c r="A31" s="3403">
        <v>12</v>
      </c>
      <c r="B31" s="3403">
        <v>13</v>
      </c>
      <c r="C31" s="3551" t="s">
        <v>2655</v>
      </c>
      <c r="D31" s="3417" t="s">
        <v>245</v>
      </c>
      <c r="E31" s="3401" t="s">
        <v>159</v>
      </c>
      <c r="F31" s="3399">
        <v>272196</v>
      </c>
      <c r="G31" s="3401" t="s">
        <v>159</v>
      </c>
      <c r="H31" s="3399">
        <f t="shared" si="1"/>
        <v>272196</v>
      </c>
      <c r="I31" s="3398">
        <f t="shared" si="3"/>
        <v>0</v>
      </c>
      <c r="J31" s="3528"/>
      <c r="K31" s="3390">
        <f t="shared" si="0"/>
        <v>22683</v>
      </c>
      <c r="L31" s="3389">
        <f t="shared" si="2"/>
        <v>453.66</v>
      </c>
    </row>
    <row r="32" spans="1:12" s="3390" customFormat="1" ht="18" customHeight="1">
      <c r="A32" s="3403">
        <v>13</v>
      </c>
      <c r="B32" s="3403">
        <v>14</v>
      </c>
      <c r="C32" s="3551" t="s">
        <v>2642</v>
      </c>
      <c r="D32" s="3383" t="s">
        <v>2654</v>
      </c>
      <c r="E32" s="3401" t="s">
        <v>162</v>
      </c>
      <c r="F32" s="3399">
        <v>252012</v>
      </c>
      <c r="G32" s="3404" t="s">
        <v>161</v>
      </c>
      <c r="H32" s="3399">
        <f t="shared" si="1"/>
        <v>254112</v>
      </c>
      <c r="I32" s="3398">
        <f t="shared" si="3"/>
        <v>2100</v>
      </c>
      <c r="J32" s="3528"/>
      <c r="K32" s="3390">
        <f t="shared" si="0"/>
        <v>21176</v>
      </c>
      <c r="L32" s="3389">
        <f t="shared" si="2"/>
        <v>423.52</v>
      </c>
    </row>
    <row r="33" spans="1:12" s="3390" customFormat="1" ht="18" customHeight="1">
      <c r="A33" s="3403">
        <v>14</v>
      </c>
      <c r="B33" s="3403">
        <v>15</v>
      </c>
      <c r="C33" s="3406" t="s">
        <v>2642</v>
      </c>
      <c r="D33" s="3417" t="s">
        <v>2653</v>
      </c>
      <c r="E33" s="3401" t="s">
        <v>163</v>
      </c>
      <c r="F33" s="3399">
        <v>249924</v>
      </c>
      <c r="G33" s="3401" t="s">
        <v>163</v>
      </c>
      <c r="H33" s="3399">
        <f t="shared" si="1"/>
        <v>249924</v>
      </c>
      <c r="I33" s="3398">
        <f t="shared" si="3"/>
        <v>0</v>
      </c>
      <c r="J33" s="3528"/>
      <c r="K33" s="3390">
        <f t="shared" si="0"/>
        <v>20827</v>
      </c>
      <c r="L33" s="3389">
        <f t="shared" si="2"/>
        <v>416.54</v>
      </c>
    </row>
    <row r="34" spans="1:12" s="3390" customFormat="1" ht="18" customHeight="1">
      <c r="A34" s="3403">
        <v>15</v>
      </c>
      <c r="B34" s="3403">
        <v>16</v>
      </c>
      <c r="C34" s="3551" t="s">
        <v>2642</v>
      </c>
      <c r="D34" s="3395" t="s">
        <v>2652</v>
      </c>
      <c r="E34" s="3401" t="s">
        <v>165</v>
      </c>
      <c r="F34" s="3399">
        <v>245796</v>
      </c>
      <c r="G34" s="3401" t="s">
        <v>165</v>
      </c>
      <c r="H34" s="3399">
        <f t="shared" si="1"/>
        <v>245796</v>
      </c>
      <c r="I34" s="3398">
        <f t="shared" si="3"/>
        <v>0</v>
      </c>
      <c r="J34" s="3528"/>
      <c r="K34" s="3390">
        <f t="shared" si="0"/>
        <v>20483</v>
      </c>
      <c r="L34" s="3389">
        <f t="shared" si="2"/>
        <v>409.66</v>
      </c>
    </row>
    <row r="35" spans="1:12" s="3390" customFormat="1" ht="18" customHeight="1">
      <c r="A35" s="3403">
        <v>16</v>
      </c>
      <c r="B35" s="3403">
        <v>17</v>
      </c>
      <c r="C35" s="3551" t="s">
        <v>2642</v>
      </c>
      <c r="D35" s="3563" t="s">
        <v>2651</v>
      </c>
      <c r="E35" s="3401" t="s">
        <v>166</v>
      </c>
      <c r="F35" s="3399">
        <v>243756</v>
      </c>
      <c r="G35" s="3404" t="s">
        <v>165</v>
      </c>
      <c r="H35" s="3399">
        <f t="shared" si="1"/>
        <v>245796</v>
      </c>
      <c r="I35" s="3398">
        <f t="shared" si="3"/>
        <v>2040</v>
      </c>
      <c r="J35" s="3528"/>
      <c r="K35" s="3390">
        <f t="shared" si="0"/>
        <v>20483</v>
      </c>
      <c r="L35" s="3389">
        <f t="shared" si="2"/>
        <v>409.66</v>
      </c>
    </row>
    <row r="36" spans="1:12" s="3390" customFormat="1" ht="18" customHeight="1">
      <c r="A36" s="3403">
        <v>17</v>
      </c>
      <c r="B36" s="3403">
        <v>18</v>
      </c>
      <c r="C36" s="3551" t="s">
        <v>2642</v>
      </c>
      <c r="D36" s="3395" t="s">
        <v>2650</v>
      </c>
      <c r="E36" s="3401" t="s">
        <v>166</v>
      </c>
      <c r="F36" s="3399">
        <v>243756</v>
      </c>
      <c r="G36" s="3401" t="s">
        <v>166</v>
      </c>
      <c r="H36" s="3399">
        <f t="shared" si="1"/>
        <v>243756</v>
      </c>
      <c r="I36" s="3398">
        <f t="shared" si="3"/>
        <v>0</v>
      </c>
      <c r="J36" s="3528"/>
      <c r="K36" s="3390">
        <f t="shared" si="0"/>
        <v>20313</v>
      </c>
      <c r="L36" s="3389">
        <f t="shared" si="2"/>
        <v>406.26</v>
      </c>
    </row>
    <row r="37" spans="1:12" s="3390" customFormat="1" ht="18" customHeight="1">
      <c r="A37" s="3403">
        <v>19</v>
      </c>
      <c r="B37" s="3403">
        <v>19</v>
      </c>
      <c r="C37" s="3551" t="s">
        <v>2642</v>
      </c>
      <c r="D37" s="3383" t="s">
        <v>2649</v>
      </c>
      <c r="E37" s="3401" t="s">
        <v>167</v>
      </c>
      <c r="F37" s="3399">
        <v>241740</v>
      </c>
      <c r="G37" s="3404" t="s">
        <v>166</v>
      </c>
      <c r="H37" s="3399">
        <f t="shared" si="1"/>
        <v>243756</v>
      </c>
      <c r="I37" s="3398">
        <f t="shared" si="3"/>
        <v>2016</v>
      </c>
      <c r="J37" s="3528"/>
      <c r="K37" s="3390">
        <f t="shared" si="0"/>
        <v>20313</v>
      </c>
      <c r="L37" s="3389">
        <f t="shared" si="2"/>
        <v>406.26</v>
      </c>
    </row>
    <row r="38" spans="1:12" s="3390" customFormat="1" ht="18" customHeight="1">
      <c r="A38" s="3403">
        <v>20</v>
      </c>
      <c r="B38" s="3403">
        <v>20</v>
      </c>
      <c r="C38" s="3259" t="s">
        <v>2642</v>
      </c>
      <c r="D38" s="3395" t="s">
        <v>2648</v>
      </c>
      <c r="E38" s="3401" t="s">
        <v>167</v>
      </c>
      <c r="F38" s="3399">
        <v>241740</v>
      </c>
      <c r="G38" s="3401" t="s">
        <v>167</v>
      </c>
      <c r="H38" s="3399">
        <f t="shared" si="1"/>
        <v>241740</v>
      </c>
      <c r="I38" s="3398">
        <f t="shared" ref="I38:I43" si="4">H38-F38</f>
        <v>0</v>
      </c>
      <c r="J38" s="3528"/>
      <c r="K38" s="3390">
        <f t="shared" si="0"/>
        <v>20145</v>
      </c>
      <c r="L38" s="3389">
        <f t="shared" si="2"/>
        <v>402.90000000000003</v>
      </c>
    </row>
    <row r="39" spans="1:12" s="3390" customFormat="1" ht="18" customHeight="1">
      <c r="A39" s="3403">
        <v>21</v>
      </c>
      <c r="B39" s="3403">
        <v>21</v>
      </c>
      <c r="C39" s="3259" t="s">
        <v>2642</v>
      </c>
      <c r="D39" s="3395" t="s">
        <v>2647</v>
      </c>
      <c r="E39" s="3401" t="s">
        <v>167</v>
      </c>
      <c r="F39" s="3399">
        <v>241740</v>
      </c>
      <c r="G39" s="3401" t="s">
        <v>167</v>
      </c>
      <c r="H39" s="3399">
        <f t="shared" si="1"/>
        <v>241740</v>
      </c>
      <c r="I39" s="3398">
        <f t="shared" si="4"/>
        <v>0</v>
      </c>
      <c r="J39" s="3528"/>
      <c r="K39" s="3390">
        <f t="shared" si="0"/>
        <v>20145</v>
      </c>
      <c r="L39" s="3389">
        <f t="shared" si="2"/>
        <v>402.90000000000003</v>
      </c>
    </row>
    <row r="40" spans="1:12" s="3390" customFormat="1" ht="18" customHeight="1">
      <c r="A40" s="3403">
        <v>22</v>
      </c>
      <c r="B40" s="3403">
        <v>22</v>
      </c>
      <c r="C40" s="3259" t="s">
        <v>2642</v>
      </c>
      <c r="D40" s="3395" t="s">
        <v>2646</v>
      </c>
      <c r="E40" s="3401" t="s">
        <v>167</v>
      </c>
      <c r="F40" s="3399">
        <v>241740</v>
      </c>
      <c r="G40" s="3401" t="s">
        <v>167</v>
      </c>
      <c r="H40" s="3399">
        <f t="shared" si="1"/>
        <v>241740</v>
      </c>
      <c r="I40" s="3398">
        <f t="shared" si="4"/>
        <v>0</v>
      </c>
      <c r="J40" s="3528"/>
      <c r="K40" s="3390">
        <f t="shared" si="0"/>
        <v>20145</v>
      </c>
      <c r="L40" s="3389">
        <f t="shared" si="2"/>
        <v>402.90000000000003</v>
      </c>
    </row>
    <row r="41" spans="1:12" s="3390" customFormat="1" ht="18" customHeight="1">
      <c r="A41" s="3403">
        <v>23</v>
      </c>
      <c r="B41" s="3403">
        <v>23</v>
      </c>
      <c r="C41" s="3259" t="s">
        <v>2642</v>
      </c>
      <c r="D41" s="3395" t="s">
        <v>2645</v>
      </c>
      <c r="E41" s="3401" t="s">
        <v>167</v>
      </c>
      <c r="F41" s="3399">
        <v>241740</v>
      </c>
      <c r="G41" s="3401" t="s">
        <v>167</v>
      </c>
      <c r="H41" s="3399">
        <f t="shared" si="1"/>
        <v>241740</v>
      </c>
      <c r="I41" s="3398">
        <f t="shared" si="4"/>
        <v>0</v>
      </c>
      <c r="J41" s="3528"/>
      <c r="K41" s="3390">
        <f t="shared" si="0"/>
        <v>20145</v>
      </c>
      <c r="L41" s="3389">
        <f t="shared" si="2"/>
        <v>402.90000000000003</v>
      </c>
    </row>
    <row r="42" spans="1:12" s="3390" customFormat="1" ht="18" customHeight="1">
      <c r="A42" s="3403">
        <v>24</v>
      </c>
      <c r="B42" s="3403">
        <v>24</v>
      </c>
      <c r="C42" s="3259" t="s">
        <v>2642</v>
      </c>
      <c r="D42" s="3395" t="s">
        <v>2644</v>
      </c>
      <c r="E42" s="3401" t="s">
        <v>167</v>
      </c>
      <c r="F42" s="3399">
        <v>241740</v>
      </c>
      <c r="G42" s="3401" t="s">
        <v>167</v>
      </c>
      <c r="H42" s="3399">
        <f t="shared" si="1"/>
        <v>241740</v>
      </c>
      <c r="I42" s="3398">
        <f t="shared" si="4"/>
        <v>0</v>
      </c>
      <c r="J42" s="3528"/>
      <c r="K42" s="3390">
        <f t="shared" si="0"/>
        <v>20145</v>
      </c>
      <c r="L42" s="3389">
        <f t="shared" si="2"/>
        <v>402.90000000000003</v>
      </c>
    </row>
    <row r="43" spans="1:12" s="3390" customFormat="1" ht="18" customHeight="1">
      <c r="A43" s="3403">
        <v>25</v>
      </c>
      <c r="B43" s="3403">
        <v>25</v>
      </c>
      <c r="C43" s="3259" t="s">
        <v>2642</v>
      </c>
      <c r="D43" s="3395" t="s">
        <v>2643</v>
      </c>
      <c r="E43" s="3401" t="s">
        <v>167</v>
      </c>
      <c r="F43" s="3399">
        <v>241740</v>
      </c>
      <c r="G43" s="3401" t="s">
        <v>167</v>
      </c>
      <c r="H43" s="3399">
        <f t="shared" si="1"/>
        <v>241740</v>
      </c>
      <c r="I43" s="3398">
        <f t="shared" si="4"/>
        <v>0</v>
      </c>
      <c r="J43" s="3528"/>
      <c r="K43" s="3390">
        <f t="shared" si="0"/>
        <v>20145</v>
      </c>
      <c r="L43" s="3389">
        <f t="shared" si="2"/>
        <v>402.90000000000003</v>
      </c>
    </row>
    <row r="44" spans="1:12" s="3390" customFormat="1" ht="18" customHeight="1">
      <c r="A44" s="3403">
        <v>18</v>
      </c>
      <c r="B44" s="3403">
        <v>26</v>
      </c>
      <c r="C44" s="3259" t="s">
        <v>2642</v>
      </c>
      <c r="D44" s="3412" t="s">
        <v>2641</v>
      </c>
      <c r="E44" s="3401" t="s">
        <v>166</v>
      </c>
      <c r="F44" s="3399">
        <v>243756</v>
      </c>
      <c r="G44" s="3404" t="s">
        <v>167</v>
      </c>
      <c r="H44" s="3399">
        <f t="shared" si="1"/>
        <v>241740</v>
      </c>
      <c r="I44" s="3398">
        <f>SUM(H44-F44)</f>
        <v>-2016</v>
      </c>
      <c r="J44" s="3528"/>
      <c r="K44" s="3390">
        <f t="shared" si="0"/>
        <v>20145</v>
      </c>
      <c r="L44" s="3389">
        <f t="shared" si="2"/>
        <v>402.90000000000003</v>
      </c>
    </row>
    <row r="45" spans="1:12" s="3390" customFormat="1" ht="18" customHeight="1">
      <c r="A45" s="3397">
        <v>169</v>
      </c>
      <c r="B45" s="3397">
        <v>27</v>
      </c>
      <c r="C45" s="3396" t="s">
        <v>2640</v>
      </c>
      <c r="D45" s="3395" t="s">
        <v>245</v>
      </c>
      <c r="E45" s="3401" t="s">
        <v>183</v>
      </c>
      <c r="F45" s="3392">
        <v>208056</v>
      </c>
      <c r="G45" s="3393" t="s">
        <v>183</v>
      </c>
      <c r="H45" s="3392">
        <f t="shared" si="1"/>
        <v>208056</v>
      </c>
      <c r="I45" s="3391">
        <f>SUM(H45-F45)</f>
        <v>0</v>
      </c>
      <c r="J45" s="3528"/>
      <c r="K45" s="3390">
        <f t="shared" si="0"/>
        <v>17338</v>
      </c>
      <c r="L45" s="3389">
        <f t="shared" si="2"/>
        <v>346.76</v>
      </c>
    </row>
    <row r="46" spans="1:12" s="3390" customFormat="1" ht="18" customHeight="1">
      <c r="A46" s="3397">
        <v>170</v>
      </c>
      <c r="B46" s="3397">
        <v>28</v>
      </c>
      <c r="C46" s="3396" t="s">
        <v>2640</v>
      </c>
      <c r="D46" s="3395" t="s">
        <v>245</v>
      </c>
      <c r="E46" s="3401" t="s">
        <v>183</v>
      </c>
      <c r="F46" s="3392">
        <v>208056</v>
      </c>
      <c r="G46" s="3393" t="s">
        <v>183</v>
      </c>
      <c r="H46" s="3392">
        <f t="shared" si="1"/>
        <v>208056</v>
      </c>
      <c r="I46" s="3391">
        <f>SUM(H46-F46)</f>
        <v>0</v>
      </c>
      <c r="J46" s="3528"/>
      <c r="K46" s="3390">
        <f t="shared" si="0"/>
        <v>17338</v>
      </c>
      <c r="L46" s="3389">
        <f t="shared" si="2"/>
        <v>346.76</v>
      </c>
    </row>
    <row r="47" spans="1:12" s="3390" customFormat="1" ht="18" customHeight="1">
      <c r="A47" s="3397">
        <v>171</v>
      </c>
      <c r="B47" s="3397">
        <v>29</v>
      </c>
      <c r="C47" s="3396" t="s">
        <v>2640</v>
      </c>
      <c r="D47" s="3395" t="s">
        <v>245</v>
      </c>
      <c r="E47" s="3401" t="s">
        <v>183</v>
      </c>
      <c r="F47" s="3392">
        <v>208056</v>
      </c>
      <c r="G47" s="3393" t="s">
        <v>183</v>
      </c>
      <c r="H47" s="3392">
        <f t="shared" si="1"/>
        <v>208056</v>
      </c>
      <c r="I47" s="3391">
        <f>SUM(H47-F47)</f>
        <v>0</v>
      </c>
      <c r="J47" s="3528"/>
      <c r="K47" s="3390">
        <f t="shared" si="0"/>
        <v>17338</v>
      </c>
      <c r="L47" s="3389">
        <f t="shared" si="2"/>
        <v>346.76</v>
      </c>
    </row>
    <row r="48" spans="1:12" s="3390" customFormat="1" ht="18" customHeight="1">
      <c r="A48" s="3562"/>
      <c r="B48" s="3562"/>
      <c r="C48" s="3259"/>
      <c r="D48" s="3395"/>
      <c r="E48" s="3401"/>
      <c r="F48" s="3399"/>
      <c r="G48" s="3401"/>
      <c r="H48" s="3399"/>
      <c r="I48" s="3398"/>
      <c r="J48" s="3528"/>
      <c r="K48" s="3390">
        <f t="shared" si="0"/>
        <v>0</v>
      </c>
      <c r="L48" s="3389">
        <f t="shared" si="2"/>
        <v>0</v>
      </c>
    </row>
    <row r="49" spans="1:12" s="3390" customFormat="1" ht="18" customHeight="1">
      <c r="A49" s="3562"/>
      <c r="B49" s="3562"/>
      <c r="C49" s="3469" t="s">
        <v>2639</v>
      </c>
      <c r="D49" s="3406"/>
      <c r="E49" s="3520"/>
      <c r="F49" s="3406"/>
      <c r="G49" s="3520"/>
      <c r="H49" s="3406"/>
      <c r="I49" s="3406"/>
      <c r="J49" s="3528"/>
      <c r="K49" s="3390">
        <f t="shared" si="0"/>
        <v>0</v>
      </c>
      <c r="L49" s="3389">
        <f t="shared" si="2"/>
        <v>0</v>
      </c>
    </row>
    <row r="50" spans="1:12" s="3390" customFormat="1" ht="18" customHeight="1">
      <c r="A50" s="3562">
        <v>26</v>
      </c>
      <c r="B50" s="3562">
        <v>30</v>
      </c>
      <c r="C50" s="3406" t="s">
        <v>2638</v>
      </c>
      <c r="D50" s="3383" t="s">
        <v>245</v>
      </c>
      <c r="E50" s="3561" t="s">
        <v>127</v>
      </c>
      <c r="F50" s="3406">
        <v>382752</v>
      </c>
      <c r="G50" s="3401" t="s">
        <v>127</v>
      </c>
      <c r="H50" s="3399">
        <f>VLOOKUP(G50,$A$337:$B$545,2)*12</f>
        <v>382752</v>
      </c>
      <c r="I50" s="3399">
        <f>SUM(H50-F50)</f>
        <v>0</v>
      </c>
      <c r="J50" s="3528"/>
      <c r="K50" s="3390">
        <f t="shared" si="0"/>
        <v>31896</v>
      </c>
      <c r="L50" s="3389">
        <f t="shared" si="2"/>
        <v>637.91999999999996</v>
      </c>
    </row>
    <row r="51" spans="1:12" s="3390" customFormat="1" ht="18" customHeight="1">
      <c r="A51" s="3562">
        <v>27</v>
      </c>
      <c r="B51" s="3562">
        <v>31</v>
      </c>
      <c r="C51" s="3406" t="s">
        <v>2637</v>
      </c>
      <c r="D51" s="3383" t="s">
        <v>2636</v>
      </c>
      <c r="E51" s="3561" t="s">
        <v>158</v>
      </c>
      <c r="F51" s="3406">
        <v>275436</v>
      </c>
      <c r="G51" s="3401" t="s">
        <v>158</v>
      </c>
      <c r="H51" s="3399">
        <f>VLOOKUP(G51,$A$337:$B$545,2)*12</f>
        <v>275436</v>
      </c>
      <c r="I51" s="3399">
        <f>SUM(H51-F51)</f>
        <v>0</v>
      </c>
      <c r="J51" s="3528"/>
      <c r="K51" s="3390">
        <f t="shared" si="0"/>
        <v>22953</v>
      </c>
      <c r="L51" s="3389">
        <f t="shared" si="2"/>
        <v>459.06</v>
      </c>
    </row>
    <row r="52" spans="1:12" s="3336" customFormat="1" ht="16.5" customHeight="1">
      <c r="A52" s="3560"/>
      <c r="B52" s="3560"/>
      <c r="C52" s="3456"/>
      <c r="D52" s="3559"/>
      <c r="E52" s="3558"/>
      <c r="F52" s="3456"/>
      <c r="G52" s="3454"/>
      <c r="H52" s="3453"/>
      <c r="I52" s="3453"/>
      <c r="J52" s="3532"/>
      <c r="K52" s="3390">
        <f t="shared" si="0"/>
        <v>0</v>
      </c>
      <c r="L52" s="3389">
        <f t="shared" si="2"/>
        <v>0</v>
      </c>
    </row>
    <row r="53" spans="1:12" s="3336" customFormat="1" ht="16.5" customHeight="1">
      <c r="B53" s="3557"/>
      <c r="C53" s="3556" t="s">
        <v>2635</v>
      </c>
      <c r="D53" s="3556"/>
      <c r="E53" s="3555"/>
      <c r="F53" s="3419"/>
      <c r="G53" s="3171" t="s">
        <v>2634</v>
      </c>
      <c r="J53" s="3532"/>
      <c r="K53" s="3390">
        <f t="shared" si="0"/>
        <v>0</v>
      </c>
      <c r="L53" s="3389">
        <f t="shared" si="2"/>
        <v>0</v>
      </c>
    </row>
    <row r="54" spans="1:12" s="3390" customFormat="1" ht="13.5" customHeight="1">
      <c r="A54" s="3447"/>
      <c r="B54" s="3448" t="s">
        <v>2457</v>
      </c>
      <c r="C54" s="3416"/>
      <c r="D54" s="3419"/>
      <c r="E54" s="3381"/>
      <c r="F54" s="3445"/>
      <c r="H54" s="3443"/>
      <c r="I54" s="3443"/>
      <c r="J54" s="3528"/>
      <c r="K54" s="3390">
        <f t="shared" si="0"/>
        <v>0</v>
      </c>
      <c r="L54" s="3389">
        <f t="shared" si="2"/>
        <v>0</v>
      </c>
    </row>
    <row r="55" spans="1:12" s="3390" customFormat="1" ht="13.5" customHeight="1">
      <c r="A55" s="3447"/>
      <c r="B55" s="3446" t="s">
        <v>2633</v>
      </c>
      <c r="C55" s="3416"/>
      <c r="D55" s="3419"/>
      <c r="E55" s="3381"/>
      <c r="F55" s="3445"/>
      <c r="H55" s="3444"/>
      <c r="I55" s="3443"/>
      <c r="J55" s="3528"/>
      <c r="K55" s="3390">
        <f t="shared" si="0"/>
        <v>0</v>
      </c>
      <c r="L55" s="3389">
        <f t="shared" si="2"/>
        <v>0</v>
      </c>
    </row>
    <row r="56" spans="1:12" s="3390" customFormat="1" ht="13.5" customHeight="1">
      <c r="A56" s="3447"/>
      <c r="B56" s="3446"/>
      <c r="C56" s="3416"/>
      <c r="D56" s="3419"/>
      <c r="E56" s="3381"/>
      <c r="F56" s="3445"/>
      <c r="H56" s="3444"/>
      <c r="I56" s="3443"/>
      <c r="J56" s="3528"/>
      <c r="K56" s="3390">
        <f t="shared" si="0"/>
        <v>0</v>
      </c>
      <c r="L56" s="3389">
        <f t="shared" si="2"/>
        <v>0</v>
      </c>
    </row>
    <row r="57" spans="1:12" s="3390" customFormat="1" ht="13.5" customHeight="1">
      <c r="A57" s="3441"/>
      <c r="B57" s="3442"/>
      <c r="C57" s="3387"/>
      <c r="D57" s="3441"/>
      <c r="E57" s="4954" t="s">
        <v>348</v>
      </c>
      <c r="F57" s="4955"/>
      <c r="G57" s="4954" t="s">
        <v>2455</v>
      </c>
      <c r="H57" s="4955"/>
      <c r="I57" s="3440"/>
      <c r="J57" s="3528"/>
      <c r="K57" s="3390">
        <f t="shared" si="0"/>
        <v>0</v>
      </c>
      <c r="L57" s="3389">
        <f t="shared" si="2"/>
        <v>0</v>
      </c>
    </row>
    <row r="58" spans="1:12" s="3390" customFormat="1" ht="13.5" customHeight="1">
      <c r="A58" s="3439"/>
      <c r="B58" s="3438"/>
      <c r="C58" s="3406"/>
      <c r="D58" s="3257"/>
      <c r="E58" s="4956" t="s">
        <v>346</v>
      </c>
      <c r="F58" s="4957"/>
      <c r="G58" s="4956" t="s">
        <v>345</v>
      </c>
      <c r="H58" s="4957"/>
      <c r="I58" s="3434"/>
      <c r="J58" s="3528"/>
      <c r="K58" s="3390">
        <f t="shared" si="0"/>
        <v>0</v>
      </c>
      <c r="L58" s="3389">
        <f t="shared" si="2"/>
        <v>0</v>
      </c>
    </row>
    <row r="59" spans="1:12" s="3390" customFormat="1" ht="13.5" customHeight="1">
      <c r="A59" s="4956" t="s">
        <v>2454</v>
      </c>
      <c r="B59" s="4957"/>
      <c r="C59" s="3434" t="s">
        <v>342</v>
      </c>
      <c r="D59" s="3433" t="s">
        <v>341</v>
      </c>
      <c r="E59" s="4958" t="s">
        <v>2453</v>
      </c>
      <c r="F59" s="4958"/>
      <c r="G59" s="4958" t="s">
        <v>2453</v>
      </c>
      <c r="H59" s="4958"/>
      <c r="I59" s="3434" t="s">
        <v>340</v>
      </c>
      <c r="J59" s="3528"/>
      <c r="K59" s="3390">
        <f t="shared" si="0"/>
        <v>0</v>
      </c>
      <c r="L59" s="3389">
        <f t="shared" si="2"/>
        <v>0</v>
      </c>
    </row>
    <row r="60" spans="1:12" s="3390" customFormat="1" ht="13.5" customHeight="1">
      <c r="A60" s="4956" t="s">
        <v>2452</v>
      </c>
      <c r="B60" s="4957"/>
      <c r="C60" s="3434"/>
      <c r="D60" s="3433"/>
      <c r="E60" s="3434" t="s">
        <v>339</v>
      </c>
      <c r="F60" s="3256"/>
      <c r="G60" s="3434" t="s">
        <v>339</v>
      </c>
      <c r="H60" s="3256"/>
      <c r="I60" s="3432" t="s">
        <v>335</v>
      </c>
      <c r="J60" s="3528"/>
      <c r="K60" s="3390">
        <f t="shared" si="0"/>
        <v>0</v>
      </c>
      <c r="L60" s="3389">
        <f t="shared" si="2"/>
        <v>0</v>
      </c>
    </row>
    <row r="61" spans="1:12" s="3390" customFormat="1" ht="13.5" customHeight="1">
      <c r="A61" s="3437" t="s">
        <v>337</v>
      </c>
      <c r="B61" s="3436" t="s">
        <v>336</v>
      </c>
      <c r="C61" s="3435"/>
      <c r="D61" s="3435"/>
      <c r="E61" s="3434" t="s">
        <v>334</v>
      </c>
      <c r="F61" s="3433" t="s">
        <v>333</v>
      </c>
      <c r="G61" s="3434" t="s">
        <v>334</v>
      </c>
      <c r="H61" s="3433" t="s">
        <v>333</v>
      </c>
      <c r="I61" s="3432"/>
      <c r="J61" s="3528"/>
      <c r="K61" s="3390">
        <f t="shared" si="0"/>
        <v>0</v>
      </c>
      <c r="L61" s="3389">
        <f t="shared" si="2"/>
        <v>0</v>
      </c>
    </row>
    <row r="62" spans="1:12" s="3390" customFormat="1" ht="13.5" customHeight="1">
      <c r="A62" s="3431" t="s">
        <v>331</v>
      </c>
      <c r="B62" s="3251" t="s">
        <v>330</v>
      </c>
      <c r="C62" s="3430" t="s">
        <v>329</v>
      </c>
      <c r="D62" s="3430" t="s">
        <v>328</v>
      </c>
      <c r="E62" s="3429" t="s">
        <v>327</v>
      </c>
      <c r="F62" s="3430" t="s">
        <v>326</v>
      </c>
      <c r="G62" s="3429" t="s">
        <v>324</v>
      </c>
      <c r="H62" s="3429" t="s">
        <v>323</v>
      </c>
      <c r="I62" s="3429" t="s">
        <v>325</v>
      </c>
      <c r="J62" s="3528"/>
      <c r="K62" s="3390">
        <f t="shared" si="0"/>
        <v>0</v>
      </c>
      <c r="L62" s="3389">
        <f t="shared" si="2"/>
        <v>0</v>
      </c>
    </row>
    <row r="63" spans="1:12" s="3390" customFormat="1" ht="13.5" customHeight="1">
      <c r="A63" s="3461"/>
      <c r="B63" s="3554"/>
      <c r="C63" s="3432"/>
      <c r="D63" s="3432"/>
      <c r="E63" s="3408"/>
      <c r="F63" s="3432"/>
      <c r="G63" s="3408"/>
      <c r="H63" s="3408"/>
      <c r="I63" s="3408"/>
      <c r="J63" s="3528"/>
      <c r="K63" s="3390">
        <f t="shared" si="0"/>
        <v>0</v>
      </c>
      <c r="L63" s="3389">
        <f t="shared" si="2"/>
        <v>0</v>
      </c>
    </row>
    <row r="64" spans="1:12" s="3390" customFormat="1" ht="16.5" customHeight="1">
      <c r="A64" s="3523"/>
      <c r="B64" s="3523"/>
      <c r="C64" s="3459" t="s">
        <v>2632</v>
      </c>
      <c r="D64" s="3395"/>
      <c r="E64" s="3401"/>
      <c r="F64" s="3399"/>
      <c r="G64" s="3401"/>
      <c r="H64" s="3399"/>
      <c r="I64" s="3399"/>
      <c r="J64" s="3528"/>
      <c r="K64" s="3390">
        <f t="shared" si="0"/>
        <v>0</v>
      </c>
      <c r="L64" s="3389">
        <f t="shared" si="2"/>
        <v>0</v>
      </c>
    </row>
    <row r="65" spans="1:12" s="3390" customFormat="1" ht="16.5" customHeight="1">
      <c r="A65" s="3397">
        <v>172</v>
      </c>
      <c r="B65" s="3397">
        <v>32</v>
      </c>
      <c r="C65" s="3396" t="s">
        <v>2631</v>
      </c>
      <c r="D65" s="3395" t="s">
        <v>2630</v>
      </c>
      <c r="E65" s="3401"/>
      <c r="F65" s="3392">
        <v>0</v>
      </c>
      <c r="G65" s="3393" t="s">
        <v>103</v>
      </c>
      <c r="H65" s="3392">
        <f>VLOOKUP(G65,$A$337:$B$545,2)*12</f>
        <v>497964</v>
      </c>
      <c r="I65" s="3391">
        <f>SUM(H65-F65)</f>
        <v>497964</v>
      </c>
      <c r="J65" s="3528"/>
      <c r="K65" s="3390">
        <f t="shared" si="0"/>
        <v>41497</v>
      </c>
      <c r="L65" s="3389">
        <f t="shared" si="2"/>
        <v>829.94</v>
      </c>
    </row>
    <row r="66" spans="1:12" ht="16.5" customHeight="1">
      <c r="A66" s="3403"/>
      <c r="B66" s="3403"/>
      <c r="C66" s="3406"/>
      <c r="D66" s="3395"/>
      <c r="E66" s="3408"/>
      <c r="F66" s="3407"/>
      <c r="G66" s="3553"/>
      <c r="H66" s="3552"/>
      <c r="I66" s="3552"/>
      <c r="K66" s="3390">
        <f t="shared" si="0"/>
        <v>0</v>
      </c>
      <c r="L66" s="3389">
        <f t="shared" si="2"/>
        <v>0</v>
      </c>
    </row>
    <row r="67" spans="1:12" s="3390" customFormat="1" ht="16.5" customHeight="1">
      <c r="A67" s="3255"/>
      <c r="B67" s="3255"/>
      <c r="C67" s="3383" t="s">
        <v>2629</v>
      </c>
      <c r="D67" s="3432"/>
      <c r="E67" s="3408"/>
      <c r="F67" s="3432"/>
      <c r="G67" s="3408"/>
      <c r="H67" s="3408"/>
      <c r="I67" s="3408"/>
      <c r="J67" s="3528"/>
      <c r="K67" s="3390">
        <f t="shared" si="0"/>
        <v>0</v>
      </c>
      <c r="L67" s="3389">
        <f t="shared" si="2"/>
        <v>0</v>
      </c>
    </row>
    <row r="68" spans="1:12" s="3336" customFormat="1" ht="16.5" customHeight="1">
      <c r="A68" s="3397">
        <v>176</v>
      </c>
      <c r="B68" s="3397">
        <v>33</v>
      </c>
      <c r="C68" s="3413" t="s">
        <v>2628</v>
      </c>
      <c r="D68" s="3412" t="s">
        <v>2627</v>
      </c>
      <c r="E68" s="3408"/>
      <c r="F68" s="3410">
        <v>0</v>
      </c>
      <c r="G68" s="3393" t="s">
        <v>131</v>
      </c>
      <c r="H68" s="3392">
        <f t="shared" ref="H68:H76" si="5">VLOOKUP(G68,$A$337:$B$545,2)*12</f>
        <v>367080</v>
      </c>
      <c r="I68" s="3392">
        <f>SUM(H68-F68)</f>
        <v>367080</v>
      </c>
      <c r="J68" s="3532"/>
      <c r="K68" s="3390">
        <f t="shared" si="0"/>
        <v>30590</v>
      </c>
      <c r="L68" s="3389">
        <f t="shared" si="2"/>
        <v>611.80000000000007</v>
      </c>
    </row>
    <row r="69" spans="1:12" s="3336" customFormat="1" ht="16.5" customHeight="1">
      <c r="A69" s="3481"/>
      <c r="B69" s="3481">
        <v>34</v>
      </c>
      <c r="C69" s="3413" t="s">
        <v>1116</v>
      </c>
      <c r="D69" s="3412" t="s">
        <v>245</v>
      </c>
      <c r="E69" s="3408"/>
      <c r="F69" s="3410"/>
      <c r="G69" s="3393" t="s">
        <v>167</v>
      </c>
      <c r="H69" s="3392">
        <f t="shared" si="5"/>
        <v>241740</v>
      </c>
      <c r="I69" s="3392">
        <f>SUM(H69-F69)</f>
        <v>241740</v>
      </c>
      <c r="J69" s="3532"/>
      <c r="K69" s="3390">
        <f t="shared" si="0"/>
        <v>20145</v>
      </c>
      <c r="L69" s="3389">
        <f t="shared" si="2"/>
        <v>402.90000000000003</v>
      </c>
    </row>
    <row r="70" spans="1:12" s="3390" customFormat="1" ht="16.5" customHeight="1">
      <c r="A70" s="3523">
        <v>28</v>
      </c>
      <c r="B70" s="3523">
        <v>35</v>
      </c>
      <c r="C70" s="3259" t="s">
        <v>888</v>
      </c>
      <c r="D70" s="3383" t="s">
        <v>2626</v>
      </c>
      <c r="E70" s="3401" t="s">
        <v>190</v>
      </c>
      <c r="F70" s="3399">
        <v>197340</v>
      </c>
      <c r="G70" s="3404" t="s">
        <v>189</v>
      </c>
      <c r="H70" s="3399">
        <f t="shared" si="5"/>
        <v>198864</v>
      </c>
      <c r="I70" s="3399">
        <f>SUM(H70-F70)</f>
        <v>1524</v>
      </c>
      <c r="J70" s="3528"/>
      <c r="K70" s="3390">
        <f t="shared" si="0"/>
        <v>16572</v>
      </c>
      <c r="L70" s="3389">
        <f t="shared" si="2"/>
        <v>331.44</v>
      </c>
    </row>
    <row r="71" spans="1:12" s="3390" customFormat="1" ht="16.5" customHeight="1">
      <c r="A71" s="3523">
        <v>29</v>
      </c>
      <c r="B71" s="3523">
        <v>36</v>
      </c>
      <c r="C71" s="3259" t="s">
        <v>2625</v>
      </c>
      <c r="D71" s="3478" t="s">
        <v>2624</v>
      </c>
      <c r="E71" s="3401" t="s">
        <v>214</v>
      </c>
      <c r="F71" s="3399">
        <v>165420</v>
      </c>
      <c r="G71" s="3401" t="s">
        <v>214</v>
      </c>
      <c r="H71" s="3399">
        <f t="shared" si="5"/>
        <v>165420</v>
      </c>
      <c r="I71" s="3399">
        <f>SUM(H71-F71)</f>
        <v>0</v>
      </c>
      <c r="J71" s="3528"/>
      <c r="K71" s="3390">
        <f t="shared" si="0"/>
        <v>13785</v>
      </c>
      <c r="L71" s="3389">
        <f t="shared" si="2"/>
        <v>275.7</v>
      </c>
    </row>
    <row r="72" spans="1:12" s="3390" customFormat="1" ht="16.5" customHeight="1">
      <c r="A72" s="3523">
        <v>30</v>
      </c>
      <c r="B72" s="3523">
        <v>37</v>
      </c>
      <c r="C72" s="3406" t="s">
        <v>246</v>
      </c>
      <c r="D72" s="3383" t="s">
        <v>2623</v>
      </c>
      <c r="E72" s="3401" t="s">
        <v>229</v>
      </c>
      <c r="F72" s="3399">
        <v>148056</v>
      </c>
      <c r="G72" s="3404" t="s">
        <v>228</v>
      </c>
      <c r="H72" s="3399">
        <f t="shared" si="5"/>
        <v>149196</v>
      </c>
      <c r="I72" s="3398">
        <f>H72-F72</f>
        <v>1140</v>
      </c>
      <c r="J72" s="3528"/>
      <c r="K72" s="3390">
        <f t="shared" si="0"/>
        <v>12433</v>
      </c>
      <c r="L72" s="3389">
        <f t="shared" si="2"/>
        <v>248.66</v>
      </c>
    </row>
    <row r="73" spans="1:12" s="3390" customFormat="1" ht="16.5" customHeight="1">
      <c r="A73" s="3523">
        <v>31</v>
      </c>
      <c r="B73" s="3523">
        <v>38</v>
      </c>
      <c r="C73" s="3406" t="s">
        <v>246</v>
      </c>
      <c r="D73" s="3478" t="s">
        <v>2622</v>
      </c>
      <c r="E73" s="3401" t="s">
        <v>229</v>
      </c>
      <c r="F73" s="3399">
        <v>148056</v>
      </c>
      <c r="G73" s="3404" t="s">
        <v>228</v>
      </c>
      <c r="H73" s="3399">
        <f t="shared" si="5"/>
        <v>149196</v>
      </c>
      <c r="I73" s="3398">
        <f>H73-F73</f>
        <v>1140</v>
      </c>
      <c r="J73" s="3528"/>
      <c r="K73" s="3390">
        <f t="shared" si="0"/>
        <v>12433</v>
      </c>
      <c r="L73" s="3389">
        <f t="shared" si="2"/>
        <v>248.66</v>
      </c>
    </row>
    <row r="74" spans="1:12" s="3390" customFormat="1" ht="16.5" customHeight="1">
      <c r="A74" s="3523">
        <v>32</v>
      </c>
      <c r="B74" s="3523">
        <v>39</v>
      </c>
      <c r="C74" s="3406" t="s">
        <v>246</v>
      </c>
      <c r="D74" s="3395" t="s">
        <v>2621</v>
      </c>
      <c r="E74" s="3401" t="s">
        <v>230</v>
      </c>
      <c r="F74" s="3399">
        <v>146928</v>
      </c>
      <c r="G74" s="3401" t="s">
        <v>230</v>
      </c>
      <c r="H74" s="3399">
        <f t="shared" si="5"/>
        <v>146928</v>
      </c>
      <c r="I74" s="3398">
        <f>H74-F74</f>
        <v>0</v>
      </c>
      <c r="J74" s="3528"/>
      <c r="K74" s="3390">
        <f t="shared" si="0"/>
        <v>12244</v>
      </c>
      <c r="L74" s="3389">
        <f t="shared" si="2"/>
        <v>244.88</v>
      </c>
    </row>
    <row r="75" spans="1:12" s="3390" customFormat="1" ht="16.5" customHeight="1">
      <c r="A75" s="3523">
        <v>33</v>
      </c>
      <c r="B75" s="3523">
        <v>40</v>
      </c>
      <c r="C75" s="3406" t="s">
        <v>246</v>
      </c>
      <c r="D75" s="3395" t="s">
        <v>2620</v>
      </c>
      <c r="E75" s="3401" t="s">
        <v>230</v>
      </c>
      <c r="F75" s="3399">
        <v>146928</v>
      </c>
      <c r="G75" s="3401" t="s">
        <v>230</v>
      </c>
      <c r="H75" s="3399">
        <f t="shared" si="5"/>
        <v>146928</v>
      </c>
      <c r="I75" s="3398">
        <f>H75-F75</f>
        <v>0</v>
      </c>
      <c r="J75" s="3528"/>
      <c r="K75" s="3390">
        <f t="shared" si="0"/>
        <v>12244</v>
      </c>
      <c r="L75" s="3389">
        <f t="shared" si="2"/>
        <v>244.88</v>
      </c>
    </row>
    <row r="76" spans="1:12" s="3390" customFormat="1" ht="16.5" customHeight="1">
      <c r="A76" s="3523">
        <v>34</v>
      </c>
      <c r="B76" s="3523">
        <v>41</v>
      </c>
      <c r="C76" s="3551" t="s">
        <v>2619</v>
      </c>
      <c r="D76" s="3395" t="s">
        <v>2618</v>
      </c>
      <c r="E76" s="3401" t="s">
        <v>230</v>
      </c>
      <c r="F76" s="3399">
        <v>146928</v>
      </c>
      <c r="G76" s="3401" t="s">
        <v>230</v>
      </c>
      <c r="H76" s="3399">
        <f t="shared" si="5"/>
        <v>146928</v>
      </c>
      <c r="I76" s="3399">
        <f>SUM(H76-F76)</f>
        <v>0</v>
      </c>
      <c r="J76" s="3528"/>
      <c r="K76" s="3390">
        <f t="shared" si="0"/>
        <v>12244</v>
      </c>
      <c r="L76" s="3389">
        <f t="shared" si="2"/>
        <v>244.88</v>
      </c>
    </row>
    <row r="77" spans="1:12" s="3390" customFormat="1" ht="16.5" customHeight="1">
      <c r="A77" s="3523"/>
      <c r="B77" s="3523"/>
      <c r="C77" s="3417" t="s">
        <v>2617</v>
      </c>
      <c r="D77" s="3395"/>
      <c r="E77" s="3401"/>
      <c r="F77" s="3399"/>
      <c r="G77" s="3401"/>
      <c r="H77" s="3399"/>
      <c r="I77" s="3399"/>
      <c r="J77" s="3528"/>
      <c r="K77" s="3390">
        <f t="shared" si="0"/>
        <v>0</v>
      </c>
      <c r="L77" s="3389">
        <f t="shared" si="2"/>
        <v>0</v>
      </c>
    </row>
    <row r="78" spans="1:12" s="3390" customFormat="1" ht="16.5" customHeight="1">
      <c r="A78" s="3522">
        <v>35</v>
      </c>
      <c r="B78" s="3522">
        <v>42</v>
      </c>
      <c r="C78" s="3406" t="s">
        <v>2616</v>
      </c>
      <c r="D78" s="3383" t="s">
        <v>2615</v>
      </c>
      <c r="E78" s="3520" t="s">
        <v>198</v>
      </c>
      <c r="F78" s="3406">
        <v>186108</v>
      </c>
      <c r="G78" s="3401" t="s">
        <v>198</v>
      </c>
      <c r="H78" s="3399">
        <f>VLOOKUP(G78,$A$337:$B$545,2)*12</f>
        <v>186108</v>
      </c>
      <c r="I78" s="3399">
        <f>SUM(H78-F78)</f>
        <v>0</v>
      </c>
      <c r="J78" s="3528"/>
      <c r="K78" s="3390">
        <f t="shared" si="0"/>
        <v>15509</v>
      </c>
      <c r="L78" s="3389">
        <f t="shared" si="2"/>
        <v>310.18</v>
      </c>
    </row>
    <row r="79" spans="1:12" s="3390" customFormat="1" ht="16.5" customHeight="1">
      <c r="A79" s="3550"/>
      <c r="B79" s="3523"/>
      <c r="C79" s="3395" t="s">
        <v>2614</v>
      </c>
      <c r="D79" s="3395"/>
      <c r="E79" s="3401"/>
      <c r="F79" s="3399"/>
      <c r="G79" s="3401"/>
      <c r="H79" s="3399"/>
      <c r="I79" s="3399"/>
      <c r="J79" s="3528"/>
      <c r="K79" s="3390">
        <f t="shared" si="0"/>
        <v>0</v>
      </c>
      <c r="L79" s="3389">
        <f t="shared" si="2"/>
        <v>0</v>
      </c>
    </row>
    <row r="80" spans="1:12" s="3390" customFormat="1" ht="16.5" customHeight="1">
      <c r="A80" s="3403">
        <v>36</v>
      </c>
      <c r="B80" s="3403">
        <v>43</v>
      </c>
      <c r="C80" s="3258" t="s">
        <v>2613</v>
      </c>
      <c r="D80" s="3412" t="s">
        <v>245</v>
      </c>
      <c r="E80" s="3549" t="s">
        <v>140</v>
      </c>
      <c r="F80" s="3547">
        <v>333168</v>
      </c>
      <c r="G80" s="3548" t="s">
        <v>143</v>
      </c>
      <c r="H80" s="3399">
        <f t="shared" ref="H80:H94" si="6">VLOOKUP(G80,$A$337:$B$545,2)*12</f>
        <v>322344</v>
      </c>
      <c r="I80" s="3547">
        <f>H80-F80</f>
        <v>-10824</v>
      </c>
      <c r="J80" s="3528"/>
      <c r="K80" s="3390">
        <f t="shared" si="0"/>
        <v>26862</v>
      </c>
      <c r="L80" s="3389">
        <f t="shared" si="2"/>
        <v>537.24</v>
      </c>
    </row>
    <row r="81" spans="1:12" s="3390" customFormat="1" ht="16.5" customHeight="1">
      <c r="A81" s="3403">
        <v>37</v>
      </c>
      <c r="B81" s="3403">
        <v>44</v>
      </c>
      <c r="C81" s="3293" t="s">
        <v>2612</v>
      </c>
      <c r="D81" s="3395" t="s">
        <v>2611</v>
      </c>
      <c r="E81" s="3401" t="s">
        <v>150</v>
      </c>
      <c r="F81" s="3399">
        <v>300228</v>
      </c>
      <c r="G81" s="3401" t="s">
        <v>150</v>
      </c>
      <c r="H81" s="3399">
        <f t="shared" si="6"/>
        <v>300228</v>
      </c>
      <c r="I81" s="3398">
        <f>H81-F81</f>
        <v>0</v>
      </c>
      <c r="J81" s="3528"/>
      <c r="K81" s="3390">
        <f t="shared" ref="K81:K144" si="7">H81/12</f>
        <v>25019</v>
      </c>
      <c r="L81" s="3389">
        <f t="shared" si="2"/>
        <v>500.38</v>
      </c>
    </row>
    <row r="82" spans="1:12" s="3390" customFormat="1" ht="16.5" customHeight="1">
      <c r="A82" s="3403">
        <v>38</v>
      </c>
      <c r="B82" s="3403">
        <v>45</v>
      </c>
      <c r="C82" s="3256" t="s">
        <v>1093</v>
      </c>
      <c r="D82" s="3395" t="s">
        <v>2610</v>
      </c>
      <c r="E82" s="3401" t="s">
        <v>214</v>
      </c>
      <c r="F82" s="3399">
        <v>165420</v>
      </c>
      <c r="G82" s="3401" t="s">
        <v>214</v>
      </c>
      <c r="H82" s="3399">
        <f t="shared" si="6"/>
        <v>165420</v>
      </c>
      <c r="I82" s="3398">
        <f>H82-F82</f>
        <v>0</v>
      </c>
      <c r="J82" s="3528"/>
      <c r="K82" s="3390">
        <f t="shared" si="7"/>
        <v>13785</v>
      </c>
      <c r="L82" s="3389">
        <f t="shared" si="2"/>
        <v>275.7</v>
      </c>
    </row>
    <row r="83" spans="1:12" s="3390" customFormat="1" ht="16.5" customHeight="1">
      <c r="A83" s="3403">
        <v>39</v>
      </c>
      <c r="B83" s="3403">
        <v>46</v>
      </c>
      <c r="C83" s="3256" t="s">
        <v>1093</v>
      </c>
      <c r="D83" s="3395" t="s">
        <v>2609</v>
      </c>
      <c r="E83" s="3401" t="s">
        <v>214</v>
      </c>
      <c r="F83" s="3399">
        <v>165420</v>
      </c>
      <c r="G83" s="3401" t="s">
        <v>214</v>
      </c>
      <c r="H83" s="3399">
        <f t="shared" si="6"/>
        <v>165420</v>
      </c>
      <c r="I83" s="3398">
        <f>H83-F83</f>
        <v>0</v>
      </c>
      <c r="J83" s="3528"/>
      <c r="K83" s="3390">
        <f t="shared" si="7"/>
        <v>13785</v>
      </c>
      <c r="L83" s="3389">
        <f t="shared" si="2"/>
        <v>275.7</v>
      </c>
    </row>
    <row r="84" spans="1:12" s="3390" customFormat="1" ht="16.5" customHeight="1">
      <c r="A84" s="3403">
        <v>40</v>
      </c>
      <c r="B84" s="3403">
        <v>47</v>
      </c>
      <c r="C84" s="3259" t="s">
        <v>1295</v>
      </c>
      <c r="D84" s="3395" t="s">
        <v>2608</v>
      </c>
      <c r="E84" s="3401" t="s">
        <v>213</v>
      </c>
      <c r="F84" s="3399">
        <v>166692</v>
      </c>
      <c r="G84" s="3401" t="s">
        <v>213</v>
      </c>
      <c r="H84" s="3399">
        <f t="shared" si="6"/>
        <v>166692</v>
      </c>
      <c r="I84" s="3399">
        <f>SUM(H84-F84)</f>
        <v>0</v>
      </c>
      <c r="J84" s="3528"/>
      <c r="K84" s="3390">
        <f t="shared" si="7"/>
        <v>13891</v>
      </c>
      <c r="L84" s="3389">
        <f t="shared" ref="L84:L147" si="8">K84*0.04/2</f>
        <v>277.82</v>
      </c>
    </row>
    <row r="85" spans="1:12" s="3390" customFormat="1" ht="16.5" customHeight="1">
      <c r="A85" s="3403">
        <v>41</v>
      </c>
      <c r="B85" s="3403">
        <v>48</v>
      </c>
      <c r="C85" s="3259" t="s">
        <v>483</v>
      </c>
      <c r="D85" s="3383" t="s">
        <v>2607</v>
      </c>
      <c r="E85" s="3401" t="s">
        <v>230</v>
      </c>
      <c r="F85" s="3399">
        <v>146928</v>
      </c>
      <c r="G85" s="3404" t="s">
        <v>229</v>
      </c>
      <c r="H85" s="3399">
        <f t="shared" si="6"/>
        <v>148056</v>
      </c>
      <c r="I85" s="3399">
        <f>SUM(H85-F85)</f>
        <v>1128</v>
      </c>
      <c r="J85" s="3528"/>
      <c r="K85" s="3390">
        <f t="shared" si="7"/>
        <v>12338</v>
      </c>
      <c r="L85" s="3389">
        <f t="shared" si="8"/>
        <v>246.76000000000002</v>
      </c>
    </row>
    <row r="86" spans="1:12" s="3390" customFormat="1" ht="16.5" customHeight="1">
      <c r="A86" s="3403">
        <v>42</v>
      </c>
      <c r="B86" s="3403">
        <v>49</v>
      </c>
      <c r="C86" s="3406" t="s">
        <v>2606</v>
      </c>
      <c r="D86" s="3395" t="s">
        <v>2605</v>
      </c>
      <c r="E86" s="3401" t="s">
        <v>230</v>
      </c>
      <c r="F86" s="3399">
        <v>146928</v>
      </c>
      <c r="G86" s="3404" t="s">
        <v>229</v>
      </c>
      <c r="H86" s="3399">
        <f t="shared" si="6"/>
        <v>148056</v>
      </c>
      <c r="I86" s="3399">
        <f>SUM(H86-F86)</f>
        <v>1128</v>
      </c>
      <c r="J86" s="3528"/>
      <c r="K86" s="3390">
        <f t="shared" si="7"/>
        <v>12338</v>
      </c>
      <c r="L86" s="3389">
        <f t="shared" si="8"/>
        <v>246.76000000000002</v>
      </c>
    </row>
    <row r="87" spans="1:12" s="3390" customFormat="1" ht="16.5" customHeight="1">
      <c r="A87" s="3403">
        <v>43</v>
      </c>
      <c r="B87" s="3403">
        <v>50</v>
      </c>
      <c r="C87" s="3406" t="s">
        <v>2459</v>
      </c>
      <c r="D87" s="3395" t="s">
        <v>2604</v>
      </c>
      <c r="E87" s="3401" t="s">
        <v>229</v>
      </c>
      <c r="F87" s="3399">
        <v>148056</v>
      </c>
      <c r="G87" s="3404" t="s">
        <v>228</v>
      </c>
      <c r="H87" s="3399">
        <f t="shared" si="6"/>
        <v>149196</v>
      </c>
      <c r="I87" s="3398">
        <f t="shared" ref="I87:I97" si="9">H87-F87</f>
        <v>1140</v>
      </c>
      <c r="J87" s="3528"/>
      <c r="K87" s="3390">
        <f t="shared" si="7"/>
        <v>12433</v>
      </c>
      <c r="L87" s="3389">
        <f t="shared" si="8"/>
        <v>248.66</v>
      </c>
    </row>
    <row r="88" spans="1:12" s="3390" customFormat="1" ht="16.5" customHeight="1">
      <c r="A88" s="3403">
        <v>44</v>
      </c>
      <c r="B88" s="3403">
        <v>51</v>
      </c>
      <c r="C88" s="3406" t="s">
        <v>2459</v>
      </c>
      <c r="D88" s="3395" t="s">
        <v>2603</v>
      </c>
      <c r="E88" s="3401" t="s">
        <v>230</v>
      </c>
      <c r="F88" s="3399">
        <v>146928</v>
      </c>
      <c r="G88" s="3401" t="s">
        <v>230</v>
      </c>
      <c r="H88" s="3399">
        <f t="shared" si="6"/>
        <v>146928</v>
      </c>
      <c r="I88" s="3398">
        <f t="shared" si="9"/>
        <v>0</v>
      </c>
      <c r="J88" s="3528"/>
      <c r="K88" s="3390">
        <f t="shared" si="7"/>
        <v>12244</v>
      </c>
      <c r="L88" s="3389">
        <f t="shared" si="8"/>
        <v>244.88</v>
      </c>
    </row>
    <row r="89" spans="1:12" s="3390" customFormat="1" ht="16.5" customHeight="1">
      <c r="A89" s="3403">
        <v>45</v>
      </c>
      <c r="B89" s="3403">
        <v>52</v>
      </c>
      <c r="C89" s="3406" t="s">
        <v>2459</v>
      </c>
      <c r="D89" s="3395" t="s">
        <v>2602</v>
      </c>
      <c r="E89" s="3401" t="s">
        <v>231</v>
      </c>
      <c r="F89" s="3399">
        <v>145812</v>
      </c>
      <c r="G89" s="3404" t="s">
        <v>230</v>
      </c>
      <c r="H89" s="3399">
        <f t="shared" si="6"/>
        <v>146928</v>
      </c>
      <c r="I89" s="3398">
        <f t="shared" si="9"/>
        <v>1116</v>
      </c>
      <c r="J89" s="3528"/>
      <c r="K89" s="3390">
        <f t="shared" si="7"/>
        <v>12244</v>
      </c>
      <c r="L89" s="3389">
        <f t="shared" si="8"/>
        <v>244.88</v>
      </c>
    </row>
    <row r="90" spans="1:12" s="3390" customFormat="1" ht="16.5" customHeight="1">
      <c r="A90" s="3403">
        <v>46</v>
      </c>
      <c r="B90" s="3403">
        <v>53</v>
      </c>
      <c r="C90" s="3406" t="s">
        <v>2459</v>
      </c>
      <c r="D90" s="3395" t="s">
        <v>2601</v>
      </c>
      <c r="E90" s="3401" t="s">
        <v>231</v>
      </c>
      <c r="F90" s="3399">
        <v>145812</v>
      </c>
      <c r="G90" s="3404" t="s">
        <v>230</v>
      </c>
      <c r="H90" s="3399">
        <f t="shared" si="6"/>
        <v>146928</v>
      </c>
      <c r="I90" s="3398">
        <f t="shared" si="9"/>
        <v>1116</v>
      </c>
      <c r="J90" s="3528"/>
      <c r="K90" s="3390">
        <f t="shared" si="7"/>
        <v>12244</v>
      </c>
      <c r="L90" s="3389">
        <f t="shared" si="8"/>
        <v>244.88</v>
      </c>
    </row>
    <row r="91" spans="1:12" s="3390" customFormat="1" ht="16.5" customHeight="1">
      <c r="A91" s="3403">
        <v>47</v>
      </c>
      <c r="B91" s="3403">
        <v>54</v>
      </c>
      <c r="C91" s="3406" t="s">
        <v>2459</v>
      </c>
      <c r="D91" s="3395" t="s">
        <v>2600</v>
      </c>
      <c r="E91" s="3401" t="s">
        <v>231</v>
      </c>
      <c r="F91" s="3399">
        <v>145812</v>
      </c>
      <c r="G91" s="3404" t="s">
        <v>230</v>
      </c>
      <c r="H91" s="3399">
        <f t="shared" si="6"/>
        <v>146928</v>
      </c>
      <c r="I91" s="3398">
        <f t="shared" si="9"/>
        <v>1116</v>
      </c>
      <c r="J91" s="3528"/>
      <c r="K91" s="3390">
        <f t="shared" si="7"/>
        <v>12244</v>
      </c>
      <c r="L91" s="3389">
        <f t="shared" si="8"/>
        <v>244.88</v>
      </c>
    </row>
    <row r="92" spans="1:12" s="3390" customFormat="1" ht="16.5" customHeight="1">
      <c r="A92" s="3403">
        <v>48</v>
      </c>
      <c r="B92" s="3403">
        <v>55</v>
      </c>
      <c r="C92" s="3406" t="s">
        <v>2459</v>
      </c>
      <c r="D92" s="3395" t="s">
        <v>2599</v>
      </c>
      <c r="E92" s="3401" t="s">
        <v>231</v>
      </c>
      <c r="F92" s="3399">
        <v>145812</v>
      </c>
      <c r="G92" s="3404" t="s">
        <v>230</v>
      </c>
      <c r="H92" s="3399">
        <f t="shared" si="6"/>
        <v>146928</v>
      </c>
      <c r="I92" s="3398">
        <f t="shared" si="9"/>
        <v>1116</v>
      </c>
      <c r="J92" s="3528"/>
      <c r="K92" s="3390">
        <f t="shared" si="7"/>
        <v>12244</v>
      </c>
      <c r="L92" s="3389">
        <f t="shared" si="8"/>
        <v>244.88</v>
      </c>
    </row>
    <row r="93" spans="1:12" s="3390" customFormat="1" ht="16.5" customHeight="1">
      <c r="A93" s="3403">
        <v>49</v>
      </c>
      <c r="B93" s="3403">
        <v>56</v>
      </c>
      <c r="C93" s="3406" t="s">
        <v>2459</v>
      </c>
      <c r="D93" s="3395" t="s">
        <v>2598</v>
      </c>
      <c r="E93" s="3401" t="s">
        <v>231</v>
      </c>
      <c r="F93" s="3399">
        <v>145812</v>
      </c>
      <c r="G93" s="3404" t="s">
        <v>230</v>
      </c>
      <c r="H93" s="3399">
        <f t="shared" si="6"/>
        <v>146928</v>
      </c>
      <c r="I93" s="3398">
        <f t="shared" si="9"/>
        <v>1116</v>
      </c>
      <c r="J93" s="3528"/>
      <c r="K93" s="3390">
        <f t="shared" si="7"/>
        <v>12244</v>
      </c>
      <c r="L93" s="3389">
        <f t="shared" si="8"/>
        <v>244.88</v>
      </c>
    </row>
    <row r="94" spans="1:12" s="3390" customFormat="1" ht="16.5" customHeight="1">
      <c r="A94" s="3403">
        <v>50</v>
      </c>
      <c r="B94" s="3403">
        <v>57</v>
      </c>
      <c r="C94" s="3406" t="s">
        <v>2459</v>
      </c>
      <c r="D94" s="3395" t="s">
        <v>2597</v>
      </c>
      <c r="E94" s="3401" t="s">
        <v>231</v>
      </c>
      <c r="F94" s="3399">
        <v>145812</v>
      </c>
      <c r="G94" s="3404" t="s">
        <v>230</v>
      </c>
      <c r="H94" s="3399">
        <f t="shared" si="6"/>
        <v>146928</v>
      </c>
      <c r="I94" s="3398">
        <f t="shared" si="9"/>
        <v>1116</v>
      </c>
      <c r="J94" s="3528"/>
      <c r="K94" s="3390">
        <f t="shared" si="7"/>
        <v>12244</v>
      </c>
      <c r="L94" s="3389">
        <f t="shared" si="8"/>
        <v>244.88</v>
      </c>
    </row>
    <row r="95" spans="1:12" ht="16.5" customHeight="1">
      <c r="A95" s="3403">
        <v>51</v>
      </c>
      <c r="B95" s="3403">
        <v>58</v>
      </c>
      <c r="C95" s="3256" t="s">
        <v>2459</v>
      </c>
      <c r="D95" s="3395" t="s">
        <v>2596</v>
      </c>
      <c r="E95" s="3401" t="s">
        <v>231</v>
      </c>
      <c r="F95" s="3399">
        <v>145812</v>
      </c>
      <c r="G95" s="3401" t="s">
        <v>231</v>
      </c>
      <c r="H95" s="3399">
        <f>VLOOKUP(G95,$A$219:$B$404,2)*12</f>
        <v>145812</v>
      </c>
      <c r="I95" s="3398">
        <f t="shared" si="9"/>
        <v>0</v>
      </c>
      <c r="K95" s="3390">
        <f t="shared" si="7"/>
        <v>12151</v>
      </c>
      <c r="L95" s="3389">
        <f t="shared" si="8"/>
        <v>243.02</v>
      </c>
    </row>
    <row r="96" spans="1:12" s="3390" customFormat="1" ht="16.5" customHeight="1">
      <c r="A96" s="3403">
        <v>52</v>
      </c>
      <c r="B96" s="3403">
        <v>59</v>
      </c>
      <c r="C96" s="3406" t="s">
        <v>2459</v>
      </c>
      <c r="D96" s="3412" t="s">
        <v>2595</v>
      </c>
      <c r="E96" s="3401" t="s">
        <v>231</v>
      </c>
      <c r="F96" s="3399">
        <v>145812</v>
      </c>
      <c r="G96" s="3401" t="s">
        <v>231</v>
      </c>
      <c r="H96" s="3399">
        <f>VLOOKUP(G96,$A$337:$B$545,2)*12</f>
        <v>145812</v>
      </c>
      <c r="I96" s="3398">
        <f t="shared" si="9"/>
        <v>0</v>
      </c>
      <c r="J96" s="3528"/>
      <c r="K96" s="3390">
        <f t="shared" si="7"/>
        <v>12151</v>
      </c>
      <c r="L96" s="3389">
        <f t="shared" si="8"/>
        <v>243.02</v>
      </c>
    </row>
    <row r="97" spans="1:12" s="3390" customFormat="1" ht="16.5" customHeight="1">
      <c r="A97" s="3403">
        <v>53</v>
      </c>
      <c r="B97" s="3403">
        <v>60</v>
      </c>
      <c r="C97" s="3406" t="s">
        <v>2459</v>
      </c>
      <c r="D97" s="3412" t="s">
        <v>2594</v>
      </c>
      <c r="E97" s="3401" t="s">
        <v>231</v>
      </c>
      <c r="F97" s="3399">
        <v>145812</v>
      </c>
      <c r="G97" s="3401" t="s">
        <v>231</v>
      </c>
      <c r="H97" s="3399">
        <f>VLOOKUP(G97,$A$337:$B$545,2)*12</f>
        <v>145812</v>
      </c>
      <c r="I97" s="3398">
        <f t="shared" si="9"/>
        <v>0</v>
      </c>
      <c r="J97" s="3528"/>
      <c r="K97" s="3390">
        <f t="shared" si="7"/>
        <v>12151</v>
      </c>
      <c r="L97" s="3389">
        <f t="shared" si="8"/>
        <v>243.02</v>
      </c>
    </row>
    <row r="98" spans="1:12" s="3390" customFormat="1" ht="16.5" customHeight="1">
      <c r="A98" s="3397"/>
      <c r="B98" s="3397"/>
      <c r="C98" s="3383" t="s">
        <v>2593</v>
      </c>
      <c r="D98" s="3395"/>
      <c r="E98" s="3394"/>
      <c r="F98" s="3392"/>
      <c r="G98" s="3394"/>
      <c r="H98" s="3392"/>
      <c r="I98" s="3391"/>
      <c r="J98" s="3528"/>
      <c r="K98" s="3390">
        <f t="shared" si="7"/>
        <v>0</v>
      </c>
      <c r="L98" s="3389">
        <f t="shared" si="8"/>
        <v>0</v>
      </c>
    </row>
    <row r="99" spans="1:12" s="3390" customFormat="1" ht="16.5" customHeight="1">
      <c r="A99" s="3403">
        <v>54</v>
      </c>
      <c r="B99" s="3403">
        <v>61</v>
      </c>
      <c r="C99" s="3256" t="s">
        <v>2592</v>
      </c>
      <c r="D99" s="3395" t="s">
        <v>2591</v>
      </c>
      <c r="E99" s="3401" t="s">
        <v>214</v>
      </c>
      <c r="F99" s="3399">
        <v>165420</v>
      </c>
      <c r="G99" s="3401" t="s">
        <v>214</v>
      </c>
      <c r="H99" s="3399">
        <f>VLOOKUP(G99,$A$337:$B$545,2)*12</f>
        <v>165420</v>
      </c>
      <c r="I99" s="3398">
        <f>H99-F99</f>
        <v>0</v>
      </c>
      <c r="J99" s="3528"/>
      <c r="K99" s="3390">
        <f t="shared" si="7"/>
        <v>13785</v>
      </c>
      <c r="L99" s="3389">
        <f t="shared" si="8"/>
        <v>275.7</v>
      </c>
    </row>
    <row r="100" spans="1:12" s="3390" customFormat="1" ht="16.5" customHeight="1">
      <c r="A100" s="3403">
        <v>55</v>
      </c>
      <c r="B100" s="3403">
        <v>62</v>
      </c>
      <c r="C100" s="3256" t="s">
        <v>2590</v>
      </c>
      <c r="D100" s="3395" t="s">
        <v>2589</v>
      </c>
      <c r="E100" s="3401" t="s">
        <v>220</v>
      </c>
      <c r="F100" s="3399">
        <v>158328</v>
      </c>
      <c r="G100" s="3404" t="s">
        <v>219</v>
      </c>
      <c r="H100" s="3399">
        <f>VLOOKUP(G100,$A$337:$B$545,2)*12</f>
        <v>159540</v>
      </c>
      <c r="I100" s="3399">
        <f>SUM(H100-F100)</f>
        <v>1212</v>
      </c>
      <c r="J100" s="3528"/>
      <c r="K100" s="3390">
        <f t="shared" si="7"/>
        <v>13295</v>
      </c>
      <c r="L100" s="3389">
        <f t="shared" si="8"/>
        <v>265.89999999999998</v>
      </c>
    </row>
    <row r="101" spans="1:12" s="3390" customFormat="1" ht="16.5" customHeight="1">
      <c r="A101" s="3403">
        <v>56</v>
      </c>
      <c r="B101" s="3403">
        <v>63</v>
      </c>
      <c r="C101" s="3259" t="s">
        <v>249</v>
      </c>
      <c r="D101" s="3395" t="s">
        <v>2588</v>
      </c>
      <c r="E101" s="3401" t="s">
        <v>222</v>
      </c>
      <c r="F101" s="3399">
        <v>155916</v>
      </c>
      <c r="G101" s="3404" t="s">
        <v>221</v>
      </c>
      <c r="H101" s="3399">
        <f>VLOOKUP(G101,$A$337:$B$545,2)*12</f>
        <v>157104</v>
      </c>
      <c r="I101" s="3399">
        <f>SUM(H101-F101)</f>
        <v>1188</v>
      </c>
      <c r="J101" s="3528"/>
      <c r="K101" s="3390">
        <f t="shared" si="7"/>
        <v>13092</v>
      </c>
      <c r="L101" s="3389">
        <f t="shared" si="8"/>
        <v>261.84000000000003</v>
      </c>
    </row>
    <row r="102" spans="1:12" s="3543" customFormat="1" ht="16.5" customHeight="1">
      <c r="A102" s="3403">
        <v>57</v>
      </c>
      <c r="B102" s="3403">
        <v>64</v>
      </c>
      <c r="C102" s="3259" t="s">
        <v>249</v>
      </c>
      <c r="D102" s="3395" t="s">
        <v>2587</v>
      </c>
      <c r="E102" s="3401" t="s">
        <v>222</v>
      </c>
      <c r="F102" s="3399">
        <v>155916</v>
      </c>
      <c r="G102" s="3404" t="s">
        <v>221</v>
      </c>
      <c r="H102" s="3399">
        <f>VLOOKUP(G102,$A$337:$B$545,2)*12</f>
        <v>157104</v>
      </c>
      <c r="I102" s="3399">
        <f>SUM(H102-F102)</f>
        <v>1188</v>
      </c>
      <c r="J102" s="3544"/>
      <c r="K102" s="3390">
        <f t="shared" si="7"/>
        <v>13092</v>
      </c>
      <c r="L102" s="3389">
        <f t="shared" si="8"/>
        <v>261.84000000000003</v>
      </c>
    </row>
    <row r="103" spans="1:12" s="3390" customFormat="1" ht="16.5" customHeight="1">
      <c r="A103" s="3403">
        <v>58</v>
      </c>
      <c r="B103" s="3403">
        <v>65</v>
      </c>
      <c r="C103" s="3259" t="s">
        <v>249</v>
      </c>
      <c r="D103" s="3546" t="s">
        <v>2586</v>
      </c>
      <c r="E103" s="3401" t="s">
        <v>223</v>
      </c>
      <c r="F103" s="3399">
        <v>154716</v>
      </c>
      <c r="G103" s="3401" t="s">
        <v>223</v>
      </c>
      <c r="H103" s="3399">
        <f>VLOOKUP(G103,$A$337:$B$545,2)*12</f>
        <v>154716</v>
      </c>
      <c r="I103" s="3399">
        <f>SUM(H103-F103)</f>
        <v>0</v>
      </c>
      <c r="J103" s="3528"/>
      <c r="K103" s="3390">
        <f t="shared" si="7"/>
        <v>12893</v>
      </c>
      <c r="L103" s="3389">
        <f t="shared" si="8"/>
        <v>257.86</v>
      </c>
    </row>
    <row r="104" spans="1:12" s="3543" customFormat="1" ht="16.5" customHeight="1">
      <c r="A104" s="3403"/>
      <c r="B104" s="3403"/>
      <c r="C104" s="3395" t="s">
        <v>2585</v>
      </c>
      <c r="D104" s="3395"/>
      <c r="E104" s="3401"/>
      <c r="F104" s="3399"/>
      <c r="G104" s="3401"/>
      <c r="H104" s="3399"/>
      <c r="I104" s="3399"/>
      <c r="J104" s="3544"/>
      <c r="K104" s="3390">
        <f t="shared" si="7"/>
        <v>0</v>
      </c>
      <c r="L104" s="3389">
        <f t="shared" si="8"/>
        <v>0</v>
      </c>
    </row>
    <row r="105" spans="1:12" s="3543" customFormat="1" ht="16.5" customHeight="1">
      <c r="A105" s="3403">
        <v>59</v>
      </c>
      <c r="B105" s="3403">
        <v>66</v>
      </c>
      <c r="C105" s="3259" t="s">
        <v>2582</v>
      </c>
      <c r="D105" s="3395" t="s">
        <v>2584</v>
      </c>
      <c r="E105" s="3401" t="s">
        <v>223</v>
      </c>
      <c r="F105" s="3399">
        <v>154716</v>
      </c>
      <c r="G105" s="3401" t="s">
        <v>223</v>
      </c>
      <c r="H105" s="3399">
        <f t="shared" ref="H105:H116" si="10">VLOOKUP(G105,$A$337:$B$545,2)*12</f>
        <v>154716</v>
      </c>
      <c r="I105" s="3398">
        <f t="shared" ref="I105:I116" si="11">H105-F105</f>
        <v>0</v>
      </c>
      <c r="J105" s="3544"/>
      <c r="K105" s="3390">
        <f t="shared" si="7"/>
        <v>12893</v>
      </c>
      <c r="L105" s="3389">
        <f t="shared" si="8"/>
        <v>257.86</v>
      </c>
    </row>
    <row r="106" spans="1:12" s="3543" customFormat="1" ht="16.5" customHeight="1">
      <c r="A106" s="3403">
        <v>60</v>
      </c>
      <c r="B106" s="3403">
        <v>67</v>
      </c>
      <c r="C106" s="3259" t="s">
        <v>2582</v>
      </c>
      <c r="D106" s="3395" t="s">
        <v>2583</v>
      </c>
      <c r="E106" s="3401" t="s">
        <v>223</v>
      </c>
      <c r="F106" s="3399">
        <v>154716</v>
      </c>
      <c r="G106" s="3401" t="s">
        <v>223</v>
      </c>
      <c r="H106" s="3399">
        <f t="shared" si="10"/>
        <v>154716</v>
      </c>
      <c r="I106" s="3398">
        <f t="shared" si="11"/>
        <v>0</v>
      </c>
      <c r="J106" s="3544"/>
      <c r="K106" s="3390">
        <f t="shared" si="7"/>
        <v>12893</v>
      </c>
      <c r="L106" s="3389">
        <f t="shared" si="8"/>
        <v>257.86</v>
      </c>
    </row>
    <row r="107" spans="1:12" s="3543" customFormat="1" ht="16.5" customHeight="1">
      <c r="A107" s="3403"/>
      <c r="B107" s="3403">
        <v>68</v>
      </c>
      <c r="C107" s="3259" t="s">
        <v>2582</v>
      </c>
      <c r="D107" s="3395" t="s">
        <v>245</v>
      </c>
      <c r="E107" s="3401"/>
      <c r="F107" s="3399"/>
      <c r="G107" s="3401" t="s">
        <v>223</v>
      </c>
      <c r="H107" s="3399">
        <f t="shared" si="10"/>
        <v>154716</v>
      </c>
      <c r="I107" s="3398">
        <f t="shared" si="11"/>
        <v>154716</v>
      </c>
      <c r="J107" s="3544"/>
      <c r="K107" s="3390">
        <f t="shared" si="7"/>
        <v>12893</v>
      </c>
      <c r="L107" s="3389">
        <f t="shared" si="8"/>
        <v>257.86</v>
      </c>
    </row>
    <row r="108" spans="1:12" s="3543" customFormat="1" ht="16.5" customHeight="1">
      <c r="A108" s="3403"/>
      <c r="B108" s="3403">
        <v>69</v>
      </c>
      <c r="C108" s="3259" t="s">
        <v>2582</v>
      </c>
      <c r="D108" s="3395" t="s">
        <v>245</v>
      </c>
      <c r="E108" s="3401"/>
      <c r="F108" s="3399"/>
      <c r="G108" s="3401" t="s">
        <v>223</v>
      </c>
      <c r="H108" s="3399">
        <f t="shared" si="10"/>
        <v>154716</v>
      </c>
      <c r="I108" s="3398">
        <f t="shared" si="11"/>
        <v>154716</v>
      </c>
      <c r="J108" s="3544"/>
      <c r="K108" s="3390">
        <f t="shared" si="7"/>
        <v>12893</v>
      </c>
      <c r="L108" s="3389">
        <f t="shared" si="8"/>
        <v>257.86</v>
      </c>
    </row>
    <row r="109" spans="1:12" s="3543" customFormat="1" ht="16.5" customHeight="1">
      <c r="A109" s="3403"/>
      <c r="B109" s="3403">
        <v>70</v>
      </c>
      <c r="C109" s="3259" t="s">
        <v>2582</v>
      </c>
      <c r="D109" s="3395" t="s">
        <v>245</v>
      </c>
      <c r="E109" s="3401"/>
      <c r="F109" s="3399"/>
      <c r="G109" s="3401" t="s">
        <v>223</v>
      </c>
      <c r="H109" s="3399">
        <f t="shared" si="10"/>
        <v>154716</v>
      </c>
      <c r="I109" s="3398">
        <f t="shared" si="11"/>
        <v>154716</v>
      </c>
      <c r="J109" s="3544"/>
      <c r="K109" s="3390">
        <f t="shared" si="7"/>
        <v>12893</v>
      </c>
      <c r="L109" s="3389">
        <f t="shared" si="8"/>
        <v>257.86</v>
      </c>
    </row>
    <row r="110" spans="1:12" s="3543" customFormat="1" ht="16.5" customHeight="1">
      <c r="A110" s="3403"/>
      <c r="B110" s="3403">
        <v>71</v>
      </c>
      <c r="C110" s="3259" t="s">
        <v>2582</v>
      </c>
      <c r="D110" s="3395" t="s">
        <v>245</v>
      </c>
      <c r="E110" s="3401"/>
      <c r="F110" s="3399"/>
      <c r="G110" s="3401" t="s">
        <v>223</v>
      </c>
      <c r="H110" s="3399">
        <f t="shared" si="10"/>
        <v>154716</v>
      </c>
      <c r="I110" s="3398">
        <f t="shared" si="11"/>
        <v>154716</v>
      </c>
      <c r="J110" s="3544"/>
      <c r="K110" s="3390">
        <f t="shared" si="7"/>
        <v>12893</v>
      </c>
      <c r="L110" s="3389">
        <f t="shared" si="8"/>
        <v>257.86</v>
      </c>
    </row>
    <row r="111" spans="1:12" s="3543" customFormat="1" ht="16.5" customHeight="1">
      <c r="A111" s="3403"/>
      <c r="B111" s="3403">
        <v>72</v>
      </c>
      <c r="C111" s="3259" t="s">
        <v>2582</v>
      </c>
      <c r="D111" s="3395" t="s">
        <v>245</v>
      </c>
      <c r="E111" s="3401"/>
      <c r="F111" s="3399"/>
      <c r="G111" s="3401" t="s">
        <v>223</v>
      </c>
      <c r="H111" s="3399">
        <f t="shared" si="10"/>
        <v>154716</v>
      </c>
      <c r="I111" s="3398">
        <f t="shared" si="11"/>
        <v>154716</v>
      </c>
      <c r="J111" s="3544"/>
      <c r="K111" s="3390">
        <f t="shared" si="7"/>
        <v>12893</v>
      </c>
      <c r="L111" s="3389">
        <f t="shared" si="8"/>
        <v>257.86</v>
      </c>
    </row>
    <row r="112" spans="1:12" s="3543" customFormat="1" ht="16.5" customHeight="1">
      <c r="A112" s="3403"/>
      <c r="B112" s="3403">
        <v>73</v>
      </c>
      <c r="C112" s="3259" t="s">
        <v>2582</v>
      </c>
      <c r="D112" s="3395" t="s">
        <v>245</v>
      </c>
      <c r="E112" s="3401"/>
      <c r="F112" s="3399"/>
      <c r="G112" s="3401" t="s">
        <v>223</v>
      </c>
      <c r="H112" s="3399">
        <f t="shared" si="10"/>
        <v>154716</v>
      </c>
      <c r="I112" s="3398">
        <f t="shared" si="11"/>
        <v>154716</v>
      </c>
      <c r="J112" s="3544"/>
      <c r="K112" s="3390">
        <f t="shared" si="7"/>
        <v>12893</v>
      </c>
      <c r="L112" s="3389">
        <f t="shared" si="8"/>
        <v>257.86</v>
      </c>
    </row>
    <row r="113" spans="1:12" s="3543" customFormat="1" ht="16.5" customHeight="1">
      <c r="A113" s="3403"/>
      <c r="B113" s="3403">
        <v>74</v>
      </c>
      <c r="C113" s="3259" t="s">
        <v>2582</v>
      </c>
      <c r="D113" s="3395" t="s">
        <v>245</v>
      </c>
      <c r="E113" s="3401"/>
      <c r="F113" s="3399"/>
      <c r="G113" s="3401" t="s">
        <v>223</v>
      </c>
      <c r="H113" s="3399">
        <f t="shared" si="10"/>
        <v>154716</v>
      </c>
      <c r="I113" s="3398">
        <f t="shared" si="11"/>
        <v>154716</v>
      </c>
      <c r="J113" s="3544"/>
      <c r="K113" s="3390">
        <f t="shared" si="7"/>
        <v>12893</v>
      </c>
      <c r="L113" s="3389">
        <f t="shared" si="8"/>
        <v>257.86</v>
      </c>
    </row>
    <row r="114" spans="1:12" s="3543" customFormat="1" ht="16.5" customHeight="1">
      <c r="A114" s="3403"/>
      <c r="B114" s="3403">
        <v>75</v>
      </c>
      <c r="C114" s="3259" t="s">
        <v>2582</v>
      </c>
      <c r="D114" s="3395" t="s">
        <v>245</v>
      </c>
      <c r="E114" s="3401"/>
      <c r="F114" s="3399"/>
      <c r="G114" s="3401" t="s">
        <v>223</v>
      </c>
      <c r="H114" s="3399">
        <f t="shared" si="10"/>
        <v>154716</v>
      </c>
      <c r="I114" s="3398">
        <f t="shared" si="11"/>
        <v>154716</v>
      </c>
      <c r="J114" s="3544"/>
      <c r="K114" s="3390">
        <f t="shared" si="7"/>
        <v>12893</v>
      </c>
      <c r="L114" s="3389">
        <f t="shared" si="8"/>
        <v>257.86</v>
      </c>
    </row>
    <row r="115" spans="1:12" s="3543" customFormat="1" ht="16.5" customHeight="1">
      <c r="A115" s="3403"/>
      <c r="B115" s="3403">
        <v>76</v>
      </c>
      <c r="C115" s="3259" t="s">
        <v>2582</v>
      </c>
      <c r="D115" s="3395" t="s">
        <v>245</v>
      </c>
      <c r="E115" s="3401"/>
      <c r="F115" s="3399"/>
      <c r="G115" s="3401" t="s">
        <v>223</v>
      </c>
      <c r="H115" s="3399">
        <f t="shared" si="10"/>
        <v>154716</v>
      </c>
      <c r="I115" s="3398">
        <f t="shared" si="11"/>
        <v>154716</v>
      </c>
      <c r="J115" s="3544"/>
      <c r="K115" s="3390">
        <f t="shared" si="7"/>
        <v>12893</v>
      </c>
      <c r="L115" s="3389">
        <f t="shared" si="8"/>
        <v>257.86</v>
      </c>
    </row>
    <row r="116" spans="1:12" s="3543" customFormat="1" ht="16.5" customHeight="1">
      <c r="A116" s="3467"/>
      <c r="B116" s="3467">
        <v>77</v>
      </c>
      <c r="C116" s="3545" t="s">
        <v>2582</v>
      </c>
      <c r="D116" s="3455" t="s">
        <v>245</v>
      </c>
      <c r="E116" s="3454"/>
      <c r="F116" s="3453"/>
      <c r="G116" s="3454" t="s">
        <v>223</v>
      </c>
      <c r="H116" s="3453">
        <f t="shared" si="10"/>
        <v>154716</v>
      </c>
      <c r="I116" s="3452">
        <f t="shared" si="11"/>
        <v>154716</v>
      </c>
      <c r="J116" s="3544"/>
      <c r="K116" s="3390">
        <f t="shared" si="7"/>
        <v>12893</v>
      </c>
      <c r="L116" s="3389">
        <f t="shared" si="8"/>
        <v>257.86</v>
      </c>
    </row>
    <row r="117" spans="1:12" s="3390" customFormat="1" ht="16.5" customHeight="1">
      <c r="A117" s="3542"/>
      <c r="B117" s="3542"/>
      <c r="C117" s="3344" t="s">
        <v>2581</v>
      </c>
      <c r="D117" s="3464"/>
      <c r="E117" s="3464"/>
      <c r="F117" s="3449"/>
      <c r="G117" s="3400"/>
      <c r="H117" s="3416"/>
      <c r="I117" s="3416"/>
      <c r="J117" s="3528"/>
      <c r="K117" s="3390">
        <f t="shared" si="7"/>
        <v>0</v>
      </c>
      <c r="L117" s="3389">
        <f t="shared" si="8"/>
        <v>0</v>
      </c>
    </row>
    <row r="118" spans="1:12" s="3390" customFormat="1" ht="16.5" customHeight="1">
      <c r="A118" s="3542"/>
      <c r="B118" s="3542"/>
      <c r="C118" s="3512" t="s">
        <v>2580</v>
      </c>
      <c r="D118" s="3464"/>
      <c r="E118" s="3464"/>
      <c r="F118" s="3449"/>
      <c r="G118" s="3400"/>
      <c r="H118" s="3416"/>
      <c r="I118" s="3416"/>
      <c r="J118" s="3528"/>
      <c r="K118" s="3390">
        <f t="shared" si="7"/>
        <v>0</v>
      </c>
      <c r="L118" s="3389">
        <f t="shared" si="8"/>
        <v>0</v>
      </c>
    </row>
    <row r="119" spans="1:12" s="3390" customFormat="1" ht="16.5" customHeight="1">
      <c r="A119" s="3447"/>
      <c r="B119" s="3448" t="s">
        <v>2457</v>
      </c>
      <c r="C119" s="3416"/>
      <c r="D119" s="3419"/>
      <c r="E119" s="3381"/>
      <c r="F119" s="3445"/>
      <c r="H119" s="3443"/>
      <c r="I119" s="3443"/>
      <c r="J119" s="3528"/>
      <c r="K119" s="3390">
        <f t="shared" si="7"/>
        <v>0</v>
      </c>
      <c r="L119" s="3389">
        <f t="shared" si="8"/>
        <v>0</v>
      </c>
    </row>
    <row r="120" spans="1:12" s="3390" customFormat="1" ht="16.5" customHeight="1">
      <c r="A120" s="3447"/>
      <c r="B120" s="3446" t="s">
        <v>2579</v>
      </c>
      <c r="C120" s="3416"/>
      <c r="D120" s="3419"/>
      <c r="E120" s="3381"/>
      <c r="F120" s="3445"/>
      <c r="H120" s="3444"/>
      <c r="I120" s="3443"/>
      <c r="J120" s="3528"/>
      <c r="K120" s="3390">
        <f t="shared" si="7"/>
        <v>0</v>
      </c>
      <c r="L120" s="3389">
        <f t="shared" si="8"/>
        <v>0</v>
      </c>
    </row>
    <row r="121" spans="1:12" s="3390" customFormat="1" ht="16.5" customHeight="1">
      <c r="A121" s="3541"/>
      <c r="B121" s="3540"/>
      <c r="C121" s="3539"/>
      <c r="D121" s="3538"/>
      <c r="E121" s="3536"/>
      <c r="F121" s="3537"/>
      <c r="G121" s="3536"/>
      <c r="H121" s="3537"/>
      <c r="I121" s="3536"/>
      <c r="J121" s="3528"/>
      <c r="K121" s="3390">
        <f t="shared" si="7"/>
        <v>0</v>
      </c>
      <c r="L121" s="3389">
        <f t="shared" si="8"/>
        <v>0</v>
      </c>
    </row>
    <row r="122" spans="1:12" s="3390" customFormat="1" ht="16.5" customHeight="1">
      <c r="A122" s="3441"/>
      <c r="B122" s="3442"/>
      <c r="C122" s="3387"/>
      <c r="D122" s="3441"/>
      <c r="E122" s="4954" t="s">
        <v>348</v>
      </c>
      <c r="F122" s="4955"/>
      <c r="G122" s="4954" t="s">
        <v>2455</v>
      </c>
      <c r="H122" s="4955"/>
      <c r="I122" s="3440"/>
      <c r="J122" s="3528"/>
      <c r="K122" s="3390">
        <f t="shared" si="7"/>
        <v>0</v>
      </c>
      <c r="L122" s="3389">
        <f t="shared" si="8"/>
        <v>0</v>
      </c>
    </row>
    <row r="123" spans="1:12" s="3390" customFormat="1" ht="16.5" customHeight="1">
      <c r="A123" s="3439"/>
      <c r="B123" s="3438"/>
      <c r="C123" s="3406"/>
      <c r="D123" s="3257"/>
      <c r="E123" s="4956" t="s">
        <v>346</v>
      </c>
      <c r="F123" s="4957"/>
      <c r="G123" s="4956" t="s">
        <v>345</v>
      </c>
      <c r="H123" s="4957"/>
      <c r="I123" s="3434"/>
      <c r="J123" s="3528"/>
      <c r="K123" s="3390">
        <f t="shared" si="7"/>
        <v>0</v>
      </c>
      <c r="L123" s="3389">
        <f t="shared" si="8"/>
        <v>0</v>
      </c>
    </row>
    <row r="124" spans="1:12" s="3390" customFormat="1" ht="16.5" customHeight="1">
      <c r="A124" s="4956" t="s">
        <v>2454</v>
      </c>
      <c r="B124" s="4957"/>
      <c r="C124" s="3434" t="s">
        <v>342</v>
      </c>
      <c r="D124" s="3433" t="s">
        <v>341</v>
      </c>
      <c r="E124" s="4958" t="s">
        <v>2453</v>
      </c>
      <c r="F124" s="4958"/>
      <c r="G124" s="4958" t="s">
        <v>2453</v>
      </c>
      <c r="H124" s="4958"/>
      <c r="I124" s="3434" t="s">
        <v>340</v>
      </c>
      <c r="J124" s="3528"/>
      <c r="K124" s="3390">
        <f t="shared" si="7"/>
        <v>0</v>
      </c>
      <c r="L124" s="3389">
        <f t="shared" si="8"/>
        <v>0</v>
      </c>
    </row>
    <row r="125" spans="1:12" s="3390" customFormat="1" ht="16.5" customHeight="1">
      <c r="A125" s="4956" t="s">
        <v>2452</v>
      </c>
      <c r="B125" s="4957"/>
      <c r="C125" s="3434"/>
      <c r="D125" s="3433"/>
      <c r="E125" s="3434" t="s">
        <v>339</v>
      </c>
      <c r="F125" s="3256"/>
      <c r="G125" s="3434" t="s">
        <v>339</v>
      </c>
      <c r="H125" s="3256"/>
      <c r="I125" s="3432" t="s">
        <v>335</v>
      </c>
      <c r="J125" s="3528"/>
      <c r="K125" s="3390">
        <f t="shared" si="7"/>
        <v>0</v>
      </c>
      <c r="L125" s="3389">
        <f t="shared" si="8"/>
        <v>0</v>
      </c>
    </row>
    <row r="126" spans="1:12" s="3390" customFormat="1" ht="16.5" customHeight="1">
      <c r="A126" s="3437" t="s">
        <v>337</v>
      </c>
      <c r="B126" s="3436" t="s">
        <v>336</v>
      </c>
      <c r="C126" s="3435"/>
      <c r="D126" s="3435"/>
      <c r="E126" s="3434" t="s">
        <v>334</v>
      </c>
      <c r="F126" s="3433" t="s">
        <v>333</v>
      </c>
      <c r="G126" s="3434" t="s">
        <v>334</v>
      </c>
      <c r="H126" s="3433" t="s">
        <v>333</v>
      </c>
      <c r="I126" s="3432"/>
      <c r="J126" s="3528"/>
      <c r="K126" s="3390">
        <f t="shared" si="7"/>
        <v>0</v>
      </c>
      <c r="L126" s="3389">
        <f t="shared" si="8"/>
        <v>0</v>
      </c>
    </row>
    <row r="127" spans="1:12" s="3390" customFormat="1" ht="16.5" customHeight="1">
      <c r="A127" s="3431" t="s">
        <v>331</v>
      </c>
      <c r="B127" s="3251" t="s">
        <v>330</v>
      </c>
      <c r="C127" s="3430" t="s">
        <v>329</v>
      </c>
      <c r="D127" s="3430" t="s">
        <v>328</v>
      </c>
      <c r="E127" s="3429" t="s">
        <v>327</v>
      </c>
      <c r="F127" s="3430" t="s">
        <v>326</v>
      </c>
      <c r="G127" s="3429" t="s">
        <v>324</v>
      </c>
      <c r="H127" s="3429" t="s">
        <v>323</v>
      </c>
      <c r="I127" s="3429" t="s">
        <v>325</v>
      </c>
      <c r="J127" s="3528"/>
      <c r="K127" s="3390">
        <f t="shared" si="7"/>
        <v>0</v>
      </c>
      <c r="L127" s="3389">
        <f t="shared" si="8"/>
        <v>0</v>
      </c>
    </row>
    <row r="128" spans="1:12" s="3390" customFormat="1" ht="16.5" customHeight="1">
      <c r="A128" s="3461"/>
      <c r="B128" s="3255"/>
      <c r="C128" s="3432"/>
      <c r="D128" s="3432"/>
      <c r="E128" s="3408"/>
      <c r="F128" s="3432"/>
      <c r="G128" s="3408"/>
      <c r="H128" s="3408"/>
      <c r="I128" s="3408"/>
      <c r="J128" s="3528"/>
      <c r="K128" s="3390">
        <f t="shared" si="7"/>
        <v>0</v>
      </c>
      <c r="L128" s="3389">
        <f t="shared" si="8"/>
        <v>0</v>
      </c>
    </row>
    <row r="129" spans="1:12" s="3390" customFormat="1" ht="16.5" customHeight="1">
      <c r="A129" s="3531"/>
      <c r="B129" s="3531"/>
      <c r="C129" s="3469" t="s">
        <v>2578</v>
      </c>
      <c r="D129" s="3395"/>
      <c r="E129" s="3394"/>
      <c r="F129" s="3392"/>
      <c r="G129" s="3401"/>
      <c r="H129" s="3535"/>
      <c r="I129" s="3399"/>
      <c r="J129" s="3528"/>
      <c r="K129" s="3390">
        <f t="shared" si="7"/>
        <v>0</v>
      </c>
      <c r="L129" s="3389">
        <f t="shared" si="8"/>
        <v>0</v>
      </c>
    </row>
    <row r="130" spans="1:12" s="3336" customFormat="1" ht="16.5" customHeight="1">
      <c r="A130" s="3415">
        <v>61</v>
      </c>
      <c r="B130" s="3415">
        <v>78</v>
      </c>
      <c r="C130" s="3256" t="s">
        <v>2577</v>
      </c>
      <c r="D130" s="3534" t="s">
        <v>2576</v>
      </c>
      <c r="E130" s="3401" t="s">
        <v>71</v>
      </c>
      <c r="F130" s="3399">
        <v>779928</v>
      </c>
      <c r="G130" s="3401" t="s">
        <v>71</v>
      </c>
      <c r="H130" s="3399">
        <f t="shared" ref="H130:H135" si="12">VLOOKUP(G130,$A$337:$B$545,2)*12</f>
        <v>779928</v>
      </c>
      <c r="I130" s="3398">
        <f>H130-F130</f>
        <v>0</v>
      </c>
      <c r="J130" s="3532"/>
      <c r="K130" s="3390">
        <f t="shared" si="7"/>
        <v>64994</v>
      </c>
      <c r="L130" s="3389">
        <f t="shared" si="8"/>
        <v>1299.8800000000001</v>
      </c>
    </row>
    <row r="131" spans="1:12" s="3390" customFormat="1" ht="16.5" customHeight="1">
      <c r="A131" s="3415">
        <v>62</v>
      </c>
      <c r="B131" s="3415">
        <v>79</v>
      </c>
      <c r="C131" s="3256" t="s">
        <v>2575</v>
      </c>
      <c r="D131" s="3395" t="s">
        <v>2574</v>
      </c>
      <c r="E131" s="3401" t="s">
        <v>182</v>
      </c>
      <c r="F131" s="3399">
        <v>209952</v>
      </c>
      <c r="G131" s="3401" t="s">
        <v>182</v>
      </c>
      <c r="H131" s="3399">
        <f t="shared" si="12"/>
        <v>209952</v>
      </c>
      <c r="I131" s="3398">
        <f>H131-F131</f>
        <v>0</v>
      </c>
      <c r="J131" s="3528"/>
      <c r="K131" s="3390">
        <f t="shared" si="7"/>
        <v>17496</v>
      </c>
      <c r="L131" s="3389">
        <f t="shared" si="8"/>
        <v>349.92</v>
      </c>
    </row>
    <row r="132" spans="1:12" s="3390" customFormat="1" ht="16.5" customHeight="1">
      <c r="A132" s="3415">
        <v>63</v>
      </c>
      <c r="B132" s="3415">
        <v>80</v>
      </c>
      <c r="C132" s="3406" t="s">
        <v>2573</v>
      </c>
      <c r="D132" s="3395" t="s">
        <v>2572</v>
      </c>
      <c r="E132" s="3401" t="s">
        <v>199</v>
      </c>
      <c r="F132" s="3399">
        <v>184680</v>
      </c>
      <c r="G132" s="3404" t="s">
        <v>198</v>
      </c>
      <c r="H132" s="3399">
        <f t="shared" si="12"/>
        <v>186108</v>
      </c>
      <c r="I132" s="3399">
        <f>SUM(H132-F132)</f>
        <v>1428</v>
      </c>
      <c r="J132" s="3528"/>
      <c r="K132" s="3390">
        <f t="shared" si="7"/>
        <v>15509</v>
      </c>
      <c r="L132" s="3389">
        <f t="shared" si="8"/>
        <v>310.18</v>
      </c>
    </row>
    <row r="133" spans="1:12" s="3390" customFormat="1" ht="16.5" customHeight="1">
      <c r="A133" s="3415">
        <v>64</v>
      </c>
      <c r="B133" s="3415">
        <v>81</v>
      </c>
      <c r="C133" s="3533" t="s">
        <v>2571</v>
      </c>
      <c r="D133" s="3383" t="s">
        <v>2570</v>
      </c>
      <c r="E133" s="3401" t="s">
        <v>190</v>
      </c>
      <c r="F133" s="3399">
        <v>197340</v>
      </c>
      <c r="G133" s="3401" t="s">
        <v>190</v>
      </c>
      <c r="H133" s="3399">
        <f t="shared" si="12"/>
        <v>197340</v>
      </c>
      <c r="I133" s="3398">
        <f>H133-F133</f>
        <v>0</v>
      </c>
      <c r="J133" s="3528"/>
      <c r="K133" s="3390">
        <f t="shared" si="7"/>
        <v>16445</v>
      </c>
      <c r="L133" s="3389">
        <f t="shared" si="8"/>
        <v>328.90000000000003</v>
      </c>
    </row>
    <row r="134" spans="1:12" s="3390" customFormat="1" ht="16.5" customHeight="1">
      <c r="A134" s="3415">
        <v>65</v>
      </c>
      <c r="B134" s="3415">
        <v>82</v>
      </c>
      <c r="C134" s="3406" t="s">
        <v>246</v>
      </c>
      <c r="D134" s="3412" t="s">
        <v>2569</v>
      </c>
      <c r="E134" s="3401" t="s">
        <v>231</v>
      </c>
      <c r="F134" s="3399">
        <v>145812</v>
      </c>
      <c r="G134" s="3401" t="s">
        <v>231</v>
      </c>
      <c r="H134" s="3399">
        <f t="shared" si="12"/>
        <v>145812</v>
      </c>
      <c r="I134" s="3398">
        <f>H134-F134</f>
        <v>0</v>
      </c>
      <c r="J134" s="3528"/>
      <c r="K134" s="3390">
        <f t="shared" si="7"/>
        <v>12151</v>
      </c>
      <c r="L134" s="3389">
        <f t="shared" si="8"/>
        <v>243.02</v>
      </c>
    </row>
    <row r="135" spans="1:12" s="3336" customFormat="1" ht="16.5" customHeight="1">
      <c r="A135" s="3460">
        <v>177</v>
      </c>
      <c r="B135" s="3460">
        <v>83</v>
      </c>
      <c r="C135" s="3413" t="s">
        <v>2568</v>
      </c>
      <c r="D135" s="3412" t="s">
        <v>245</v>
      </c>
      <c r="E135" s="3394"/>
      <c r="F135" s="3392">
        <v>0</v>
      </c>
      <c r="G135" s="3394" t="s">
        <v>231</v>
      </c>
      <c r="H135" s="3392">
        <f t="shared" si="12"/>
        <v>145812</v>
      </c>
      <c r="I135" s="3391">
        <f>H135-F135</f>
        <v>145812</v>
      </c>
      <c r="J135" s="3532"/>
      <c r="K135" s="3390">
        <f t="shared" si="7"/>
        <v>12151</v>
      </c>
      <c r="L135" s="3389">
        <f t="shared" si="8"/>
        <v>243.02</v>
      </c>
    </row>
    <row r="136" spans="1:12" s="3336" customFormat="1" ht="16.5" customHeight="1">
      <c r="A136" s="3460"/>
      <c r="B136" s="3460"/>
      <c r="C136" s="3383"/>
      <c r="D136" s="3395"/>
      <c r="E136" s="3394"/>
      <c r="F136" s="3392"/>
      <c r="G136" s="3394"/>
      <c r="H136" s="3392"/>
      <c r="I136" s="3391"/>
      <c r="J136" s="3532"/>
      <c r="K136" s="3390">
        <f t="shared" si="7"/>
        <v>0</v>
      </c>
      <c r="L136" s="3389">
        <f t="shared" si="8"/>
        <v>0</v>
      </c>
    </row>
    <row r="137" spans="1:12" s="3390" customFormat="1" ht="16.5" customHeight="1">
      <c r="A137" s="3531"/>
      <c r="B137" s="3531"/>
      <c r="C137" s="3459" t="s">
        <v>2567</v>
      </c>
      <c r="D137" s="3432"/>
      <c r="E137" s="3407"/>
      <c r="F137" s="3432"/>
      <c r="G137" s="3407"/>
      <c r="H137" s="3432"/>
      <c r="I137" s="3432"/>
      <c r="J137" s="3528"/>
      <c r="K137" s="3390">
        <f t="shared" si="7"/>
        <v>0</v>
      </c>
      <c r="L137" s="3389">
        <f t="shared" si="8"/>
        <v>0</v>
      </c>
    </row>
    <row r="138" spans="1:12" s="3390" customFormat="1" ht="16.5" customHeight="1">
      <c r="A138" s="3415">
        <v>66</v>
      </c>
      <c r="B138" s="3415">
        <v>84</v>
      </c>
      <c r="C138" s="3256" t="s">
        <v>2566</v>
      </c>
      <c r="D138" s="3395" t="s">
        <v>2565</v>
      </c>
      <c r="E138" s="3407" t="s">
        <v>71</v>
      </c>
      <c r="F138" s="3407">
        <v>779928</v>
      </c>
      <c r="G138" s="3404" t="s">
        <v>70</v>
      </c>
      <c r="H138" s="3399">
        <f>VLOOKUP(G138,$A$337:$B$545,2)*12</f>
        <v>792084</v>
      </c>
      <c r="I138" s="3399">
        <f>SUM(H138-F138)</f>
        <v>12156</v>
      </c>
      <c r="J138" s="3528"/>
      <c r="K138" s="3390">
        <f t="shared" si="7"/>
        <v>66007</v>
      </c>
      <c r="L138" s="3389">
        <f t="shared" si="8"/>
        <v>1320.14</v>
      </c>
    </row>
    <row r="139" spans="1:12" s="3390" customFormat="1" ht="16.5" customHeight="1">
      <c r="A139" s="3415">
        <v>67</v>
      </c>
      <c r="B139" s="3415">
        <v>85</v>
      </c>
      <c r="C139" s="3406" t="s">
        <v>2564</v>
      </c>
      <c r="D139" s="3395" t="s">
        <v>245</v>
      </c>
      <c r="E139" s="3407" t="s">
        <v>167</v>
      </c>
      <c r="F139" s="3407">
        <v>241740</v>
      </c>
      <c r="G139" s="3401" t="s">
        <v>167</v>
      </c>
      <c r="H139" s="3399">
        <f>VLOOKUP(G139,$A$337:$B$545,2)*12</f>
        <v>241740</v>
      </c>
      <c r="I139" s="3399">
        <f>SUM(H139-F139)</f>
        <v>0</v>
      </c>
      <c r="J139" s="3528"/>
      <c r="K139" s="3390">
        <f t="shared" si="7"/>
        <v>20145</v>
      </c>
      <c r="L139" s="3389">
        <f t="shared" si="8"/>
        <v>402.90000000000003</v>
      </c>
    </row>
    <row r="140" spans="1:12" s="3390" customFormat="1" ht="16.5" customHeight="1">
      <c r="A140" s="3415"/>
      <c r="B140" s="3415"/>
      <c r="C140" s="3406"/>
      <c r="D140" s="3395"/>
      <c r="E140" s="3407"/>
      <c r="F140" s="3407"/>
      <c r="G140" s="3401"/>
      <c r="H140" s="3399"/>
      <c r="I140" s="3399"/>
      <c r="J140" s="3528"/>
      <c r="K140" s="3390">
        <f t="shared" si="7"/>
        <v>0</v>
      </c>
      <c r="L140" s="3389">
        <f t="shared" si="8"/>
        <v>0</v>
      </c>
    </row>
    <row r="141" spans="1:12" s="3390" customFormat="1" ht="16.5" customHeight="1">
      <c r="A141" s="3415"/>
      <c r="B141" s="3415"/>
      <c r="C141" s="3395" t="s">
        <v>2563</v>
      </c>
      <c r="D141" s="3530"/>
      <c r="E141" s="3407"/>
      <c r="F141" s="3407"/>
      <c r="G141" s="3407"/>
      <c r="H141" s="3432"/>
      <c r="I141" s="3432"/>
      <c r="J141" s="3528"/>
      <c r="K141" s="3390">
        <f t="shared" si="7"/>
        <v>0</v>
      </c>
      <c r="L141" s="3389">
        <f t="shared" si="8"/>
        <v>0</v>
      </c>
    </row>
    <row r="142" spans="1:12" s="3390" customFormat="1" ht="16.5" customHeight="1">
      <c r="A142" s="3415">
        <v>68</v>
      </c>
      <c r="B142" s="3415">
        <v>86</v>
      </c>
      <c r="C142" s="3259" t="s">
        <v>2562</v>
      </c>
      <c r="D142" s="3412" t="s">
        <v>2561</v>
      </c>
      <c r="E142" s="3407" t="s">
        <v>167</v>
      </c>
      <c r="F142" s="3407">
        <v>241740</v>
      </c>
      <c r="G142" s="3401" t="s">
        <v>167</v>
      </c>
      <c r="H142" s="3399">
        <f>VLOOKUP(G142,$A$337:$B$545,2)*12</f>
        <v>241740</v>
      </c>
      <c r="I142" s="3399">
        <f>SUM(H142-F142)</f>
        <v>0</v>
      </c>
      <c r="J142" s="3528"/>
      <c r="K142" s="3390">
        <f t="shared" si="7"/>
        <v>20145</v>
      </c>
      <c r="L142" s="3389">
        <f t="shared" si="8"/>
        <v>402.90000000000003</v>
      </c>
    </row>
    <row r="143" spans="1:12" s="3390" customFormat="1" ht="16.5" customHeight="1">
      <c r="A143" s="3415">
        <v>69</v>
      </c>
      <c r="B143" s="3415">
        <v>87</v>
      </c>
      <c r="C143" s="3259" t="s">
        <v>253</v>
      </c>
      <c r="D143" s="3395" t="s">
        <v>2560</v>
      </c>
      <c r="E143" s="3407" t="s">
        <v>190</v>
      </c>
      <c r="F143" s="3407">
        <v>197340</v>
      </c>
      <c r="G143" s="3401" t="s">
        <v>190</v>
      </c>
      <c r="H143" s="3399">
        <f>VLOOKUP(G143,$A$337:$B$545,2)*12</f>
        <v>197340</v>
      </c>
      <c r="I143" s="3399">
        <f>SUM(H143-F143)</f>
        <v>0</v>
      </c>
      <c r="J143" s="3528"/>
      <c r="K143" s="3390">
        <f t="shared" si="7"/>
        <v>16445</v>
      </c>
      <c r="L143" s="3389">
        <f t="shared" si="8"/>
        <v>328.90000000000003</v>
      </c>
    </row>
    <row r="144" spans="1:12" s="3390" customFormat="1" ht="16.5" customHeight="1">
      <c r="A144" s="3415">
        <v>70</v>
      </c>
      <c r="B144" s="3415">
        <v>88</v>
      </c>
      <c r="C144" s="3259" t="s">
        <v>1358</v>
      </c>
      <c r="D144" s="3412" t="s">
        <v>245</v>
      </c>
      <c r="E144" s="3407" t="s">
        <v>196</v>
      </c>
      <c r="F144" s="3407">
        <v>188976</v>
      </c>
      <c r="G144" s="3404" t="s">
        <v>199</v>
      </c>
      <c r="H144" s="3399">
        <f>VLOOKUP(G144,$A$337:$B$545,2)*12</f>
        <v>184680</v>
      </c>
      <c r="I144" s="3399">
        <f>SUM(H144-F144)</f>
        <v>-4296</v>
      </c>
      <c r="J144" s="3528"/>
      <c r="K144" s="3390">
        <f t="shared" si="7"/>
        <v>15390</v>
      </c>
      <c r="L144" s="3389">
        <f t="shared" si="8"/>
        <v>307.8</v>
      </c>
    </row>
    <row r="145" spans="1:12" s="3390" customFormat="1" ht="16.5" customHeight="1">
      <c r="A145" s="3415">
        <v>71</v>
      </c>
      <c r="B145" s="3415">
        <v>89</v>
      </c>
      <c r="C145" s="3256" t="s">
        <v>1153</v>
      </c>
      <c r="D145" s="3395" t="s">
        <v>2559</v>
      </c>
      <c r="E145" s="3407" t="s">
        <v>198</v>
      </c>
      <c r="F145" s="3449">
        <v>186108</v>
      </c>
      <c r="G145" s="3401" t="s">
        <v>198</v>
      </c>
      <c r="H145" s="3399">
        <f>VLOOKUP(G145,$A$337:$B$545,2)*12</f>
        <v>186108</v>
      </c>
      <c r="I145" s="3399">
        <f>SUM(H145-F145)</f>
        <v>0</v>
      </c>
      <c r="J145" s="3528"/>
      <c r="K145" s="3390">
        <f t="shared" ref="K145:K208" si="13">H145/12</f>
        <v>15509</v>
      </c>
      <c r="L145" s="3389">
        <f t="shared" si="8"/>
        <v>310.18</v>
      </c>
    </row>
    <row r="146" spans="1:12" s="3390" customFormat="1" ht="16.5" customHeight="1">
      <c r="A146" s="3415">
        <v>72</v>
      </c>
      <c r="B146" s="3415">
        <v>90</v>
      </c>
      <c r="C146" s="3259" t="s">
        <v>483</v>
      </c>
      <c r="D146" s="3412" t="s">
        <v>2558</v>
      </c>
      <c r="E146" s="3407" t="s">
        <v>231</v>
      </c>
      <c r="F146" s="3407">
        <v>145812</v>
      </c>
      <c r="G146" s="3401" t="s">
        <v>231</v>
      </c>
      <c r="H146" s="3399">
        <f>VLOOKUP(G146,$A$337:$B$545,2)*12</f>
        <v>145812</v>
      </c>
      <c r="I146" s="3399">
        <f>SUM(H146-F146)</f>
        <v>0</v>
      </c>
      <c r="J146" s="3528"/>
      <c r="K146" s="3390">
        <f t="shared" si="13"/>
        <v>12151</v>
      </c>
      <c r="L146" s="3389">
        <f t="shared" si="8"/>
        <v>243.02</v>
      </c>
    </row>
    <row r="147" spans="1:12" s="3390" customFormat="1" ht="16.5" customHeight="1">
      <c r="A147" s="3461"/>
      <c r="B147" s="3255"/>
      <c r="C147" s="2875"/>
      <c r="D147" s="3432"/>
      <c r="E147" s="3408"/>
      <c r="F147" s="3432"/>
      <c r="G147" s="3432"/>
      <c r="H147" s="3432"/>
      <c r="I147" s="3432"/>
      <c r="J147" s="3528"/>
      <c r="K147" s="3390">
        <f t="shared" si="13"/>
        <v>0</v>
      </c>
      <c r="L147" s="3389">
        <f t="shared" si="8"/>
        <v>0</v>
      </c>
    </row>
    <row r="148" spans="1:12" s="3390" customFormat="1" ht="16.5" customHeight="1">
      <c r="A148" s="3255"/>
      <c r="B148" s="3255"/>
      <c r="C148" s="3464" t="s">
        <v>2557</v>
      </c>
      <c r="D148" s="3530"/>
      <c r="E148" s="3407"/>
      <c r="F148" s="3449"/>
      <c r="G148" s="3407"/>
      <c r="H148" s="2875"/>
      <c r="I148" s="3432"/>
      <c r="J148" s="3528"/>
      <c r="K148" s="3390">
        <f t="shared" si="13"/>
        <v>0</v>
      </c>
      <c r="L148" s="3389">
        <f t="shared" ref="L148:L211" si="14">K148*0.04/2</f>
        <v>0</v>
      </c>
    </row>
    <row r="149" spans="1:12" s="3390" customFormat="1" ht="16.5" customHeight="1">
      <c r="A149" s="3403">
        <v>73</v>
      </c>
      <c r="B149" s="3403">
        <v>91</v>
      </c>
      <c r="C149" s="3309" t="s">
        <v>2556</v>
      </c>
      <c r="D149" s="3395" t="s">
        <v>2555</v>
      </c>
      <c r="E149" s="3407" t="s">
        <v>140</v>
      </c>
      <c r="F149" s="3449">
        <v>333168</v>
      </c>
      <c r="G149" s="3401" t="s">
        <v>140</v>
      </c>
      <c r="H149" s="3399">
        <f t="shared" ref="H149:H159" si="15">VLOOKUP(G149,$A$337:$B$545,2)*12</f>
        <v>333168</v>
      </c>
      <c r="I149" s="3399">
        <f t="shared" ref="I149:I157" si="16">SUM(H149-F149)</f>
        <v>0</v>
      </c>
      <c r="J149" s="3528"/>
      <c r="K149" s="3390">
        <f t="shared" si="13"/>
        <v>27764</v>
      </c>
      <c r="L149" s="3389">
        <f t="shared" si="14"/>
        <v>555.28</v>
      </c>
    </row>
    <row r="150" spans="1:12" s="3390" customFormat="1" ht="16.5" customHeight="1">
      <c r="A150" s="3403">
        <v>74</v>
      </c>
      <c r="B150" s="3403">
        <v>92</v>
      </c>
      <c r="C150" s="3309" t="s">
        <v>2553</v>
      </c>
      <c r="D150" s="3395" t="s">
        <v>2554</v>
      </c>
      <c r="E150" s="3407" t="s">
        <v>190</v>
      </c>
      <c r="F150" s="3449">
        <v>197340</v>
      </c>
      <c r="G150" s="3404" t="s">
        <v>189</v>
      </c>
      <c r="H150" s="3399">
        <f t="shared" si="15"/>
        <v>198864</v>
      </c>
      <c r="I150" s="3399">
        <f t="shared" si="16"/>
        <v>1524</v>
      </c>
      <c r="J150" s="3528"/>
      <c r="K150" s="3390">
        <f t="shared" si="13"/>
        <v>16572</v>
      </c>
      <c r="L150" s="3389">
        <f t="shared" si="14"/>
        <v>331.44</v>
      </c>
    </row>
    <row r="151" spans="1:12" s="3390" customFormat="1" ht="16.5" customHeight="1">
      <c r="A151" s="3403">
        <v>75</v>
      </c>
      <c r="B151" s="3403">
        <v>93</v>
      </c>
      <c r="C151" s="3309" t="s">
        <v>2553</v>
      </c>
      <c r="D151" s="3412" t="s">
        <v>2552</v>
      </c>
      <c r="E151" s="3407" t="s">
        <v>191</v>
      </c>
      <c r="F151" s="3407">
        <v>195840</v>
      </c>
      <c r="G151" s="3401" t="s">
        <v>191</v>
      </c>
      <c r="H151" s="3399">
        <f t="shared" si="15"/>
        <v>195840</v>
      </c>
      <c r="I151" s="3399">
        <f t="shared" si="16"/>
        <v>0</v>
      </c>
      <c r="J151" s="3528"/>
      <c r="K151" s="3390">
        <f t="shared" si="13"/>
        <v>16320</v>
      </c>
      <c r="L151" s="3389">
        <f t="shared" si="14"/>
        <v>326.40000000000003</v>
      </c>
    </row>
    <row r="152" spans="1:12" s="3390" customFormat="1" ht="16.5" customHeight="1">
      <c r="A152" s="3403">
        <v>76</v>
      </c>
      <c r="B152" s="3403">
        <v>94</v>
      </c>
      <c r="C152" s="3309" t="s">
        <v>2550</v>
      </c>
      <c r="D152" s="3412" t="s">
        <v>2551</v>
      </c>
      <c r="E152" s="3407" t="s">
        <v>207</v>
      </c>
      <c r="F152" s="3407">
        <v>174132</v>
      </c>
      <c r="G152" s="3401" t="s">
        <v>207</v>
      </c>
      <c r="H152" s="3399">
        <f t="shared" si="15"/>
        <v>174132</v>
      </c>
      <c r="I152" s="3399">
        <f t="shared" si="16"/>
        <v>0</v>
      </c>
      <c r="J152" s="3528"/>
      <c r="K152" s="3390">
        <f t="shared" si="13"/>
        <v>14511</v>
      </c>
      <c r="L152" s="3389">
        <f t="shared" si="14"/>
        <v>290.22000000000003</v>
      </c>
    </row>
    <row r="153" spans="1:12" s="3390" customFormat="1" ht="16.5" customHeight="1">
      <c r="A153" s="3403">
        <v>77</v>
      </c>
      <c r="B153" s="3403">
        <v>95</v>
      </c>
      <c r="C153" s="3309" t="s">
        <v>2550</v>
      </c>
      <c r="D153" s="3412" t="s">
        <v>2549</v>
      </c>
      <c r="E153" s="3407" t="s">
        <v>207</v>
      </c>
      <c r="F153" s="3407">
        <v>174132</v>
      </c>
      <c r="G153" s="3401" t="s">
        <v>207</v>
      </c>
      <c r="H153" s="3399">
        <f t="shared" si="15"/>
        <v>174132</v>
      </c>
      <c r="I153" s="3399">
        <f t="shared" si="16"/>
        <v>0</v>
      </c>
      <c r="J153" s="3528"/>
      <c r="K153" s="3390">
        <f t="shared" si="13"/>
        <v>14511</v>
      </c>
      <c r="L153" s="3389">
        <f t="shared" si="14"/>
        <v>290.22000000000003</v>
      </c>
    </row>
    <row r="154" spans="1:12" s="3390" customFormat="1" ht="16.5" customHeight="1">
      <c r="A154" s="3403">
        <v>79</v>
      </c>
      <c r="B154" s="3403">
        <v>96</v>
      </c>
      <c r="C154" s="3309" t="s">
        <v>2467</v>
      </c>
      <c r="D154" s="3395" t="s">
        <v>2548</v>
      </c>
      <c r="E154" s="3407" t="s">
        <v>214</v>
      </c>
      <c r="F154" s="3449">
        <v>165420</v>
      </c>
      <c r="G154" s="3401" t="s">
        <v>214</v>
      </c>
      <c r="H154" s="3399">
        <f t="shared" si="15"/>
        <v>165420</v>
      </c>
      <c r="I154" s="3399">
        <f t="shared" si="16"/>
        <v>0</v>
      </c>
      <c r="J154" s="3528"/>
      <c r="K154" s="3390">
        <f t="shared" si="13"/>
        <v>13785</v>
      </c>
      <c r="L154" s="3389">
        <f t="shared" si="14"/>
        <v>275.7</v>
      </c>
    </row>
    <row r="155" spans="1:12" s="3390" customFormat="1" ht="16.5" customHeight="1">
      <c r="A155" s="3403">
        <v>78</v>
      </c>
      <c r="B155" s="3403">
        <v>97</v>
      </c>
      <c r="C155" s="3259" t="s">
        <v>2547</v>
      </c>
      <c r="D155" s="3412" t="s">
        <v>245</v>
      </c>
      <c r="E155" s="3407" t="s">
        <v>210</v>
      </c>
      <c r="F155" s="3407">
        <v>170556</v>
      </c>
      <c r="G155" s="3404" t="s">
        <v>215</v>
      </c>
      <c r="H155" s="3399">
        <f t="shared" si="15"/>
        <v>164160</v>
      </c>
      <c r="I155" s="3399">
        <f t="shared" si="16"/>
        <v>-6396</v>
      </c>
      <c r="J155" s="3528"/>
      <c r="K155" s="3390">
        <f t="shared" si="13"/>
        <v>13680</v>
      </c>
      <c r="L155" s="3389">
        <f t="shared" si="14"/>
        <v>273.60000000000002</v>
      </c>
    </row>
    <row r="156" spans="1:12" s="3390" customFormat="1" ht="16.5" customHeight="1">
      <c r="A156" s="3403">
        <v>80</v>
      </c>
      <c r="B156" s="3403">
        <v>98</v>
      </c>
      <c r="C156" s="3309" t="s">
        <v>2546</v>
      </c>
      <c r="D156" s="3395" t="s">
        <v>2545</v>
      </c>
      <c r="E156" s="3407" t="s">
        <v>222</v>
      </c>
      <c r="F156" s="3449">
        <v>155916</v>
      </c>
      <c r="G156" s="3401" t="s">
        <v>222</v>
      </c>
      <c r="H156" s="3399">
        <f t="shared" si="15"/>
        <v>155916</v>
      </c>
      <c r="I156" s="3399">
        <f t="shared" si="16"/>
        <v>0</v>
      </c>
      <c r="J156" s="3528"/>
      <c r="K156" s="3390">
        <f t="shared" si="13"/>
        <v>12993</v>
      </c>
      <c r="L156" s="3389">
        <f t="shared" si="14"/>
        <v>259.86</v>
      </c>
    </row>
    <row r="157" spans="1:12" s="3390" customFormat="1" ht="16.5" customHeight="1">
      <c r="A157" s="3403">
        <v>81</v>
      </c>
      <c r="B157" s="3403">
        <v>99</v>
      </c>
      <c r="C157" s="3445" t="s">
        <v>603</v>
      </c>
      <c r="D157" s="3395" t="s">
        <v>2544</v>
      </c>
      <c r="E157" s="3401" t="s">
        <v>222</v>
      </c>
      <c r="F157" s="3529">
        <v>155916</v>
      </c>
      <c r="G157" s="3401" t="s">
        <v>222</v>
      </c>
      <c r="H157" s="3399">
        <f t="shared" si="15"/>
        <v>155916</v>
      </c>
      <c r="I157" s="3399">
        <f t="shared" si="16"/>
        <v>0</v>
      </c>
      <c r="J157" s="3528"/>
      <c r="K157" s="3390">
        <f t="shared" si="13"/>
        <v>12993</v>
      </c>
      <c r="L157" s="3389">
        <f t="shared" si="14"/>
        <v>259.86</v>
      </c>
    </row>
    <row r="158" spans="1:12" s="3390" customFormat="1" ht="16.5" customHeight="1">
      <c r="A158" s="3403">
        <v>82</v>
      </c>
      <c r="B158" s="3403">
        <v>100</v>
      </c>
      <c r="C158" s="3406" t="s">
        <v>246</v>
      </c>
      <c r="D158" s="3412" t="s">
        <v>2543</v>
      </c>
      <c r="E158" s="3401" t="s">
        <v>229</v>
      </c>
      <c r="F158" s="3399">
        <v>148056</v>
      </c>
      <c r="G158" s="3404" t="s">
        <v>231</v>
      </c>
      <c r="H158" s="3399">
        <f t="shared" si="15"/>
        <v>145812</v>
      </c>
      <c r="I158" s="3398">
        <f>H158-F158</f>
        <v>-2244</v>
      </c>
      <c r="J158" s="3528"/>
      <c r="K158" s="3390">
        <f t="shared" si="13"/>
        <v>12151</v>
      </c>
      <c r="L158" s="3389">
        <f t="shared" si="14"/>
        <v>243.02</v>
      </c>
    </row>
    <row r="159" spans="1:12" s="3390" customFormat="1" ht="16.5" customHeight="1">
      <c r="A159" s="3403">
        <v>83</v>
      </c>
      <c r="B159" s="3403">
        <v>101</v>
      </c>
      <c r="C159" s="3406" t="s">
        <v>246</v>
      </c>
      <c r="D159" s="3412" t="s">
        <v>245</v>
      </c>
      <c r="E159" s="3401" t="s">
        <v>229</v>
      </c>
      <c r="F159" s="3399">
        <v>148056</v>
      </c>
      <c r="G159" s="3404" t="s">
        <v>231</v>
      </c>
      <c r="H159" s="3399">
        <f t="shared" si="15"/>
        <v>145812</v>
      </c>
      <c r="I159" s="3398">
        <f>H159-F159</f>
        <v>-2244</v>
      </c>
      <c r="J159" s="3528"/>
      <c r="K159" s="3390">
        <f t="shared" si="13"/>
        <v>12151</v>
      </c>
      <c r="L159" s="3389">
        <f t="shared" si="14"/>
        <v>243.02</v>
      </c>
    </row>
    <row r="160" spans="1:12" s="3390" customFormat="1" ht="16.5" customHeight="1">
      <c r="A160" s="3255"/>
      <c r="B160" s="3255"/>
      <c r="C160" s="3432"/>
      <c r="D160" s="3432"/>
      <c r="E160" s="3432"/>
      <c r="F160" s="3432"/>
      <c r="G160" s="3432"/>
      <c r="H160" s="3432"/>
      <c r="I160" s="3432"/>
      <c r="J160" s="3528"/>
      <c r="K160" s="3390">
        <f t="shared" si="13"/>
        <v>0</v>
      </c>
      <c r="L160" s="3389">
        <f t="shared" si="14"/>
        <v>0</v>
      </c>
    </row>
    <row r="161" spans="1:12" s="3421" customFormat="1" ht="16.5" customHeight="1">
      <c r="A161" s="3527"/>
      <c r="B161" s="3527"/>
      <c r="C161" s="3427" t="s">
        <v>2542</v>
      </c>
      <c r="D161" s="3526"/>
      <c r="E161" s="3525"/>
      <c r="F161" s="3526"/>
      <c r="G161" s="3525"/>
      <c r="H161" s="3525"/>
      <c r="I161" s="3525"/>
      <c r="K161" s="3390">
        <f t="shared" si="13"/>
        <v>0</v>
      </c>
      <c r="L161" s="3389">
        <f t="shared" si="14"/>
        <v>0</v>
      </c>
    </row>
    <row r="162" spans="1:12" s="3421" customFormat="1" ht="16.5" customHeight="1">
      <c r="A162" s="3527"/>
      <c r="B162" s="3527"/>
      <c r="C162" s="3427"/>
      <c r="D162" s="3526"/>
      <c r="E162" s="3525"/>
      <c r="F162" s="3526"/>
      <c r="G162" s="3525"/>
      <c r="H162" s="3525"/>
      <c r="I162" s="3525"/>
      <c r="K162" s="3390">
        <f t="shared" si="13"/>
        <v>0</v>
      </c>
      <c r="L162" s="3389">
        <f t="shared" si="14"/>
        <v>0</v>
      </c>
    </row>
    <row r="163" spans="1:12" ht="16.5" customHeight="1">
      <c r="A163" s="3523"/>
      <c r="B163" s="3523"/>
      <c r="C163" s="3417" t="s">
        <v>2541</v>
      </c>
      <c r="D163" s="3395"/>
      <c r="E163" s="3401"/>
      <c r="F163" s="3399"/>
      <c r="G163" s="3401"/>
      <c r="H163" s="3399"/>
      <c r="I163" s="3399"/>
      <c r="K163" s="3390">
        <f t="shared" si="13"/>
        <v>0</v>
      </c>
      <c r="L163" s="3389">
        <f t="shared" si="14"/>
        <v>0</v>
      </c>
    </row>
    <row r="164" spans="1:12" ht="16.5" customHeight="1">
      <c r="A164" s="3523">
        <v>84</v>
      </c>
      <c r="B164" s="3523">
        <v>102</v>
      </c>
      <c r="C164" s="3259" t="s">
        <v>2540</v>
      </c>
      <c r="D164" s="3395" t="s">
        <v>2539</v>
      </c>
      <c r="E164" s="3407" t="s">
        <v>157</v>
      </c>
      <c r="F164" s="3449">
        <v>278736</v>
      </c>
      <c r="G164" s="3401" t="s">
        <v>157</v>
      </c>
      <c r="H164" s="3399">
        <f>VLOOKUP(G164,$A$404:$B$419,2)*12</f>
        <v>278736</v>
      </c>
      <c r="I164" s="3399">
        <f>SUM(H164-F164)</f>
        <v>0</v>
      </c>
      <c r="K164" s="3390">
        <f t="shared" si="13"/>
        <v>23228</v>
      </c>
      <c r="L164" s="3389">
        <f t="shared" si="14"/>
        <v>464.56</v>
      </c>
    </row>
    <row r="165" spans="1:12" ht="16.5" customHeight="1">
      <c r="A165" s="3523"/>
      <c r="B165" s="3522"/>
      <c r="C165" s="3258"/>
      <c r="D165" s="3395"/>
      <c r="E165" s="3407"/>
      <c r="F165" s="3449"/>
      <c r="G165" s="3401"/>
      <c r="H165" s="3399"/>
      <c r="I165" s="3399"/>
      <c r="K165" s="3390">
        <f t="shared" si="13"/>
        <v>0</v>
      </c>
      <c r="L165" s="3389">
        <f t="shared" si="14"/>
        <v>0</v>
      </c>
    </row>
    <row r="166" spans="1:12" ht="16.5" customHeight="1">
      <c r="A166" s="3523"/>
      <c r="B166" s="3522"/>
      <c r="C166" s="3524" t="s">
        <v>2538</v>
      </c>
      <c r="D166" s="3406"/>
      <c r="E166" s="3520"/>
      <c r="F166" s="3406"/>
      <c r="G166" s="3520"/>
      <c r="H166" s="3406"/>
      <c r="I166" s="3406"/>
      <c r="K166" s="3390">
        <f t="shared" si="13"/>
        <v>0</v>
      </c>
      <c r="L166" s="3389">
        <f t="shared" si="14"/>
        <v>0</v>
      </c>
    </row>
    <row r="167" spans="1:12" ht="16.5" customHeight="1">
      <c r="A167" s="3523"/>
      <c r="B167" s="3522"/>
      <c r="C167" s="3521"/>
      <c r="D167" s="3406"/>
      <c r="E167" s="3520"/>
      <c r="F167" s="3406"/>
      <c r="G167" s="3520"/>
      <c r="H167" s="3413" t="s">
        <v>2421</v>
      </c>
      <c r="I167" s="3406"/>
      <c r="K167" s="3390">
        <f t="shared" si="13"/>
        <v>0</v>
      </c>
      <c r="L167" s="3389">
        <f t="shared" si="14"/>
        <v>0</v>
      </c>
    </row>
    <row r="168" spans="1:12" s="3388" customFormat="1" ht="16.5" customHeight="1">
      <c r="A168" s="3397">
        <v>85</v>
      </c>
      <c r="B168" s="3397"/>
      <c r="C168" s="3519" t="s">
        <v>2537</v>
      </c>
      <c r="D168" s="3395" t="s">
        <v>245</v>
      </c>
      <c r="E168" s="3394" t="s">
        <v>71</v>
      </c>
      <c r="F168" s="3392">
        <v>779928</v>
      </c>
      <c r="G168" s="3394"/>
      <c r="H168" s="3409" t="s">
        <v>2420</v>
      </c>
      <c r="I168" s="3391">
        <f>H168-F168</f>
        <v>-779928</v>
      </c>
      <c r="K168" s="3390">
        <f t="shared" si="13"/>
        <v>0</v>
      </c>
      <c r="L168" s="3389">
        <f t="shared" si="14"/>
        <v>0</v>
      </c>
    </row>
    <row r="169" spans="1:12" s="3388" customFormat="1" ht="16.5" customHeight="1">
      <c r="A169" s="3481"/>
      <c r="B169" s="3397"/>
      <c r="C169" s="3519"/>
      <c r="D169" s="3395"/>
      <c r="E169" s="3394"/>
      <c r="F169" s="3392"/>
      <c r="G169" s="3394"/>
      <c r="H169" s="3413" t="s">
        <v>2421</v>
      </c>
      <c r="I169" s="3391"/>
      <c r="K169" s="3390">
        <f t="shared" si="13"/>
        <v>0</v>
      </c>
      <c r="L169" s="3389">
        <f t="shared" si="14"/>
        <v>0</v>
      </c>
    </row>
    <row r="170" spans="1:12" s="3388" customFormat="1" ht="16.5" customHeight="1">
      <c r="A170" s="3481">
        <v>86</v>
      </c>
      <c r="B170" s="3397"/>
      <c r="C170" s="3414" t="s">
        <v>2536</v>
      </c>
      <c r="D170" s="3412" t="s">
        <v>245</v>
      </c>
      <c r="E170" s="3394" t="s">
        <v>101</v>
      </c>
      <c r="F170" s="3392">
        <v>509508</v>
      </c>
      <c r="G170" s="3394"/>
      <c r="H170" s="3409" t="s">
        <v>2420</v>
      </c>
      <c r="I170" s="3392">
        <f>SUM(H170-F170)</f>
        <v>-509508</v>
      </c>
      <c r="K170" s="3390">
        <f t="shared" si="13"/>
        <v>0</v>
      </c>
      <c r="L170" s="3389">
        <f t="shared" si="14"/>
        <v>0</v>
      </c>
    </row>
    <row r="171" spans="1:12" s="3388" customFormat="1" ht="16.5" customHeight="1">
      <c r="A171" s="3518">
        <v>87</v>
      </c>
      <c r="B171" s="3518"/>
      <c r="C171" s="3517" t="s">
        <v>2535</v>
      </c>
      <c r="D171" s="3516" t="s">
        <v>245</v>
      </c>
      <c r="E171" s="3515" t="s">
        <v>143</v>
      </c>
      <c r="F171" s="3514">
        <v>322344</v>
      </c>
      <c r="G171" s="3515"/>
      <c r="H171" s="3514">
        <v>0</v>
      </c>
      <c r="I171" s="3514">
        <f>SUM(H171-F171)</f>
        <v>-322344</v>
      </c>
      <c r="K171" s="3390">
        <f t="shared" si="13"/>
        <v>0</v>
      </c>
      <c r="L171" s="3389">
        <f t="shared" si="14"/>
        <v>0</v>
      </c>
    </row>
    <row r="172" spans="1:12" s="3388" customFormat="1" ht="16.5" customHeight="1">
      <c r="A172" s="3466"/>
      <c r="B172" s="3344"/>
      <c r="C172" s="3513" t="s">
        <v>2534</v>
      </c>
      <c r="D172" s="3512"/>
      <c r="E172" s="3511"/>
      <c r="F172" s="3419"/>
      <c r="G172" s="3511"/>
      <c r="H172" s="3419"/>
      <c r="I172" s="3462"/>
      <c r="K172" s="3390">
        <f t="shared" si="13"/>
        <v>0</v>
      </c>
      <c r="L172" s="3389">
        <f t="shared" si="14"/>
        <v>0</v>
      </c>
    </row>
    <row r="173" spans="1:12" s="3388" customFormat="1" ht="16.5" customHeight="1">
      <c r="A173" s="3466"/>
      <c r="B173" s="3510" t="s">
        <v>2457</v>
      </c>
      <c r="C173" s="3336"/>
      <c r="D173" s="3419"/>
      <c r="E173" s="3508"/>
      <c r="F173" s="3344"/>
      <c r="G173" s="3336"/>
      <c r="H173" s="3506"/>
      <c r="I173" s="3506"/>
      <c r="K173" s="3390">
        <f t="shared" si="13"/>
        <v>0</v>
      </c>
      <c r="L173" s="3389">
        <f t="shared" si="14"/>
        <v>0</v>
      </c>
    </row>
    <row r="174" spans="1:12" s="3388" customFormat="1" ht="16.5" customHeight="1">
      <c r="A174" s="3466"/>
      <c r="B174" s="3509" t="s">
        <v>2533</v>
      </c>
      <c r="C174" s="3419"/>
      <c r="D174" s="3419"/>
      <c r="E174" s="3508"/>
      <c r="F174" s="3344"/>
      <c r="G174" s="3336"/>
      <c r="H174" s="3507"/>
      <c r="I174" s="3506"/>
      <c r="K174" s="3390">
        <f t="shared" si="13"/>
        <v>0</v>
      </c>
      <c r="L174" s="3389">
        <f t="shared" si="14"/>
        <v>0</v>
      </c>
    </row>
    <row r="175" spans="1:12" s="3388" customFormat="1" ht="16.5" customHeight="1">
      <c r="A175" s="3466"/>
      <c r="B175" s="3509"/>
      <c r="C175" s="3419"/>
      <c r="D175" s="3419"/>
      <c r="E175" s="3508"/>
      <c r="F175" s="3344"/>
      <c r="G175" s="3336"/>
      <c r="H175" s="3507"/>
      <c r="I175" s="3506"/>
      <c r="K175" s="3390">
        <f t="shared" si="13"/>
        <v>0</v>
      </c>
      <c r="L175" s="3389">
        <f t="shared" si="14"/>
        <v>0</v>
      </c>
    </row>
    <row r="176" spans="1:12" s="3388" customFormat="1" ht="16.5" customHeight="1">
      <c r="A176" s="3503"/>
      <c r="B176" s="3505"/>
      <c r="C176" s="3504"/>
      <c r="D176" s="3503"/>
      <c r="E176" s="4959" t="s">
        <v>348</v>
      </c>
      <c r="F176" s="4960"/>
      <c r="G176" s="4959" t="s">
        <v>2455</v>
      </c>
      <c r="H176" s="4960"/>
      <c r="I176" s="3502"/>
      <c r="K176" s="3390">
        <f t="shared" si="13"/>
        <v>0</v>
      </c>
      <c r="L176" s="3389">
        <f t="shared" si="14"/>
        <v>0</v>
      </c>
    </row>
    <row r="177" spans="1:12" s="3388" customFormat="1" ht="16.5" customHeight="1">
      <c r="A177" s="3501"/>
      <c r="B177" s="3500"/>
      <c r="C177" s="3383"/>
      <c r="D177" s="3499"/>
      <c r="E177" s="4961" t="s">
        <v>346</v>
      </c>
      <c r="F177" s="4962"/>
      <c r="G177" s="4961" t="s">
        <v>345</v>
      </c>
      <c r="H177" s="4962"/>
      <c r="I177" s="3495"/>
      <c r="K177" s="3390">
        <f t="shared" si="13"/>
        <v>0</v>
      </c>
      <c r="L177" s="3389">
        <f t="shared" si="14"/>
        <v>0</v>
      </c>
    </row>
    <row r="178" spans="1:12" s="3388" customFormat="1" ht="16.5" customHeight="1">
      <c r="A178" s="4961" t="s">
        <v>2454</v>
      </c>
      <c r="B178" s="4962"/>
      <c r="C178" s="3495" t="s">
        <v>342</v>
      </c>
      <c r="D178" s="3494" t="s">
        <v>341</v>
      </c>
      <c r="E178" s="4965" t="s">
        <v>2453</v>
      </c>
      <c r="F178" s="4965"/>
      <c r="G178" s="4965" t="s">
        <v>2453</v>
      </c>
      <c r="H178" s="4965"/>
      <c r="I178" s="3495" t="s">
        <v>340</v>
      </c>
      <c r="K178" s="3390">
        <f t="shared" si="13"/>
        <v>0</v>
      </c>
      <c r="L178" s="3389">
        <f t="shared" si="14"/>
        <v>0</v>
      </c>
    </row>
    <row r="179" spans="1:12" s="3388" customFormat="1" ht="16.5" customHeight="1">
      <c r="A179" s="4961" t="s">
        <v>2452</v>
      </c>
      <c r="B179" s="4962"/>
      <c r="C179" s="3495"/>
      <c r="D179" s="3494"/>
      <c r="E179" s="3495" t="s">
        <v>339</v>
      </c>
      <c r="F179" s="3414"/>
      <c r="G179" s="3495" t="s">
        <v>339</v>
      </c>
      <c r="H179" s="3414"/>
      <c r="I179" s="3493" t="s">
        <v>335</v>
      </c>
      <c r="K179" s="3390">
        <f t="shared" si="13"/>
        <v>0</v>
      </c>
      <c r="L179" s="3389">
        <f t="shared" si="14"/>
        <v>0</v>
      </c>
    </row>
    <row r="180" spans="1:12" s="3388" customFormat="1" ht="16.5" customHeight="1">
      <c r="A180" s="3498" t="s">
        <v>337</v>
      </c>
      <c r="B180" s="3497" t="s">
        <v>336</v>
      </c>
      <c r="C180" s="3496"/>
      <c r="D180" s="3496"/>
      <c r="E180" s="3495" t="s">
        <v>334</v>
      </c>
      <c r="F180" s="3494" t="s">
        <v>333</v>
      </c>
      <c r="G180" s="3495" t="s">
        <v>334</v>
      </c>
      <c r="H180" s="3494" t="s">
        <v>333</v>
      </c>
      <c r="I180" s="3493"/>
      <c r="K180" s="3390">
        <f t="shared" si="13"/>
        <v>0</v>
      </c>
      <c r="L180" s="3389">
        <f t="shared" si="14"/>
        <v>0</v>
      </c>
    </row>
    <row r="181" spans="1:12" s="3388" customFormat="1" ht="16.5" customHeight="1">
      <c r="A181" s="3492" t="s">
        <v>331</v>
      </c>
      <c r="B181" s="3491" t="s">
        <v>330</v>
      </c>
      <c r="C181" s="3490" t="s">
        <v>329</v>
      </c>
      <c r="D181" s="3490" t="s">
        <v>328</v>
      </c>
      <c r="E181" s="3489" t="s">
        <v>327</v>
      </c>
      <c r="F181" s="3490" t="s">
        <v>326</v>
      </c>
      <c r="G181" s="3489" t="s">
        <v>324</v>
      </c>
      <c r="H181" s="3489" t="s">
        <v>323</v>
      </c>
      <c r="I181" s="3489" t="s">
        <v>325</v>
      </c>
      <c r="K181" s="3390">
        <f t="shared" si="13"/>
        <v>0</v>
      </c>
      <c r="L181" s="3389">
        <f t="shared" si="14"/>
        <v>0</v>
      </c>
    </row>
    <row r="182" spans="1:12" s="3388" customFormat="1" ht="18" customHeight="1">
      <c r="A182" s="3481">
        <v>88</v>
      </c>
      <c r="B182" s="3481"/>
      <c r="C182" s="3488" t="s">
        <v>2532</v>
      </c>
      <c r="D182" s="3395" t="s">
        <v>902</v>
      </c>
      <c r="E182" s="3394" t="s">
        <v>158</v>
      </c>
      <c r="F182" s="3392">
        <v>275436</v>
      </c>
      <c r="G182" s="3483"/>
      <c r="H182" s="3482">
        <v>0</v>
      </c>
      <c r="I182" s="3392">
        <f>SUM(H182-F182)</f>
        <v>-275436</v>
      </c>
      <c r="K182" s="3390">
        <f t="shared" si="13"/>
        <v>0</v>
      </c>
      <c r="L182" s="3389">
        <f t="shared" si="14"/>
        <v>0</v>
      </c>
    </row>
    <row r="183" spans="1:12" s="3388" customFormat="1" ht="18" customHeight="1">
      <c r="A183" s="3397">
        <v>89</v>
      </c>
      <c r="B183" s="3397"/>
      <c r="C183" s="3487" t="s">
        <v>603</v>
      </c>
      <c r="D183" s="3412" t="s">
        <v>245</v>
      </c>
      <c r="E183" s="3394" t="s">
        <v>222</v>
      </c>
      <c r="F183" s="3392">
        <v>155916</v>
      </c>
      <c r="G183" s="3483"/>
      <c r="H183" s="3482">
        <v>0</v>
      </c>
      <c r="I183" s="3392">
        <f>SUM(H183-F183)</f>
        <v>-155916</v>
      </c>
      <c r="K183" s="3390">
        <f t="shared" si="13"/>
        <v>0</v>
      </c>
      <c r="L183" s="3389">
        <f t="shared" si="14"/>
        <v>0</v>
      </c>
    </row>
    <row r="184" spans="1:12" s="3388" customFormat="1" ht="18" customHeight="1">
      <c r="A184" s="3481">
        <v>90</v>
      </c>
      <c r="B184" s="3481"/>
      <c r="C184" s="3383" t="s">
        <v>2459</v>
      </c>
      <c r="D184" s="3395" t="s">
        <v>899</v>
      </c>
      <c r="E184" s="3394" t="s">
        <v>230</v>
      </c>
      <c r="F184" s="3392">
        <v>146928</v>
      </c>
      <c r="G184" s="3483"/>
      <c r="H184" s="3482">
        <v>0</v>
      </c>
      <c r="I184" s="3391">
        <f>H184-F184</f>
        <v>-146928</v>
      </c>
      <c r="K184" s="3390">
        <f t="shared" si="13"/>
        <v>0</v>
      </c>
      <c r="L184" s="3389">
        <f t="shared" si="14"/>
        <v>0</v>
      </c>
    </row>
    <row r="185" spans="1:12" s="3388" customFormat="1" ht="18" customHeight="1">
      <c r="A185" s="3397">
        <v>91</v>
      </c>
      <c r="B185" s="3397"/>
      <c r="C185" s="3383" t="s">
        <v>2459</v>
      </c>
      <c r="D185" s="3383" t="s">
        <v>896</v>
      </c>
      <c r="E185" s="3394" t="s">
        <v>231</v>
      </c>
      <c r="F185" s="3392">
        <v>145812</v>
      </c>
      <c r="G185" s="3483"/>
      <c r="H185" s="3482">
        <v>0</v>
      </c>
      <c r="I185" s="3391">
        <f>H185-F185</f>
        <v>-145812</v>
      </c>
      <c r="K185" s="3390">
        <f t="shared" si="13"/>
        <v>0</v>
      </c>
      <c r="L185" s="3389">
        <f t="shared" si="14"/>
        <v>0</v>
      </c>
    </row>
    <row r="186" spans="1:12" s="3388" customFormat="1" ht="18" customHeight="1">
      <c r="A186" s="3481">
        <v>92</v>
      </c>
      <c r="B186" s="3481"/>
      <c r="C186" s="3383" t="s">
        <v>2531</v>
      </c>
      <c r="D186" s="3486" t="s">
        <v>245</v>
      </c>
      <c r="E186" s="3485" t="s">
        <v>231</v>
      </c>
      <c r="F186" s="3484">
        <v>145812</v>
      </c>
      <c r="G186" s="3483"/>
      <c r="H186" s="3482">
        <v>0</v>
      </c>
      <c r="I186" s="3392">
        <f>SUM(H186-F186)</f>
        <v>-145812</v>
      </c>
      <c r="K186" s="3390">
        <f t="shared" si="13"/>
        <v>0</v>
      </c>
      <c r="L186" s="3389">
        <f t="shared" si="14"/>
        <v>0</v>
      </c>
    </row>
    <row r="187" spans="1:12" ht="18" customHeight="1">
      <c r="A187" s="3481"/>
      <c r="B187" s="3481"/>
      <c r="C187" s="3406"/>
      <c r="D187" s="3383"/>
      <c r="E187" s="3401"/>
      <c r="F187" s="3399"/>
      <c r="G187" s="3401"/>
      <c r="H187" s="3399"/>
      <c r="I187" s="3398"/>
      <c r="K187" s="3390">
        <f t="shared" si="13"/>
        <v>0</v>
      </c>
      <c r="L187" s="3389">
        <f t="shared" si="14"/>
        <v>0</v>
      </c>
    </row>
    <row r="188" spans="1:12" ht="18" customHeight="1">
      <c r="A188" s="3474"/>
      <c r="B188" s="3474"/>
      <c r="C188" s="3459" t="s">
        <v>2530</v>
      </c>
      <c r="D188" s="3383"/>
      <c r="E188" s="3401"/>
      <c r="F188" s="3399"/>
      <c r="G188" s="3401"/>
      <c r="H188" s="3399"/>
      <c r="I188" s="3399"/>
      <c r="K188" s="3390">
        <f t="shared" si="13"/>
        <v>0</v>
      </c>
      <c r="L188" s="3389">
        <f t="shared" si="14"/>
        <v>0</v>
      </c>
    </row>
    <row r="189" spans="1:12" ht="18" customHeight="1">
      <c r="A189" s="3474">
        <v>93</v>
      </c>
      <c r="B189" s="3474">
        <v>103</v>
      </c>
      <c r="C189" s="3480" t="s">
        <v>2529</v>
      </c>
      <c r="D189" s="3383" t="s">
        <v>2528</v>
      </c>
      <c r="E189" s="3476" t="s">
        <v>70</v>
      </c>
      <c r="F189" s="3475">
        <v>792084</v>
      </c>
      <c r="G189" s="3404" t="s">
        <v>69</v>
      </c>
      <c r="H189" s="3399">
        <f>VLOOKUP(G189,$A$219:$B$507,2)*12</f>
        <v>804444</v>
      </c>
      <c r="I189" s="3399">
        <f>SUM(H189-F189)</f>
        <v>12360</v>
      </c>
      <c r="K189" s="3390">
        <f t="shared" si="13"/>
        <v>67037</v>
      </c>
      <c r="L189" s="3389">
        <f t="shared" si="14"/>
        <v>1340.74</v>
      </c>
    </row>
    <row r="190" spans="1:12" ht="18" customHeight="1">
      <c r="A190" s="3474"/>
      <c r="B190" s="3474"/>
      <c r="C190" s="3480"/>
      <c r="D190" s="3383"/>
      <c r="E190" s="3476"/>
      <c r="F190" s="3475"/>
      <c r="G190" s="3401"/>
      <c r="H190" s="3399"/>
      <c r="I190" s="3399"/>
      <c r="K190" s="3390">
        <f t="shared" si="13"/>
        <v>0</v>
      </c>
      <c r="L190" s="3389">
        <f t="shared" si="14"/>
        <v>0</v>
      </c>
    </row>
    <row r="191" spans="1:12" ht="18" customHeight="1">
      <c r="A191" s="3474"/>
      <c r="B191" s="3474"/>
      <c r="C191" s="3383" t="s">
        <v>2527</v>
      </c>
      <c r="D191" s="3395"/>
      <c r="E191" s="3401"/>
      <c r="F191" s="3399"/>
      <c r="G191" s="3401"/>
      <c r="H191" s="3399"/>
      <c r="I191" s="3398"/>
      <c r="K191" s="3390">
        <f t="shared" si="13"/>
        <v>0</v>
      </c>
      <c r="L191" s="3389">
        <f t="shared" si="14"/>
        <v>0</v>
      </c>
    </row>
    <row r="192" spans="1:12" ht="18" customHeight="1">
      <c r="A192" s="3474">
        <v>94</v>
      </c>
      <c r="B192" s="3474">
        <v>104</v>
      </c>
      <c r="C192" s="3406" t="s">
        <v>2519</v>
      </c>
      <c r="D192" s="3383" t="s">
        <v>2526</v>
      </c>
      <c r="E192" s="3401" t="s">
        <v>188</v>
      </c>
      <c r="F192" s="3399">
        <v>200388</v>
      </c>
      <c r="G192" s="3401" t="s">
        <v>188</v>
      </c>
      <c r="H192" s="3399">
        <f>VLOOKUP(G192,$A$219:$B$404,2)*12</f>
        <v>200388</v>
      </c>
      <c r="I192" s="3399">
        <f>H192-F192</f>
        <v>0</v>
      </c>
      <c r="K192" s="3390">
        <f t="shared" si="13"/>
        <v>16699</v>
      </c>
      <c r="L192" s="3389">
        <f t="shared" si="14"/>
        <v>333.98</v>
      </c>
    </row>
    <row r="193" spans="1:12" ht="18" customHeight="1">
      <c r="A193" s="3474">
        <v>95</v>
      </c>
      <c r="B193" s="3474">
        <v>105</v>
      </c>
      <c r="C193" s="3458" t="s">
        <v>2506</v>
      </c>
      <c r="D193" s="3395" t="s">
        <v>2525</v>
      </c>
      <c r="E193" s="3476" t="s">
        <v>215</v>
      </c>
      <c r="F193" s="3475">
        <v>164160</v>
      </c>
      <c r="G193" s="3401" t="s">
        <v>215</v>
      </c>
      <c r="H193" s="3399">
        <f>VLOOKUP(G193,$A$219:$B$404,2)*12</f>
        <v>164160</v>
      </c>
      <c r="I193" s="3399">
        <f>SUM(H193-F193)</f>
        <v>0</v>
      </c>
      <c r="K193" s="3390">
        <f t="shared" si="13"/>
        <v>13680</v>
      </c>
      <c r="L193" s="3389">
        <f t="shared" si="14"/>
        <v>273.60000000000002</v>
      </c>
    </row>
    <row r="194" spans="1:12" ht="18" customHeight="1">
      <c r="A194" s="3477">
        <v>96</v>
      </c>
      <c r="B194" s="3477">
        <v>106</v>
      </c>
      <c r="C194" s="3406" t="s">
        <v>246</v>
      </c>
      <c r="D194" s="3395" t="s">
        <v>245</v>
      </c>
      <c r="E194" s="3401" t="s">
        <v>231</v>
      </c>
      <c r="F194" s="3399">
        <v>145812</v>
      </c>
      <c r="G194" s="3401" t="s">
        <v>231</v>
      </c>
      <c r="H194" s="3399">
        <f>VLOOKUP(G194,$A$219:$B$404,2)*12</f>
        <v>145812</v>
      </c>
      <c r="I194" s="3398">
        <f>H194-F194</f>
        <v>0</v>
      </c>
      <c r="K194" s="3390">
        <f t="shared" si="13"/>
        <v>12151</v>
      </c>
      <c r="L194" s="3389">
        <f t="shared" si="14"/>
        <v>243.02</v>
      </c>
    </row>
    <row r="195" spans="1:12" ht="18" customHeight="1">
      <c r="A195" s="3474"/>
      <c r="B195" s="3474"/>
      <c r="C195" s="3406"/>
      <c r="D195" s="3395"/>
      <c r="E195" s="3401"/>
      <c r="F195" s="3399"/>
      <c r="G195" s="3401"/>
      <c r="H195" s="3399"/>
      <c r="I195" s="3398"/>
      <c r="K195" s="3390">
        <f t="shared" si="13"/>
        <v>0</v>
      </c>
      <c r="L195" s="3389">
        <f t="shared" si="14"/>
        <v>0</v>
      </c>
    </row>
    <row r="196" spans="1:12" ht="18" customHeight="1">
      <c r="A196" s="3474"/>
      <c r="B196" s="3474"/>
      <c r="C196" s="3383" t="s">
        <v>2524</v>
      </c>
      <c r="D196" s="3383"/>
      <c r="E196" s="3476"/>
      <c r="F196" s="3475"/>
      <c r="G196" s="3401"/>
      <c r="H196" s="3399"/>
      <c r="I196" s="3399"/>
      <c r="K196" s="3390">
        <f t="shared" si="13"/>
        <v>0</v>
      </c>
      <c r="L196" s="3389">
        <f t="shared" si="14"/>
        <v>0</v>
      </c>
    </row>
    <row r="197" spans="1:12" ht="18" customHeight="1">
      <c r="A197" s="3403">
        <v>97</v>
      </c>
      <c r="B197" s="3403">
        <v>107</v>
      </c>
      <c r="C197" s="3479" t="s">
        <v>2523</v>
      </c>
      <c r="D197" s="3383" t="s">
        <v>2522</v>
      </c>
      <c r="E197" s="3401" t="s">
        <v>127</v>
      </c>
      <c r="F197" s="3399">
        <v>382752</v>
      </c>
      <c r="G197" s="3404" t="s">
        <v>126</v>
      </c>
      <c r="H197" s="3399">
        <f>VLOOKUP(G197,$A$219:$B$450,2)*12</f>
        <v>387060</v>
      </c>
      <c r="I197" s="3398">
        <f>H197-F197</f>
        <v>4308</v>
      </c>
      <c r="K197" s="3390">
        <f t="shared" si="13"/>
        <v>32255</v>
      </c>
      <c r="L197" s="3389">
        <f t="shared" si="14"/>
        <v>645.1</v>
      </c>
    </row>
    <row r="198" spans="1:12" ht="18" customHeight="1">
      <c r="A198" s="3474">
        <v>98</v>
      </c>
      <c r="B198" s="3474">
        <v>108</v>
      </c>
      <c r="C198" s="3259" t="s">
        <v>2521</v>
      </c>
      <c r="D198" s="3413" t="s">
        <v>2520</v>
      </c>
      <c r="E198" s="3476" t="s">
        <v>159</v>
      </c>
      <c r="F198" s="3475">
        <v>272196</v>
      </c>
      <c r="G198" s="3401" t="s">
        <v>159</v>
      </c>
      <c r="H198" s="3399">
        <f>VLOOKUP(G198,$A$219:$B$418,2)*12</f>
        <v>272196</v>
      </c>
      <c r="I198" s="3399">
        <f>SUM(H198-F198)</f>
        <v>0</v>
      </c>
      <c r="K198" s="3390">
        <f t="shared" si="13"/>
        <v>22683</v>
      </c>
      <c r="L198" s="3389">
        <f t="shared" si="14"/>
        <v>453.66</v>
      </c>
    </row>
    <row r="199" spans="1:12" ht="18" customHeight="1">
      <c r="A199" s="3403">
        <v>99</v>
      </c>
      <c r="B199" s="3403">
        <v>109</v>
      </c>
      <c r="C199" s="3406" t="s">
        <v>2519</v>
      </c>
      <c r="D199" s="3413" t="s">
        <v>245</v>
      </c>
      <c r="E199" s="3401" t="s">
        <v>189</v>
      </c>
      <c r="F199" s="3399">
        <v>198864</v>
      </c>
      <c r="G199" s="3404" t="s">
        <v>191</v>
      </c>
      <c r="H199" s="3399">
        <f t="shared" ref="H199:H204" si="17">VLOOKUP(G199,$A$219:$B$404,2)*12</f>
        <v>195840</v>
      </c>
      <c r="I199" s="3399">
        <f>H199-F199</f>
        <v>-3024</v>
      </c>
      <c r="K199" s="3390">
        <f t="shared" si="13"/>
        <v>16320</v>
      </c>
      <c r="L199" s="3389">
        <f t="shared" si="14"/>
        <v>326.40000000000003</v>
      </c>
    </row>
    <row r="200" spans="1:12" ht="18" customHeight="1">
      <c r="A200" s="3474">
        <v>100</v>
      </c>
      <c r="B200" s="3474">
        <v>110</v>
      </c>
      <c r="C200" s="3458" t="s">
        <v>2506</v>
      </c>
      <c r="D200" s="3383" t="s">
        <v>2518</v>
      </c>
      <c r="E200" s="3476" t="s">
        <v>214</v>
      </c>
      <c r="F200" s="3475">
        <v>165420</v>
      </c>
      <c r="G200" s="3401" t="s">
        <v>214</v>
      </c>
      <c r="H200" s="3399">
        <f t="shared" si="17"/>
        <v>165420</v>
      </c>
      <c r="I200" s="3399">
        <f>SUM(H200-F200)</f>
        <v>0</v>
      </c>
      <c r="K200" s="3390">
        <f t="shared" si="13"/>
        <v>13785</v>
      </c>
      <c r="L200" s="3389">
        <f t="shared" si="14"/>
        <v>275.7</v>
      </c>
    </row>
    <row r="201" spans="1:12" ht="18" customHeight="1">
      <c r="A201" s="3403">
        <v>101</v>
      </c>
      <c r="B201" s="3403">
        <v>111</v>
      </c>
      <c r="C201" s="3259" t="s">
        <v>2517</v>
      </c>
      <c r="D201" s="3478" t="s">
        <v>2516</v>
      </c>
      <c r="E201" s="3401" t="s">
        <v>222</v>
      </c>
      <c r="F201" s="3399">
        <v>155916</v>
      </c>
      <c r="G201" s="3404" t="s">
        <v>221</v>
      </c>
      <c r="H201" s="3399">
        <f t="shared" si="17"/>
        <v>157104</v>
      </c>
      <c r="I201" s="3399">
        <f>SUM(H201-F201)</f>
        <v>1188</v>
      </c>
      <c r="K201" s="3390">
        <f t="shared" si="13"/>
        <v>13092</v>
      </c>
      <c r="L201" s="3389">
        <f t="shared" si="14"/>
        <v>261.84000000000003</v>
      </c>
    </row>
    <row r="202" spans="1:12" ht="18" customHeight="1">
      <c r="A202" s="3474">
        <v>102</v>
      </c>
      <c r="B202" s="3474">
        <v>112</v>
      </c>
      <c r="C202" s="3256" t="s">
        <v>2417</v>
      </c>
      <c r="D202" s="3395" t="s">
        <v>2515</v>
      </c>
      <c r="E202" s="3401" t="s">
        <v>223</v>
      </c>
      <c r="F202" s="3399">
        <v>154716</v>
      </c>
      <c r="G202" s="3404" t="s">
        <v>222</v>
      </c>
      <c r="H202" s="3399">
        <f t="shared" si="17"/>
        <v>155916</v>
      </c>
      <c r="I202" s="3398">
        <f>H202-F202</f>
        <v>1200</v>
      </c>
      <c r="K202" s="3390">
        <f t="shared" si="13"/>
        <v>12993</v>
      </c>
      <c r="L202" s="3389">
        <f t="shared" si="14"/>
        <v>259.86</v>
      </c>
    </row>
    <row r="203" spans="1:12" ht="18" customHeight="1">
      <c r="A203" s="3403">
        <v>103</v>
      </c>
      <c r="B203" s="3403">
        <v>113</v>
      </c>
      <c r="C203" s="3406" t="s">
        <v>246</v>
      </c>
      <c r="D203" s="3383" t="s">
        <v>2514</v>
      </c>
      <c r="E203" s="3401" t="s">
        <v>230</v>
      </c>
      <c r="F203" s="3399">
        <v>146928</v>
      </c>
      <c r="G203" s="3401" t="s">
        <v>230</v>
      </c>
      <c r="H203" s="3399">
        <f t="shared" si="17"/>
        <v>146928</v>
      </c>
      <c r="I203" s="3398">
        <f>H203-F203</f>
        <v>0</v>
      </c>
      <c r="K203" s="3390">
        <f t="shared" si="13"/>
        <v>12244</v>
      </c>
      <c r="L203" s="3389">
        <f t="shared" si="14"/>
        <v>244.88</v>
      </c>
    </row>
    <row r="204" spans="1:12" ht="18" customHeight="1">
      <c r="A204" s="3474">
        <v>104</v>
      </c>
      <c r="B204" s="3474">
        <v>114</v>
      </c>
      <c r="C204" s="3406" t="s">
        <v>246</v>
      </c>
      <c r="D204" s="3383" t="s">
        <v>2513</v>
      </c>
      <c r="E204" s="3401" t="s">
        <v>231</v>
      </c>
      <c r="F204" s="3399">
        <v>145812</v>
      </c>
      <c r="G204" s="3404" t="s">
        <v>230</v>
      </c>
      <c r="H204" s="3399">
        <f t="shared" si="17"/>
        <v>146928</v>
      </c>
      <c r="I204" s="3399">
        <f>H204-F204</f>
        <v>1116</v>
      </c>
      <c r="K204" s="3390">
        <f t="shared" si="13"/>
        <v>12244</v>
      </c>
      <c r="L204" s="3389">
        <f t="shared" si="14"/>
        <v>244.88</v>
      </c>
    </row>
    <row r="205" spans="1:12" ht="18" customHeight="1">
      <c r="A205" s="3420"/>
      <c r="B205" s="3473"/>
      <c r="C205" s="3414"/>
      <c r="D205" s="3395"/>
      <c r="E205" s="3472"/>
      <c r="F205" s="3392"/>
      <c r="G205" s="3472"/>
      <c r="H205" s="3471"/>
      <c r="I205" s="3470"/>
      <c r="K205" s="3390">
        <f t="shared" si="13"/>
        <v>0</v>
      </c>
      <c r="L205" s="3389">
        <f t="shared" si="14"/>
        <v>0</v>
      </c>
    </row>
    <row r="206" spans="1:12" ht="18" customHeight="1">
      <c r="A206" s="3477"/>
      <c r="B206" s="3474"/>
      <c r="C206" s="3383" t="s">
        <v>2512</v>
      </c>
      <c r="D206" s="3395"/>
      <c r="E206" s="3401"/>
      <c r="F206" s="3399"/>
      <c r="G206" s="3401"/>
      <c r="H206" s="3399"/>
      <c r="I206" s="3398"/>
      <c r="K206" s="3390">
        <f t="shared" si="13"/>
        <v>0</v>
      </c>
      <c r="L206" s="3389">
        <f t="shared" si="14"/>
        <v>0</v>
      </c>
    </row>
    <row r="207" spans="1:12" ht="18" customHeight="1">
      <c r="A207" s="3474">
        <v>105</v>
      </c>
      <c r="B207" s="3474">
        <v>115</v>
      </c>
      <c r="C207" s="3406" t="s">
        <v>2511</v>
      </c>
      <c r="D207" s="3383" t="s">
        <v>2510</v>
      </c>
      <c r="E207" s="3401" t="s">
        <v>182</v>
      </c>
      <c r="F207" s="3399">
        <v>209952</v>
      </c>
      <c r="G207" s="3401" t="s">
        <v>182</v>
      </c>
      <c r="H207" s="3399">
        <f t="shared" ref="H207:H215" si="18">VLOOKUP(G207,$A$219:$B$404,2)*12</f>
        <v>209952</v>
      </c>
      <c r="I207" s="3399">
        <f>SUM(H207-F207)</f>
        <v>0</v>
      </c>
      <c r="K207" s="3390">
        <f t="shared" si="13"/>
        <v>17496</v>
      </c>
      <c r="L207" s="3389">
        <f t="shared" si="14"/>
        <v>349.92</v>
      </c>
    </row>
    <row r="208" spans="1:12" ht="18" customHeight="1">
      <c r="A208" s="3474">
        <v>106</v>
      </c>
      <c r="B208" s="3474">
        <v>116</v>
      </c>
      <c r="C208" s="3458" t="s">
        <v>2506</v>
      </c>
      <c r="D208" s="3395" t="s">
        <v>2509</v>
      </c>
      <c r="E208" s="3476" t="s">
        <v>214</v>
      </c>
      <c r="F208" s="3475">
        <v>165420</v>
      </c>
      <c r="G208" s="3401" t="s">
        <v>214</v>
      </c>
      <c r="H208" s="3399">
        <f t="shared" si="18"/>
        <v>165420</v>
      </c>
      <c r="I208" s="3399">
        <f>SUM(H208-F208)</f>
        <v>0</v>
      </c>
      <c r="K208" s="3390">
        <f t="shared" si="13"/>
        <v>13785</v>
      </c>
      <c r="L208" s="3389">
        <f t="shared" si="14"/>
        <v>275.7</v>
      </c>
    </row>
    <row r="209" spans="1:12" ht="18" customHeight="1">
      <c r="A209" s="3474">
        <v>107</v>
      </c>
      <c r="B209" s="3474">
        <v>117</v>
      </c>
      <c r="C209" s="3406" t="s">
        <v>2508</v>
      </c>
      <c r="D209" s="3395" t="s">
        <v>2507</v>
      </c>
      <c r="E209" s="3476" t="s">
        <v>215</v>
      </c>
      <c r="F209" s="3475">
        <v>164160</v>
      </c>
      <c r="G209" s="3401" t="s">
        <v>215</v>
      </c>
      <c r="H209" s="3399">
        <f t="shared" si="18"/>
        <v>164160</v>
      </c>
      <c r="I209" s="3399">
        <f>SUM(H209-F209)</f>
        <v>0</v>
      </c>
      <c r="K209" s="3390">
        <f t="shared" ref="K209:K272" si="19">H209/12</f>
        <v>13680</v>
      </c>
      <c r="L209" s="3389">
        <f t="shared" si="14"/>
        <v>273.60000000000002</v>
      </c>
    </row>
    <row r="210" spans="1:12" ht="18" customHeight="1">
      <c r="A210" s="3474">
        <v>108</v>
      </c>
      <c r="B210" s="3474">
        <v>118</v>
      </c>
      <c r="C210" s="3458" t="s">
        <v>2506</v>
      </c>
      <c r="D210" s="3395" t="s">
        <v>2505</v>
      </c>
      <c r="E210" s="3476" t="s">
        <v>215</v>
      </c>
      <c r="F210" s="3475">
        <v>164160</v>
      </c>
      <c r="G210" s="3401" t="s">
        <v>215</v>
      </c>
      <c r="H210" s="3399">
        <f t="shared" si="18"/>
        <v>164160</v>
      </c>
      <c r="I210" s="3399">
        <f>SUM(H210-F210)</f>
        <v>0</v>
      </c>
      <c r="K210" s="3390">
        <f t="shared" si="19"/>
        <v>13680</v>
      </c>
      <c r="L210" s="3389">
        <f t="shared" si="14"/>
        <v>273.60000000000002</v>
      </c>
    </row>
    <row r="211" spans="1:12" ht="18" customHeight="1">
      <c r="A211" s="3474">
        <v>111</v>
      </c>
      <c r="B211" s="3474">
        <v>119</v>
      </c>
      <c r="C211" s="3406" t="s">
        <v>246</v>
      </c>
      <c r="D211" s="3383" t="s">
        <v>2504</v>
      </c>
      <c r="E211" s="3401" t="s">
        <v>231</v>
      </c>
      <c r="F211" s="3399">
        <v>145812</v>
      </c>
      <c r="G211" s="3404" t="s">
        <v>230</v>
      </c>
      <c r="H211" s="3399">
        <f t="shared" si="18"/>
        <v>146928</v>
      </c>
      <c r="I211" s="3398">
        <f>H211-F211</f>
        <v>1116</v>
      </c>
      <c r="K211" s="3390">
        <f t="shared" si="19"/>
        <v>12244</v>
      </c>
      <c r="L211" s="3389">
        <f t="shared" si="14"/>
        <v>244.88</v>
      </c>
    </row>
    <row r="212" spans="1:12" ht="18" customHeight="1">
      <c r="A212" s="3474">
        <v>112</v>
      </c>
      <c r="B212" s="3474">
        <v>120</v>
      </c>
      <c r="C212" s="3406" t="s">
        <v>246</v>
      </c>
      <c r="D212" s="3395" t="s">
        <v>2503</v>
      </c>
      <c r="E212" s="3401" t="s">
        <v>231</v>
      </c>
      <c r="F212" s="3399">
        <v>145812</v>
      </c>
      <c r="G212" s="3404" t="s">
        <v>230</v>
      </c>
      <c r="H212" s="3399">
        <f t="shared" si="18"/>
        <v>146928</v>
      </c>
      <c r="I212" s="3398">
        <f>H212-F212</f>
        <v>1116</v>
      </c>
      <c r="K212" s="3390">
        <f t="shared" si="19"/>
        <v>12244</v>
      </c>
      <c r="L212" s="3389">
        <f t="shared" ref="L212:L275" si="20">K212*0.04/2</f>
        <v>244.88</v>
      </c>
    </row>
    <row r="213" spans="1:12" ht="18" customHeight="1">
      <c r="A213" s="3474">
        <v>113</v>
      </c>
      <c r="B213" s="3474">
        <v>121</v>
      </c>
      <c r="C213" s="3406" t="s">
        <v>246</v>
      </c>
      <c r="D213" s="3395" t="s">
        <v>2502</v>
      </c>
      <c r="E213" s="3401" t="s">
        <v>231</v>
      </c>
      <c r="F213" s="3399">
        <v>145812</v>
      </c>
      <c r="G213" s="3404" t="s">
        <v>230</v>
      </c>
      <c r="H213" s="3399">
        <f t="shared" si="18"/>
        <v>146928</v>
      </c>
      <c r="I213" s="3398">
        <f>H213-F213</f>
        <v>1116</v>
      </c>
      <c r="K213" s="3390">
        <f t="shared" si="19"/>
        <v>12244</v>
      </c>
      <c r="L213" s="3389">
        <f t="shared" si="20"/>
        <v>244.88</v>
      </c>
    </row>
    <row r="214" spans="1:12" ht="18" customHeight="1">
      <c r="A214" s="3474">
        <v>109</v>
      </c>
      <c r="B214" s="3474">
        <v>122</v>
      </c>
      <c r="C214" s="3406" t="s">
        <v>246</v>
      </c>
      <c r="D214" s="3395" t="s">
        <v>245</v>
      </c>
      <c r="E214" s="3401" t="s">
        <v>231</v>
      </c>
      <c r="F214" s="3399">
        <v>145812</v>
      </c>
      <c r="G214" s="3401" t="s">
        <v>231</v>
      </c>
      <c r="H214" s="3399">
        <f t="shared" si="18"/>
        <v>145812</v>
      </c>
      <c r="I214" s="3398">
        <f>H214-F214</f>
        <v>0</v>
      </c>
      <c r="K214" s="3390">
        <f t="shared" si="19"/>
        <v>12151</v>
      </c>
      <c r="L214" s="3389">
        <f t="shared" si="20"/>
        <v>243.02</v>
      </c>
    </row>
    <row r="215" spans="1:12" ht="18" customHeight="1">
      <c r="A215" s="3474">
        <v>110</v>
      </c>
      <c r="B215" s="3474">
        <v>123</v>
      </c>
      <c r="C215" s="3406" t="s">
        <v>246</v>
      </c>
      <c r="D215" s="3395" t="s">
        <v>245</v>
      </c>
      <c r="E215" s="3401" t="s">
        <v>231</v>
      </c>
      <c r="F215" s="3399">
        <v>145812</v>
      </c>
      <c r="G215" s="3401" t="s">
        <v>231</v>
      </c>
      <c r="H215" s="3399">
        <f t="shared" si="18"/>
        <v>145812</v>
      </c>
      <c r="I215" s="3398">
        <f>H215-F215</f>
        <v>0</v>
      </c>
      <c r="K215" s="3390">
        <f t="shared" si="19"/>
        <v>12151</v>
      </c>
      <c r="L215" s="3389">
        <f t="shared" si="20"/>
        <v>243.02</v>
      </c>
    </row>
    <row r="216" spans="1:12" ht="18" customHeight="1">
      <c r="A216" s="3473"/>
      <c r="B216" s="3473"/>
      <c r="C216" s="3414"/>
      <c r="D216" s="3395"/>
      <c r="E216" s="3472"/>
      <c r="F216" s="3392"/>
      <c r="G216" s="3472"/>
      <c r="H216" s="3471"/>
      <c r="I216" s="3470"/>
      <c r="K216" s="3390">
        <f t="shared" si="19"/>
        <v>0</v>
      </c>
      <c r="L216" s="3389">
        <f t="shared" si="20"/>
        <v>0</v>
      </c>
    </row>
    <row r="217" spans="1:12" ht="16.5" customHeight="1">
      <c r="A217" s="3255"/>
      <c r="B217" s="3255"/>
      <c r="C217" s="3469" t="s">
        <v>2501</v>
      </c>
      <c r="D217" s="3432"/>
      <c r="E217" s="3468"/>
      <c r="F217" s="3432"/>
      <c r="G217" s="3468"/>
      <c r="H217" s="3408"/>
      <c r="I217" s="3408"/>
      <c r="K217" s="3390">
        <f t="shared" si="19"/>
        <v>0</v>
      </c>
      <c r="L217" s="3389">
        <f t="shared" si="20"/>
        <v>0</v>
      </c>
    </row>
    <row r="218" spans="1:12" ht="16.5" customHeight="1">
      <c r="A218" s="3415">
        <v>114</v>
      </c>
      <c r="B218" s="3415">
        <v>124</v>
      </c>
      <c r="C218" s="3259" t="s">
        <v>2500</v>
      </c>
      <c r="D218" s="3395" t="s">
        <v>2499</v>
      </c>
      <c r="E218" s="3468" t="s">
        <v>102</v>
      </c>
      <c r="F218" s="3407">
        <v>503700</v>
      </c>
      <c r="G218" s="3401" t="s">
        <v>102</v>
      </c>
      <c r="H218" s="3399">
        <f>VLOOKUP(G218,$A$219:$B$474,2)*12</f>
        <v>503700</v>
      </c>
      <c r="I218" s="3399">
        <f>SUM(H218-F218)</f>
        <v>0</v>
      </c>
      <c r="K218" s="3390">
        <f t="shared" si="19"/>
        <v>41975</v>
      </c>
      <c r="L218" s="3389">
        <f t="shared" si="20"/>
        <v>839.5</v>
      </c>
    </row>
    <row r="219" spans="1:12" ht="16.5" customHeight="1">
      <c r="A219" s="3415">
        <v>115</v>
      </c>
      <c r="B219" s="3415">
        <v>125</v>
      </c>
      <c r="C219" s="3259" t="s">
        <v>2498</v>
      </c>
      <c r="D219" s="3395" t="s">
        <v>245</v>
      </c>
      <c r="E219" s="3468" t="s">
        <v>199</v>
      </c>
      <c r="F219" s="3407">
        <v>184680</v>
      </c>
      <c r="G219" s="3401" t="s">
        <v>199</v>
      </c>
      <c r="H219" s="3399">
        <f>VLOOKUP(G219,$A$219:$B$404,2)*12</f>
        <v>184680</v>
      </c>
      <c r="I219" s="3399">
        <f>SUM(H219-F219)</f>
        <v>0</v>
      </c>
      <c r="K219" s="3390">
        <f t="shared" si="19"/>
        <v>15390</v>
      </c>
      <c r="L219" s="3389">
        <f t="shared" si="20"/>
        <v>307.8</v>
      </c>
    </row>
    <row r="220" spans="1:12" ht="16.5" customHeight="1">
      <c r="A220" s="3415">
        <v>117</v>
      </c>
      <c r="B220" s="3415">
        <v>126</v>
      </c>
      <c r="C220" s="3256" t="s">
        <v>2459</v>
      </c>
      <c r="D220" s="3395" t="s">
        <v>2497</v>
      </c>
      <c r="E220" s="3401" t="s">
        <v>231</v>
      </c>
      <c r="F220" s="3399">
        <v>145812</v>
      </c>
      <c r="G220" s="3401" t="s">
        <v>231</v>
      </c>
      <c r="H220" s="3399">
        <f>VLOOKUP(G220,$A$219:$B$404,2)*12</f>
        <v>145812</v>
      </c>
      <c r="I220" s="3398">
        <f>H220-F220</f>
        <v>0</v>
      </c>
      <c r="K220" s="3390">
        <f t="shared" si="19"/>
        <v>12151</v>
      </c>
      <c r="L220" s="3389">
        <f t="shared" si="20"/>
        <v>243.02</v>
      </c>
    </row>
    <row r="221" spans="1:12" ht="16.5" customHeight="1">
      <c r="A221" s="3415">
        <v>116</v>
      </c>
      <c r="B221" s="3415">
        <v>127</v>
      </c>
      <c r="C221" s="3256" t="s">
        <v>2459</v>
      </c>
      <c r="D221" s="3412" t="s">
        <v>2496</v>
      </c>
      <c r="E221" s="3401" t="s">
        <v>231</v>
      </c>
      <c r="F221" s="3399">
        <v>145812</v>
      </c>
      <c r="G221" s="3401" t="s">
        <v>231</v>
      </c>
      <c r="H221" s="3399">
        <f>VLOOKUP(G221,$A$219:$B$404,2)*12</f>
        <v>145812</v>
      </c>
      <c r="I221" s="3398">
        <f>H221-F221</f>
        <v>0</v>
      </c>
      <c r="K221" s="3390">
        <f t="shared" si="19"/>
        <v>12151</v>
      </c>
      <c r="L221" s="3389">
        <f t="shared" si="20"/>
        <v>243.02</v>
      </c>
    </row>
    <row r="222" spans="1:12" ht="16.5" customHeight="1">
      <c r="A222" s="3467"/>
      <c r="B222" s="3467"/>
      <c r="C222" s="3456"/>
      <c r="D222" s="3455"/>
      <c r="E222" s="3454"/>
      <c r="F222" s="3453"/>
      <c r="G222" s="3454"/>
      <c r="H222" s="3453"/>
      <c r="I222" s="3452"/>
      <c r="K222" s="3390">
        <f t="shared" si="19"/>
        <v>0</v>
      </c>
      <c r="L222" s="3389">
        <f t="shared" si="20"/>
        <v>0</v>
      </c>
    </row>
    <row r="223" spans="1:12" ht="16.5" customHeight="1">
      <c r="A223" s="3466"/>
      <c r="B223" s="3465"/>
      <c r="C223" s="3344"/>
      <c r="D223" s="3464"/>
      <c r="E223" s="3400"/>
      <c r="F223" s="3419"/>
      <c r="G223" s="3463"/>
      <c r="H223" s="3419"/>
      <c r="I223" s="3462"/>
      <c r="K223" s="3390">
        <f t="shared" si="19"/>
        <v>0</v>
      </c>
      <c r="L223" s="3389">
        <f t="shared" si="20"/>
        <v>0</v>
      </c>
    </row>
    <row r="224" spans="1:12" ht="16.5" customHeight="1">
      <c r="A224" s="3447"/>
      <c r="B224" s="3448" t="s">
        <v>2457</v>
      </c>
      <c r="C224" s="3390"/>
      <c r="D224" s="3419"/>
      <c r="E224" s="3381"/>
      <c r="F224" s="3445"/>
      <c r="G224" s="3336"/>
      <c r="H224" s="3443"/>
      <c r="I224" s="3443"/>
      <c r="K224" s="3390">
        <f t="shared" si="19"/>
        <v>0</v>
      </c>
      <c r="L224" s="3389">
        <f t="shared" si="20"/>
        <v>0</v>
      </c>
    </row>
    <row r="225" spans="1:12" ht="16.5" customHeight="1">
      <c r="A225" s="3447"/>
      <c r="B225" s="3446" t="s">
        <v>2495</v>
      </c>
      <c r="C225" s="3416"/>
      <c r="D225" s="3419"/>
      <c r="E225" s="3381"/>
      <c r="F225" s="3445"/>
      <c r="G225" s="3336"/>
      <c r="H225" s="3444"/>
      <c r="I225" s="3443"/>
      <c r="K225" s="3390">
        <f t="shared" si="19"/>
        <v>0</v>
      </c>
      <c r="L225" s="3389">
        <f t="shared" si="20"/>
        <v>0</v>
      </c>
    </row>
    <row r="226" spans="1:12" ht="16.5" customHeight="1">
      <c r="A226" s="3447"/>
      <c r="B226" s="3446"/>
      <c r="C226" s="3416"/>
      <c r="D226" s="3419"/>
      <c r="E226" s="3381"/>
      <c r="F226" s="3445"/>
      <c r="G226" s="3336"/>
      <c r="H226" s="3444"/>
      <c r="I226" s="3443"/>
      <c r="K226" s="3390">
        <f t="shared" si="19"/>
        <v>0</v>
      </c>
      <c r="L226" s="3389">
        <f t="shared" si="20"/>
        <v>0</v>
      </c>
    </row>
    <row r="227" spans="1:12" ht="16.5" customHeight="1">
      <c r="A227" s="3441"/>
      <c r="B227" s="3442"/>
      <c r="C227" s="3387"/>
      <c r="D227" s="3441"/>
      <c r="E227" s="4954" t="s">
        <v>348</v>
      </c>
      <c r="F227" s="4955"/>
      <c r="G227" s="4954" t="s">
        <v>2455</v>
      </c>
      <c r="H227" s="4955"/>
      <c r="I227" s="3440"/>
      <c r="K227" s="3390">
        <f t="shared" si="19"/>
        <v>0</v>
      </c>
      <c r="L227" s="3389">
        <f t="shared" si="20"/>
        <v>0</v>
      </c>
    </row>
    <row r="228" spans="1:12" ht="16.5" customHeight="1">
      <c r="A228" s="3439"/>
      <c r="B228" s="3438"/>
      <c r="C228" s="3406"/>
      <c r="D228" s="3257"/>
      <c r="E228" s="4963" t="s">
        <v>346</v>
      </c>
      <c r="F228" s="4964"/>
      <c r="G228" s="4963" t="s">
        <v>345</v>
      </c>
      <c r="H228" s="4964"/>
      <c r="I228" s="3434"/>
      <c r="K228" s="3390">
        <f t="shared" si="19"/>
        <v>0</v>
      </c>
      <c r="L228" s="3389">
        <f t="shared" si="20"/>
        <v>0</v>
      </c>
    </row>
    <row r="229" spans="1:12" ht="16.5" customHeight="1">
      <c r="A229" s="4956" t="s">
        <v>2454</v>
      </c>
      <c r="B229" s="4957"/>
      <c r="C229" s="3434" t="s">
        <v>342</v>
      </c>
      <c r="D229" s="3433" t="s">
        <v>341</v>
      </c>
      <c r="E229" s="4966" t="s">
        <v>2453</v>
      </c>
      <c r="F229" s="4967"/>
      <c r="G229" s="4966" t="s">
        <v>2453</v>
      </c>
      <c r="H229" s="4967"/>
      <c r="I229" s="3434" t="s">
        <v>340</v>
      </c>
      <c r="K229" s="3390">
        <f t="shared" si="19"/>
        <v>0</v>
      </c>
      <c r="L229" s="3389">
        <f t="shared" si="20"/>
        <v>0</v>
      </c>
    </row>
    <row r="230" spans="1:12" ht="16.5" customHeight="1">
      <c r="A230" s="4956" t="s">
        <v>2452</v>
      </c>
      <c r="B230" s="4957"/>
      <c r="C230" s="3434"/>
      <c r="D230" s="3433"/>
      <c r="E230" s="3434" t="s">
        <v>339</v>
      </c>
      <c r="F230" s="3256"/>
      <c r="G230" s="3434" t="s">
        <v>339</v>
      </c>
      <c r="H230" s="3256"/>
      <c r="I230" s="3432" t="s">
        <v>335</v>
      </c>
      <c r="K230" s="3390">
        <f t="shared" si="19"/>
        <v>0</v>
      </c>
      <c r="L230" s="3389">
        <f t="shared" si="20"/>
        <v>0</v>
      </c>
    </row>
    <row r="231" spans="1:12" ht="16.5" customHeight="1">
      <c r="A231" s="3437" t="s">
        <v>337</v>
      </c>
      <c r="B231" s="3436" t="s">
        <v>336</v>
      </c>
      <c r="C231" s="3435"/>
      <c r="D231" s="3435"/>
      <c r="E231" s="3434" t="s">
        <v>334</v>
      </c>
      <c r="F231" s="3433" t="s">
        <v>333</v>
      </c>
      <c r="G231" s="3434" t="s">
        <v>334</v>
      </c>
      <c r="H231" s="3433" t="s">
        <v>333</v>
      </c>
      <c r="I231" s="3432"/>
      <c r="K231" s="3390">
        <f t="shared" si="19"/>
        <v>0</v>
      </c>
      <c r="L231" s="3389">
        <f t="shared" si="20"/>
        <v>0</v>
      </c>
    </row>
    <row r="232" spans="1:12" ht="16.5" customHeight="1">
      <c r="A232" s="3431" t="s">
        <v>331</v>
      </c>
      <c r="B232" s="3251" t="s">
        <v>330</v>
      </c>
      <c r="C232" s="3430" t="s">
        <v>329</v>
      </c>
      <c r="D232" s="3430" t="s">
        <v>328</v>
      </c>
      <c r="E232" s="3429" t="s">
        <v>327</v>
      </c>
      <c r="F232" s="3430" t="s">
        <v>326</v>
      </c>
      <c r="G232" s="3429" t="s">
        <v>324</v>
      </c>
      <c r="H232" s="3429" t="s">
        <v>323</v>
      </c>
      <c r="I232" s="3429" t="s">
        <v>325</v>
      </c>
      <c r="K232" s="3390">
        <f t="shared" si="19"/>
        <v>0</v>
      </c>
      <c r="L232" s="3389">
        <f t="shared" si="20"/>
        <v>0</v>
      </c>
    </row>
    <row r="233" spans="1:12" ht="18" customHeight="1">
      <c r="A233" s="3415"/>
      <c r="B233" s="3415"/>
      <c r="C233" s="3459" t="s">
        <v>2494</v>
      </c>
      <c r="D233" s="3383"/>
      <c r="E233" s="3401"/>
      <c r="F233" s="3399"/>
      <c r="G233" s="3401"/>
      <c r="H233" s="3399"/>
      <c r="I233" s="3399"/>
      <c r="K233" s="3390">
        <f t="shared" si="19"/>
        <v>0</v>
      </c>
      <c r="L233" s="3389">
        <f t="shared" si="20"/>
        <v>0</v>
      </c>
    </row>
    <row r="234" spans="1:12" ht="18" customHeight="1">
      <c r="A234" s="3415"/>
      <c r="B234" s="3415">
        <v>128</v>
      </c>
      <c r="C234" s="3459" t="s">
        <v>2493</v>
      </c>
      <c r="D234" s="3383" t="s">
        <v>245</v>
      </c>
      <c r="E234" s="3401"/>
      <c r="F234" s="3399"/>
      <c r="G234" s="3401" t="s">
        <v>71</v>
      </c>
      <c r="H234" s="3399">
        <f>VLOOKUP(G234,$A$219:$B$507,2)*12</f>
        <v>779928</v>
      </c>
      <c r="I234" s="3399">
        <f>SUM(H234-F234)</f>
        <v>779928</v>
      </c>
      <c r="K234" s="3390">
        <f t="shared" si="19"/>
        <v>64994</v>
      </c>
      <c r="L234" s="3389">
        <f t="shared" si="20"/>
        <v>1299.8800000000001</v>
      </c>
    </row>
    <row r="235" spans="1:12" ht="18" customHeight="1">
      <c r="A235" s="3403">
        <v>118</v>
      </c>
      <c r="B235" s="3403">
        <v>129</v>
      </c>
      <c r="C235" s="3406" t="s">
        <v>2492</v>
      </c>
      <c r="D235" s="3383" t="s">
        <v>2491</v>
      </c>
      <c r="E235" s="3401" t="s">
        <v>101</v>
      </c>
      <c r="F235" s="3399">
        <v>509508</v>
      </c>
      <c r="G235" s="3401" t="s">
        <v>101</v>
      </c>
      <c r="H235" s="3399">
        <f>VLOOKUP(G235,$A$219:$B$475,2)*12</f>
        <v>509508</v>
      </c>
      <c r="I235" s="3399">
        <f>SUM(H235-F235)</f>
        <v>0</v>
      </c>
      <c r="K235" s="3390">
        <f t="shared" si="19"/>
        <v>42459</v>
      </c>
      <c r="L235" s="3389">
        <f t="shared" si="20"/>
        <v>849.18000000000006</v>
      </c>
    </row>
    <row r="236" spans="1:12" ht="18" customHeight="1">
      <c r="A236" s="3403"/>
      <c r="B236" s="3403"/>
      <c r="C236" s="3406"/>
      <c r="D236" s="3383"/>
      <c r="E236" s="3401"/>
      <c r="F236" s="3399"/>
      <c r="G236" s="3401"/>
      <c r="H236" s="3399"/>
      <c r="I236" s="3399"/>
      <c r="K236" s="3390">
        <f t="shared" si="19"/>
        <v>0</v>
      </c>
      <c r="L236" s="3389">
        <f t="shared" si="20"/>
        <v>0</v>
      </c>
    </row>
    <row r="237" spans="1:12" ht="18" customHeight="1">
      <c r="A237" s="3415"/>
      <c r="B237" s="3415"/>
      <c r="C237" s="3395" t="s">
        <v>2490</v>
      </c>
      <c r="D237" s="3383"/>
      <c r="E237" s="3401"/>
      <c r="F237" s="3399"/>
      <c r="G237" s="3401"/>
      <c r="H237" s="3399"/>
      <c r="I237" s="3399"/>
      <c r="K237" s="3390">
        <f t="shared" si="19"/>
        <v>0</v>
      </c>
      <c r="L237" s="3389">
        <f t="shared" si="20"/>
        <v>0</v>
      </c>
    </row>
    <row r="238" spans="1:12" ht="18" customHeight="1">
      <c r="A238" s="3403">
        <v>119</v>
      </c>
      <c r="B238" s="3403">
        <v>130</v>
      </c>
      <c r="C238" s="3259" t="s">
        <v>1358</v>
      </c>
      <c r="D238" s="3395" t="s">
        <v>2489</v>
      </c>
      <c r="E238" s="3401" t="s">
        <v>197</v>
      </c>
      <c r="F238" s="3399">
        <v>187536</v>
      </c>
      <c r="G238" s="3401" t="s">
        <v>197</v>
      </c>
      <c r="H238" s="3399">
        <f>VLOOKUP(G238,$A$219:$B$404,2)*12</f>
        <v>187536</v>
      </c>
      <c r="I238" s="3399">
        <f>SUM(H238-F238)</f>
        <v>0</v>
      </c>
      <c r="K238" s="3390">
        <f t="shared" si="19"/>
        <v>15628</v>
      </c>
      <c r="L238" s="3389">
        <f t="shared" si="20"/>
        <v>312.56</v>
      </c>
    </row>
    <row r="239" spans="1:12" ht="18" customHeight="1">
      <c r="A239" s="3403">
        <v>120</v>
      </c>
      <c r="B239" s="3403">
        <v>131</v>
      </c>
      <c r="C239" s="3256" t="s">
        <v>2484</v>
      </c>
      <c r="D239" s="3383" t="s">
        <v>2488</v>
      </c>
      <c r="E239" s="3401" t="s">
        <v>199</v>
      </c>
      <c r="F239" s="3399">
        <v>184680</v>
      </c>
      <c r="G239" s="3404" t="s">
        <v>198</v>
      </c>
      <c r="H239" s="3399">
        <f>VLOOKUP(G239,$A$219:$B$404,2)*12</f>
        <v>186108</v>
      </c>
      <c r="I239" s="3398">
        <f>H239-F239</f>
        <v>1428</v>
      </c>
      <c r="K239" s="3390">
        <f t="shared" si="19"/>
        <v>15509</v>
      </c>
      <c r="L239" s="3389">
        <f t="shared" si="20"/>
        <v>310.18</v>
      </c>
    </row>
    <row r="240" spans="1:12" ht="18" customHeight="1">
      <c r="A240" s="3403">
        <v>122</v>
      </c>
      <c r="B240" s="3403">
        <v>132</v>
      </c>
      <c r="C240" s="3256" t="s">
        <v>2417</v>
      </c>
      <c r="D240" s="3395" t="s">
        <v>2487</v>
      </c>
      <c r="E240" s="3401" t="s">
        <v>223</v>
      </c>
      <c r="F240" s="3399">
        <v>154716</v>
      </c>
      <c r="G240" s="3404" t="s">
        <v>222</v>
      </c>
      <c r="H240" s="3399">
        <f>VLOOKUP(G240,$A$219:$B$404,2)*12</f>
        <v>155916</v>
      </c>
      <c r="I240" s="3398">
        <f>H240-F240</f>
        <v>1200</v>
      </c>
      <c r="K240" s="3390">
        <f t="shared" si="19"/>
        <v>12993</v>
      </c>
      <c r="L240" s="3389">
        <f t="shared" si="20"/>
        <v>259.86</v>
      </c>
    </row>
    <row r="241" spans="1:12" ht="18" customHeight="1">
      <c r="A241" s="3403">
        <v>121</v>
      </c>
      <c r="B241" s="3403">
        <v>133</v>
      </c>
      <c r="C241" s="3259" t="s">
        <v>2486</v>
      </c>
      <c r="D241" s="3395" t="s">
        <v>245</v>
      </c>
      <c r="E241" s="3401" t="s">
        <v>223</v>
      </c>
      <c r="F241" s="3399">
        <v>154716</v>
      </c>
      <c r="G241" s="3401" t="s">
        <v>223</v>
      </c>
      <c r="H241" s="3399">
        <f>VLOOKUP(G241,$A$219:$B$404,2)*12</f>
        <v>154716</v>
      </c>
      <c r="I241" s="3399">
        <f>SUM(H241-F241)</f>
        <v>0</v>
      </c>
      <c r="K241" s="3390">
        <f t="shared" si="19"/>
        <v>12893</v>
      </c>
      <c r="L241" s="3389">
        <f t="shared" si="20"/>
        <v>257.86</v>
      </c>
    </row>
    <row r="242" spans="1:12" ht="18" customHeight="1">
      <c r="A242" s="3397"/>
      <c r="B242" s="3397"/>
      <c r="C242" s="3414"/>
      <c r="D242" s="3395"/>
      <c r="E242" s="3401"/>
      <c r="F242" s="3392"/>
      <c r="G242" s="3394"/>
      <c r="H242" s="3392"/>
      <c r="I242" s="3391"/>
      <c r="K242" s="3390">
        <f t="shared" si="19"/>
        <v>0</v>
      </c>
      <c r="L242" s="3389">
        <f t="shared" si="20"/>
        <v>0</v>
      </c>
    </row>
    <row r="243" spans="1:12" ht="18" customHeight="1">
      <c r="A243" s="3415"/>
      <c r="B243" s="3415"/>
      <c r="C243" s="3395" t="s">
        <v>2485</v>
      </c>
      <c r="D243" s="3383"/>
      <c r="E243" s="3401"/>
      <c r="F243" s="3399"/>
      <c r="G243" s="3401"/>
      <c r="H243" s="3399"/>
      <c r="I243" s="3399"/>
      <c r="K243" s="3390">
        <f t="shared" si="19"/>
        <v>0</v>
      </c>
      <c r="L243" s="3389">
        <f t="shared" si="20"/>
        <v>0</v>
      </c>
    </row>
    <row r="244" spans="1:12" ht="18" customHeight="1">
      <c r="A244" s="3403">
        <v>123</v>
      </c>
      <c r="B244" s="3403">
        <v>134</v>
      </c>
      <c r="C244" s="3256" t="s">
        <v>2484</v>
      </c>
      <c r="D244" s="3395" t="s">
        <v>245</v>
      </c>
      <c r="E244" s="3401" t="s">
        <v>199</v>
      </c>
      <c r="F244" s="3399">
        <v>184680</v>
      </c>
      <c r="G244" s="3401" t="s">
        <v>199</v>
      </c>
      <c r="H244" s="3399">
        <f>VLOOKUP(G244,$A$219:$B$404,2)*12</f>
        <v>184680</v>
      </c>
      <c r="I244" s="3398">
        <f>H244-F244</f>
        <v>0</v>
      </c>
      <c r="K244" s="3390">
        <f t="shared" si="19"/>
        <v>15390</v>
      </c>
      <c r="L244" s="3389">
        <f t="shared" si="20"/>
        <v>307.8</v>
      </c>
    </row>
    <row r="245" spans="1:12" ht="18" customHeight="1">
      <c r="A245" s="3403">
        <v>124</v>
      </c>
      <c r="B245" s="3403">
        <v>135</v>
      </c>
      <c r="C245" s="3406" t="s">
        <v>888</v>
      </c>
      <c r="D245" s="3413" t="s">
        <v>245</v>
      </c>
      <c r="E245" s="3401" t="s">
        <v>189</v>
      </c>
      <c r="F245" s="3399">
        <v>198864</v>
      </c>
      <c r="G245" s="3404" t="s">
        <v>191</v>
      </c>
      <c r="H245" s="3399">
        <f>VLOOKUP(G245,$A$219:$B$404,2)*12</f>
        <v>195840</v>
      </c>
      <c r="I245" s="3399">
        <f>SUM(H245-F245)</f>
        <v>-3024</v>
      </c>
      <c r="K245" s="3390">
        <f t="shared" si="19"/>
        <v>16320</v>
      </c>
      <c r="L245" s="3389">
        <f t="shared" si="20"/>
        <v>326.40000000000003</v>
      </c>
    </row>
    <row r="246" spans="1:12" ht="18" customHeight="1">
      <c r="A246" s="3403">
        <v>125</v>
      </c>
      <c r="B246" s="3403">
        <v>136</v>
      </c>
      <c r="C246" s="3259" t="s">
        <v>2483</v>
      </c>
      <c r="D246" s="3395" t="s">
        <v>2482</v>
      </c>
      <c r="E246" s="3401" t="s">
        <v>230</v>
      </c>
      <c r="F246" s="3399">
        <v>146928</v>
      </c>
      <c r="G246" s="3404" t="s">
        <v>229</v>
      </c>
      <c r="H246" s="3399">
        <f>VLOOKUP(G246,$A$219:$B$404,2)*12</f>
        <v>148056</v>
      </c>
      <c r="I246" s="3399">
        <f>SUM(H246-F246)</f>
        <v>1128</v>
      </c>
      <c r="K246" s="3390">
        <f t="shared" si="19"/>
        <v>12338</v>
      </c>
      <c r="L246" s="3389">
        <f t="shared" si="20"/>
        <v>246.76000000000002</v>
      </c>
    </row>
    <row r="247" spans="1:12" ht="16.5" customHeight="1">
      <c r="A247" s="3461"/>
      <c r="B247" s="3255"/>
      <c r="C247" s="3432"/>
      <c r="D247" s="3432"/>
      <c r="E247" s="3408"/>
      <c r="F247" s="3432"/>
      <c r="G247" s="3408"/>
      <c r="H247" s="3408"/>
      <c r="I247" s="3408"/>
      <c r="K247" s="3390">
        <f t="shared" si="19"/>
        <v>0</v>
      </c>
      <c r="L247" s="3389">
        <f t="shared" si="20"/>
        <v>0</v>
      </c>
    </row>
    <row r="248" spans="1:12" ht="18" customHeight="1">
      <c r="A248" s="3403"/>
      <c r="B248" s="3403"/>
      <c r="C248" s="3459" t="s">
        <v>2481</v>
      </c>
      <c r="D248" s="3383"/>
      <c r="E248" s="3401"/>
      <c r="F248" s="3399"/>
      <c r="G248" s="3401"/>
      <c r="H248" s="3399"/>
      <c r="I248" s="3399"/>
      <c r="K248" s="3390">
        <f t="shared" si="19"/>
        <v>0</v>
      </c>
      <c r="L248" s="3389">
        <f t="shared" si="20"/>
        <v>0</v>
      </c>
    </row>
    <row r="249" spans="1:12" ht="18" customHeight="1">
      <c r="A249" s="3403"/>
      <c r="B249" s="3403"/>
      <c r="C249" s="3383" t="s">
        <v>2480</v>
      </c>
      <c r="D249" s="3383"/>
      <c r="E249" s="3401"/>
      <c r="F249" s="3399"/>
      <c r="G249" s="3401"/>
      <c r="H249" s="3399"/>
      <c r="I249" s="3399"/>
      <c r="K249" s="3390">
        <f t="shared" si="19"/>
        <v>0</v>
      </c>
      <c r="L249" s="3389">
        <f t="shared" si="20"/>
        <v>0</v>
      </c>
    </row>
    <row r="250" spans="1:12" ht="18" customHeight="1">
      <c r="A250" s="3403">
        <v>126</v>
      </c>
      <c r="B250" s="3403">
        <v>137</v>
      </c>
      <c r="C250" s="3259" t="s">
        <v>2479</v>
      </c>
      <c r="D250" s="3383" t="s">
        <v>245</v>
      </c>
      <c r="E250" s="3401" t="s">
        <v>183</v>
      </c>
      <c r="F250" s="3399">
        <v>208056</v>
      </c>
      <c r="G250" s="3401" t="s">
        <v>183</v>
      </c>
      <c r="H250" s="3399">
        <f t="shared" ref="H250:H261" si="21">VLOOKUP(G250,$A$219:$B$404,2)*12</f>
        <v>208056</v>
      </c>
      <c r="I250" s="3399">
        <f>SUM(H250-F250)</f>
        <v>0</v>
      </c>
      <c r="K250" s="3390">
        <f t="shared" si="19"/>
        <v>17338</v>
      </c>
      <c r="L250" s="3389">
        <f t="shared" si="20"/>
        <v>346.76</v>
      </c>
    </row>
    <row r="251" spans="1:12" ht="18" customHeight="1">
      <c r="A251" s="3403">
        <v>127</v>
      </c>
      <c r="B251" s="3403">
        <v>138</v>
      </c>
      <c r="C251" s="3406" t="s">
        <v>246</v>
      </c>
      <c r="D251" s="3417" t="s">
        <v>2478</v>
      </c>
      <c r="E251" s="3401" t="s">
        <v>230</v>
      </c>
      <c r="F251" s="3399">
        <v>146928</v>
      </c>
      <c r="G251" s="3401" t="s">
        <v>230</v>
      </c>
      <c r="H251" s="3399">
        <f t="shared" si="21"/>
        <v>146928</v>
      </c>
      <c r="I251" s="3398">
        <f t="shared" ref="I251:I261" si="22">H251-F251</f>
        <v>0</v>
      </c>
      <c r="K251" s="3390">
        <f t="shared" si="19"/>
        <v>12244</v>
      </c>
      <c r="L251" s="3389">
        <f t="shared" si="20"/>
        <v>244.88</v>
      </c>
    </row>
    <row r="252" spans="1:12" ht="18" customHeight="1">
      <c r="A252" s="3403">
        <v>128</v>
      </c>
      <c r="B252" s="3403">
        <v>139</v>
      </c>
      <c r="C252" s="3406" t="s">
        <v>246</v>
      </c>
      <c r="D252" s="3395" t="s">
        <v>2477</v>
      </c>
      <c r="E252" s="3401" t="s">
        <v>230</v>
      </c>
      <c r="F252" s="3399">
        <v>146928</v>
      </c>
      <c r="G252" s="3401" t="s">
        <v>230</v>
      </c>
      <c r="H252" s="3399">
        <f t="shared" si="21"/>
        <v>146928</v>
      </c>
      <c r="I252" s="3398">
        <f t="shared" si="22"/>
        <v>0</v>
      </c>
      <c r="K252" s="3390">
        <f t="shared" si="19"/>
        <v>12244</v>
      </c>
      <c r="L252" s="3389">
        <f t="shared" si="20"/>
        <v>244.88</v>
      </c>
    </row>
    <row r="253" spans="1:12" ht="18" customHeight="1">
      <c r="A253" s="3403">
        <v>129</v>
      </c>
      <c r="B253" s="3403">
        <v>140</v>
      </c>
      <c r="C253" s="3406" t="s">
        <v>246</v>
      </c>
      <c r="D253" s="3395" t="s">
        <v>2476</v>
      </c>
      <c r="E253" s="3401" t="s">
        <v>230</v>
      </c>
      <c r="F253" s="3399">
        <v>146928</v>
      </c>
      <c r="G253" s="3401" t="s">
        <v>230</v>
      </c>
      <c r="H253" s="3399">
        <f t="shared" si="21"/>
        <v>146928</v>
      </c>
      <c r="I253" s="3398">
        <f t="shared" si="22"/>
        <v>0</v>
      </c>
      <c r="K253" s="3390">
        <f t="shared" si="19"/>
        <v>12244</v>
      </c>
      <c r="L253" s="3389">
        <f t="shared" si="20"/>
        <v>244.88</v>
      </c>
    </row>
    <row r="254" spans="1:12" ht="18" customHeight="1">
      <c r="A254" s="3403">
        <v>130</v>
      </c>
      <c r="B254" s="3403">
        <v>141</v>
      </c>
      <c r="C254" s="3406" t="s">
        <v>246</v>
      </c>
      <c r="D254" s="3395" t="s">
        <v>2475</v>
      </c>
      <c r="E254" s="3401" t="s">
        <v>230</v>
      </c>
      <c r="F254" s="3399">
        <v>146928</v>
      </c>
      <c r="G254" s="3401" t="s">
        <v>230</v>
      </c>
      <c r="H254" s="3399">
        <f t="shared" si="21"/>
        <v>146928</v>
      </c>
      <c r="I254" s="3398">
        <f t="shared" si="22"/>
        <v>0</v>
      </c>
      <c r="K254" s="3390">
        <f t="shared" si="19"/>
        <v>12244</v>
      </c>
      <c r="L254" s="3389">
        <f t="shared" si="20"/>
        <v>244.88</v>
      </c>
    </row>
    <row r="255" spans="1:12" ht="18" customHeight="1">
      <c r="A255" s="3403">
        <v>131</v>
      </c>
      <c r="B255" s="3403">
        <v>142</v>
      </c>
      <c r="C255" s="3406" t="s">
        <v>246</v>
      </c>
      <c r="D255" s="3395" t="s">
        <v>2474</v>
      </c>
      <c r="E255" s="3401" t="s">
        <v>230</v>
      </c>
      <c r="F255" s="3399">
        <v>146928</v>
      </c>
      <c r="G255" s="3401" t="s">
        <v>230</v>
      </c>
      <c r="H255" s="3399">
        <f t="shared" si="21"/>
        <v>146928</v>
      </c>
      <c r="I255" s="3398">
        <f t="shared" si="22"/>
        <v>0</v>
      </c>
      <c r="K255" s="3390">
        <f t="shared" si="19"/>
        <v>12244</v>
      </c>
      <c r="L255" s="3389">
        <f t="shared" si="20"/>
        <v>244.88</v>
      </c>
    </row>
    <row r="256" spans="1:12" ht="18" customHeight="1">
      <c r="A256" s="3403">
        <v>132</v>
      </c>
      <c r="B256" s="3403">
        <v>143</v>
      </c>
      <c r="C256" s="3406" t="s">
        <v>246</v>
      </c>
      <c r="D256" s="3395" t="s">
        <v>2473</v>
      </c>
      <c r="E256" s="3401" t="s">
        <v>231</v>
      </c>
      <c r="F256" s="3399">
        <v>145812</v>
      </c>
      <c r="G256" s="3401" t="s">
        <v>231</v>
      </c>
      <c r="H256" s="3399">
        <f t="shared" si="21"/>
        <v>145812</v>
      </c>
      <c r="I256" s="3398">
        <f t="shared" si="22"/>
        <v>0</v>
      </c>
      <c r="K256" s="3390">
        <f t="shared" si="19"/>
        <v>12151</v>
      </c>
      <c r="L256" s="3389">
        <f t="shared" si="20"/>
        <v>243.02</v>
      </c>
    </row>
    <row r="257" spans="1:12" ht="18" customHeight="1">
      <c r="A257" s="3403">
        <v>133</v>
      </c>
      <c r="B257" s="3403">
        <v>144</v>
      </c>
      <c r="C257" s="3406" t="s">
        <v>246</v>
      </c>
      <c r="D257" s="3395" t="s">
        <v>2472</v>
      </c>
      <c r="E257" s="3401" t="s">
        <v>231</v>
      </c>
      <c r="F257" s="3399">
        <v>145812</v>
      </c>
      <c r="G257" s="3401" t="s">
        <v>231</v>
      </c>
      <c r="H257" s="3399">
        <f t="shared" si="21"/>
        <v>145812</v>
      </c>
      <c r="I257" s="3398">
        <f t="shared" si="22"/>
        <v>0</v>
      </c>
      <c r="K257" s="3390">
        <f t="shared" si="19"/>
        <v>12151</v>
      </c>
      <c r="L257" s="3389">
        <f t="shared" si="20"/>
        <v>243.02</v>
      </c>
    </row>
    <row r="258" spans="1:12" ht="18" customHeight="1">
      <c r="A258" s="3403">
        <v>134</v>
      </c>
      <c r="B258" s="3403">
        <v>145</v>
      </c>
      <c r="C258" s="3406" t="s">
        <v>246</v>
      </c>
      <c r="D258" s="3395" t="s">
        <v>2471</v>
      </c>
      <c r="E258" s="3401" t="s">
        <v>231</v>
      </c>
      <c r="F258" s="3399">
        <v>145812</v>
      </c>
      <c r="G258" s="3401" t="s">
        <v>231</v>
      </c>
      <c r="H258" s="3399">
        <f t="shared" si="21"/>
        <v>145812</v>
      </c>
      <c r="I258" s="3398">
        <f t="shared" si="22"/>
        <v>0</v>
      </c>
      <c r="K258" s="3390">
        <f t="shared" si="19"/>
        <v>12151</v>
      </c>
      <c r="L258" s="3389">
        <f t="shared" si="20"/>
        <v>243.02</v>
      </c>
    </row>
    <row r="259" spans="1:12" ht="18" customHeight="1">
      <c r="A259" s="3403">
        <v>135</v>
      </c>
      <c r="B259" s="3403">
        <v>146</v>
      </c>
      <c r="C259" s="3406" t="s">
        <v>246</v>
      </c>
      <c r="D259" s="3395" t="s">
        <v>2470</v>
      </c>
      <c r="E259" s="3401" t="s">
        <v>231</v>
      </c>
      <c r="F259" s="3399">
        <v>145812</v>
      </c>
      <c r="G259" s="3401" t="s">
        <v>231</v>
      </c>
      <c r="H259" s="3399">
        <f t="shared" si="21"/>
        <v>145812</v>
      </c>
      <c r="I259" s="3398">
        <f t="shared" si="22"/>
        <v>0</v>
      </c>
      <c r="K259" s="3390">
        <f t="shared" si="19"/>
        <v>12151</v>
      </c>
      <c r="L259" s="3389">
        <f t="shared" si="20"/>
        <v>243.02</v>
      </c>
    </row>
    <row r="260" spans="1:12" ht="18" customHeight="1">
      <c r="A260" s="3403">
        <v>136</v>
      </c>
      <c r="B260" s="3403">
        <v>147</v>
      </c>
      <c r="C260" s="3406" t="s">
        <v>246</v>
      </c>
      <c r="D260" s="3395" t="s">
        <v>2469</v>
      </c>
      <c r="E260" s="3401" t="s">
        <v>231</v>
      </c>
      <c r="F260" s="3399">
        <v>145812</v>
      </c>
      <c r="G260" s="3401" t="s">
        <v>231</v>
      </c>
      <c r="H260" s="3399">
        <f t="shared" si="21"/>
        <v>145812</v>
      </c>
      <c r="I260" s="3398">
        <f t="shared" si="22"/>
        <v>0</v>
      </c>
      <c r="K260" s="3390">
        <f t="shared" si="19"/>
        <v>12151</v>
      </c>
      <c r="L260" s="3389">
        <f t="shared" si="20"/>
        <v>243.02</v>
      </c>
    </row>
    <row r="261" spans="1:12" ht="18" customHeight="1">
      <c r="A261" s="3403">
        <v>137</v>
      </c>
      <c r="B261" s="3403">
        <v>148</v>
      </c>
      <c r="C261" s="3406" t="s">
        <v>246</v>
      </c>
      <c r="D261" s="3395" t="s">
        <v>2468</v>
      </c>
      <c r="E261" s="3401" t="s">
        <v>231</v>
      </c>
      <c r="F261" s="3399">
        <v>145812</v>
      </c>
      <c r="G261" s="3401" t="s">
        <v>231</v>
      </c>
      <c r="H261" s="3399">
        <f t="shared" si="21"/>
        <v>145812</v>
      </c>
      <c r="I261" s="3398">
        <f t="shared" si="22"/>
        <v>0</v>
      </c>
      <c r="K261" s="3390">
        <f t="shared" si="19"/>
        <v>12151</v>
      </c>
      <c r="L261" s="3389">
        <f t="shared" si="20"/>
        <v>243.02</v>
      </c>
    </row>
    <row r="262" spans="1:12" ht="18" customHeight="1">
      <c r="A262" s="3403"/>
      <c r="B262" s="3403"/>
      <c r="C262" s="3406"/>
      <c r="D262" s="3395"/>
      <c r="E262" s="3401"/>
      <c r="F262" s="3399"/>
      <c r="G262" s="3401"/>
      <c r="H262" s="3399"/>
      <c r="I262" s="3398"/>
      <c r="K262" s="3390">
        <f t="shared" si="19"/>
        <v>0</v>
      </c>
      <c r="L262" s="3389">
        <f t="shared" si="20"/>
        <v>0</v>
      </c>
    </row>
    <row r="263" spans="1:12" ht="18" customHeight="1">
      <c r="A263" s="3397"/>
      <c r="B263" s="3397"/>
      <c r="C263" s="3383" t="s">
        <v>2422</v>
      </c>
      <c r="D263" s="3395"/>
      <c r="E263" s="3401"/>
      <c r="F263" s="3399"/>
      <c r="G263" s="3401"/>
      <c r="H263" s="3399"/>
      <c r="I263" s="3398"/>
      <c r="K263" s="3390">
        <f t="shared" si="19"/>
        <v>0</v>
      </c>
      <c r="L263" s="3389">
        <f t="shared" si="20"/>
        <v>0</v>
      </c>
    </row>
    <row r="264" spans="1:12" ht="18" customHeight="1">
      <c r="A264" s="3403">
        <v>138</v>
      </c>
      <c r="B264" s="3403">
        <v>149</v>
      </c>
      <c r="C264" s="3259" t="s">
        <v>2467</v>
      </c>
      <c r="D264" s="3395" t="s">
        <v>2466</v>
      </c>
      <c r="E264" s="3401" t="s">
        <v>215</v>
      </c>
      <c r="F264" s="3399">
        <v>164160</v>
      </c>
      <c r="G264" s="3401" t="s">
        <v>215</v>
      </c>
      <c r="H264" s="3399">
        <f>VLOOKUP(G264,$A$219:$B$404,2)*12</f>
        <v>164160</v>
      </c>
      <c r="I264" s="3398">
        <f>H264-F264</f>
        <v>0</v>
      </c>
      <c r="K264" s="3390">
        <f t="shared" si="19"/>
        <v>13680</v>
      </c>
      <c r="L264" s="3389">
        <f t="shared" si="20"/>
        <v>273.60000000000002</v>
      </c>
    </row>
    <row r="265" spans="1:12" ht="18" customHeight="1">
      <c r="A265" s="3422">
        <v>139</v>
      </c>
      <c r="B265" s="3422">
        <v>150</v>
      </c>
      <c r="C265" s="3406" t="s">
        <v>246</v>
      </c>
      <c r="D265" s="3395" t="s">
        <v>2465</v>
      </c>
      <c r="E265" s="3401" t="s">
        <v>230</v>
      </c>
      <c r="F265" s="3399">
        <v>146928</v>
      </c>
      <c r="G265" s="3401" t="s">
        <v>230</v>
      </c>
      <c r="H265" s="3399">
        <f>VLOOKUP(G265,$A$219:$B$404,2)*12</f>
        <v>146928</v>
      </c>
      <c r="I265" s="3398">
        <f>H265-F265</f>
        <v>0</v>
      </c>
      <c r="K265" s="3390">
        <f t="shared" si="19"/>
        <v>12244</v>
      </c>
      <c r="L265" s="3389">
        <f t="shared" si="20"/>
        <v>244.88</v>
      </c>
    </row>
    <row r="266" spans="1:12" ht="18" customHeight="1">
      <c r="A266" s="3422">
        <v>140</v>
      </c>
      <c r="B266" s="3422">
        <v>151</v>
      </c>
      <c r="C266" s="3406" t="s">
        <v>246</v>
      </c>
      <c r="D266" s="3395" t="s">
        <v>245</v>
      </c>
      <c r="E266" s="3401" t="s">
        <v>231</v>
      </c>
      <c r="F266" s="3399">
        <v>145812</v>
      </c>
      <c r="G266" s="3401" t="s">
        <v>231</v>
      </c>
      <c r="H266" s="3399">
        <f>VLOOKUP(G266,$A$219:$B$404,2)*12</f>
        <v>145812</v>
      </c>
      <c r="I266" s="3398">
        <f>H266-F266</f>
        <v>0</v>
      </c>
      <c r="K266" s="3390">
        <f t="shared" si="19"/>
        <v>12151</v>
      </c>
      <c r="L266" s="3389">
        <f t="shared" si="20"/>
        <v>243.02</v>
      </c>
    </row>
    <row r="267" spans="1:12" ht="16.5" customHeight="1">
      <c r="A267" s="3415"/>
      <c r="B267" s="3415"/>
      <c r="C267" s="3406"/>
      <c r="D267" s="3395"/>
      <c r="E267" s="3401"/>
      <c r="F267" s="3399"/>
      <c r="G267" s="3401"/>
      <c r="H267" s="3399"/>
      <c r="I267" s="3398"/>
      <c r="K267" s="3390">
        <f t="shared" si="19"/>
        <v>0</v>
      </c>
      <c r="L267" s="3389">
        <f t="shared" si="20"/>
        <v>0</v>
      </c>
    </row>
    <row r="268" spans="1:12" ht="16.5" customHeight="1">
      <c r="A268" s="3460"/>
      <c r="B268" s="3460"/>
      <c r="C268" s="3459" t="s">
        <v>2464</v>
      </c>
      <c r="D268" s="3395"/>
      <c r="E268" s="3394"/>
      <c r="F268" s="3392"/>
      <c r="G268" s="3394"/>
      <c r="H268" s="3392"/>
      <c r="I268" s="3391"/>
      <c r="K268" s="3390">
        <f t="shared" si="19"/>
        <v>0</v>
      </c>
      <c r="L268" s="3389">
        <f t="shared" si="20"/>
        <v>0</v>
      </c>
    </row>
    <row r="269" spans="1:12" ht="16.5" customHeight="1">
      <c r="A269" s="3415">
        <v>141</v>
      </c>
      <c r="B269" s="3415">
        <v>152</v>
      </c>
      <c r="C269" s="3406" t="s">
        <v>2463</v>
      </c>
      <c r="D269" s="3395" t="s">
        <v>2462</v>
      </c>
      <c r="E269" s="3401" t="s">
        <v>167</v>
      </c>
      <c r="F269" s="3399">
        <v>241740</v>
      </c>
      <c r="G269" s="3401" t="s">
        <v>167</v>
      </c>
      <c r="H269" s="3399">
        <f>VLOOKUP(G269,$A$320:$B$517,2)*12</f>
        <v>241740</v>
      </c>
      <c r="I269" s="3398">
        <f>H269-F269</f>
        <v>0</v>
      </c>
      <c r="K269" s="3390">
        <f t="shared" si="19"/>
        <v>20145</v>
      </c>
      <c r="L269" s="3389">
        <f t="shared" si="20"/>
        <v>402.90000000000003</v>
      </c>
    </row>
    <row r="270" spans="1:12" ht="16.5" customHeight="1">
      <c r="A270" s="3415">
        <v>142</v>
      </c>
      <c r="B270" s="3415">
        <v>153</v>
      </c>
      <c r="C270" s="3458" t="s">
        <v>1344</v>
      </c>
      <c r="D270" s="3395" t="s">
        <v>2461</v>
      </c>
      <c r="E270" s="3401" t="s">
        <v>223</v>
      </c>
      <c r="F270" s="3399">
        <v>154716</v>
      </c>
      <c r="G270" s="3401" t="s">
        <v>223</v>
      </c>
      <c r="H270" s="3399">
        <f>VLOOKUP(G270,$A$320:$B$517,2)*12</f>
        <v>154716</v>
      </c>
      <c r="I270" s="3398">
        <f>H270-F270</f>
        <v>0</v>
      </c>
      <c r="K270" s="3390">
        <f t="shared" si="19"/>
        <v>12893</v>
      </c>
      <c r="L270" s="3389">
        <f t="shared" si="20"/>
        <v>257.86</v>
      </c>
    </row>
    <row r="271" spans="1:12" ht="16.5" customHeight="1">
      <c r="A271" s="3415">
        <v>144</v>
      </c>
      <c r="B271" s="3415">
        <v>154</v>
      </c>
      <c r="C271" s="3406" t="s">
        <v>2459</v>
      </c>
      <c r="D271" s="3395" t="s">
        <v>2460</v>
      </c>
      <c r="E271" s="3401" t="s">
        <v>231</v>
      </c>
      <c r="F271" s="3399">
        <v>145812</v>
      </c>
      <c r="G271" s="3401" t="s">
        <v>231</v>
      </c>
      <c r="H271" s="3399">
        <f>VLOOKUP(G271,$A$320:$B$517,2)*12</f>
        <v>145812</v>
      </c>
      <c r="I271" s="3398">
        <f>H271-F271</f>
        <v>0</v>
      </c>
      <c r="K271" s="3390">
        <f t="shared" si="19"/>
        <v>12151</v>
      </c>
      <c r="L271" s="3389">
        <f t="shared" si="20"/>
        <v>243.02</v>
      </c>
    </row>
    <row r="272" spans="1:12" ht="16.5" customHeight="1">
      <c r="A272" s="3415">
        <v>143</v>
      </c>
      <c r="B272" s="3415">
        <v>155</v>
      </c>
      <c r="C272" s="3406" t="s">
        <v>2459</v>
      </c>
      <c r="D272" s="3412" t="s">
        <v>2458</v>
      </c>
      <c r="E272" s="3401" t="s">
        <v>231</v>
      </c>
      <c r="F272" s="3399">
        <v>145812</v>
      </c>
      <c r="G272" s="3401" t="s">
        <v>231</v>
      </c>
      <c r="H272" s="3399">
        <f>VLOOKUP(G272,$A$320:$B$517,2)*12</f>
        <v>145812</v>
      </c>
      <c r="I272" s="3398">
        <f>H272-F272</f>
        <v>0</v>
      </c>
      <c r="K272" s="3390">
        <f t="shared" si="19"/>
        <v>12151</v>
      </c>
      <c r="L272" s="3389">
        <f t="shared" si="20"/>
        <v>243.02</v>
      </c>
    </row>
    <row r="273" spans="1:12" ht="16.5" customHeight="1">
      <c r="A273" s="3415"/>
      <c r="B273" s="3415"/>
      <c r="C273" s="3406"/>
      <c r="D273" s="3395"/>
      <c r="E273" s="3401"/>
      <c r="F273" s="3399"/>
      <c r="G273" s="3401"/>
      <c r="H273" s="3399"/>
      <c r="I273" s="3398"/>
      <c r="K273" s="3390">
        <f t="shared" ref="K273:K324" si="23">H273/12</f>
        <v>0</v>
      </c>
      <c r="L273" s="3389">
        <f t="shared" si="20"/>
        <v>0</v>
      </c>
    </row>
    <row r="274" spans="1:12" ht="16.5" customHeight="1">
      <c r="A274" s="3457"/>
      <c r="B274" s="3457"/>
      <c r="C274" s="3456"/>
      <c r="D274" s="3455"/>
      <c r="E274" s="3454"/>
      <c r="F274" s="3453"/>
      <c r="G274" s="3454"/>
      <c r="H274" s="3453"/>
      <c r="I274" s="3452"/>
      <c r="K274" s="3390">
        <f t="shared" si="23"/>
        <v>0</v>
      </c>
      <c r="L274" s="3389">
        <f t="shared" si="20"/>
        <v>0</v>
      </c>
    </row>
    <row r="275" spans="1:12" ht="16.5" customHeight="1">
      <c r="A275" s="3451"/>
      <c r="B275" s="3450"/>
      <c r="C275" s="3344"/>
      <c r="D275" s="3344"/>
      <c r="E275" s="3449"/>
      <c r="F275" s="3344"/>
      <c r="G275" s="3400"/>
      <c r="H275" s="3416"/>
      <c r="I275" s="3416"/>
      <c r="K275" s="3390">
        <f t="shared" si="23"/>
        <v>0</v>
      </c>
      <c r="L275" s="3389">
        <f t="shared" si="20"/>
        <v>0</v>
      </c>
    </row>
    <row r="276" spans="1:12" ht="13.5" customHeight="1">
      <c r="A276" s="3447"/>
      <c r="B276" s="3448" t="s">
        <v>2457</v>
      </c>
      <c r="C276" s="3390"/>
      <c r="D276" s="3419"/>
      <c r="E276" s="3381"/>
      <c r="F276" s="3445"/>
      <c r="G276" s="3336"/>
      <c r="H276" s="3443"/>
      <c r="I276" s="3443"/>
      <c r="K276" s="3390">
        <f t="shared" si="23"/>
        <v>0</v>
      </c>
      <c r="L276" s="3389">
        <f t="shared" ref="L276:L339" si="24">K276*0.04/2</f>
        <v>0</v>
      </c>
    </row>
    <row r="277" spans="1:12" ht="13.5" customHeight="1">
      <c r="A277" s="3447"/>
      <c r="B277" s="3446" t="s">
        <v>2456</v>
      </c>
      <c r="C277" s="3416"/>
      <c r="D277" s="3419"/>
      <c r="E277" s="3381"/>
      <c r="F277" s="3445"/>
      <c r="G277" s="3336"/>
      <c r="H277" s="3444"/>
      <c r="I277" s="3443"/>
      <c r="K277" s="3390">
        <f t="shared" si="23"/>
        <v>0</v>
      </c>
      <c r="L277" s="3389">
        <f t="shared" si="24"/>
        <v>0</v>
      </c>
    </row>
    <row r="278" spans="1:12" ht="13.5" customHeight="1">
      <c r="A278" s="3447"/>
      <c r="B278" s="3446"/>
      <c r="C278" s="3416"/>
      <c r="D278" s="3419"/>
      <c r="E278" s="3381"/>
      <c r="F278" s="3445"/>
      <c r="G278" s="3336"/>
      <c r="H278" s="3444"/>
      <c r="I278" s="3443"/>
      <c r="K278" s="3390">
        <f t="shared" si="23"/>
        <v>0</v>
      </c>
      <c r="L278" s="3389">
        <f t="shared" si="24"/>
        <v>0</v>
      </c>
    </row>
    <row r="279" spans="1:12" ht="13.5" customHeight="1">
      <c r="A279" s="3441"/>
      <c r="B279" s="3442"/>
      <c r="C279" s="3387"/>
      <c r="D279" s="3441"/>
      <c r="E279" s="4954" t="s">
        <v>348</v>
      </c>
      <c r="F279" s="4955"/>
      <c r="G279" s="4954" t="s">
        <v>2455</v>
      </c>
      <c r="H279" s="4955"/>
      <c r="I279" s="3440"/>
      <c r="K279" s="3390">
        <f t="shared" si="23"/>
        <v>0</v>
      </c>
      <c r="L279" s="3389">
        <f t="shared" si="24"/>
        <v>0</v>
      </c>
    </row>
    <row r="280" spans="1:12" ht="13.5" customHeight="1">
      <c r="A280" s="3439"/>
      <c r="B280" s="3438"/>
      <c r="C280" s="3406"/>
      <c r="D280" s="3257"/>
      <c r="E280" s="4963" t="s">
        <v>346</v>
      </c>
      <c r="F280" s="4964"/>
      <c r="G280" s="4963" t="s">
        <v>345</v>
      </c>
      <c r="H280" s="4964"/>
      <c r="I280" s="3434"/>
      <c r="K280" s="3390">
        <f t="shared" si="23"/>
        <v>0</v>
      </c>
      <c r="L280" s="3389">
        <f t="shared" si="24"/>
        <v>0</v>
      </c>
    </row>
    <row r="281" spans="1:12" ht="13.5" customHeight="1">
      <c r="A281" s="4956" t="s">
        <v>2454</v>
      </c>
      <c r="B281" s="4957"/>
      <c r="C281" s="3434" t="s">
        <v>342</v>
      </c>
      <c r="D281" s="3433" t="s">
        <v>341</v>
      </c>
      <c r="E281" s="4966" t="s">
        <v>2453</v>
      </c>
      <c r="F281" s="4967"/>
      <c r="G281" s="4966" t="s">
        <v>2453</v>
      </c>
      <c r="H281" s="4967"/>
      <c r="I281" s="3434" t="s">
        <v>340</v>
      </c>
      <c r="K281" s="3390">
        <f t="shared" si="23"/>
        <v>0</v>
      </c>
      <c r="L281" s="3389">
        <f t="shared" si="24"/>
        <v>0</v>
      </c>
    </row>
    <row r="282" spans="1:12" ht="13.5" customHeight="1">
      <c r="A282" s="4956" t="s">
        <v>2452</v>
      </c>
      <c r="B282" s="4957"/>
      <c r="C282" s="3434"/>
      <c r="D282" s="3433"/>
      <c r="E282" s="3434" t="s">
        <v>339</v>
      </c>
      <c r="F282" s="3256"/>
      <c r="G282" s="3434" t="s">
        <v>339</v>
      </c>
      <c r="H282" s="3256"/>
      <c r="I282" s="3432" t="s">
        <v>335</v>
      </c>
      <c r="K282" s="3390">
        <f t="shared" si="23"/>
        <v>0</v>
      </c>
      <c r="L282" s="3389">
        <f t="shared" si="24"/>
        <v>0</v>
      </c>
    </row>
    <row r="283" spans="1:12" ht="13.5" customHeight="1">
      <c r="A283" s="3437" t="s">
        <v>337</v>
      </c>
      <c r="B283" s="3436" t="s">
        <v>336</v>
      </c>
      <c r="C283" s="3435"/>
      <c r="D283" s="3435"/>
      <c r="E283" s="3434" t="s">
        <v>334</v>
      </c>
      <c r="F283" s="3433" t="s">
        <v>333</v>
      </c>
      <c r="G283" s="3434" t="s">
        <v>334</v>
      </c>
      <c r="H283" s="3433" t="s">
        <v>333</v>
      </c>
      <c r="I283" s="3432"/>
      <c r="K283" s="3390">
        <f t="shared" si="23"/>
        <v>0</v>
      </c>
      <c r="L283" s="3389">
        <f t="shared" si="24"/>
        <v>0</v>
      </c>
    </row>
    <row r="284" spans="1:12" ht="13.5" customHeight="1">
      <c r="A284" s="3431" t="s">
        <v>331</v>
      </c>
      <c r="B284" s="3251" t="s">
        <v>330</v>
      </c>
      <c r="C284" s="3430" t="s">
        <v>329</v>
      </c>
      <c r="D284" s="3430" t="s">
        <v>328</v>
      </c>
      <c r="E284" s="3429" t="s">
        <v>327</v>
      </c>
      <c r="F284" s="3430" t="s">
        <v>326</v>
      </c>
      <c r="G284" s="3429" t="s">
        <v>324</v>
      </c>
      <c r="H284" s="3429" t="s">
        <v>323</v>
      </c>
      <c r="I284" s="3429" t="s">
        <v>325</v>
      </c>
      <c r="K284" s="3390">
        <f t="shared" si="23"/>
        <v>0</v>
      </c>
      <c r="L284" s="3389">
        <f t="shared" si="24"/>
        <v>0</v>
      </c>
    </row>
    <row r="285" spans="1:12" s="3421" customFormat="1" ht="16.5" customHeight="1">
      <c r="A285" s="3428"/>
      <c r="B285" s="3428"/>
      <c r="C285" s="3427" t="s">
        <v>2451</v>
      </c>
      <c r="D285" s="3425"/>
      <c r="E285" s="3426"/>
      <c r="F285" s="3425"/>
      <c r="G285" s="3426"/>
      <c r="H285" s="3425"/>
      <c r="I285" s="3425"/>
      <c r="K285" s="3390">
        <f t="shared" si="23"/>
        <v>0</v>
      </c>
      <c r="L285" s="3389">
        <f t="shared" si="24"/>
        <v>0</v>
      </c>
    </row>
    <row r="286" spans="1:12" s="3421" customFormat="1" ht="16.5" customHeight="1">
      <c r="A286" s="3422"/>
      <c r="B286" s="3422"/>
      <c r="C286" s="3402" t="s">
        <v>2450</v>
      </c>
      <c r="D286" s="3395"/>
      <c r="E286" s="3401"/>
      <c r="F286" s="3399"/>
      <c r="G286" s="3401"/>
      <c r="H286" s="3416"/>
      <c r="I286" s="3398"/>
      <c r="K286" s="3390">
        <f t="shared" si="23"/>
        <v>0</v>
      </c>
      <c r="L286" s="3389">
        <f t="shared" si="24"/>
        <v>0</v>
      </c>
    </row>
    <row r="287" spans="1:12" s="3421" customFormat="1" ht="16.5" customHeight="1">
      <c r="A287" s="3422"/>
      <c r="B287" s="3422"/>
      <c r="C287" s="3424" t="s">
        <v>2449</v>
      </c>
      <c r="D287" s="3395"/>
      <c r="E287" s="3401"/>
      <c r="F287" s="3399"/>
      <c r="G287" s="3401"/>
      <c r="H287" s="3416"/>
      <c r="I287" s="3398"/>
      <c r="K287" s="3390">
        <f t="shared" si="23"/>
        <v>0</v>
      </c>
      <c r="L287" s="3389">
        <f t="shared" si="24"/>
        <v>0</v>
      </c>
    </row>
    <row r="288" spans="1:12" s="3421" customFormat="1" ht="16.5" customHeight="1">
      <c r="A288" s="3422">
        <v>145</v>
      </c>
      <c r="B288" s="3422">
        <v>156</v>
      </c>
      <c r="C288" s="3256" t="s">
        <v>2436</v>
      </c>
      <c r="D288" s="3395" t="s">
        <v>2448</v>
      </c>
      <c r="E288" s="3401" t="s">
        <v>230</v>
      </c>
      <c r="F288" s="3399">
        <v>146928</v>
      </c>
      <c r="G288" s="3401" t="s">
        <v>230</v>
      </c>
      <c r="H288" s="3399">
        <f t="shared" ref="H288:H294" si="25">VLOOKUP(G288,$A$219:$B$404,2)*12</f>
        <v>146928</v>
      </c>
      <c r="I288" s="3398">
        <f t="shared" ref="I288:I294" si="26">H288-F288</f>
        <v>0</v>
      </c>
      <c r="K288" s="3390">
        <f t="shared" si="23"/>
        <v>12244</v>
      </c>
      <c r="L288" s="3389">
        <f t="shared" si="24"/>
        <v>244.88</v>
      </c>
    </row>
    <row r="289" spans="1:12" s="3421" customFormat="1" ht="16.5" customHeight="1">
      <c r="A289" s="3422">
        <v>146</v>
      </c>
      <c r="B289" s="3422">
        <v>157</v>
      </c>
      <c r="C289" s="3256" t="s">
        <v>2430</v>
      </c>
      <c r="D289" s="3395" t="s">
        <v>2447</v>
      </c>
      <c r="E289" s="3401" t="s">
        <v>230</v>
      </c>
      <c r="F289" s="3399">
        <v>146928</v>
      </c>
      <c r="G289" s="3401" t="s">
        <v>230</v>
      </c>
      <c r="H289" s="3399">
        <f t="shared" si="25"/>
        <v>146928</v>
      </c>
      <c r="I289" s="3398">
        <f t="shared" si="26"/>
        <v>0</v>
      </c>
      <c r="K289" s="3390">
        <f t="shared" si="23"/>
        <v>12244</v>
      </c>
      <c r="L289" s="3389">
        <f t="shared" si="24"/>
        <v>244.88</v>
      </c>
    </row>
    <row r="290" spans="1:12" s="3421" customFormat="1" ht="16.5" customHeight="1">
      <c r="A290" s="3422">
        <v>147</v>
      </c>
      <c r="B290" s="3422">
        <v>158</v>
      </c>
      <c r="C290" s="3256" t="s">
        <v>2430</v>
      </c>
      <c r="D290" s="3395" t="s">
        <v>2446</v>
      </c>
      <c r="E290" s="3401" t="s">
        <v>231</v>
      </c>
      <c r="F290" s="3399">
        <v>145812</v>
      </c>
      <c r="G290" s="3404" t="s">
        <v>230</v>
      </c>
      <c r="H290" s="3399">
        <f t="shared" si="25"/>
        <v>146928</v>
      </c>
      <c r="I290" s="3398">
        <f t="shared" si="26"/>
        <v>1116</v>
      </c>
      <c r="K290" s="3390">
        <f t="shared" si="23"/>
        <v>12244</v>
      </c>
      <c r="L290" s="3389">
        <f t="shared" si="24"/>
        <v>244.88</v>
      </c>
    </row>
    <row r="291" spans="1:12" s="3421" customFormat="1" ht="16.5" customHeight="1">
      <c r="A291" s="3422">
        <v>148</v>
      </c>
      <c r="B291" s="3422">
        <v>159</v>
      </c>
      <c r="C291" s="3256" t="s">
        <v>2430</v>
      </c>
      <c r="D291" s="3395" t="s">
        <v>2445</v>
      </c>
      <c r="E291" s="3401" t="s">
        <v>231</v>
      </c>
      <c r="F291" s="3399">
        <v>145812</v>
      </c>
      <c r="G291" s="3404" t="s">
        <v>230</v>
      </c>
      <c r="H291" s="3399">
        <f t="shared" si="25"/>
        <v>146928</v>
      </c>
      <c r="I291" s="3398">
        <f t="shared" si="26"/>
        <v>1116</v>
      </c>
      <c r="K291" s="3390">
        <f t="shared" si="23"/>
        <v>12244</v>
      </c>
      <c r="L291" s="3389">
        <f t="shared" si="24"/>
        <v>244.88</v>
      </c>
    </row>
    <row r="292" spans="1:12" s="3421" customFormat="1" ht="16.5" customHeight="1">
      <c r="A292" s="3422">
        <v>149</v>
      </c>
      <c r="B292" s="3422">
        <v>160</v>
      </c>
      <c r="C292" s="3423" t="s">
        <v>2442</v>
      </c>
      <c r="D292" s="3395" t="s">
        <v>2444</v>
      </c>
      <c r="E292" s="3401" t="s">
        <v>238</v>
      </c>
      <c r="F292" s="3399">
        <v>138324</v>
      </c>
      <c r="G292" s="3401" t="s">
        <v>238</v>
      </c>
      <c r="H292" s="3399">
        <f t="shared" si="25"/>
        <v>138324</v>
      </c>
      <c r="I292" s="3398">
        <f t="shared" si="26"/>
        <v>0</v>
      </c>
      <c r="K292" s="3390">
        <f t="shared" si="23"/>
        <v>11527</v>
      </c>
      <c r="L292" s="3389">
        <f t="shared" si="24"/>
        <v>230.54</v>
      </c>
    </row>
    <row r="293" spans="1:12" s="3421" customFormat="1" ht="16.5" customHeight="1">
      <c r="A293" s="3422">
        <v>150</v>
      </c>
      <c r="B293" s="3422">
        <v>161</v>
      </c>
      <c r="C293" s="3406" t="s">
        <v>2442</v>
      </c>
      <c r="D293" s="3395" t="s">
        <v>2443</v>
      </c>
      <c r="E293" s="3401" t="s">
        <v>238</v>
      </c>
      <c r="F293" s="3399">
        <v>138324</v>
      </c>
      <c r="G293" s="3401" t="s">
        <v>238</v>
      </c>
      <c r="H293" s="3399">
        <f t="shared" si="25"/>
        <v>138324</v>
      </c>
      <c r="I293" s="3398">
        <f t="shared" si="26"/>
        <v>0</v>
      </c>
      <c r="K293" s="3390">
        <f t="shared" si="23"/>
        <v>11527</v>
      </c>
      <c r="L293" s="3389">
        <f t="shared" si="24"/>
        <v>230.54</v>
      </c>
    </row>
    <row r="294" spans="1:12" s="3421" customFormat="1" ht="16.5" customHeight="1">
      <c r="A294" s="3422">
        <v>151</v>
      </c>
      <c r="B294" s="3422">
        <v>162</v>
      </c>
      <c r="C294" s="3406" t="s">
        <v>2442</v>
      </c>
      <c r="D294" s="3395" t="s">
        <v>2441</v>
      </c>
      <c r="E294" s="3401" t="s">
        <v>238</v>
      </c>
      <c r="F294" s="3399">
        <v>138324</v>
      </c>
      <c r="G294" s="3401" t="s">
        <v>238</v>
      </c>
      <c r="H294" s="3399">
        <f t="shared" si="25"/>
        <v>138324</v>
      </c>
      <c r="I294" s="3398">
        <f t="shared" si="26"/>
        <v>0</v>
      </c>
      <c r="K294" s="3390">
        <f t="shared" si="23"/>
        <v>11527</v>
      </c>
      <c r="L294" s="3389">
        <f t="shared" si="24"/>
        <v>230.54</v>
      </c>
    </row>
    <row r="295" spans="1:12" s="3421" customFormat="1" ht="16.5" customHeight="1">
      <c r="A295" s="3422"/>
      <c r="B295" s="3422"/>
      <c r="C295" s="3414" t="s">
        <v>2440</v>
      </c>
      <c r="D295" s="3395"/>
      <c r="E295" s="3401"/>
      <c r="F295" s="3399"/>
      <c r="G295" s="3401"/>
      <c r="H295" s="3399"/>
      <c r="I295" s="3398"/>
      <c r="K295" s="3390">
        <f t="shared" si="23"/>
        <v>0</v>
      </c>
      <c r="L295" s="3389">
        <f t="shared" si="24"/>
        <v>0</v>
      </c>
    </row>
    <row r="296" spans="1:12" s="3421" customFormat="1" ht="16.5" customHeight="1">
      <c r="A296" s="3422">
        <v>152</v>
      </c>
      <c r="B296" s="3422">
        <v>163</v>
      </c>
      <c r="C296" s="3256" t="s">
        <v>246</v>
      </c>
      <c r="D296" s="3395" t="s">
        <v>2439</v>
      </c>
      <c r="E296" s="3401" t="s">
        <v>230</v>
      </c>
      <c r="F296" s="3399">
        <v>146928</v>
      </c>
      <c r="G296" s="3401" t="s">
        <v>230</v>
      </c>
      <c r="H296" s="3399">
        <f>VLOOKUP(G296,$A$219:$B$404,2)*12</f>
        <v>146928</v>
      </c>
      <c r="I296" s="3398">
        <f>H296-F296</f>
        <v>0</v>
      </c>
      <c r="K296" s="3390">
        <f t="shared" si="23"/>
        <v>12244</v>
      </c>
      <c r="L296" s="3389">
        <f t="shared" si="24"/>
        <v>244.88</v>
      </c>
    </row>
    <row r="297" spans="1:12" s="3421" customFormat="1" ht="16.5" customHeight="1">
      <c r="A297" s="3422">
        <v>153</v>
      </c>
      <c r="B297" s="3422">
        <v>164</v>
      </c>
      <c r="C297" s="3256" t="s">
        <v>246</v>
      </c>
      <c r="D297" s="3395" t="s">
        <v>2438</v>
      </c>
      <c r="E297" s="3401" t="s">
        <v>230</v>
      </c>
      <c r="F297" s="3399">
        <v>146928</v>
      </c>
      <c r="G297" s="3401" t="s">
        <v>230</v>
      </c>
      <c r="H297" s="3399">
        <f>VLOOKUP(G297,$A$219:$B$404,2)*12</f>
        <v>146928</v>
      </c>
      <c r="I297" s="3398">
        <f>H297-F297</f>
        <v>0</v>
      </c>
      <c r="K297" s="3390">
        <f t="shared" si="23"/>
        <v>12244</v>
      </c>
      <c r="L297" s="3389">
        <f t="shared" si="24"/>
        <v>244.88</v>
      </c>
    </row>
    <row r="298" spans="1:12" s="3421" customFormat="1" ht="16.5" customHeight="1">
      <c r="A298" s="3422"/>
      <c r="B298" s="3422"/>
      <c r="C298" s="3414" t="s">
        <v>2437</v>
      </c>
      <c r="D298" s="3395"/>
      <c r="E298" s="3401"/>
      <c r="F298" s="3399"/>
      <c r="G298" s="3401"/>
      <c r="H298" s="3399"/>
      <c r="I298" s="3398"/>
      <c r="K298" s="3390">
        <f t="shared" si="23"/>
        <v>0</v>
      </c>
      <c r="L298" s="3389">
        <f t="shared" si="24"/>
        <v>0</v>
      </c>
    </row>
    <row r="299" spans="1:12" s="3421" customFormat="1" ht="16.5" customHeight="1">
      <c r="A299" s="3422">
        <v>154</v>
      </c>
      <c r="B299" s="3422">
        <v>165</v>
      </c>
      <c r="C299" s="3256" t="s">
        <v>2436</v>
      </c>
      <c r="D299" s="3395" t="s">
        <v>2435</v>
      </c>
      <c r="E299" s="3401" t="s">
        <v>230</v>
      </c>
      <c r="F299" s="3399">
        <v>146928</v>
      </c>
      <c r="G299" s="3401" t="s">
        <v>230</v>
      </c>
      <c r="H299" s="3399">
        <f t="shared" ref="H299:H305" si="27">VLOOKUP(G299,$A$219:$B$404,2)*12</f>
        <v>146928</v>
      </c>
      <c r="I299" s="3398">
        <f t="shared" ref="I299:I305" si="28">H299-F299</f>
        <v>0</v>
      </c>
      <c r="K299" s="3390">
        <f t="shared" si="23"/>
        <v>12244</v>
      </c>
      <c r="L299" s="3389">
        <f t="shared" si="24"/>
        <v>244.88</v>
      </c>
    </row>
    <row r="300" spans="1:12" s="3421" customFormat="1" ht="16.5" customHeight="1">
      <c r="A300" s="3422">
        <v>155</v>
      </c>
      <c r="B300" s="3422">
        <v>166</v>
      </c>
      <c r="C300" s="3256" t="s">
        <v>2430</v>
      </c>
      <c r="D300" s="3395" t="s">
        <v>2434</v>
      </c>
      <c r="E300" s="3401" t="s">
        <v>230</v>
      </c>
      <c r="F300" s="3399">
        <v>146928</v>
      </c>
      <c r="G300" s="3401" t="s">
        <v>230</v>
      </c>
      <c r="H300" s="3399">
        <f t="shared" si="27"/>
        <v>146928</v>
      </c>
      <c r="I300" s="3398">
        <f t="shared" si="28"/>
        <v>0</v>
      </c>
      <c r="K300" s="3390">
        <f t="shared" si="23"/>
        <v>12244</v>
      </c>
      <c r="L300" s="3389">
        <f t="shared" si="24"/>
        <v>244.88</v>
      </c>
    </row>
    <row r="301" spans="1:12" s="3421" customFormat="1" ht="16.5" customHeight="1">
      <c r="A301" s="3422">
        <v>156</v>
      </c>
      <c r="B301" s="3422">
        <v>167</v>
      </c>
      <c r="C301" s="3256" t="s">
        <v>2430</v>
      </c>
      <c r="D301" s="3395" t="s">
        <v>2433</v>
      </c>
      <c r="E301" s="3401" t="s">
        <v>230</v>
      </c>
      <c r="F301" s="3399">
        <v>146928</v>
      </c>
      <c r="G301" s="3401" t="s">
        <v>230</v>
      </c>
      <c r="H301" s="3399">
        <f t="shared" si="27"/>
        <v>146928</v>
      </c>
      <c r="I301" s="3398">
        <f t="shared" si="28"/>
        <v>0</v>
      </c>
      <c r="K301" s="3390">
        <f t="shared" si="23"/>
        <v>12244</v>
      </c>
      <c r="L301" s="3389">
        <f t="shared" si="24"/>
        <v>244.88</v>
      </c>
    </row>
    <row r="302" spans="1:12" s="3421" customFormat="1" ht="16.5" customHeight="1">
      <c r="A302" s="3422">
        <v>157</v>
      </c>
      <c r="B302" s="3422">
        <v>168</v>
      </c>
      <c r="C302" s="3256" t="s">
        <v>2430</v>
      </c>
      <c r="D302" s="3395" t="s">
        <v>2432</v>
      </c>
      <c r="E302" s="3401" t="s">
        <v>230</v>
      </c>
      <c r="F302" s="3399">
        <v>146928</v>
      </c>
      <c r="G302" s="3401" t="s">
        <v>230</v>
      </c>
      <c r="H302" s="3399">
        <f t="shared" si="27"/>
        <v>146928</v>
      </c>
      <c r="I302" s="3398">
        <f t="shared" si="28"/>
        <v>0</v>
      </c>
      <c r="K302" s="3390">
        <f t="shared" si="23"/>
        <v>12244</v>
      </c>
      <c r="L302" s="3389">
        <f t="shared" si="24"/>
        <v>244.88</v>
      </c>
    </row>
    <row r="303" spans="1:12" s="3421" customFormat="1" ht="16.5" customHeight="1">
      <c r="A303" s="3422">
        <v>158</v>
      </c>
      <c r="B303" s="3422">
        <v>169</v>
      </c>
      <c r="C303" s="3256" t="s">
        <v>2430</v>
      </c>
      <c r="D303" s="3395" t="s">
        <v>2431</v>
      </c>
      <c r="E303" s="3401" t="s">
        <v>231</v>
      </c>
      <c r="F303" s="3399">
        <v>145812</v>
      </c>
      <c r="G303" s="3404" t="s">
        <v>230</v>
      </c>
      <c r="H303" s="3399">
        <f t="shared" si="27"/>
        <v>146928</v>
      </c>
      <c r="I303" s="3398">
        <f t="shared" si="28"/>
        <v>1116</v>
      </c>
      <c r="K303" s="3390">
        <f t="shared" si="23"/>
        <v>12244</v>
      </c>
      <c r="L303" s="3389">
        <f t="shared" si="24"/>
        <v>244.88</v>
      </c>
    </row>
    <row r="304" spans="1:12" s="3421" customFormat="1" ht="16.5" customHeight="1">
      <c r="A304" s="3422">
        <v>159</v>
      </c>
      <c r="B304" s="3422">
        <v>170</v>
      </c>
      <c r="C304" s="3406" t="s">
        <v>2430</v>
      </c>
      <c r="D304" s="3395" t="s">
        <v>2429</v>
      </c>
      <c r="E304" s="3401" t="s">
        <v>231</v>
      </c>
      <c r="F304" s="3399">
        <v>145812</v>
      </c>
      <c r="G304" s="3404" t="s">
        <v>230</v>
      </c>
      <c r="H304" s="3399">
        <f t="shared" si="27"/>
        <v>146928</v>
      </c>
      <c r="I304" s="3398">
        <f t="shared" si="28"/>
        <v>1116</v>
      </c>
      <c r="K304" s="3390">
        <f t="shared" si="23"/>
        <v>12244</v>
      </c>
      <c r="L304" s="3389">
        <f t="shared" si="24"/>
        <v>244.88</v>
      </c>
    </row>
    <row r="305" spans="1:12" s="3418" customFormat="1" ht="16.5" customHeight="1">
      <c r="A305" s="3420">
        <v>178</v>
      </c>
      <c r="B305" s="3420">
        <v>171</v>
      </c>
      <c r="C305" s="3413" t="s">
        <v>2428</v>
      </c>
      <c r="D305" s="3395" t="s">
        <v>245</v>
      </c>
      <c r="E305" s="3394"/>
      <c r="F305" s="3392">
        <v>0</v>
      </c>
      <c r="G305" s="3393" t="s">
        <v>231</v>
      </c>
      <c r="H305" s="3392">
        <f t="shared" si="27"/>
        <v>145812</v>
      </c>
      <c r="I305" s="3391">
        <f t="shared" si="28"/>
        <v>145812</v>
      </c>
      <c r="K305" s="3390">
        <f t="shared" si="23"/>
        <v>12151</v>
      </c>
      <c r="L305" s="3389">
        <f t="shared" si="24"/>
        <v>243.02</v>
      </c>
    </row>
    <row r="306" spans="1:12" s="3418" customFormat="1" ht="16.5" customHeight="1">
      <c r="A306" s="3420"/>
      <c r="B306" s="3420"/>
      <c r="C306" s="3383"/>
      <c r="D306" s="3395"/>
      <c r="E306" s="3394"/>
      <c r="F306" s="3419"/>
      <c r="G306" s="3394"/>
      <c r="H306" s="3419"/>
      <c r="I306" s="3391"/>
      <c r="K306" s="3390">
        <f t="shared" si="23"/>
        <v>0</v>
      </c>
      <c r="L306" s="3389">
        <f t="shared" si="24"/>
        <v>0</v>
      </c>
    </row>
    <row r="307" spans="1:12" ht="16.5" customHeight="1">
      <c r="A307" s="3415"/>
      <c r="B307" s="3415"/>
      <c r="C307" s="3402" t="s">
        <v>2427</v>
      </c>
      <c r="D307" s="3395"/>
      <c r="E307" s="3401"/>
      <c r="F307" s="3416"/>
      <c r="G307" s="3401"/>
      <c r="H307" s="3416"/>
      <c r="I307" s="3399"/>
      <c r="K307" s="3390">
        <f t="shared" si="23"/>
        <v>0</v>
      </c>
      <c r="L307" s="3389">
        <f t="shared" si="24"/>
        <v>0</v>
      </c>
    </row>
    <row r="308" spans="1:12" ht="16.5" customHeight="1">
      <c r="A308" s="3415"/>
      <c r="B308" s="3415"/>
      <c r="C308" s="3417" t="s">
        <v>2426</v>
      </c>
      <c r="D308" s="3395"/>
      <c r="E308" s="3401"/>
      <c r="F308" s="3416"/>
      <c r="G308" s="3401"/>
      <c r="H308" s="3416"/>
      <c r="I308" s="3399"/>
      <c r="K308" s="3390">
        <f t="shared" si="23"/>
        <v>0</v>
      </c>
      <c r="L308" s="3389">
        <f t="shared" si="24"/>
        <v>0</v>
      </c>
    </row>
    <row r="309" spans="1:12" ht="16.5" customHeight="1">
      <c r="A309" s="3415"/>
      <c r="B309" s="3415">
        <v>172</v>
      </c>
      <c r="C309" s="3256" t="s">
        <v>2425</v>
      </c>
      <c r="D309" s="3395" t="s">
        <v>245</v>
      </c>
      <c r="E309" s="3401"/>
      <c r="F309" s="3399"/>
      <c r="G309" s="3394" t="s">
        <v>127</v>
      </c>
      <c r="H309" s="3392">
        <f>VLOOKUP(G309,$A$219:$B$457,2)*12</f>
        <v>382752</v>
      </c>
      <c r="I309" s="3391">
        <f>H309-F309</f>
        <v>382752</v>
      </c>
      <c r="K309" s="3390">
        <f t="shared" si="23"/>
        <v>31896</v>
      </c>
      <c r="L309" s="3389">
        <f t="shared" si="24"/>
        <v>637.91999999999996</v>
      </c>
    </row>
    <row r="310" spans="1:12" ht="16.5" customHeight="1">
      <c r="A310" s="3403">
        <v>160</v>
      </c>
      <c r="B310" s="3403">
        <v>173</v>
      </c>
      <c r="C310" s="3256" t="s">
        <v>2424</v>
      </c>
      <c r="D310" s="3395" t="s">
        <v>2423</v>
      </c>
      <c r="E310" s="3401" t="s">
        <v>158</v>
      </c>
      <c r="F310" s="3399">
        <v>275436</v>
      </c>
      <c r="G310" s="3401" t="s">
        <v>158</v>
      </c>
      <c r="H310" s="3399">
        <f>VLOOKUP(G310,$A$52:$B$418,2)*12</f>
        <v>275436</v>
      </c>
      <c r="I310" s="3398">
        <f>H310-F310</f>
        <v>0</v>
      </c>
      <c r="K310" s="3390">
        <f t="shared" si="23"/>
        <v>22953</v>
      </c>
      <c r="L310" s="3389">
        <f t="shared" si="24"/>
        <v>459.06</v>
      </c>
    </row>
    <row r="311" spans="1:12" ht="16.5" customHeight="1">
      <c r="A311" s="3403"/>
      <c r="B311" s="3403"/>
      <c r="C311" s="3414" t="s">
        <v>2422</v>
      </c>
      <c r="D311" s="3395"/>
      <c r="E311" s="3401"/>
      <c r="F311" s="3399"/>
      <c r="G311" s="3401"/>
      <c r="H311" s="3399"/>
      <c r="I311" s="3398"/>
      <c r="K311" s="3390">
        <f t="shared" si="23"/>
        <v>0</v>
      </c>
      <c r="L311" s="3389">
        <f t="shared" si="24"/>
        <v>0</v>
      </c>
    </row>
    <row r="312" spans="1:12" ht="16.5" customHeight="1">
      <c r="A312" s="3403"/>
      <c r="B312" s="3403"/>
      <c r="D312" s="3395"/>
      <c r="E312" s="3401"/>
      <c r="F312" s="3399"/>
      <c r="G312" s="3401"/>
      <c r="H312" s="3409" t="s">
        <v>2421</v>
      </c>
      <c r="I312" s="3398"/>
      <c r="K312" s="3390">
        <f t="shared" si="23"/>
        <v>0</v>
      </c>
      <c r="L312" s="3389">
        <f t="shared" si="24"/>
        <v>0</v>
      </c>
    </row>
    <row r="313" spans="1:12" ht="16.5" customHeight="1">
      <c r="A313" s="3397">
        <v>161</v>
      </c>
      <c r="B313" s="3403"/>
      <c r="C313" s="3413" t="s">
        <v>1117</v>
      </c>
      <c r="D313" s="3412" t="s">
        <v>245</v>
      </c>
      <c r="E313" s="3411" t="s">
        <v>126</v>
      </c>
      <c r="F313" s="3410">
        <v>387060</v>
      </c>
      <c r="G313" s="3394"/>
      <c r="H313" s="3409" t="s">
        <v>2420</v>
      </c>
      <c r="I313" s="3392">
        <f>SUM(H313-F313)</f>
        <v>-387060</v>
      </c>
      <c r="K313" s="3390">
        <f t="shared" si="23"/>
        <v>0</v>
      </c>
      <c r="L313" s="3389">
        <f t="shared" si="24"/>
        <v>0</v>
      </c>
    </row>
    <row r="314" spans="1:12" ht="16.5" customHeight="1">
      <c r="A314" s="3403">
        <v>162</v>
      </c>
      <c r="B314" s="3403">
        <v>174</v>
      </c>
      <c r="C314" s="3256" t="s">
        <v>2418</v>
      </c>
      <c r="D314" s="3405" t="s">
        <v>2419</v>
      </c>
      <c r="E314" s="3408" t="s">
        <v>215</v>
      </c>
      <c r="F314" s="3407">
        <v>164160</v>
      </c>
      <c r="G314" s="3401" t="s">
        <v>215</v>
      </c>
      <c r="H314" s="3399">
        <f>VLOOKUP(G314,$A$219:$B$404,2)*12</f>
        <v>164160</v>
      </c>
      <c r="I314" s="3398">
        <f t="shared" ref="I314:I320" si="29">H314-F314</f>
        <v>0</v>
      </c>
      <c r="K314" s="3390">
        <f t="shared" si="23"/>
        <v>13680</v>
      </c>
      <c r="L314" s="3389">
        <f t="shared" si="24"/>
        <v>273.60000000000002</v>
      </c>
    </row>
    <row r="315" spans="1:12" ht="16.5" customHeight="1">
      <c r="A315" s="3403">
        <v>163</v>
      </c>
      <c r="B315" s="3403">
        <v>175</v>
      </c>
      <c r="C315" s="3256" t="s">
        <v>2418</v>
      </c>
      <c r="D315" s="3395" t="s">
        <v>245</v>
      </c>
      <c r="E315" s="3408" t="s">
        <v>215</v>
      </c>
      <c r="F315" s="3407">
        <v>164160</v>
      </c>
      <c r="G315" s="3401" t="s">
        <v>215</v>
      </c>
      <c r="H315" s="3399">
        <f>VLOOKUP(G315,$A$219:$B$404,2)*12</f>
        <v>164160</v>
      </c>
      <c r="I315" s="3398">
        <f t="shared" si="29"/>
        <v>0</v>
      </c>
      <c r="K315" s="3390">
        <f t="shared" si="23"/>
        <v>13680</v>
      </c>
      <c r="L315" s="3389">
        <f t="shared" si="24"/>
        <v>273.60000000000002</v>
      </c>
    </row>
    <row r="316" spans="1:12" ht="16.5" customHeight="1">
      <c r="A316" s="3403">
        <v>164</v>
      </c>
      <c r="B316" s="3403">
        <v>176</v>
      </c>
      <c r="C316" s="3256" t="s">
        <v>2417</v>
      </c>
      <c r="D316" s="3395" t="s">
        <v>2416</v>
      </c>
      <c r="E316" s="3401" t="s">
        <v>222</v>
      </c>
      <c r="F316" s="3399">
        <v>155916</v>
      </c>
      <c r="G316" s="3401" t="s">
        <v>222</v>
      </c>
      <c r="H316" s="3399">
        <f>VLOOKUP(G316,$A$52:$B$354,2)*12</f>
        <v>155916</v>
      </c>
      <c r="I316" s="3398">
        <f t="shared" si="29"/>
        <v>0</v>
      </c>
      <c r="K316" s="3390">
        <f t="shared" si="23"/>
        <v>12993</v>
      </c>
      <c r="L316" s="3389">
        <f t="shared" si="24"/>
        <v>259.86</v>
      </c>
    </row>
    <row r="317" spans="1:12" ht="16.5" customHeight="1">
      <c r="A317" s="3403">
        <v>166</v>
      </c>
      <c r="B317" s="3403">
        <v>177</v>
      </c>
      <c r="C317" s="3406" t="s">
        <v>246</v>
      </c>
      <c r="D317" s="3395" t="s">
        <v>2415</v>
      </c>
      <c r="E317" s="3401" t="s">
        <v>229</v>
      </c>
      <c r="F317" s="3399">
        <v>148056</v>
      </c>
      <c r="G317" s="3401" t="s">
        <v>229</v>
      </c>
      <c r="H317" s="3399">
        <f>VLOOKUP(G317,$A$52:$B$347,2)*12</f>
        <v>148056</v>
      </c>
      <c r="I317" s="3398">
        <f t="shared" si="29"/>
        <v>0</v>
      </c>
      <c r="K317" s="3390">
        <f t="shared" si="23"/>
        <v>12338</v>
      </c>
      <c r="L317" s="3389">
        <f t="shared" si="24"/>
        <v>246.76000000000002</v>
      </c>
    </row>
    <row r="318" spans="1:12" ht="16.5" customHeight="1">
      <c r="A318" s="3403">
        <v>167</v>
      </c>
      <c r="B318" s="3403">
        <v>178</v>
      </c>
      <c r="C318" s="3406" t="s">
        <v>246</v>
      </c>
      <c r="D318" s="3395" t="s">
        <v>2414</v>
      </c>
      <c r="E318" s="3401" t="s">
        <v>231</v>
      </c>
      <c r="F318" s="3399">
        <v>145812</v>
      </c>
      <c r="G318" s="3404" t="s">
        <v>230</v>
      </c>
      <c r="H318" s="3399">
        <f>VLOOKUP(G318,$A$52:$B$346,2)*12</f>
        <v>146928</v>
      </c>
      <c r="I318" s="3398">
        <f t="shared" si="29"/>
        <v>1116</v>
      </c>
      <c r="K318" s="3390">
        <f t="shared" si="23"/>
        <v>12244</v>
      </c>
      <c r="L318" s="3389">
        <f t="shared" si="24"/>
        <v>244.88</v>
      </c>
    </row>
    <row r="319" spans="1:12" ht="16.5" customHeight="1">
      <c r="A319" s="3403">
        <v>165</v>
      </c>
      <c r="B319" s="3403">
        <v>179</v>
      </c>
      <c r="C319" s="3406" t="s">
        <v>246</v>
      </c>
      <c r="D319" s="3405" t="s">
        <v>245</v>
      </c>
      <c r="E319" s="3401" t="s">
        <v>229</v>
      </c>
      <c r="F319" s="3399">
        <v>148056</v>
      </c>
      <c r="G319" s="3404" t="s">
        <v>231</v>
      </c>
      <c r="H319" s="3399">
        <f>VLOOKUP(G319,$A$52:$B$348,2)*12</f>
        <v>145812</v>
      </c>
      <c r="I319" s="3398">
        <f t="shared" si="29"/>
        <v>-2244</v>
      </c>
      <c r="K319" s="3390">
        <f t="shared" si="23"/>
        <v>12151</v>
      </c>
      <c r="L319" s="3389">
        <f t="shared" si="24"/>
        <v>243.02</v>
      </c>
    </row>
    <row r="320" spans="1:12" ht="16.5" customHeight="1">
      <c r="A320" s="3403">
        <v>168</v>
      </c>
      <c r="B320" s="3403">
        <v>180</v>
      </c>
      <c r="C320" s="3256" t="s">
        <v>2413</v>
      </c>
      <c r="D320" s="3395" t="s">
        <v>2412</v>
      </c>
      <c r="E320" s="3401" t="s">
        <v>239</v>
      </c>
      <c r="F320" s="3399">
        <v>137184</v>
      </c>
      <c r="G320" s="3404" t="s">
        <v>238</v>
      </c>
      <c r="H320" s="3399">
        <f>VLOOKUP(G320,$A$52:$B$338,2)*12</f>
        <v>138324</v>
      </c>
      <c r="I320" s="3398">
        <f t="shared" si="29"/>
        <v>1140</v>
      </c>
      <c r="K320" s="3390">
        <f t="shared" si="23"/>
        <v>11527</v>
      </c>
      <c r="L320" s="3389">
        <f t="shared" si="24"/>
        <v>230.54</v>
      </c>
    </row>
    <row r="321" spans="1:12" ht="16.5" customHeight="1">
      <c r="A321" s="3403"/>
      <c r="B321" s="3403"/>
      <c r="C321" s="3256"/>
      <c r="D321" s="3395"/>
      <c r="E321" s="3401"/>
      <c r="F321" s="3399"/>
      <c r="G321" s="3400"/>
      <c r="H321" s="3399"/>
      <c r="I321" s="3398"/>
      <c r="K321" s="3390">
        <f t="shared" si="23"/>
        <v>0</v>
      </c>
      <c r="L321" s="3389">
        <f t="shared" si="24"/>
        <v>0</v>
      </c>
    </row>
    <row r="322" spans="1:12" ht="16.5" customHeight="1">
      <c r="A322" s="3403"/>
      <c r="B322" s="3403"/>
      <c r="C322" s="3402" t="s">
        <v>2411</v>
      </c>
      <c r="D322" s="3395"/>
      <c r="E322" s="3401"/>
      <c r="F322" s="3399"/>
      <c r="G322" s="3400"/>
      <c r="H322" s="3399"/>
      <c r="I322" s="3398"/>
      <c r="K322" s="3390">
        <f t="shared" si="23"/>
        <v>0</v>
      </c>
      <c r="L322" s="3389">
        <f t="shared" si="24"/>
        <v>0</v>
      </c>
    </row>
    <row r="323" spans="1:12" s="3388" customFormat="1" ht="16.5" customHeight="1">
      <c r="A323" s="3397">
        <v>174</v>
      </c>
      <c r="B323" s="3397">
        <v>181</v>
      </c>
      <c r="C323" s="3396" t="s">
        <v>2410</v>
      </c>
      <c r="D323" s="3395" t="s">
        <v>245</v>
      </c>
      <c r="E323" s="3394"/>
      <c r="F323" s="3392">
        <v>0</v>
      </c>
      <c r="G323" s="3393" t="s">
        <v>119</v>
      </c>
      <c r="H323" s="3392">
        <f>VLOOKUP(G323,$A$219:$B$457,2)*12</f>
        <v>417564</v>
      </c>
      <c r="I323" s="3391">
        <f>H323-F323</f>
        <v>417564</v>
      </c>
      <c r="K323" s="3390">
        <f t="shared" si="23"/>
        <v>34797</v>
      </c>
      <c r="L323" s="3389">
        <f t="shared" si="24"/>
        <v>695.94</v>
      </c>
    </row>
    <row r="324" spans="1:12" s="3388" customFormat="1" ht="16.5" customHeight="1">
      <c r="A324" s="3397">
        <v>175</v>
      </c>
      <c r="B324" s="3397">
        <v>182</v>
      </c>
      <c r="C324" s="3396" t="s">
        <v>2409</v>
      </c>
      <c r="D324" s="3395" t="s">
        <v>245</v>
      </c>
      <c r="E324" s="3394"/>
      <c r="F324" s="3392">
        <v>0</v>
      </c>
      <c r="G324" s="3393" t="s">
        <v>151</v>
      </c>
      <c r="H324" s="3392">
        <f>VLOOKUP(G324,$A$219:$B$425,2)*12</f>
        <v>296988</v>
      </c>
      <c r="I324" s="3391">
        <f>H324-F324</f>
        <v>296988</v>
      </c>
      <c r="K324" s="3390">
        <f t="shared" si="23"/>
        <v>24749</v>
      </c>
      <c r="L324" s="3389">
        <f t="shared" si="24"/>
        <v>494.98</v>
      </c>
    </row>
    <row r="325" spans="1:12" ht="16.5" customHeight="1">
      <c r="A325" s="4968"/>
      <c r="B325" s="4969"/>
      <c r="C325" s="4970" t="s">
        <v>2408</v>
      </c>
      <c r="D325" s="3387"/>
      <c r="E325" s="3386"/>
      <c r="F325" s="3384"/>
      <c r="G325" s="3385"/>
      <c r="H325" s="3384"/>
      <c r="I325" s="3384"/>
    </row>
    <row r="326" spans="1:12" ht="16.5" customHeight="1">
      <c r="A326" s="4973"/>
      <c r="B326" s="4974"/>
      <c r="C326" s="4971"/>
      <c r="D326" s="3383"/>
      <c r="E326" s="3382"/>
      <c r="F326" s="3380">
        <f>SUM(F17:F324)</f>
        <v>39940308</v>
      </c>
      <c r="G326" s="3381"/>
      <c r="H326" s="3380">
        <f>SUM(H17:H324)</f>
        <v>42626004</v>
      </c>
      <c r="I326" s="3380">
        <f>SUM(I17:I324)</f>
        <v>2685696</v>
      </c>
      <c r="L326" s="3311">
        <f>SUM(L17:L324)</f>
        <v>69125.19999999991</v>
      </c>
    </row>
    <row r="327" spans="1:12" ht="16.5" customHeight="1" thickBot="1">
      <c r="A327" s="4975"/>
      <c r="B327" s="4976"/>
      <c r="C327" s="4972"/>
      <c r="D327" s="3378"/>
      <c r="E327" s="3379"/>
      <c r="F327" s="3378"/>
      <c r="G327" s="3379"/>
      <c r="H327" s="3378"/>
      <c r="I327" s="3378"/>
      <c r="L327" s="3311">
        <f>L326*12</f>
        <v>829502.39999999898</v>
      </c>
    </row>
    <row r="328" spans="1:12" ht="16.5" customHeight="1" thickTop="1">
      <c r="A328" s="3377"/>
      <c r="B328" s="3376"/>
      <c r="C328" s="3375" t="s">
        <v>2407</v>
      </c>
      <c r="E328" s="3374"/>
      <c r="F328" s="3373"/>
      <c r="H328" s="3372"/>
      <c r="I328" s="3371"/>
      <c r="L328" s="3311">
        <v>829503</v>
      </c>
    </row>
    <row r="329" spans="1:12" ht="16.5" customHeight="1">
      <c r="A329" s="3338"/>
      <c r="B329" s="3370"/>
      <c r="C329" s="3369" t="s">
        <v>715</v>
      </c>
      <c r="D329" s="3368" t="s">
        <v>2111</v>
      </c>
      <c r="E329" s="3362"/>
      <c r="F329" s="3367"/>
      <c r="G329" s="3366" t="s">
        <v>2406</v>
      </c>
      <c r="H329" s="3356"/>
      <c r="I329" s="3364"/>
    </row>
    <row r="330" spans="1:12" ht="16.5" customHeight="1">
      <c r="A330" s="3365"/>
      <c r="C330" s="3365"/>
      <c r="D330" s="3364"/>
      <c r="E330" s="3362"/>
      <c r="F330" s="3363"/>
      <c r="G330" s="3362"/>
      <c r="H330" s="3356"/>
      <c r="I330" s="3160"/>
    </row>
    <row r="331" spans="1:12" ht="16.5" customHeight="1">
      <c r="A331" s="3361"/>
      <c r="C331" s="3360" t="s">
        <v>2405</v>
      </c>
      <c r="D331" s="3359" t="s">
        <v>2404</v>
      </c>
      <c r="E331" s="3340"/>
      <c r="F331" s="3358"/>
      <c r="G331" s="3357" t="s">
        <v>359</v>
      </c>
      <c r="H331" s="3356"/>
      <c r="I331" s="3160"/>
    </row>
    <row r="332" spans="1:12" s="3346" customFormat="1" ht="16.5" customHeight="1">
      <c r="A332" s="3355"/>
      <c r="B332" s="3354"/>
      <c r="C332" s="3353" t="s">
        <v>2403</v>
      </c>
      <c r="D332" s="3352" t="s">
        <v>2402</v>
      </c>
      <c r="E332" s="3351"/>
      <c r="F332" s="3350"/>
      <c r="G332" s="3349"/>
      <c r="H332" s="3348" t="s">
        <v>356</v>
      </c>
      <c r="I332" s="3347"/>
    </row>
    <row r="333" spans="1:12" ht="14.45" customHeight="1">
      <c r="A333" s="3345"/>
      <c r="C333" s="3344"/>
    </row>
    <row r="334" spans="1:12" s="3336" customFormat="1" ht="16.5" customHeight="1">
      <c r="A334" s="3343"/>
      <c r="B334" s="3342"/>
      <c r="C334" s="3342"/>
      <c r="D334" s="3341"/>
      <c r="E334" s="3340"/>
      <c r="F334" s="3339"/>
      <c r="G334" s="3338"/>
      <c r="H334" s="3337"/>
      <c r="I334" s="3337"/>
    </row>
    <row r="335" spans="1:12">
      <c r="A335" s="3335" t="s">
        <v>2401</v>
      </c>
      <c r="B335" s="3335"/>
      <c r="C335" s="3318"/>
    </row>
    <row r="336" spans="1:12">
      <c r="A336" s="3334"/>
      <c r="B336" s="3334"/>
      <c r="C336" s="3318"/>
    </row>
    <row r="337" spans="1:10">
      <c r="A337" s="3316" t="s">
        <v>239</v>
      </c>
      <c r="B337" s="3317">
        <v>11432</v>
      </c>
      <c r="C337" s="3318"/>
      <c r="D337" s="3317"/>
      <c r="E337" s="3333" t="s">
        <v>231</v>
      </c>
      <c r="F337" s="3317">
        <v>7780</v>
      </c>
      <c r="G337" s="3329"/>
      <c r="H337" s="3320"/>
      <c r="I337" s="3320"/>
      <c r="J337" s="3320"/>
    </row>
    <row r="338" spans="1:10">
      <c r="A338" s="3316" t="s">
        <v>238</v>
      </c>
      <c r="B338" s="3317">
        <v>11527</v>
      </c>
      <c r="C338" s="3318"/>
      <c r="D338" s="3317"/>
      <c r="E338" s="3333" t="s">
        <v>230</v>
      </c>
      <c r="F338" s="3317">
        <v>7905</v>
      </c>
      <c r="G338" s="3329"/>
      <c r="H338" s="3320">
        <f>87.5*12*6</f>
        <v>6300</v>
      </c>
      <c r="I338" s="3320">
        <f>87.5*12*1</f>
        <v>1050</v>
      </c>
      <c r="J338" s="3320"/>
    </row>
    <row r="339" spans="1:10">
      <c r="A339" s="3316" t="s">
        <v>237</v>
      </c>
      <c r="B339" s="3317">
        <v>11624</v>
      </c>
      <c r="C339" s="3318"/>
      <c r="D339" s="3317"/>
      <c r="E339" s="3333" t="s">
        <v>229</v>
      </c>
      <c r="F339" s="3317">
        <v>8033</v>
      </c>
      <c r="G339" s="3329"/>
      <c r="J339" s="3320"/>
    </row>
    <row r="340" spans="1:10">
      <c r="A340" s="3316" t="s">
        <v>236</v>
      </c>
      <c r="B340" s="3317">
        <v>11722</v>
      </c>
      <c r="C340" s="3318"/>
      <c r="D340" s="3317"/>
      <c r="E340" s="3333" t="s">
        <v>228</v>
      </c>
      <c r="F340" s="3317">
        <v>8164</v>
      </c>
      <c r="G340" s="3329"/>
      <c r="H340" s="3320"/>
      <c r="J340" s="3320"/>
    </row>
    <row r="341" spans="1:10">
      <c r="A341" s="3316" t="s">
        <v>235</v>
      </c>
      <c r="B341" s="3317">
        <v>11820</v>
      </c>
      <c r="C341" s="3318"/>
      <c r="D341" s="3317"/>
      <c r="E341" s="3333" t="s">
        <v>227</v>
      </c>
      <c r="F341" s="3317">
        <v>8296</v>
      </c>
      <c r="G341" s="3329"/>
      <c r="I341" s="3320"/>
      <c r="J341" s="3320"/>
    </row>
    <row r="342" spans="1:10">
      <c r="A342" s="3316" t="s">
        <v>234</v>
      </c>
      <c r="B342" s="3317">
        <v>11918</v>
      </c>
      <c r="C342" s="3318"/>
      <c r="D342" s="3317"/>
      <c r="E342" s="3333" t="s">
        <v>226</v>
      </c>
      <c r="F342" s="3317">
        <v>8432</v>
      </c>
      <c r="G342" s="3329"/>
      <c r="I342" s="3320"/>
      <c r="J342" s="3320"/>
    </row>
    <row r="343" spans="1:10">
      <c r="A343" s="3316" t="s">
        <v>233</v>
      </c>
      <c r="B343" s="3317">
        <v>12018</v>
      </c>
      <c r="C343" s="3318"/>
      <c r="D343" s="3317"/>
      <c r="E343" s="3333" t="s">
        <v>225</v>
      </c>
      <c r="F343" s="3317">
        <v>8571</v>
      </c>
      <c r="G343" s="3324"/>
      <c r="I343" s="3320"/>
      <c r="J343" s="3320"/>
    </row>
    <row r="344" spans="1:10">
      <c r="A344" s="3316" t="s">
        <v>232</v>
      </c>
      <c r="B344" s="3317">
        <v>12118</v>
      </c>
      <c r="C344" s="3318"/>
      <c r="D344" s="3317"/>
      <c r="E344" s="3333" t="s">
        <v>224</v>
      </c>
      <c r="F344" s="3317">
        <v>8712</v>
      </c>
      <c r="G344" s="3324"/>
      <c r="H344" s="3320">
        <f>100*12*5</f>
        <v>6000</v>
      </c>
      <c r="I344" s="3320">
        <f>100*12*1</f>
        <v>1200</v>
      </c>
      <c r="J344" s="3320"/>
    </row>
    <row r="345" spans="1:10">
      <c r="A345" s="3316" t="s">
        <v>231</v>
      </c>
      <c r="B345" s="3317">
        <v>12151</v>
      </c>
      <c r="C345" s="3318"/>
      <c r="D345" s="3317"/>
      <c r="E345" s="3333" t="s">
        <v>223</v>
      </c>
      <c r="F345" s="3317">
        <v>8411</v>
      </c>
      <c r="G345" s="3324"/>
      <c r="H345" s="3320"/>
      <c r="J345" s="3320"/>
    </row>
    <row r="346" spans="1:10">
      <c r="A346" s="3316" t="s">
        <v>230</v>
      </c>
      <c r="B346" s="3317">
        <v>12244</v>
      </c>
      <c r="C346" s="3318"/>
      <c r="D346" s="3317"/>
      <c r="E346" s="3333" t="s">
        <v>222</v>
      </c>
      <c r="F346" s="3317">
        <v>8547</v>
      </c>
      <c r="G346" s="3324"/>
      <c r="H346" s="3320"/>
      <c r="I346" s="3320"/>
      <c r="J346" s="3320"/>
    </row>
    <row r="347" spans="1:10">
      <c r="A347" s="3316" t="s">
        <v>229</v>
      </c>
      <c r="B347" s="3317">
        <v>12338</v>
      </c>
      <c r="C347" s="3318"/>
      <c r="D347" s="3317"/>
      <c r="E347" s="3333" t="s">
        <v>221</v>
      </c>
      <c r="F347" s="3317">
        <v>8685</v>
      </c>
      <c r="G347" s="3324"/>
      <c r="I347" s="3320"/>
      <c r="J347" s="3320"/>
    </row>
    <row r="348" spans="1:10">
      <c r="A348" s="3316" t="s">
        <v>228</v>
      </c>
      <c r="B348" s="3317">
        <v>12433</v>
      </c>
      <c r="C348" s="3318"/>
      <c r="D348" s="3317"/>
      <c r="E348" s="3333" t="s">
        <v>220</v>
      </c>
      <c r="F348" s="3317">
        <v>8827</v>
      </c>
      <c r="G348" s="3324"/>
      <c r="I348" s="3320"/>
      <c r="J348" s="3320"/>
    </row>
    <row r="349" spans="1:10">
      <c r="A349" s="3316" t="s">
        <v>227</v>
      </c>
      <c r="B349" s="3317">
        <v>12528</v>
      </c>
      <c r="C349" s="3318"/>
      <c r="D349" s="3317"/>
      <c r="E349" s="3333" t="s">
        <v>219</v>
      </c>
      <c r="F349" s="3317">
        <v>8971</v>
      </c>
      <c r="G349" s="3324"/>
      <c r="J349" s="3320"/>
    </row>
    <row r="350" spans="1:10">
      <c r="A350" s="3316" t="s">
        <v>226</v>
      </c>
      <c r="B350" s="3317">
        <v>12624</v>
      </c>
      <c r="C350" s="3318"/>
      <c r="D350" s="3317"/>
      <c r="E350" s="3333" t="s">
        <v>218</v>
      </c>
      <c r="F350" s="3317">
        <v>9119</v>
      </c>
      <c r="G350" s="3324"/>
      <c r="I350" s="3320"/>
      <c r="J350" s="3320"/>
    </row>
    <row r="351" spans="1:10">
      <c r="A351" s="3316" t="s">
        <v>225</v>
      </c>
      <c r="B351" s="3317">
        <v>12721</v>
      </c>
      <c r="C351" s="3318"/>
      <c r="D351" s="3317"/>
      <c r="E351" s="3333" t="s">
        <v>217</v>
      </c>
      <c r="F351" s="3317">
        <v>9268</v>
      </c>
      <c r="G351" s="3324"/>
      <c r="J351" s="3320"/>
    </row>
    <row r="352" spans="1:10">
      <c r="A352" s="3316" t="s">
        <v>224</v>
      </c>
      <c r="B352" s="3317">
        <v>12818</v>
      </c>
      <c r="C352" s="3318"/>
      <c r="D352" s="3317"/>
      <c r="E352" s="3333" t="s">
        <v>216</v>
      </c>
      <c r="F352" s="3317">
        <v>9421</v>
      </c>
      <c r="G352" s="3324"/>
      <c r="J352" s="3320"/>
    </row>
    <row r="353" spans="1:10">
      <c r="A353" s="3316" t="s">
        <v>223</v>
      </c>
      <c r="B353" s="3317">
        <v>12893</v>
      </c>
      <c r="C353" s="3318"/>
      <c r="D353" s="3317"/>
      <c r="E353" s="3333" t="s">
        <v>215</v>
      </c>
      <c r="F353" s="3317">
        <v>9059</v>
      </c>
      <c r="H353" s="3320"/>
      <c r="I353" s="3320"/>
      <c r="J353" s="3320"/>
    </row>
    <row r="354" spans="1:10">
      <c r="A354" s="3316" t="s">
        <v>222</v>
      </c>
      <c r="B354" s="3317">
        <v>12993</v>
      </c>
      <c r="C354" s="3318"/>
      <c r="D354" s="3317"/>
      <c r="E354" s="3333" t="s">
        <v>214</v>
      </c>
      <c r="F354" s="3317">
        <v>9206</v>
      </c>
      <c r="G354" s="3324"/>
      <c r="H354" s="3311">
        <f>112.5*12*17</f>
        <v>22950</v>
      </c>
      <c r="I354" s="3311">
        <f>112.5*12*1</f>
        <v>1350</v>
      </c>
      <c r="J354" s="3320"/>
    </row>
    <row r="355" spans="1:10">
      <c r="A355" s="3316" t="s">
        <v>221</v>
      </c>
      <c r="B355" s="3317">
        <v>13092</v>
      </c>
      <c r="C355" s="3318"/>
      <c r="D355" s="3317"/>
      <c r="E355" s="3333" t="s">
        <v>213</v>
      </c>
      <c r="F355" s="3317">
        <v>9356</v>
      </c>
      <c r="G355" s="3324"/>
      <c r="I355" s="3320"/>
      <c r="J355" s="3320"/>
    </row>
    <row r="356" spans="1:10">
      <c r="A356" s="3316" t="s">
        <v>220</v>
      </c>
      <c r="B356" s="3317">
        <v>13194</v>
      </c>
      <c r="C356" s="3318"/>
      <c r="D356" s="3317"/>
      <c r="E356" s="3333" t="s">
        <v>212</v>
      </c>
      <c r="F356" s="3317">
        <v>9508</v>
      </c>
      <c r="G356" s="3324"/>
      <c r="H356" s="3320"/>
      <c r="I356" s="3320"/>
      <c r="J356" s="3320"/>
    </row>
    <row r="357" spans="1:10">
      <c r="A357" s="3316" t="s">
        <v>219</v>
      </c>
      <c r="B357" s="3317">
        <v>13295</v>
      </c>
      <c r="C357" s="3318"/>
      <c r="D357" s="3317"/>
      <c r="E357" s="3333" t="s">
        <v>211</v>
      </c>
      <c r="F357" s="3317">
        <v>9663</v>
      </c>
      <c r="G357" s="3324"/>
      <c r="J357" s="3320"/>
    </row>
    <row r="358" spans="1:10">
      <c r="A358" s="3316" t="s">
        <v>218</v>
      </c>
      <c r="B358" s="3317">
        <v>13396</v>
      </c>
      <c r="C358" s="3318"/>
      <c r="D358" s="3317"/>
      <c r="E358" s="3333" t="s">
        <v>210</v>
      </c>
      <c r="F358" s="3317">
        <v>9822</v>
      </c>
      <c r="G358" s="3324"/>
      <c r="I358" s="3320"/>
      <c r="J358" s="3320"/>
    </row>
    <row r="359" spans="1:10">
      <c r="A359" s="3316" t="s">
        <v>217</v>
      </c>
      <c r="B359" s="3317">
        <v>13500</v>
      </c>
      <c r="C359" s="3318"/>
      <c r="D359" s="3317"/>
      <c r="E359" s="3333" t="s">
        <v>209</v>
      </c>
      <c r="F359" s="3317">
        <v>9984</v>
      </c>
      <c r="G359" s="3324"/>
      <c r="J359" s="3320"/>
    </row>
    <row r="360" spans="1:10">
      <c r="A360" s="3316" t="s">
        <v>216</v>
      </c>
      <c r="B360" s="3317">
        <v>13603</v>
      </c>
      <c r="C360" s="3318"/>
      <c r="D360" s="3317"/>
      <c r="E360" s="3333" t="s">
        <v>208</v>
      </c>
      <c r="F360" s="3317">
        <v>10149</v>
      </c>
      <c r="G360" s="3324"/>
      <c r="I360" s="3311">
        <f>125*12*1</f>
        <v>1500</v>
      </c>
      <c r="J360" s="3320"/>
    </row>
    <row r="361" spans="1:10">
      <c r="A361" s="3316" t="s">
        <v>215</v>
      </c>
      <c r="B361" s="3317">
        <v>13680</v>
      </c>
      <c r="C361" s="3318"/>
      <c r="D361" s="3317"/>
      <c r="E361" s="3322" t="s">
        <v>207</v>
      </c>
      <c r="F361" s="3317">
        <v>9757</v>
      </c>
      <c r="G361" s="3324"/>
      <c r="I361" s="3320"/>
      <c r="J361" s="3320"/>
    </row>
    <row r="362" spans="1:10">
      <c r="A362" s="3316" t="s">
        <v>214</v>
      </c>
      <c r="B362" s="3317">
        <v>13785</v>
      </c>
      <c r="C362" s="3318"/>
      <c r="D362" s="3317"/>
      <c r="E362" s="3322" t="s">
        <v>206</v>
      </c>
      <c r="F362" s="3317">
        <v>9915</v>
      </c>
      <c r="G362" s="3324"/>
      <c r="I362" s="3311">
        <f>112.5*12*1</f>
        <v>1350</v>
      </c>
      <c r="J362" s="3320"/>
    </row>
    <row r="363" spans="1:10">
      <c r="A363" s="3316" t="s">
        <v>213</v>
      </c>
      <c r="B363" s="3317">
        <v>13891</v>
      </c>
      <c r="C363" s="3318"/>
      <c r="D363" s="3317"/>
      <c r="E363" s="3322" t="s">
        <v>205</v>
      </c>
      <c r="F363" s="3317">
        <v>10077</v>
      </c>
      <c r="G363" s="3324"/>
      <c r="I363" s="3320"/>
      <c r="J363" s="3320"/>
    </row>
    <row r="364" spans="1:10">
      <c r="A364" s="3316" t="s">
        <v>212</v>
      </c>
      <c r="B364" s="3317">
        <v>13998</v>
      </c>
      <c r="C364" s="3318"/>
      <c r="D364" s="3317"/>
      <c r="E364" s="3322" t="s">
        <v>204</v>
      </c>
      <c r="F364" s="3317">
        <v>10241</v>
      </c>
      <c r="G364" s="3324"/>
      <c r="I364" s="3320"/>
      <c r="J364" s="3320"/>
    </row>
    <row r="365" spans="1:10">
      <c r="A365" s="3316" t="s">
        <v>211</v>
      </c>
      <c r="B365" s="3317">
        <v>14106</v>
      </c>
      <c r="C365" s="3318"/>
      <c r="D365" s="3317"/>
      <c r="E365" s="3322" t="s">
        <v>203</v>
      </c>
      <c r="F365" s="3317">
        <v>10409</v>
      </c>
      <c r="G365" s="3324"/>
      <c r="I365" s="3320"/>
      <c r="J365" s="3320"/>
    </row>
    <row r="366" spans="1:10">
      <c r="A366" s="3316" t="s">
        <v>210</v>
      </c>
      <c r="B366" s="3317">
        <v>14213</v>
      </c>
      <c r="C366" s="3318"/>
      <c r="D366" s="3317"/>
      <c r="E366" s="3322" t="s">
        <v>202</v>
      </c>
      <c r="F366" s="3317">
        <v>10580</v>
      </c>
      <c r="G366" s="3324"/>
      <c r="I366" s="3320"/>
      <c r="J366" s="3320"/>
    </row>
    <row r="367" spans="1:10">
      <c r="A367" s="3316" t="s">
        <v>209</v>
      </c>
      <c r="B367" s="3317">
        <v>14323</v>
      </c>
      <c r="C367" s="3318"/>
      <c r="D367" s="3317"/>
      <c r="E367" s="3322" t="s">
        <v>201</v>
      </c>
      <c r="F367" s="3317">
        <v>10754</v>
      </c>
      <c r="G367" s="3324"/>
      <c r="H367" s="3320">
        <f>125*12*6</f>
        <v>9000</v>
      </c>
      <c r="I367" s="3320">
        <f>125*12*1</f>
        <v>1500</v>
      </c>
      <c r="J367" s="3320"/>
    </row>
    <row r="368" spans="1:10">
      <c r="A368" s="3316" t="s">
        <v>208</v>
      </c>
      <c r="B368" s="3317">
        <v>14432</v>
      </c>
      <c r="C368" s="3318"/>
      <c r="D368" s="3317"/>
      <c r="E368" s="3322" t="s">
        <v>200</v>
      </c>
      <c r="F368" s="3317">
        <v>10933</v>
      </c>
      <c r="G368" s="3324"/>
      <c r="J368" s="3320"/>
    </row>
    <row r="369" spans="1:10">
      <c r="A369" s="3316" t="s">
        <v>207</v>
      </c>
      <c r="B369" s="3317">
        <v>14511</v>
      </c>
      <c r="C369" s="3318"/>
      <c r="D369" s="3317"/>
      <c r="E369" s="3333" t="s">
        <v>199</v>
      </c>
      <c r="F369" s="3317">
        <v>10509</v>
      </c>
      <c r="H369" s="3320"/>
      <c r="J369" s="3332"/>
    </row>
    <row r="370" spans="1:10">
      <c r="A370" s="3316" t="s">
        <v>206</v>
      </c>
      <c r="B370" s="3317">
        <v>14623</v>
      </c>
      <c r="C370" s="3318"/>
      <c r="D370" s="3317"/>
      <c r="E370" s="3333" t="s">
        <v>198</v>
      </c>
      <c r="F370" s="3317">
        <v>10680</v>
      </c>
      <c r="J370" s="3332"/>
    </row>
    <row r="371" spans="1:10">
      <c r="A371" s="3316" t="s">
        <v>205</v>
      </c>
      <c r="B371" s="3317">
        <v>14735</v>
      </c>
      <c r="C371" s="3318"/>
      <c r="D371" s="3317"/>
      <c r="E371" s="3333" t="s">
        <v>197</v>
      </c>
      <c r="F371" s="3317">
        <v>10854</v>
      </c>
      <c r="J371" s="3332"/>
    </row>
    <row r="372" spans="1:10">
      <c r="A372" s="3316" t="s">
        <v>204</v>
      </c>
      <c r="B372" s="3317">
        <v>14849</v>
      </c>
      <c r="C372" s="3318"/>
      <c r="D372" s="3317"/>
      <c r="E372" s="3333" t="s">
        <v>196</v>
      </c>
      <c r="F372" s="3317">
        <v>11031</v>
      </c>
      <c r="J372" s="3332"/>
    </row>
    <row r="373" spans="1:10">
      <c r="A373" s="3316" t="s">
        <v>203</v>
      </c>
      <c r="B373" s="3317">
        <v>14963</v>
      </c>
      <c r="C373" s="3318"/>
      <c r="D373" s="3317"/>
      <c r="E373" s="3333" t="s">
        <v>195</v>
      </c>
      <c r="F373" s="3317">
        <v>11213</v>
      </c>
      <c r="J373" s="3332"/>
    </row>
    <row r="374" spans="1:10">
      <c r="A374" s="3316" t="s">
        <v>202</v>
      </c>
      <c r="B374" s="3317">
        <v>15077</v>
      </c>
      <c r="C374" s="3318"/>
      <c r="D374" s="3317"/>
      <c r="E374" s="3333" t="s">
        <v>194</v>
      </c>
      <c r="F374" s="3317">
        <v>11397</v>
      </c>
      <c r="J374" s="3332"/>
    </row>
    <row r="375" spans="1:10">
      <c r="A375" s="3316" t="s">
        <v>201</v>
      </c>
      <c r="B375" s="3317">
        <v>15193</v>
      </c>
      <c r="C375" s="3318"/>
      <c r="D375" s="3317"/>
      <c r="E375" s="3333" t="s">
        <v>193</v>
      </c>
      <c r="F375" s="3317">
        <v>11584</v>
      </c>
      <c r="J375" s="3332"/>
    </row>
    <row r="376" spans="1:10">
      <c r="A376" s="3316" t="s">
        <v>200</v>
      </c>
      <c r="B376" s="3317">
        <v>15309</v>
      </c>
      <c r="C376" s="3318"/>
      <c r="D376" s="3317"/>
      <c r="E376" s="3333" t="s">
        <v>192</v>
      </c>
      <c r="F376" s="3317">
        <v>11777</v>
      </c>
      <c r="H376" s="3320">
        <f>137.5*12*5</f>
        <v>8250</v>
      </c>
      <c r="I376" s="3320">
        <f>137.5*12*1</f>
        <v>1650</v>
      </c>
      <c r="J376" s="3332"/>
    </row>
    <row r="377" spans="1:10">
      <c r="A377" s="3316" t="s">
        <v>199</v>
      </c>
      <c r="B377" s="3317">
        <v>15390</v>
      </c>
      <c r="C377" s="3318"/>
      <c r="D377" s="3317"/>
      <c r="E377" s="3322" t="s">
        <v>191</v>
      </c>
      <c r="F377" s="3317">
        <v>11276</v>
      </c>
      <c r="G377" s="3331"/>
      <c r="H377" s="3320"/>
      <c r="J377" s="3320"/>
    </row>
    <row r="378" spans="1:10">
      <c r="A378" s="3316" t="s">
        <v>198</v>
      </c>
      <c r="B378" s="3317">
        <v>15509</v>
      </c>
      <c r="C378" s="3318"/>
      <c r="D378" s="3317"/>
      <c r="E378" s="3322" t="s">
        <v>190</v>
      </c>
      <c r="F378" s="3317">
        <v>11457</v>
      </c>
      <c r="G378" s="3324"/>
      <c r="I378" s="3320"/>
      <c r="J378" s="3320"/>
    </row>
    <row r="379" spans="1:10">
      <c r="A379" s="3316" t="s">
        <v>197</v>
      </c>
      <c r="B379" s="3317">
        <v>15628</v>
      </c>
      <c r="C379" s="3318"/>
      <c r="D379" s="3317"/>
      <c r="E379" s="3322" t="s">
        <v>189</v>
      </c>
      <c r="F379" s="3317">
        <v>11644</v>
      </c>
      <c r="G379" s="3324"/>
      <c r="J379" s="3320"/>
    </row>
    <row r="380" spans="1:10">
      <c r="A380" s="3316" t="s">
        <v>196</v>
      </c>
      <c r="B380" s="3317">
        <v>15748</v>
      </c>
      <c r="C380" s="3318"/>
      <c r="D380" s="3317"/>
      <c r="E380" s="3322" t="s">
        <v>188</v>
      </c>
      <c r="F380" s="3317">
        <v>11834</v>
      </c>
      <c r="G380" s="3324"/>
      <c r="J380" s="3320"/>
    </row>
    <row r="381" spans="1:10">
      <c r="A381" s="3316" t="s">
        <v>195</v>
      </c>
      <c r="B381" s="3317">
        <v>15869</v>
      </c>
      <c r="C381" s="3318"/>
      <c r="D381" s="3317"/>
      <c r="E381" s="3322" t="s">
        <v>187</v>
      </c>
      <c r="F381" s="3317">
        <v>12029</v>
      </c>
      <c r="G381" s="3324"/>
      <c r="I381" s="3320"/>
      <c r="J381" s="3320"/>
    </row>
    <row r="382" spans="1:10">
      <c r="A382" s="3316" t="s">
        <v>194</v>
      </c>
      <c r="B382" s="3317">
        <v>15990</v>
      </c>
      <c r="C382" s="3318"/>
      <c r="D382" s="3317"/>
      <c r="E382" s="3322" t="s">
        <v>186</v>
      </c>
      <c r="F382" s="3317">
        <v>12226</v>
      </c>
      <c r="G382" s="3324"/>
      <c r="I382" s="3320"/>
      <c r="J382" s="3320"/>
    </row>
    <row r="383" spans="1:10">
      <c r="A383" s="3316" t="s">
        <v>193</v>
      </c>
      <c r="B383" s="3317">
        <v>16114</v>
      </c>
      <c r="C383" s="3318"/>
      <c r="D383" s="3317"/>
      <c r="E383" s="3322" t="s">
        <v>185</v>
      </c>
      <c r="F383" s="3317">
        <v>12428</v>
      </c>
      <c r="G383" s="3324"/>
      <c r="I383" s="3320"/>
      <c r="J383" s="3320"/>
    </row>
    <row r="384" spans="1:10">
      <c r="A384" s="3316" t="s">
        <v>192</v>
      </c>
      <c r="B384" s="3317">
        <v>16237</v>
      </c>
      <c r="C384" s="3318"/>
      <c r="D384" s="3317"/>
      <c r="E384" s="3322" t="s">
        <v>184</v>
      </c>
      <c r="F384" s="3317">
        <v>12634</v>
      </c>
      <c r="G384" s="3324"/>
      <c r="I384" s="3320"/>
      <c r="J384" s="3320"/>
    </row>
    <row r="385" spans="1:11">
      <c r="A385" s="3316" t="s">
        <v>191</v>
      </c>
      <c r="B385" s="3317">
        <v>16320</v>
      </c>
      <c r="C385" s="3318"/>
      <c r="D385" s="3317"/>
      <c r="E385" s="3330" t="s">
        <v>183</v>
      </c>
      <c r="F385" s="3317">
        <v>12098</v>
      </c>
      <c r="G385" s="3324"/>
      <c r="H385" s="3311">
        <f>150*12*5</f>
        <v>9000</v>
      </c>
      <c r="I385" s="3311">
        <f>150*12*1</f>
        <v>1800</v>
      </c>
      <c r="J385" s="3320"/>
    </row>
    <row r="386" spans="1:11">
      <c r="A386" s="3316" t="s">
        <v>190</v>
      </c>
      <c r="B386" s="3317">
        <v>16445</v>
      </c>
      <c r="C386" s="3318"/>
      <c r="D386" s="3317"/>
      <c r="E386" s="3330" t="s">
        <v>182</v>
      </c>
      <c r="F386" s="3317">
        <v>12294</v>
      </c>
      <c r="G386" s="3324"/>
      <c r="J386" s="3320"/>
    </row>
    <row r="387" spans="1:11">
      <c r="A387" s="3316" t="s">
        <v>189</v>
      </c>
      <c r="B387" s="3317">
        <v>16572</v>
      </c>
      <c r="C387" s="3318"/>
      <c r="D387" s="3317"/>
      <c r="E387" s="3330" t="s">
        <v>181</v>
      </c>
      <c r="F387" s="3317">
        <v>12493</v>
      </c>
      <c r="G387" s="3324"/>
      <c r="J387" s="3320"/>
    </row>
    <row r="388" spans="1:11">
      <c r="A388" s="3316" t="s">
        <v>188</v>
      </c>
      <c r="B388" s="3317">
        <v>16699</v>
      </c>
      <c r="C388" s="3318"/>
      <c r="D388" s="3317"/>
      <c r="E388" s="3330" t="s">
        <v>180</v>
      </c>
      <c r="F388" s="3317">
        <v>12698</v>
      </c>
      <c r="G388" s="3324"/>
      <c r="I388" s="3320"/>
      <c r="J388" s="3320"/>
    </row>
    <row r="389" spans="1:11">
      <c r="A389" s="3316" t="s">
        <v>187</v>
      </c>
      <c r="B389" s="3317">
        <v>16827</v>
      </c>
      <c r="C389" s="3318"/>
      <c r="D389" s="3317"/>
      <c r="E389" s="3330" t="s">
        <v>179</v>
      </c>
      <c r="F389" s="3317">
        <v>12905</v>
      </c>
      <c r="G389" s="3324"/>
      <c r="J389" s="3320"/>
    </row>
    <row r="390" spans="1:11">
      <c r="A390" s="3316" t="s">
        <v>186</v>
      </c>
      <c r="B390" s="3317">
        <v>16957</v>
      </c>
      <c r="C390" s="3318"/>
      <c r="D390" s="3317"/>
      <c r="E390" s="3330" t="s">
        <v>178</v>
      </c>
      <c r="F390" s="3317">
        <v>13117</v>
      </c>
      <c r="G390" s="3324"/>
      <c r="I390" s="3320"/>
      <c r="J390" s="3320"/>
    </row>
    <row r="391" spans="1:11">
      <c r="A391" s="3316" t="s">
        <v>185</v>
      </c>
      <c r="B391" s="3317">
        <v>17086</v>
      </c>
      <c r="C391" s="3318"/>
      <c r="D391" s="3317"/>
      <c r="E391" s="3330" t="s">
        <v>177</v>
      </c>
      <c r="F391" s="3317">
        <v>13333</v>
      </c>
      <c r="G391" s="3324"/>
      <c r="I391" s="3320"/>
      <c r="J391" s="3320"/>
    </row>
    <row r="392" spans="1:11">
      <c r="A392" s="3316" t="s">
        <v>184</v>
      </c>
      <c r="B392" s="3317">
        <v>17218</v>
      </c>
      <c r="C392" s="3318"/>
      <c r="D392" s="3317"/>
      <c r="E392" s="3330" t="s">
        <v>176</v>
      </c>
      <c r="F392" s="3317">
        <v>13554</v>
      </c>
      <c r="G392" s="3324"/>
      <c r="J392" s="3320"/>
    </row>
    <row r="393" spans="1:11">
      <c r="A393" s="3316" t="s">
        <v>183</v>
      </c>
      <c r="B393" s="3317">
        <v>17338</v>
      </c>
      <c r="C393" s="3318"/>
      <c r="D393" s="3317"/>
      <c r="E393" s="3325" t="s">
        <v>175</v>
      </c>
      <c r="F393" s="3317">
        <v>12980</v>
      </c>
      <c r="G393" s="3324"/>
      <c r="I393" s="3320">
        <f>162.5*12*1</f>
        <v>1950</v>
      </c>
      <c r="J393" s="3320"/>
    </row>
    <row r="394" spans="1:11">
      <c r="A394" s="3316" t="s">
        <v>182</v>
      </c>
      <c r="B394" s="3317">
        <v>17496</v>
      </c>
      <c r="C394" s="3318"/>
      <c r="D394" s="3317"/>
      <c r="E394" s="3325" t="s">
        <v>174</v>
      </c>
      <c r="F394" s="3317">
        <v>13190</v>
      </c>
      <c r="G394" s="3324"/>
      <c r="J394" s="3320"/>
    </row>
    <row r="395" spans="1:11">
      <c r="A395" s="3316" t="s">
        <v>181</v>
      </c>
      <c r="B395" s="3317">
        <v>17654</v>
      </c>
      <c r="C395" s="3318"/>
      <c r="D395" s="3317"/>
      <c r="E395" s="3325" t="s">
        <v>173</v>
      </c>
      <c r="F395" s="3317">
        <v>13404</v>
      </c>
      <c r="G395" s="3324"/>
      <c r="I395" s="3320"/>
      <c r="J395" s="3320"/>
    </row>
    <row r="396" spans="1:11">
      <c r="A396" s="3316" t="s">
        <v>180</v>
      </c>
      <c r="B396" s="3317">
        <v>17813</v>
      </c>
      <c r="C396" s="3318"/>
      <c r="D396" s="3317"/>
      <c r="E396" s="3325" t="s">
        <v>172</v>
      </c>
      <c r="F396" s="3317">
        <v>13623</v>
      </c>
      <c r="G396" s="3324"/>
      <c r="I396" s="3320"/>
      <c r="J396" s="3320"/>
    </row>
    <row r="397" spans="1:11">
      <c r="A397" s="3316" t="s">
        <v>179</v>
      </c>
      <c r="B397" s="3317">
        <v>17974</v>
      </c>
      <c r="C397" s="3318"/>
      <c r="D397" s="3317"/>
      <c r="E397" s="3325" t="s">
        <v>171</v>
      </c>
      <c r="F397" s="3317">
        <v>13846</v>
      </c>
      <c r="G397" s="3324"/>
      <c r="J397" s="3320"/>
    </row>
    <row r="398" spans="1:11">
      <c r="A398" s="3316" t="s">
        <v>178</v>
      </c>
      <c r="B398" s="3317">
        <v>18136</v>
      </c>
      <c r="C398" s="3318"/>
      <c r="D398" s="3317"/>
      <c r="E398" s="3325" t="s">
        <v>170</v>
      </c>
      <c r="F398" s="3317">
        <v>14072</v>
      </c>
      <c r="G398" s="3324"/>
      <c r="I398" s="3320"/>
      <c r="J398" s="3320"/>
    </row>
    <row r="399" spans="1:11">
      <c r="A399" s="3316" t="s">
        <v>177</v>
      </c>
      <c r="B399" s="3317">
        <v>18301</v>
      </c>
      <c r="C399" s="3318"/>
      <c r="D399" s="3317"/>
      <c r="E399" s="3325" t="s">
        <v>169</v>
      </c>
      <c r="F399" s="3317">
        <v>14305</v>
      </c>
      <c r="G399" s="3324"/>
      <c r="I399" s="3320">
        <f>175*12*1</f>
        <v>2100</v>
      </c>
      <c r="J399" s="3320"/>
    </row>
    <row r="400" spans="1:11">
      <c r="A400" s="3316" t="s">
        <v>176</v>
      </c>
      <c r="B400" s="3317">
        <v>18466</v>
      </c>
      <c r="C400" s="3318"/>
      <c r="D400" s="3317"/>
      <c r="E400" s="3325" t="s">
        <v>168</v>
      </c>
      <c r="F400" s="3317">
        <v>14540</v>
      </c>
      <c r="G400" s="3324"/>
      <c r="J400" s="3320"/>
    </row>
    <row r="401" spans="1:10">
      <c r="A401" s="3316" t="s">
        <v>175</v>
      </c>
      <c r="B401" s="3317">
        <v>18613</v>
      </c>
      <c r="C401" s="3318"/>
      <c r="D401" s="3317"/>
      <c r="E401" s="3325" t="s">
        <v>167</v>
      </c>
      <c r="F401" s="3317">
        <v>13909</v>
      </c>
      <c r="G401" s="3324"/>
      <c r="H401" s="3320">
        <f>162.5*12*4</f>
        <v>7800</v>
      </c>
      <c r="I401" s="3320">
        <f>162.5*12*1</f>
        <v>1950</v>
      </c>
      <c r="J401" s="3320"/>
    </row>
    <row r="402" spans="1:10">
      <c r="A402" s="3316" t="s">
        <v>174</v>
      </c>
      <c r="B402" s="3317">
        <v>18769</v>
      </c>
      <c r="C402" s="3318"/>
      <c r="D402" s="3317"/>
      <c r="E402" s="3325" t="s">
        <v>166</v>
      </c>
      <c r="F402" s="3317">
        <v>14134</v>
      </c>
      <c r="G402" s="3324"/>
      <c r="H402" s="3320"/>
      <c r="I402" s="3320"/>
      <c r="J402" s="3320"/>
    </row>
    <row r="403" spans="1:10">
      <c r="A403" s="3316" t="s">
        <v>173</v>
      </c>
      <c r="B403" s="3317">
        <v>18926</v>
      </c>
      <c r="C403" s="3318"/>
      <c r="D403" s="3317"/>
      <c r="E403" s="3325" t="s">
        <v>165</v>
      </c>
      <c r="F403" s="3317">
        <v>14362</v>
      </c>
      <c r="G403" s="3324"/>
      <c r="H403" s="3320">
        <f>175*12*4</f>
        <v>8400</v>
      </c>
      <c r="I403" s="3320">
        <f>175*12*1</f>
        <v>2100</v>
      </c>
      <c r="J403" s="3320"/>
    </row>
    <row r="404" spans="1:10">
      <c r="A404" s="3316" t="s">
        <v>172</v>
      </c>
      <c r="B404" s="3317">
        <v>19085</v>
      </c>
      <c r="C404" s="3318"/>
      <c r="D404" s="3317"/>
      <c r="E404" s="3325" t="s">
        <v>164</v>
      </c>
      <c r="F404" s="3317">
        <v>14596</v>
      </c>
      <c r="G404" s="3324"/>
      <c r="H404" s="3320"/>
      <c r="I404" s="3320"/>
      <c r="J404" s="3320"/>
    </row>
    <row r="405" spans="1:10">
      <c r="A405" s="3316" t="s">
        <v>171</v>
      </c>
      <c r="B405" s="3317">
        <v>19244</v>
      </c>
      <c r="C405" s="3318"/>
      <c r="D405" s="3317"/>
      <c r="E405" s="3325" t="s">
        <v>163</v>
      </c>
      <c r="F405" s="3317">
        <v>14834</v>
      </c>
      <c r="G405" s="3324"/>
      <c r="J405" s="3320"/>
    </row>
    <row r="406" spans="1:10">
      <c r="A406" s="3316" t="s">
        <v>170</v>
      </c>
      <c r="B406" s="3317">
        <v>19405</v>
      </c>
      <c r="C406" s="3318"/>
      <c r="D406" s="3317"/>
      <c r="E406" s="3325" t="s">
        <v>162</v>
      </c>
      <c r="F406" s="3317">
        <v>15078</v>
      </c>
      <c r="G406" s="3324"/>
      <c r="I406" s="3320"/>
      <c r="J406" s="3320"/>
    </row>
    <row r="407" spans="1:10">
      <c r="A407" s="3316" t="s">
        <v>169</v>
      </c>
      <c r="B407" s="3317">
        <v>19567</v>
      </c>
      <c r="C407" s="3318"/>
      <c r="D407" s="3317"/>
      <c r="E407" s="3325" t="s">
        <v>161</v>
      </c>
      <c r="F407" s="3317">
        <v>15325</v>
      </c>
      <c r="G407" s="3324"/>
      <c r="I407" s="3320">
        <f>187.5*12*1</f>
        <v>2250</v>
      </c>
      <c r="J407" s="3320"/>
    </row>
    <row r="408" spans="1:10">
      <c r="A408" s="3316" t="s">
        <v>168</v>
      </c>
      <c r="B408" s="3317">
        <v>19731</v>
      </c>
      <c r="C408" s="3318"/>
      <c r="D408" s="3317"/>
      <c r="E408" s="3325" t="s">
        <v>160</v>
      </c>
      <c r="F408" s="3317">
        <v>15578</v>
      </c>
      <c r="G408" s="3324"/>
      <c r="I408" s="3320"/>
      <c r="J408" s="3320"/>
    </row>
    <row r="409" spans="1:10">
      <c r="A409" s="3316" t="s">
        <v>167</v>
      </c>
      <c r="B409" s="3317">
        <v>20145</v>
      </c>
      <c r="C409" s="3318"/>
      <c r="D409" s="3317"/>
      <c r="E409" s="3325" t="s">
        <v>159</v>
      </c>
      <c r="F409" s="3317">
        <v>14867</v>
      </c>
      <c r="G409" s="3324"/>
      <c r="H409" s="3320">
        <f>175*12*3</f>
        <v>6300</v>
      </c>
      <c r="I409" s="3320">
        <f>175*12*1</f>
        <v>2100</v>
      </c>
      <c r="J409" s="3320"/>
    </row>
    <row r="410" spans="1:10">
      <c r="A410" s="3316" t="s">
        <v>166</v>
      </c>
      <c r="B410" s="3317">
        <v>20313</v>
      </c>
      <c r="C410" s="3318"/>
      <c r="D410" s="3317"/>
      <c r="E410" s="3325" t="s">
        <v>158</v>
      </c>
      <c r="F410" s="3317">
        <v>15105</v>
      </c>
      <c r="G410" s="3324"/>
      <c r="H410" s="3320"/>
      <c r="J410" s="3320"/>
    </row>
    <row r="411" spans="1:10">
      <c r="A411" s="3316" t="s">
        <v>165</v>
      </c>
      <c r="B411" s="3317">
        <v>20483</v>
      </c>
      <c r="C411" s="3318"/>
      <c r="D411" s="3317"/>
      <c r="E411" s="3325" t="s">
        <v>157</v>
      </c>
      <c r="F411" s="3317">
        <v>15349</v>
      </c>
      <c r="G411" s="3324"/>
      <c r="H411" s="3320"/>
      <c r="I411" s="3320">
        <f>187.5*12*1</f>
        <v>2250</v>
      </c>
      <c r="J411" s="3320"/>
    </row>
    <row r="412" spans="1:10">
      <c r="A412" s="3316" t="s">
        <v>164</v>
      </c>
      <c r="B412" s="3317">
        <v>20654</v>
      </c>
      <c r="C412" s="3318"/>
      <c r="D412" s="3317"/>
      <c r="E412" s="3325" t="s">
        <v>156</v>
      </c>
      <c r="F412" s="3317">
        <v>15598</v>
      </c>
      <c r="G412" s="3324"/>
      <c r="H412" s="3320"/>
      <c r="I412" s="3320"/>
      <c r="J412" s="3320"/>
    </row>
    <row r="413" spans="1:10">
      <c r="A413" s="3316" t="s">
        <v>163</v>
      </c>
      <c r="B413" s="3317">
        <v>20827</v>
      </c>
      <c r="C413" s="3318"/>
      <c r="D413" s="3317"/>
      <c r="E413" s="3325" t="s">
        <v>155</v>
      </c>
      <c r="F413" s="3317">
        <v>15853</v>
      </c>
      <c r="G413" s="3324"/>
      <c r="J413" s="3320"/>
    </row>
    <row r="414" spans="1:10">
      <c r="A414" s="3316" t="s">
        <v>162</v>
      </c>
      <c r="B414" s="3317">
        <v>21001</v>
      </c>
      <c r="C414" s="3318"/>
      <c r="D414" s="3317"/>
      <c r="E414" s="3325" t="s">
        <v>154</v>
      </c>
      <c r="F414" s="3317">
        <v>16111</v>
      </c>
      <c r="G414" s="3324"/>
      <c r="J414" s="3320"/>
    </row>
    <row r="415" spans="1:10">
      <c r="A415" s="3316" t="s">
        <v>161</v>
      </c>
      <c r="B415" s="3317">
        <v>21176</v>
      </c>
      <c r="C415" s="3318"/>
      <c r="D415" s="3317"/>
      <c r="E415" s="3325" t="s">
        <v>153</v>
      </c>
      <c r="F415" s="3317">
        <v>16375</v>
      </c>
      <c r="G415" s="3324"/>
      <c r="I415" s="3320">
        <f>200*12*1</f>
        <v>2400</v>
      </c>
      <c r="J415" s="3320"/>
    </row>
    <row r="416" spans="1:10">
      <c r="A416" s="3316" t="s">
        <v>160</v>
      </c>
      <c r="B416" s="3317">
        <v>21353</v>
      </c>
      <c r="C416" s="3318"/>
      <c r="D416" s="3317"/>
      <c r="E416" s="3325" t="s">
        <v>152</v>
      </c>
      <c r="F416" s="3317">
        <v>16643</v>
      </c>
      <c r="G416" s="3324"/>
      <c r="J416" s="3320"/>
    </row>
    <row r="417" spans="1:10">
      <c r="A417" s="3316" t="s">
        <v>159</v>
      </c>
      <c r="B417" s="3317">
        <v>22683</v>
      </c>
      <c r="C417" s="3318"/>
      <c r="D417" s="3317"/>
      <c r="E417" s="3325" t="s">
        <v>151</v>
      </c>
      <c r="F417" s="3317">
        <v>15890</v>
      </c>
      <c r="I417" s="3320">
        <f>187.5*12*1</f>
        <v>2250</v>
      </c>
    </row>
    <row r="418" spans="1:10">
      <c r="A418" s="3316" t="s">
        <v>158</v>
      </c>
      <c r="B418" s="3317">
        <v>22953</v>
      </c>
      <c r="C418" s="3318"/>
      <c r="D418" s="3317"/>
      <c r="E418" s="3325" t="s">
        <v>150</v>
      </c>
      <c r="F418" s="3317">
        <v>16145</v>
      </c>
      <c r="I418" s="3320"/>
    </row>
    <row r="419" spans="1:10">
      <c r="A419" s="3316" t="s">
        <v>157</v>
      </c>
      <c r="B419" s="3317">
        <v>23228</v>
      </c>
      <c r="C419" s="3318"/>
      <c r="D419" s="3317"/>
      <c r="E419" s="3325" t="s">
        <v>149</v>
      </c>
      <c r="F419" s="3317">
        <v>16406</v>
      </c>
      <c r="I419" s="3320">
        <f>200*12*1</f>
        <v>2400</v>
      </c>
    </row>
    <row r="420" spans="1:10">
      <c r="A420" s="3316" t="s">
        <v>156</v>
      </c>
      <c r="B420" s="3317">
        <v>23505</v>
      </c>
      <c r="C420" s="3318"/>
      <c r="D420" s="3317"/>
      <c r="E420" s="3325" t="s">
        <v>148</v>
      </c>
      <c r="F420" s="3317">
        <v>16671</v>
      </c>
      <c r="I420" s="3320"/>
    </row>
    <row r="421" spans="1:10">
      <c r="A421" s="3316" t="s">
        <v>155</v>
      </c>
      <c r="B421" s="3317">
        <v>23786</v>
      </c>
      <c r="C421" s="3318"/>
      <c r="D421" s="3317"/>
      <c r="E421" s="3325" t="s">
        <v>147</v>
      </c>
      <c r="F421" s="3317">
        <v>16941</v>
      </c>
      <c r="I421" s="3320"/>
    </row>
    <row r="422" spans="1:10">
      <c r="A422" s="3316" t="s">
        <v>154</v>
      </c>
      <c r="B422" s="3317">
        <v>24072</v>
      </c>
      <c r="C422" s="3318"/>
      <c r="D422" s="3317"/>
      <c r="E422" s="3325" t="s">
        <v>146</v>
      </c>
      <c r="F422" s="3317">
        <v>17217</v>
      </c>
    </row>
    <row r="423" spans="1:10">
      <c r="A423" s="3316" t="s">
        <v>153</v>
      </c>
      <c r="B423" s="3317">
        <v>24361</v>
      </c>
      <c r="C423" s="3318"/>
      <c r="D423" s="3317"/>
      <c r="E423" s="3325" t="s">
        <v>145</v>
      </c>
      <c r="F423" s="3317">
        <v>17498</v>
      </c>
      <c r="I423" s="3320">
        <f>212.5*12*1</f>
        <v>2550</v>
      </c>
    </row>
    <row r="424" spans="1:10">
      <c r="A424" s="3316" t="s">
        <v>152</v>
      </c>
      <c r="B424" s="3317">
        <v>24654</v>
      </c>
      <c r="C424" s="3318"/>
      <c r="D424" s="3317"/>
      <c r="E424" s="3325" t="s">
        <v>144</v>
      </c>
      <c r="F424" s="3317">
        <v>17784</v>
      </c>
    </row>
    <row r="425" spans="1:10">
      <c r="A425" s="3316" t="s">
        <v>151</v>
      </c>
      <c r="B425" s="3317">
        <v>24749</v>
      </c>
      <c r="C425" s="3318"/>
      <c r="D425" s="3317"/>
      <c r="E425" s="3325" t="s">
        <v>143</v>
      </c>
      <c r="F425" s="3317">
        <v>16986</v>
      </c>
      <c r="G425" s="3324"/>
      <c r="H425" s="3311">
        <f>200*12*1</f>
        <v>2400</v>
      </c>
      <c r="I425" s="3311">
        <f>200*12*1</f>
        <v>2400</v>
      </c>
      <c r="J425" s="3320"/>
    </row>
    <row r="426" spans="1:10">
      <c r="A426" s="3316" t="s">
        <v>150</v>
      </c>
      <c r="B426" s="3317">
        <v>25019</v>
      </c>
      <c r="C426" s="3318"/>
      <c r="D426" s="3317"/>
      <c r="E426" s="3325" t="s">
        <v>142</v>
      </c>
      <c r="F426" s="3317">
        <v>17258</v>
      </c>
      <c r="G426" s="3324"/>
      <c r="H426" s="3320"/>
      <c r="I426" s="3320"/>
      <c r="J426" s="3320"/>
    </row>
    <row r="427" spans="1:10">
      <c r="A427" s="3316" t="s">
        <v>149</v>
      </c>
      <c r="B427" s="3317">
        <v>25293</v>
      </c>
      <c r="C427" s="3318"/>
      <c r="D427" s="3317"/>
      <c r="E427" s="3325" t="s">
        <v>141</v>
      </c>
      <c r="F427" s="3317">
        <v>17534</v>
      </c>
      <c r="G427" s="3324"/>
      <c r="I427" s="3320">
        <f>212.5*12*1</f>
        <v>2550</v>
      </c>
      <c r="J427" s="3320"/>
    </row>
    <row r="428" spans="1:10">
      <c r="A428" s="3316" t="s">
        <v>148</v>
      </c>
      <c r="B428" s="3317">
        <v>25569</v>
      </c>
      <c r="C428" s="3318"/>
      <c r="D428" s="3317"/>
      <c r="E428" s="3325" t="s">
        <v>140</v>
      </c>
      <c r="F428" s="3317">
        <v>17817</v>
      </c>
      <c r="G428" s="3324"/>
      <c r="I428" s="3320"/>
      <c r="J428" s="3320"/>
    </row>
    <row r="429" spans="1:10">
      <c r="A429" s="3316" t="s">
        <v>147</v>
      </c>
      <c r="B429" s="3317">
        <v>25850</v>
      </c>
      <c r="C429" s="3318"/>
      <c r="D429" s="3317"/>
      <c r="E429" s="3325" t="s">
        <v>139</v>
      </c>
      <c r="F429" s="3317">
        <v>18105</v>
      </c>
      <c r="G429" s="3324"/>
      <c r="J429" s="3320"/>
    </row>
    <row r="430" spans="1:10">
      <c r="A430" s="3316" t="s">
        <v>146</v>
      </c>
      <c r="B430" s="3317">
        <v>26134</v>
      </c>
      <c r="C430" s="3318"/>
      <c r="D430" s="3317"/>
      <c r="E430" s="3325" t="s">
        <v>138</v>
      </c>
      <c r="F430" s="3317">
        <v>18399</v>
      </c>
      <c r="G430" s="3324"/>
      <c r="I430" s="3311">
        <f>225*12*1</f>
        <v>2700</v>
      </c>
      <c r="J430" s="3320"/>
    </row>
    <row r="431" spans="1:10">
      <c r="A431" s="3316" t="s">
        <v>145</v>
      </c>
      <c r="B431" s="3317">
        <v>26420</v>
      </c>
      <c r="C431" s="3318"/>
      <c r="D431" s="3317"/>
      <c r="E431" s="3325" t="s">
        <v>137</v>
      </c>
      <c r="F431" s="3317">
        <v>18699</v>
      </c>
      <c r="G431" s="3324"/>
      <c r="I431" s="3320"/>
      <c r="J431" s="3320"/>
    </row>
    <row r="432" spans="1:10">
      <c r="A432" s="3316" t="s">
        <v>144</v>
      </c>
      <c r="B432" s="3317">
        <v>26711</v>
      </c>
      <c r="C432" s="3318"/>
      <c r="D432" s="3317"/>
      <c r="E432" s="3325" t="s">
        <v>136</v>
      </c>
      <c r="F432" s="3317">
        <v>19004</v>
      </c>
      <c r="G432" s="3324"/>
      <c r="I432" s="3311">
        <f>237.5*12*1</f>
        <v>2850</v>
      </c>
      <c r="J432" s="3320"/>
    </row>
    <row r="433" spans="1:10">
      <c r="A433" s="3316" t="s">
        <v>143</v>
      </c>
      <c r="B433" s="3317">
        <v>26862</v>
      </c>
      <c r="C433" s="3318"/>
      <c r="D433" s="3317"/>
      <c r="E433" s="3325" t="s">
        <v>135</v>
      </c>
      <c r="F433" s="3317">
        <v>18156</v>
      </c>
      <c r="G433" s="3324"/>
      <c r="I433" s="3320"/>
      <c r="J433" s="3320"/>
    </row>
    <row r="434" spans="1:10">
      <c r="A434" s="3316" t="s">
        <v>142</v>
      </c>
      <c r="B434" s="3317">
        <v>27160</v>
      </c>
      <c r="C434" s="3318"/>
      <c r="D434" s="3317"/>
      <c r="E434" s="3325" t="s">
        <v>134</v>
      </c>
      <c r="F434" s="3317">
        <v>18447</v>
      </c>
      <c r="G434" s="3324"/>
      <c r="H434" s="3311">
        <f>225*12*3</f>
        <v>8100</v>
      </c>
      <c r="I434" s="3311">
        <f>225*12*1</f>
        <v>2700</v>
      </c>
      <c r="J434" s="3320"/>
    </row>
    <row r="435" spans="1:10">
      <c r="A435" s="3316" t="s">
        <v>141</v>
      </c>
      <c r="B435" s="3317">
        <v>27460</v>
      </c>
      <c r="C435" s="3318"/>
      <c r="D435" s="3317"/>
      <c r="E435" s="3325" t="s">
        <v>133</v>
      </c>
      <c r="F435" s="3317">
        <v>18742</v>
      </c>
      <c r="G435" s="3324"/>
      <c r="I435" s="3320"/>
      <c r="J435" s="3320"/>
    </row>
    <row r="436" spans="1:10">
      <c r="A436" s="3316" t="s">
        <v>140</v>
      </c>
      <c r="B436" s="3317">
        <v>27764</v>
      </c>
      <c r="C436" s="3318"/>
      <c r="D436" s="3317"/>
      <c r="E436" s="3325" t="s">
        <v>132</v>
      </c>
      <c r="F436" s="3317">
        <v>19043</v>
      </c>
      <c r="G436" s="3329"/>
      <c r="H436" s="3328"/>
      <c r="I436" s="3327"/>
      <c r="J436" s="3320"/>
    </row>
    <row r="437" spans="1:10">
      <c r="A437" s="3316" t="s">
        <v>139</v>
      </c>
      <c r="B437" s="3317">
        <v>28073</v>
      </c>
      <c r="C437" s="3318"/>
      <c r="D437" s="3317"/>
      <c r="E437" s="3325" t="s">
        <v>131</v>
      </c>
      <c r="F437" s="3317">
        <v>19351</v>
      </c>
      <c r="G437" s="3324"/>
      <c r="I437" s="3311">
        <f>237.5*12*1</f>
        <v>2850</v>
      </c>
      <c r="J437" s="3320"/>
    </row>
    <row r="438" spans="1:10">
      <c r="A438" s="3316" t="s">
        <v>138</v>
      </c>
      <c r="B438" s="3317">
        <v>28384</v>
      </c>
      <c r="C438" s="3318"/>
      <c r="D438" s="3317"/>
      <c r="E438" s="3325" t="s">
        <v>130</v>
      </c>
      <c r="F438" s="3317">
        <v>19664</v>
      </c>
      <c r="G438" s="3324"/>
      <c r="I438" s="3320"/>
      <c r="J438" s="3320"/>
    </row>
    <row r="439" spans="1:10">
      <c r="A439" s="3316" t="s">
        <v>137</v>
      </c>
      <c r="B439" s="3317">
        <v>28700</v>
      </c>
      <c r="C439" s="3318"/>
      <c r="D439" s="3317"/>
      <c r="E439" s="3325" t="s">
        <v>129</v>
      </c>
      <c r="F439" s="3317">
        <v>19982</v>
      </c>
      <c r="G439" s="3324"/>
      <c r="H439" s="3320"/>
      <c r="I439" s="3320"/>
      <c r="J439" s="3320"/>
    </row>
    <row r="440" spans="1:10">
      <c r="A440" s="3316" t="s">
        <v>136</v>
      </c>
      <c r="B440" s="3317">
        <v>29020</v>
      </c>
      <c r="C440" s="3318"/>
      <c r="D440" s="3317"/>
      <c r="E440" s="3325" t="s">
        <v>128</v>
      </c>
      <c r="F440" s="3317">
        <v>20307</v>
      </c>
      <c r="G440" s="3324"/>
      <c r="I440" s="3311">
        <f>250*12*1</f>
        <v>3000</v>
      </c>
      <c r="J440" s="3320"/>
    </row>
    <row r="441" spans="1:10">
      <c r="A441" s="3316" t="s">
        <v>135</v>
      </c>
      <c r="B441" s="3317">
        <v>29259</v>
      </c>
      <c r="C441" s="3318"/>
      <c r="D441" s="3317"/>
      <c r="E441" s="3325" t="s">
        <v>127</v>
      </c>
      <c r="F441" s="3317">
        <v>19466</v>
      </c>
      <c r="G441" s="3324"/>
      <c r="H441" s="3311">
        <f>237.5*12*2</f>
        <v>5700</v>
      </c>
      <c r="I441" s="3311">
        <f>237.5*12*1</f>
        <v>2850</v>
      </c>
      <c r="J441" s="3320"/>
    </row>
    <row r="442" spans="1:10">
      <c r="A442" s="3316" t="s">
        <v>134</v>
      </c>
      <c r="B442" s="3317">
        <v>29586</v>
      </c>
      <c r="C442" s="3318"/>
      <c r="D442" s="3317"/>
      <c r="E442" s="3325" t="s">
        <v>126</v>
      </c>
      <c r="F442" s="3317">
        <v>19786</v>
      </c>
      <c r="G442" s="3324"/>
      <c r="H442" s="3320"/>
      <c r="I442" s="3320"/>
      <c r="J442" s="3320"/>
    </row>
    <row r="443" spans="1:10">
      <c r="A443" s="3316" t="s">
        <v>133</v>
      </c>
      <c r="B443" s="3317">
        <v>29916</v>
      </c>
      <c r="C443" s="3318"/>
      <c r="D443" s="3317"/>
      <c r="E443" s="3325" t="s">
        <v>125</v>
      </c>
      <c r="F443" s="3317">
        <v>20113</v>
      </c>
      <c r="G443" s="3324"/>
      <c r="I443" s="3320"/>
      <c r="J443" s="3320"/>
    </row>
    <row r="444" spans="1:10">
      <c r="A444" s="3316" t="s">
        <v>132</v>
      </c>
      <c r="B444" s="3317">
        <v>30252</v>
      </c>
      <c r="C444" s="3318"/>
      <c r="D444" s="3317"/>
      <c r="E444" s="3325" t="s">
        <v>124</v>
      </c>
      <c r="F444" s="3317">
        <v>20447</v>
      </c>
      <c r="G444" s="3324"/>
      <c r="H444" s="3311">
        <f>250*12*1</f>
        <v>3000</v>
      </c>
      <c r="I444" s="3311">
        <f>250*12*1</f>
        <v>3000</v>
      </c>
      <c r="J444" s="3320"/>
    </row>
    <row r="445" spans="1:10">
      <c r="A445" s="3316" t="s">
        <v>131</v>
      </c>
      <c r="B445" s="3317">
        <v>30590</v>
      </c>
      <c r="C445" s="3318"/>
      <c r="D445" s="3317"/>
      <c r="E445" s="3325" t="s">
        <v>123</v>
      </c>
      <c r="F445" s="3317">
        <v>20788</v>
      </c>
      <c r="G445" s="3324"/>
      <c r="I445" s="3320"/>
      <c r="J445" s="3320"/>
    </row>
    <row r="446" spans="1:10">
      <c r="A446" s="3316" t="s">
        <v>130</v>
      </c>
      <c r="B446" s="3317">
        <v>30933</v>
      </c>
      <c r="C446" s="3318"/>
      <c r="D446" s="3317"/>
      <c r="E446" s="3325" t="s">
        <v>122</v>
      </c>
      <c r="F446" s="3317">
        <v>21135</v>
      </c>
      <c r="G446" s="3324"/>
      <c r="J446" s="3320"/>
    </row>
    <row r="447" spans="1:10">
      <c r="A447" s="3316" t="s">
        <v>129</v>
      </c>
      <c r="B447" s="3317">
        <v>31281</v>
      </c>
      <c r="C447" s="3318"/>
      <c r="D447" s="3317"/>
      <c r="E447" s="3325" t="s">
        <v>121</v>
      </c>
      <c r="F447" s="3317">
        <v>21488</v>
      </c>
      <c r="G447" s="3324"/>
      <c r="I447" s="3320">
        <f>262.5*12*1</f>
        <v>3150</v>
      </c>
      <c r="J447" s="3320"/>
    </row>
    <row r="448" spans="1:10">
      <c r="A448" s="3316" t="s">
        <v>128</v>
      </c>
      <c r="B448" s="3317">
        <v>31632</v>
      </c>
      <c r="C448" s="3318"/>
      <c r="D448" s="3317"/>
      <c r="E448" s="3325" t="s">
        <v>120</v>
      </c>
      <c r="F448" s="3317">
        <v>21849</v>
      </c>
      <c r="G448" s="3324"/>
      <c r="I448" s="3320"/>
      <c r="J448" s="3320"/>
    </row>
    <row r="449" spans="1:10">
      <c r="A449" s="3316" t="s">
        <v>127</v>
      </c>
      <c r="B449" s="3317">
        <v>31896</v>
      </c>
      <c r="C449" s="3318"/>
      <c r="D449" s="3317"/>
      <c r="E449" s="3325" t="s">
        <v>119</v>
      </c>
      <c r="F449" s="3317">
        <v>20871</v>
      </c>
      <c r="G449" s="3324"/>
      <c r="H449" s="3320"/>
      <c r="I449" s="3311">
        <f>250*12*1</f>
        <v>3000</v>
      </c>
      <c r="J449" s="3320"/>
    </row>
    <row r="450" spans="1:10">
      <c r="A450" s="3316" t="s">
        <v>126</v>
      </c>
      <c r="B450" s="3317">
        <v>32255</v>
      </c>
      <c r="C450" s="3318"/>
      <c r="D450" s="3317"/>
      <c r="E450" s="3325" t="s">
        <v>118</v>
      </c>
      <c r="F450" s="3317">
        <v>21213</v>
      </c>
      <c r="G450" s="3324"/>
      <c r="H450" s="3320"/>
      <c r="I450" s="3320"/>
      <c r="J450" s="3320"/>
    </row>
    <row r="451" spans="1:10">
      <c r="A451" s="3316" t="s">
        <v>125</v>
      </c>
      <c r="B451" s="3317">
        <v>32619</v>
      </c>
      <c r="C451" s="3318"/>
      <c r="D451" s="3317"/>
      <c r="E451" s="3325" t="s">
        <v>117</v>
      </c>
      <c r="F451" s="3317">
        <v>21562</v>
      </c>
      <c r="G451" s="3324"/>
      <c r="H451" s="3320">
        <f>262.5*12*1</f>
        <v>3150</v>
      </c>
      <c r="I451" s="3320">
        <f>262.5*12*1</f>
        <v>3150</v>
      </c>
      <c r="J451" s="3320"/>
    </row>
    <row r="452" spans="1:10">
      <c r="A452" s="3316" t="s">
        <v>124</v>
      </c>
      <c r="B452" s="3317">
        <v>32988</v>
      </c>
      <c r="C452" s="3318"/>
      <c r="D452" s="3317"/>
      <c r="E452" s="3325" t="s">
        <v>116</v>
      </c>
      <c r="F452" s="3317">
        <v>21919</v>
      </c>
      <c r="G452" s="3324"/>
      <c r="I452" s="3320"/>
      <c r="J452" s="3320"/>
    </row>
    <row r="453" spans="1:10">
      <c r="A453" s="3316" t="s">
        <v>123</v>
      </c>
      <c r="B453" s="3317">
        <v>33360</v>
      </c>
      <c r="C453" s="3318"/>
      <c r="D453" s="3317"/>
      <c r="E453" s="3325" t="s">
        <v>115</v>
      </c>
      <c r="F453" s="3317">
        <v>22282</v>
      </c>
      <c r="G453" s="3324"/>
      <c r="J453" s="3320"/>
    </row>
    <row r="454" spans="1:10">
      <c r="A454" s="3316" t="s">
        <v>122</v>
      </c>
      <c r="B454" s="3317">
        <v>33737</v>
      </c>
      <c r="C454" s="3318"/>
      <c r="D454" s="3317"/>
      <c r="E454" s="3325" t="s">
        <v>114</v>
      </c>
      <c r="F454" s="3317">
        <v>22653</v>
      </c>
      <c r="G454" s="3324"/>
      <c r="I454" s="3320">
        <f>275*12*1</f>
        <v>3300</v>
      </c>
      <c r="J454" s="3320"/>
    </row>
    <row r="455" spans="1:10">
      <c r="A455" s="3316" t="s">
        <v>121</v>
      </c>
      <c r="B455" s="3317">
        <v>34119</v>
      </c>
      <c r="C455" s="3318"/>
      <c r="D455" s="3317"/>
      <c r="E455" s="3325" t="s">
        <v>113</v>
      </c>
      <c r="F455" s="3317">
        <v>23031</v>
      </c>
      <c r="G455" s="3324"/>
      <c r="I455" s="3320"/>
      <c r="J455" s="3320"/>
    </row>
    <row r="456" spans="1:10">
      <c r="A456" s="3316" t="s">
        <v>120</v>
      </c>
      <c r="B456" s="3317">
        <v>34507</v>
      </c>
      <c r="C456" s="3318"/>
      <c r="D456" s="3317"/>
      <c r="E456" s="3325" t="s">
        <v>112</v>
      </c>
      <c r="F456" s="3317">
        <v>23415</v>
      </c>
      <c r="G456" s="3324"/>
      <c r="I456" s="3320">
        <f>287.5*12*1</f>
        <v>3450</v>
      </c>
      <c r="J456" s="3320"/>
    </row>
    <row r="457" spans="1:10">
      <c r="A457" s="3316" t="s">
        <v>119</v>
      </c>
      <c r="B457" s="3317">
        <v>34797</v>
      </c>
      <c r="C457" s="3318"/>
      <c r="D457" s="3317"/>
      <c r="E457" s="3325" t="s">
        <v>111</v>
      </c>
      <c r="F457" s="3317">
        <v>22377</v>
      </c>
      <c r="G457" s="3324"/>
      <c r="I457" s="3320">
        <f>275*12*1</f>
        <v>3300</v>
      </c>
      <c r="J457" s="3320"/>
    </row>
    <row r="458" spans="1:10">
      <c r="A458" s="3316" t="s">
        <v>118</v>
      </c>
      <c r="B458" s="3317">
        <v>35192</v>
      </c>
      <c r="C458" s="3318"/>
      <c r="D458" s="3317"/>
      <c r="E458" s="3325" t="s">
        <v>110</v>
      </c>
      <c r="F458" s="3317">
        <v>22744</v>
      </c>
      <c r="G458" s="3324"/>
      <c r="I458" s="3320"/>
      <c r="J458" s="3320"/>
    </row>
    <row r="459" spans="1:10">
      <c r="A459" s="3316" t="s">
        <v>117</v>
      </c>
      <c r="B459" s="3317">
        <v>35592</v>
      </c>
      <c r="C459" s="3318"/>
      <c r="D459" s="3317"/>
      <c r="E459" s="3325" t="s">
        <v>109</v>
      </c>
      <c r="F459" s="3317">
        <v>23117</v>
      </c>
      <c r="G459" s="3324"/>
      <c r="I459" s="3320"/>
      <c r="J459" s="3320"/>
    </row>
    <row r="460" spans="1:10">
      <c r="A460" s="3316" t="s">
        <v>116</v>
      </c>
      <c r="B460" s="3317">
        <v>35996</v>
      </c>
      <c r="C460" s="3318"/>
      <c r="D460" s="3317"/>
      <c r="E460" s="3325" t="s">
        <v>108</v>
      </c>
      <c r="F460" s="3317">
        <v>23497</v>
      </c>
      <c r="G460" s="3324"/>
      <c r="I460" s="3320">
        <f>287.5*12*1</f>
        <v>3450</v>
      </c>
      <c r="J460" s="3320"/>
    </row>
    <row r="461" spans="1:10">
      <c r="A461" s="3316" t="s">
        <v>115</v>
      </c>
      <c r="B461" s="3317">
        <v>36407</v>
      </c>
      <c r="C461" s="3318"/>
      <c r="D461" s="3317"/>
      <c r="E461" s="3325" t="s">
        <v>107</v>
      </c>
      <c r="F461" s="3317">
        <v>23887</v>
      </c>
      <c r="G461" s="3324"/>
      <c r="I461" s="3320"/>
      <c r="J461" s="3320"/>
    </row>
    <row r="462" spans="1:10">
      <c r="A462" s="3316" t="s">
        <v>114</v>
      </c>
      <c r="B462" s="3317">
        <v>36822</v>
      </c>
      <c r="C462" s="3318"/>
      <c r="D462" s="3317"/>
      <c r="E462" s="3325" t="s">
        <v>106</v>
      </c>
      <c r="F462" s="3317">
        <v>24282</v>
      </c>
      <c r="G462" s="3324"/>
      <c r="I462" s="3320">
        <f>300*12*1</f>
        <v>3600</v>
      </c>
      <c r="J462" s="3320"/>
    </row>
    <row r="463" spans="1:10">
      <c r="A463" s="3316" t="s">
        <v>113</v>
      </c>
      <c r="B463" s="3317">
        <v>37243</v>
      </c>
      <c r="C463" s="3318"/>
      <c r="D463" s="3317"/>
      <c r="E463" s="3325" t="s">
        <v>105</v>
      </c>
      <c r="F463" s="3317">
        <v>24685</v>
      </c>
      <c r="G463" s="3324"/>
      <c r="I463" s="3320"/>
      <c r="J463" s="3320"/>
    </row>
    <row r="464" spans="1:10">
      <c r="A464" s="3316" t="s">
        <v>112</v>
      </c>
      <c r="B464" s="3317">
        <v>37668</v>
      </c>
      <c r="C464" s="3318"/>
      <c r="D464" s="3317"/>
      <c r="E464" s="3325" t="s">
        <v>104</v>
      </c>
      <c r="F464" s="3317">
        <v>25095</v>
      </c>
      <c r="G464" s="3324"/>
      <c r="I464" s="3320">
        <f>312.5*12*1</f>
        <v>3750</v>
      </c>
      <c r="J464" s="3320"/>
    </row>
    <row r="465" spans="1:10">
      <c r="A465" s="3316" t="s">
        <v>111</v>
      </c>
      <c r="B465" s="3317">
        <v>37987</v>
      </c>
      <c r="C465" s="3318"/>
      <c r="D465" s="3317"/>
      <c r="E465" s="3322" t="s">
        <v>103</v>
      </c>
      <c r="F465" s="3317">
        <v>23996</v>
      </c>
      <c r="H465" s="3320">
        <f>287.5*12*3</f>
        <v>10350</v>
      </c>
      <c r="I465" s="3320">
        <f>287.5*12*1</f>
        <v>3450</v>
      </c>
      <c r="J465" s="3320"/>
    </row>
    <row r="466" spans="1:10">
      <c r="A466" s="3316" t="s">
        <v>110</v>
      </c>
      <c r="B466" s="3317">
        <v>38422</v>
      </c>
      <c r="C466" s="3318"/>
      <c r="D466" s="3317"/>
      <c r="E466" s="3322" t="s">
        <v>102</v>
      </c>
      <c r="F466" s="3317">
        <v>24387</v>
      </c>
      <c r="H466" s="3320"/>
      <c r="I466" s="3320">
        <f>300*12*1</f>
        <v>3600</v>
      </c>
      <c r="J466" s="3320"/>
    </row>
    <row r="467" spans="1:10">
      <c r="A467" s="3316" t="s">
        <v>109</v>
      </c>
      <c r="B467" s="3317">
        <v>38862</v>
      </c>
      <c r="C467" s="3318"/>
      <c r="D467" s="3317"/>
      <c r="E467" s="3322" t="s">
        <v>101</v>
      </c>
      <c r="F467" s="3317">
        <v>24786</v>
      </c>
      <c r="J467" s="3320"/>
    </row>
    <row r="468" spans="1:10">
      <c r="A468" s="3316" t="s">
        <v>108</v>
      </c>
      <c r="B468" s="3317">
        <v>39307</v>
      </c>
      <c r="C468" s="3318"/>
      <c r="D468" s="3317"/>
      <c r="E468" s="3322" t="s">
        <v>100</v>
      </c>
      <c r="F468" s="3317">
        <v>25193</v>
      </c>
      <c r="J468" s="3320"/>
    </row>
    <row r="469" spans="1:10">
      <c r="A469" s="3316" t="s">
        <v>107</v>
      </c>
      <c r="B469" s="3317">
        <v>39758</v>
      </c>
      <c r="C469" s="3318"/>
      <c r="D469" s="3317"/>
      <c r="E469" s="3322" t="s">
        <v>99</v>
      </c>
      <c r="F469" s="3317">
        <v>25608</v>
      </c>
      <c r="I469" s="3320">
        <f>312.5*12*1</f>
        <v>3750</v>
      </c>
      <c r="J469" s="3320"/>
    </row>
    <row r="470" spans="1:10">
      <c r="A470" s="3316" t="s">
        <v>106</v>
      </c>
      <c r="B470" s="3317">
        <v>40215</v>
      </c>
      <c r="C470" s="3318"/>
      <c r="D470" s="3317"/>
      <c r="E470" s="3322" t="s">
        <v>98</v>
      </c>
      <c r="F470" s="3317">
        <v>26029</v>
      </c>
      <c r="J470" s="3320"/>
    </row>
    <row r="471" spans="1:10">
      <c r="A471" s="3316" t="s">
        <v>105</v>
      </c>
      <c r="B471" s="3317">
        <v>40677</v>
      </c>
      <c r="C471" s="3318"/>
      <c r="D471" s="3317"/>
      <c r="E471" s="3322" t="s">
        <v>97</v>
      </c>
      <c r="F471" s="3317">
        <v>26460</v>
      </c>
      <c r="I471" s="3311">
        <f>325*12*1</f>
        <v>3900</v>
      </c>
      <c r="J471" s="3320"/>
    </row>
    <row r="472" spans="1:10">
      <c r="A472" s="3316" t="s">
        <v>104</v>
      </c>
      <c r="B472" s="3317">
        <v>41145</v>
      </c>
      <c r="C472" s="3318"/>
      <c r="D472" s="3317"/>
      <c r="E472" s="3322" t="s">
        <v>96</v>
      </c>
      <c r="F472" s="3317">
        <v>26899</v>
      </c>
      <c r="J472" s="3320"/>
    </row>
    <row r="473" spans="1:10">
      <c r="A473" s="3316" t="s">
        <v>103</v>
      </c>
      <c r="B473" s="3317">
        <v>41497</v>
      </c>
      <c r="C473" s="3318"/>
      <c r="D473" s="3317"/>
      <c r="E473" s="3322" t="s">
        <v>95</v>
      </c>
      <c r="F473" s="3317">
        <v>25734</v>
      </c>
      <c r="H473" s="3320">
        <f>312.5*12*1</f>
        <v>3750</v>
      </c>
      <c r="I473" s="3320">
        <f>312.5*12*1</f>
        <v>3750</v>
      </c>
      <c r="J473" s="3320"/>
    </row>
    <row r="474" spans="1:10">
      <c r="A474" s="3316" t="s">
        <v>102</v>
      </c>
      <c r="B474" s="3317">
        <v>41975</v>
      </c>
      <c r="C474" s="3318"/>
      <c r="D474" s="3317"/>
      <c r="E474" s="3322" t="s">
        <v>94</v>
      </c>
      <c r="F474" s="3317">
        <v>26152</v>
      </c>
      <c r="I474" s="3311">
        <f>325*12*1</f>
        <v>3900</v>
      </c>
      <c r="J474" s="3320"/>
    </row>
    <row r="475" spans="1:10">
      <c r="A475" s="3316" t="s">
        <v>101</v>
      </c>
      <c r="B475" s="3317">
        <v>42459</v>
      </c>
      <c r="C475" s="3318"/>
      <c r="D475" s="3317"/>
      <c r="E475" s="3322" t="s">
        <v>93</v>
      </c>
      <c r="F475" s="3317">
        <v>26578</v>
      </c>
      <c r="I475" s="3320"/>
      <c r="J475" s="3320"/>
    </row>
    <row r="476" spans="1:10">
      <c r="A476" s="3316" t="s">
        <v>100</v>
      </c>
      <c r="B476" s="3317">
        <v>42949</v>
      </c>
      <c r="C476" s="3318"/>
      <c r="D476" s="3317"/>
      <c r="E476" s="3322" t="s">
        <v>92</v>
      </c>
      <c r="F476" s="3317">
        <v>27012</v>
      </c>
      <c r="J476" s="3320"/>
    </row>
    <row r="477" spans="1:10">
      <c r="A477" s="3316" t="s">
        <v>99</v>
      </c>
      <c r="B477" s="3317">
        <v>43445</v>
      </c>
      <c r="C477" s="3318"/>
      <c r="D477" s="3317"/>
      <c r="E477" s="3322" t="s">
        <v>91</v>
      </c>
      <c r="F477" s="3317">
        <v>27456</v>
      </c>
      <c r="I477" s="3311">
        <f>337.5*12*1</f>
        <v>4050</v>
      </c>
      <c r="J477" s="3320"/>
    </row>
    <row r="478" spans="1:10">
      <c r="A478" s="3316" t="s">
        <v>98</v>
      </c>
      <c r="B478" s="3317">
        <v>43948</v>
      </c>
      <c r="C478" s="3318"/>
      <c r="D478" s="3317"/>
      <c r="E478" s="3322" t="s">
        <v>90</v>
      </c>
      <c r="F478" s="3317">
        <v>27906</v>
      </c>
      <c r="J478" s="3320"/>
    </row>
    <row r="479" spans="1:10">
      <c r="A479" s="3316" t="s">
        <v>97</v>
      </c>
      <c r="B479" s="3317">
        <v>44456</v>
      </c>
      <c r="C479" s="3318"/>
      <c r="D479" s="3317"/>
      <c r="E479" s="3322" t="s">
        <v>89</v>
      </c>
      <c r="F479" s="3317">
        <v>28366</v>
      </c>
      <c r="J479" s="3320"/>
    </row>
    <row r="480" spans="1:10">
      <c r="A480" s="3316" t="s">
        <v>96</v>
      </c>
      <c r="B480" s="3317">
        <v>44971</v>
      </c>
      <c r="C480" s="3318"/>
      <c r="D480" s="3317"/>
      <c r="E480" s="3322" t="s">
        <v>88</v>
      </c>
      <c r="F480" s="3317">
        <v>28834</v>
      </c>
      <c r="I480" s="3311">
        <f>350*12*1</f>
        <v>4200</v>
      </c>
      <c r="J480" s="3320"/>
    </row>
    <row r="481" spans="1:10">
      <c r="A481" s="3316" t="s">
        <v>95</v>
      </c>
      <c r="B481" s="3317">
        <v>45897</v>
      </c>
      <c r="C481" s="3318"/>
      <c r="D481" s="3317"/>
      <c r="E481" s="3322" t="s">
        <v>87</v>
      </c>
      <c r="F481" s="3317">
        <v>27599</v>
      </c>
      <c r="H481" s="3311">
        <f>337.5*12*1</f>
        <v>4050</v>
      </c>
      <c r="I481" s="3311">
        <f>337.5*12*1</f>
        <v>4050</v>
      </c>
      <c r="J481" s="3320"/>
    </row>
    <row r="482" spans="1:10">
      <c r="A482" s="3316" t="s">
        <v>94</v>
      </c>
      <c r="B482" s="3317">
        <v>46599</v>
      </c>
      <c r="C482" s="3318"/>
      <c r="D482" s="3317"/>
      <c r="E482" s="3322" t="s">
        <v>86</v>
      </c>
      <c r="F482" s="3317">
        <v>28046</v>
      </c>
      <c r="I482" s="3311">
        <f>300*12*1</f>
        <v>3600</v>
      </c>
    </row>
    <row r="483" spans="1:10">
      <c r="A483" s="3316" t="s">
        <v>93</v>
      </c>
      <c r="B483" s="3317">
        <v>47313</v>
      </c>
      <c r="C483" s="3318"/>
      <c r="D483" s="3317"/>
      <c r="E483" s="3322" t="s">
        <v>85</v>
      </c>
      <c r="F483" s="3317">
        <v>28501</v>
      </c>
      <c r="I483" s="3311">
        <f>350*12*1</f>
        <v>4200</v>
      </c>
    </row>
    <row r="484" spans="1:10">
      <c r="A484" s="3316" t="s">
        <v>92</v>
      </c>
      <c r="B484" s="3317">
        <v>48038</v>
      </c>
      <c r="C484" s="3318"/>
      <c r="D484" s="3317"/>
      <c r="E484" s="3322" t="s">
        <v>84</v>
      </c>
      <c r="F484" s="3317">
        <v>28966</v>
      </c>
    </row>
    <row r="485" spans="1:10">
      <c r="A485" s="3316" t="s">
        <v>91</v>
      </c>
      <c r="B485" s="3317">
        <v>48775</v>
      </c>
      <c r="C485" s="3318"/>
      <c r="D485" s="3317"/>
      <c r="E485" s="3322" t="s">
        <v>83</v>
      </c>
      <c r="F485" s="3317">
        <v>29439</v>
      </c>
    </row>
    <row r="486" spans="1:10">
      <c r="A486" s="3316" t="s">
        <v>90</v>
      </c>
      <c r="B486" s="3317">
        <v>49524</v>
      </c>
      <c r="C486" s="3318"/>
      <c r="D486" s="3317"/>
      <c r="E486" s="3322" t="s">
        <v>82</v>
      </c>
      <c r="F486" s="3317">
        <v>29920</v>
      </c>
      <c r="I486" s="3311">
        <f>362.5*12*1</f>
        <v>4350</v>
      </c>
    </row>
    <row r="487" spans="1:10">
      <c r="A487" s="3316" t="s">
        <v>89</v>
      </c>
      <c r="B487" s="3317">
        <v>50285</v>
      </c>
      <c r="C487" s="3318"/>
      <c r="D487" s="3317"/>
      <c r="E487" s="3322" t="s">
        <v>81</v>
      </c>
      <c r="F487" s="3317">
        <v>30411</v>
      </c>
    </row>
    <row r="488" spans="1:10">
      <c r="A488" s="3316" t="s">
        <v>88</v>
      </c>
      <c r="B488" s="3317">
        <v>51059</v>
      </c>
      <c r="C488" s="3318"/>
      <c r="D488" s="3317"/>
      <c r="E488" s="3322" t="s">
        <v>80</v>
      </c>
      <c r="F488" s="3317">
        <v>30912</v>
      </c>
      <c r="I488" s="3311">
        <f>375*12*1</f>
        <v>4500</v>
      </c>
    </row>
    <row r="489" spans="1:10">
      <c r="A489" s="3316" t="s">
        <v>87</v>
      </c>
      <c r="B489" s="3317">
        <v>51538</v>
      </c>
      <c r="C489" s="3318"/>
      <c r="D489" s="3317"/>
      <c r="E489" s="3322" t="s">
        <v>79</v>
      </c>
      <c r="F489" s="3317">
        <v>29398</v>
      </c>
    </row>
    <row r="490" spans="1:10">
      <c r="A490" s="3316" t="s">
        <v>86</v>
      </c>
      <c r="B490" s="3317">
        <v>52331</v>
      </c>
      <c r="C490" s="3318"/>
      <c r="D490" s="3317"/>
      <c r="E490" s="3322" t="s">
        <v>78</v>
      </c>
      <c r="F490" s="3317">
        <v>29871</v>
      </c>
      <c r="I490" s="3311">
        <f>362.5*12*1</f>
        <v>4350</v>
      </c>
    </row>
    <row r="491" spans="1:10">
      <c r="A491" s="3316" t="s">
        <v>85</v>
      </c>
      <c r="B491" s="3317">
        <v>53137</v>
      </c>
      <c r="C491" s="3318"/>
      <c r="D491" s="3317"/>
      <c r="E491" s="3322" t="s">
        <v>77</v>
      </c>
      <c r="F491" s="3317">
        <v>30352</v>
      </c>
    </row>
    <row r="492" spans="1:10">
      <c r="A492" s="3316" t="s">
        <v>84</v>
      </c>
      <c r="B492" s="3317">
        <v>53956</v>
      </c>
      <c r="C492" s="3318"/>
      <c r="D492" s="3317"/>
      <c r="E492" s="3322" t="s">
        <v>76</v>
      </c>
      <c r="F492" s="3317">
        <v>30842</v>
      </c>
    </row>
    <row r="493" spans="1:10">
      <c r="A493" s="3316" t="s">
        <v>83</v>
      </c>
      <c r="B493" s="3317">
        <v>54789</v>
      </c>
      <c r="C493" s="3318"/>
      <c r="D493" s="3317"/>
      <c r="E493" s="3322" t="s">
        <v>75</v>
      </c>
      <c r="F493" s="3317">
        <v>31341</v>
      </c>
    </row>
    <row r="494" spans="1:10">
      <c r="A494" s="3316" t="s">
        <v>82</v>
      </c>
      <c r="B494" s="3317">
        <v>55636</v>
      </c>
      <c r="C494" s="3318"/>
      <c r="D494" s="3317"/>
      <c r="E494" s="3322" t="s">
        <v>74</v>
      </c>
      <c r="F494" s="3317">
        <v>31851</v>
      </c>
    </row>
    <row r="495" spans="1:10">
      <c r="A495" s="3316" t="s">
        <v>81</v>
      </c>
      <c r="B495" s="3317">
        <v>56496</v>
      </c>
      <c r="C495" s="3318"/>
      <c r="D495" s="3317"/>
      <c r="E495" s="3322" t="s">
        <v>73</v>
      </c>
      <c r="F495" s="3317">
        <v>32370</v>
      </c>
    </row>
    <row r="496" spans="1:10">
      <c r="A496" s="3316" t="s">
        <v>80</v>
      </c>
      <c r="B496" s="3317">
        <v>57370</v>
      </c>
      <c r="C496" s="3318"/>
      <c r="D496" s="3317"/>
      <c r="E496" s="3322" t="s">
        <v>72</v>
      </c>
      <c r="F496" s="3317">
        <v>32898</v>
      </c>
    </row>
    <row r="497" spans="1:10">
      <c r="A497" s="3316" t="s">
        <v>79</v>
      </c>
      <c r="B497" s="3317">
        <v>57856</v>
      </c>
      <c r="C497" s="3318"/>
      <c r="D497" s="3317"/>
      <c r="E497" s="3322" t="s">
        <v>71</v>
      </c>
      <c r="F497" s="3317">
        <v>31324</v>
      </c>
    </row>
    <row r="498" spans="1:10">
      <c r="A498" s="3316" t="s">
        <v>78</v>
      </c>
      <c r="B498" s="3317">
        <v>58752</v>
      </c>
      <c r="C498" s="3318"/>
      <c r="D498" s="3317"/>
      <c r="E498" s="3322" t="s">
        <v>70</v>
      </c>
      <c r="F498" s="3317">
        <v>31824</v>
      </c>
      <c r="J498" s="3320"/>
    </row>
    <row r="499" spans="1:10">
      <c r="A499" s="3316" t="s">
        <v>77</v>
      </c>
      <c r="B499" s="3317">
        <v>59663</v>
      </c>
      <c r="C499" s="3318"/>
      <c r="D499" s="3317"/>
      <c r="E499" s="3322" t="s">
        <v>69</v>
      </c>
      <c r="F499" s="3317">
        <v>32332</v>
      </c>
      <c r="J499" s="3320"/>
    </row>
    <row r="500" spans="1:10">
      <c r="A500" s="3316" t="s">
        <v>76</v>
      </c>
      <c r="B500" s="3317">
        <v>60588</v>
      </c>
      <c r="C500" s="3318"/>
      <c r="D500" s="3317"/>
      <c r="E500" s="3322" t="s">
        <v>68</v>
      </c>
      <c r="F500" s="3317">
        <v>32851</v>
      </c>
      <c r="J500" s="3320"/>
    </row>
    <row r="501" spans="1:10">
      <c r="A501" s="3316" t="s">
        <v>75</v>
      </c>
      <c r="B501" s="3317">
        <v>61530</v>
      </c>
      <c r="C501" s="3318"/>
      <c r="D501" s="3317"/>
      <c r="E501" s="3322" t="s">
        <v>67</v>
      </c>
      <c r="F501" s="3317">
        <v>33379</v>
      </c>
      <c r="J501" s="3320"/>
    </row>
    <row r="502" spans="1:10">
      <c r="A502" s="3316" t="s">
        <v>74</v>
      </c>
      <c r="B502" s="3317">
        <v>62485</v>
      </c>
      <c r="C502" s="3318"/>
      <c r="D502" s="3317"/>
      <c r="E502" s="3322" t="s">
        <v>66</v>
      </c>
      <c r="F502" s="3317">
        <v>33918</v>
      </c>
      <c r="J502" s="3320"/>
    </row>
    <row r="503" spans="1:10">
      <c r="A503" s="3316" t="s">
        <v>73</v>
      </c>
      <c r="B503" s="3317">
        <v>63457</v>
      </c>
      <c r="C503" s="3318"/>
      <c r="D503" s="3317"/>
      <c r="E503" s="3322" t="s">
        <v>65</v>
      </c>
      <c r="F503" s="3317">
        <v>34466</v>
      </c>
      <c r="J503" s="3320"/>
    </row>
    <row r="504" spans="1:10">
      <c r="A504" s="3316" t="s">
        <v>72</v>
      </c>
      <c r="B504" s="3317">
        <v>64445</v>
      </c>
      <c r="C504" s="3318"/>
      <c r="D504" s="3317"/>
      <c r="E504" s="3322" t="s">
        <v>64</v>
      </c>
      <c r="F504" s="3317">
        <v>35024</v>
      </c>
      <c r="J504" s="3320"/>
    </row>
    <row r="505" spans="1:10">
      <c r="A505" s="3316" t="s">
        <v>71</v>
      </c>
      <c r="B505" s="3317">
        <v>64994</v>
      </c>
      <c r="C505" s="3318"/>
      <c r="D505" s="3317"/>
      <c r="E505" s="3322" t="s">
        <v>63</v>
      </c>
      <c r="F505" s="3317">
        <v>33387</v>
      </c>
      <c r="J505" s="3320"/>
    </row>
    <row r="506" spans="1:10">
      <c r="A506" s="3316" t="s">
        <v>70</v>
      </c>
      <c r="B506" s="3317">
        <v>66007</v>
      </c>
      <c r="C506" s="3318"/>
      <c r="D506" s="3317"/>
      <c r="E506" s="3322" t="s">
        <v>62</v>
      </c>
      <c r="F506" s="3317">
        <v>33916</v>
      </c>
      <c r="G506" s="3324"/>
      <c r="J506" s="3320"/>
    </row>
    <row r="507" spans="1:10">
      <c r="A507" s="3316" t="s">
        <v>69</v>
      </c>
      <c r="B507" s="3317">
        <v>67037</v>
      </c>
      <c r="C507" s="3318"/>
      <c r="D507" s="3317"/>
      <c r="E507" s="3322" t="s">
        <v>61</v>
      </c>
      <c r="F507" s="3317">
        <v>34455</v>
      </c>
      <c r="G507" s="3324"/>
      <c r="I507" s="3320"/>
      <c r="J507" s="3320"/>
    </row>
    <row r="508" spans="1:10">
      <c r="A508" s="3316" t="s">
        <v>68</v>
      </c>
      <c r="B508" s="3317">
        <v>68083</v>
      </c>
      <c r="C508" s="3318"/>
      <c r="D508" s="3317"/>
      <c r="E508" s="3322" t="s">
        <v>60</v>
      </c>
      <c r="F508" s="3317">
        <v>35003</v>
      </c>
      <c r="G508" s="3324"/>
      <c r="J508" s="3320"/>
    </row>
    <row r="509" spans="1:10">
      <c r="A509" s="3316" t="s">
        <v>67</v>
      </c>
      <c r="B509" s="3317">
        <v>69146</v>
      </c>
      <c r="C509" s="3318"/>
      <c r="D509" s="3317"/>
      <c r="E509" s="3322" t="s">
        <v>59</v>
      </c>
      <c r="F509" s="3317">
        <v>35560</v>
      </c>
      <c r="G509" s="3324"/>
      <c r="I509" s="3320"/>
      <c r="J509" s="3320"/>
    </row>
    <row r="510" spans="1:10">
      <c r="A510" s="3316" t="s">
        <v>66</v>
      </c>
      <c r="B510" s="3317">
        <v>70227</v>
      </c>
      <c r="C510" s="3318"/>
      <c r="D510" s="3317"/>
      <c r="E510" s="3322" t="s">
        <v>58</v>
      </c>
      <c r="F510" s="3317">
        <v>36130</v>
      </c>
      <c r="G510" s="3324"/>
      <c r="I510" s="3320"/>
      <c r="J510" s="3320"/>
    </row>
    <row r="511" spans="1:10">
      <c r="A511" s="3316" t="s">
        <v>65</v>
      </c>
      <c r="B511" s="3317">
        <v>71325</v>
      </c>
      <c r="C511" s="3318"/>
      <c r="D511" s="3317"/>
      <c r="E511" s="3322" t="s">
        <v>57</v>
      </c>
      <c r="F511" s="3317">
        <v>36710</v>
      </c>
      <c r="G511" s="3324"/>
      <c r="H511" s="3311">
        <f>375*12*6</f>
        <v>27000</v>
      </c>
      <c r="I511" s="3311">
        <f>375*12*1</f>
        <v>4500</v>
      </c>
      <c r="J511" s="3320"/>
    </row>
    <row r="512" spans="1:10">
      <c r="A512" s="3316" t="s">
        <v>64</v>
      </c>
      <c r="B512" s="3317">
        <v>72440</v>
      </c>
      <c r="C512" s="3318"/>
      <c r="D512" s="3317"/>
      <c r="E512" s="3322" t="s">
        <v>56</v>
      </c>
      <c r="F512" s="3317">
        <v>37301</v>
      </c>
      <c r="G512" s="3324"/>
      <c r="I512" s="3320"/>
      <c r="J512" s="3320"/>
    </row>
    <row r="513" spans="1:10">
      <c r="A513" s="3316" t="s">
        <v>63</v>
      </c>
      <c r="B513" s="3317">
        <v>73062</v>
      </c>
      <c r="C513" s="3318"/>
      <c r="D513" s="3317"/>
      <c r="E513" s="3325" t="s">
        <v>55</v>
      </c>
      <c r="F513" s="3317">
        <v>35599</v>
      </c>
      <c r="G513" s="3324"/>
      <c r="I513" s="3320"/>
      <c r="J513" s="3320"/>
    </row>
    <row r="514" spans="1:10">
      <c r="A514" s="3316" t="s">
        <v>62</v>
      </c>
      <c r="B514" s="3317">
        <v>74205</v>
      </c>
      <c r="C514" s="3318"/>
      <c r="D514" s="3317"/>
      <c r="E514" s="3325" t="s">
        <v>54</v>
      </c>
      <c r="F514" s="3317">
        <v>36158</v>
      </c>
      <c r="G514" s="3324"/>
      <c r="I514" s="3320"/>
      <c r="J514" s="3320"/>
    </row>
    <row r="515" spans="1:10">
      <c r="A515" s="3316" t="s">
        <v>61</v>
      </c>
      <c r="B515" s="3317">
        <v>75369</v>
      </c>
      <c r="C515" s="3318"/>
      <c r="D515" s="3317"/>
      <c r="E515" s="3325" t="s">
        <v>53</v>
      </c>
      <c r="F515" s="3317">
        <v>36728</v>
      </c>
      <c r="G515" s="3324"/>
      <c r="I515" s="3320"/>
      <c r="J515" s="3320"/>
    </row>
    <row r="516" spans="1:10">
      <c r="A516" s="3316" t="s">
        <v>60</v>
      </c>
      <c r="B516" s="3317">
        <v>76554</v>
      </c>
      <c r="C516" s="3318"/>
      <c r="D516" s="3317"/>
      <c r="E516" s="3325" t="s">
        <v>52</v>
      </c>
      <c r="F516" s="3317">
        <v>37307</v>
      </c>
      <c r="G516" s="3324"/>
      <c r="I516" s="3320"/>
      <c r="J516" s="3320"/>
    </row>
    <row r="517" spans="1:10">
      <c r="A517" s="3316" t="s">
        <v>59</v>
      </c>
      <c r="B517" s="3317">
        <v>77804</v>
      </c>
      <c r="C517" s="3318"/>
      <c r="D517" s="3317"/>
      <c r="E517" s="3325" t="s">
        <v>51</v>
      </c>
      <c r="F517" s="3317">
        <v>37899</v>
      </c>
      <c r="G517" s="3324"/>
      <c r="J517" s="3320"/>
    </row>
    <row r="518" spans="1:10">
      <c r="A518" s="3316" t="s">
        <v>58</v>
      </c>
      <c r="B518" s="3317">
        <v>79073</v>
      </c>
      <c r="C518" s="3318"/>
      <c r="D518" s="3317"/>
      <c r="E518" s="3325" t="s">
        <v>50</v>
      </c>
      <c r="F518" s="3317">
        <v>38500</v>
      </c>
      <c r="G518" s="3324"/>
      <c r="I518" s="3326"/>
      <c r="J518" s="3320"/>
    </row>
    <row r="519" spans="1:10">
      <c r="A519" s="3316" t="s">
        <v>57</v>
      </c>
      <c r="B519" s="3317">
        <v>80364</v>
      </c>
      <c r="C519" s="3318"/>
      <c r="D519" s="3317"/>
      <c r="E519" s="3325" t="s">
        <v>49</v>
      </c>
      <c r="F519" s="3317">
        <v>39113</v>
      </c>
      <c r="G519" s="3324"/>
      <c r="J519" s="3320"/>
    </row>
    <row r="520" spans="1:10">
      <c r="A520" s="3316" t="s">
        <v>56</v>
      </c>
      <c r="B520" s="3317">
        <v>81676</v>
      </c>
      <c r="C520" s="3318"/>
      <c r="D520" s="3317"/>
      <c r="E520" s="3325" t="s">
        <v>48</v>
      </c>
      <c r="F520" s="3317">
        <v>39738</v>
      </c>
      <c r="G520" s="3324"/>
      <c r="I520" s="3320"/>
      <c r="J520" s="3320"/>
    </row>
    <row r="521" spans="1:10">
      <c r="A521" s="3316" t="s">
        <v>55</v>
      </c>
      <c r="B521" s="3317">
        <v>82405</v>
      </c>
      <c r="C521" s="3318"/>
      <c r="D521" s="3317"/>
      <c r="E521" s="3325" t="s">
        <v>47</v>
      </c>
      <c r="F521" s="3317">
        <v>37968</v>
      </c>
      <c r="G521" s="3324"/>
      <c r="I521" s="3320"/>
      <c r="J521" s="3320"/>
    </row>
    <row r="522" spans="1:10">
      <c r="A522" s="3316" t="s">
        <v>54</v>
      </c>
      <c r="B522" s="3317">
        <v>83750</v>
      </c>
      <c r="C522" s="3318"/>
      <c r="D522" s="3317"/>
      <c r="E522" s="3325" t="s">
        <v>46</v>
      </c>
      <c r="F522" s="3317">
        <v>38560</v>
      </c>
      <c r="G522" s="3324"/>
      <c r="I522" s="3320"/>
      <c r="J522" s="3320"/>
    </row>
    <row r="523" spans="1:10">
      <c r="A523" s="3316" t="s">
        <v>53</v>
      </c>
      <c r="B523" s="3317">
        <v>85117</v>
      </c>
      <c r="C523" s="3318"/>
      <c r="D523" s="3317"/>
      <c r="E523" s="3325" t="s">
        <v>45</v>
      </c>
      <c r="F523" s="3317">
        <v>39163</v>
      </c>
      <c r="G523" s="3324"/>
      <c r="I523" s="3320"/>
      <c r="J523" s="3320"/>
    </row>
    <row r="524" spans="1:10">
      <c r="A524" s="3316" t="s">
        <v>52</v>
      </c>
      <c r="B524" s="3317">
        <v>86506</v>
      </c>
      <c r="C524" s="3318"/>
      <c r="D524" s="3317"/>
      <c r="E524" s="3325" t="s">
        <v>44</v>
      </c>
      <c r="F524" s="3317">
        <v>39776</v>
      </c>
      <c r="G524" s="3324"/>
      <c r="I524" s="3326"/>
      <c r="J524" s="3320"/>
    </row>
    <row r="525" spans="1:10">
      <c r="A525" s="3316" t="s">
        <v>51</v>
      </c>
      <c r="B525" s="3317">
        <v>87918</v>
      </c>
      <c r="C525" s="3318"/>
      <c r="D525" s="3317"/>
      <c r="E525" s="3325" t="s">
        <v>43</v>
      </c>
      <c r="F525" s="3317">
        <v>40402</v>
      </c>
      <c r="G525" s="3324"/>
      <c r="J525" s="3320"/>
    </row>
    <row r="526" spans="1:10">
      <c r="A526" s="3316" t="s">
        <v>50</v>
      </c>
      <c r="B526" s="3317">
        <v>89354</v>
      </c>
      <c r="C526" s="3318"/>
      <c r="D526" s="3317"/>
      <c r="E526" s="3325" t="s">
        <v>42</v>
      </c>
      <c r="F526" s="3317">
        <v>41038</v>
      </c>
      <c r="G526" s="3324"/>
      <c r="I526" s="3320"/>
      <c r="J526" s="3320"/>
    </row>
    <row r="527" spans="1:10">
      <c r="A527" s="3316" t="s">
        <v>49</v>
      </c>
      <c r="B527" s="3317">
        <v>90812</v>
      </c>
      <c r="C527" s="3318"/>
      <c r="D527" s="3317"/>
      <c r="E527" s="3325" t="s">
        <v>41</v>
      </c>
      <c r="F527" s="3317">
        <v>41686</v>
      </c>
      <c r="G527" s="3324"/>
      <c r="I527" s="3320"/>
      <c r="J527" s="3320"/>
    </row>
    <row r="528" spans="1:10">
      <c r="A528" s="3316" t="s">
        <v>48</v>
      </c>
      <c r="B528" s="3317">
        <v>92294</v>
      </c>
      <c r="C528" s="3318"/>
      <c r="D528" s="3317"/>
      <c r="E528" s="3325" t="s">
        <v>40</v>
      </c>
      <c r="F528" s="3317">
        <v>42348</v>
      </c>
      <c r="G528" s="3324"/>
      <c r="I528" s="3320"/>
      <c r="J528" s="3320"/>
    </row>
    <row r="529" spans="1:10">
      <c r="A529" s="3316" t="s">
        <v>47</v>
      </c>
      <c r="B529" s="3317">
        <v>93942</v>
      </c>
      <c r="C529" s="3318"/>
      <c r="D529" s="3317"/>
      <c r="E529" s="3323" t="s">
        <v>39</v>
      </c>
      <c r="F529" s="3317">
        <v>40507</v>
      </c>
      <c r="I529" s="3320"/>
      <c r="J529" s="3320"/>
    </row>
    <row r="530" spans="1:10">
      <c r="A530" s="3316" t="s">
        <v>46</v>
      </c>
      <c r="B530" s="3317">
        <v>95475</v>
      </c>
      <c r="C530" s="3318"/>
      <c r="D530" s="3317"/>
      <c r="E530" s="3322" t="s">
        <v>7</v>
      </c>
      <c r="F530" s="3317">
        <v>54096</v>
      </c>
      <c r="H530" s="3321"/>
      <c r="I530" s="3320"/>
      <c r="J530" s="3320"/>
    </row>
    <row r="531" spans="1:10">
      <c r="A531" s="3316" t="s">
        <v>45</v>
      </c>
      <c r="B531" s="3317">
        <v>97033</v>
      </c>
      <c r="C531" s="3318"/>
      <c r="D531" s="3317"/>
      <c r="F531" s="3317"/>
      <c r="H531" s="3311">
        <f>SUM(H338:H530)</f>
        <v>151500</v>
      </c>
      <c r="J531" s="3320"/>
    </row>
    <row r="532" spans="1:10">
      <c r="A532" s="3316" t="s">
        <v>44</v>
      </c>
      <c r="B532" s="3317">
        <v>98618</v>
      </c>
      <c r="C532" s="3318"/>
      <c r="D532" s="3317"/>
      <c r="F532" s="3317"/>
      <c r="J532" s="3320"/>
    </row>
    <row r="533" spans="1:10">
      <c r="A533" s="3316" t="s">
        <v>43</v>
      </c>
      <c r="B533" s="3317">
        <v>100227</v>
      </c>
      <c r="C533" s="3318"/>
      <c r="D533" s="3317"/>
      <c r="F533" s="3317"/>
      <c r="J533" s="3320"/>
    </row>
    <row r="534" spans="1:10">
      <c r="A534" s="3316" t="s">
        <v>42</v>
      </c>
      <c r="B534" s="3317">
        <v>101863</v>
      </c>
      <c r="C534" s="3318"/>
      <c r="D534" s="3317"/>
      <c r="F534" s="3317"/>
      <c r="J534" s="3320"/>
    </row>
    <row r="535" spans="1:10">
      <c r="A535" s="3316" t="s">
        <v>41</v>
      </c>
      <c r="B535" s="3317">
        <v>103525</v>
      </c>
      <c r="C535" s="3318"/>
      <c r="D535" s="3317"/>
      <c r="F535" s="3317"/>
      <c r="J535" s="3320"/>
    </row>
    <row r="536" spans="1:10">
      <c r="A536" s="3316" t="s">
        <v>40</v>
      </c>
      <c r="B536" s="3317">
        <v>105215</v>
      </c>
      <c r="C536" s="3318"/>
      <c r="D536" s="3317"/>
      <c r="F536" s="3317"/>
      <c r="J536" s="3320"/>
    </row>
    <row r="537" spans="1:10">
      <c r="A537" s="3316" t="s">
        <v>39</v>
      </c>
      <c r="B537" s="3317">
        <v>106155</v>
      </c>
      <c r="C537" s="3318"/>
      <c r="D537" s="3317"/>
      <c r="F537" s="3317"/>
      <c r="J537" s="3320"/>
    </row>
    <row r="538" spans="1:10">
      <c r="A538" s="3316" t="s">
        <v>38</v>
      </c>
      <c r="B538" s="3317">
        <v>107887</v>
      </c>
      <c r="C538" s="3318"/>
      <c r="D538" s="3317"/>
      <c r="J538" s="3320"/>
    </row>
    <row r="539" spans="1:10">
      <c r="A539" s="3316" t="s">
        <v>37</v>
      </c>
      <c r="B539" s="3317">
        <v>109648</v>
      </c>
      <c r="C539" s="3318"/>
      <c r="D539" s="3317"/>
    </row>
    <row r="540" spans="1:10">
      <c r="A540" s="3316" t="s">
        <v>36</v>
      </c>
      <c r="B540" s="3317">
        <v>111438</v>
      </c>
      <c r="C540" s="3318"/>
      <c r="D540" s="3317"/>
    </row>
    <row r="541" spans="1:10">
      <c r="A541" s="3316" t="s">
        <v>35</v>
      </c>
      <c r="B541" s="3317">
        <v>113256</v>
      </c>
      <c r="C541" s="3318"/>
      <c r="D541" s="3317"/>
    </row>
    <row r="542" spans="1:10">
      <c r="A542" s="3316" t="s">
        <v>34</v>
      </c>
      <c r="B542" s="3317">
        <v>115105</v>
      </c>
      <c r="C542" s="3318"/>
      <c r="D542" s="3317"/>
    </row>
    <row r="543" spans="1:10">
      <c r="A543" s="3316" t="s">
        <v>33</v>
      </c>
      <c r="B543" s="3317">
        <v>116983</v>
      </c>
      <c r="C543" s="3318"/>
      <c r="D543" s="3317"/>
    </row>
    <row r="544" spans="1:10">
      <c r="A544" s="3316" t="s">
        <v>32</v>
      </c>
      <c r="B544" s="3317">
        <v>118893</v>
      </c>
      <c r="C544" s="3318"/>
      <c r="D544" s="3317"/>
    </row>
    <row r="545" spans="1:7">
      <c r="A545" s="3319" t="s">
        <v>31</v>
      </c>
      <c r="B545" s="3317">
        <v>119954</v>
      </c>
      <c r="C545" s="3318"/>
      <c r="D545" s="3317"/>
    </row>
    <row r="546" spans="1:7">
      <c r="A546" s="3319" t="s">
        <v>30</v>
      </c>
      <c r="B546" s="3317">
        <v>121913</v>
      </c>
      <c r="C546" s="3318"/>
      <c r="D546" s="3317"/>
    </row>
    <row r="547" spans="1:7">
      <c r="A547" s="3319" t="s">
        <v>29</v>
      </c>
      <c r="B547" s="3317">
        <v>123902</v>
      </c>
      <c r="C547" s="3318"/>
      <c r="D547" s="3317"/>
    </row>
    <row r="548" spans="1:7">
      <c r="A548" s="3319" t="s">
        <v>28</v>
      </c>
      <c r="B548" s="3317">
        <v>125924</v>
      </c>
      <c r="C548" s="3318"/>
      <c r="D548" s="3317"/>
    </row>
    <row r="549" spans="1:7">
      <c r="A549" s="3319" t="s">
        <v>27</v>
      </c>
      <c r="B549" s="3317">
        <v>127979</v>
      </c>
      <c r="C549" s="3318"/>
      <c r="D549" s="3317"/>
    </row>
    <row r="550" spans="1:7">
      <c r="A550" s="3319" t="s">
        <v>26</v>
      </c>
      <c r="B550" s="3317">
        <v>130068</v>
      </c>
      <c r="C550" s="3318"/>
      <c r="D550" s="3317"/>
    </row>
    <row r="551" spans="1:7">
      <c r="A551" s="3319" t="s">
        <v>25</v>
      </c>
      <c r="B551" s="3317">
        <v>132192</v>
      </c>
      <c r="C551" s="3318"/>
      <c r="D551" s="3317"/>
    </row>
    <row r="552" spans="1:7">
      <c r="A552" s="3319" t="s">
        <v>24</v>
      </c>
      <c r="B552" s="3317">
        <v>134349</v>
      </c>
      <c r="C552" s="3318"/>
      <c r="D552" s="3317"/>
      <c r="E552" s="3311"/>
      <c r="G552" s="3311"/>
    </row>
    <row r="553" spans="1:7">
      <c r="A553" s="3319" t="s">
        <v>23</v>
      </c>
      <c r="B553" s="3317">
        <v>135549</v>
      </c>
      <c r="C553" s="3318"/>
      <c r="D553" s="3317"/>
      <c r="E553" s="3311"/>
      <c r="G553" s="3311"/>
    </row>
    <row r="554" spans="1:7">
      <c r="A554" s="3319" t="s">
        <v>22</v>
      </c>
      <c r="B554" s="3317">
        <v>137760</v>
      </c>
      <c r="C554" s="3318"/>
      <c r="D554" s="3317"/>
      <c r="E554" s="3311"/>
      <c r="G554" s="3311"/>
    </row>
    <row r="555" spans="1:7">
      <c r="A555" s="3319" t="s">
        <v>21</v>
      </c>
      <c r="B555" s="3317">
        <v>140009</v>
      </c>
      <c r="C555" s="3318"/>
      <c r="D555" s="3317"/>
      <c r="E555" s="3311"/>
      <c r="G555" s="3311"/>
    </row>
    <row r="556" spans="1:7">
      <c r="A556" s="3319" t="s">
        <v>20</v>
      </c>
      <c r="B556" s="3317">
        <v>142295</v>
      </c>
      <c r="C556" s="3318"/>
      <c r="D556" s="3317"/>
      <c r="E556" s="3311"/>
      <c r="G556" s="3311"/>
    </row>
    <row r="557" spans="1:7">
      <c r="A557" s="3319" t="s">
        <v>19</v>
      </c>
      <c r="B557" s="3317">
        <v>144617</v>
      </c>
      <c r="C557" s="3318"/>
      <c r="D557" s="3317"/>
      <c r="E557" s="3311"/>
      <c r="G557" s="3311"/>
    </row>
    <row r="558" spans="1:7">
      <c r="A558" s="3319" t="s">
        <v>18</v>
      </c>
      <c r="B558" s="3317">
        <v>146978</v>
      </c>
      <c r="C558" s="3318"/>
      <c r="D558" s="3317"/>
      <c r="E558" s="3311"/>
      <c r="G558" s="3311"/>
    </row>
    <row r="559" spans="1:7">
      <c r="A559" s="3319" t="s">
        <v>17</v>
      </c>
      <c r="B559" s="3317">
        <v>149377</v>
      </c>
      <c r="C559" s="3318"/>
      <c r="D559" s="3317"/>
      <c r="E559" s="3311"/>
      <c r="G559" s="3311"/>
    </row>
    <row r="560" spans="1:7">
      <c r="A560" s="3319" t="s">
        <v>16</v>
      </c>
      <c r="B560" s="3317">
        <v>151814</v>
      </c>
      <c r="C560" s="3318"/>
      <c r="D560" s="3317"/>
      <c r="E560" s="3311"/>
      <c r="G560" s="3311"/>
    </row>
    <row r="561" spans="1:7">
      <c r="A561" s="3319" t="s">
        <v>15</v>
      </c>
      <c r="B561" s="3317">
        <v>153169</v>
      </c>
      <c r="C561" s="3318"/>
      <c r="D561" s="3317"/>
      <c r="E561" s="3311"/>
      <c r="G561" s="3311"/>
    </row>
    <row r="562" spans="1:7">
      <c r="A562" s="3319" t="s">
        <v>14</v>
      </c>
      <c r="B562" s="3317">
        <v>155670</v>
      </c>
      <c r="C562" s="3318"/>
      <c r="D562" s="3317"/>
      <c r="E562" s="3311"/>
      <c r="G562" s="3311"/>
    </row>
    <row r="563" spans="1:7">
      <c r="A563" s="3319" t="s">
        <v>13</v>
      </c>
      <c r="B563" s="3317">
        <v>158210</v>
      </c>
      <c r="C563" s="3318"/>
      <c r="D563" s="3317"/>
      <c r="E563" s="3311"/>
      <c r="G563" s="3311"/>
    </row>
    <row r="564" spans="1:7">
      <c r="A564" s="3319" t="s">
        <v>12</v>
      </c>
      <c r="B564" s="3317">
        <v>160793</v>
      </c>
      <c r="C564" s="3318"/>
      <c r="D564" s="3317"/>
      <c r="E564" s="3311"/>
      <c r="G564" s="3311"/>
    </row>
    <row r="565" spans="1:7">
      <c r="A565" s="3319" t="s">
        <v>11</v>
      </c>
      <c r="B565" s="3317">
        <v>163417</v>
      </c>
      <c r="C565" s="3318"/>
      <c r="D565" s="3317"/>
      <c r="E565" s="3311"/>
      <c r="G565" s="3311"/>
    </row>
    <row r="566" spans="1:7">
      <c r="A566" s="3319" t="s">
        <v>10</v>
      </c>
      <c r="B566" s="3317">
        <v>166085</v>
      </c>
      <c r="C566" s="3318"/>
      <c r="D566" s="3317"/>
      <c r="E566" s="3311"/>
      <c r="G566" s="3311"/>
    </row>
    <row r="567" spans="1:7">
      <c r="A567" s="3319" t="s">
        <v>9</v>
      </c>
      <c r="B567" s="3317">
        <v>168795</v>
      </c>
      <c r="C567" s="3318"/>
      <c r="D567" s="3317"/>
      <c r="E567" s="3311"/>
      <c r="G567" s="3311"/>
    </row>
    <row r="568" spans="1:7">
      <c r="A568" s="3319" t="s">
        <v>8</v>
      </c>
      <c r="B568" s="3317">
        <v>171550</v>
      </c>
      <c r="C568" s="3318"/>
      <c r="D568" s="3317"/>
      <c r="E568" s="3311"/>
      <c r="G568" s="3311"/>
    </row>
    <row r="569" spans="1:7">
      <c r="A569" s="3316" t="s">
        <v>7</v>
      </c>
      <c r="B569" s="3317">
        <v>173081</v>
      </c>
      <c r="C569" s="3318"/>
      <c r="D569" s="3317"/>
      <c r="E569" s="3311"/>
      <c r="G569" s="3311"/>
    </row>
    <row r="570" spans="1:7">
      <c r="A570" s="3316" t="s">
        <v>6</v>
      </c>
      <c r="B570" s="3317">
        <v>175907</v>
      </c>
      <c r="C570" s="3318"/>
      <c r="D570" s="3317"/>
      <c r="E570" s="3311"/>
      <c r="G570" s="3311"/>
    </row>
    <row r="571" spans="1:7">
      <c r="A571" s="3316" t="s">
        <v>5</v>
      </c>
      <c r="B571" s="3317">
        <v>178778</v>
      </c>
      <c r="C571" s="3318"/>
      <c r="D571" s="3317"/>
      <c r="E571" s="3311"/>
      <c r="G571" s="3311"/>
    </row>
    <row r="572" spans="1:7">
      <c r="A572" s="3316" t="s">
        <v>4</v>
      </c>
      <c r="B572" s="3317">
        <v>181696</v>
      </c>
      <c r="C572" s="3318"/>
      <c r="D572" s="3317"/>
      <c r="E572" s="3311"/>
      <c r="G572" s="3311"/>
    </row>
    <row r="573" spans="1:7">
      <c r="A573" s="3316" t="s">
        <v>3</v>
      </c>
      <c r="B573" s="3317">
        <v>184661</v>
      </c>
      <c r="C573" s="3318"/>
      <c r="D573" s="3317"/>
      <c r="E573" s="3311"/>
      <c r="G573" s="3311"/>
    </row>
    <row r="574" spans="1:7">
      <c r="A574" s="3316" t="s">
        <v>2</v>
      </c>
      <c r="B574" s="3317">
        <v>187675</v>
      </c>
      <c r="C574" s="3318"/>
      <c r="D574" s="3317"/>
      <c r="E574" s="3311"/>
      <c r="G574" s="3311"/>
    </row>
    <row r="575" spans="1:7">
      <c r="A575" s="3316" t="s">
        <v>1</v>
      </c>
      <c r="B575" s="3317">
        <v>190738</v>
      </c>
      <c r="C575" s="3318"/>
      <c r="D575" s="3317"/>
      <c r="E575" s="3311"/>
      <c r="G575" s="3311"/>
    </row>
    <row r="576" spans="1:7">
      <c r="A576" s="3316" t="s">
        <v>0</v>
      </c>
      <c r="B576" s="3317">
        <v>193851</v>
      </c>
      <c r="C576" s="3318"/>
      <c r="D576" s="3317"/>
      <c r="E576" s="3311"/>
      <c r="G576" s="3311"/>
    </row>
    <row r="577" spans="1:7">
      <c r="A577" s="3316"/>
      <c r="B577" s="3315"/>
      <c r="C577" s="3314"/>
      <c r="D577" s="3317"/>
      <c r="E577" s="3311"/>
      <c r="G577" s="3311"/>
    </row>
    <row r="578" spans="1:7">
      <c r="A578" s="3316"/>
      <c r="B578" s="3315"/>
      <c r="C578" s="3314"/>
      <c r="D578" s="3317"/>
      <c r="E578" s="3311"/>
      <c r="G578" s="3311"/>
    </row>
    <row r="579" spans="1:7">
      <c r="A579" s="3316"/>
      <c r="B579" s="3315"/>
      <c r="C579" s="3314"/>
      <c r="D579" s="3317"/>
      <c r="E579" s="3311"/>
      <c r="G579" s="3311"/>
    </row>
    <row r="580" spans="1:7">
      <c r="A580" s="3316"/>
      <c r="B580" s="3315"/>
      <c r="C580" s="3314"/>
      <c r="D580" s="3317"/>
      <c r="E580" s="3311"/>
      <c r="G580" s="3311"/>
    </row>
    <row r="581" spans="1:7">
      <c r="A581" s="3316"/>
      <c r="B581" s="3315"/>
      <c r="C581" s="3314"/>
      <c r="D581" s="3317"/>
      <c r="E581" s="3311"/>
      <c r="G581" s="3311"/>
    </row>
    <row r="582" spans="1:7">
      <c r="A582" s="3316"/>
      <c r="B582" s="3315"/>
      <c r="C582" s="3314"/>
      <c r="E582" s="3311"/>
      <c r="G582" s="3311"/>
    </row>
  </sheetData>
  <mergeCells count="55">
    <mergeCell ref="A282:B282"/>
    <mergeCell ref="A325:B325"/>
    <mergeCell ref="C325:C327"/>
    <mergeCell ref="A326:B326"/>
    <mergeCell ref="A327:B327"/>
    <mergeCell ref="A178:B178"/>
    <mergeCell ref="E178:F178"/>
    <mergeCell ref="G178:H178"/>
    <mergeCell ref="E281:F281"/>
    <mergeCell ref="G281:H281"/>
    <mergeCell ref="A179:B179"/>
    <mergeCell ref="E227:F227"/>
    <mergeCell ref="G227:H227"/>
    <mergeCell ref="E228:F228"/>
    <mergeCell ref="G228:H228"/>
    <mergeCell ref="A229:B229"/>
    <mergeCell ref="E229:F229"/>
    <mergeCell ref="G229:H229"/>
    <mergeCell ref="A281:B281"/>
    <mergeCell ref="A230:B230"/>
    <mergeCell ref="E279:F279"/>
    <mergeCell ref="G279:H279"/>
    <mergeCell ref="E280:F280"/>
    <mergeCell ref="G280:H280"/>
    <mergeCell ref="E177:F177"/>
    <mergeCell ref="G177:H177"/>
    <mergeCell ref="A60:B60"/>
    <mergeCell ref="E122:F122"/>
    <mergeCell ref="G122:H122"/>
    <mergeCell ref="E123:F123"/>
    <mergeCell ref="G123:H123"/>
    <mergeCell ref="A124:B124"/>
    <mergeCell ref="E124:F124"/>
    <mergeCell ref="G124:H124"/>
    <mergeCell ref="A12:B12"/>
    <mergeCell ref="E57:F57"/>
    <mergeCell ref="G57:H57"/>
    <mergeCell ref="A125:B125"/>
    <mergeCell ref="E176:F176"/>
    <mergeCell ref="G176:H176"/>
    <mergeCell ref="E10:F10"/>
    <mergeCell ref="G10:H10"/>
    <mergeCell ref="A11:B11"/>
    <mergeCell ref="E11:F11"/>
    <mergeCell ref="G11:H11"/>
    <mergeCell ref="E58:F58"/>
    <mergeCell ref="G58:H58"/>
    <mergeCell ref="A59:B59"/>
    <mergeCell ref="E59:F59"/>
    <mergeCell ref="G59:H59"/>
    <mergeCell ref="A3:I3"/>
    <mergeCell ref="A4:I4"/>
    <mergeCell ref="A5:I5"/>
    <mergeCell ref="E9:F9"/>
    <mergeCell ref="G9:H9"/>
  </mergeCells>
  <printOptions horizontalCentered="1"/>
  <pageMargins left="0.5" right="0" top="0.25" bottom="1.25" header="0" footer="0"/>
  <pageSetup paperSize="5" orientation="portrait" r:id="rId1"/>
  <headerFooter alignWithMargins="0"/>
  <drawing r:id="rId2"/>
  <legacyDrawing r:id="rId3"/>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 transitionEvaluation="1" transitionEntry="1">
    <tabColor rgb="FFFF0000"/>
    <outlinePr summaryBelow="0"/>
  </sheetPr>
  <dimension ref="A1:EH158"/>
  <sheetViews>
    <sheetView showGridLines="0" showOutlineSymbols="0" workbookViewId="0">
      <pane xSplit="3" ySplit="12" topLeftCell="D142" activePane="bottomRight" state="frozen"/>
      <selection pane="topRight" activeCell="G1" sqref="G1"/>
      <selection pane="bottomLeft" activeCell="A11" sqref="A11"/>
      <selection pane="bottomRight" activeCell="F151" sqref="F151"/>
    </sheetView>
  </sheetViews>
  <sheetFormatPr defaultColWidth="12.5703125" defaultRowHeight="13.5" outlineLevelRow="2" outlineLevelCol="2"/>
  <cols>
    <col min="1" max="1" width="1.85546875" style="3160" customWidth="1"/>
    <col min="2" max="2" width="31.5703125" style="3160" customWidth="1"/>
    <col min="3" max="3" width="11.28515625" style="3593" customWidth="1"/>
    <col min="4" max="4" width="10.5703125" style="3593" customWidth="1"/>
    <col min="5" max="5" width="10.7109375" style="3593" customWidth="1"/>
    <col min="6" max="6" width="10.85546875" style="3593" customWidth="1"/>
    <col min="7" max="7" width="10.7109375" style="3593" customWidth="1"/>
    <col min="8" max="8" width="11" style="3593" customWidth="1"/>
    <col min="9" max="37" width="12.5703125" style="3160"/>
    <col min="38" max="42" width="12.5703125" style="3160" outlineLevel="1"/>
    <col min="43" max="48" width="12.5703125" style="3160" outlineLevel="2"/>
    <col min="49" max="51" width="12.5703125" style="3160" outlineLevel="1"/>
    <col min="52" max="71" width="12.5703125" style="3160"/>
    <col min="72" max="75" width="12.5703125" style="3160" outlineLevel="1"/>
    <col min="76" max="123" width="12.5703125" style="3160"/>
    <col min="124" max="129" width="12.5703125" style="3160" outlineLevel="1"/>
    <col min="130" max="135" width="12.5703125" style="3160" outlineLevel="2"/>
    <col min="136" max="138" width="12.5703125" style="3160" outlineLevel="1"/>
    <col min="139" max="16384" width="12.5703125" style="3160"/>
  </cols>
  <sheetData>
    <row r="1" spans="1:9">
      <c r="A1" s="3226" t="s">
        <v>473</v>
      </c>
      <c r="E1" s="3226"/>
      <c r="F1" s="3226"/>
      <c r="G1" s="3226"/>
      <c r="H1" s="3226"/>
    </row>
    <row r="2" spans="1:9" ht="14.25" customHeight="1">
      <c r="A2" s="3221" t="s">
        <v>1291</v>
      </c>
      <c r="E2" s="3221"/>
      <c r="F2" s="3221"/>
      <c r="G2" s="3221"/>
      <c r="H2" s="3221"/>
    </row>
    <row r="3" spans="1:9" ht="2.25" customHeight="1">
      <c r="E3" s="3221"/>
      <c r="F3" s="3221"/>
      <c r="G3" s="3221"/>
      <c r="H3" s="3221"/>
    </row>
    <row r="4" spans="1:9" ht="11.25" customHeight="1">
      <c r="A4" s="4940" t="s">
        <v>471</v>
      </c>
      <c r="B4" s="4940"/>
      <c r="C4" s="4940"/>
      <c r="D4" s="4940"/>
      <c r="E4" s="4940"/>
      <c r="F4" s="4940"/>
      <c r="G4" s="4940"/>
      <c r="H4" s="4940"/>
    </row>
    <row r="5" spans="1:9" ht="14.25" customHeight="1">
      <c r="A5" s="4941" t="s">
        <v>746</v>
      </c>
      <c r="B5" s="4941"/>
      <c r="C5" s="4941"/>
      <c r="D5" s="4941"/>
      <c r="E5" s="4941"/>
      <c r="F5" s="4941"/>
      <c r="G5" s="4941"/>
      <c r="H5" s="4941"/>
    </row>
    <row r="6" spans="1:9" ht="14.25" customHeight="1">
      <c r="A6" s="3648"/>
      <c r="B6" s="3281" t="s">
        <v>2723</v>
      </c>
    </row>
    <row r="7" spans="1:9" ht="10.5" customHeight="1">
      <c r="A7" s="4942" t="s">
        <v>468</v>
      </c>
      <c r="B7" s="4943"/>
      <c r="C7" s="3220" t="s">
        <v>467</v>
      </c>
      <c r="D7" s="3220" t="s">
        <v>466</v>
      </c>
      <c r="E7" s="4948" t="s">
        <v>465</v>
      </c>
      <c r="F7" s="4949"/>
      <c r="G7" s="4950"/>
      <c r="H7" s="3220" t="s">
        <v>2345</v>
      </c>
    </row>
    <row r="8" spans="1:9" ht="9.75" customHeight="1">
      <c r="A8" s="4944"/>
      <c r="B8" s="4945"/>
      <c r="C8" s="3219" t="s">
        <v>463</v>
      </c>
      <c r="D8" s="3218">
        <v>2020</v>
      </c>
      <c r="E8" s="3218" t="s">
        <v>2344</v>
      </c>
      <c r="F8" s="3218" t="s">
        <v>2343</v>
      </c>
      <c r="G8" s="3218"/>
      <c r="H8" s="3218" t="s">
        <v>2342</v>
      </c>
    </row>
    <row r="9" spans="1:9" ht="9.75" customHeight="1">
      <c r="A9" s="4944"/>
      <c r="B9" s="4945"/>
      <c r="C9" s="3219"/>
      <c r="D9" s="3218"/>
      <c r="E9" s="3218" t="s">
        <v>2341</v>
      </c>
      <c r="F9" s="3218" t="s">
        <v>2341</v>
      </c>
      <c r="G9" s="3218" t="s">
        <v>244</v>
      </c>
      <c r="H9" s="3218" t="s">
        <v>652</v>
      </c>
    </row>
    <row r="10" spans="1:9" ht="11.25" customHeight="1">
      <c r="A10" s="4946"/>
      <c r="B10" s="4947"/>
      <c r="C10" s="3217"/>
      <c r="D10" s="3215" t="s">
        <v>460</v>
      </c>
      <c r="E10" s="3215" t="s">
        <v>460</v>
      </c>
      <c r="F10" s="3215" t="s">
        <v>459</v>
      </c>
      <c r="G10" s="3216"/>
      <c r="H10" s="3215" t="s">
        <v>458</v>
      </c>
    </row>
    <row r="11" spans="1:9" ht="10.5" customHeight="1">
      <c r="A11" s="3277" t="s">
        <v>456</v>
      </c>
      <c r="B11" s="3276"/>
      <c r="C11" s="3647"/>
      <c r="D11" s="3647"/>
      <c r="E11" s="3647"/>
      <c r="F11" s="3646"/>
      <c r="G11" s="3646"/>
      <c r="H11" s="3646"/>
    </row>
    <row r="12" spans="1:9" ht="10.5" customHeight="1">
      <c r="A12" s="3645" t="s">
        <v>455</v>
      </c>
      <c r="B12" s="3644"/>
      <c r="C12" s="3643"/>
      <c r="D12" s="3642">
        <f>SUM(D14:D39)</f>
        <v>62516979.731999993</v>
      </c>
      <c r="E12" s="3642">
        <f>SUM(E14:E39)</f>
        <v>28374559.599999998</v>
      </c>
      <c r="F12" s="3642">
        <f>SUM(F14:F39)</f>
        <v>47140362.400000006</v>
      </c>
      <c r="G12" s="3642">
        <f>SUM(G14:G39)</f>
        <v>75514922</v>
      </c>
      <c r="H12" s="3642">
        <f>SUM(H14:H39)</f>
        <v>82938889</v>
      </c>
    </row>
    <row r="13" spans="1:9" ht="12" customHeight="1" outlineLevel="1">
      <c r="A13" s="3641" t="s">
        <v>454</v>
      </c>
      <c r="B13" s="3640"/>
      <c r="C13" s="3638"/>
      <c r="D13" s="3639"/>
      <c r="E13" s="3639"/>
      <c r="F13" s="3638"/>
      <c r="G13" s="3638"/>
      <c r="H13" s="3638"/>
    </row>
    <row r="14" spans="1:9" ht="12" customHeight="1" outlineLevel="1">
      <c r="A14" s="3206" t="s">
        <v>426</v>
      </c>
      <c r="B14" s="3205"/>
      <c r="C14" s="3637" t="s">
        <v>453</v>
      </c>
      <c r="D14" s="3180">
        <f>[26]CMO!$E$9</f>
        <v>32847898.039999999</v>
      </c>
      <c r="E14" s="3052">
        <f>[27]CMO!$E$9</f>
        <v>16746469.23</v>
      </c>
      <c r="F14" s="3052">
        <f>G14-E14</f>
        <v>22569670.77</v>
      </c>
      <c r="G14" s="2619">
        <f>[27]CMO!$C$9</f>
        <v>39316140</v>
      </c>
      <c r="H14" s="2619">
        <f>'CMO-plantilla'!H326</f>
        <v>42626004</v>
      </c>
      <c r="I14" s="3160">
        <f>H14*0.1</f>
        <v>4262600.4000000004</v>
      </c>
    </row>
    <row r="15" spans="1:9" ht="12" customHeight="1" outlineLevel="1">
      <c r="A15" s="3635" t="s">
        <v>452</v>
      </c>
      <c r="B15" s="3205"/>
      <c r="C15" s="3634"/>
      <c r="D15" s="3180"/>
      <c r="E15" s="3052"/>
      <c r="F15" s="3052"/>
      <c r="G15" s="2619"/>
      <c r="H15" s="2619"/>
    </row>
    <row r="16" spans="1:9" ht="12" customHeight="1" outlineLevel="1">
      <c r="A16" s="3206" t="s">
        <v>1507</v>
      </c>
      <c r="B16" s="3205"/>
      <c r="C16" s="3637" t="s">
        <v>450</v>
      </c>
      <c r="D16" s="3180">
        <f>[26]CMO!$E$10</f>
        <v>3542877.85</v>
      </c>
      <c r="E16" s="3052">
        <f>[27]CMO!$E$10</f>
        <v>1885099.0799999996</v>
      </c>
      <c r="F16" s="3052">
        <f t="shared" ref="F16:F23" si="0">G16-E16</f>
        <v>2146900.9200000004</v>
      </c>
      <c r="G16" s="2619">
        <f>[27]CMO!$C$10</f>
        <v>4032000</v>
      </c>
      <c r="H16" s="2619">
        <f>'CMO-plantilla'!B324*2000*12</f>
        <v>4368000</v>
      </c>
    </row>
    <row r="17" spans="1:10" ht="12" customHeight="1" outlineLevel="1">
      <c r="A17" s="3206" t="s">
        <v>449</v>
      </c>
      <c r="B17" s="3205"/>
      <c r="C17" s="3637" t="s">
        <v>448</v>
      </c>
      <c r="D17" s="3180">
        <f>[26]CMO!$E$11</f>
        <v>114000</v>
      </c>
      <c r="E17" s="3260">
        <f>[27]CMO!$E$11</f>
        <v>57000</v>
      </c>
      <c r="F17" s="3052">
        <f t="shared" si="0"/>
        <v>57000</v>
      </c>
      <c r="G17" s="3262">
        <f>[27]CMO!$C$11</f>
        <v>114000</v>
      </c>
      <c r="H17" s="2619">
        <v>114000</v>
      </c>
    </row>
    <row r="18" spans="1:10" ht="12" customHeight="1" outlineLevel="1">
      <c r="A18" s="3206" t="s">
        <v>447</v>
      </c>
      <c r="B18" s="3205"/>
      <c r="C18" s="3637" t="s">
        <v>446</v>
      </c>
      <c r="D18" s="3180">
        <f>[26]CMO!$E$12</f>
        <v>114000</v>
      </c>
      <c r="E18" s="3260">
        <f>[27]CMO!$E$12</f>
        <v>57000</v>
      </c>
      <c r="F18" s="3052">
        <f t="shared" si="0"/>
        <v>57000</v>
      </c>
      <c r="G18" s="3262">
        <f>[27]CMO!$C$12</f>
        <v>114000</v>
      </c>
      <c r="H18" s="3262">
        <v>114000</v>
      </c>
    </row>
    <row r="19" spans="1:10" ht="12" customHeight="1" outlineLevel="1">
      <c r="A19" s="3206" t="s">
        <v>445</v>
      </c>
      <c r="B19" s="3205"/>
      <c r="C19" s="3637" t="s">
        <v>2360</v>
      </c>
      <c r="D19" s="3180">
        <f>[26]CMO!$E$13</f>
        <v>858000</v>
      </c>
      <c r="E19" s="3260">
        <f>[27]CMO!$E$13</f>
        <v>834000</v>
      </c>
      <c r="F19" s="3052">
        <f t="shared" si="0"/>
        <v>180000</v>
      </c>
      <c r="G19" s="3262">
        <f>[27]CMO!$C$13</f>
        <v>1014000</v>
      </c>
      <c r="H19" s="3262">
        <f>'CMO-plantilla'!B324*6000</f>
        <v>1092000</v>
      </c>
    </row>
    <row r="20" spans="1:10" ht="12" customHeight="1" outlineLevel="1">
      <c r="A20" s="3202" t="s">
        <v>441</v>
      </c>
      <c r="B20" s="3205"/>
      <c r="C20" s="3637" t="s">
        <v>440</v>
      </c>
      <c r="D20" s="3180">
        <f>[26]CMO!$E$14</f>
        <v>1523.6</v>
      </c>
      <c r="E20" s="3260">
        <f>[27]CMO!$E$14</f>
        <v>0</v>
      </c>
      <c r="F20" s="3052">
        <f t="shared" si="0"/>
        <v>50000</v>
      </c>
      <c r="G20" s="3262">
        <f>[27]CMO!$C$14</f>
        <v>50000</v>
      </c>
      <c r="H20" s="3262">
        <v>50000</v>
      </c>
    </row>
    <row r="21" spans="1:10" ht="12" customHeight="1" outlineLevel="1">
      <c r="A21" s="3206" t="s">
        <v>1506</v>
      </c>
      <c r="B21" s="3205"/>
      <c r="C21" s="3634" t="s">
        <v>439</v>
      </c>
      <c r="D21" s="3180">
        <f>[26]CMO!$E$15</f>
        <v>2706958.8</v>
      </c>
      <c r="E21" s="3260">
        <f>[27]CMO!$E$15</f>
        <v>0</v>
      </c>
      <c r="F21" s="3052">
        <f t="shared" si="0"/>
        <v>3276345</v>
      </c>
      <c r="G21" s="3262">
        <f>[27]CMO!$C$15</f>
        <v>3276345</v>
      </c>
      <c r="H21" s="2619">
        <f>H14/12</f>
        <v>3552167</v>
      </c>
      <c r="I21" s="3160">
        <f>H21*0.1</f>
        <v>355216.7</v>
      </c>
    </row>
    <row r="22" spans="1:10" ht="12" customHeight="1" outlineLevel="1">
      <c r="A22" s="3206" t="s">
        <v>2359</v>
      </c>
      <c r="B22" s="3205"/>
      <c r="C22" s="3634" t="s">
        <v>437</v>
      </c>
      <c r="D22" s="3180">
        <f>[26]CMO!$E$16</f>
        <v>741500</v>
      </c>
      <c r="E22" s="3264">
        <f>[27]CMO!$E$16</f>
        <v>0</v>
      </c>
      <c r="F22" s="3052">
        <f t="shared" si="0"/>
        <v>840000</v>
      </c>
      <c r="G22" s="3265">
        <f>[27]CMO!$C$16</f>
        <v>840000</v>
      </c>
      <c r="H22" s="3265">
        <f>'CMO-plantilla'!B324*5000</f>
        <v>910000</v>
      </c>
    </row>
    <row r="23" spans="1:10" ht="12" customHeight="1" outlineLevel="1">
      <c r="A23" s="3206" t="s">
        <v>436</v>
      </c>
      <c r="B23" s="3205"/>
      <c r="C23" s="3634" t="s">
        <v>435</v>
      </c>
      <c r="D23" s="3180">
        <f>[26]CMO!$E$17</f>
        <v>2641110</v>
      </c>
      <c r="E23" s="3260">
        <f>[27]CMO!$E$17</f>
        <v>2752907</v>
      </c>
      <c r="F23" s="3052">
        <f t="shared" si="0"/>
        <v>523438</v>
      </c>
      <c r="G23" s="3262">
        <f>[27]CMO!$C$17</f>
        <v>3276345</v>
      </c>
      <c r="H23" s="2619">
        <f>H21</f>
        <v>3552167</v>
      </c>
      <c r="I23" s="3160">
        <f>H23*0.1</f>
        <v>355216.7</v>
      </c>
    </row>
    <row r="24" spans="1:10" ht="12" customHeight="1" outlineLevel="1">
      <c r="A24" s="3635" t="s">
        <v>434</v>
      </c>
      <c r="B24" s="3205"/>
      <c r="C24" s="3634"/>
      <c r="D24" s="3180"/>
      <c r="E24" s="3260"/>
      <c r="F24" s="3052"/>
      <c r="G24" s="3262"/>
      <c r="H24" s="2619"/>
    </row>
    <row r="25" spans="1:10" ht="12" customHeight="1" outlineLevel="1">
      <c r="A25" s="3206" t="s">
        <v>421</v>
      </c>
      <c r="B25" s="3205"/>
      <c r="C25" s="3634" t="s">
        <v>433</v>
      </c>
      <c r="D25" s="3180">
        <f>[26]CMO!$E$18</f>
        <v>3721691.4399999995</v>
      </c>
      <c r="E25" s="3260">
        <f>[27]CMO!$E$18</f>
        <v>1912068.4200000009</v>
      </c>
      <c r="F25" s="3052">
        <f>G25-E25</f>
        <v>2805869.5799999991</v>
      </c>
      <c r="G25" s="3262">
        <f>[27]CMO!$C$18</f>
        <v>4717938</v>
      </c>
      <c r="H25" s="2619">
        <f>J26</f>
        <v>5115121</v>
      </c>
      <c r="I25" s="3160">
        <f>H25*0.1</f>
        <v>511512.10000000003</v>
      </c>
      <c r="J25" s="3636">
        <f>H14*0.12</f>
        <v>5115120.4799999995</v>
      </c>
    </row>
    <row r="26" spans="1:10" ht="12" customHeight="1" outlineLevel="1">
      <c r="A26" s="3206" t="s">
        <v>2358</v>
      </c>
      <c r="B26" s="3205"/>
      <c r="C26" s="3634" t="s">
        <v>431</v>
      </c>
      <c r="D26" s="3180">
        <f>[26]CMO!$E$19</f>
        <v>173239.7</v>
      </c>
      <c r="E26" s="3260">
        <f>[27]CMO!$E$19</f>
        <v>83600</v>
      </c>
      <c r="F26" s="3052">
        <f>G26-E26</f>
        <v>118000</v>
      </c>
      <c r="G26" s="3262">
        <f>[27]CMO!$C$19</f>
        <v>201600</v>
      </c>
      <c r="H26" s="2619">
        <f>'CMO-plantilla'!B324*100*12</f>
        <v>218400</v>
      </c>
      <c r="J26" s="3160">
        <v>5115121</v>
      </c>
    </row>
    <row r="27" spans="1:10" ht="12" customHeight="1" outlineLevel="1">
      <c r="A27" s="3206" t="s">
        <v>418</v>
      </c>
      <c r="B27" s="3205"/>
      <c r="C27" s="3634" t="s">
        <v>430</v>
      </c>
      <c r="D27" s="3180">
        <f>[26]CMO!$E$20</f>
        <v>466746.79999999987</v>
      </c>
      <c r="E27" s="3260">
        <f>[27]CMO!$E$20</f>
        <v>236907.82</v>
      </c>
      <c r="F27" s="3052">
        <f>G27-E27</f>
        <v>476599.18</v>
      </c>
      <c r="G27" s="3262">
        <f>[27]CMO!$C$20</f>
        <v>713507</v>
      </c>
      <c r="H27" s="2619">
        <f>'CMO-plantilla'!L328</f>
        <v>829503</v>
      </c>
      <c r="I27" s="3263">
        <f>H27*0.1</f>
        <v>82950.3</v>
      </c>
    </row>
    <row r="28" spans="1:10" ht="12" customHeight="1" outlineLevel="1">
      <c r="A28" s="3206" t="s">
        <v>428</v>
      </c>
      <c r="B28" s="3205"/>
      <c r="C28" s="3634" t="s">
        <v>427</v>
      </c>
      <c r="D28" s="3180">
        <f>[26]CMO!$E$21</f>
        <v>172682.65</v>
      </c>
      <c r="E28" s="3260">
        <f>[27]CMO!$E$21</f>
        <v>83500</v>
      </c>
      <c r="F28" s="3052">
        <f>G28-E28</f>
        <v>118100</v>
      </c>
      <c r="G28" s="3262">
        <f>[27]CMO!$C$21</f>
        <v>201600</v>
      </c>
      <c r="H28" s="3052">
        <f>H26</f>
        <v>218400</v>
      </c>
      <c r="I28" s="3160">
        <v>5165888</v>
      </c>
    </row>
    <row r="29" spans="1:10" ht="12" customHeight="1" outlineLevel="1">
      <c r="A29" s="3635" t="s">
        <v>425</v>
      </c>
      <c r="B29" s="3205"/>
      <c r="C29" s="3634"/>
      <c r="D29" s="3180"/>
      <c r="E29" s="3260"/>
      <c r="F29" s="3052"/>
      <c r="G29" s="3262"/>
      <c r="H29" s="3052"/>
    </row>
    <row r="30" spans="1:10" ht="12" customHeight="1" outlineLevel="1">
      <c r="A30" s="3206" t="s">
        <v>423</v>
      </c>
      <c r="B30" s="3205"/>
      <c r="C30" s="3634" t="s">
        <v>422</v>
      </c>
      <c r="D30" s="3180">
        <f>[26]CMO!$E$22</f>
        <v>0</v>
      </c>
      <c r="E30" s="3260">
        <f>[27]CMO!$E$22</f>
        <v>39152.070000000007</v>
      </c>
      <c r="F30" s="3052">
        <f>G30-E30</f>
        <v>478364.93</v>
      </c>
      <c r="G30" s="3262">
        <f>[27]CMO!$C$22</f>
        <v>517517</v>
      </c>
      <c r="H30" s="3296">
        <v>62239</v>
      </c>
    </row>
    <row r="31" spans="1:10" ht="12" customHeight="1" outlineLevel="1">
      <c r="A31" s="3206" t="s">
        <v>420</v>
      </c>
      <c r="B31" s="3205"/>
      <c r="C31" s="3432" t="s">
        <v>1996</v>
      </c>
      <c r="D31" s="3180">
        <f>[26]CMO!$E$23</f>
        <v>8879275.5600000005</v>
      </c>
      <c r="E31" s="3254">
        <f>[27]CMO!$E$23</f>
        <v>0</v>
      </c>
      <c r="F31" s="3052">
        <f>G31-E31</f>
        <v>2891814</v>
      </c>
      <c r="G31" s="3262">
        <f>[27]CMO!$C$23</f>
        <v>2891814</v>
      </c>
      <c r="H31" s="3052">
        <f>I28</f>
        <v>5165888</v>
      </c>
    </row>
    <row r="32" spans="1:10" ht="12" customHeight="1" outlineLevel="1">
      <c r="A32" s="3206" t="s">
        <v>2722</v>
      </c>
      <c r="B32" s="3205"/>
      <c r="C32" s="3432" t="s">
        <v>2721</v>
      </c>
      <c r="D32" s="3180">
        <f>[26]CMO!$E$24</f>
        <v>4296475.2919999976</v>
      </c>
      <c r="E32" s="3254">
        <f>[27]CMO!$E$24</f>
        <v>3636855.9799999972</v>
      </c>
      <c r="F32" s="3052">
        <f>G32-E32</f>
        <v>2363144.0200000028</v>
      </c>
      <c r="G32" s="3262">
        <f>[27]CMO!$C$24</f>
        <v>6000000</v>
      </c>
      <c r="H32" s="3052">
        <v>6000000</v>
      </c>
    </row>
    <row r="33" spans="1:9" ht="12" customHeight="1" outlineLevel="1">
      <c r="A33" s="3206" t="s">
        <v>417</v>
      </c>
      <c r="B33" s="3205"/>
      <c r="C33" s="3432" t="s">
        <v>2399</v>
      </c>
      <c r="D33" s="3233">
        <f>[26]CMO!$E$25</f>
        <v>100000</v>
      </c>
      <c r="E33" s="3254">
        <f>[27]CMO!$E$25</f>
        <v>50000</v>
      </c>
      <c r="F33" s="3052">
        <f>G33-E33</f>
        <v>40000</v>
      </c>
      <c r="G33" s="3254">
        <f>[27]CMO!$C$25</f>
        <v>90000</v>
      </c>
      <c r="H33" s="3052">
        <v>40000</v>
      </c>
    </row>
    <row r="34" spans="1:9" ht="12" customHeight="1" outlineLevel="1">
      <c r="A34" s="3206" t="s">
        <v>414</v>
      </c>
      <c r="B34" s="3205"/>
      <c r="C34" s="3432" t="s">
        <v>2357</v>
      </c>
      <c r="D34" s="3233">
        <v>0</v>
      </c>
      <c r="E34" s="3254">
        <v>0</v>
      </c>
      <c r="F34" s="3052">
        <f>G34-E34</f>
        <v>1000</v>
      </c>
      <c r="G34" s="3254">
        <f>[27]CMO!$C$26</f>
        <v>1000</v>
      </c>
      <c r="H34" s="3052">
        <v>1000</v>
      </c>
    </row>
    <row r="35" spans="1:9" ht="12" customHeight="1" outlineLevel="1">
      <c r="A35" s="3294" t="s">
        <v>2356</v>
      </c>
      <c r="B35" s="3293"/>
      <c r="C35" s="3432"/>
      <c r="D35" s="3233"/>
      <c r="E35" s="3254"/>
      <c r="F35" s="3052"/>
      <c r="G35" s="3254"/>
      <c r="H35" s="3052"/>
    </row>
    <row r="36" spans="1:9" ht="12" customHeight="1" outlineLevel="1">
      <c r="A36" s="3202"/>
      <c r="B36" s="3205" t="s">
        <v>1688</v>
      </c>
      <c r="C36" s="3432" t="s">
        <v>2355</v>
      </c>
      <c r="D36" s="3233">
        <f>[26]CMO!$E$27</f>
        <v>752000</v>
      </c>
      <c r="E36" s="3254">
        <v>0</v>
      </c>
      <c r="F36" s="3052">
        <f>G36-E36</f>
        <v>840000</v>
      </c>
      <c r="G36" s="3254">
        <f>[27]CMO!$C$27</f>
        <v>840000</v>
      </c>
      <c r="H36" s="3052">
        <f>'CMO-plantilla'!B324*5000</f>
        <v>910000</v>
      </c>
    </row>
    <row r="37" spans="1:9" ht="12" customHeight="1" outlineLevel="1">
      <c r="A37" s="3202" t="s">
        <v>420</v>
      </c>
      <c r="B37" s="3205"/>
      <c r="C37" s="3432"/>
      <c r="D37" s="3233"/>
      <c r="E37" s="3254"/>
      <c r="F37" s="3052"/>
      <c r="G37" s="3254"/>
      <c r="H37" s="3052"/>
    </row>
    <row r="38" spans="1:9" ht="12" customHeight="1" outlineLevel="1">
      <c r="A38" s="3202"/>
      <c r="B38" s="3204" t="s">
        <v>2720</v>
      </c>
      <c r="C38" s="3432" t="s">
        <v>2719</v>
      </c>
      <c r="D38" s="3180">
        <f>[26]CMO!$E$28</f>
        <v>0</v>
      </c>
      <c r="E38" s="3260">
        <v>0</v>
      </c>
      <c r="F38" s="3052">
        <f>G38-E38</f>
        <v>7307116</v>
      </c>
      <c r="G38" s="3260">
        <f>[27]CMO!$C$28</f>
        <v>7307116</v>
      </c>
      <c r="H38" s="3052">
        <v>8000000</v>
      </c>
      <c r="I38" s="3249"/>
    </row>
    <row r="39" spans="1:9" ht="12" customHeight="1" outlineLevel="1">
      <c r="A39" s="3202" t="s">
        <v>409</v>
      </c>
      <c r="B39" s="3299"/>
      <c r="C39" s="3431" t="s">
        <v>2718</v>
      </c>
      <c r="D39" s="3195">
        <f>[26]CMO!$E$29</f>
        <v>387000</v>
      </c>
      <c r="E39" s="3306">
        <v>0</v>
      </c>
      <c r="F39" s="3052">
        <f>G39-E39</f>
        <v>0</v>
      </c>
      <c r="G39" s="3306">
        <v>0</v>
      </c>
      <c r="H39" s="3047">
        <v>0</v>
      </c>
    </row>
    <row r="40" spans="1:9" s="3161" customFormat="1" ht="12" customHeight="1" outlineLevel="1">
      <c r="A40" s="3633" t="s">
        <v>407</v>
      </c>
      <c r="B40" s="3291"/>
      <c r="C40" s="3190"/>
      <c r="D40" s="1512">
        <f>SUM(D41:D136)</f>
        <v>110967122.75000001</v>
      </c>
      <c r="E40" s="1512">
        <f>SUM(E41:E136)</f>
        <v>17971662.829999994</v>
      </c>
      <c r="F40" s="1512">
        <f>SUM(F41:F136)</f>
        <v>36839908.170000009</v>
      </c>
      <c r="G40" s="1512">
        <f>SUM(G41:G136)</f>
        <v>54811571</v>
      </c>
      <c r="H40" s="1512">
        <f>SUM(H41:H136)</f>
        <v>59157723</v>
      </c>
    </row>
    <row r="41" spans="1:9" ht="12" customHeight="1" outlineLevel="1">
      <c r="A41" s="3202" t="s">
        <v>2352</v>
      </c>
      <c r="B41" s="3201"/>
      <c r="C41" s="3236" t="s">
        <v>405</v>
      </c>
      <c r="D41" s="3632">
        <f>[26]CMO!$E$31</f>
        <v>400759.66000000003</v>
      </c>
      <c r="E41" s="3302">
        <f>[27]CMO!$E$30</f>
        <v>149370</v>
      </c>
      <c r="F41" s="3052">
        <f>G41-E41</f>
        <v>419230</v>
      </c>
      <c r="G41" s="3235">
        <f>[27]CMO!$C$30</f>
        <v>568600</v>
      </c>
      <c r="H41" s="3072">
        <v>500000</v>
      </c>
    </row>
    <row r="42" spans="1:9" s="2609" customFormat="1" ht="12" customHeight="1" outlineLevel="1">
      <c r="A42" s="3202" t="s">
        <v>2351</v>
      </c>
      <c r="B42" s="3201"/>
      <c r="C42" s="3184" t="s">
        <v>1985</v>
      </c>
      <c r="D42" s="3599">
        <f>[26]CMO!$E$32</f>
        <v>99778.959999999992</v>
      </c>
      <c r="E42" s="3301">
        <f>[27]CMO!$E$31</f>
        <v>0</v>
      </c>
      <c r="F42" s="3052">
        <f>G42-E42</f>
        <v>1000</v>
      </c>
      <c r="G42" s="3234">
        <f>[27]CMO!$C$31</f>
        <v>1000</v>
      </c>
      <c r="H42" s="3052">
        <v>1000</v>
      </c>
    </row>
    <row r="43" spans="1:9" s="2609" customFormat="1" ht="12" customHeight="1" outlineLevel="1">
      <c r="A43" s="3202" t="s">
        <v>404</v>
      </c>
      <c r="B43" s="3201"/>
      <c r="C43" s="3184" t="s">
        <v>403</v>
      </c>
      <c r="D43" s="3599">
        <f>[26]CMO!$E$33</f>
        <v>0</v>
      </c>
      <c r="E43" s="3301">
        <f>[27]CMO!$E$32</f>
        <v>0</v>
      </c>
      <c r="F43" s="3052">
        <f>G43-E43</f>
        <v>30000</v>
      </c>
      <c r="G43" s="3234">
        <f>[27]CMO!$C$32</f>
        <v>30000</v>
      </c>
      <c r="H43" s="3052">
        <v>30000</v>
      </c>
    </row>
    <row r="44" spans="1:9" s="2609" customFormat="1" ht="12" customHeight="1" outlineLevel="1">
      <c r="A44" s="3206" t="s">
        <v>402</v>
      </c>
      <c r="B44" s="3201"/>
      <c r="C44" s="3184" t="s">
        <v>401</v>
      </c>
      <c r="D44" s="3599">
        <f>[26]CMO!$E$34</f>
        <v>150562.29999999999</v>
      </c>
      <c r="E44" s="3301">
        <f>[27]CMO!$E$33</f>
        <v>169408.7</v>
      </c>
      <c r="F44" s="3052">
        <f>G44-E44</f>
        <v>100591.29999999999</v>
      </c>
      <c r="G44" s="3199">
        <f>[27]CMO!$C$33</f>
        <v>270000</v>
      </c>
      <c r="H44" s="3052">
        <v>270000</v>
      </c>
    </row>
    <row r="45" spans="1:9" s="2609" customFormat="1" ht="12" customHeight="1" outlineLevel="1">
      <c r="A45" s="3206" t="s">
        <v>572</v>
      </c>
      <c r="B45" s="3205"/>
      <c r="C45" s="3184"/>
      <c r="D45" s="3599"/>
      <c r="E45" s="3222"/>
      <c r="F45" s="3052"/>
      <c r="G45" s="3199"/>
      <c r="H45" s="2619"/>
    </row>
    <row r="46" spans="1:9" s="2609" customFormat="1" ht="12" customHeight="1" outlineLevel="1">
      <c r="A46" s="3202"/>
      <c r="B46" s="3207" t="s">
        <v>571</v>
      </c>
      <c r="C46" s="3184" t="s">
        <v>2398</v>
      </c>
      <c r="D46" s="3599">
        <f>[26]CMO!$E$35</f>
        <v>56148.5</v>
      </c>
      <c r="E46" s="3222">
        <f>[27]CMO!$E$34</f>
        <v>64805</v>
      </c>
      <c r="F46" s="3052">
        <f t="shared" ref="F46:F54" si="1">G46-E46</f>
        <v>15195</v>
      </c>
      <c r="G46" s="3199">
        <f>[27]CMO!$C$34</f>
        <v>80000</v>
      </c>
      <c r="H46" s="2619">
        <v>80000</v>
      </c>
    </row>
    <row r="47" spans="1:9" s="2609" customFormat="1" ht="12" customHeight="1" outlineLevel="1">
      <c r="A47" s="3631" t="s">
        <v>2717</v>
      </c>
      <c r="B47" s="3205"/>
      <c r="C47" s="3184" t="s">
        <v>1977</v>
      </c>
      <c r="D47" s="3599">
        <f>[26]CMO!$E$36</f>
        <v>62125728.829999998</v>
      </c>
      <c r="E47" s="3222">
        <v>0</v>
      </c>
      <c r="F47" s="3052">
        <f t="shared" si="1"/>
        <v>0</v>
      </c>
      <c r="G47" s="3199">
        <v>0</v>
      </c>
      <c r="H47" s="2619">
        <v>0</v>
      </c>
    </row>
    <row r="48" spans="1:9" s="2609" customFormat="1" ht="12" customHeight="1" outlineLevel="1">
      <c r="A48" s="3206" t="s">
        <v>674</v>
      </c>
      <c r="B48" s="3205"/>
      <c r="C48" s="3184" t="s">
        <v>396</v>
      </c>
      <c r="D48" s="3599">
        <f>[26]CMO!$E$37</f>
        <v>1327931.18</v>
      </c>
      <c r="E48" s="3222">
        <f>[27]CMO!$E$35</f>
        <v>559486.7200000002</v>
      </c>
      <c r="F48" s="3052">
        <f t="shared" si="1"/>
        <v>1440513.2799999998</v>
      </c>
      <c r="G48" s="3199">
        <f>[27]CMO!$C$35</f>
        <v>2000000</v>
      </c>
      <c r="H48" s="2619">
        <v>2000000</v>
      </c>
    </row>
    <row r="49" spans="1:8" s="2609" customFormat="1" ht="12" customHeight="1" outlineLevel="1">
      <c r="A49" s="3206" t="s">
        <v>878</v>
      </c>
      <c r="B49" s="3205"/>
      <c r="C49" s="3184" t="s">
        <v>394</v>
      </c>
      <c r="D49" s="3180">
        <f>[26]CMO!$E$38</f>
        <v>7995930.2000000002</v>
      </c>
      <c r="E49" s="2619">
        <f>[27]CMO!$E$36</f>
        <v>61772.2</v>
      </c>
      <c r="F49" s="3052">
        <f t="shared" si="1"/>
        <v>438227.8</v>
      </c>
      <c r="G49" s="3199">
        <f>[27]CMO!$C$36</f>
        <v>500000</v>
      </c>
      <c r="H49" s="2619">
        <v>500000</v>
      </c>
    </row>
    <row r="50" spans="1:8" s="2609" customFormat="1" ht="12" customHeight="1" outlineLevel="1">
      <c r="A50" s="3206" t="s">
        <v>700</v>
      </c>
      <c r="B50" s="3205"/>
      <c r="C50" s="3184" t="s">
        <v>392</v>
      </c>
      <c r="D50" s="3180">
        <f>[26]CMO!$E$39</f>
        <v>1160</v>
      </c>
      <c r="E50" s="2619">
        <f>[27]CMO!$E$37</f>
        <v>571</v>
      </c>
      <c r="F50" s="3052">
        <f t="shared" si="1"/>
        <v>9429</v>
      </c>
      <c r="G50" s="3199">
        <f>[27]CMO!$C$37</f>
        <v>10000</v>
      </c>
      <c r="H50" s="2619">
        <v>10000</v>
      </c>
    </row>
    <row r="51" spans="1:8" s="2609" customFormat="1" ht="12" customHeight="1" outlineLevel="1">
      <c r="A51" s="3206" t="s">
        <v>391</v>
      </c>
      <c r="B51" s="3205"/>
      <c r="C51" s="3212" t="s">
        <v>390</v>
      </c>
      <c r="D51" s="3180">
        <f>[26]CMO!$E$40</f>
        <v>146947.01</v>
      </c>
      <c r="E51" s="2619">
        <f>[27]CMO!$E$38</f>
        <v>60193.389999999992</v>
      </c>
      <c r="F51" s="3052">
        <f t="shared" si="1"/>
        <v>133703.61000000002</v>
      </c>
      <c r="G51" s="3199">
        <f>[27]CMO!$C$38</f>
        <v>193897</v>
      </c>
      <c r="H51" s="2619">
        <v>193897</v>
      </c>
    </row>
    <row r="52" spans="1:8" s="2609" customFormat="1" ht="12" customHeight="1" outlineLevel="1">
      <c r="A52" s="3202" t="s">
        <v>2716</v>
      </c>
      <c r="B52" s="3205"/>
      <c r="C52" s="3212" t="s">
        <v>1263</v>
      </c>
      <c r="D52" s="3180">
        <f>[26]CMO!$E$41</f>
        <v>10592.949999999999</v>
      </c>
      <c r="E52" s="2619">
        <f>[27]CMO!$E$39</f>
        <v>57386.839999999967</v>
      </c>
      <c r="F52" s="3052">
        <f t="shared" si="1"/>
        <v>299913.16000000003</v>
      </c>
      <c r="G52" s="3199">
        <f>[27]CMO!$C$39</f>
        <v>357300</v>
      </c>
      <c r="H52" s="2619">
        <v>357300</v>
      </c>
    </row>
    <row r="53" spans="1:8" s="2609" customFormat="1" ht="12" customHeight="1" outlineLevel="1">
      <c r="A53" s="3206" t="s">
        <v>1262</v>
      </c>
      <c r="B53" s="3205"/>
      <c r="C53" s="3184" t="s">
        <v>1261</v>
      </c>
      <c r="D53" s="3180">
        <f>[26]CMO!$E$42</f>
        <v>0</v>
      </c>
      <c r="E53" s="2619">
        <f>[27]CMO!$E$40</f>
        <v>0</v>
      </c>
      <c r="F53" s="3052">
        <f t="shared" si="1"/>
        <v>50000</v>
      </c>
      <c r="G53" s="3199">
        <f>[27]CMO!$C$40</f>
        <v>50000</v>
      </c>
      <c r="H53" s="2619">
        <v>50000</v>
      </c>
    </row>
    <row r="54" spans="1:8" s="2609" customFormat="1" ht="12" customHeight="1" outlineLevel="1">
      <c r="A54" s="3206" t="s">
        <v>389</v>
      </c>
      <c r="B54" s="3205"/>
      <c r="C54" s="3212" t="s">
        <v>388</v>
      </c>
      <c r="D54" s="3180">
        <f>[26]CMO!$E$43</f>
        <v>8315160.4500000011</v>
      </c>
      <c r="E54" s="2619">
        <f>[27]CMO!$E$41</f>
        <v>7801383.75</v>
      </c>
      <c r="F54" s="3052">
        <f t="shared" si="1"/>
        <v>12308406.25</v>
      </c>
      <c r="G54" s="3199">
        <f>[27]CMO!$C$41</f>
        <v>20109790</v>
      </c>
      <c r="H54" s="2619">
        <v>20109790</v>
      </c>
    </row>
    <row r="55" spans="1:8" s="2609" customFormat="1" ht="12" customHeight="1" outlineLevel="1">
      <c r="A55" s="3206" t="s">
        <v>1925</v>
      </c>
      <c r="B55" s="3205"/>
      <c r="C55" s="3184"/>
      <c r="D55" s="3180"/>
      <c r="E55" s="2619"/>
      <c r="F55" s="3052"/>
      <c r="G55" s="3199"/>
      <c r="H55" s="2619"/>
    </row>
    <row r="56" spans="1:8" s="2609" customFormat="1" ht="12" customHeight="1" outlineLevel="1">
      <c r="A56" s="3202"/>
      <c r="B56" s="3207" t="s">
        <v>2338</v>
      </c>
      <c r="C56" s="3184" t="s">
        <v>2337</v>
      </c>
      <c r="D56" s="3180">
        <f>[26]CMO!$E$44</f>
        <v>0</v>
      </c>
      <c r="E56" s="2619">
        <f>[27]CMO!$E$42</f>
        <v>0</v>
      </c>
      <c r="F56" s="3052">
        <f>G56-E56</f>
        <v>2000</v>
      </c>
      <c r="G56" s="3199">
        <f>[27]CMO!$C$42</f>
        <v>2000</v>
      </c>
      <c r="H56" s="2619">
        <v>2000</v>
      </c>
    </row>
    <row r="57" spans="1:8" s="3613" customFormat="1" ht="12" customHeight="1" outlineLevel="1">
      <c r="A57" s="3206" t="s">
        <v>1925</v>
      </c>
      <c r="B57" s="3205"/>
      <c r="C57" s="3184"/>
      <c r="D57" s="3180"/>
      <c r="E57" s="2619"/>
      <c r="F57" s="3052"/>
      <c r="G57" s="3199"/>
      <c r="H57" s="2619"/>
    </row>
    <row r="58" spans="1:8" s="3613" customFormat="1" ht="12" customHeight="1" outlineLevel="1">
      <c r="A58" s="3202"/>
      <c r="B58" s="3207" t="s">
        <v>2336</v>
      </c>
      <c r="C58" s="3184" t="s">
        <v>2335</v>
      </c>
      <c r="D58" s="3180">
        <f>[26]CMO!$E$45</f>
        <v>60450</v>
      </c>
      <c r="E58" s="2619">
        <f>[27]CMO!$E$43</f>
        <v>26345</v>
      </c>
      <c r="F58" s="3052">
        <f>G58-E58</f>
        <v>58655</v>
      </c>
      <c r="G58" s="3199">
        <f>[27]CMO!$C$43</f>
        <v>85000</v>
      </c>
      <c r="H58" s="2619">
        <v>85000</v>
      </c>
    </row>
    <row r="59" spans="1:8" s="3613" customFormat="1" ht="12" customHeight="1" outlineLevel="1">
      <c r="A59" s="3206" t="s">
        <v>2076</v>
      </c>
      <c r="B59" s="3205"/>
      <c r="C59" s="3184"/>
      <c r="D59" s="3180"/>
      <c r="E59" s="2619"/>
      <c r="F59" s="3052"/>
      <c r="G59" s="3199"/>
      <c r="H59" s="2619"/>
    </row>
    <row r="60" spans="1:8" s="3621" customFormat="1" ht="12" customHeight="1" outlineLevel="1">
      <c r="A60" s="3202"/>
      <c r="B60" s="3205" t="s">
        <v>2328</v>
      </c>
      <c r="C60" s="3185" t="s">
        <v>2327</v>
      </c>
      <c r="D60" s="3599">
        <f>[26]CMO!$E$46</f>
        <v>204926.43</v>
      </c>
      <c r="E60" s="2619">
        <f>[27]CMO!$E$44</f>
        <v>120650.18999999994</v>
      </c>
      <c r="F60" s="2619">
        <f>G60-E60</f>
        <v>729349.81</v>
      </c>
      <c r="G60" s="3199">
        <f>[27]CMO!$C$44</f>
        <v>850000</v>
      </c>
      <c r="H60" s="2619">
        <v>850000</v>
      </c>
    </row>
    <row r="61" spans="1:8" s="3613" customFormat="1" ht="11.25" customHeight="1" outlineLevel="1">
      <c r="A61" s="3206" t="s">
        <v>2076</v>
      </c>
      <c r="B61" s="3205"/>
      <c r="C61" s="3184"/>
      <c r="D61" s="3180"/>
      <c r="E61" s="2619"/>
      <c r="F61" s="3052"/>
      <c r="G61" s="3199"/>
      <c r="H61" s="2619"/>
    </row>
    <row r="62" spans="1:8" s="3613" customFormat="1" ht="11.25" customHeight="1" outlineLevel="1">
      <c r="A62" s="3202"/>
      <c r="B62" s="3207" t="s">
        <v>2326</v>
      </c>
      <c r="C62" s="3184" t="s">
        <v>1909</v>
      </c>
      <c r="D62" s="3180">
        <f>[26]CMO!$E$47</f>
        <v>337025.56</v>
      </c>
      <c r="E62" s="2619">
        <f>[27]CMO!$E$45</f>
        <v>59685.260000000009</v>
      </c>
      <c r="F62" s="3052">
        <f>G62-E62</f>
        <v>540314.74</v>
      </c>
      <c r="G62" s="3199">
        <f>[27]CMO!$C$45</f>
        <v>600000</v>
      </c>
      <c r="H62" s="2619">
        <v>600000</v>
      </c>
    </row>
    <row r="63" spans="1:8" s="3613" customFormat="1" ht="11.25" customHeight="1" outlineLevel="1">
      <c r="A63" s="3206" t="s">
        <v>2076</v>
      </c>
      <c r="B63" s="3205"/>
      <c r="C63" s="3184"/>
      <c r="D63" s="3180"/>
      <c r="E63" s="2619"/>
      <c r="F63" s="3052"/>
      <c r="G63" s="3199"/>
      <c r="H63" s="2619"/>
    </row>
    <row r="64" spans="1:8" s="3613" customFormat="1" ht="11.25" customHeight="1" outlineLevel="1">
      <c r="A64" s="3202"/>
      <c r="B64" s="3205" t="s">
        <v>2715</v>
      </c>
      <c r="C64" s="3184" t="s">
        <v>1906</v>
      </c>
      <c r="D64" s="3180">
        <f>[26]CMO!$E$48</f>
        <v>455044</v>
      </c>
      <c r="E64" s="2619">
        <f>[27]CMO!$E$46</f>
        <v>358176</v>
      </c>
      <c r="F64" s="3052">
        <f>G64-E64</f>
        <v>641824</v>
      </c>
      <c r="G64" s="3199">
        <f>[27]CMO!$C$46</f>
        <v>1000000</v>
      </c>
      <c r="H64" s="2619">
        <v>1000000</v>
      </c>
    </row>
    <row r="65" spans="1:8" s="3613" customFormat="1" ht="11.25" customHeight="1" outlineLevel="1">
      <c r="A65" s="3458" t="s">
        <v>1903</v>
      </c>
      <c r="B65" s="3293"/>
      <c r="C65" s="3292" t="s">
        <v>1902</v>
      </c>
      <c r="D65" s="3180">
        <f>[26]CMO!$E$49</f>
        <v>0</v>
      </c>
      <c r="E65" s="2619">
        <f>[27]CMO!$E$47</f>
        <v>0</v>
      </c>
      <c r="F65" s="3052">
        <f>G65-E65</f>
        <v>5000</v>
      </c>
      <c r="G65" s="3199">
        <f>[27]CMO!$C$47</f>
        <v>5000</v>
      </c>
      <c r="H65" s="2619">
        <v>5000</v>
      </c>
    </row>
    <row r="66" spans="1:8" s="3613" customFormat="1" ht="11.25" customHeight="1" outlineLevel="1">
      <c r="A66" s="3294" t="s">
        <v>370</v>
      </c>
      <c r="B66" s="3605"/>
      <c r="C66" s="3200" t="s">
        <v>369</v>
      </c>
      <c r="D66" s="3180">
        <f>[26]CMO!$E$50</f>
        <v>525</v>
      </c>
      <c r="E66" s="2619">
        <f>[27]CMO!$E$48</f>
        <v>40000</v>
      </c>
      <c r="F66" s="3052">
        <f>G66-E66</f>
        <v>8000</v>
      </c>
      <c r="G66" s="3199">
        <f>[27]CMO!$C$48</f>
        <v>48000</v>
      </c>
      <c r="H66" s="2619">
        <v>48000</v>
      </c>
    </row>
    <row r="67" spans="1:8" s="3613" customFormat="1" ht="11.25" customHeight="1" outlineLevel="1">
      <c r="A67" s="3206" t="s">
        <v>1890</v>
      </c>
      <c r="B67" s="3205"/>
      <c r="C67" s="3184" t="s">
        <v>1889</v>
      </c>
      <c r="D67" s="3180">
        <f>[26]CMO!$E$51</f>
        <v>757398.5</v>
      </c>
      <c r="E67" s="2619">
        <f>[27]CMO!$E$49</f>
        <v>221998</v>
      </c>
      <c r="F67" s="3052">
        <f>G67-E67</f>
        <v>778002</v>
      </c>
      <c r="G67" s="3199">
        <f>[27]CMO!$C$49</f>
        <v>1000000</v>
      </c>
      <c r="H67" s="2619">
        <v>1000000</v>
      </c>
    </row>
    <row r="68" spans="1:8" s="3613" customFormat="1" ht="11.25" customHeight="1" outlineLevel="1">
      <c r="A68" s="3458" t="s">
        <v>2707</v>
      </c>
      <c r="B68" s="3293"/>
      <c r="C68" s="3184"/>
      <c r="D68" s="3180"/>
      <c r="E68" s="2619"/>
      <c r="F68" s="3052"/>
      <c r="G68" s="3199"/>
      <c r="H68" s="2619"/>
    </row>
    <row r="69" spans="1:8" s="3613" customFormat="1" ht="11.25" customHeight="1" outlineLevel="1">
      <c r="A69" s="3294"/>
      <c r="B69" s="3619" t="s">
        <v>2714</v>
      </c>
      <c r="C69" s="3184" t="s">
        <v>2713</v>
      </c>
      <c r="D69" s="3180">
        <f>[26]CMO!$E$52</f>
        <v>200000</v>
      </c>
      <c r="E69" s="2619">
        <f>[27]CMO!$E$50</f>
        <v>200000</v>
      </c>
      <c r="F69" s="3052">
        <f>G69-E69</f>
        <v>0</v>
      </c>
      <c r="G69" s="3199">
        <f>[27]CMO!$C$50</f>
        <v>200000</v>
      </c>
      <c r="H69" s="2619">
        <v>200000</v>
      </c>
    </row>
    <row r="70" spans="1:8" s="3613" customFormat="1" ht="11.25" customHeight="1" outlineLevel="1">
      <c r="A70" s="3628" t="s">
        <v>2710</v>
      </c>
      <c r="B70" s="3616"/>
      <c r="C70" s="3629"/>
      <c r="D70" s="3180"/>
      <c r="E70" s="2619"/>
      <c r="F70" s="3052"/>
      <c r="G70" s="3199"/>
      <c r="H70" s="2619"/>
    </row>
    <row r="71" spans="1:8" s="3613" customFormat="1" ht="11.25" customHeight="1" outlineLevel="1">
      <c r="A71" s="3627"/>
      <c r="B71" s="3630" t="s">
        <v>2712</v>
      </c>
      <c r="C71" s="3184" t="s">
        <v>2711</v>
      </c>
      <c r="D71" s="3599">
        <f>[26]CMO!$E$53</f>
        <v>170000</v>
      </c>
      <c r="E71" s="2619">
        <f>[27]CMO!$E$51</f>
        <v>170000</v>
      </c>
      <c r="F71" s="3052">
        <f>G71-E71</f>
        <v>0</v>
      </c>
      <c r="G71" s="3199">
        <f>[27]CMO!$C$51</f>
        <v>170000</v>
      </c>
      <c r="H71" s="2619">
        <v>170000</v>
      </c>
    </row>
    <row r="72" spans="1:8" s="3613" customFormat="1" ht="11.25" customHeight="1" outlineLevel="1">
      <c r="A72" s="3628" t="s">
        <v>2710</v>
      </c>
      <c r="B72" s="3616"/>
      <c r="C72" s="3629"/>
      <c r="D72" s="3180"/>
      <c r="E72" s="2619"/>
      <c r="F72" s="3052"/>
      <c r="G72" s="3199"/>
      <c r="H72" s="2619"/>
    </row>
    <row r="73" spans="1:8" s="3613" customFormat="1" ht="11.25" customHeight="1" outlineLevel="1">
      <c r="A73" s="3627"/>
      <c r="B73" s="3616" t="s">
        <v>2709</v>
      </c>
      <c r="C73" s="3184" t="s">
        <v>2708</v>
      </c>
      <c r="D73" s="3180">
        <f>[26]CMO!$E$54</f>
        <v>50000</v>
      </c>
      <c r="E73" s="2619">
        <f>[27]CMO!$E$52</f>
        <v>50000</v>
      </c>
      <c r="F73" s="3052">
        <f>G73-E73</f>
        <v>0</v>
      </c>
      <c r="G73" s="3199">
        <f>[27]CMO!$C$52</f>
        <v>50000</v>
      </c>
      <c r="H73" s="2619">
        <v>50000</v>
      </c>
    </row>
    <row r="74" spans="1:8" s="3613" customFormat="1" ht="11.25" customHeight="1" outlineLevel="1">
      <c r="A74" s="3628" t="s">
        <v>2707</v>
      </c>
      <c r="B74" s="3616"/>
      <c r="C74" s="3184"/>
      <c r="D74" s="3180"/>
      <c r="E74" s="2619"/>
      <c r="F74" s="3052"/>
      <c r="G74" s="3199"/>
      <c r="H74" s="2619"/>
    </row>
    <row r="75" spans="1:8" s="3613" customFormat="1" ht="11.25" customHeight="1" outlineLevel="1">
      <c r="A75" s="3627"/>
      <c r="B75" s="3626" t="s">
        <v>2706</v>
      </c>
      <c r="C75" s="3184" t="s">
        <v>2705</v>
      </c>
      <c r="D75" s="3180">
        <f>[26]CMO!$E$55</f>
        <v>300000</v>
      </c>
      <c r="E75" s="2619">
        <f>[27]CMO!$E$53</f>
        <v>300000</v>
      </c>
      <c r="F75" s="3052">
        <f>G75-E75</f>
        <v>0</v>
      </c>
      <c r="G75" s="3199">
        <f>[27]CMO!$C$53</f>
        <v>300000</v>
      </c>
      <c r="H75" s="2619">
        <v>300000</v>
      </c>
    </row>
    <row r="76" spans="1:8" s="3613" customFormat="1" ht="11.25" customHeight="1" outlineLevel="1">
      <c r="A76" s="3294" t="s">
        <v>1873</v>
      </c>
      <c r="B76" s="3605"/>
      <c r="C76" s="3625" t="s">
        <v>1871</v>
      </c>
      <c r="D76" s="3180">
        <f>[26]CMO!$E$56</f>
        <v>1210000</v>
      </c>
      <c r="E76" s="2619">
        <f>[27]CMO!$E$54</f>
        <v>0</v>
      </c>
      <c r="F76" s="3052">
        <f>G76-E76</f>
        <v>1500000</v>
      </c>
      <c r="G76" s="3199">
        <f>[27]CMO!$C$54</f>
        <v>1500000</v>
      </c>
      <c r="H76" s="2619">
        <v>1500000</v>
      </c>
    </row>
    <row r="77" spans="1:8" s="3613" customFormat="1" ht="11.25" customHeight="1" outlineLevel="1">
      <c r="A77" s="3624" t="s">
        <v>368</v>
      </c>
      <c r="B77" s="3605"/>
      <c r="C77" s="3200"/>
      <c r="D77" s="3180"/>
      <c r="E77" s="2619"/>
      <c r="F77" s="3052"/>
      <c r="G77" s="3199"/>
      <c r="H77" s="2619"/>
    </row>
    <row r="78" spans="1:8" s="3613" customFormat="1" ht="11.25" customHeight="1" outlineLevel="1">
      <c r="A78" s="3623" t="s">
        <v>693</v>
      </c>
      <c r="B78" s="3622"/>
      <c r="C78" s="3181" t="s">
        <v>367</v>
      </c>
      <c r="D78" s="3195">
        <f>[26]CMO!$E$57</f>
        <v>258064.40000000002</v>
      </c>
      <c r="E78" s="3193">
        <f>[27]CMO!$E$55</f>
        <v>80271.789999999979</v>
      </c>
      <c r="F78" s="3047">
        <f>G78-E78</f>
        <v>1097328.56</v>
      </c>
      <c r="G78" s="3194">
        <f>[27]CMO!$C$55</f>
        <v>1177600.3500000001</v>
      </c>
      <c r="H78" s="3047">
        <v>1677600.03</v>
      </c>
    </row>
    <row r="79" spans="1:8" s="3621" customFormat="1" ht="11.25" customHeight="1" outlineLevel="1">
      <c r="A79" s="3201"/>
      <c r="B79" s="3201"/>
      <c r="C79" s="3212"/>
      <c r="D79" s="3224"/>
      <c r="E79" s="3222"/>
      <c r="F79" s="3222"/>
      <c r="G79" s="3227"/>
      <c r="H79" s="3222"/>
    </row>
    <row r="80" spans="1:8" s="3621" customFormat="1" ht="11.25" customHeight="1" outlineLevel="1">
      <c r="A80" s="3201"/>
      <c r="B80" s="3201"/>
      <c r="C80" s="3212"/>
      <c r="D80" s="3224"/>
      <c r="E80" s="3222"/>
      <c r="F80" s="3222"/>
      <c r="G80" s="3227"/>
      <c r="H80" s="3222"/>
    </row>
    <row r="81" spans="1:8" s="3621" customFormat="1" ht="11.25" customHeight="1" outlineLevel="1">
      <c r="A81" s="3201"/>
      <c r="B81" s="3201"/>
      <c r="C81" s="3212"/>
      <c r="D81" s="3224"/>
      <c r="E81" s="3222"/>
      <c r="F81" s="3222"/>
      <c r="G81" s="3227"/>
      <c r="H81" s="3222"/>
    </row>
    <row r="82" spans="1:8" s="3621" customFormat="1" ht="11.25" customHeight="1" outlineLevel="1">
      <c r="A82" s="3201"/>
      <c r="B82" s="3201"/>
      <c r="C82" s="3212"/>
      <c r="D82" s="3224"/>
      <c r="E82" s="3222"/>
      <c r="F82" s="3222"/>
      <c r="G82" s="3227"/>
      <c r="H82" s="3222"/>
    </row>
    <row r="83" spans="1:8" s="3621" customFormat="1" ht="11.25" customHeight="1" outlineLevel="1">
      <c r="A83" s="3201"/>
      <c r="B83" s="3201"/>
      <c r="C83" s="3212"/>
      <c r="D83" s="3224"/>
      <c r="E83" s="3222"/>
      <c r="F83" s="3222"/>
      <c r="G83" s="3227"/>
      <c r="H83" s="3222"/>
    </row>
    <row r="84" spans="1:8" s="3621" customFormat="1" ht="11.25" customHeight="1" outlineLevel="1">
      <c r="A84" s="3201"/>
      <c r="B84" s="3201"/>
      <c r="C84" s="3212"/>
      <c r="D84" s="3224"/>
      <c r="E84" s="3222"/>
      <c r="F84" s="3222"/>
      <c r="G84" s="3227"/>
      <c r="H84" s="3222"/>
    </row>
    <row r="85" spans="1:8" s="3621" customFormat="1" ht="11.25" customHeight="1" outlineLevel="1">
      <c r="A85" s="3201"/>
      <c r="B85" s="3201"/>
      <c r="C85" s="3212"/>
      <c r="D85" s="3224"/>
      <c r="E85" s="3222"/>
      <c r="F85" s="3222"/>
      <c r="G85" s="3227"/>
      <c r="H85" s="3222"/>
    </row>
    <row r="86" spans="1:8" s="3621" customFormat="1" ht="11.25" customHeight="1" outlineLevel="1">
      <c r="A86" s="3226" t="s">
        <v>473</v>
      </c>
      <c r="B86" s="3160"/>
      <c r="C86" s="3212"/>
      <c r="D86" s="3224"/>
      <c r="E86" s="3222"/>
      <c r="F86" s="3222"/>
      <c r="G86" s="3227"/>
      <c r="H86" s="3222"/>
    </row>
    <row r="87" spans="1:8" s="3621" customFormat="1" ht="11.25" customHeight="1" outlineLevel="1">
      <c r="A87" s="3221" t="s">
        <v>1253</v>
      </c>
      <c r="B87" s="3160"/>
      <c r="C87" s="3212"/>
      <c r="D87" s="3224"/>
      <c r="E87" s="3222"/>
      <c r="F87" s="3222"/>
      <c r="G87" s="3227"/>
      <c r="H87" s="3222"/>
    </row>
    <row r="88" spans="1:8" s="3621" customFormat="1" ht="11.25" customHeight="1" outlineLevel="1">
      <c r="A88" s="3201"/>
      <c r="B88" s="3201"/>
      <c r="C88" s="3212"/>
      <c r="D88" s="3224"/>
      <c r="E88" s="3222"/>
      <c r="F88" s="3222"/>
      <c r="G88" s="3227"/>
      <c r="H88" s="3222"/>
    </row>
    <row r="89" spans="1:8" s="3613" customFormat="1" ht="11.25" customHeight="1" outlineLevel="1">
      <c r="A89" s="4942" t="s">
        <v>468</v>
      </c>
      <c r="B89" s="4943"/>
      <c r="C89" s="3220" t="s">
        <v>467</v>
      </c>
      <c r="D89" s="3220" t="s">
        <v>466</v>
      </c>
      <c r="E89" s="4948" t="s">
        <v>465</v>
      </c>
      <c r="F89" s="4949"/>
      <c r="G89" s="4950"/>
      <c r="H89" s="3220" t="s">
        <v>2345</v>
      </c>
    </row>
    <row r="90" spans="1:8" s="3613" customFormat="1" ht="11.25" customHeight="1" outlineLevel="1">
      <c r="A90" s="4944"/>
      <c r="B90" s="4945"/>
      <c r="C90" s="3219" t="s">
        <v>463</v>
      </c>
      <c r="D90" s="3218" t="s">
        <v>573</v>
      </c>
      <c r="E90" s="3218" t="s">
        <v>2344</v>
      </c>
      <c r="F90" s="3218" t="s">
        <v>2343</v>
      </c>
      <c r="G90" s="3218"/>
      <c r="H90" s="3218" t="s">
        <v>2342</v>
      </c>
    </row>
    <row r="91" spans="1:8" s="3613" customFormat="1" ht="11.25" customHeight="1" outlineLevel="1">
      <c r="A91" s="4944"/>
      <c r="B91" s="4945"/>
      <c r="C91" s="3219"/>
      <c r="D91" s="3218"/>
      <c r="E91" s="3218" t="s">
        <v>2341</v>
      </c>
      <c r="F91" s="3218" t="s">
        <v>2341</v>
      </c>
      <c r="G91" s="3218" t="s">
        <v>244</v>
      </c>
      <c r="H91" s="3218" t="s">
        <v>652</v>
      </c>
    </row>
    <row r="92" spans="1:8" s="3613" customFormat="1" ht="11.25" customHeight="1" outlineLevel="1">
      <c r="A92" s="4946"/>
      <c r="B92" s="4947"/>
      <c r="C92" s="3217"/>
      <c r="D92" s="3215" t="s">
        <v>460</v>
      </c>
      <c r="E92" s="3215" t="s">
        <v>460</v>
      </c>
      <c r="F92" s="3215" t="s">
        <v>459</v>
      </c>
      <c r="G92" s="3216"/>
      <c r="H92" s="3215" t="s">
        <v>458</v>
      </c>
    </row>
    <row r="93" spans="1:8" s="3613" customFormat="1" ht="11.25" customHeight="1" outlineLevel="1">
      <c r="A93" s="3458" t="s">
        <v>1870</v>
      </c>
      <c r="B93" s="3293"/>
      <c r="C93" s="3184" t="s">
        <v>1869</v>
      </c>
      <c r="D93" s="3180">
        <f>[26]CMO!$E$58</f>
        <v>0</v>
      </c>
      <c r="E93" s="2619">
        <f>[27]CMO!$E$56</f>
        <v>0</v>
      </c>
      <c r="F93" s="3052">
        <f>G93-E93</f>
        <v>180000</v>
      </c>
      <c r="G93" s="3199">
        <f>[27]CMO!$C$56</f>
        <v>180000</v>
      </c>
      <c r="H93" s="3052">
        <v>180000</v>
      </c>
    </row>
    <row r="94" spans="1:8" s="3613" customFormat="1" ht="11.25" customHeight="1" outlineLevel="1">
      <c r="A94" s="3294" t="s">
        <v>1854</v>
      </c>
      <c r="B94" s="3605"/>
      <c r="C94" s="3184" t="s">
        <v>1853</v>
      </c>
      <c r="D94" s="3180">
        <f>[26]CMO!$E$59</f>
        <v>5986213.7699999996</v>
      </c>
      <c r="E94" s="3052">
        <f>[27]CMO!$E$57</f>
        <v>2572897.5399999996</v>
      </c>
      <c r="F94" s="3052">
        <f>G94-E94</f>
        <v>427102.46000000043</v>
      </c>
      <c r="G94" s="3296">
        <f>[27]CMO!$C$57</f>
        <v>3000000</v>
      </c>
      <c r="H94" s="3052">
        <v>3000000</v>
      </c>
    </row>
    <row r="95" spans="1:8" s="3613" customFormat="1" ht="11.25" customHeight="1" outlineLevel="1">
      <c r="A95" s="3294" t="s">
        <v>2704</v>
      </c>
      <c r="B95" s="3605"/>
      <c r="C95" s="3611" t="s">
        <v>1851</v>
      </c>
      <c r="D95" s="3180">
        <f>[26]CMO!$E$60</f>
        <v>1050000</v>
      </c>
      <c r="E95" s="3052">
        <f>[27]CMO!$E$58</f>
        <v>0</v>
      </c>
      <c r="F95" s="3052">
        <f>G95-E95</f>
        <v>300000</v>
      </c>
      <c r="G95" s="3296">
        <v>300000</v>
      </c>
      <c r="H95" s="3052">
        <v>300000</v>
      </c>
    </row>
    <row r="96" spans="1:8" s="3621" customFormat="1" ht="11.25" customHeight="1" outlineLevel="1">
      <c r="A96" s="3294" t="s">
        <v>2703</v>
      </c>
      <c r="B96" s="3605"/>
      <c r="C96" s="3611"/>
      <c r="D96" s="3180"/>
      <c r="E96" s="3301"/>
      <c r="F96" s="3301"/>
      <c r="G96" s="3234"/>
      <c r="H96" s="3052"/>
    </row>
    <row r="97" spans="1:9" s="3613" customFormat="1" ht="11.25" customHeight="1" outlineLevel="1">
      <c r="A97" s="3620"/>
      <c r="B97" s="3619" t="s">
        <v>2702</v>
      </c>
      <c r="C97" s="3611"/>
      <c r="D97" s="3180"/>
      <c r="E97" s="2619"/>
      <c r="F97" s="3052"/>
      <c r="G97" s="3199"/>
      <c r="H97" s="2619"/>
    </row>
    <row r="98" spans="1:9" s="3613" customFormat="1" ht="11.25" customHeight="1" outlineLevel="1">
      <c r="A98" s="3620"/>
      <c r="B98" s="3619" t="s">
        <v>2701</v>
      </c>
      <c r="C98" s="3611" t="s">
        <v>1848</v>
      </c>
      <c r="D98" s="3180">
        <f>[26]CMO!$E$61</f>
        <v>211255</v>
      </c>
      <c r="E98" s="2619">
        <f>[27]CMO!$E$59</f>
        <v>0</v>
      </c>
      <c r="F98" s="3052">
        <f>G98-E98</f>
        <v>362783.65</v>
      </c>
      <c r="G98" s="3199">
        <f>[27]CMO!$C$59</f>
        <v>362783.65</v>
      </c>
      <c r="H98" s="2619">
        <v>421535.97</v>
      </c>
    </row>
    <row r="99" spans="1:9" s="3613" customFormat="1" ht="11.25" customHeight="1" outlineLevel="1">
      <c r="A99" s="3458" t="s">
        <v>2700</v>
      </c>
      <c r="B99" s="3293"/>
      <c r="C99" s="3611"/>
      <c r="D99" s="3180"/>
      <c r="E99" s="2619"/>
      <c r="F99" s="3052"/>
      <c r="G99" s="3199"/>
      <c r="H99" s="2619"/>
    </row>
    <row r="100" spans="1:9" s="3613" customFormat="1" ht="11.25" customHeight="1" outlineLevel="1">
      <c r="A100" s="3294"/>
      <c r="B100" s="3293" t="s">
        <v>2699</v>
      </c>
      <c r="C100" s="3611" t="s">
        <v>1846</v>
      </c>
      <c r="D100" s="3180">
        <f>[26]CMO!$E$62</f>
        <v>3000000</v>
      </c>
      <c r="E100" s="2619">
        <f>[27]CMO!$E$60</f>
        <v>0</v>
      </c>
      <c r="F100" s="3052">
        <f>G100-E100</f>
        <v>3000000</v>
      </c>
      <c r="G100" s="3199">
        <f>[27]CMO!$C$60</f>
        <v>3000000</v>
      </c>
      <c r="H100" s="2619">
        <v>3000000</v>
      </c>
    </row>
    <row r="101" spans="1:9" s="3613" customFormat="1" ht="11.25" customHeight="1" outlineLevel="1">
      <c r="A101" s="3458" t="s">
        <v>2698</v>
      </c>
      <c r="B101" s="3605"/>
      <c r="C101" s="3611"/>
      <c r="D101" s="3599"/>
      <c r="E101" s="2619"/>
      <c r="F101" s="3052"/>
      <c r="G101" s="3199"/>
      <c r="H101" s="2619"/>
    </row>
    <row r="102" spans="1:9" s="3613" customFormat="1" ht="11.25" customHeight="1" outlineLevel="1">
      <c r="A102" s="3294"/>
      <c r="B102" s="3605" t="s">
        <v>2697</v>
      </c>
      <c r="C102" s="3611" t="s">
        <v>1844</v>
      </c>
      <c r="D102" s="3180">
        <f>[26]CMO!$E$63</f>
        <v>15128406</v>
      </c>
      <c r="E102" s="2619">
        <f>[27]CMO!$E$61</f>
        <v>4312500</v>
      </c>
      <c r="F102" s="3052">
        <f>G102-E102</f>
        <v>10887500</v>
      </c>
      <c r="G102" s="3199">
        <f>[27]CMO!$C$61</f>
        <v>15200000</v>
      </c>
      <c r="H102" s="2619">
        <v>16000000</v>
      </c>
      <c r="I102" s="3618"/>
    </row>
    <row r="103" spans="1:9" s="3613" customFormat="1" ht="11.25" customHeight="1" outlineLevel="1">
      <c r="A103" s="3458" t="s">
        <v>1843</v>
      </c>
      <c r="B103" s="3605"/>
      <c r="C103" s="3611" t="s">
        <v>2696</v>
      </c>
      <c r="D103" s="3180">
        <v>0</v>
      </c>
      <c r="E103" s="2619">
        <v>0</v>
      </c>
      <c r="F103" s="3052">
        <v>0</v>
      </c>
      <c r="G103" s="3199">
        <v>0</v>
      </c>
      <c r="H103" s="2619">
        <v>3000000</v>
      </c>
      <c r="I103" s="3618"/>
    </row>
    <row r="104" spans="1:9" s="3613" customFormat="1" ht="11.25" customHeight="1" outlineLevel="1">
      <c r="A104" s="3458" t="s">
        <v>1841</v>
      </c>
      <c r="B104" s="3293"/>
      <c r="C104" s="3611" t="s">
        <v>1840</v>
      </c>
      <c r="D104" s="3180">
        <v>0</v>
      </c>
      <c r="E104" s="2619">
        <f>[27]CMO!$E$62</f>
        <v>0</v>
      </c>
      <c r="F104" s="3052">
        <f>G104-E104</f>
        <v>200000</v>
      </c>
      <c r="G104" s="3199">
        <f>[27]CMO!$C$62</f>
        <v>200000</v>
      </c>
      <c r="H104" s="2619">
        <v>200000</v>
      </c>
    </row>
    <row r="105" spans="1:9" s="3613" customFormat="1" ht="11.25" customHeight="1" outlineLevel="1">
      <c r="A105" s="3612" t="s">
        <v>678</v>
      </c>
      <c r="B105" s="3616"/>
      <c r="C105" s="3617" t="s">
        <v>677</v>
      </c>
      <c r="D105" s="3599"/>
      <c r="E105" s="2619"/>
      <c r="F105" s="2619"/>
      <c r="G105" s="3199"/>
      <c r="H105" s="2619"/>
    </row>
    <row r="106" spans="1:9" s="3613" customFormat="1" ht="11.25" customHeight="1" outlineLevel="1">
      <c r="A106" s="3612" t="s">
        <v>2695</v>
      </c>
      <c r="B106" s="3616"/>
      <c r="C106" s="3615"/>
      <c r="D106" s="3599"/>
      <c r="E106" s="2619"/>
      <c r="F106" s="2619"/>
      <c r="G106" s="3199"/>
      <c r="H106" s="2619"/>
    </row>
    <row r="107" spans="1:9" s="3613" customFormat="1" ht="11.25" customHeight="1" outlineLevel="1">
      <c r="A107" s="3206" t="s">
        <v>2688</v>
      </c>
      <c r="B107" s="3205"/>
      <c r="C107" s="3614"/>
      <c r="D107" s="3180">
        <f>[26]CMO!$E$68</f>
        <v>0</v>
      </c>
      <c r="E107" s="2619">
        <f>[27]CMO!$E$65</f>
        <v>0</v>
      </c>
      <c r="F107" s="3052">
        <f>G107-E107</f>
        <v>9000</v>
      </c>
      <c r="G107" s="3199">
        <f>[27]CMO!$C$65</f>
        <v>9000</v>
      </c>
      <c r="H107" s="3199">
        <v>9000</v>
      </c>
    </row>
    <row r="108" spans="1:9" s="3613" customFormat="1" ht="11.25" customHeight="1" outlineLevel="1">
      <c r="A108" s="3206" t="s">
        <v>699</v>
      </c>
      <c r="B108" s="3205"/>
      <c r="C108" s="3611"/>
      <c r="D108" s="3180">
        <f>[26]CMO!$E$69</f>
        <v>2495</v>
      </c>
      <c r="E108" s="2619">
        <f>[27]CMO!$E$66</f>
        <v>2495</v>
      </c>
      <c r="F108" s="3052">
        <f>G108-E108</f>
        <v>4705</v>
      </c>
      <c r="G108" s="3199">
        <f>[27]CMO!$C$66</f>
        <v>7200</v>
      </c>
      <c r="H108" s="3199">
        <v>7200</v>
      </c>
    </row>
    <row r="109" spans="1:9" s="3613" customFormat="1" ht="11.25" customHeight="1" outlineLevel="1">
      <c r="A109" s="3206" t="s">
        <v>572</v>
      </c>
      <c r="B109" s="3205"/>
      <c r="C109" s="3614"/>
      <c r="D109" s="3180">
        <f>[26]CMO!$E$70</f>
        <v>3539.45</v>
      </c>
      <c r="E109" s="2619">
        <f>[27]CMO!$E$67</f>
        <v>2828.2</v>
      </c>
      <c r="F109" s="3052">
        <f>G109-E109</f>
        <v>1671.8000000000002</v>
      </c>
      <c r="G109" s="3199">
        <f>[27]CMO!$C$67</f>
        <v>4500</v>
      </c>
      <c r="H109" s="3199">
        <v>4500</v>
      </c>
    </row>
    <row r="110" spans="1:9" s="3613" customFormat="1" ht="11.25" customHeight="1" outlineLevel="1">
      <c r="A110" s="3206" t="s">
        <v>2692</v>
      </c>
      <c r="B110" s="3205"/>
      <c r="C110" s="3611"/>
      <c r="D110" s="3180"/>
      <c r="E110" s="2619"/>
      <c r="F110" s="3052"/>
      <c r="G110" s="3199"/>
      <c r="H110" s="2619"/>
    </row>
    <row r="111" spans="1:9" s="3613" customFormat="1" ht="11.25" customHeight="1" outlineLevel="1">
      <c r="A111" s="3202"/>
      <c r="B111" s="3201" t="s">
        <v>2691</v>
      </c>
      <c r="C111" s="3611"/>
      <c r="D111" s="3180">
        <f>[26]CMO!$E$71</f>
        <v>945.3</v>
      </c>
      <c r="E111" s="2619">
        <f>[27]CMO!$E$68</f>
        <v>4501.3</v>
      </c>
      <c r="F111" s="3052">
        <f>G111-E111</f>
        <v>898.69999999999982</v>
      </c>
      <c r="G111" s="3199">
        <f>[27]CMO!$C$68</f>
        <v>5400</v>
      </c>
      <c r="H111" s="3199">
        <v>5400</v>
      </c>
    </row>
    <row r="112" spans="1:9" s="3613" customFormat="1" ht="11.25" customHeight="1" outlineLevel="1">
      <c r="A112" s="3202" t="s">
        <v>952</v>
      </c>
      <c r="B112" s="3201"/>
      <c r="C112" s="3611"/>
      <c r="D112" s="3180">
        <f>[26]CMO!$E$72</f>
        <v>72000</v>
      </c>
      <c r="E112" s="2619">
        <f>[27]CMO!$E$69</f>
        <v>34071.43</v>
      </c>
      <c r="F112" s="3052">
        <f>G112-E112</f>
        <v>37928.57</v>
      </c>
      <c r="G112" s="3199">
        <f>[27]CMO!$C$69</f>
        <v>72000</v>
      </c>
      <c r="H112" s="3199">
        <v>72000</v>
      </c>
    </row>
    <row r="113" spans="1:8" s="3613" customFormat="1" ht="11.25" customHeight="1" outlineLevel="1">
      <c r="A113" s="3294" t="s">
        <v>368</v>
      </c>
      <c r="B113" s="3605"/>
      <c r="C113" s="3611"/>
      <c r="D113" s="3180">
        <v>0</v>
      </c>
      <c r="E113" s="2619">
        <f>[27]CMO!$E$70</f>
        <v>5271.8</v>
      </c>
      <c r="F113" s="3052">
        <f>G113-E113</f>
        <v>3728.2</v>
      </c>
      <c r="G113" s="3199">
        <f>[27]CMO!$C$70</f>
        <v>9000</v>
      </c>
      <c r="H113" s="3199">
        <v>9000</v>
      </c>
    </row>
    <row r="114" spans="1:8" s="3613" customFormat="1" ht="11.25" customHeight="1" outlineLevel="1">
      <c r="A114" s="3612" t="s">
        <v>2694</v>
      </c>
      <c r="B114" s="3605"/>
      <c r="C114" s="3611"/>
      <c r="D114" s="3180"/>
      <c r="E114" s="2619"/>
      <c r="F114" s="3052"/>
      <c r="G114" s="3199"/>
      <c r="H114" s="2619"/>
    </row>
    <row r="115" spans="1:8" s="3613" customFormat="1" ht="11.25" customHeight="1" outlineLevel="1">
      <c r="A115" s="3202" t="s">
        <v>2693</v>
      </c>
      <c r="B115" s="3201"/>
      <c r="C115" s="3611"/>
      <c r="D115" s="3180">
        <f>[26]CMO!$E$75</f>
        <v>0</v>
      </c>
      <c r="E115" s="2619">
        <f>[27]CMO!$E$72</f>
        <v>4500</v>
      </c>
      <c r="F115" s="3052">
        <f>G115-E115</f>
        <v>25500</v>
      </c>
      <c r="G115" s="3199">
        <f>[27]CMO!$C$72</f>
        <v>30000</v>
      </c>
      <c r="H115" s="3199">
        <v>30000</v>
      </c>
    </row>
    <row r="116" spans="1:8" s="3613" customFormat="1" ht="11.25" customHeight="1" outlineLevel="1">
      <c r="A116" s="3206" t="s">
        <v>572</v>
      </c>
      <c r="B116" s="3201"/>
      <c r="C116" s="3611"/>
      <c r="D116" s="3180">
        <f>[26]CMO!$E$76</f>
        <v>13500</v>
      </c>
      <c r="E116" s="2619">
        <f>[27]CMO!$E$73</f>
        <v>9319.5</v>
      </c>
      <c r="F116" s="3052">
        <f>G116-E116</f>
        <v>4180.5</v>
      </c>
      <c r="G116" s="3199">
        <f>[27]CMO!$C$73</f>
        <v>13500</v>
      </c>
      <c r="H116" s="3199">
        <v>13500</v>
      </c>
    </row>
    <row r="117" spans="1:8" s="3613" customFormat="1" ht="11.25" customHeight="1" outlineLevel="1">
      <c r="A117" s="3202" t="s">
        <v>1479</v>
      </c>
      <c r="B117" s="3201"/>
      <c r="C117" s="3611"/>
      <c r="D117" s="3180">
        <f>[26]CMO!$E$77</f>
        <v>3289.35</v>
      </c>
      <c r="E117" s="2619">
        <f>[27]CMO!$E$74</f>
        <v>6419.9</v>
      </c>
      <c r="F117" s="3052">
        <f>G117-E117</f>
        <v>3580.1000000000004</v>
      </c>
      <c r="G117" s="3199">
        <f>[27]CMO!$C$74</f>
        <v>10000</v>
      </c>
      <c r="H117" s="3199">
        <v>10000</v>
      </c>
    </row>
    <row r="118" spans="1:8" s="3613" customFormat="1" ht="11.25" customHeight="1" outlineLevel="1">
      <c r="A118" s="3206" t="s">
        <v>2692</v>
      </c>
      <c r="B118" s="3201"/>
      <c r="C118" s="3611"/>
      <c r="D118" s="3180"/>
      <c r="E118" s="2619"/>
      <c r="F118" s="3052"/>
      <c r="G118" s="3199"/>
      <c r="H118" s="3199"/>
    </row>
    <row r="119" spans="1:8" s="3613" customFormat="1" ht="11.25" customHeight="1" outlineLevel="1">
      <c r="A119" s="3202"/>
      <c r="B119" s="3205" t="s">
        <v>2691</v>
      </c>
      <c r="C119" s="3614"/>
      <c r="D119" s="3180">
        <f>[26]CMO!$E$78</f>
        <v>0</v>
      </c>
      <c r="E119" s="2619">
        <f>[27]CMO!$E$75</f>
        <v>5100</v>
      </c>
      <c r="F119" s="3052">
        <f>G119-E119</f>
        <v>4400</v>
      </c>
      <c r="G119" s="3199">
        <f>[27]CMO!$C$75</f>
        <v>9500</v>
      </c>
      <c r="H119" s="3199">
        <v>9500</v>
      </c>
    </row>
    <row r="120" spans="1:8" s="3613" customFormat="1" ht="11.25" customHeight="1" outlineLevel="1">
      <c r="A120" s="3202" t="s">
        <v>952</v>
      </c>
      <c r="B120" s="3201"/>
      <c r="C120" s="3611"/>
      <c r="D120" s="3180">
        <f>[26]CMO!$E$79</f>
        <v>67935.48</v>
      </c>
      <c r="E120" s="2619">
        <f>[27]CMO!$E$76</f>
        <v>36000</v>
      </c>
      <c r="F120" s="3052">
        <f>G120-E120</f>
        <v>36000</v>
      </c>
      <c r="G120" s="3199">
        <f>[27]CMO!$C$76</f>
        <v>72000</v>
      </c>
      <c r="H120" s="3199">
        <v>72000</v>
      </c>
    </row>
    <row r="121" spans="1:8" s="3613" customFormat="1" ht="11.25" customHeight="1" outlineLevel="1">
      <c r="A121" s="3612" t="s">
        <v>2690</v>
      </c>
      <c r="B121" s="3201"/>
      <c r="C121" s="3611"/>
      <c r="D121" s="3180"/>
      <c r="E121" s="2619"/>
      <c r="F121" s="3052"/>
      <c r="G121" s="3199"/>
      <c r="H121" s="3199"/>
    </row>
    <row r="122" spans="1:8" s="3613" customFormat="1" ht="11.25" customHeight="1" outlineLevel="1">
      <c r="A122" s="3202" t="s">
        <v>952</v>
      </c>
      <c r="B122" s="3201"/>
      <c r="C122" s="3611"/>
      <c r="D122" s="3180">
        <v>0</v>
      </c>
      <c r="E122" s="2619">
        <f>[27]CMO!$E$85</f>
        <v>0</v>
      </c>
      <c r="F122" s="3052">
        <f>G122-E122</f>
        <v>60000</v>
      </c>
      <c r="G122" s="3199">
        <f>[27]CMO!$C$85</f>
        <v>60000</v>
      </c>
      <c r="H122" s="3199">
        <v>60000</v>
      </c>
    </row>
    <row r="123" spans="1:8" s="3613" customFormat="1" ht="11.25" customHeight="1" outlineLevel="1">
      <c r="A123" s="3612" t="s">
        <v>2689</v>
      </c>
      <c r="B123" s="3201"/>
      <c r="C123" s="3611"/>
      <c r="D123" s="3180"/>
      <c r="E123" s="2619"/>
      <c r="F123" s="3052"/>
      <c r="G123" s="3199"/>
      <c r="H123" s="3199"/>
    </row>
    <row r="124" spans="1:8" s="3613" customFormat="1" ht="11.25" customHeight="1" outlineLevel="1">
      <c r="A124" s="3202" t="s">
        <v>2688</v>
      </c>
      <c r="B124" s="3201"/>
      <c r="C124" s="3611"/>
      <c r="D124" s="3180">
        <f>[26]CMO!$E$86</f>
        <v>0</v>
      </c>
      <c r="E124" s="2619">
        <f>[27]CMO!$E$87</f>
        <v>0</v>
      </c>
      <c r="F124" s="3052">
        <f>G124-E124</f>
        <v>10000</v>
      </c>
      <c r="G124" s="3199">
        <f>[27]CMO!$C$87</f>
        <v>10000</v>
      </c>
      <c r="H124" s="3199">
        <v>10000</v>
      </c>
    </row>
    <row r="125" spans="1:8" s="3613" customFormat="1" ht="11.25" customHeight="1" outlineLevel="1">
      <c r="A125" s="3202" t="s">
        <v>402</v>
      </c>
      <c r="B125" s="3201"/>
      <c r="C125" s="3611"/>
      <c r="D125" s="3180">
        <f>[26]CMO!$E$87</f>
        <v>0</v>
      </c>
      <c r="E125" s="2619">
        <f>[27]CMO!$E$88</f>
        <v>0</v>
      </c>
      <c r="F125" s="3052">
        <f>G125-E125</f>
        <v>10000</v>
      </c>
      <c r="G125" s="3199">
        <f>[27]CMO!$C$88</f>
        <v>10000</v>
      </c>
      <c r="H125" s="3199">
        <v>10000</v>
      </c>
    </row>
    <row r="126" spans="1:8" s="3613" customFormat="1" ht="11.25" customHeight="1" outlineLevel="1">
      <c r="A126" s="3202" t="s">
        <v>2104</v>
      </c>
      <c r="B126" s="3201"/>
      <c r="C126" s="3611"/>
      <c r="D126" s="3180">
        <f>[26]CMO!$E$88</f>
        <v>0</v>
      </c>
      <c r="E126" s="2619">
        <f>[27]CMO!$E$89</f>
        <v>0</v>
      </c>
      <c r="F126" s="3052">
        <f>G126-E126</f>
        <v>10000</v>
      </c>
      <c r="G126" s="3199">
        <f>[27]CMO!$C$89</f>
        <v>10000</v>
      </c>
      <c r="H126" s="3199">
        <v>10000</v>
      </c>
    </row>
    <row r="127" spans="1:8" ht="11.25" customHeight="1" outlineLevel="1">
      <c r="A127" s="3206" t="s">
        <v>699</v>
      </c>
      <c r="B127" s="3201"/>
      <c r="C127" s="3611"/>
      <c r="D127" s="3180">
        <f>[26]CMO!$E$89</f>
        <v>9055.2000000000007</v>
      </c>
      <c r="E127" s="2619">
        <f>[27]CMO!$E$90</f>
        <v>3092.3199999999997</v>
      </c>
      <c r="F127" s="3052">
        <f>G127-E127</f>
        <v>10407.68</v>
      </c>
      <c r="G127" s="3199">
        <f>[27]CMO!$C$90</f>
        <v>13500</v>
      </c>
      <c r="H127" s="3199">
        <v>13500</v>
      </c>
    </row>
    <row r="128" spans="1:8" ht="11.25" customHeight="1" outlineLevel="1">
      <c r="A128" s="3294" t="s">
        <v>368</v>
      </c>
      <c r="B128" s="3201"/>
      <c r="C128" s="3611"/>
      <c r="D128" s="3180">
        <f>[26]CMO!$E$90</f>
        <v>0</v>
      </c>
      <c r="E128" s="2619">
        <f>[27]CMO!$E$91</f>
        <v>0</v>
      </c>
      <c r="F128" s="3052">
        <f>G128-E128</f>
        <v>3000</v>
      </c>
      <c r="G128" s="3199">
        <f>[27]CMO!$C$91</f>
        <v>3000</v>
      </c>
      <c r="H128" s="3199">
        <v>3000</v>
      </c>
    </row>
    <row r="129" spans="1:9" ht="11.25" customHeight="1" outlineLevel="1">
      <c r="A129" s="3612" t="s">
        <v>2687</v>
      </c>
      <c r="B129" s="3174"/>
      <c r="C129" s="3600"/>
      <c r="D129" s="3599"/>
      <c r="E129" s="2619"/>
      <c r="F129" s="3052"/>
      <c r="G129" s="3199"/>
      <c r="H129" s="3199"/>
    </row>
    <row r="130" spans="1:9" ht="11.25" customHeight="1" outlineLevel="2">
      <c r="A130" s="3202" t="s">
        <v>952</v>
      </c>
      <c r="B130" s="3201"/>
      <c r="C130" s="3611"/>
      <c r="D130" s="3599">
        <f>[26]CMO!$E$92</f>
        <v>257000</v>
      </c>
      <c r="E130" s="2619">
        <f>[27]CMO!$E$93</f>
        <v>126000</v>
      </c>
      <c r="F130" s="3052">
        <f>G130-E130</f>
        <v>186000</v>
      </c>
      <c r="G130" s="3199">
        <f>[27]CMO!$C$93</f>
        <v>312000</v>
      </c>
      <c r="H130" s="3199">
        <v>312000</v>
      </c>
    </row>
    <row r="131" spans="1:9" ht="11.25" customHeight="1" outlineLevel="1">
      <c r="A131" s="3612" t="s">
        <v>2686</v>
      </c>
      <c r="B131" s="3201"/>
      <c r="C131" s="3611"/>
      <c r="D131" s="3599"/>
      <c r="E131" s="2619"/>
      <c r="F131" s="3052"/>
      <c r="G131" s="3199"/>
      <c r="H131" s="3199"/>
    </row>
    <row r="132" spans="1:9" ht="11.25" customHeight="1" outlineLevel="1">
      <c r="A132" s="3202" t="s">
        <v>402</v>
      </c>
      <c r="B132" s="3201"/>
      <c r="C132" s="3611"/>
      <c r="D132" s="3599">
        <f>[26]CMO!$E$94</f>
        <v>7082</v>
      </c>
      <c r="E132" s="2619">
        <f>[27]CMO!$E$95</f>
        <v>1740</v>
      </c>
      <c r="F132" s="3052">
        <f>G132-E132</f>
        <v>6260</v>
      </c>
      <c r="G132" s="3199">
        <f>[27]CMO!$C$95</f>
        <v>8000</v>
      </c>
      <c r="H132" s="3199">
        <v>8000</v>
      </c>
    </row>
    <row r="133" spans="1:9" ht="12.75" customHeight="1" outlineLevel="1">
      <c r="A133" s="3202" t="s">
        <v>2104</v>
      </c>
      <c r="B133" s="3201"/>
      <c r="C133" s="3611"/>
      <c r="D133" s="3599">
        <f>[26]CMO!$E$95</f>
        <v>28272.27</v>
      </c>
      <c r="E133" s="2619">
        <f>[27]CMO!$E$96</f>
        <v>39422</v>
      </c>
      <c r="F133" s="3052">
        <f>G133-E133</f>
        <v>110578</v>
      </c>
      <c r="G133" s="3199">
        <f>[27]CMO!$C$96</f>
        <v>150000</v>
      </c>
      <c r="H133" s="3199">
        <v>150000</v>
      </c>
    </row>
    <row r="134" spans="1:9" ht="12.75" customHeight="1" outlineLevel="1">
      <c r="A134" s="3206" t="s">
        <v>2076</v>
      </c>
      <c r="B134" s="3205"/>
      <c r="C134" s="3184"/>
      <c r="D134" s="3599"/>
      <c r="E134" s="2619"/>
      <c r="F134" s="3052"/>
      <c r="G134" s="3199"/>
      <c r="H134" s="3199"/>
    </row>
    <row r="135" spans="1:9" ht="12.75" customHeight="1" outlineLevel="1">
      <c r="A135" s="3202"/>
      <c r="B135" s="3201" t="s">
        <v>2328</v>
      </c>
      <c r="C135" s="3184"/>
      <c r="D135" s="3180">
        <f>0</f>
        <v>0</v>
      </c>
      <c r="E135" s="2619">
        <f>[27]CMO!$E$97</f>
        <v>0</v>
      </c>
      <c r="F135" s="3052">
        <f>G135-E135</f>
        <v>100000</v>
      </c>
      <c r="G135" s="3199">
        <f>[27]CMO!$C$97</f>
        <v>100000</v>
      </c>
      <c r="H135" s="3199">
        <v>100000</v>
      </c>
    </row>
    <row r="136" spans="1:9" ht="12.75" customHeight="1" outlineLevel="1" thickBot="1">
      <c r="A136" s="3294" t="s">
        <v>368</v>
      </c>
      <c r="B136" s="3201"/>
      <c r="C136" s="3611"/>
      <c r="D136" s="3599">
        <f>[26]CMO!$E$96</f>
        <v>492000</v>
      </c>
      <c r="E136" s="2619">
        <f>[27]CMO!$E$98</f>
        <v>254000</v>
      </c>
      <c r="F136" s="3052">
        <f>G136-E136</f>
        <v>238000</v>
      </c>
      <c r="G136" s="3199">
        <f>[27]CMO!$C$98</f>
        <v>492000</v>
      </c>
      <c r="H136" s="3199">
        <v>548000</v>
      </c>
    </row>
    <row r="137" spans="1:9" s="3606" customFormat="1" ht="12.75" customHeight="1" outlineLevel="2" thickBot="1">
      <c r="A137" s="3610" t="s">
        <v>1241</v>
      </c>
      <c r="B137" s="3609"/>
      <c r="C137" s="3608"/>
      <c r="D137" s="3607">
        <f>SUM(D138:D145)</f>
        <v>13443039.68</v>
      </c>
      <c r="E137" s="3607">
        <f>SUM(E138:E145)</f>
        <v>4293127</v>
      </c>
      <c r="F137" s="3607">
        <f>SUM(F138:F145)</f>
        <v>30345856.600000001</v>
      </c>
      <c r="G137" s="3607">
        <f>SUM(G138:G145)</f>
        <v>34638983.600000001</v>
      </c>
      <c r="H137" s="3607">
        <f>SUM(H138:H145)</f>
        <v>69500000</v>
      </c>
    </row>
    <row r="138" spans="1:9" ht="11.25" customHeight="1" outlineLevel="2">
      <c r="A138" s="3202"/>
      <c r="B138" s="3605" t="s">
        <v>2685</v>
      </c>
      <c r="C138" s="3600"/>
      <c r="D138" s="3599">
        <f>[26]CMO!$E$98</f>
        <v>1000000</v>
      </c>
      <c r="E138" s="2619">
        <f>'[28]CAPITAL OUTLAY - SB#2, CY 2020'!$D$14+'[28]CAPITAL OUTLAY - SB#2, CY 2020'!$D$15+'[28]CAPITAL OUTLAY - SB#2, CY 2020'!$D$16+'[28]CAPITAL OUTLAY - SB#2, CY 2020'!$D$17</f>
        <v>313150</v>
      </c>
      <c r="F138" s="3052">
        <f>G138-E138</f>
        <v>686850</v>
      </c>
      <c r="G138" s="3199">
        <f>[29]CMO!$C$98</f>
        <v>1000000</v>
      </c>
      <c r="H138" s="2619">
        <v>1000000</v>
      </c>
    </row>
    <row r="139" spans="1:9" ht="11.25" customHeight="1" outlineLevel="2">
      <c r="A139" s="3202"/>
      <c r="B139" s="3605" t="s">
        <v>2684</v>
      </c>
      <c r="C139" s="3600"/>
      <c r="D139" s="3599">
        <v>5653265.6799999997</v>
      </c>
      <c r="E139" s="2619">
        <v>0</v>
      </c>
      <c r="F139" s="3052">
        <f>G139-E139</f>
        <v>0</v>
      </c>
      <c r="G139" s="3199">
        <v>0</v>
      </c>
      <c r="H139" s="2619"/>
      <c r="I139" s="3603" t="s">
        <v>2683</v>
      </c>
    </row>
    <row r="140" spans="1:9" ht="11.25" customHeight="1" outlineLevel="2">
      <c r="A140" s="3202"/>
      <c r="B140" s="3604" t="s">
        <v>2682</v>
      </c>
      <c r="C140" s="3600"/>
      <c r="D140" s="3599">
        <f>[26]CMO!$E$101</f>
        <v>527374</v>
      </c>
      <c r="E140" s="2619">
        <v>887147</v>
      </c>
      <c r="F140" s="3052">
        <f>G140-E140</f>
        <v>8201836.5999999996</v>
      </c>
      <c r="G140" s="3199">
        <v>9088983.5999999996</v>
      </c>
      <c r="H140" s="2619">
        <v>10000000</v>
      </c>
      <c r="I140" s="3603"/>
    </row>
    <row r="141" spans="1:9" ht="11.25" customHeight="1" outlineLevel="2">
      <c r="A141" s="3202"/>
      <c r="B141" s="3601" t="s">
        <v>2681</v>
      </c>
      <c r="C141" s="3602"/>
      <c r="D141" s="3599">
        <v>0</v>
      </c>
      <c r="E141" s="2619">
        <v>850850</v>
      </c>
      <c r="F141" s="3052">
        <f>G141-E141</f>
        <v>1649150</v>
      </c>
      <c r="G141" s="3199">
        <v>2500000</v>
      </c>
      <c r="H141" s="2619">
        <v>3000000</v>
      </c>
    </row>
    <row r="142" spans="1:9" ht="11.25" customHeight="1" outlineLevel="2">
      <c r="A142" s="3202"/>
      <c r="B142" s="3601" t="s">
        <v>2680</v>
      </c>
      <c r="C142" s="3602" t="s">
        <v>1813</v>
      </c>
      <c r="D142" s="3599">
        <v>0</v>
      </c>
      <c r="E142" s="2619">
        <v>0</v>
      </c>
      <c r="F142" s="3052">
        <v>0</v>
      </c>
      <c r="G142" s="3199">
        <v>0</v>
      </c>
      <c r="H142" s="2619">
        <v>36000000</v>
      </c>
    </row>
    <row r="143" spans="1:9" ht="11.25" customHeight="1" outlineLevel="2">
      <c r="A143" s="3202"/>
      <c r="B143" s="3601" t="s">
        <v>2679</v>
      </c>
      <c r="C143" s="3602" t="s">
        <v>1803</v>
      </c>
      <c r="D143" s="3599">
        <v>0</v>
      </c>
      <c r="E143" s="2619">
        <v>0</v>
      </c>
      <c r="F143" s="3052">
        <v>0</v>
      </c>
      <c r="G143" s="3199">
        <v>0</v>
      </c>
      <c r="H143" s="2619">
        <v>1500000</v>
      </c>
    </row>
    <row r="144" spans="1:9" ht="11.25" customHeight="1" outlineLevel="2">
      <c r="A144" s="3202"/>
      <c r="B144" s="3601" t="s">
        <v>2328</v>
      </c>
      <c r="C144" s="3602" t="s">
        <v>1801</v>
      </c>
      <c r="D144" s="3599">
        <f>[26]CMO!$E$99</f>
        <v>2330000</v>
      </c>
      <c r="E144" s="2619">
        <v>1550000</v>
      </c>
      <c r="F144" s="3052">
        <f>G144-E144</f>
        <v>7500000</v>
      </c>
      <c r="G144" s="3199">
        <v>9050000</v>
      </c>
      <c r="H144" s="2619">
        <v>8000000</v>
      </c>
    </row>
    <row r="145" spans="1:19" ht="11.25" customHeight="1" outlineLevel="2">
      <c r="A145" s="3202"/>
      <c r="B145" s="3601" t="s">
        <v>2678</v>
      </c>
      <c r="C145" s="3600"/>
      <c r="D145" s="3599">
        <f>[26]CMO!$E$100</f>
        <v>3932400</v>
      </c>
      <c r="E145" s="2619">
        <v>691980</v>
      </c>
      <c r="F145" s="3052">
        <f>G145-E145</f>
        <v>12308020</v>
      </c>
      <c r="G145" s="3199">
        <v>13000000</v>
      </c>
      <c r="H145" s="2619">
        <v>10000000</v>
      </c>
    </row>
    <row r="146" spans="1:19" ht="12.75" customHeight="1" outlineLevel="2" thickBot="1">
      <c r="A146" s="3178" t="s">
        <v>366</v>
      </c>
      <c r="B146" s="3178"/>
      <c r="C146" s="3598"/>
      <c r="D146" s="3178">
        <f>D137+D40+D12</f>
        <v>186927142.162</v>
      </c>
      <c r="E146" s="3178">
        <f>E137+E40+E12</f>
        <v>50639349.429999992</v>
      </c>
      <c r="F146" s="3178">
        <f>F137+F40+F12</f>
        <v>114326127.17000002</v>
      </c>
      <c r="G146" s="3178">
        <f>G137+G40+G12</f>
        <v>164965476.59999999</v>
      </c>
      <c r="H146" s="3178">
        <f>H137+H40+H12</f>
        <v>211596612</v>
      </c>
      <c r="I146" s="3160">
        <f>D146-[26]CMO!$E$103</f>
        <v>4901265.6800000072</v>
      </c>
    </row>
    <row r="147" spans="1:19" s="3162" customFormat="1" ht="14.25" customHeight="1" thickTop="1">
      <c r="A147" s="3175" t="s">
        <v>2312</v>
      </c>
      <c r="B147" s="3174"/>
      <c r="C147" s="3174"/>
      <c r="D147" s="3174"/>
      <c r="E147" s="3173"/>
      <c r="F147" s="3173"/>
      <c r="G147" s="3173" t="s">
        <v>2311</v>
      </c>
      <c r="H147" s="3173"/>
      <c r="I147" s="2233"/>
      <c r="J147" s="2255"/>
      <c r="K147" s="2255"/>
      <c r="L147" s="2255"/>
      <c r="M147" s="2255"/>
      <c r="N147" s="2255"/>
      <c r="O147" s="2255"/>
      <c r="P147" s="2255"/>
      <c r="Q147" s="2255"/>
      <c r="R147" s="2255"/>
      <c r="S147" s="2255"/>
    </row>
    <row r="148" spans="1:19" s="3162" customFormat="1" ht="11.25" customHeight="1">
      <c r="A148" s="3173"/>
      <c r="B148" s="3174"/>
      <c r="C148" s="3174"/>
      <c r="D148" s="3174"/>
      <c r="E148" s="3173"/>
      <c r="F148" s="3173"/>
      <c r="G148" s="3173"/>
      <c r="H148" s="3173"/>
      <c r="I148" s="2233"/>
      <c r="J148" s="2255"/>
      <c r="K148" s="2255"/>
      <c r="L148" s="2255"/>
      <c r="M148" s="2255"/>
      <c r="N148" s="2255"/>
      <c r="O148" s="2255"/>
      <c r="P148" s="2255"/>
      <c r="Q148" s="2255"/>
      <c r="R148" s="2255"/>
      <c r="S148" s="2255"/>
    </row>
    <row r="149" spans="1:19" s="3162" customFormat="1" ht="6" customHeight="1">
      <c r="A149" s="3173"/>
      <c r="B149" s="3174"/>
      <c r="C149" s="3174"/>
      <c r="D149" s="3174"/>
      <c r="E149" s="3173"/>
      <c r="F149" s="3173"/>
      <c r="G149" s="3173"/>
      <c r="H149" s="3173"/>
      <c r="I149" s="2233"/>
      <c r="J149" s="2255"/>
      <c r="K149" s="2255"/>
      <c r="L149" s="2255"/>
      <c r="M149" s="2255"/>
      <c r="N149" s="2255"/>
      <c r="O149" s="2255"/>
      <c r="P149" s="2255"/>
      <c r="Q149" s="2255"/>
      <c r="R149" s="2255"/>
      <c r="S149" s="2255"/>
    </row>
    <row r="150" spans="1:19" s="3162" customFormat="1" ht="14.25" customHeight="1">
      <c r="A150" s="3172" t="s">
        <v>2405</v>
      </c>
      <c r="B150" s="3167"/>
      <c r="C150" s="3171" t="s">
        <v>2309</v>
      </c>
      <c r="D150" s="3165"/>
      <c r="E150" s="3169"/>
      <c r="F150" s="3169"/>
      <c r="G150" s="3170" t="s">
        <v>359</v>
      </c>
      <c r="H150" s="3169"/>
      <c r="I150" s="2233"/>
      <c r="J150" s="2255"/>
      <c r="K150" s="2255"/>
      <c r="L150" s="2255"/>
      <c r="M150" s="2255"/>
      <c r="N150" s="2255"/>
      <c r="O150" s="2255"/>
      <c r="P150" s="2255"/>
      <c r="Q150" s="2255"/>
      <c r="R150" s="2255"/>
      <c r="S150" s="2255"/>
    </row>
    <row r="151" spans="1:19" s="3162" customFormat="1" ht="14.25" customHeight="1">
      <c r="A151" s="3597" t="s">
        <v>2403</v>
      </c>
      <c r="B151" s="3596"/>
      <c r="C151" s="3166" t="s">
        <v>2308</v>
      </c>
      <c r="D151" s="3165"/>
      <c r="E151" s="3163"/>
      <c r="F151" s="3163"/>
      <c r="G151" s="3164" t="s">
        <v>2307</v>
      </c>
      <c r="H151" s="3163"/>
      <c r="I151" s="2233"/>
      <c r="J151" s="2255"/>
      <c r="K151" s="2255"/>
      <c r="L151" s="2255"/>
      <c r="M151" s="2255"/>
      <c r="N151" s="2255"/>
      <c r="O151" s="2255"/>
      <c r="P151" s="2255"/>
      <c r="Q151" s="2255"/>
      <c r="R151" s="2255"/>
      <c r="S151" s="2255"/>
    </row>
    <row r="152" spans="1:19" s="3286" customFormat="1">
      <c r="B152" s="3289"/>
      <c r="C152" s="3595"/>
      <c r="D152" s="3594"/>
      <c r="E152" s="3594"/>
      <c r="F152" s="3594"/>
      <c r="G152" s="3594"/>
      <c r="H152" s="3594"/>
    </row>
    <row r="153" spans="1:19" s="3286" customFormat="1">
      <c r="B153" s="3289"/>
      <c r="C153" s="3595"/>
      <c r="D153" s="3594"/>
      <c r="E153" s="3594"/>
      <c r="F153" s="3594"/>
      <c r="G153" s="3594"/>
      <c r="H153" s="3594"/>
    </row>
    <row r="154" spans="1:19" s="3286" customFormat="1">
      <c r="B154" s="3289"/>
      <c r="C154" s="3595"/>
      <c r="D154" s="3594"/>
      <c r="E154" s="3594"/>
      <c r="F154" s="3594"/>
      <c r="G154" s="3594"/>
      <c r="H154" s="3594"/>
    </row>
    <row r="155" spans="1:19" s="3286" customFormat="1">
      <c r="B155" s="3289"/>
      <c r="C155" s="3595"/>
      <c r="D155" s="3594"/>
      <c r="E155" s="3594"/>
      <c r="F155" s="3594"/>
      <c r="G155" s="3594"/>
      <c r="H155" s="3594"/>
    </row>
    <row r="156" spans="1:19" s="3286" customFormat="1">
      <c r="B156" s="3289"/>
      <c r="C156" s="3595"/>
      <c r="D156" s="3594"/>
      <c r="E156" s="3594"/>
      <c r="F156" s="3594"/>
      <c r="G156" s="3594"/>
      <c r="H156" s="3594"/>
    </row>
    <row r="157" spans="1:19" s="3286" customFormat="1">
      <c r="B157" s="3289"/>
      <c r="C157" s="3595"/>
      <c r="D157" s="3594"/>
      <c r="E157" s="3594"/>
      <c r="F157" s="3594"/>
      <c r="G157" s="3594"/>
      <c r="H157" s="3594"/>
    </row>
    <row r="158" spans="1:19" s="3286" customFormat="1">
      <c r="B158" s="3289"/>
      <c r="C158" s="3595"/>
      <c r="D158" s="3594"/>
      <c r="E158" s="3594"/>
      <c r="F158" s="3594"/>
      <c r="G158" s="3594"/>
      <c r="H158" s="3594"/>
    </row>
  </sheetData>
  <mergeCells count="6">
    <mergeCell ref="A4:H4"/>
    <mergeCell ref="A5:H5"/>
    <mergeCell ref="A7:B10"/>
    <mergeCell ref="E7:G7"/>
    <mergeCell ref="A89:B92"/>
    <mergeCell ref="E89:G89"/>
  </mergeCells>
  <pageMargins left="0.5" right="0" top="0" bottom="0" header="0.25" footer="0"/>
  <pageSetup paperSize="5" orientation="portrait" verticalDpi="300" r:id="rId1"/>
  <headerFooter alignWithMargins="0"/>
  <legacyDrawing r:id="rId2"/>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 transitionEvaluation="1" transitionEntry="1">
    <tabColor rgb="FF7030A0"/>
    <outlinePr summaryBelow="0"/>
  </sheetPr>
  <dimension ref="A1:EM94"/>
  <sheetViews>
    <sheetView showGridLines="0" showOutlineSymbols="0" workbookViewId="0">
      <pane xSplit="3" ySplit="12" topLeftCell="D13" activePane="bottomRight" state="frozen"/>
      <selection pane="topRight" activeCell="G1" sqref="G1"/>
      <selection pane="bottomLeft" activeCell="A11" sqref="A11"/>
      <selection pane="bottomRight" activeCell="H39" sqref="H39"/>
    </sheetView>
  </sheetViews>
  <sheetFormatPr defaultColWidth="12.5703125" defaultRowHeight="13.5" outlineLevelRow="2" outlineLevelCol="2"/>
  <cols>
    <col min="1" max="1" width="1.85546875" style="3161" customWidth="1"/>
    <col min="2" max="2" width="29.28515625" style="3161" customWidth="1"/>
    <col min="3" max="3" width="11.7109375" style="3161" customWidth="1"/>
    <col min="4" max="4" width="11.140625" style="3161" customWidth="1"/>
    <col min="5" max="5" width="9.28515625" style="3161" customWidth="1"/>
    <col min="6" max="6" width="9.7109375" style="3161" customWidth="1"/>
    <col min="7" max="7" width="10.28515625" style="3161" customWidth="1"/>
    <col min="8" max="8" width="9.85546875" style="3161" customWidth="1"/>
    <col min="9" max="9" width="14.140625" style="2233" customWidth="1"/>
    <col min="10" max="42" width="12.5703125" style="2233"/>
    <col min="43" max="47" width="12.5703125" style="2233" outlineLevel="1"/>
    <col min="48" max="53" width="12.5703125" style="2233" outlineLevel="2"/>
    <col min="54" max="56" width="12.5703125" style="2233" outlineLevel="1"/>
    <col min="57" max="76" width="12.5703125" style="2233"/>
    <col min="77" max="80" width="12.5703125" style="2233" outlineLevel="1"/>
    <col min="81" max="128" width="12.5703125" style="2233"/>
    <col min="129" max="134" width="12.5703125" style="2233" outlineLevel="1"/>
    <col min="135" max="140" width="12.5703125" style="2233" outlineLevel="2"/>
    <col min="141" max="143" width="12.5703125" style="2233" outlineLevel="1"/>
    <col min="144" max="16384" width="12.5703125" style="2233"/>
  </cols>
  <sheetData>
    <row r="1" spans="1:9" s="2473" customFormat="1" ht="12.75">
      <c r="A1" s="3226" t="s">
        <v>473</v>
      </c>
      <c r="B1" s="3593"/>
      <c r="C1" s="3593"/>
      <c r="D1" s="3593"/>
      <c r="E1" s="3226"/>
      <c r="F1" s="3226"/>
      <c r="G1" s="3226"/>
      <c r="H1" s="3226"/>
    </row>
    <row r="2" spans="1:9" s="2473" customFormat="1" ht="14.25" customHeight="1">
      <c r="A2" s="3221" t="s">
        <v>2734</v>
      </c>
      <c r="B2" s="3593"/>
      <c r="C2" s="3593"/>
      <c r="D2" s="3593"/>
      <c r="E2" s="3221"/>
      <c r="F2" s="3221"/>
      <c r="G2" s="3221"/>
      <c r="H2" s="3221"/>
    </row>
    <row r="3" spans="1:9" ht="14.25" customHeight="1">
      <c r="A3" s="4977" t="s">
        <v>471</v>
      </c>
      <c r="B3" s="4977"/>
      <c r="C3" s="4977"/>
      <c r="D3" s="4977"/>
      <c r="E3" s="4977"/>
      <c r="F3" s="4977"/>
      <c r="G3" s="4977"/>
      <c r="H3" s="4977"/>
    </row>
    <row r="4" spans="1:9" ht="14.25" customHeight="1">
      <c r="A4" s="4978" t="s">
        <v>2733</v>
      </c>
      <c r="B4" s="4978"/>
      <c r="C4" s="4978"/>
      <c r="D4" s="4978"/>
      <c r="E4" s="4978"/>
      <c r="F4" s="4978"/>
      <c r="G4" s="4978"/>
      <c r="H4" s="4978"/>
    </row>
    <row r="5" spans="1:9" ht="5.25" customHeight="1">
      <c r="A5" s="3282"/>
      <c r="B5" s="3282"/>
      <c r="C5" s="3282"/>
      <c r="D5" s="3282"/>
      <c r="E5" s="3282"/>
      <c r="F5" s="3282"/>
      <c r="G5" s="3282"/>
      <c r="H5" s="3282"/>
    </row>
    <row r="6" spans="1:9" ht="14.25" customHeight="1">
      <c r="A6" s="3684"/>
      <c r="B6" s="3683" t="s">
        <v>2732</v>
      </c>
    </row>
    <row r="7" spans="1:9" ht="12" customHeight="1">
      <c r="A7" s="4743" t="s">
        <v>468</v>
      </c>
      <c r="B7" s="4744"/>
      <c r="C7" s="3280" t="s">
        <v>467</v>
      </c>
      <c r="D7" s="3220" t="s">
        <v>466</v>
      </c>
      <c r="E7" s="4948" t="s">
        <v>465</v>
      </c>
      <c r="F7" s="4949"/>
      <c r="G7" s="4950"/>
      <c r="H7" s="3220" t="s">
        <v>2345</v>
      </c>
      <c r="I7" s="3682"/>
    </row>
    <row r="8" spans="1:9" ht="12" customHeight="1">
      <c r="A8" s="4745"/>
      <c r="B8" s="4746"/>
      <c r="C8" s="3279" t="s">
        <v>463</v>
      </c>
      <c r="D8" s="3218" t="s">
        <v>573</v>
      </c>
      <c r="E8" s="3218" t="s">
        <v>2344</v>
      </c>
      <c r="F8" s="3218" t="s">
        <v>2343</v>
      </c>
      <c r="G8" s="3218"/>
      <c r="H8" s="3218" t="s">
        <v>2342</v>
      </c>
      <c r="I8" s="3681"/>
    </row>
    <row r="9" spans="1:9" ht="12" customHeight="1">
      <c r="A9" s="4745"/>
      <c r="B9" s="4746"/>
      <c r="C9" s="3279"/>
      <c r="D9" s="3218"/>
      <c r="E9" s="3218" t="s">
        <v>2341</v>
      </c>
      <c r="F9" s="3218" t="s">
        <v>2341</v>
      </c>
      <c r="G9" s="3218" t="s">
        <v>244</v>
      </c>
      <c r="H9" s="3218" t="s">
        <v>652</v>
      </c>
      <c r="I9" s="3681"/>
    </row>
    <row r="10" spans="1:9" ht="12" customHeight="1">
      <c r="A10" s="4747"/>
      <c r="B10" s="4748"/>
      <c r="C10" s="3278"/>
      <c r="D10" s="3215" t="s">
        <v>460</v>
      </c>
      <c r="E10" s="3215" t="s">
        <v>460</v>
      </c>
      <c r="F10" s="3215" t="s">
        <v>459</v>
      </c>
      <c r="G10" s="3216"/>
      <c r="H10" s="3215" t="s">
        <v>458</v>
      </c>
      <c r="I10" s="3680"/>
    </row>
    <row r="11" spans="1:9" ht="12" customHeight="1">
      <c r="A11" s="3679" t="s">
        <v>2731</v>
      </c>
      <c r="B11" s="3274"/>
      <c r="C11" s="3275"/>
      <c r="D11" s="3275"/>
      <c r="E11" s="3275"/>
      <c r="F11" s="3274"/>
      <c r="G11" s="3274"/>
      <c r="H11" s="3274"/>
      <c r="I11" s="3678"/>
    </row>
    <row r="12" spans="1:9" ht="12" customHeight="1">
      <c r="A12" s="3677" t="s">
        <v>455</v>
      </c>
      <c r="B12" s="3676"/>
      <c r="C12" s="3271"/>
      <c r="D12" s="3245">
        <f>SUM(D14:D38)</f>
        <v>12382185.037999999</v>
      </c>
      <c r="E12" s="3245">
        <f>SUM(E14:E38)</f>
        <v>6145694.6400000006</v>
      </c>
      <c r="F12" s="3245">
        <f>SUM(F14:F38)</f>
        <v>10698960.359999999</v>
      </c>
      <c r="G12" s="3245">
        <f>SUM(G14:G38)</f>
        <v>16844655</v>
      </c>
      <c r="H12" s="3245">
        <f>SUM(H14:H38)</f>
        <v>17156424</v>
      </c>
      <c r="I12" s="3672"/>
    </row>
    <row r="13" spans="1:9" ht="12" customHeight="1" outlineLevel="1">
      <c r="A13" s="3641" t="s">
        <v>454</v>
      </c>
      <c r="B13" s="3640"/>
      <c r="C13" s="3267"/>
      <c r="D13" s="3268"/>
      <c r="E13" s="3268"/>
      <c r="F13" s="3267"/>
      <c r="G13" s="3267"/>
      <c r="H13" s="3267"/>
      <c r="I13" s="3675"/>
    </row>
    <row r="14" spans="1:9" ht="12" customHeight="1" outlineLevel="1">
      <c r="A14" s="3206" t="s">
        <v>426</v>
      </c>
      <c r="B14" s="3205"/>
      <c r="C14" s="3266" t="s">
        <v>453</v>
      </c>
      <c r="D14" s="3180">
        <f>[22]CSWD!$F$11</f>
        <v>6936981.898</v>
      </c>
      <c r="E14" s="3052">
        <f>[23]CSWD!$F$11</f>
        <v>3877246.5600000005</v>
      </c>
      <c r="F14" s="3052">
        <f>G14-E14</f>
        <v>6417577.4399999995</v>
      </c>
      <c r="G14" s="2619">
        <f>[23]CSWD!$D$11</f>
        <v>10294824</v>
      </c>
      <c r="H14" s="2619">
        <f>'[21]CSWD-FINAL'!$H$70</f>
        <v>10187304</v>
      </c>
      <c r="I14" s="3672">
        <f>H14*0.1</f>
        <v>1018730.4</v>
      </c>
    </row>
    <row r="15" spans="1:9" ht="12" customHeight="1" outlineLevel="1">
      <c r="A15" s="3635" t="s">
        <v>452</v>
      </c>
      <c r="B15" s="3205"/>
      <c r="C15" s="3212"/>
      <c r="D15" s="3180"/>
      <c r="E15" s="3052"/>
      <c r="F15" s="3052"/>
      <c r="G15" s="2619"/>
      <c r="H15" s="2619"/>
      <c r="I15" s="3672"/>
    </row>
    <row r="16" spans="1:9" ht="12" customHeight="1" outlineLevel="1">
      <c r="A16" s="3206" t="s">
        <v>1507</v>
      </c>
      <c r="B16" s="3205"/>
      <c r="C16" s="3266" t="s">
        <v>450</v>
      </c>
      <c r="D16" s="3180">
        <f>[22]CSWD!$F$12</f>
        <v>630064.52</v>
      </c>
      <c r="E16" s="3052">
        <f>[23]CSWD!$F$12</f>
        <v>374315.67000000004</v>
      </c>
      <c r="F16" s="3052">
        <f t="shared" ref="F16:F25" si="0">G16-E16</f>
        <v>513684.32999999996</v>
      </c>
      <c r="G16" s="2619">
        <f>[23]CSWD!$D$12</f>
        <v>888000</v>
      </c>
      <c r="H16" s="2619">
        <f>'[21]CSWD-FINAL'!$B$69*2000*12</f>
        <v>888000</v>
      </c>
      <c r="I16" s="3672"/>
    </row>
    <row r="17" spans="1:10" ht="12" customHeight="1" outlineLevel="1">
      <c r="A17" s="3206" t="s">
        <v>449</v>
      </c>
      <c r="B17" s="3205"/>
      <c r="C17" s="3266" t="s">
        <v>448</v>
      </c>
      <c r="D17" s="3180">
        <f>[22]CSWD!$F$13</f>
        <v>85500</v>
      </c>
      <c r="E17" s="3260">
        <f>[23]CSWD!$F$14</f>
        <v>42750</v>
      </c>
      <c r="F17" s="3052">
        <f t="shared" si="0"/>
        <v>42750</v>
      </c>
      <c r="G17" s="3262">
        <f>[23]CSWD!$D$13</f>
        <v>85500</v>
      </c>
      <c r="H17" s="2619">
        <f>7125*12</f>
        <v>85500</v>
      </c>
      <c r="I17" s="3672"/>
    </row>
    <row r="18" spans="1:10" ht="12" customHeight="1" outlineLevel="1">
      <c r="A18" s="3206" t="s">
        <v>447</v>
      </c>
      <c r="B18" s="3205"/>
      <c r="C18" s="3266" t="s">
        <v>446</v>
      </c>
      <c r="D18" s="3180">
        <f>[22]CSWD!$F$14</f>
        <v>85500</v>
      </c>
      <c r="E18" s="3260">
        <f>[23]CSWD!$F$14</f>
        <v>42750</v>
      </c>
      <c r="F18" s="3052">
        <f t="shared" si="0"/>
        <v>42750</v>
      </c>
      <c r="G18" s="3262">
        <f>[23]CSWD!$D$14</f>
        <v>85500</v>
      </c>
      <c r="H18" s="3262">
        <f>7125*12</f>
        <v>85500</v>
      </c>
      <c r="I18" s="3672"/>
    </row>
    <row r="19" spans="1:10" ht="12" customHeight="1" outlineLevel="1">
      <c r="A19" s="3206" t="s">
        <v>445</v>
      </c>
      <c r="B19" s="3205"/>
      <c r="C19" s="3266" t="s">
        <v>2360</v>
      </c>
      <c r="D19" s="3180">
        <f>[22]CSWD!$F$15</f>
        <v>156000</v>
      </c>
      <c r="E19" s="3260">
        <f>[23]CSWD!$F$15</f>
        <v>156000</v>
      </c>
      <c r="F19" s="3052">
        <f t="shared" si="0"/>
        <v>66000</v>
      </c>
      <c r="G19" s="3262">
        <f>[23]CSWD!$D$15</f>
        <v>222000</v>
      </c>
      <c r="H19" s="3262">
        <f>37*6000</f>
        <v>222000</v>
      </c>
      <c r="I19" s="3672"/>
    </row>
    <row r="20" spans="1:10" ht="12" customHeight="1" outlineLevel="1">
      <c r="A20" s="3202" t="s">
        <v>1698</v>
      </c>
      <c r="B20" s="3205"/>
      <c r="C20" s="3266" t="s">
        <v>1697</v>
      </c>
      <c r="D20" s="3180">
        <f>[22]CSWD!$F$16</f>
        <v>0</v>
      </c>
      <c r="E20" s="3260">
        <f>[23]CSWD!$F$16</f>
        <v>0</v>
      </c>
      <c r="F20" s="3052">
        <f t="shared" si="0"/>
        <v>108000</v>
      </c>
      <c r="G20" s="3262">
        <f>[23]CSWD!$D$16</f>
        <v>108000</v>
      </c>
      <c r="H20" s="3262">
        <v>108000</v>
      </c>
      <c r="I20" s="3672"/>
    </row>
    <row r="21" spans="1:10" ht="12" customHeight="1" outlineLevel="1">
      <c r="A21" s="3202" t="s">
        <v>1696</v>
      </c>
      <c r="B21" s="3205"/>
      <c r="C21" s="3266" t="s">
        <v>1695</v>
      </c>
      <c r="D21" s="3180">
        <f>[22]CSWD!$F$17</f>
        <v>0</v>
      </c>
      <c r="E21" s="3260">
        <f>[23]CSWD!$F$17</f>
        <v>0</v>
      </c>
      <c r="F21" s="3052">
        <f t="shared" si="0"/>
        <v>1000</v>
      </c>
      <c r="G21" s="3262">
        <f>[23]CSWD!$D$17</f>
        <v>1000</v>
      </c>
      <c r="H21" s="3262">
        <v>1000</v>
      </c>
      <c r="I21" s="3672"/>
    </row>
    <row r="22" spans="1:10" ht="12" customHeight="1" outlineLevel="1">
      <c r="A22" s="3202" t="s">
        <v>1690</v>
      </c>
      <c r="B22" s="3205"/>
      <c r="C22" s="3266" t="s">
        <v>1694</v>
      </c>
      <c r="D22" s="3180">
        <f>[22]CSWD!$F$18</f>
        <v>325782.44</v>
      </c>
      <c r="E22" s="3260">
        <f>[23]CSWD!$F$18</f>
        <v>443470.24999999994</v>
      </c>
      <c r="F22" s="3052">
        <f t="shared" si="0"/>
        <v>316784.75000000006</v>
      </c>
      <c r="G22" s="3262">
        <f>[23]CSWD!$D$18</f>
        <v>760255</v>
      </c>
      <c r="H22" s="3262">
        <v>590255</v>
      </c>
      <c r="I22" s="3672">
        <f>H22*0.1</f>
        <v>59025.5</v>
      </c>
    </row>
    <row r="23" spans="1:10" ht="12" customHeight="1" outlineLevel="1">
      <c r="A23" s="3202" t="s">
        <v>1506</v>
      </c>
      <c r="B23" s="3205"/>
      <c r="C23" s="3212" t="s">
        <v>439</v>
      </c>
      <c r="D23" s="3180">
        <f>[22]CSWD!$F$19</f>
        <v>575020.04999999993</v>
      </c>
      <c r="E23" s="3260">
        <f>[23]CSWD!$F$19</f>
        <v>9233</v>
      </c>
      <c r="F23" s="3052">
        <f t="shared" si="0"/>
        <v>848669</v>
      </c>
      <c r="G23" s="3262">
        <f>[23]CSWD!$D$19</f>
        <v>857902</v>
      </c>
      <c r="H23" s="3052">
        <f>H14/12</f>
        <v>848942</v>
      </c>
      <c r="I23" s="3672">
        <f>H23*0.1</f>
        <v>84894.200000000012</v>
      </c>
    </row>
    <row r="24" spans="1:10" ht="12" customHeight="1" outlineLevel="1">
      <c r="A24" s="3206" t="s">
        <v>2359</v>
      </c>
      <c r="B24" s="3205"/>
      <c r="C24" s="3212" t="s">
        <v>437</v>
      </c>
      <c r="D24" s="3180">
        <f>[22]CSWD!$F$20</f>
        <v>131250</v>
      </c>
      <c r="E24" s="3264">
        <f>[23]CSWD!$F$20</f>
        <v>2500</v>
      </c>
      <c r="F24" s="3052">
        <f t="shared" si="0"/>
        <v>182500</v>
      </c>
      <c r="G24" s="3265">
        <f>[23]CSWD!$D$20</f>
        <v>185000</v>
      </c>
      <c r="H24" s="3265">
        <f>'[21]CSWD-FINAL'!$B$69*5000</f>
        <v>185000</v>
      </c>
      <c r="I24" s="3672"/>
    </row>
    <row r="25" spans="1:10" ht="12" customHeight="1" outlineLevel="1">
      <c r="A25" s="3206" t="s">
        <v>436</v>
      </c>
      <c r="B25" s="3205"/>
      <c r="C25" s="3212" t="s">
        <v>435</v>
      </c>
      <c r="D25" s="3180">
        <f>[22]CSWD!$F$21</f>
        <v>575433</v>
      </c>
      <c r="E25" s="3260">
        <f>[23]CSWD!$F$21</f>
        <v>581468</v>
      </c>
      <c r="F25" s="3052">
        <f t="shared" si="0"/>
        <v>276434</v>
      </c>
      <c r="G25" s="3262">
        <f>[23]CSWD!$D$21</f>
        <v>857902</v>
      </c>
      <c r="H25" s="3052">
        <f>H14/12</f>
        <v>848942</v>
      </c>
      <c r="I25" s="3672">
        <f>H25*0.1</f>
        <v>84894.200000000012</v>
      </c>
    </row>
    <row r="26" spans="1:10" ht="12" customHeight="1" outlineLevel="1">
      <c r="A26" s="3635" t="s">
        <v>434</v>
      </c>
      <c r="B26" s="3205"/>
      <c r="C26" s="3212"/>
      <c r="D26" s="3180"/>
      <c r="E26" s="3260"/>
      <c r="F26" s="3052"/>
      <c r="G26" s="3262"/>
      <c r="H26" s="3052"/>
      <c r="I26" s="3672"/>
    </row>
    <row r="27" spans="1:10" ht="12" customHeight="1" outlineLevel="1">
      <c r="A27" s="3206" t="s">
        <v>421</v>
      </c>
      <c r="B27" s="3205"/>
      <c r="C27" s="3212" t="s">
        <v>433</v>
      </c>
      <c r="D27" s="3180">
        <f>[22]CSWD!$F$22</f>
        <v>832446.23</v>
      </c>
      <c r="E27" s="3260">
        <f>[23]CSWD!$F$22</f>
        <v>476914.2300000001</v>
      </c>
      <c r="F27" s="3052">
        <f>G27-E27</f>
        <v>758464.7699999999</v>
      </c>
      <c r="G27" s="3262">
        <f>[23]CSWD!$D$22</f>
        <v>1235379</v>
      </c>
      <c r="H27" s="3052">
        <v>1222477</v>
      </c>
      <c r="I27" s="3672">
        <f>H27*0.1</f>
        <v>122247.70000000001</v>
      </c>
      <c r="J27" s="2233">
        <f>H14*0.12</f>
        <v>1222476.48</v>
      </c>
    </row>
    <row r="28" spans="1:10" ht="12" customHeight="1" outlineLevel="1">
      <c r="A28" s="3206" t="s">
        <v>2358</v>
      </c>
      <c r="B28" s="3205"/>
      <c r="C28" s="3212" t="s">
        <v>431</v>
      </c>
      <c r="D28" s="3180">
        <f>[22]CSWD!$F$23</f>
        <v>31400</v>
      </c>
      <c r="E28" s="3260">
        <f>[23]CSWD!$F$23</f>
        <v>17700</v>
      </c>
      <c r="F28" s="3052">
        <f>G28-E28</f>
        <v>26700</v>
      </c>
      <c r="G28" s="3262">
        <f>[23]CSWD!$D$23</f>
        <v>44400</v>
      </c>
      <c r="H28" s="3052">
        <f>'[21]CSWD-FINAL'!$B$69*100*12</f>
        <v>44400</v>
      </c>
      <c r="I28" s="3674"/>
    </row>
    <row r="29" spans="1:10" ht="12" customHeight="1" outlineLevel="1">
      <c r="A29" s="3206" t="s">
        <v>418</v>
      </c>
      <c r="B29" s="3205"/>
      <c r="C29" s="3212" t="s">
        <v>430</v>
      </c>
      <c r="D29" s="3180">
        <f>[22]CSWD!$F$24</f>
        <v>96406.62</v>
      </c>
      <c r="E29" s="3260">
        <f>[23]CSWD!$F$24</f>
        <v>55131.81</v>
      </c>
      <c r="F29" s="3052">
        <f>G29-E29</f>
        <v>118337.19</v>
      </c>
      <c r="G29" s="3262">
        <f>[23]CSWD!$D$24</f>
        <v>173469</v>
      </c>
      <c r="H29" s="3052">
        <f>'[21]CSWD-FINAL'!$K$72</f>
        <v>198101</v>
      </c>
      <c r="I29" s="3673">
        <f>H29*0.1</f>
        <v>19810.100000000002</v>
      </c>
    </row>
    <row r="30" spans="1:10" ht="12" customHeight="1" outlineLevel="1">
      <c r="A30" s="3206" t="s">
        <v>428</v>
      </c>
      <c r="B30" s="3205"/>
      <c r="C30" s="3212" t="s">
        <v>427</v>
      </c>
      <c r="D30" s="3180">
        <f>[22]CSWD!$F$25</f>
        <v>31500</v>
      </c>
      <c r="E30" s="3260">
        <f>[23]CSWD!$F$25</f>
        <v>17700</v>
      </c>
      <c r="F30" s="3052">
        <f>G30-E30</f>
        <v>26700</v>
      </c>
      <c r="G30" s="3262">
        <f>[23]CSWD!$D$25</f>
        <v>44400</v>
      </c>
      <c r="H30" s="3052">
        <f>H28</f>
        <v>44400</v>
      </c>
      <c r="I30" s="3672">
        <f>SUM(I14:I29)</f>
        <v>1389602.0999999999</v>
      </c>
    </row>
    <row r="31" spans="1:10" ht="12" customHeight="1" outlineLevel="1">
      <c r="A31" s="3635" t="s">
        <v>425</v>
      </c>
      <c r="B31" s="3205"/>
      <c r="C31" s="3212"/>
      <c r="D31" s="3180"/>
      <c r="E31" s="3260"/>
      <c r="F31" s="3052"/>
      <c r="G31" s="3262"/>
      <c r="H31" s="3052"/>
      <c r="I31" s="3671">
        <v>1389603</v>
      </c>
    </row>
    <row r="32" spans="1:10" ht="12" customHeight="1" outlineLevel="1">
      <c r="A32" s="3206" t="s">
        <v>423</v>
      </c>
      <c r="B32" s="3205"/>
      <c r="C32" s="3212" t="s">
        <v>422</v>
      </c>
      <c r="D32" s="3180">
        <f>[22]CSWD!$F$26</f>
        <v>41514.78</v>
      </c>
      <c r="E32" s="3260">
        <f>[23]CSWD!$F$26</f>
        <v>38515.120000000003</v>
      </c>
      <c r="F32" s="3052">
        <f>G32-E32</f>
        <v>11240.879999999997</v>
      </c>
      <c r="G32" s="3223">
        <f>[23]CSWD!$D$26</f>
        <v>49756</v>
      </c>
      <c r="H32" s="3052">
        <v>1000</v>
      </c>
      <c r="I32" s="3669"/>
    </row>
    <row r="33" spans="1:19" ht="12" customHeight="1" outlineLevel="1">
      <c r="A33" s="3206" t="s">
        <v>420</v>
      </c>
      <c r="B33" s="3205"/>
      <c r="C33" s="3255" t="s">
        <v>1996</v>
      </c>
      <c r="D33" s="3233">
        <f>[22]CSWD!$F$27</f>
        <v>1611885.5</v>
      </c>
      <c r="E33" s="3254">
        <f>[23]CSWD!$F$27</f>
        <v>0</v>
      </c>
      <c r="F33" s="3052">
        <f>G33-E33</f>
        <v>755368</v>
      </c>
      <c r="G33" s="3223">
        <f>[23]CSWD!$D$27</f>
        <v>755368</v>
      </c>
      <c r="H33" s="3052">
        <f>I31</f>
        <v>1389603</v>
      </c>
      <c r="I33" s="3669"/>
    </row>
    <row r="34" spans="1:19" ht="12" customHeight="1" outlineLevel="1">
      <c r="A34" s="3206" t="s">
        <v>417</v>
      </c>
      <c r="B34" s="3205"/>
      <c r="C34" s="3255" t="s">
        <v>2399</v>
      </c>
      <c r="D34" s="3233">
        <f>[22]CSWD!$F$28</f>
        <v>30000</v>
      </c>
      <c r="E34" s="3254">
        <f>[23]CSWD!$F$28</f>
        <v>10000</v>
      </c>
      <c r="F34" s="3052">
        <f>G34-E34</f>
        <v>0</v>
      </c>
      <c r="G34" s="3254">
        <v>10000</v>
      </c>
      <c r="H34" s="3052">
        <v>20000</v>
      </c>
      <c r="I34" s="3670"/>
    </row>
    <row r="35" spans="1:19" ht="12" customHeight="1" outlineLevel="1">
      <c r="A35" s="3206" t="s">
        <v>414</v>
      </c>
      <c r="B35" s="3205"/>
      <c r="C35" s="3255" t="s">
        <v>2357</v>
      </c>
      <c r="D35" s="3233">
        <f>[22]CSWD!$F$29</f>
        <v>0</v>
      </c>
      <c r="E35" s="3254">
        <f>[23]CSWD!$F$29</f>
        <v>0</v>
      </c>
      <c r="F35" s="3052">
        <f>G35-E35</f>
        <v>1000</v>
      </c>
      <c r="G35" s="3254">
        <v>1000</v>
      </c>
      <c r="H35" s="3052">
        <v>1000</v>
      </c>
      <c r="I35" s="3669"/>
    </row>
    <row r="36" spans="1:19" ht="12" customHeight="1" outlineLevel="1">
      <c r="A36" s="3294" t="s">
        <v>2356</v>
      </c>
      <c r="B36" s="3293"/>
      <c r="C36" s="3255"/>
      <c r="D36" s="3233"/>
      <c r="E36" s="3254"/>
      <c r="F36" s="3052"/>
      <c r="G36" s="3254"/>
      <c r="H36" s="3052"/>
      <c r="I36" s="1511"/>
    </row>
    <row r="37" spans="1:19" ht="12" customHeight="1" outlineLevel="1">
      <c r="A37" s="3202"/>
      <c r="B37" s="3205" t="s">
        <v>1688</v>
      </c>
      <c r="C37" s="3255" t="s">
        <v>2355</v>
      </c>
      <c r="D37" s="3233">
        <f>[22]CSWD!$F$30</f>
        <v>127500</v>
      </c>
      <c r="E37" s="3254">
        <f>[23]CSWD!$F$30</f>
        <v>0</v>
      </c>
      <c r="F37" s="3052">
        <f>G37-E37</f>
        <v>185000</v>
      </c>
      <c r="G37" s="3254">
        <f>[23]CSWD!$D$30</f>
        <v>185000</v>
      </c>
      <c r="H37" s="3052">
        <f>'[21]CSWD-FINAL'!$B$69*5000</f>
        <v>185000</v>
      </c>
      <c r="J37" s="1511"/>
      <c r="K37" s="1511"/>
      <c r="L37" s="1511"/>
      <c r="M37" s="1511"/>
      <c r="N37" s="1511"/>
      <c r="O37" s="1511"/>
      <c r="P37" s="1511"/>
      <c r="Q37" s="1511"/>
      <c r="R37" s="1511"/>
      <c r="S37" s="1511"/>
    </row>
    <row r="38" spans="1:19" ht="12" customHeight="1" outlineLevel="1">
      <c r="A38" s="3668" t="s">
        <v>409</v>
      </c>
      <c r="B38" s="3667"/>
      <c r="C38" s="3251" t="s">
        <v>2718</v>
      </c>
      <c r="D38" s="3666">
        <f>[22]CSWD!$F$31</f>
        <v>78000</v>
      </c>
      <c r="E38" s="3665">
        <v>0</v>
      </c>
      <c r="F38" s="3052">
        <f>G38-E38</f>
        <v>0</v>
      </c>
      <c r="G38" s="3665">
        <v>0</v>
      </c>
      <c r="H38" s="3193">
        <v>0</v>
      </c>
      <c r="I38" s="1511"/>
    </row>
    <row r="39" spans="1:19" s="1511" customFormat="1" ht="12" customHeight="1" outlineLevel="1">
      <c r="A39" s="3192" t="s">
        <v>407</v>
      </c>
      <c r="B39" s="3291"/>
      <c r="C39" s="3190"/>
      <c r="D39" s="1512">
        <f>SUM(D40:D61)</f>
        <v>2988594.2199999997</v>
      </c>
      <c r="E39" s="1512">
        <f>SUM(E40:E61)</f>
        <v>1853064.3699999999</v>
      </c>
      <c r="F39" s="1512">
        <f>SUM(F40:F61)</f>
        <v>6512655.6300000008</v>
      </c>
      <c r="G39" s="1512">
        <f>SUM(G40:G61)</f>
        <v>8365720</v>
      </c>
      <c r="H39" s="1512">
        <f>SUM(H40:H61)</f>
        <v>7978720</v>
      </c>
      <c r="J39" s="2253"/>
      <c r="K39" s="2253"/>
      <c r="L39" s="2253"/>
      <c r="M39" s="2253"/>
      <c r="N39" s="2253"/>
      <c r="O39" s="2253"/>
      <c r="P39" s="2253"/>
      <c r="Q39" s="2253"/>
      <c r="R39" s="2253"/>
      <c r="S39" s="2253"/>
    </row>
    <row r="40" spans="1:19" s="2253" customFormat="1" ht="12" customHeight="1" outlineLevel="1">
      <c r="A40" s="3202" t="s">
        <v>2352</v>
      </c>
      <c r="B40" s="3664"/>
      <c r="C40" s="3236" t="s">
        <v>405</v>
      </c>
      <c r="D40" s="3224">
        <f>[22]CSWD!$F$33</f>
        <v>41105.67</v>
      </c>
      <c r="E40" s="3302">
        <f>[23]CSWD!$F$32</f>
        <v>18195</v>
      </c>
      <c r="F40" s="3052">
        <f>G40-E40</f>
        <v>76805</v>
      </c>
      <c r="G40" s="3235">
        <f>[23]CSWD!$D$32</f>
        <v>95000</v>
      </c>
      <c r="H40" s="3072">
        <v>95000</v>
      </c>
    </row>
    <row r="41" spans="1:19" s="2253" customFormat="1" ht="12" customHeight="1" outlineLevel="1">
      <c r="A41" s="3202" t="s">
        <v>404</v>
      </c>
      <c r="B41" s="3201"/>
      <c r="C41" s="3203" t="s">
        <v>403</v>
      </c>
      <c r="D41" s="3180">
        <f>[22]CSWD!$F$34</f>
        <v>1640</v>
      </c>
      <c r="E41" s="3301">
        <f>[23]CSWD!$F$33</f>
        <v>0</v>
      </c>
      <c r="F41" s="3052">
        <f>G41-E41</f>
        <v>50000</v>
      </c>
      <c r="G41" s="3234">
        <f>[23]CSWD!$D$33</f>
        <v>50000</v>
      </c>
      <c r="H41" s="3052">
        <v>50000</v>
      </c>
      <c r="J41" s="2255"/>
      <c r="K41" s="2255"/>
      <c r="L41" s="2255"/>
      <c r="M41" s="2255"/>
      <c r="N41" s="2255"/>
      <c r="O41" s="2255"/>
      <c r="P41" s="2255"/>
      <c r="Q41" s="2255"/>
      <c r="R41" s="2255"/>
      <c r="S41" s="2255"/>
    </row>
    <row r="42" spans="1:19" s="2255" customFormat="1" ht="12" customHeight="1" outlineLevel="1">
      <c r="A42" s="3206" t="s">
        <v>402</v>
      </c>
      <c r="B42" s="3201"/>
      <c r="C42" s="3184" t="s">
        <v>401</v>
      </c>
      <c r="D42" s="3233">
        <f>[22]CSWD!$F$35</f>
        <v>40000</v>
      </c>
      <c r="E42" s="3301">
        <f>[23]CSWD!$F$34</f>
        <v>33226.35</v>
      </c>
      <c r="F42" s="3052">
        <f>G42-E42</f>
        <v>6773.6500000000015</v>
      </c>
      <c r="G42" s="3199">
        <f>[23]CSWD!$D$34</f>
        <v>40000</v>
      </c>
      <c r="H42" s="2619">
        <v>40000</v>
      </c>
    </row>
    <row r="43" spans="1:19" s="2255" customFormat="1" ht="12" customHeight="1" outlineLevel="1">
      <c r="A43" s="3211" t="s">
        <v>2692</v>
      </c>
      <c r="B43" s="3228"/>
      <c r="C43" s="3184"/>
      <c r="D43" s="3180"/>
      <c r="E43" s="3222"/>
      <c r="F43" s="3052"/>
      <c r="G43" s="3199"/>
      <c r="H43" s="2619"/>
      <c r="I43" s="2253"/>
    </row>
    <row r="44" spans="1:19" s="2255" customFormat="1" ht="12" customHeight="1" outlineLevel="1">
      <c r="A44" s="3209"/>
      <c r="B44" s="3663" t="s">
        <v>2730</v>
      </c>
      <c r="C44" s="3184" t="s">
        <v>2398</v>
      </c>
      <c r="D44" s="3180">
        <f>[22]CSWD!$F$36</f>
        <v>6496</v>
      </c>
      <c r="E44" s="3222">
        <f>[23]CSWD!$F$35</f>
        <v>14968</v>
      </c>
      <c r="F44" s="3052">
        <f t="shared" ref="F44:F50" si="1">G44-E44</f>
        <v>15032</v>
      </c>
      <c r="G44" s="3199">
        <f>[23]CSWD!$D$35</f>
        <v>30000</v>
      </c>
      <c r="H44" s="2619">
        <v>30000</v>
      </c>
      <c r="I44" s="2253"/>
    </row>
    <row r="45" spans="1:19" s="2255" customFormat="1" ht="12" customHeight="1" outlineLevel="1">
      <c r="A45" s="3209" t="s">
        <v>2717</v>
      </c>
      <c r="B45" s="3663"/>
      <c r="C45" s="3184" t="s">
        <v>1977</v>
      </c>
      <c r="D45" s="3180">
        <f>[22]CSWD!$F$37</f>
        <v>933245.04999999993</v>
      </c>
      <c r="E45" s="3222">
        <f>[23]CSWD!$F$36</f>
        <v>659955</v>
      </c>
      <c r="F45" s="3052">
        <f t="shared" si="1"/>
        <v>5540045</v>
      </c>
      <c r="G45" s="3199">
        <f>[23]CSWD!$D$36</f>
        <v>6200000</v>
      </c>
      <c r="H45" s="2619">
        <v>6200000</v>
      </c>
      <c r="I45" s="2253"/>
    </row>
    <row r="46" spans="1:19" s="2255" customFormat="1" ht="12" customHeight="1" outlineLevel="1">
      <c r="A46" s="3206" t="s">
        <v>674</v>
      </c>
      <c r="B46" s="3205"/>
      <c r="C46" s="3184" t="s">
        <v>396</v>
      </c>
      <c r="D46" s="3180">
        <f>[22]CSWD!$F$38</f>
        <v>40786.199999999997</v>
      </c>
      <c r="E46" s="3222">
        <f>[23]CSWD!$F$37</f>
        <v>1300</v>
      </c>
      <c r="F46" s="3052">
        <f t="shared" si="1"/>
        <v>78700</v>
      </c>
      <c r="G46" s="3199">
        <f>[23]CSWD!$D$37</f>
        <v>80000</v>
      </c>
      <c r="H46" s="2619">
        <v>80000</v>
      </c>
      <c r="I46" s="2253"/>
    </row>
    <row r="47" spans="1:19" s="2255" customFormat="1" ht="12" customHeight="1" outlineLevel="1">
      <c r="A47" s="3206" t="s">
        <v>878</v>
      </c>
      <c r="B47" s="3205"/>
      <c r="C47" s="3184" t="s">
        <v>394</v>
      </c>
      <c r="D47" s="3180">
        <f>[22]CSWD!$F$39</f>
        <v>6408.75</v>
      </c>
      <c r="E47" s="2619">
        <f>[23]CSWD!$F$38</f>
        <v>0</v>
      </c>
      <c r="F47" s="3052">
        <f t="shared" si="1"/>
        <v>10000</v>
      </c>
      <c r="G47" s="3199">
        <f>[23]CSWD!$D$38</f>
        <v>10000</v>
      </c>
      <c r="H47" s="2619">
        <v>10000</v>
      </c>
      <c r="I47" s="2253"/>
    </row>
    <row r="48" spans="1:19" s="2255" customFormat="1" ht="12" customHeight="1" outlineLevel="1">
      <c r="A48" s="3202" t="s">
        <v>700</v>
      </c>
      <c r="B48" s="3205"/>
      <c r="C48" s="3184" t="s">
        <v>392</v>
      </c>
      <c r="D48" s="3180">
        <f>[22]CSWD!$F$40</f>
        <v>1456</v>
      </c>
      <c r="E48" s="2619">
        <f>[23]CSWD!$F$39</f>
        <v>367</v>
      </c>
      <c r="F48" s="3052">
        <f t="shared" si="1"/>
        <v>3633</v>
      </c>
      <c r="G48" s="3199">
        <f>[23]CSWD!$D$39</f>
        <v>4000</v>
      </c>
      <c r="H48" s="2619">
        <v>4000</v>
      </c>
      <c r="I48" s="2253"/>
    </row>
    <row r="49" spans="1:19" s="2255" customFormat="1" ht="12" customHeight="1" outlineLevel="1">
      <c r="A49" s="3206" t="s">
        <v>699</v>
      </c>
      <c r="B49" s="3205"/>
      <c r="C49" s="3212" t="s">
        <v>390</v>
      </c>
      <c r="D49" s="3180">
        <f>[22]CSWD!$F$41</f>
        <v>45378.960000000006</v>
      </c>
      <c r="E49" s="2619">
        <f>[23]CSWD!$F$40</f>
        <v>25251.22</v>
      </c>
      <c r="F49" s="3052">
        <f t="shared" si="1"/>
        <v>35148.78</v>
      </c>
      <c r="G49" s="3199">
        <f>[23]CSWD!$D$40</f>
        <v>60400</v>
      </c>
      <c r="H49" s="2619">
        <v>50400</v>
      </c>
      <c r="I49" s="2253"/>
    </row>
    <row r="50" spans="1:19" s="2255" customFormat="1" ht="12" customHeight="1" outlineLevel="1">
      <c r="A50" s="3211" t="s">
        <v>389</v>
      </c>
      <c r="B50" s="3205"/>
      <c r="C50" s="3212" t="s">
        <v>388</v>
      </c>
      <c r="D50" s="3180">
        <f>[22]CSWD!$F$42</f>
        <v>1472095.69</v>
      </c>
      <c r="E50" s="2619">
        <f>[23]CSWD!$F$41</f>
        <v>732450</v>
      </c>
      <c r="F50" s="3052">
        <f t="shared" si="1"/>
        <v>217950</v>
      </c>
      <c r="G50" s="3199">
        <f>[23]CSWD!$D$41</f>
        <v>950400</v>
      </c>
      <c r="H50" s="2619">
        <v>950400</v>
      </c>
      <c r="I50" s="2253"/>
    </row>
    <row r="51" spans="1:19" s="2255" customFormat="1" ht="12" customHeight="1" outlineLevel="1">
      <c r="A51" s="3206" t="s">
        <v>1925</v>
      </c>
      <c r="B51" s="3205"/>
      <c r="C51" s="3184"/>
      <c r="D51" s="3180"/>
      <c r="E51" s="2619"/>
      <c r="F51" s="3052"/>
      <c r="G51" s="3199"/>
      <c r="H51" s="2619"/>
      <c r="I51" s="2253"/>
    </row>
    <row r="52" spans="1:19" s="2255" customFormat="1" ht="12" customHeight="1" outlineLevel="1">
      <c r="A52" s="3202"/>
      <c r="B52" s="3207" t="s">
        <v>2729</v>
      </c>
      <c r="C52" s="3184" t="s">
        <v>2337</v>
      </c>
      <c r="D52" s="3180">
        <f>[22]CSWD!$F$43</f>
        <v>0</v>
      </c>
      <c r="E52" s="2619">
        <f>[23]CSWD!$F$42</f>
        <v>0</v>
      </c>
      <c r="F52" s="3052">
        <f>G52-E52</f>
        <v>3000</v>
      </c>
      <c r="G52" s="3199">
        <f>[23]CSWD!$D$42</f>
        <v>3000</v>
      </c>
      <c r="H52" s="2619">
        <v>3000</v>
      </c>
      <c r="I52" s="2253"/>
    </row>
    <row r="53" spans="1:19" s="2255" customFormat="1" ht="12" customHeight="1" outlineLevel="1">
      <c r="A53" s="3206" t="s">
        <v>873</v>
      </c>
      <c r="B53" s="3205"/>
      <c r="C53" s="3184"/>
      <c r="D53" s="3180"/>
      <c r="E53" s="2619"/>
      <c r="F53" s="3052"/>
      <c r="G53" s="3199"/>
      <c r="H53" s="2619"/>
      <c r="I53" s="2253"/>
    </row>
    <row r="54" spans="1:19" s="2255" customFormat="1" ht="12" customHeight="1" outlineLevel="1">
      <c r="A54" s="3202"/>
      <c r="B54" s="3207" t="s">
        <v>2728</v>
      </c>
      <c r="C54" s="3184" t="s">
        <v>2335</v>
      </c>
      <c r="D54" s="3180">
        <f>[22]CSWD!$F$44</f>
        <v>0</v>
      </c>
      <c r="E54" s="2619">
        <f>[23]CSWD!$F$43</f>
        <v>0</v>
      </c>
      <c r="F54" s="3052">
        <f>G54-E54</f>
        <v>3000</v>
      </c>
      <c r="G54" s="3199">
        <f>[23]CSWD!$D$43</f>
        <v>3000</v>
      </c>
      <c r="H54" s="2619">
        <v>3000</v>
      </c>
      <c r="I54" s="2253"/>
    </row>
    <row r="55" spans="1:19" s="2255" customFormat="1" ht="12" customHeight="1" outlineLevel="1">
      <c r="A55" s="3206" t="s">
        <v>2076</v>
      </c>
      <c r="B55" s="3205"/>
      <c r="C55" s="3184"/>
      <c r="D55" s="3180"/>
      <c r="E55" s="2619"/>
      <c r="F55" s="3052"/>
      <c r="G55" s="3199"/>
      <c r="H55" s="2619"/>
      <c r="I55" s="2253"/>
    </row>
    <row r="56" spans="1:19" s="2255" customFormat="1" ht="12" customHeight="1" outlineLevel="1">
      <c r="A56" s="3202"/>
      <c r="B56" s="3207" t="s">
        <v>2370</v>
      </c>
      <c r="C56" s="3184" t="s">
        <v>2327</v>
      </c>
      <c r="D56" s="3180">
        <f>[22]CSWD!$F$45</f>
        <v>36470</v>
      </c>
      <c r="E56" s="2619">
        <f>[23]CSWD!$F$44</f>
        <v>17900</v>
      </c>
      <c r="F56" s="3052">
        <f>G56-E56</f>
        <v>42100</v>
      </c>
      <c r="G56" s="3199">
        <f>[23]CSWD!$D$44</f>
        <v>60000</v>
      </c>
      <c r="H56" s="2619">
        <v>60000</v>
      </c>
      <c r="I56" s="2253"/>
    </row>
    <row r="57" spans="1:19" s="2255" customFormat="1" ht="12" customHeight="1" outlineLevel="1">
      <c r="A57" s="3206" t="s">
        <v>2076</v>
      </c>
      <c r="B57" s="3205"/>
      <c r="C57" s="3184"/>
      <c r="D57" s="3180"/>
      <c r="E57" s="2619"/>
      <c r="F57" s="3052"/>
      <c r="G57" s="3199"/>
      <c r="H57" s="2619"/>
      <c r="I57" s="2253"/>
    </row>
    <row r="58" spans="1:19" s="2255" customFormat="1" ht="12" customHeight="1" outlineLevel="1">
      <c r="A58" s="3202"/>
      <c r="B58" s="3205" t="s">
        <v>2369</v>
      </c>
      <c r="C58" s="3184" t="s">
        <v>1906</v>
      </c>
      <c r="D58" s="3180">
        <f>[22]CSWD!$F$46</f>
        <v>59498</v>
      </c>
      <c r="E58" s="2619">
        <f>[23]CSWD!$F$45</f>
        <v>38498</v>
      </c>
      <c r="F58" s="3052">
        <f>G58-E58</f>
        <v>36502</v>
      </c>
      <c r="G58" s="3199">
        <f>[23]CSWD!$D$45</f>
        <v>75000</v>
      </c>
      <c r="H58" s="2619">
        <v>75000</v>
      </c>
      <c r="I58" s="2253"/>
    </row>
    <row r="59" spans="1:19" s="2326" customFormat="1" ht="12" customHeight="1" outlineLevel="1">
      <c r="A59" s="3458" t="s">
        <v>965</v>
      </c>
      <c r="B59" s="3293"/>
      <c r="C59" s="3292" t="s">
        <v>964</v>
      </c>
      <c r="D59" s="3180">
        <f>[22]CSWD!$F$47</f>
        <v>0</v>
      </c>
      <c r="E59" s="2619">
        <f>[23]CSWD!$F$46</f>
        <v>0</v>
      </c>
      <c r="F59" s="3052">
        <f>G59-E59</f>
        <v>35000</v>
      </c>
      <c r="G59" s="3199">
        <f>[23]CSWD!$D$46</f>
        <v>35000</v>
      </c>
      <c r="H59" s="2619">
        <v>35000</v>
      </c>
      <c r="I59" s="1511"/>
      <c r="J59" s="2255"/>
      <c r="K59" s="2255"/>
      <c r="L59" s="2255"/>
      <c r="M59" s="2255"/>
      <c r="N59" s="2255"/>
      <c r="O59" s="2255"/>
      <c r="P59" s="2255"/>
      <c r="Q59" s="2255"/>
      <c r="R59" s="2255"/>
      <c r="S59" s="2255"/>
    </row>
    <row r="60" spans="1:19" s="2255" customFormat="1" ht="12" customHeight="1" outlineLevel="1">
      <c r="A60" s="3206" t="s">
        <v>2727</v>
      </c>
      <c r="B60" s="3205"/>
      <c r="C60" s="3184" t="s">
        <v>1871</v>
      </c>
      <c r="D60" s="3180">
        <f>[22]CSWD!$F$48</f>
        <v>267700</v>
      </c>
      <c r="E60" s="2619">
        <f>[23]CSWD!$F$47</f>
        <v>150000</v>
      </c>
      <c r="F60" s="3052">
        <f>G60-E60</f>
        <v>87000</v>
      </c>
      <c r="G60" s="3199">
        <f>[23]CSWD!$D$47</f>
        <v>237000</v>
      </c>
      <c r="H60" s="2619">
        <v>100000</v>
      </c>
      <c r="I60" s="1511"/>
    </row>
    <row r="61" spans="1:19" s="2255" customFormat="1" ht="12" customHeight="1" outlineLevel="1" thickBot="1">
      <c r="A61" s="3206" t="s">
        <v>368</v>
      </c>
      <c r="B61" s="3205"/>
      <c r="C61" s="3184" t="s">
        <v>367</v>
      </c>
      <c r="D61" s="3180">
        <f>[22]CSWD!$F$49</f>
        <v>36313.899999999994</v>
      </c>
      <c r="E61" s="2619">
        <f>[23]CSWD!$F$48</f>
        <v>160953.79999999999</v>
      </c>
      <c r="F61" s="3052">
        <f>G61-E61</f>
        <v>271966.2</v>
      </c>
      <c r="G61" s="3199">
        <f>[23]CSWD!$D$48</f>
        <v>432920</v>
      </c>
      <c r="H61" s="2619">
        <v>192920</v>
      </c>
      <c r="I61" s="1511"/>
    </row>
    <row r="62" spans="1:19" s="2256" customFormat="1" ht="12" customHeight="1" outlineLevel="1" thickBot="1">
      <c r="A62" s="3662" t="s">
        <v>775</v>
      </c>
      <c r="B62" s="3661"/>
      <c r="C62" s="3660"/>
      <c r="D62" s="3659">
        <f>D63</f>
        <v>0</v>
      </c>
      <c r="E62" s="3659">
        <f>E63</f>
        <v>0</v>
      </c>
      <c r="F62" s="3659">
        <f>F63</f>
        <v>45000</v>
      </c>
      <c r="G62" s="3659">
        <f>SUM(G63:G64)</f>
        <v>60000</v>
      </c>
      <c r="H62" s="3659">
        <f>H63</f>
        <v>0</v>
      </c>
      <c r="I62" s="3658"/>
    </row>
    <row r="63" spans="1:19" s="2255" customFormat="1" ht="12" customHeight="1" outlineLevel="1">
      <c r="A63" s="3657"/>
      <c r="B63" s="3601" t="s">
        <v>2726</v>
      </c>
      <c r="C63" s="3656"/>
      <c r="D63" s="3655">
        <v>0</v>
      </c>
      <c r="E63" s="2619">
        <v>0</v>
      </c>
      <c r="F63" s="3052">
        <f>G63-E63</f>
        <v>45000</v>
      </c>
      <c r="G63" s="3199">
        <f>[23]CSWD!$D$50</f>
        <v>45000</v>
      </c>
      <c r="H63" s="2619">
        <v>0</v>
      </c>
      <c r="I63" s="1511"/>
    </row>
    <row r="64" spans="1:19" s="2255" customFormat="1" ht="12" customHeight="1" outlineLevel="1">
      <c r="A64" s="3654"/>
      <c r="B64" s="3654" t="s">
        <v>2154</v>
      </c>
      <c r="C64" s="3242"/>
      <c r="D64" s="3653">
        <v>0</v>
      </c>
      <c r="E64" s="3238">
        <v>0</v>
      </c>
      <c r="F64" s="3238">
        <f>G64-E64</f>
        <v>15000</v>
      </c>
      <c r="G64" s="3652">
        <f>[23]CSWD!$D$51</f>
        <v>15000</v>
      </c>
      <c r="H64" s="3238">
        <v>0</v>
      </c>
      <c r="I64" s="1511"/>
    </row>
    <row r="65" spans="1:19" ht="12" customHeight="1" outlineLevel="2" thickBot="1">
      <c r="A65" s="3650" t="s">
        <v>366</v>
      </c>
      <c r="B65" s="3650"/>
      <c r="C65" s="3651"/>
      <c r="D65" s="3650">
        <f>D62+D39+D12</f>
        <v>15370779.257999998</v>
      </c>
      <c r="E65" s="3650">
        <f>E62+E39+E12</f>
        <v>7998759.0100000007</v>
      </c>
      <c r="F65" s="3650">
        <f>F62+F39+F12</f>
        <v>17256615.990000002</v>
      </c>
      <c r="G65" s="3650">
        <f>G62+G39+G12</f>
        <v>25270375</v>
      </c>
      <c r="H65" s="3650">
        <f>H62+H39+H12</f>
        <v>25135144</v>
      </c>
      <c r="J65" s="2255"/>
      <c r="K65" s="2255"/>
      <c r="L65" s="2255"/>
      <c r="M65" s="2255"/>
      <c r="N65" s="2255"/>
      <c r="O65" s="2255"/>
      <c r="P65" s="2255"/>
      <c r="Q65" s="2255"/>
      <c r="R65" s="2255"/>
      <c r="S65" s="2255"/>
    </row>
    <row r="66" spans="1:19" s="3162" customFormat="1" ht="14.25" customHeight="1" thickTop="1">
      <c r="A66" s="3175" t="s">
        <v>2312</v>
      </c>
      <c r="B66" s="3174"/>
      <c r="C66" s="3174"/>
      <c r="D66" s="3174"/>
      <c r="E66" s="3173"/>
      <c r="F66" s="3173"/>
      <c r="G66" s="3173" t="s">
        <v>2311</v>
      </c>
      <c r="H66" s="3173"/>
      <c r="I66" s="2233"/>
      <c r="J66" s="2255"/>
      <c r="K66" s="2255"/>
      <c r="L66" s="2255"/>
      <c r="M66" s="2255"/>
      <c r="N66" s="2255"/>
      <c r="O66" s="2255"/>
      <c r="P66" s="2255"/>
      <c r="Q66" s="2255"/>
      <c r="R66" s="2255"/>
      <c r="S66" s="2255"/>
    </row>
    <row r="67" spans="1:19" s="3162" customFormat="1" ht="11.25" customHeight="1">
      <c r="A67" s="3173"/>
      <c r="B67" s="3174"/>
      <c r="C67" s="3174"/>
      <c r="D67" s="3174"/>
      <c r="E67" s="3173"/>
      <c r="F67" s="3173"/>
      <c r="G67" s="3173"/>
      <c r="H67" s="3173"/>
      <c r="I67" s="2233"/>
      <c r="J67" s="2255"/>
      <c r="K67" s="2255"/>
      <c r="L67" s="2255"/>
      <c r="M67" s="2255"/>
      <c r="N67" s="2255"/>
      <c r="O67" s="2255"/>
      <c r="P67" s="2255"/>
      <c r="Q67" s="2255"/>
      <c r="R67" s="2255"/>
      <c r="S67" s="2255"/>
    </row>
    <row r="68" spans="1:19" s="3162" customFormat="1" ht="6" customHeight="1">
      <c r="A68" s="3173"/>
      <c r="B68" s="3174"/>
      <c r="C68" s="3174"/>
      <c r="D68" s="3174"/>
      <c r="E68" s="3173"/>
      <c r="F68" s="3173"/>
      <c r="G68" s="3173"/>
      <c r="H68" s="3173"/>
      <c r="I68" s="2233"/>
      <c r="J68" s="2255"/>
      <c r="K68" s="2255"/>
      <c r="L68" s="2255"/>
      <c r="M68" s="2255"/>
      <c r="N68" s="2255"/>
      <c r="O68" s="2255"/>
      <c r="P68" s="2255"/>
      <c r="Q68" s="2255"/>
      <c r="R68" s="2255"/>
      <c r="S68" s="2255"/>
    </row>
    <row r="69" spans="1:19" s="3162" customFormat="1" ht="14.25" customHeight="1">
      <c r="A69" s="3172" t="s">
        <v>2725</v>
      </c>
      <c r="B69" s="3167"/>
      <c r="C69" s="3171" t="s">
        <v>2309</v>
      </c>
      <c r="D69" s="3165"/>
      <c r="E69" s="3169"/>
      <c r="F69" s="3169"/>
      <c r="G69" s="3170" t="s">
        <v>359</v>
      </c>
      <c r="H69" s="3169"/>
      <c r="I69" s="2233"/>
      <c r="J69" s="2255"/>
      <c r="K69" s="2255"/>
      <c r="L69" s="2255"/>
      <c r="M69" s="2255"/>
      <c r="N69" s="2255"/>
      <c r="O69" s="2255"/>
      <c r="P69" s="2255"/>
      <c r="Q69" s="2255"/>
      <c r="R69" s="2255"/>
      <c r="S69" s="2255"/>
    </row>
    <row r="70" spans="1:19" s="3162" customFormat="1" ht="14.25" customHeight="1">
      <c r="A70" s="3168" t="s">
        <v>2724</v>
      </c>
      <c r="B70" s="3167"/>
      <c r="C70" s="3166" t="s">
        <v>2308</v>
      </c>
      <c r="D70" s="3165"/>
      <c r="E70" s="3163"/>
      <c r="F70" s="3163"/>
      <c r="G70" s="3164" t="s">
        <v>2307</v>
      </c>
      <c r="H70" s="3163"/>
      <c r="I70" s="2233"/>
      <c r="J70" s="2255"/>
      <c r="K70" s="2255"/>
      <c r="L70" s="2255"/>
      <c r="M70" s="2255"/>
      <c r="N70" s="2255"/>
      <c r="O70" s="2255"/>
      <c r="P70" s="2255"/>
      <c r="Q70" s="2255"/>
      <c r="R70" s="2255"/>
      <c r="S70" s="2255"/>
    </row>
    <row r="71" spans="1:19" s="2235" customFormat="1">
      <c r="A71" s="3288"/>
      <c r="B71" s="3649"/>
      <c r="C71" s="3288"/>
      <c r="D71" s="3287"/>
      <c r="E71" s="3287"/>
      <c r="F71" s="3287"/>
      <c r="G71" s="3287"/>
      <c r="H71" s="3287"/>
      <c r="I71" s="2233"/>
      <c r="J71" s="2255"/>
      <c r="K71" s="2255"/>
      <c r="L71" s="2255"/>
      <c r="M71" s="2255"/>
      <c r="N71" s="2255"/>
      <c r="O71" s="2255"/>
      <c r="P71" s="2255"/>
      <c r="Q71" s="2255"/>
      <c r="R71" s="2255"/>
      <c r="S71" s="2255"/>
    </row>
    <row r="72" spans="1:19" s="2235" customFormat="1">
      <c r="A72" s="3288"/>
      <c r="B72" s="3649"/>
      <c r="C72" s="3288"/>
      <c r="D72" s="3287"/>
      <c r="E72" s="3287"/>
      <c r="F72" s="3287"/>
      <c r="G72" s="3287"/>
      <c r="H72" s="3287"/>
      <c r="I72" s="2233"/>
      <c r="J72" s="2255"/>
      <c r="K72" s="2255"/>
      <c r="L72" s="2255"/>
      <c r="M72" s="2255"/>
      <c r="N72" s="2255"/>
      <c r="O72" s="2255"/>
      <c r="P72" s="2255"/>
      <c r="Q72" s="2255"/>
      <c r="R72" s="2255"/>
      <c r="S72" s="2255"/>
    </row>
    <row r="73" spans="1:19" s="2235" customFormat="1">
      <c r="A73" s="3288"/>
      <c r="B73" s="3649"/>
      <c r="C73" s="3288"/>
      <c r="D73" s="3287"/>
      <c r="E73" s="3287"/>
      <c r="F73" s="3287"/>
      <c r="G73" s="3287"/>
      <c r="H73" s="3287"/>
      <c r="I73" s="2233"/>
      <c r="J73" s="2255"/>
      <c r="K73" s="2255"/>
      <c r="L73" s="2255"/>
      <c r="M73" s="2255"/>
      <c r="N73" s="2255"/>
      <c r="O73" s="2255"/>
      <c r="P73" s="2255"/>
      <c r="Q73" s="2255"/>
      <c r="R73" s="2255"/>
      <c r="S73" s="2255"/>
    </row>
    <row r="74" spans="1:19" s="2235" customFormat="1">
      <c r="A74" s="3288"/>
      <c r="B74" s="3649"/>
      <c r="C74" s="3288"/>
      <c r="D74" s="3287"/>
      <c r="E74" s="3287"/>
      <c r="F74" s="3287"/>
      <c r="G74" s="3287"/>
      <c r="H74" s="3287"/>
      <c r="I74" s="2233"/>
      <c r="J74" s="2255"/>
      <c r="K74" s="2255"/>
      <c r="L74" s="2255"/>
      <c r="M74" s="2255"/>
      <c r="N74" s="2255"/>
      <c r="O74" s="2255"/>
      <c r="P74" s="2255"/>
      <c r="Q74" s="2255"/>
      <c r="R74" s="2255"/>
      <c r="S74" s="2255"/>
    </row>
    <row r="79" spans="1:19">
      <c r="J79" s="3162"/>
      <c r="K79" s="3162"/>
      <c r="L79" s="3162"/>
      <c r="M79" s="3162"/>
      <c r="N79" s="3162"/>
      <c r="O79" s="3162"/>
      <c r="P79" s="3162"/>
      <c r="Q79" s="3162"/>
      <c r="R79" s="3162"/>
      <c r="S79" s="3162"/>
    </row>
    <row r="80" spans="1:19">
      <c r="J80" s="3162"/>
      <c r="K80" s="3162"/>
      <c r="L80" s="3162"/>
      <c r="M80" s="3162"/>
      <c r="N80" s="3162"/>
      <c r="O80" s="3162"/>
      <c r="P80" s="3162"/>
      <c r="Q80" s="3162"/>
      <c r="R80" s="3162"/>
      <c r="S80" s="3162"/>
    </row>
    <row r="81" spans="10:19">
      <c r="J81" s="3162"/>
      <c r="K81" s="3162"/>
      <c r="L81" s="3162"/>
      <c r="M81" s="3162"/>
      <c r="N81" s="3162"/>
      <c r="O81" s="3162"/>
      <c r="P81" s="3162"/>
      <c r="Q81" s="3162"/>
      <c r="R81" s="3162"/>
      <c r="S81" s="3162"/>
    </row>
    <row r="82" spans="10:19">
      <c r="J82" s="3162"/>
      <c r="K82" s="3162"/>
      <c r="L82" s="3162"/>
      <c r="M82" s="3162"/>
      <c r="N82" s="3162"/>
      <c r="O82" s="3162"/>
      <c r="P82" s="3162"/>
      <c r="Q82" s="3162"/>
      <c r="R82" s="3162"/>
      <c r="S82" s="3162"/>
    </row>
    <row r="83" spans="10:19">
      <c r="J83" s="3162"/>
      <c r="K83" s="3162"/>
      <c r="L83" s="3162"/>
      <c r="M83" s="3162"/>
      <c r="N83" s="3162"/>
      <c r="O83" s="3162"/>
      <c r="P83" s="3162"/>
      <c r="Q83" s="3162"/>
      <c r="R83" s="3162"/>
      <c r="S83" s="3162"/>
    </row>
    <row r="84" spans="10:19">
      <c r="J84" s="2235"/>
      <c r="K84" s="2235"/>
      <c r="L84" s="2235"/>
      <c r="M84" s="2235"/>
      <c r="N84" s="2235"/>
      <c r="O84" s="2235"/>
      <c r="P84" s="2235"/>
      <c r="Q84" s="2235"/>
      <c r="R84" s="2235"/>
      <c r="S84" s="2235"/>
    </row>
    <row r="85" spans="10:19">
      <c r="J85" s="2235"/>
      <c r="K85" s="2235"/>
      <c r="L85" s="2235"/>
      <c r="M85" s="2235"/>
      <c r="N85" s="2235"/>
      <c r="O85" s="2235"/>
      <c r="P85" s="2235"/>
      <c r="Q85" s="2235"/>
      <c r="R85" s="2235"/>
      <c r="S85" s="2235"/>
    </row>
    <row r="86" spans="10:19">
      <c r="J86" s="2235"/>
      <c r="K86" s="2235"/>
      <c r="L86" s="2235"/>
      <c r="M86" s="2235"/>
      <c r="N86" s="2235"/>
      <c r="O86" s="2235"/>
      <c r="P86" s="2235"/>
      <c r="Q86" s="2235"/>
      <c r="R86" s="2235"/>
      <c r="S86" s="2235"/>
    </row>
    <row r="87" spans="10:19">
      <c r="J87" s="2235"/>
      <c r="K87" s="2235"/>
      <c r="L87" s="2235"/>
      <c r="M87" s="2235"/>
      <c r="N87" s="2235"/>
      <c r="O87" s="2235"/>
      <c r="P87" s="2235"/>
      <c r="Q87" s="2235"/>
      <c r="R87" s="2235"/>
      <c r="S87" s="2235"/>
    </row>
    <row r="88" spans="10:19">
      <c r="J88" s="2235"/>
      <c r="K88" s="2235"/>
      <c r="L88" s="2235"/>
      <c r="M88" s="2235"/>
      <c r="N88" s="2235"/>
      <c r="O88" s="2235"/>
      <c r="P88" s="2235"/>
      <c r="Q88" s="2235"/>
      <c r="R88" s="2235"/>
      <c r="S88" s="2235"/>
    </row>
    <row r="89" spans="10:19">
      <c r="J89" s="2235"/>
      <c r="K89" s="2235"/>
      <c r="L89" s="2235"/>
      <c r="M89" s="2235"/>
      <c r="N89" s="2235"/>
      <c r="O89" s="2235"/>
      <c r="P89" s="2235"/>
      <c r="Q89" s="2235"/>
      <c r="R89" s="2235"/>
      <c r="S89" s="2235"/>
    </row>
    <row r="90" spans="10:19">
      <c r="J90" s="2235"/>
      <c r="K90" s="2235"/>
      <c r="L90" s="2235"/>
      <c r="M90" s="2235"/>
      <c r="N90" s="2235"/>
      <c r="O90" s="2235"/>
      <c r="P90" s="2235"/>
      <c r="Q90" s="2235"/>
      <c r="R90" s="2235"/>
      <c r="S90" s="2235"/>
    </row>
    <row r="91" spans="10:19">
      <c r="J91" s="2235"/>
      <c r="K91" s="2235"/>
      <c r="L91" s="2235"/>
      <c r="M91" s="2235"/>
      <c r="N91" s="2235"/>
      <c r="O91" s="2235"/>
      <c r="P91" s="2235"/>
      <c r="Q91" s="2235"/>
      <c r="R91" s="2235"/>
      <c r="S91" s="2235"/>
    </row>
    <row r="92" spans="10:19">
      <c r="J92" s="2235"/>
      <c r="K92" s="2235"/>
      <c r="L92" s="2235"/>
      <c r="M92" s="2235"/>
      <c r="N92" s="2235"/>
      <c r="O92" s="2235"/>
      <c r="P92" s="2235"/>
      <c r="Q92" s="2235"/>
      <c r="R92" s="2235"/>
      <c r="S92" s="2235"/>
    </row>
    <row r="93" spans="10:19">
      <c r="J93" s="2235"/>
      <c r="K93" s="2235"/>
      <c r="L93" s="2235"/>
      <c r="M93" s="2235"/>
      <c r="N93" s="2235"/>
      <c r="O93" s="2235"/>
      <c r="P93" s="2235"/>
      <c r="Q93" s="2235"/>
      <c r="R93" s="2235"/>
      <c r="S93" s="2235"/>
    </row>
    <row r="94" spans="10:19">
      <c r="J94" s="2235"/>
      <c r="K94" s="2235"/>
      <c r="L94" s="2235"/>
      <c r="M94" s="2235"/>
      <c r="N94" s="2235"/>
      <c r="O94" s="2235"/>
      <c r="P94" s="2235"/>
      <c r="Q94" s="2235"/>
      <c r="R94" s="2235"/>
      <c r="S94" s="2235"/>
    </row>
  </sheetData>
  <mergeCells count="4">
    <mergeCell ref="A3:H3"/>
    <mergeCell ref="A4:H4"/>
    <mergeCell ref="A7:B10"/>
    <mergeCell ref="E7:G7"/>
  </mergeCells>
  <pageMargins left="0.5" right="0" top="0" bottom="0" header="0.5" footer="0"/>
  <pageSetup paperSize="5" orientation="portrait" verticalDpi="300" r:id="rId1"/>
  <headerFooter alignWithMargins="0"/>
  <legacy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0000"/>
    <outlinePr summaryBelow="0"/>
  </sheetPr>
  <dimension ref="A1:DZ42"/>
  <sheetViews>
    <sheetView showGridLines="0" showOutlineSymbols="0" workbookViewId="0">
      <selection activeCell="I26" sqref="I26"/>
    </sheetView>
  </sheetViews>
  <sheetFormatPr defaultColWidth="12.5703125" defaultRowHeight="15.75" outlineLevelRow="2" outlineLevelCol="2"/>
  <cols>
    <col min="1" max="1" width="1.85546875" style="3685" customWidth="1"/>
    <col min="2" max="2" width="29.7109375" style="3685" customWidth="1"/>
    <col min="3" max="3" width="10.28515625" style="3593" customWidth="1"/>
    <col min="4" max="8" width="11.42578125" style="3685" customWidth="1"/>
    <col min="9" max="29" width="12.5703125" style="1390"/>
    <col min="30" max="34" width="12.5703125" style="1390" outlineLevel="1"/>
    <col min="35" max="40" width="12.5703125" style="1390" outlineLevel="2"/>
    <col min="41" max="43" width="12.5703125" style="1390" outlineLevel="1"/>
    <col min="44" max="63" width="12.5703125" style="1390"/>
    <col min="64" max="67" width="12.5703125" style="1390" outlineLevel="1"/>
    <col min="68" max="115" width="12.5703125" style="1390"/>
    <col min="116" max="121" width="12.5703125" style="1390" outlineLevel="1"/>
    <col min="122" max="127" width="12.5703125" style="1390" outlineLevel="2"/>
    <col min="128" max="130" width="12.5703125" style="1390" outlineLevel="1"/>
    <col min="131" max="16384" width="12.5703125" style="1390"/>
  </cols>
  <sheetData>
    <row r="1" spans="1:8">
      <c r="A1" s="3226" t="s">
        <v>473</v>
      </c>
      <c r="B1" s="3160"/>
      <c r="E1" s="3226"/>
      <c r="F1" s="3226"/>
      <c r="G1" s="3226"/>
      <c r="H1" s="3226"/>
    </row>
    <row r="2" spans="1:8" ht="14.25" customHeight="1">
      <c r="A2" s="3221" t="s">
        <v>584</v>
      </c>
      <c r="B2" s="3160"/>
      <c r="E2" s="3221"/>
      <c r="F2" s="3221"/>
      <c r="G2" s="3221"/>
      <c r="H2" s="3221"/>
    </row>
    <row r="3" spans="1:8" ht="14.25" customHeight="1">
      <c r="A3" s="3160"/>
      <c r="B3" s="3160"/>
      <c r="E3" s="3221"/>
      <c r="F3" s="3221"/>
      <c r="G3" s="3221"/>
      <c r="H3" s="3221"/>
    </row>
    <row r="4" spans="1:8" ht="14.25" customHeight="1">
      <c r="A4" s="3160"/>
      <c r="B4" s="3160"/>
      <c r="E4" s="3221"/>
      <c r="F4" s="3221"/>
      <c r="G4" s="3221"/>
      <c r="H4" s="3221"/>
    </row>
    <row r="5" spans="1:8" ht="14.25" customHeight="1">
      <c r="A5" s="2474"/>
      <c r="B5" s="4741" t="s">
        <v>471</v>
      </c>
      <c r="C5" s="4741"/>
      <c r="D5" s="4741"/>
      <c r="E5" s="4741"/>
      <c r="F5" s="4741"/>
      <c r="G5" s="4741"/>
      <c r="H5" s="2474"/>
    </row>
    <row r="6" spans="1:8" ht="14.25" customHeight="1">
      <c r="A6" s="2836"/>
      <c r="B6" s="4742" t="s">
        <v>746</v>
      </c>
      <c r="C6" s="4742"/>
      <c r="D6" s="4742"/>
      <c r="E6" s="4742"/>
      <c r="F6" s="4742"/>
      <c r="G6" s="4742"/>
      <c r="H6" s="2836"/>
    </row>
    <row r="7" spans="1:8" ht="14.25" customHeight="1">
      <c r="A7" s="2836"/>
      <c r="B7" s="1578"/>
      <c r="C7" s="1578"/>
      <c r="D7" s="1578"/>
      <c r="E7" s="1578"/>
      <c r="F7" s="1578"/>
      <c r="G7" s="1578"/>
      <c r="H7" s="2836"/>
    </row>
    <row r="8" spans="1:8" ht="14.25" customHeight="1">
      <c r="A8" s="3283"/>
      <c r="B8" s="3283"/>
      <c r="C8" s="3706"/>
      <c r="D8" s="3283"/>
      <c r="E8" s="3283"/>
      <c r="F8" s="3283"/>
      <c r="G8" s="3283"/>
      <c r="H8" s="3283"/>
    </row>
    <row r="9" spans="1:8" ht="14.25" customHeight="1">
      <c r="A9" s="3705" t="s">
        <v>2738</v>
      </c>
      <c r="B9" s="3705"/>
      <c r="D9" s="3160"/>
      <c r="E9" s="3160"/>
      <c r="F9" s="3160"/>
      <c r="G9" s="3160"/>
      <c r="H9" s="3160"/>
    </row>
    <row r="10" spans="1:8" ht="14.25" customHeight="1">
      <c r="A10" s="4743" t="s">
        <v>468</v>
      </c>
      <c r="B10" s="4744"/>
      <c r="C10" s="3220" t="s">
        <v>467</v>
      </c>
      <c r="D10" s="3220" t="s">
        <v>466</v>
      </c>
      <c r="E10" s="4948" t="s">
        <v>465</v>
      </c>
      <c r="F10" s="4949"/>
      <c r="G10" s="4950"/>
      <c r="H10" s="3220" t="s">
        <v>2345</v>
      </c>
    </row>
    <row r="11" spans="1:8" ht="14.25" customHeight="1">
      <c r="A11" s="4745"/>
      <c r="B11" s="4746"/>
      <c r="C11" s="3219" t="s">
        <v>463</v>
      </c>
      <c r="D11" s="3218">
        <v>2020</v>
      </c>
      <c r="E11" s="3218" t="s">
        <v>2344</v>
      </c>
      <c r="F11" s="3218" t="s">
        <v>2343</v>
      </c>
      <c r="G11" s="3218"/>
      <c r="H11" s="3218" t="s">
        <v>2342</v>
      </c>
    </row>
    <row r="12" spans="1:8" ht="14.25" customHeight="1">
      <c r="A12" s="4745"/>
      <c r="B12" s="4746"/>
      <c r="C12" s="3219"/>
      <c r="D12" s="3218"/>
      <c r="E12" s="3218" t="s">
        <v>2341</v>
      </c>
      <c r="F12" s="3218" t="s">
        <v>2341</v>
      </c>
      <c r="G12" s="3218" t="s">
        <v>244</v>
      </c>
      <c r="H12" s="3218" t="s">
        <v>652</v>
      </c>
    </row>
    <row r="13" spans="1:8" ht="14.25" customHeight="1">
      <c r="A13" s="4747"/>
      <c r="B13" s="4748"/>
      <c r="C13" s="3217"/>
      <c r="D13" s="3215" t="s">
        <v>460</v>
      </c>
      <c r="E13" s="3215" t="s">
        <v>460</v>
      </c>
      <c r="F13" s="3215" t="s">
        <v>459</v>
      </c>
      <c r="G13" s="3216"/>
      <c r="H13" s="3215" t="s">
        <v>458</v>
      </c>
    </row>
    <row r="14" spans="1:8" ht="14.25" customHeight="1">
      <c r="A14" s="3679" t="s">
        <v>456</v>
      </c>
      <c r="B14" s="3704"/>
      <c r="C14" s="3217"/>
      <c r="D14" s="3215"/>
      <c r="E14" s="3215"/>
      <c r="F14" s="3215"/>
      <c r="G14" s="3216"/>
      <c r="H14" s="3215"/>
    </row>
    <row r="15" spans="1:8" s="1395" customFormat="1" ht="20.100000000000001" customHeight="1" outlineLevel="1">
      <c r="A15" s="3699" t="s">
        <v>407</v>
      </c>
      <c r="B15" s="3698"/>
      <c r="C15" s="3703"/>
      <c r="D15" s="2598">
        <f>SUM(D16:D25)</f>
        <v>21934373.179999989</v>
      </c>
      <c r="E15" s="2598">
        <f>SUM(E16:E25)</f>
        <v>10704529.27</v>
      </c>
      <c r="F15" s="2598">
        <f>SUM(F16:F25)</f>
        <v>16385495.73</v>
      </c>
      <c r="G15" s="2598">
        <f>SUM(G16:G25)</f>
        <v>27090025</v>
      </c>
      <c r="H15" s="2598">
        <f>SUM(H16:H25)</f>
        <v>25340000</v>
      </c>
    </row>
    <row r="16" spans="1:8" s="2248" customFormat="1" ht="16.7" customHeight="1" outlineLevel="1">
      <c r="A16" s="3259" t="s">
        <v>402</v>
      </c>
      <c r="B16" s="3309"/>
      <c r="C16" s="3611" t="str">
        <f>[30]Sheet1!$B$29</f>
        <v>5-02-03-010</v>
      </c>
      <c r="D16" s="3702">
        <f>'[22]CED - STREETLIGHTING'!$F$14</f>
        <v>20000</v>
      </c>
      <c r="E16" s="1448">
        <f>'[23]CED - STREETLIGHTING'!$F$14</f>
        <v>0</v>
      </c>
      <c r="F16" s="1532">
        <f>G16-E16</f>
        <v>25000</v>
      </c>
      <c r="G16" s="1532">
        <f>'[23]CED - STREETLIGHTING'!$D$14</f>
        <v>25000</v>
      </c>
      <c r="H16" s="1427">
        <f>[25]STREETLIGHTING!$H$12</f>
        <v>15000</v>
      </c>
    </row>
    <row r="17" spans="1:19" s="3701" customFormat="1" ht="16.7" customHeight="1" outlineLevel="1">
      <c r="A17" s="3259" t="s">
        <v>572</v>
      </c>
      <c r="B17" s="3205"/>
      <c r="C17" s="3611"/>
      <c r="D17" s="3694"/>
      <c r="E17" s="1473"/>
      <c r="F17" s="1532"/>
      <c r="G17" s="1532"/>
      <c r="H17" s="1427"/>
    </row>
    <row r="18" spans="1:19" s="3701" customFormat="1" ht="16.7" customHeight="1" outlineLevel="1">
      <c r="A18" s="3310"/>
      <c r="B18" s="3207" t="s">
        <v>2737</v>
      </c>
      <c r="C18" s="3611" t="s">
        <v>2398</v>
      </c>
      <c r="D18" s="3694">
        <f>'[22]CED - STREETLIGHTING'!$F$16</f>
        <v>0</v>
      </c>
      <c r="E18" s="1473">
        <f>'[23]CED - STREETLIGHTING'!$F$16</f>
        <v>0</v>
      </c>
      <c r="F18" s="1532">
        <f t="shared" ref="F18:F25" si="0">G18-E18</f>
        <v>5000</v>
      </c>
      <c r="G18" s="1532">
        <f>'[23]CED - STREETLIGHTING'!$D$16</f>
        <v>5000</v>
      </c>
      <c r="H18" s="1427">
        <f>[25]STREETLIGHTING!$H$14</f>
        <v>5000</v>
      </c>
    </row>
    <row r="19" spans="1:19" s="2248" customFormat="1" ht="16.7" customHeight="1" outlineLevel="1">
      <c r="A19" s="3259" t="s">
        <v>674</v>
      </c>
      <c r="B19" s="3258"/>
      <c r="C19" s="3611" t="str">
        <f>[30]Sheet1!$B$36</f>
        <v>5-02-03-090</v>
      </c>
      <c r="D19" s="3694">
        <f>'[22]CED - STREETLIGHTING'!$F$17</f>
        <v>157536.24000000002</v>
      </c>
      <c r="E19" s="1473">
        <f>'[23]CED - STREETLIGHTING'!$F$17</f>
        <v>100169.57</v>
      </c>
      <c r="F19" s="1532">
        <f t="shared" si="0"/>
        <v>187080.43</v>
      </c>
      <c r="G19" s="1532">
        <f>'[23]CED - STREETLIGHTING'!$D$17</f>
        <v>287250</v>
      </c>
      <c r="H19" s="1427">
        <f>[25]STREETLIGHTING!$H$15</f>
        <v>207250</v>
      </c>
    </row>
    <row r="20" spans="1:19" s="2248" customFormat="1" ht="16.7" customHeight="1" outlineLevel="1">
      <c r="A20" s="1527" t="s">
        <v>878</v>
      </c>
      <c r="B20" s="3700"/>
      <c r="C20" s="3611" t="s">
        <v>394</v>
      </c>
      <c r="D20" s="3694">
        <f>'[22]CED - STREETLIGHTING'!$F$18</f>
        <v>995151.25</v>
      </c>
      <c r="E20" s="1427">
        <f>'[23]CED - STREETLIGHTING'!$F$18</f>
        <v>0</v>
      </c>
      <c r="F20" s="1532">
        <f t="shared" si="0"/>
        <v>1650000</v>
      </c>
      <c r="G20" s="1532">
        <f>'[23]CED - STREETLIGHTING'!$D$18</f>
        <v>1650000</v>
      </c>
      <c r="H20" s="1427">
        <f>[25]STREETLIGHTING!$H$16</f>
        <v>1100000</v>
      </c>
    </row>
    <row r="21" spans="1:19" s="2248" customFormat="1" ht="16.7" customHeight="1" outlineLevel="1">
      <c r="A21" s="3259" t="s">
        <v>1266</v>
      </c>
      <c r="B21" s="3258"/>
      <c r="C21" s="3611" t="s">
        <v>2736</v>
      </c>
      <c r="D21" s="3694">
        <f>'[22]CED - STREETLIGHTING'!$F$19</f>
        <v>19266209.09999999</v>
      </c>
      <c r="E21" s="1427">
        <f>'[23]CED - STREETLIGHTING'!$F$19</f>
        <v>9946667.0999999996</v>
      </c>
      <c r="F21" s="1532">
        <f t="shared" si="0"/>
        <v>13653332.9</v>
      </c>
      <c r="G21" s="1532">
        <f>'[23]CED - STREETLIGHTING'!$D$19</f>
        <v>23600000</v>
      </c>
      <c r="H21" s="1424">
        <v>22600000</v>
      </c>
    </row>
    <row r="22" spans="1:19" s="2248" customFormat="1" ht="16.7" customHeight="1" outlineLevel="1">
      <c r="A22" s="1527" t="s">
        <v>699</v>
      </c>
      <c r="B22" s="3700"/>
      <c r="C22" s="3614" t="s">
        <v>390</v>
      </c>
      <c r="D22" s="3694">
        <f>'[22]CED - STREETLIGHTING'!$F$20</f>
        <v>7265.7199999999993</v>
      </c>
      <c r="E22" s="1427">
        <f>'[23]CED - STREETLIGHTING'!$F$20</f>
        <v>3302.6</v>
      </c>
      <c r="F22" s="1532">
        <f t="shared" si="0"/>
        <v>6539.4</v>
      </c>
      <c r="G22" s="1532">
        <f>'[23]CED - STREETLIGHTING'!$D$20</f>
        <v>9842</v>
      </c>
      <c r="H22" s="1427">
        <f>[25]STREETLIGHTING!$H$18</f>
        <v>9842</v>
      </c>
    </row>
    <row r="23" spans="1:19" s="2248" customFormat="1" ht="16.7" customHeight="1" outlineLevel="1">
      <c r="A23" s="1520" t="s">
        <v>389</v>
      </c>
      <c r="B23" s="3700"/>
      <c r="C23" s="3614" t="s">
        <v>388</v>
      </c>
      <c r="D23" s="3694">
        <f>'[22]CED - STREETLIGHTING'!$F$21</f>
        <v>702454.77</v>
      </c>
      <c r="E23" s="1427">
        <f>'[23]CED - STREETLIGHTING'!$F$21</f>
        <v>317647.5</v>
      </c>
      <c r="F23" s="1532">
        <f t="shared" si="0"/>
        <v>374572.5</v>
      </c>
      <c r="G23" s="1532">
        <f>'[23]CED - STREETLIGHTING'!$D$21</f>
        <v>692220</v>
      </c>
      <c r="H23" s="1427">
        <f>[25]STREETLIGHTING!$H$19</f>
        <v>588195</v>
      </c>
    </row>
    <row r="24" spans="1:19" s="2248" customFormat="1" ht="16.7" customHeight="1" outlineLevel="1">
      <c r="A24" s="3259" t="s">
        <v>2735</v>
      </c>
      <c r="B24" s="3258"/>
      <c r="C24" s="3611" t="s">
        <v>1947</v>
      </c>
      <c r="D24" s="3694">
        <f>'[22]CED - STREETLIGHTING'!$F$22</f>
        <v>778356.5</v>
      </c>
      <c r="E24" s="1427">
        <f>'[23]CED - STREETLIGHTING'!$F$22</f>
        <v>336232.5</v>
      </c>
      <c r="F24" s="1532">
        <f t="shared" si="0"/>
        <v>463687.5</v>
      </c>
      <c r="G24" s="1532">
        <f>'[23]CED - STREETLIGHTING'!$D$22</f>
        <v>799920</v>
      </c>
      <c r="H24" s="3693">
        <f>[25]STREETLIGHTING!$H$20</f>
        <v>799920</v>
      </c>
    </row>
    <row r="25" spans="1:19" s="2248" customFormat="1" ht="16.7" customHeight="1" outlineLevel="1">
      <c r="A25" s="3259" t="s">
        <v>693</v>
      </c>
      <c r="B25" s="3258"/>
      <c r="C25" s="3611" t="str">
        <f>[30]Sheet1!$D$67</f>
        <v>5-02-99-990</v>
      </c>
      <c r="D25" s="3694">
        <f>'[22]CED - STREETLIGHTING'!$F$23</f>
        <v>7399.6</v>
      </c>
      <c r="E25" s="1427">
        <f>'[23]CED - STREETLIGHTING'!$F$23</f>
        <v>510</v>
      </c>
      <c r="F25" s="1532">
        <f t="shared" si="0"/>
        <v>20283</v>
      </c>
      <c r="G25" s="1532">
        <f>'[23]CED - STREETLIGHTING'!$D$23</f>
        <v>20793</v>
      </c>
      <c r="H25" s="1427">
        <f>[25]STREETLIGHTING!$H$21</f>
        <v>14793</v>
      </c>
    </row>
    <row r="26" spans="1:19" s="3695" customFormat="1" ht="16.7" customHeight="1" outlineLevel="1">
      <c r="A26" s="3699" t="s">
        <v>775</v>
      </c>
      <c r="B26" s="3698"/>
      <c r="C26" s="3697"/>
      <c r="D26" s="3696">
        <f>D27</f>
        <v>0</v>
      </c>
      <c r="E26" s="3696">
        <f>E27</f>
        <v>0</v>
      </c>
      <c r="F26" s="3696">
        <f>F27</f>
        <v>0</v>
      </c>
      <c r="G26" s="3696">
        <f>G27</f>
        <v>0</v>
      </c>
      <c r="H26" s="3696">
        <f>H27</f>
        <v>0</v>
      </c>
    </row>
    <row r="27" spans="1:19" s="2248" customFormat="1" ht="16.7" customHeight="1" outlineLevel="1">
      <c r="A27" s="3259" t="s">
        <v>1239</v>
      </c>
      <c r="B27" s="3258"/>
      <c r="C27" s="3611"/>
      <c r="D27" s="3694">
        <v>0</v>
      </c>
      <c r="E27" s="1427">
        <v>0</v>
      </c>
      <c r="F27" s="1532">
        <v>0</v>
      </c>
      <c r="G27" s="1532">
        <v>0</v>
      </c>
      <c r="H27" s="3693">
        <v>0</v>
      </c>
    </row>
    <row r="28" spans="1:19" ht="20.100000000000001" customHeight="1" outlineLevel="2" thickBot="1">
      <c r="A28" s="3692"/>
      <c r="B28" s="3691" t="s">
        <v>366</v>
      </c>
      <c r="C28" s="3598"/>
      <c r="D28" s="3690">
        <f>D26+D15</f>
        <v>21934373.179999989</v>
      </c>
      <c r="E28" s="3690">
        <f>E26+E15</f>
        <v>10704529.27</v>
      </c>
      <c r="F28" s="3690">
        <f>F26+F15</f>
        <v>16385495.73</v>
      </c>
      <c r="G28" s="3690">
        <f>G26+G15</f>
        <v>27090025</v>
      </c>
      <c r="H28" s="3690">
        <f>H26+H15</f>
        <v>25340000</v>
      </c>
    </row>
    <row r="29" spans="1:19" ht="20.100000000000001" customHeight="1" outlineLevel="2" thickTop="1">
      <c r="A29" s="1414"/>
      <c r="B29" s="3689"/>
      <c r="C29" s="3688"/>
      <c r="D29" s="3687"/>
      <c r="E29" s="3687"/>
      <c r="F29" s="3687"/>
      <c r="G29" s="3687"/>
      <c r="H29" s="3687"/>
    </row>
    <row r="30" spans="1:19" ht="20.25" customHeight="1" outlineLevel="2">
      <c r="A30" s="1414"/>
      <c r="B30" s="3689"/>
      <c r="C30" s="3688"/>
      <c r="D30" s="3687"/>
      <c r="E30" s="3687"/>
      <c r="F30" s="3687"/>
      <c r="G30" s="3687"/>
      <c r="H30" s="3687"/>
    </row>
    <row r="31" spans="1:19" s="3162" customFormat="1" ht="14.25" customHeight="1">
      <c r="A31" s="3175" t="s">
        <v>2312</v>
      </c>
      <c r="B31" s="3174"/>
      <c r="C31" s="3174"/>
      <c r="D31" s="3174"/>
      <c r="E31" s="3173"/>
      <c r="F31" s="3173"/>
      <c r="G31" s="3173" t="s">
        <v>2311</v>
      </c>
      <c r="H31" s="3173"/>
      <c r="I31" s="2233"/>
      <c r="J31" s="2255"/>
      <c r="K31" s="2255"/>
      <c r="L31" s="2255"/>
      <c r="M31" s="2255"/>
      <c r="N31" s="2255"/>
      <c r="O31" s="2255"/>
      <c r="P31" s="2255"/>
      <c r="Q31" s="2255"/>
      <c r="R31" s="2255"/>
      <c r="S31" s="2255"/>
    </row>
    <row r="32" spans="1:19" s="3162" customFormat="1" ht="11.25" customHeight="1">
      <c r="A32" s="3173"/>
      <c r="B32" s="3174"/>
      <c r="C32" s="3174"/>
      <c r="D32" s="3174"/>
      <c r="E32" s="3173"/>
      <c r="F32" s="3173"/>
      <c r="G32" s="3173"/>
      <c r="H32" s="3173"/>
      <c r="I32" s="2233"/>
      <c r="J32" s="2255"/>
      <c r="K32" s="2255"/>
      <c r="L32" s="2255"/>
      <c r="M32" s="2255"/>
      <c r="N32" s="2255"/>
      <c r="O32" s="2255"/>
      <c r="P32" s="2255"/>
      <c r="Q32" s="2255"/>
      <c r="R32" s="2255"/>
      <c r="S32" s="2255"/>
    </row>
    <row r="33" spans="1:19" s="3162" customFormat="1" ht="6" customHeight="1">
      <c r="A33" s="3173"/>
      <c r="B33" s="3174"/>
      <c r="C33" s="3174"/>
      <c r="D33" s="3174"/>
      <c r="E33" s="3173"/>
      <c r="F33" s="3173"/>
      <c r="G33" s="3173"/>
      <c r="H33" s="3173"/>
      <c r="I33" s="2233"/>
      <c r="J33" s="2255"/>
      <c r="K33" s="2255"/>
      <c r="L33" s="2255"/>
      <c r="M33" s="2255"/>
      <c r="N33" s="2255"/>
      <c r="O33" s="2255"/>
      <c r="P33" s="2255"/>
      <c r="Q33" s="2255"/>
      <c r="R33" s="2255"/>
      <c r="S33" s="2255"/>
    </row>
    <row r="34" spans="1:19" s="3162" customFormat="1" ht="14.25" customHeight="1">
      <c r="A34" s="3172" t="s">
        <v>2364</v>
      </c>
      <c r="B34" s="3167"/>
      <c r="C34" s="3171" t="s">
        <v>2309</v>
      </c>
      <c r="D34" s="3165"/>
      <c r="E34" s="3169"/>
      <c r="F34" s="3169"/>
      <c r="G34" s="3170" t="s">
        <v>359</v>
      </c>
      <c r="H34" s="3169"/>
      <c r="I34" s="2233"/>
      <c r="J34" s="2255"/>
      <c r="K34" s="2255"/>
      <c r="L34" s="2255"/>
      <c r="M34" s="2255"/>
      <c r="N34" s="2255"/>
      <c r="O34" s="2255"/>
      <c r="P34" s="2255"/>
      <c r="Q34" s="2255"/>
      <c r="R34" s="2255"/>
      <c r="S34" s="2255"/>
    </row>
    <row r="35" spans="1:19" s="3162" customFormat="1" ht="14.25" customHeight="1">
      <c r="A35" s="3168" t="s">
        <v>2363</v>
      </c>
      <c r="B35" s="3167"/>
      <c r="C35" s="3166" t="s">
        <v>2308</v>
      </c>
      <c r="D35" s="3165"/>
      <c r="E35" s="3163"/>
      <c r="F35" s="3163"/>
      <c r="G35" s="3164" t="s">
        <v>2307</v>
      </c>
      <c r="H35" s="3163"/>
      <c r="I35" s="2233"/>
      <c r="J35" s="2255"/>
      <c r="K35" s="2255"/>
      <c r="L35" s="2255"/>
      <c r="M35" s="2255"/>
      <c r="N35" s="2255"/>
      <c r="O35" s="2255"/>
      <c r="P35" s="2255"/>
      <c r="Q35" s="2255"/>
      <c r="R35" s="2255"/>
      <c r="S35" s="2255"/>
    </row>
    <row r="36" spans="1:19" s="1404" customFormat="1" ht="13.5">
      <c r="A36" s="3286"/>
      <c r="B36" s="3289"/>
      <c r="C36" s="3595"/>
      <c r="D36" s="3686"/>
      <c r="E36" s="3686"/>
      <c r="F36" s="3686"/>
      <c r="G36" s="3686"/>
      <c r="H36" s="3686"/>
    </row>
    <row r="37" spans="1:19" s="1404" customFormat="1" ht="13.5">
      <c r="A37" s="3286"/>
      <c r="B37" s="3289"/>
      <c r="C37" s="3595"/>
      <c r="D37" s="3686"/>
      <c r="E37" s="3686"/>
      <c r="F37" s="3686"/>
      <c r="G37" s="3686"/>
      <c r="H37" s="3686"/>
    </row>
    <row r="38" spans="1:19" s="1404" customFormat="1" ht="13.5">
      <c r="A38" s="3286"/>
      <c r="B38" s="3289"/>
      <c r="C38" s="3595"/>
      <c r="D38" s="3686"/>
      <c r="E38" s="3686"/>
      <c r="F38" s="3686"/>
      <c r="G38" s="3686"/>
      <c r="H38" s="3686"/>
    </row>
    <row r="39" spans="1:19" s="1404" customFormat="1" ht="13.5">
      <c r="A39" s="3286"/>
      <c r="B39" s="3289"/>
      <c r="C39" s="3595"/>
      <c r="D39" s="3686"/>
      <c r="E39" s="3686"/>
      <c r="F39" s="3686"/>
      <c r="G39" s="3686"/>
      <c r="H39" s="3686"/>
    </row>
    <row r="40" spans="1:19" s="1404" customFormat="1" ht="13.5">
      <c r="A40" s="3286"/>
      <c r="B40" s="3289"/>
      <c r="C40" s="3595"/>
      <c r="D40" s="3686"/>
      <c r="E40" s="3686"/>
      <c r="F40" s="3686"/>
      <c r="G40" s="3686"/>
      <c r="H40" s="3686"/>
    </row>
    <row r="41" spans="1:19" s="1404" customFormat="1" ht="13.5">
      <c r="A41" s="3286"/>
      <c r="B41" s="3289"/>
      <c r="C41" s="3595"/>
      <c r="D41" s="3686"/>
      <c r="E41" s="3686"/>
      <c r="F41" s="3686"/>
      <c r="G41" s="3686"/>
      <c r="H41" s="3686"/>
    </row>
    <row r="42" spans="1:19" s="1404" customFormat="1" ht="13.5">
      <c r="A42" s="3286"/>
      <c r="B42" s="3289"/>
      <c r="C42" s="3595"/>
      <c r="D42" s="3686"/>
      <c r="E42" s="3686"/>
      <c r="F42" s="3686"/>
      <c r="G42" s="3686"/>
      <c r="H42" s="3686"/>
    </row>
  </sheetData>
  <mergeCells count="4">
    <mergeCell ref="B5:G5"/>
    <mergeCell ref="B6:G6"/>
    <mergeCell ref="A10:B13"/>
    <mergeCell ref="E10:G10"/>
  </mergeCells>
  <pageMargins left="0.5" right="0" top="0" bottom="0" header="0.5" footer="0"/>
  <pageSetup paperSize="5" orientation="portrait" verticalDpi="300"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dimension ref="A1:L306"/>
  <sheetViews>
    <sheetView showGridLines="0" zoomScale="80" zoomScaleNormal="80" workbookViewId="0">
      <selection activeCell="C53" sqref="C53"/>
    </sheetView>
  </sheetViews>
  <sheetFormatPr defaultColWidth="12.5703125" defaultRowHeight="12.75"/>
  <cols>
    <col min="1" max="2" width="3.7109375" style="3708" customWidth="1"/>
    <col min="3" max="3" width="28.7109375" style="3707" customWidth="1"/>
    <col min="4" max="4" width="22.7109375" style="3707" customWidth="1"/>
    <col min="5" max="5" width="3.7109375" style="3707" customWidth="1"/>
    <col min="6" max="6" width="11.7109375" style="3707" customWidth="1"/>
    <col min="7" max="7" width="3.7109375" style="3707" customWidth="1"/>
    <col min="8" max="8" width="11.7109375" style="3707" customWidth="1"/>
    <col min="9" max="9" width="11.28515625" style="3707" customWidth="1"/>
    <col min="10" max="10" width="1" style="3707" customWidth="1"/>
    <col min="11" max="11" width="13.85546875" style="3707" bestFit="1" customWidth="1"/>
    <col min="12" max="256" width="12.5703125" style="3707"/>
    <col min="257" max="258" width="3.7109375" style="3707" customWidth="1"/>
    <col min="259" max="259" width="28.7109375" style="3707" customWidth="1"/>
    <col min="260" max="260" width="22.7109375" style="3707" customWidth="1"/>
    <col min="261" max="261" width="3.7109375" style="3707" customWidth="1"/>
    <col min="262" max="262" width="11.7109375" style="3707" customWidth="1"/>
    <col min="263" max="263" width="3.7109375" style="3707" customWidth="1"/>
    <col min="264" max="264" width="11.7109375" style="3707" customWidth="1"/>
    <col min="265" max="265" width="11.28515625" style="3707" customWidth="1"/>
    <col min="266" max="266" width="1" style="3707" customWidth="1"/>
    <col min="267" max="267" width="13.85546875" style="3707" bestFit="1" customWidth="1"/>
    <col min="268" max="512" width="12.5703125" style="3707"/>
    <col min="513" max="514" width="3.7109375" style="3707" customWidth="1"/>
    <col min="515" max="515" width="28.7109375" style="3707" customWidth="1"/>
    <col min="516" max="516" width="22.7109375" style="3707" customWidth="1"/>
    <col min="517" max="517" width="3.7109375" style="3707" customWidth="1"/>
    <col min="518" max="518" width="11.7109375" style="3707" customWidth="1"/>
    <col min="519" max="519" width="3.7109375" style="3707" customWidth="1"/>
    <col min="520" max="520" width="11.7109375" style="3707" customWidth="1"/>
    <col min="521" max="521" width="11.28515625" style="3707" customWidth="1"/>
    <col min="522" max="522" width="1" style="3707" customWidth="1"/>
    <col min="523" max="523" width="13.85546875" style="3707" bestFit="1" customWidth="1"/>
    <col min="524" max="768" width="12.5703125" style="3707"/>
    <col min="769" max="770" width="3.7109375" style="3707" customWidth="1"/>
    <col min="771" max="771" width="28.7109375" style="3707" customWidth="1"/>
    <col min="772" max="772" width="22.7109375" style="3707" customWidth="1"/>
    <col min="773" max="773" width="3.7109375" style="3707" customWidth="1"/>
    <col min="774" max="774" width="11.7109375" style="3707" customWidth="1"/>
    <col min="775" max="775" width="3.7109375" style="3707" customWidth="1"/>
    <col min="776" max="776" width="11.7109375" style="3707" customWidth="1"/>
    <col min="777" max="777" width="11.28515625" style="3707" customWidth="1"/>
    <col min="778" max="778" width="1" style="3707" customWidth="1"/>
    <col min="779" max="779" width="13.85546875" style="3707" bestFit="1" customWidth="1"/>
    <col min="780" max="1024" width="12.5703125" style="3707"/>
    <col min="1025" max="1026" width="3.7109375" style="3707" customWidth="1"/>
    <col min="1027" max="1027" width="28.7109375" style="3707" customWidth="1"/>
    <col min="1028" max="1028" width="22.7109375" style="3707" customWidth="1"/>
    <col min="1029" max="1029" width="3.7109375" style="3707" customWidth="1"/>
    <col min="1030" max="1030" width="11.7109375" style="3707" customWidth="1"/>
    <col min="1031" max="1031" width="3.7109375" style="3707" customWidth="1"/>
    <col min="1032" max="1032" width="11.7109375" style="3707" customWidth="1"/>
    <col min="1033" max="1033" width="11.28515625" style="3707" customWidth="1"/>
    <col min="1034" max="1034" width="1" style="3707" customWidth="1"/>
    <col min="1035" max="1035" width="13.85546875" style="3707" bestFit="1" customWidth="1"/>
    <col min="1036" max="1280" width="12.5703125" style="3707"/>
    <col min="1281" max="1282" width="3.7109375" style="3707" customWidth="1"/>
    <col min="1283" max="1283" width="28.7109375" style="3707" customWidth="1"/>
    <col min="1284" max="1284" width="22.7109375" style="3707" customWidth="1"/>
    <col min="1285" max="1285" width="3.7109375" style="3707" customWidth="1"/>
    <col min="1286" max="1286" width="11.7109375" style="3707" customWidth="1"/>
    <col min="1287" max="1287" width="3.7109375" style="3707" customWidth="1"/>
    <col min="1288" max="1288" width="11.7109375" style="3707" customWidth="1"/>
    <col min="1289" max="1289" width="11.28515625" style="3707" customWidth="1"/>
    <col min="1290" max="1290" width="1" style="3707" customWidth="1"/>
    <col min="1291" max="1291" width="13.85546875" style="3707" bestFit="1" customWidth="1"/>
    <col min="1292" max="1536" width="12.5703125" style="3707"/>
    <col min="1537" max="1538" width="3.7109375" style="3707" customWidth="1"/>
    <col min="1539" max="1539" width="28.7109375" style="3707" customWidth="1"/>
    <col min="1540" max="1540" width="22.7109375" style="3707" customWidth="1"/>
    <col min="1541" max="1541" width="3.7109375" style="3707" customWidth="1"/>
    <col min="1542" max="1542" width="11.7109375" style="3707" customWidth="1"/>
    <col min="1543" max="1543" width="3.7109375" style="3707" customWidth="1"/>
    <col min="1544" max="1544" width="11.7109375" style="3707" customWidth="1"/>
    <col min="1545" max="1545" width="11.28515625" style="3707" customWidth="1"/>
    <col min="1546" max="1546" width="1" style="3707" customWidth="1"/>
    <col min="1547" max="1547" width="13.85546875" style="3707" bestFit="1" customWidth="1"/>
    <col min="1548" max="1792" width="12.5703125" style="3707"/>
    <col min="1793" max="1794" width="3.7109375" style="3707" customWidth="1"/>
    <col min="1795" max="1795" width="28.7109375" style="3707" customWidth="1"/>
    <col min="1796" max="1796" width="22.7109375" style="3707" customWidth="1"/>
    <col min="1797" max="1797" width="3.7109375" style="3707" customWidth="1"/>
    <col min="1798" max="1798" width="11.7109375" style="3707" customWidth="1"/>
    <col min="1799" max="1799" width="3.7109375" style="3707" customWidth="1"/>
    <col min="1800" max="1800" width="11.7109375" style="3707" customWidth="1"/>
    <col min="1801" max="1801" width="11.28515625" style="3707" customWidth="1"/>
    <col min="1802" max="1802" width="1" style="3707" customWidth="1"/>
    <col min="1803" max="1803" width="13.85546875" style="3707" bestFit="1" customWidth="1"/>
    <col min="1804" max="2048" width="12.5703125" style="3707"/>
    <col min="2049" max="2050" width="3.7109375" style="3707" customWidth="1"/>
    <col min="2051" max="2051" width="28.7109375" style="3707" customWidth="1"/>
    <col min="2052" max="2052" width="22.7109375" style="3707" customWidth="1"/>
    <col min="2053" max="2053" width="3.7109375" style="3707" customWidth="1"/>
    <col min="2054" max="2054" width="11.7109375" style="3707" customWidth="1"/>
    <col min="2055" max="2055" width="3.7109375" style="3707" customWidth="1"/>
    <col min="2056" max="2056" width="11.7109375" style="3707" customWidth="1"/>
    <col min="2057" max="2057" width="11.28515625" style="3707" customWidth="1"/>
    <col min="2058" max="2058" width="1" style="3707" customWidth="1"/>
    <col min="2059" max="2059" width="13.85546875" style="3707" bestFit="1" customWidth="1"/>
    <col min="2060" max="2304" width="12.5703125" style="3707"/>
    <col min="2305" max="2306" width="3.7109375" style="3707" customWidth="1"/>
    <col min="2307" max="2307" width="28.7109375" style="3707" customWidth="1"/>
    <col min="2308" max="2308" width="22.7109375" style="3707" customWidth="1"/>
    <col min="2309" max="2309" width="3.7109375" style="3707" customWidth="1"/>
    <col min="2310" max="2310" width="11.7109375" style="3707" customWidth="1"/>
    <col min="2311" max="2311" width="3.7109375" style="3707" customWidth="1"/>
    <col min="2312" max="2312" width="11.7109375" style="3707" customWidth="1"/>
    <col min="2313" max="2313" width="11.28515625" style="3707" customWidth="1"/>
    <col min="2314" max="2314" width="1" style="3707" customWidth="1"/>
    <col min="2315" max="2315" width="13.85546875" style="3707" bestFit="1" customWidth="1"/>
    <col min="2316" max="2560" width="12.5703125" style="3707"/>
    <col min="2561" max="2562" width="3.7109375" style="3707" customWidth="1"/>
    <col min="2563" max="2563" width="28.7109375" style="3707" customWidth="1"/>
    <col min="2564" max="2564" width="22.7109375" style="3707" customWidth="1"/>
    <col min="2565" max="2565" width="3.7109375" style="3707" customWidth="1"/>
    <col min="2566" max="2566" width="11.7109375" style="3707" customWidth="1"/>
    <col min="2567" max="2567" width="3.7109375" style="3707" customWidth="1"/>
    <col min="2568" max="2568" width="11.7109375" style="3707" customWidth="1"/>
    <col min="2569" max="2569" width="11.28515625" style="3707" customWidth="1"/>
    <col min="2570" max="2570" width="1" style="3707" customWidth="1"/>
    <col min="2571" max="2571" width="13.85546875" style="3707" bestFit="1" customWidth="1"/>
    <col min="2572" max="2816" width="12.5703125" style="3707"/>
    <col min="2817" max="2818" width="3.7109375" style="3707" customWidth="1"/>
    <col min="2819" max="2819" width="28.7109375" style="3707" customWidth="1"/>
    <col min="2820" max="2820" width="22.7109375" style="3707" customWidth="1"/>
    <col min="2821" max="2821" width="3.7109375" style="3707" customWidth="1"/>
    <col min="2822" max="2822" width="11.7109375" style="3707" customWidth="1"/>
    <col min="2823" max="2823" width="3.7109375" style="3707" customWidth="1"/>
    <col min="2824" max="2824" width="11.7109375" style="3707" customWidth="1"/>
    <col min="2825" max="2825" width="11.28515625" style="3707" customWidth="1"/>
    <col min="2826" max="2826" width="1" style="3707" customWidth="1"/>
    <col min="2827" max="2827" width="13.85546875" style="3707" bestFit="1" customWidth="1"/>
    <col min="2828" max="3072" width="12.5703125" style="3707"/>
    <col min="3073" max="3074" width="3.7109375" style="3707" customWidth="1"/>
    <col min="3075" max="3075" width="28.7109375" style="3707" customWidth="1"/>
    <col min="3076" max="3076" width="22.7109375" style="3707" customWidth="1"/>
    <col min="3077" max="3077" width="3.7109375" style="3707" customWidth="1"/>
    <col min="3078" max="3078" width="11.7109375" style="3707" customWidth="1"/>
    <col min="3079" max="3079" width="3.7109375" style="3707" customWidth="1"/>
    <col min="3080" max="3080" width="11.7109375" style="3707" customWidth="1"/>
    <col min="3081" max="3081" width="11.28515625" style="3707" customWidth="1"/>
    <col min="3082" max="3082" width="1" style="3707" customWidth="1"/>
    <col min="3083" max="3083" width="13.85546875" style="3707" bestFit="1" customWidth="1"/>
    <col min="3084" max="3328" width="12.5703125" style="3707"/>
    <col min="3329" max="3330" width="3.7109375" style="3707" customWidth="1"/>
    <col min="3331" max="3331" width="28.7109375" style="3707" customWidth="1"/>
    <col min="3332" max="3332" width="22.7109375" style="3707" customWidth="1"/>
    <col min="3333" max="3333" width="3.7109375" style="3707" customWidth="1"/>
    <col min="3334" max="3334" width="11.7109375" style="3707" customWidth="1"/>
    <col min="3335" max="3335" width="3.7109375" style="3707" customWidth="1"/>
    <col min="3336" max="3336" width="11.7109375" style="3707" customWidth="1"/>
    <col min="3337" max="3337" width="11.28515625" style="3707" customWidth="1"/>
    <col min="3338" max="3338" width="1" style="3707" customWidth="1"/>
    <col min="3339" max="3339" width="13.85546875" style="3707" bestFit="1" customWidth="1"/>
    <col min="3340" max="3584" width="12.5703125" style="3707"/>
    <col min="3585" max="3586" width="3.7109375" style="3707" customWidth="1"/>
    <col min="3587" max="3587" width="28.7109375" style="3707" customWidth="1"/>
    <col min="3588" max="3588" width="22.7109375" style="3707" customWidth="1"/>
    <col min="3589" max="3589" width="3.7109375" style="3707" customWidth="1"/>
    <col min="3590" max="3590" width="11.7109375" style="3707" customWidth="1"/>
    <col min="3591" max="3591" width="3.7109375" style="3707" customWidth="1"/>
    <col min="3592" max="3592" width="11.7109375" style="3707" customWidth="1"/>
    <col min="3593" max="3593" width="11.28515625" style="3707" customWidth="1"/>
    <col min="3594" max="3594" width="1" style="3707" customWidth="1"/>
    <col min="3595" max="3595" width="13.85546875" style="3707" bestFit="1" customWidth="1"/>
    <col min="3596" max="3840" width="12.5703125" style="3707"/>
    <col min="3841" max="3842" width="3.7109375" style="3707" customWidth="1"/>
    <col min="3843" max="3843" width="28.7109375" style="3707" customWidth="1"/>
    <col min="3844" max="3844" width="22.7109375" style="3707" customWidth="1"/>
    <col min="3845" max="3845" width="3.7109375" style="3707" customWidth="1"/>
    <col min="3846" max="3846" width="11.7109375" style="3707" customWidth="1"/>
    <col min="3847" max="3847" width="3.7109375" style="3707" customWidth="1"/>
    <col min="3848" max="3848" width="11.7109375" style="3707" customWidth="1"/>
    <col min="3849" max="3849" width="11.28515625" style="3707" customWidth="1"/>
    <col min="3850" max="3850" width="1" style="3707" customWidth="1"/>
    <col min="3851" max="3851" width="13.85546875" style="3707" bestFit="1" customWidth="1"/>
    <col min="3852" max="4096" width="12.5703125" style="3707"/>
    <col min="4097" max="4098" width="3.7109375" style="3707" customWidth="1"/>
    <col min="4099" max="4099" width="28.7109375" style="3707" customWidth="1"/>
    <col min="4100" max="4100" width="22.7109375" style="3707" customWidth="1"/>
    <col min="4101" max="4101" width="3.7109375" style="3707" customWidth="1"/>
    <col min="4102" max="4102" width="11.7109375" style="3707" customWidth="1"/>
    <col min="4103" max="4103" width="3.7109375" style="3707" customWidth="1"/>
    <col min="4104" max="4104" width="11.7109375" style="3707" customWidth="1"/>
    <col min="4105" max="4105" width="11.28515625" style="3707" customWidth="1"/>
    <col min="4106" max="4106" width="1" style="3707" customWidth="1"/>
    <col min="4107" max="4107" width="13.85546875" style="3707" bestFit="1" customWidth="1"/>
    <col min="4108" max="4352" width="12.5703125" style="3707"/>
    <col min="4353" max="4354" width="3.7109375" style="3707" customWidth="1"/>
    <col min="4355" max="4355" width="28.7109375" style="3707" customWidth="1"/>
    <col min="4356" max="4356" width="22.7109375" style="3707" customWidth="1"/>
    <col min="4357" max="4357" width="3.7109375" style="3707" customWidth="1"/>
    <col min="4358" max="4358" width="11.7109375" style="3707" customWidth="1"/>
    <col min="4359" max="4359" width="3.7109375" style="3707" customWidth="1"/>
    <col min="4360" max="4360" width="11.7109375" style="3707" customWidth="1"/>
    <col min="4361" max="4361" width="11.28515625" style="3707" customWidth="1"/>
    <col min="4362" max="4362" width="1" style="3707" customWidth="1"/>
    <col min="4363" max="4363" width="13.85546875" style="3707" bestFit="1" customWidth="1"/>
    <col min="4364" max="4608" width="12.5703125" style="3707"/>
    <col min="4609" max="4610" width="3.7109375" style="3707" customWidth="1"/>
    <col min="4611" max="4611" width="28.7109375" style="3707" customWidth="1"/>
    <col min="4612" max="4612" width="22.7109375" style="3707" customWidth="1"/>
    <col min="4613" max="4613" width="3.7109375" style="3707" customWidth="1"/>
    <col min="4614" max="4614" width="11.7109375" style="3707" customWidth="1"/>
    <col min="4615" max="4615" width="3.7109375" style="3707" customWidth="1"/>
    <col min="4616" max="4616" width="11.7109375" style="3707" customWidth="1"/>
    <col min="4617" max="4617" width="11.28515625" style="3707" customWidth="1"/>
    <col min="4618" max="4618" width="1" style="3707" customWidth="1"/>
    <col min="4619" max="4619" width="13.85546875" style="3707" bestFit="1" customWidth="1"/>
    <col min="4620" max="4864" width="12.5703125" style="3707"/>
    <col min="4865" max="4866" width="3.7109375" style="3707" customWidth="1"/>
    <col min="4867" max="4867" width="28.7109375" style="3707" customWidth="1"/>
    <col min="4868" max="4868" width="22.7109375" style="3707" customWidth="1"/>
    <col min="4869" max="4869" width="3.7109375" style="3707" customWidth="1"/>
    <col min="4870" max="4870" width="11.7109375" style="3707" customWidth="1"/>
    <col min="4871" max="4871" width="3.7109375" style="3707" customWidth="1"/>
    <col min="4872" max="4872" width="11.7109375" style="3707" customWidth="1"/>
    <col min="4873" max="4873" width="11.28515625" style="3707" customWidth="1"/>
    <col min="4874" max="4874" width="1" style="3707" customWidth="1"/>
    <col min="4875" max="4875" width="13.85546875" style="3707" bestFit="1" customWidth="1"/>
    <col min="4876" max="5120" width="12.5703125" style="3707"/>
    <col min="5121" max="5122" width="3.7109375" style="3707" customWidth="1"/>
    <col min="5123" max="5123" width="28.7109375" style="3707" customWidth="1"/>
    <col min="5124" max="5124" width="22.7109375" style="3707" customWidth="1"/>
    <col min="5125" max="5125" width="3.7109375" style="3707" customWidth="1"/>
    <col min="5126" max="5126" width="11.7109375" style="3707" customWidth="1"/>
    <col min="5127" max="5127" width="3.7109375" style="3707" customWidth="1"/>
    <col min="5128" max="5128" width="11.7109375" style="3707" customWidth="1"/>
    <col min="5129" max="5129" width="11.28515625" style="3707" customWidth="1"/>
    <col min="5130" max="5130" width="1" style="3707" customWidth="1"/>
    <col min="5131" max="5131" width="13.85546875" style="3707" bestFit="1" customWidth="1"/>
    <col min="5132" max="5376" width="12.5703125" style="3707"/>
    <col min="5377" max="5378" width="3.7109375" style="3707" customWidth="1"/>
    <col min="5379" max="5379" width="28.7109375" style="3707" customWidth="1"/>
    <col min="5380" max="5380" width="22.7109375" style="3707" customWidth="1"/>
    <col min="5381" max="5381" width="3.7109375" style="3707" customWidth="1"/>
    <col min="5382" max="5382" width="11.7109375" style="3707" customWidth="1"/>
    <col min="5383" max="5383" width="3.7109375" style="3707" customWidth="1"/>
    <col min="5384" max="5384" width="11.7109375" style="3707" customWidth="1"/>
    <col min="5385" max="5385" width="11.28515625" style="3707" customWidth="1"/>
    <col min="5386" max="5386" width="1" style="3707" customWidth="1"/>
    <col min="5387" max="5387" width="13.85546875" style="3707" bestFit="1" customWidth="1"/>
    <col min="5388" max="5632" width="12.5703125" style="3707"/>
    <col min="5633" max="5634" width="3.7109375" style="3707" customWidth="1"/>
    <col min="5635" max="5635" width="28.7109375" style="3707" customWidth="1"/>
    <col min="5636" max="5636" width="22.7109375" style="3707" customWidth="1"/>
    <col min="5637" max="5637" width="3.7109375" style="3707" customWidth="1"/>
    <col min="5638" max="5638" width="11.7109375" style="3707" customWidth="1"/>
    <col min="5639" max="5639" width="3.7109375" style="3707" customWidth="1"/>
    <col min="5640" max="5640" width="11.7109375" style="3707" customWidth="1"/>
    <col min="5641" max="5641" width="11.28515625" style="3707" customWidth="1"/>
    <col min="5642" max="5642" width="1" style="3707" customWidth="1"/>
    <col min="5643" max="5643" width="13.85546875" style="3707" bestFit="1" customWidth="1"/>
    <col min="5644" max="5888" width="12.5703125" style="3707"/>
    <col min="5889" max="5890" width="3.7109375" style="3707" customWidth="1"/>
    <col min="5891" max="5891" width="28.7109375" style="3707" customWidth="1"/>
    <col min="5892" max="5892" width="22.7109375" style="3707" customWidth="1"/>
    <col min="5893" max="5893" width="3.7109375" style="3707" customWidth="1"/>
    <col min="5894" max="5894" width="11.7109375" style="3707" customWidth="1"/>
    <col min="5895" max="5895" width="3.7109375" style="3707" customWidth="1"/>
    <col min="5896" max="5896" width="11.7109375" style="3707" customWidth="1"/>
    <col min="5897" max="5897" width="11.28515625" style="3707" customWidth="1"/>
    <col min="5898" max="5898" width="1" style="3707" customWidth="1"/>
    <col min="5899" max="5899" width="13.85546875" style="3707" bestFit="1" customWidth="1"/>
    <col min="5900" max="6144" width="12.5703125" style="3707"/>
    <col min="6145" max="6146" width="3.7109375" style="3707" customWidth="1"/>
    <col min="6147" max="6147" width="28.7109375" style="3707" customWidth="1"/>
    <col min="6148" max="6148" width="22.7109375" style="3707" customWidth="1"/>
    <col min="6149" max="6149" width="3.7109375" style="3707" customWidth="1"/>
    <col min="6150" max="6150" width="11.7109375" style="3707" customWidth="1"/>
    <col min="6151" max="6151" width="3.7109375" style="3707" customWidth="1"/>
    <col min="6152" max="6152" width="11.7109375" style="3707" customWidth="1"/>
    <col min="6153" max="6153" width="11.28515625" style="3707" customWidth="1"/>
    <col min="6154" max="6154" width="1" style="3707" customWidth="1"/>
    <col min="6155" max="6155" width="13.85546875" style="3707" bestFit="1" customWidth="1"/>
    <col min="6156" max="6400" width="12.5703125" style="3707"/>
    <col min="6401" max="6402" width="3.7109375" style="3707" customWidth="1"/>
    <col min="6403" max="6403" width="28.7109375" style="3707" customWidth="1"/>
    <col min="6404" max="6404" width="22.7109375" style="3707" customWidth="1"/>
    <col min="6405" max="6405" width="3.7109375" style="3707" customWidth="1"/>
    <col min="6406" max="6406" width="11.7109375" style="3707" customWidth="1"/>
    <col min="6407" max="6407" width="3.7109375" style="3707" customWidth="1"/>
    <col min="6408" max="6408" width="11.7109375" style="3707" customWidth="1"/>
    <col min="6409" max="6409" width="11.28515625" style="3707" customWidth="1"/>
    <col min="6410" max="6410" width="1" style="3707" customWidth="1"/>
    <col min="6411" max="6411" width="13.85546875" style="3707" bestFit="1" customWidth="1"/>
    <col min="6412" max="6656" width="12.5703125" style="3707"/>
    <col min="6657" max="6658" width="3.7109375" style="3707" customWidth="1"/>
    <col min="6659" max="6659" width="28.7109375" style="3707" customWidth="1"/>
    <col min="6660" max="6660" width="22.7109375" style="3707" customWidth="1"/>
    <col min="6661" max="6661" width="3.7109375" style="3707" customWidth="1"/>
    <col min="6662" max="6662" width="11.7109375" style="3707" customWidth="1"/>
    <col min="6663" max="6663" width="3.7109375" style="3707" customWidth="1"/>
    <col min="6664" max="6664" width="11.7109375" style="3707" customWidth="1"/>
    <col min="6665" max="6665" width="11.28515625" style="3707" customWidth="1"/>
    <col min="6666" max="6666" width="1" style="3707" customWidth="1"/>
    <col min="6667" max="6667" width="13.85546875" style="3707" bestFit="1" customWidth="1"/>
    <col min="6668" max="6912" width="12.5703125" style="3707"/>
    <col min="6913" max="6914" width="3.7109375" style="3707" customWidth="1"/>
    <col min="6915" max="6915" width="28.7109375" style="3707" customWidth="1"/>
    <col min="6916" max="6916" width="22.7109375" style="3707" customWidth="1"/>
    <col min="6917" max="6917" width="3.7109375" style="3707" customWidth="1"/>
    <col min="6918" max="6918" width="11.7109375" style="3707" customWidth="1"/>
    <col min="6919" max="6919" width="3.7109375" style="3707" customWidth="1"/>
    <col min="6920" max="6920" width="11.7109375" style="3707" customWidth="1"/>
    <col min="6921" max="6921" width="11.28515625" style="3707" customWidth="1"/>
    <col min="6922" max="6922" width="1" style="3707" customWidth="1"/>
    <col min="6923" max="6923" width="13.85546875" style="3707" bestFit="1" customWidth="1"/>
    <col min="6924" max="7168" width="12.5703125" style="3707"/>
    <col min="7169" max="7170" width="3.7109375" style="3707" customWidth="1"/>
    <col min="7171" max="7171" width="28.7109375" style="3707" customWidth="1"/>
    <col min="7172" max="7172" width="22.7109375" style="3707" customWidth="1"/>
    <col min="7173" max="7173" width="3.7109375" style="3707" customWidth="1"/>
    <col min="7174" max="7174" width="11.7109375" style="3707" customWidth="1"/>
    <col min="7175" max="7175" width="3.7109375" style="3707" customWidth="1"/>
    <col min="7176" max="7176" width="11.7109375" style="3707" customWidth="1"/>
    <col min="7177" max="7177" width="11.28515625" style="3707" customWidth="1"/>
    <col min="7178" max="7178" width="1" style="3707" customWidth="1"/>
    <col min="7179" max="7179" width="13.85546875" style="3707" bestFit="1" customWidth="1"/>
    <col min="7180" max="7424" width="12.5703125" style="3707"/>
    <col min="7425" max="7426" width="3.7109375" style="3707" customWidth="1"/>
    <col min="7427" max="7427" width="28.7109375" style="3707" customWidth="1"/>
    <col min="7428" max="7428" width="22.7109375" style="3707" customWidth="1"/>
    <col min="7429" max="7429" width="3.7109375" style="3707" customWidth="1"/>
    <col min="7430" max="7430" width="11.7109375" style="3707" customWidth="1"/>
    <col min="7431" max="7431" width="3.7109375" style="3707" customWidth="1"/>
    <col min="7432" max="7432" width="11.7109375" style="3707" customWidth="1"/>
    <col min="7433" max="7433" width="11.28515625" style="3707" customWidth="1"/>
    <col min="7434" max="7434" width="1" style="3707" customWidth="1"/>
    <col min="7435" max="7435" width="13.85546875" style="3707" bestFit="1" customWidth="1"/>
    <col min="7436" max="7680" width="12.5703125" style="3707"/>
    <col min="7681" max="7682" width="3.7109375" style="3707" customWidth="1"/>
    <col min="7683" max="7683" width="28.7109375" style="3707" customWidth="1"/>
    <col min="7684" max="7684" width="22.7109375" style="3707" customWidth="1"/>
    <col min="7685" max="7685" width="3.7109375" style="3707" customWidth="1"/>
    <col min="7686" max="7686" width="11.7109375" style="3707" customWidth="1"/>
    <col min="7687" max="7687" width="3.7109375" style="3707" customWidth="1"/>
    <col min="7688" max="7688" width="11.7109375" style="3707" customWidth="1"/>
    <col min="7689" max="7689" width="11.28515625" style="3707" customWidth="1"/>
    <col min="7690" max="7690" width="1" style="3707" customWidth="1"/>
    <col min="7691" max="7691" width="13.85546875" style="3707" bestFit="1" customWidth="1"/>
    <col min="7692" max="7936" width="12.5703125" style="3707"/>
    <col min="7937" max="7938" width="3.7109375" style="3707" customWidth="1"/>
    <col min="7939" max="7939" width="28.7109375" style="3707" customWidth="1"/>
    <col min="7940" max="7940" width="22.7109375" style="3707" customWidth="1"/>
    <col min="7941" max="7941" width="3.7109375" style="3707" customWidth="1"/>
    <col min="7942" max="7942" width="11.7109375" style="3707" customWidth="1"/>
    <col min="7943" max="7943" width="3.7109375" style="3707" customWidth="1"/>
    <col min="7944" max="7944" width="11.7109375" style="3707" customWidth="1"/>
    <col min="7945" max="7945" width="11.28515625" style="3707" customWidth="1"/>
    <col min="7946" max="7946" width="1" style="3707" customWidth="1"/>
    <col min="7947" max="7947" width="13.85546875" style="3707" bestFit="1" customWidth="1"/>
    <col min="7948" max="8192" width="12.5703125" style="3707"/>
    <col min="8193" max="8194" width="3.7109375" style="3707" customWidth="1"/>
    <col min="8195" max="8195" width="28.7109375" style="3707" customWidth="1"/>
    <col min="8196" max="8196" width="22.7109375" style="3707" customWidth="1"/>
    <col min="8197" max="8197" width="3.7109375" style="3707" customWidth="1"/>
    <col min="8198" max="8198" width="11.7109375" style="3707" customWidth="1"/>
    <col min="8199" max="8199" width="3.7109375" style="3707" customWidth="1"/>
    <col min="8200" max="8200" width="11.7109375" style="3707" customWidth="1"/>
    <col min="8201" max="8201" width="11.28515625" style="3707" customWidth="1"/>
    <col min="8202" max="8202" width="1" style="3707" customWidth="1"/>
    <col min="8203" max="8203" width="13.85546875" style="3707" bestFit="1" customWidth="1"/>
    <col min="8204" max="8448" width="12.5703125" style="3707"/>
    <col min="8449" max="8450" width="3.7109375" style="3707" customWidth="1"/>
    <col min="8451" max="8451" width="28.7109375" style="3707" customWidth="1"/>
    <col min="8452" max="8452" width="22.7109375" style="3707" customWidth="1"/>
    <col min="8453" max="8453" width="3.7109375" style="3707" customWidth="1"/>
    <col min="8454" max="8454" width="11.7109375" style="3707" customWidth="1"/>
    <col min="8455" max="8455" width="3.7109375" style="3707" customWidth="1"/>
    <col min="8456" max="8456" width="11.7109375" style="3707" customWidth="1"/>
    <col min="8457" max="8457" width="11.28515625" style="3707" customWidth="1"/>
    <col min="8458" max="8458" width="1" style="3707" customWidth="1"/>
    <col min="8459" max="8459" width="13.85546875" style="3707" bestFit="1" customWidth="1"/>
    <col min="8460" max="8704" width="12.5703125" style="3707"/>
    <col min="8705" max="8706" width="3.7109375" style="3707" customWidth="1"/>
    <col min="8707" max="8707" width="28.7109375" style="3707" customWidth="1"/>
    <col min="8708" max="8708" width="22.7109375" style="3707" customWidth="1"/>
    <col min="8709" max="8709" width="3.7109375" style="3707" customWidth="1"/>
    <col min="8710" max="8710" width="11.7109375" style="3707" customWidth="1"/>
    <col min="8711" max="8711" width="3.7109375" style="3707" customWidth="1"/>
    <col min="8712" max="8712" width="11.7109375" style="3707" customWidth="1"/>
    <col min="8713" max="8713" width="11.28515625" style="3707" customWidth="1"/>
    <col min="8714" max="8714" width="1" style="3707" customWidth="1"/>
    <col min="8715" max="8715" width="13.85546875" style="3707" bestFit="1" customWidth="1"/>
    <col min="8716" max="8960" width="12.5703125" style="3707"/>
    <col min="8961" max="8962" width="3.7109375" style="3707" customWidth="1"/>
    <col min="8963" max="8963" width="28.7109375" style="3707" customWidth="1"/>
    <col min="8964" max="8964" width="22.7109375" style="3707" customWidth="1"/>
    <col min="8965" max="8965" width="3.7109375" style="3707" customWidth="1"/>
    <col min="8966" max="8966" width="11.7109375" style="3707" customWidth="1"/>
    <col min="8967" max="8967" width="3.7109375" style="3707" customWidth="1"/>
    <col min="8968" max="8968" width="11.7109375" style="3707" customWidth="1"/>
    <col min="8969" max="8969" width="11.28515625" style="3707" customWidth="1"/>
    <col min="8970" max="8970" width="1" style="3707" customWidth="1"/>
    <col min="8971" max="8971" width="13.85546875" style="3707" bestFit="1" customWidth="1"/>
    <col min="8972" max="9216" width="12.5703125" style="3707"/>
    <col min="9217" max="9218" width="3.7109375" style="3707" customWidth="1"/>
    <col min="9219" max="9219" width="28.7109375" style="3707" customWidth="1"/>
    <col min="9220" max="9220" width="22.7109375" style="3707" customWidth="1"/>
    <col min="9221" max="9221" width="3.7109375" style="3707" customWidth="1"/>
    <col min="9222" max="9222" width="11.7109375" style="3707" customWidth="1"/>
    <col min="9223" max="9223" width="3.7109375" style="3707" customWidth="1"/>
    <col min="9224" max="9224" width="11.7109375" style="3707" customWidth="1"/>
    <col min="9225" max="9225" width="11.28515625" style="3707" customWidth="1"/>
    <col min="9226" max="9226" width="1" style="3707" customWidth="1"/>
    <col min="9227" max="9227" width="13.85546875" style="3707" bestFit="1" customWidth="1"/>
    <col min="9228" max="9472" width="12.5703125" style="3707"/>
    <col min="9473" max="9474" width="3.7109375" style="3707" customWidth="1"/>
    <col min="9475" max="9475" width="28.7109375" style="3707" customWidth="1"/>
    <col min="9476" max="9476" width="22.7109375" style="3707" customWidth="1"/>
    <col min="9477" max="9477" width="3.7109375" style="3707" customWidth="1"/>
    <col min="9478" max="9478" width="11.7109375" style="3707" customWidth="1"/>
    <col min="9479" max="9479" width="3.7109375" style="3707" customWidth="1"/>
    <col min="9480" max="9480" width="11.7109375" style="3707" customWidth="1"/>
    <col min="9481" max="9481" width="11.28515625" style="3707" customWidth="1"/>
    <col min="9482" max="9482" width="1" style="3707" customWidth="1"/>
    <col min="9483" max="9483" width="13.85546875" style="3707" bestFit="1" customWidth="1"/>
    <col min="9484" max="9728" width="12.5703125" style="3707"/>
    <col min="9729" max="9730" width="3.7109375" style="3707" customWidth="1"/>
    <col min="9731" max="9731" width="28.7109375" style="3707" customWidth="1"/>
    <col min="9732" max="9732" width="22.7109375" style="3707" customWidth="1"/>
    <col min="9733" max="9733" width="3.7109375" style="3707" customWidth="1"/>
    <col min="9734" max="9734" width="11.7109375" style="3707" customWidth="1"/>
    <col min="9735" max="9735" width="3.7109375" style="3707" customWidth="1"/>
    <col min="9736" max="9736" width="11.7109375" style="3707" customWidth="1"/>
    <col min="9737" max="9737" width="11.28515625" style="3707" customWidth="1"/>
    <col min="9738" max="9738" width="1" style="3707" customWidth="1"/>
    <col min="9739" max="9739" width="13.85546875" style="3707" bestFit="1" customWidth="1"/>
    <col min="9740" max="9984" width="12.5703125" style="3707"/>
    <col min="9985" max="9986" width="3.7109375" style="3707" customWidth="1"/>
    <col min="9987" max="9987" width="28.7109375" style="3707" customWidth="1"/>
    <col min="9988" max="9988" width="22.7109375" style="3707" customWidth="1"/>
    <col min="9989" max="9989" width="3.7109375" style="3707" customWidth="1"/>
    <col min="9990" max="9990" width="11.7109375" style="3707" customWidth="1"/>
    <col min="9991" max="9991" width="3.7109375" style="3707" customWidth="1"/>
    <col min="9992" max="9992" width="11.7109375" style="3707" customWidth="1"/>
    <col min="9993" max="9993" width="11.28515625" style="3707" customWidth="1"/>
    <col min="9994" max="9994" width="1" style="3707" customWidth="1"/>
    <col min="9995" max="9995" width="13.85546875" style="3707" bestFit="1" customWidth="1"/>
    <col min="9996" max="10240" width="12.5703125" style="3707"/>
    <col min="10241" max="10242" width="3.7109375" style="3707" customWidth="1"/>
    <col min="10243" max="10243" width="28.7109375" style="3707" customWidth="1"/>
    <col min="10244" max="10244" width="22.7109375" style="3707" customWidth="1"/>
    <col min="10245" max="10245" width="3.7109375" style="3707" customWidth="1"/>
    <col min="10246" max="10246" width="11.7109375" style="3707" customWidth="1"/>
    <col min="10247" max="10247" width="3.7109375" style="3707" customWidth="1"/>
    <col min="10248" max="10248" width="11.7109375" style="3707" customWidth="1"/>
    <col min="10249" max="10249" width="11.28515625" style="3707" customWidth="1"/>
    <col min="10250" max="10250" width="1" style="3707" customWidth="1"/>
    <col min="10251" max="10251" width="13.85546875" style="3707" bestFit="1" customWidth="1"/>
    <col min="10252" max="10496" width="12.5703125" style="3707"/>
    <col min="10497" max="10498" width="3.7109375" style="3707" customWidth="1"/>
    <col min="10499" max="10499" width="28.7109375" style="3707" customWidth="1"/>
    <col min="10500" max="10500" width="22.7109375" style="3707" customWidth="1"/>
    <col min="10501" max="10501" width="3.7109375" style="3707" customWidth="1"/>
    <col min="10502" max="10502" width="11.7109375" style="3707" customWidth="1"/>
    <col min="10503" max="10503" width="3.7109375" style="3707" customWidth="1"/>
    <col min="10504" max="10504" width="11.7109375" style="3707" customWidth="1"/>
    <col min="10505" max="10505" width="11.28515625" style="3707" customWidth="1"/>
    <col min="10506" max="10506" width="1" style="3707" customWidth="1"/>
    <col min="10507" max="10507" width="13.85546875" style="3707" bestFit="1" customWidth="1"/>
    <col min="10508" max="10752" width="12.5703125" style="3707"/>
    <col min="10753" max="10754" width="3.7109375" style="3707" customWidth="1"/>
    <col min="10755" max="10755" width="28.7109375" style="3707" customWidth="1"/>
    <col min="10756" max="10756" width="22.7109375" style="3707" customWidth="1"/>
    <col min="10757" max="10757" width="3.7109375" style="3707" customWidth="1"/>
    <col min="10758" max="10758" width="11.7109375" style="3707" customWidth="1"/>
    <col min="10759" max="10759" width="3.7109375" style="3707" customWidth="1"/>
    <col min="10760" max="10760" width="11.7109375" style="3707" customWidth="1"/>
    <col min="10761" max="10761" width="11.28515625" style="3707" customWidth="1"/>
    <col min="10762" max="10762" width="1" style="3707" customWidth="1"/>
    <col min="10763" max="10763" width="13.85546875" style="3707" bestFit="1" customWidth="1"/>
    <col min="10764" max="11008" width="12.5703125" style="3707"/>
    <col min="11009" max="11010" width="3.7109375" style="3707" customWidth="1"/>
    <col min="11011" max="11011" width="28.7109375" style="3707" customWidth="1"/>
    <col min="11012" max="11012" width="22.7109375" style="3707" customWidth="1"/>
    <col min="11013" max="11013" width="3.7109375" style="3707" customWidth="1"/>
    <col min="11014" max="11014" width="11.7109375" style="3707" customWidth="1"/>
    <col min="11015" max="11015" width="3.7109375" style="3707" customWidth="1"/>
    <col min="11016" max="11016" width="11.7109375" style="3707" customWidth="1"/>
    <col min="11017" max="11017" width="11.28515625" style="3707" customWidth="1"/>
    <col min="11018" max="11018" width="1" style="3707" customWidth="1"/>
    <col min="11019" max="11019" width="13.85546875" style="3707" bestFit="1" customWidth="1"/>
    <col min="11020" max="11264" width="12.5703125" style="3707"/>
    <col min="11265" max="11266" width="3.7109375" style="3707" customWidth="1"/>
    <col min="11267" max="11267" width="28.7109375" style="3707" customWidth="1"/>
    <col min="11268" max="11268" width="22.7109375" style="3707" customWidth="1"/>
    <col min="11269" max="11269" width="3.7109375" style="3707" customWidth="1"/>
    <col min="11270" max="11270" width="11.7109375" style="3707" customWidth="1"/>
    <col min="11271" max="11271" width="3.7109375" style="3707" customWidth="1"/>
    <col min="11272" max="11272" width="11.7109375" style="3707" customWidth="1"/>
    <col min="11273" max="11273" width="11.28515625" style="3707" customWidth="1"/>
    <col min="11274" max="11274" width="1" style="3707" customWidth="1"/>
    <col min="11275" max="11275" width="13.85546875" style="3707" bestFit="1" customWidth="1"/>
    <col min="11276" max="11520" width="12.5703125" style="3707"/>
    <col min="11521" max="11522" width="3.7109375" style="3707" customWidth="1"/>
    <col min="11523" max="11523" width="28.7109375" style="3707" customWidth="1"/>
    <col min="11524" max="11524" width="22.7109375" style="3707" customWidth="1"/>
    <col min="11525" max="11525" width="3.7109375" style="3707" customWidth="1"/>
    <col min="11526" max="11526" width="11.7109375" style="3707" customWidth="1"/>
    <col min="11527" max="11527" width="3.7109375" style="3707" customWidth="1"/>
    <col min="11528" max="11528" width="11.7109375" style="3707" customWidth="1"/>
    <col min="11529" max="11529" width="11.28515625" style="3707" customWidth="1"/>
    <col min="11530" max="11530" width="1" style="3707" customWidth="1"/>
    <col min="11531" max="11531" width="13.85546875" style="3707" bestFit="1" customWidth="1"/>
    <col min="11532" max="11776" width="12.5703125" style="3707"/>
    <col min="11777" max="11778" width="3.7109375" style="3707" customWidth="1"/>
    <col min="11779" max="11779" width="28.7109375" style="3707" customWidth="1"/>
    <col min="11780" max="11780" width="22.7109375" style="3707" customWidth="1"/>
    <col min="11781" max="11781" width="3.7109375" style="3707" customWidth="1"/>
    <col min="11782" max="11782" width="11.7109375" style="3707" customWidth="1"/>
    <col min="11783" max="11783" width="3.7109375" style="3707" customWidth="1"/>
    <col min="11784" max="11784" width="11.7109375" style="3707" customWidth="1"/>
    <col min="11785" max="11785" width="11.28515625" style="3707" customWidth="1"/>
    <col min="11786" max="11786" width="1" style="3707" customWidth="1"/>
    <col min="11787" max="11787" width="13.85546875" style="3707" bestFit="1" customWidth="1"/>
    <col min="11788" max="12032" width="12.5703125" style="3707"/>
    <col min="12033" max="12034" width="3.7109375" style="3707" customWidth="1"/>
    <col min="12035" max="12035" width="28.7109375" style="3707" customWidth="1"/>
    <col min="12036" max="12036" width="22.7109375" style="3707" customWidth="1"/>
    <col min="12037" max="12037" width="3.7109375" style="3707" customWidth="1"/>
    <col min="12038" max="12038" width="11.7109375" style="3707" customWidth="1"/>
    <col min="12039" max="12039" width="3.7109375" style="3707" customWidth="1"/>
    <col min="12040" max="12040" width="11.7109375" style="3707" customWidth="1"/>
    <col min="12041" max="12041" width="11.28515625" style="3707" customWidth="1"/>
    <col min="12042" max="12042" width="1" style="3707" customWidth="1"/>
    <col min="12043" max="12043" width="13.85546875" style="3707" bestFit="1" customWidth="1"/>
    <col min="12044" max="12288" width="12.5703125" style="3707"/>
    <col min="12289" max="12290" width="3.7109375" style="3707" customWidth="1"/>
    <col min="12291" max="12291" width="28.7109375" style="3707" customWidth="1"/>
    <col min="12292" max="12292" width="22.7109375" style="3707" customWidth="1"/>
    <col min="12293" max="12293" width="3.7109375" style="3707" customWidth="1"/>
    <col min="12294" max="12294" width="11.7109375" style="3707" customWidth="1"/>
    <col min="12295" max="12295" width="3.7109375" style="3707" customWidth="1"/>
    <col min="12296" max="12296" width="11.7109375" style="3707" customWidth="1"/>
    <col min="12297" max="12297" width="11.28515625" style="3707" customWidth="1"/>
    <col min="12298" max="12298" width="1" style="3707" customWidth="1"/>
    <col min="12299" max="12299" width="13.85546875" style="3707" bestFit="1" customWidth="1"/>
    <col min="12300" max="12544" width="12.5703125" style="3707"/>
    <col min="12545" max="12546" width="3.7109375" style="3707" customWidth="1"/>
    <col min="12547" max="12547" width="28.7109375" style="3707" customWidth="1"/>
    <col min="12548" max="12548" width="22.7109375" style="3707" customWidth="1"/>
    <col min="12549" max="12549" width="3.7109375" style="3707" customWidth="1"/>
    <col min="12550" max="12550" width="11.7109375" style="3707" customWidth="1"/>
    <col min="12551" max="12551" width="3.7109375" style="3707" customWidth="1"/>
    <col min="12552" max="12552" width="11.7109375" style="3707" customWidth="1"/>
    <col min="12553" max="12553" width="11.28515625" style="3707" customWidth="1"/>
    <col min="12554" max="12554" width="1" style="3707" customWidth="1"/>
    <col min="12555" max="12555" width="13.85546875" style="3707" bestFit="1" customWidth="1"/>
    <col min="12556" max="12800" width="12.5703125" style="3707"/>
    <col min="12801" max="12802" width="3.7109375" style="3707" customWidth="1"/>
    <col min="12803" max="12803" width="28.7109375" style="3707" customWidth="1"/>
    <col min="12804" max="12804" width="22.7109375" style="3707" customWidth="1"/>
    <col min="12805" max="12805" width="3.7109375" style="3707" customWidth="1"/>
    <col min="12806" max="12806" width="11.7109375" style="3707" customWidth="1"/>
    <col min="12807" max="12807" width="3.7109375" style="3707" customWidth="1"/>
    <col min="12808" max="12808" width="11.7109375" style="3707" customWidth="1"/>
    <col min="12809" max="12809" width="11.28515625" style="3707" customWidth="1"/>
    <col min="12810" max="12810" width="1" style="3707" customWidth="1"/>
    <col min="12811" max="12811" width="13.85546875" style="3707" bestFit="1" customWidth="1"/>
    <col min="12812" max="13056" width="12.5703125" style="3707"/>
    <col min="13057" max="13058" width="3.7109375" style="3707" customWidth="1"/>
    <col min="13059" max="13059" width="28.7109375" style="3707" customWidth="1"/>
    <col min="13060" max="13060" width="22.7109375" style="3707" customWidth="1"/>
    <col min="13061" max="13061" width="3.7109375" style="3707" customWidth="1"/>
    <col min="13062" max="13062" width="11.7109375" style="3707" customWidth="1"/>
    <col min="13063" max="13063" width="3.7109375" style="3707" customWidth="1"/>
    <col min="13064" max="13064" width="11.7109375" style="3707" customWidth="1"/>
    <col min="13065" max="13065" width="11.28515625" style="3707" customWidth="1"/>
    <col min="13066" max="13066" width="1" style="3707" customWidth="1"/>
    <col min="13067" max="13067" width="13.85546875" style="3707" bestFit="1" customWidth="1"/>
    <col min="13068" max="13312" width="12.5703125" style="3707"/>
    <col min="13313" max="13314" width="3.7109375" style="3707" customWidth="1"/>
    <col min="13315" max="13315" width="28.7109375" style="3707" customWidth="1"/>
    <col min="13316" max="13316" width="22.7109375" style="3707" customWidth="1"/>
    <col min="13317" max="13317" width="3.7109375" style="3707" customWidth="1"/>
    <col min="13318" max="13318" width="11.7109375" style="3707" customWidth="1"/>
    <col min="13319" max="13319" width="3.7109375" style="3707" customWidth="1"/>
    <col min="13320" max="13320" width="11.7109375" style="3707" customWidth="1"/>
    <col min="13321" max="13321" width="11.28515625" style="3707" customWidth="1"/>
    <col min="13322" max="13322" width="1" style="3707" customWidth="1"/>
    <col min="13323" max="13323" width="13.85546875" style="3707" bestFit="1" customWidth="1"/>
    <col min="13324" max="13568" width="12.5703125" style="3707"/>
    <col min="13569" max="13570" width="3.7109375" style="3707" customWidth="1"/>
    <col min="13571" max="13571" width="28.7109375" style="3707" customWidth="1"/>
    <col min="13572" max="13572" width="22.7109375" style="3707" customWidth="1"/>
    <col min="13573" max="13573" width="3.7109375" style="3707" customWidth="1"/>
    <col min="13574" max="13574" width="11.7109375" style="3707" customWidth="1"/>
    <col min="13575" max="13575" width="3.7109375" style="3707" customWidth="1"/>
    <col min="13576" max="13576" width="11.7109375" style="3707" customWidth="1"/>
    <col min="13577" max="13577" width="11.28515625" style="3707" customWidth="1"/>
    <col min="13578" max="13578" width="1" style="3707" customWidth="1"/>
    <col min="13579" max="13579" width="13.85546875" style="3707" bestFit="1" customWidth="1"/>
    <col min="13580" max="13824" width="12.5703125" style="3707"/>
    <col min="13825" max="13826" width="3.7109375" style="3707" customWidth="1"/>
    <col min="13827" max="13827" width="28.7109375" style="3707" customWidth="1"/>
    <col min="13828" max="13828" width="22.7109375" style="3707" customWidth="1"/>
    <col min="13829" max="13829" width="3.7109375" style="3707" customWidth="1"/>
    <col min="13830" max="13830" width="11.7109375" style="3707" customWidth="1"/>
    <col min="13831" max="13831" width="3.7109375" style="3707" customWidth="1"/>
    <col min="13832" max="13832" width="11.7109375" style="3707" customWidth="1"/>
    <col min="13833" max="13833" width="11.28515625" style="3707" customWidth="1"/>
    <col min="13834" max="13834" width="1" style="3707" customWidth="1"/>
    <col min="13835" max="13835" width="13.85546875" style="3707" bestFit="1" customWidth="1"/>
    <col min="13836" max="14080" width="12.5703125" style="3707"/>
    <col min="14081" max="14082" width="3.7109375" style="3707" customWidth="1"/>
    <col min="14083" max="14083" width="28.7109375" style="3707" customWidth="1"/>
    <col min="14084" max="14084" width="22.7109375" style="3707" customWidth="1"/>
    <col min="14085" max="14085" width="3.7109375" style="3707" customWidth="1"/>
    <col min="14086" max="14086" width="11.7109375" style="3707" customWidth="1"/>
    <col min="14087" max="14087" width="3.7109375" style="3707" customWidth="1"/>
    <col min="14088" max="14088" width="11.7109375" style="3707" customWidth="1"/>
    <col min="14089" max="14089" width="11.28515625" style="3707" customWidth="1"/>
    <col min="14090" max="14090" width="1" style="3707" customWidth="1"/>
    <col min="14091" max="14091" width="13.85546875" style="3707" bestFit="1" customWidth="1"/>
    <col min="14092" max="14336" width="12.5703125" style="3707"/>
    <col min="14337" max="14338" width="3.7109375" style="3707" customWidth="1"/>
    <col min="14339" max="14339" width="28.7109375" style="3707" customWidth="1"/>
    <col min="14340" max="14340" width="22.7109375" style="3707" customWidth="1"/>
    <col min="14341" max="14341" width="3.7109375" style="3707" customWidth="1"/>
    <col min="14342" max="14342" width="11.7109375" style="3707" customWidth="1"/>
    <col min="14343" max="14343" width="3.7109375" style="3707" customWidth="1"/>
    <col min="14344" max="14344" width="11.7109375" style="3707" customWidth="1"/>
    <col min="14345" max="14345" width="11.28515625" style="3707" customWidth="1"/>
    <col min="14346" max="14346" width="1" style="3707" customWidth="1"/>
    <col min="14347" max="14347" width="13.85546875" style="3707" bestFit="1" customWidth="1"/>
    <col min="14348" max="14592" width="12.5703125" style="3707"/>
    <col min="14593" max="14594" width="3.7109375" style="3707" customWidth="1"/>
    <col min="14595" max="14595" width="28.7109375" style="3707" customWidth="1"/>
    <col min="14596" max="14596" width="22.7109375" style="3707" customWidth="1"/>
    <col min="14597" max="14597" width="3.7109375" style="3707" customWidth="1"/>
    <col min="14598" max="14598" width="11.7109375" style="3707" customWidth="1"/>
    <col min="14599" max="14599" width="3.7109375" style="3707" customWidth="1"/>
    <col min="14600" max="14600" width="11.7109375" style="3707" customWidth="1"/>
    <col min="14601" max="14601" width="11.28515625" style="3707" customWidth="1"/>
    <col min="14602" max="14602" width="1" style="3707" customWidth="1"/>
    <col min="14603" max="14603" width="13.85546875" style="3707" bestFit="1" customWidth="1"/>
    <col min="14604" max="14848" width="12.5703125" style="3707"/>
    <col min="14849" max="14850" width="3.7109375" style="3707" customWidth="1"/>
    <col min="14851" max="14851" width="28.7109375" style="3707" customWidth="1"/>
    <col min="14852" max="14852" width="22.7109375" style="3707" customWidth="1"/>
    <col min="14853" max="14853" width="3.7109375" style="3707" customWidth="1"/>
    <col min="14854" max="14854" width="11.7109375" style="3707" customWidth="1"/>
    <col min="14855" max="14855" width="3.7109375" style="3707" customWidth="1"/>
    <col min="14856" max="14856" width="11.7109375" style="3707" customWidth="1"/>
    <col min="14857" max="14857" width="11.28515625" style="3707" customWidth="1"/>
    <col min="14858" max="14858" width="1" style="3707" customWidth="1"/>
    <col min="14859" max="14859" width="13.85546875" style="3707" bestFit="1" customWidth="1"/>
    <col min="14860" max="15104" width="12.5703125" style="3707"/>
    <col min="15105" max="15106" width="3.7109375" style="3707" customWidth="1"/>
    <col min="15107" max="15107" width="28.7109375" style="3707" customWidth="1"/>
    <col min="15108" max="15108" width="22.7109375" style="3707" customWidth="1"/>
    <col min="15109" max="15109" width="3.7109375" style="3707" customWidth="1"/>
    <col min="15110" max="15110" width="11.7109375" style="3707" customWidth="1"/>
    <col min="15111" max="15111" width="3.7109375" style="3707" customWidth="1"/>
    <col min="15112" max="15112" width="11.7109375" style="3707" customWidth="1"/>
    <col min="15113" max="15113" width="11.28515625" style="3707" customWidth="1"/>
    <col min="15114" max="15114" width="1" style="3707" customWidth="1"/>
    <col min="15115" max="15115" width="13.85546875" style="3707" bestFit="1" customWidth="1"/>
    <col min="15116" max="15360" width="12.5703125" style="3707"/>
    <col min="15361" max="15362" width="3.7109375" style="3707" customWidth="1"/>
    <col min="15363" max="15363" width="28.7109375" style="3707" customWidth="1"/>
    <col min="15364" max="15364" width="22.7109375" style="3707" customWidth="1"/>
    <col min="15365" max="15365" width="3.7109375" style="3707" customWidth="1"/>
    <col min="15366" max="15366" width="11.7109375" style="3707" customWidth="1"/>
    <col min="15367" max="15367" width="3.7109375" style="3707" customWidth="1"/>
    <col min="15368" max="15368" width="11.7109375" style="3707" customWidth="1"/>
    <col min="15369" max="15369" width="11.28515625" style="3707" customWidth="1"/>
    <col min="15370" max="15370" width="1" style="3707" customWidth="1"/>
    <col min="15371" max="15371" width="13.85546875" style="3707" bestFit="1" customWidth="1"/>
    <col min="15372" max="15616" width="12.5703125" style="3707"/>
    <col min="15617" max="15618" width="3.7109375" style="3707" customWidth="1"/>
    <col min="15619" max="15619" width="28.7109375" style="3707" customWidth="1"/>
    <col min="15620" max="15620" width="22.7109375" style="3707" customWidth="1"/>
    <col min="15621" max="15621" width="3.7109375" style="3707" customWidth="1"/>
    <col min="15622" max="15622" width="11.7109375" style="3707" customWidth="1"/>
    <col min="15623" max="15623" width="3.7109375" style="3707" customWidth="1"/>
    <col min="15624" max="15624" width="11.7109375" style="3707" customWidth="1"/>
    <col min="15625" max="15625" width="11.28515625" style="3707" customWidth="1"/>
    <col min="15626" max="15626" width="1" style="3707" customWidth="1"/>
    <col min="15627" max="15627" width="13.85546875" style="3707" bestFit="1" customWidth="1"/>
    <col min="15628" max="15872" width="12.5703125" style="3707"/>
    <col min="15873" max="15874" width="3.7109375" style="3707" customWidth="1"/>
    <col min="15875" max="15875" width="28.7109375" style="3707" customWidth="1"/>
    <col min="15876" max="15876" width="22.7109375" style="3707" customWidth="1"/>
    <col min="15877" max="15877" width="3.7109375" style="3707" customWidth="1"/>
    <col min="15878" max="15878" width="11.7109375" style="3707" customWidth="1"/>
    <col min="15879" max="15879" width="3.7109375" style="3707" customWidth="1"/>
    <col min="15880" max="15880" width="11.7109375" style="3707" customWidth="1"/>
    <col min="15881" max="15881" width="11.28515625" style="3707" customWidth="1"/>
    <col min="15882" max="15882" width="1" style="3707" customWidth="1"/>
    <col min="15883" max="15883" width="13.85546875" style="3707" bestFit="1" customWidth="1"/>
    <col min="15884" max="16128" width="12.5703125" style="3707"/>
    <col min="16129" max="16130" width="3.7109375" style="3707" customWidth="1"/>
    <col min="16131" max="16131" width="28.7109375" style="3707" customWidth="1"/>
    <col min="16132" max="16132" width="22.7109375" style="3707" customWidth="1"/>
    <col min="16133" max="16133" width="3.7109375" style="3707" customWidth="1"/>
    <col min="16134" max="16134" width="11.7109375" style="3707" customWidth="1"/>
    <col min="16135" max="16135" width="3.7109375" style="3707" customWidth="1"/>
    <col min="16136" max="16136" width="11.7109375" style="3707" customWidth="1"/>
    <col min="16137" max="16137" width="11.28515625" style="3707" customWidth="1"/>
    <col min="16138" max="16138" width="1" style="3707" customWidth="1"/>
    <col min="16139" max="16139" width="13.85546875" style="3707" bestFit="1" customWidth="1"/>
    <col min="16140" max="16384" width="12.5703125" style="3707"/>
  </cols>
  <sheetData>
    <row r="1" spans="1:11" s="3741" customFormat="1" ht="15" customHeight="1">
      <c r="A1" s="3808"/>
      <c r="B1" s="3818" t="s">
        <v>2457</v>
      </c>
      <c r="C1" s="3817"/>
      <c r="D1" s="3808"/>
      <c r="E1" s="3338"/>
      <c r="H1" s="3589"/>
      <c r="I1" s="3589"/>
    </row>
    <row r="2" spans="1:11" s="3741" customFormat="1" ht="15" customHeight="1">
      <c r="A2" s="3808"/>
      <c r="B2" s="3816" t="s">
        <v>2781</v>
      </c>
      <c r="C2" s="3815"/>
      <c r="D2" s="3808"/>
      <c r="E2" s="3338"/>
      <c r="F2" s="3814" t="s">
        <v>2780</v>
      </c>
      <c r="H2" s="3590"/>
      <c r="I2" s="3589"/>
    </row>
    <row r="3" spans="1:11" s="3741" customFormat="1" ht="15" customHeight="1">
      <c r="A3" s="4951" t="s">
        <v>353</v>
      </c>
      <c r="B3" s="4951"/>
      <c r="C3" s="4951"/>
      <c r="D3" s="4951"/>
      <c r="E3" s="4951"/>
      <c r="F3" s="4951"/>
      <c r="G3" s="4951"/>
      <c r="H3" s="4951"/>
      <c r="I3" s="4951"/>
      <c r="J3" s="3813"/>
      <c r="K3" s="3808"/>
    </row>
    <row r="4" spans="1:11" s="3741" customFormat="1" ht="15" customHeight="1">
      <c r="A4" s="4952" t="s">
        <v>2676</v>
      </c>
      <c r="B4" s="4952"/>
      <c r="C4" s="4952"/>
      <c r="D4" s="4952"/>
      <c r="E4" s="4952"/>
      <c r="F4" s="4952"/>
      <c r="G4" s="4952"/>
      <c r="H4" s="4952"/>
      <c r="I4" s="4952"/>
      <c r="J4" s="3813"/>
      <c r="K4" s="3808"/>
    </row>
    <row r="5" spans="1:11" s="3741" customFormat="1" ht="15" customHeight="1">
      <c r="A5" s="4953" t="s">
        <v>2675</v>
      </c>
      <c r="B5" s="4953"/>
      <c r="C5" s="4953"/>
      <c r="D5" s="4953"/>
      <c r="E5" s="4953"/>
      <c r="F5" s="4953"/>
      <c r="G5" s="4953"/>
      <c r="H5" s="4953"/>
      <c r="I5" s="4953"/>
      <c r="J5" s="3812"/>
      <c r="K5" s="3808"/>
    </row>
    <row r="6" spans="1:11" s="3741" customFormat="1" ht="15" customHeight="1">
      <c r="A6" s="3585" t="s">
        <v>624</v>
      </c>
      <c r="B6" s="3811"/>
      <c r="C6" s="3810" t="s">
        <v>2779</v>
      </c>
      <c r="G6" s="3809"/>
      <c r="H6" s="3808"/>
      <c r="I6" s="3808"/>
      <c r="J6" s="3808"/>
    </row>
    <row r="7" spans="1:11" s="3741" customFormat="1" ht="15" customHeight="1">
      <c r="A7" s="3585"/>
      <c r="B7" s="3811"/>
      <c r="C7" s="3810"/>
      <c r="G7" s="3809"/>
      <c r="H7" s="3808"/>
      <c r="I7" s="3808"/>
      <c r="J7" s="3808"/>
    </row>
    <row r="8" spans="1:11" s="3741" customFormat="1" ht="15" customHeight="1">
      <c r="A8" s="3441"/>
      <c r="B8" s="3807"/>
      <c r="C8" s="3387"/>
      <c r="D8" s="3441"/>
      <c r="E8" s="4954" t="s">
        <v>348</v>
      </c>
      <c r="F8" s="4955"/>
      <c r="G8" s="4954" t="s">
        <v>2455</v>
      </c>
      <c r="H8" s="4955"/>
      <c r="I8" s="3440"/>
      <c r="J8" s="3742"/>
    </row>
    <row r="9" spans="1:11" s="3741" customFormat="1" ht="15" customHeight="1">
      <c r="A9" s="3439"/>
      <c r="B9" s="3806"/>
      <c r="C9" s="3406"/>
      <c r="D9" s="3257"/>
      <c r="E9" s="4956" t="s">
        <v>346</v>
      </c>
      <c r="F9" s="4957"/>
      <c r="G9" s="4956" t="s">
        <v>345</v>
      </c>
      <c r="H9" s="4957"/>
      <c r="I9" s="3434"/>
      <c r="J9" s="3742"/>
    </row>
    <row r="10" spans="1:11" s="3741" customFormat="1" ht="15" customHeight="1">
      <c r="A10" s="4956" t="s">
        <v>2454</v>
      </c>
      <c r="B10" s="4957"/>
      <c r="C10" s="3434" t="s">
        <v>342</v>
      </c>
      <c r="D10" s="3433" t="s">
        <v>341</v>
      </c>
      <c r="E10" s="4958" t="s">
        <v>2453</v>
      </c>
      <c r="F10" s="4958"/>
      <c r="G10" s="4958" t="s">
        <v>2453</v>
      </c>
      <c r="H10" s="4958"/>
      <c r="I10" s="3434" t="s">
        <v>340</v>
      </c>
      <c r="J10" s="3742"/>
    </row>
    <row r="11" spans="1:11" s="3741" customFormat="1" ht="15" customHeight="1">
      <c r="A11" s="4956" t="s">
        <v>2452</v>
      </c>
      <c r="B11" s="4957"/>
      <c r="C11" s="3434"/>
      <c r="D11" s="3433"/>
      <c r="E11" s="3434" t="s">
        <v>339</v>
      </c>
      <c r="F11" s="3256"/>
      <c r="G11" s="3434" t="s">
        <v>339</v>
      </c>
      <c r="H11" s="3256"/>
      <c r="I11" s="3432" t="s">
        <v>335</v>
      </c>
      <c r="J11" s="3742"/>
    </row>
    <row r="12" spans="1:11" s="3741" customFormat="1" ht="15" customHeight="1">
      <c r="A12" s="3437" t="s">
        <v>337</v>
      </c>
      <c r="B12" s="3436" t="s">
        <v>336</v>
      </c>
      <c r="C12" s="3435"/>
      <c r="D12" s="3435"/>
      <c r="E12" s="3434" t="s">
        <v>334</v>
      </c>
      <c r="F12" s="3433" t="s">
        <v>333</v>
      </c>
      <c r="G12" s="3434" t="s">
        <v>334</v>
      </c>
      <c r="H12" s="3433" t="s">
        <v>333</v>
      </c>
      <c r="I12" s="3432"/>
      <c r="J12" s="3805"/>
    </row>
    <row r="13" spans="1:11" s="3741" customFormat="1" ht="15" customHeight="1">
      <c r="A13" s="3431" t="s">
        <v>331</v>
      </c>
      <c r="B13" s="3430" t="s">
        <v>330</v>
      </c>
      <c r="C13" s="3430" t="s">
        <v>329</v>
      </c>
      <c r="D13" s="3430" t="s">
        <v>328</v>
      </c>
      <c r="E13" s="3429" t="s">
        <v>327</v>
      </c>
      <c r="F13" s="3430" t="s">
        <v>326</v>
      </c>
      <c r="G13" s="3429" t="s">
        <v>324</v>
      </c>
      <c r="H13" s="3429" t="s">
        <v>323</v>
      </c>
      <c r="I13" s="3429" t="s">
        <v>325</v>
      </c>
      <c r="J13" s="3805"/>
    </row>
    <row r="14" spans="1:11" s="3741" customFormat="1" ht="16.5" customHeight="1">
      <c r="A14" s="3759">
        <v>1</v>
      </c>
      <c r="B14" s="3759">
        <v>1</v>
      </c>
      <c r="C14" s="3770" t="s">
        <v>2740</v>
      </c>
      <c r="D14" s="3773" t="s">
        <v>2778</v>
      </c>
      <c r="E14" s="3769" t="s">
        <v>41</v>
      </c>
      <c r="F14" s="3768">
        <v>1242300</v>
      </c>
      <c r="G14" s="3778" t="s">
        <v>41</v>
      </c>
      <c r="H14" s="3768">
        <f>VLOOKUP(G14,$A$65:$B$261,2)*12</f>
        <v>1242300</v>
      </c>
      <c r="I14" s="3767">
        <f>SUM(H14-F14)</f>
        <v>0</v>
      </c>
      <c r="J14" s="3743"/>
      <c r="K14" s="3742"/>
    </row>
    <row r="15" spans="1:11" s="3741" customFormat="1" ht="16.5" customHeight="1">
      <c r="A15" s="3759"/>
      <c r="B15" s="3759"/>
      <c r="C15" s="3770"/>
      <c r="D15" s="3773"/>
      <c r="E15" s="3769"/>
      <c r="F15" s="3768"/>
      <c r="G15" s="3769"/>
      <c r="H15" s="3768"/>
      <c r="I15" s="3767"/>
      <c r="J15" s="3743"/>
      <c r="K15" s="3742"/>
    </row>
    <row r="16" spans="1:11" s="3741" customFormat="1" ht="15.95" customHeight="1">
      <c r="A16" s="3759"/>
      <c r="B16" s="3759"/>
      <c r="C16" s="3804" t="s">
        <v>2777</v>
      </c>
      <c r="D16" s="3755"/>
      <c r="E16" s="3803"/>
      <c r="F16" s="3789"/>
      <c r="G16" s="3803"/>
      <c r="H16" s="3789"/>
      <c r="I16" s="3767"/>
      <c r="J16" s="3743"/>
      <c r="K16" s="3742"/>
    </row>
    <row r="17" spans="1:11" s="3741" customFormat="1" ht="15.95" customHeight="1">
      <c r="A17" s="3759"/>
      <c r="B17" s="3759"/>
      <c r="C17" s="3755" t="s">
        <v>2776</v>
      </c>
      <c r="D17" s="3755"/>
      <c r="E17" s="3803"/>
      <c r="F17" s="3789"/>
      <c r="G17" s="3803"/>
      <c r="H17" s="3789"/>
      <c r="I17" s="3767"/>
      <c r="J17" s="3743"/>
      <c r="K17" s="3742"/>
    </row>
    <row r="18" spans="1:11" s="3741" customFormat="1" ht="15.95" customHeight="1">
      <c r="A18" s="3759">
        <v>3</v>
      </c>
      <c r="B18" s="3759">
        <v>2</v>
      </c>
      <c r="C18" s="3770" t="s">
        <v>2775</v>
      </c>
      <c r="D18" s="3791" t="s">
        <v>2774</v>
      </c>
      <c r="E18" s="3802" t="s">
        <v>103</v>
      </c>
      <c r="F18" s="3768">
        <v>497964</v>
      </c>
      <c r="G18" s="3802" t="s">
        <v>103</v>
      </c>
      <c r="H18" s="3768">
        <f>VLOOKUP(G18,$A$65:$B$222,2)*12</f>
        <v>497964</v>
      </c>
      <c r="I18" s="3767">
        <f>SUM(H18-F18)</f>
        <v>0</v>
      </c>
      <c r="J18" s="3743"/>
      <c r="K18" s="3742"/>
    </row>
    <row r="19" spans="1:11" s="3741" customFormat="1" ht="15.95" customHeight="1">
      <c r="A19" s="3759"/>
      <c r="B19" s="3759"/>
      <c r="C19" s="3770"/>
      <c r="D19" s="3777"/>
      <c r="E19" s="3802"/>
      <c r="F19" s="3768"/>
      <c r="G19" s="3802"/>
      <c r="H19" s="3798" t="s">
        <v>2421</v>
      </c>
      <c r="I19" s="3767"/>
      <c r="J19" s="3743"/>
      <c r="K19" s="3742"/>
    </row>
    <row r="20" spans="1:11" s="3735" customFormat="1" ht="15.95" customHeight="1">
      <c r="A20" s="3785">
        <v>2</v>
      </c>
      <c r="B20" s="3785"/>
      <c r="C20" s="3773" t="s">
        <v>2773</v>
      </c>
      <c r="D20" s="3791" t="s">
        <v>245</v>
      </c>
      <c r="E20" s="3801" t="s">
        <v>100</v>
      </c>
      <c r="F20" s="3777">
        <v>515388</v>
      </c>
      <c r="G20" s="3801"/>
      <c r="H20" s="3798" t="s">
        <v>2420</v>
      </c>
      <c r="I20" s="3780">
        <f>SUM(H20-F20)</f>
        <v>-515388</v>
      </c>
      <c r="J20" s="3737"/>
      <c r="K20" s="3736"/>
    </row>
    <row r="21" spans="1:11" s="3735" customFormat="1" ht="15.95" customHeight="1">
      <c r="A21" s="3785">
        <v>4</v>
      </c>
      <c r="B21" s="3785">
        <v>3</v>
      </c>
      <c r="C21" s="3791" t="s">
        <v>2772</v>
      </c>
      <c r="D21" s="3791" t="s">
        <v>245</v>
      </c>
      <c r="E21" s="3782" t="s">
        <v>130</v>
      </c>
      <c r="F21" s="3777">
        <v>371196</v>
      </c>
      <c r="G21" s="3781" t="s">
        <v>167</v>
      </c>
      <c r="H21" s="3777">
        <f>VLOOKUP(G21,$A$65:$B$222,2)*12</f>
        <v>241740</v>
      </c>
      <c r="I21" s="3780">
        <f>SUM(H21-F21)</f>
        <v>-129456</v>
      </c>
      <c r="J21" s="3736"/>
      <c r="K21" s="3736"/>
    </row>
    <row r="22" spans="1:11" s="3741" customFormat="1" ht="15.95" customHeight="1">
      <c r="A22" s="3759">
        <v>5</v>
      </c>
      <c r="B22" s="3759">
        <v>4</v>
      </c>
      <c r="C22" s="3776" t="s">
        <v>2771</v>
      </c>
      <c r="D22" s="3800" t="s">
        <v>2770</v>
      </c>
      <c r="E22" s="3778" t="s">
        <v>174</v>
      </c>
      <c r="F22" s="3768">
        <v>225228</v>
      </c>
      <c r="G22" s="3769" t="s">
        <v>174</v>
      </c>
      <c r="H22" s="3768">
        <f>VLOOKUP(G22,$A$65:$B$222,2)*12</f>
        <v>225228</v>
      </c>
      <c r="I22" s="3767">
        <f>SUM(H22-F22)</f>
        <v>0</v>
      </c>
      <c r="J22" s="3746"/>
      <c r="K22" s="3742"/>
    </row>
    <row r="23" spans="1:11" s="3741" customFormat="1" ht="15.95" customHeight="1">
      <c r="A23" s="3759">
        <v>6</v>
      </c>
      <c r="B23" s="3759">
        <v>5</v>
      </c>
      <c r="C23" s="3789" t="s">
        <v>2758</v>
      </c>
      <c r="D23" s="3755" t="s">
        <v>2769</v>
      </c>
      <c r="E23" s="3769" t="s">
        <v>223</v>
      </c>
      <c r="F23" s="3768">
        <v>154716</v>
      </c>
      <c r="G23" s="3799" t="s">
        <v>222</v>
      </c>
      <c r="H23" s="3768">
        <f>VLOOKUP(G23,$A$65:$B$222,2)*12</f>
        <v>155916</v>
      </c>
      <c r="I23" s="3767">
        <f>SUM(H23-F23)</f>
        <v>1200</v>
      </c>
      <c r="J23" s="3743"/>
      <c r="K23" s="3742"/>
    </row>
    <row r="24" spans="1:11" s="3741" customFormat="1" ht="15.95" customHeight="1">
      <c r="A24" s="3759">
        <v>8</v>
      </c>
      <c r="B24" s="3759">
        <v>6</v>
      </c>
      <c r="C24" s="3770" t="s">
        <v>603</v>
      </c>
      <c r="D24" s="3775" t="s">
        <v>2768</v>
      </c>
      <c r="E24" s="3778" t="s">
        <v>222</v>
      </c>
      <c r="F24" s="3768">
        <v>155916</v>
      </c>
      <c r="G24" s="3778" t="s">
        <v>222</v>
      </c>
      <c r="H24" s="3768">
        <f>VLOOKUP(G24,$A$65:$B$222,2)*12</f>
        <v>155916</v>
      </c>
      <c r="I24" s="3767">
        <f>H24-F24</f>
        <v>0</v>
      </c>
      <c r="J24" s="3743"/>
      <c r="K24" s="3742"/>
    </row>
    <row r="25" spans="1:11" s="3741" customFormat="1" ht="15.95" customHeight="1">
      <c r="A25" s="3759"/>
      <c r="B25" s="3759"/>
      <c r="C25" s="3773" t="s">
        <v>2767</v>
      </c>
      <c r="D25" s="3797"/>
      <c r="E25" s="3769"/>
      <c r="F25" s="3768"/>
      <c r="G25" s="3778"/>
      <c r="H25" s="3768"/>
      <c r="I25" s="3767"/>
      <c r="J25" s="3743"/>
      <c r="K25" s="3742"/>
    </row>
    <row r="26" spans="1:11" s="3741" customFormat="1" ht="15.95" customHeight="1">
      <c r="A26" s="3759">
        <v>9</v>
      </c>
      <c r="B26" s="3759">
        <v>7</v>
      </c>
      <c r="C26" s="3768" t="s">
        <v>2766</v>
      </c>
      <c r="D26" s="3755" t="s">
        <v>2765</v>
      </c>
      <c r="E26" s="3778" t="s">
        <v>118</v>
      </c>
      <c r="F26" s="3768">
        <v>422304</v>
      </c>
      <c r="G26" s="3778" t="s">
        <v>118</v>
      </c>
      <c r="H26" s="3768">
        <f>VLOOKUP(G26,$A$65:$B$222,2)*12</f>
        <v>422304</v>
      </c>
      <c r="I26" s="3767">
        <f>SUM(H26-F26)</f>
        <v>0</v>
      </c>
      <c r="J26" s="3743"/>
      <c r="K26" s="3742"/>
    </row>
    <row r="27" spans="1:11" s="3741" customFormat="1" ht="15.95" customHeight="1">
      <c r="A27" s="3759">
        <v>10</v>
      </c>
      <c r="B27" s="3759">
        <v>8</v>
      </c>
      <c r="C27" s="3770" t="s">
        <v>2764</v>
      </c>
      <c r="D27" s="3783" t="s">
        <v>2763</v>
      </c>
      <c r="E27" s="3769" t="s">
        <v>159</v>
      </c>
      <c r="F27" s="3768">
        <v>272196</v>
      </c>
      <c r="G27" s="3778" t="s">
        <v>159</v>
      </c>
      <c r="H27" s="3768">
        <f>VLOOKUP(G27,$A$65:$B$222,2)*12</f>
        <v>272196</v>
      </c>
      <c r="I27" s="3767">
        <f>SUM(H27-F27)</f>
        <v>0</v>
      </c>
      <c r="J27" s="3743"/>
      <c r="K27" s="3742"/>
    </row>
    <row r="28" spans="1:11" s="3741" customFormat="1" ht="15.95" customHeight="1">
      <c r="A28" s="3759"/>
      <c r="B28" s="3759"/>
      <c r="C28" s="3770"/>
      <c r="D28" s="3797"/>
      <c r="E28" s="3769"/>
      <c r="F28" s="3768"/>
      <c r="G28" s="3778"/>
      <c r="H28" s="3798" t="s">
        <v>2421</v>
      </c>
      <c r="I28" s="3767"/>
      <c r="J28" s="3743"/>
      <c r="K28" s="3742"/>
    </row>
    <row r="29" spans="1:11" s="3735" customFormat="1" ht="15.95" customHeight="1">
      <c r="A29" s="3785">
        <v>11</v>
      </c>
      <c r="B29" s="3785"/>
      <c r="C29" s="3773" t="s">
        <v>2762</v>
      </c>
      <c r="D29" s="3783" t="s">
        <v>245</v>
      </c>
      <c r="E29" s="3792" t="s">
        <v>177</v>
      </c>
      <c r="F29" s="3777">
        <v>219612</v>
      </c>
      <c r="G29" s="3782"/>
      <c r="H29" s="3798" t="s">
        <v>2420</v>
      </c>
      <c r="I29" s="3780">
        <f>SUM(H29-F29)</f>
        <v>-219612</v>
      </c>
      <c r="J29" s="3737"/>
      <c r="K29" s="3736"/>
    </row>
    <row r="30" spans="1:11" s="3741" customFormat="1" ht="15.95" customHeight="1">
      <c r="A30" s="3759">
        <v>12</v>
      </c>
      <c r="B30" s="3759">
        <v>9</v>
      </c>
      <c r="C30" s="3789" t="s">
        <v>2616</v>
      </c>
      <c r="D30" s="3790" t="s">
        <v>2761</v>
      </c>
      <c r="E30" s="3788" t="s">
        <v>197</v>
      </c>
      <c r="F30" s="3768">
        <v>187536</v>
      </c>
      <c r="G30" s="3788" t="s">
        <v>197</v>
      </c>
      <c r="H30" s="3768">
        <f>VLOOKUP(G30,$A$65:$B$222,2)*12</f>
        <v>187536</v>
      </c>
      <c r="I30" s="3767">
        <f>SUM(H30-F30)</f>
        <v>0</v>
      </c>
      <c r="J30" s="3743"/>
      <c r="K30" s="3742"/>
    </row>
    <row r="31" spans="1:11" s="3741" customFormat="1" ht="15.95" customHeight="1">
      <c r="A31" s="3759">
        <v>13</v>
      </c>
      <c r="B31" s="3759">
        <v>10</v>
      </c>
      <c r="C31" s="3789" t="s">
        <v>2616</v>
      </c>
      <c r="D31" s="3797" t="s">
        <v>2760</v>
      </c>
      <c r="E31" s="3788" t="s">
        <v>197</v>
      </c>
      <c r="F31" s="3768">
        <v>187536</v>
      </c>
      <c r="G31" s="3788" t="s">
        <v>197</v>
      </c>
      <c r="H31" s="3768">
        <f>VLOOKUP(G31,$A$65:$B$222,2)*12</f>
        <v>187536</v>
      </c>
      <c r="I31" s="3767">
        <f>SUM(H31-F31)</f>
        <v>0</v>
      </c>
      <c r="J31" s="3743"/>
      <c r="K31" s="3742"/>
    </row>
    <row r="32" spans="1:11" s="3736" customFormat="1" ht="15.95" customHeight="1">
      <c r="A32" s="3759">
        <v>22</v>
      </c>
      <c r="B32" s="3759">
        <v>11</v>
      </c>
      <c r="C32" s="3770" t="s">
        <v>1344</v>
      </c>
      <c r="D32" s="3755" t="s">
        <v>2759</v>
      </c>
      <c r="E32" s="3769" t="s">
        <v>223</v>
      </c>
      <c r="F32" s="3768">
        <v>154716</v>
      </c>
      <c r="G32" s="3769" t="s">
        <v>223</v>
      </c>
      <c r="H32" s="3768">
        <f>VLOOKUP(G32,$A$65:$B$222,2)*12</f>
        <v>154716</v>
      </c>
      <c r="I32" s="3767">
        <f>SUM(H32-F32)</f>
        <v>0</v>
      </c>
      <c r="J32" s="3737"/>
    </row>
    <row r="33" spans="1:11" s="3741" customFormat="1" ht="15.95" customHeight="1">
      <c r="A33" s="3759">
        <v>7</v>
      </c>
      <c r="B33" s="3759">
        <v>12</v>
      </c>
      <c r="C33" s="3789" t="s">
        <v>2758</v>
      </c>
      <c r="D33" s="3755" t="s">
        <v>2757</v>
      </c>
      <c r="E33" s="3769" t="s">
        <v>223</v>
      </c>
      <c r="F33" s="3768">
        <v>154716</v>
      </c>
      <c r="G33" s="3778" t="s">
        <v>223</v>
      </c>
      <c r="H33" s="3768">
        <f>VLOOKUP(G33,$A$65:$B$222,2)*12</f>
        <v>154716</v>
      </c>
      <c r="I33" s="3767">
        <f>SUM(H33-F33)</f>
        <v>0</v>
      </c>
      <c r="J33" s="3743"/>
      <c r="K33" s="3742"/>
    </row>
    <row r="34" spans="1:11" s="3741" customFormat="1" ht="15.95" customHeight="1">
      <c r="A34" s="3759"/>
      <c r="B34" s="3759"/>
      <c r="C34" s="3770"/>
      <c r="D34" s="3775"/>
      <c r="E34" s="3778"/>
      <c r="F34" s="3768"/>
      <c r="G34" s="3778"/>
      <c r="H34" s="3768"/>
      <c r="I34" s="3767"/>
      <c r="J34" s="3743"/>
      <c r="K34" s="3742"/>
    </row>
    <row r="35" spans="1:11" s="3741" customFormat="1" ht="15.95" customHeight="1">
      <c r="A35" s="3759"/>
      <c r="B35" s="3759"/>
      <c r="C35" s="3796" t="s">
        <v>2756</v>
      </c>
      <c r="D35" s="3775"/>
      <c r="E35" s="3795"/>
      <c r="F35" s="3768"/>
      <c r="G35" s="3795"/>
      <c r="H35" s="3768"/>
      <c r="I35" s="3767"/>
      <c r="J35" s="3743"/>
      <c r="K35" s="3742"/>
    </row>
    <row r="36" spans="1:11" s="3741" customFormat="1" ht="15.95" customHeight="1">
      <c r="A36" s="3759">
        <v>14</v>
      </c>
      <c r="B36" s="3759">
        <v>13</v>
      </c>
      <c r="C36" s="3768" t="s">
        <v>1222</v>
      </c>
      <c r="D36" s="3794" t="s">
        <v>2755</v>
      </c>
      <c r="E36" s="3778" t="s">
        <v>70</v>
      </c>
      <c r="F36" s="3768">
        <v>792084</v>
      </c>
      <c r="G36" s="3778" t="s">
        <v>70</v>
      </c>
      <c r="H36" s="3768">
        <f>VLOOKUP(G36,$A$65:$B$259,2)*12</f>
        <v>792084</v>
      </c>
      <c r="I36" s="3767">
        <f t="shared" ref="I36:I44" si="0">SUM(H36-F36)</f>
        <v>0</v>
      </c>
      <c r="J36" s="3743"/>
      <c r="K36" s="3742"/>
    </row>
    <row r="37" spans="1:11" s="3735" customFormat="1" ht="15.95" customHeight="1">
      <c r="A37" s="3785">
        <v>24</v>
      </c>
      <c r="B37" s="3785">
        <v>14</v>
      </c>
      <c r="C37" s="3793" t="s">
        <v>2754</v>
      </c>
      <c r="D37" s="3783" t="s">
        <v>245</v>
      </c>
      <c r="E37" s="3792"/>
      <c r="F37" s="3777">
        <v>0</v>
      </c>
      <c r="G37" s="3782" t="s">
        <v>95</v>
      </c>
      <c r="H37" s="3777">
        <f t="shared" ref="H37:H44" si="1">VLOOKUP(G37,$A$65:$B$222,2)*12</f>
        <v>550764</v>
      </c>
      <c r="I37" s="3780">
        <f t="shared" si="0"/>
        <v>550764</v>
      </c>
      <c r="J37" s="3737"/>
      <c r="K37" s="3736"/>
    </row>
    <row r="38" spans="1:11" s="3735" customFormat="1" ht="15.95" customHeight="1">
      <c r="A38" s="3785">
        <v>25</v>
      </c>
      <c r="B38" s="3785">
        <v>15</v>
      </c>
      <c r="C38" s="3791" t="s">
        <v>2753</v>
      </c>
      <c r="D38" s="3783" t="s">
        <v>245</v>
      </c>
      <c r="E38" s="3782"/>
      <c r="F38" s="3777">
        <v>0</v>
      </c>
      <c r="G38" s="3782" t="s">
        <v>103</v>
      </c>
      <c r="H38" s="3777">
        <f t="shared" si="1"/>
        <v>497964</v>
      </c>
      <c r="I38" s="3780">
        <f t="shared" si="0"/>
        <v>497964</v>
      </c>
      <c r="J38" s="3737"/>
      <c r="K38" s="3736"/>
    </row>
    <row r="39" spans="1:11" s="3741" customFormat="1" ht="15.95" customHeight="1">
      <c r="A39" s="3759">
        <v>15</v>
      </c>
      <c r="B39" s="3759">
        <v>16</v>
      </c>
      <c r="C39" s="3770" t="s">
        <v>1169</v>
      </c>
      <c r="D39" s="3790" t="s">
        <v>2752</v>
      </c>
      <c r="E39" s="3778" t="s">
        <v>126</v>
      </c>
      <c r="F39" s="3768">
        <v>387060</v>
      </c>
      <c r="G39" s="3778" t="s">
        <v>126</v>
      </c>
      <c r="H39" s="3768">
        <f t="shared" si="1"/>
        <v>387060</v>
      </c>
      <c r="I39" s="3767">
        <f t="shared" si="0"/>
        <v>0</v>
      </c>
      <c r="J39" s="3743"/>
      <c r="K39" s="3742"/>
    </row>
    <row r="40" spans="1:11" s="3742" customFormat="1" ht="15.95" customHeight="1">
      <c r="A40" s="3759">
        <v>16</v>
      </c>
      <c r="B40" s="3759">
        <v>17</v>
      </c>
      <c r="C40" s="3789" t="s">
        <v>2751</v>
      </c>
      <c r="D40" s="3755" t="s">
        <v>2750</v>
      </c>
      <c r="E40" s="3788" t="s">
        <v>197</v>
      </c>
      <c r="F40" s="3768">
        <v>187536</v>
      </c>
      <c r="G40" s="3788" t="s">
        <v>197</v>
      </c>
      <c r="H40" s="3768">
        <f t="shared" si="1"/>
        <v>187536</v>
      </c>
      <c r="I40" s="3767">
        <f t="shared" si="0"/>
        <v>0</v>
      </c>
      <c r="J40" s="3743"/>
    </row>
    <row r="41" spans="1:11" s="3736" customFormat="1" ht="15.95" customHeight="1">
      <c r="A41" s="3759">
        <v>21</v>
      </c>
      <c r="B41" s="3759">
        <v>18</v>
      </c>
      <c r="C41" s="3770" t="s">
        <v>733</v>
      </c>
      <c r="D41" s="3755" t="s">
        <v>245</v>
      </c>
      <c r="E41" s="3769" t="s">
        <v>207</v>
      </c>
      <c r="F41" s="3768">
        <v>174132</v>
      </c>
      <c r="G41" s="3778" t="s">
        <v>207</v>
      </c>
      <c r="H41" s="3768">
        <f t="shared" si="1"/>
        <v>174132</v>
      </c>
      <c r="I41" s="3767">
        <f t="shared" si="0"/>
        <v>0</v>
      </c>
      <c r="J41" s="3737"/>
    </row>
    <row r="42" spans="1:11" s="3742" customFormat="1" ht="15.95" customHeight="1">
      <c r="A42" s="3759">
        <v>17</v>
      </c>
      <c r="B42" s="3759">
        <v>19</v>
      </c>
      <c r="C42" s="3787" t="s">
        <v>2547</v>
      </c>
      <c r="D42" s="3755" t="s">
        <v>2749</v>
      </c>
      <c r="E42" s="3778" t="s">
        <v>214</v>
      </c>
      <c r="F42" s="3768">
        <v>165420</v>
      </c>
      <c r="G42" s="3786" t="s">
        <v>213</v>
      </c>
      <c r="H42" s="3768">
        <f t="shared" si="1"/>
        <v>166692</v>
      </c>
      <c r="I42" s="3767">
        <f t="shared" si="0"/>
        <v>1272</v>
      </c>
      <c r="J42" s="3743"/>
    </row>
    <row r="43" spans="1:11" s="3742" customFormat="1" ht="15.95" customHeight="1">
      <c r="A43" s="3759">
        <v>18</v>
      </c>
      <c r="B43" s="3759">
        <v>20</v>
      </c>
      <c r="C43" s="3787" t="s">
        <v>2547</v>
      </c>
      <c r="D43" s="3755" t="s">
        <v>2748</v>
      </c>
      <c r="E43" s="3778" t="s">
        <v>215</v>
      </c>
      <c r="F43" s="3768">
        <v>164160</v>
      </c>
      <c r="G43" s="3786" t="s">
        <v>214</v>
      </c>
      <c r="H43" s="3768">
        <f t="shared" si="1"/>
        <v>165420</v>
      </c>
      <c r="I43" s="3767">
        <f t="shared" si="0"/>
        <v>1260</v>
      </c>
      <c r="J43" s="3743"/>
    </row>
    <row r="44" spans="1:11" s="3736" customFormat="1" ht="15.95" customHeight="1">
      <c r="A44" s="3785">
        <v>26</v>
      </c>
      <c r="B44" s="3785">
        <v>21</v>
      </c>
      <c r="C44" s="3784" t="s">
        <v>2747</v>
      </c>
      <c r="D44" s="3783" t="s">
        <v>245</v>
      </c>
      <c r="E44" s="3782"/>
      <c r="F44" s="3777">
        <v>0</v>
      </c>
      <c r="G44" s="3781" t="s">
        <v>215</v>
      </c>
      <c r="H44" s="3777">
        <f t="shared" si="1"/>
        <v>164160</v>
      </c>
      <c r="I44" s="3780">
        <f t="shared" si="0"/>
        <v>164160</v>
      </c>
      <c r="J44" s="3737"/>
    </row>
    <row r="45" spans="1:11" s="3736" customFormat="1" ht="15.95" customHeight="1">
      <c r="A45" s="3759"/>
      <c r="B45" s="3759"/>
      <c r="C45" s="3779" t="s">
        <v>504</v>
      </c>
      <c r="D45" s="3755"/>
      <c r="E45" s="3778"/>
      <c r="F45" s="3768"/>
      <c r="G45" s="3778"/>
      <c r="H45" s="3777"/>
      <c r="I45" s="3767"/>
      <c r="J45" s="3737"/>
    </row>
    <row r="46" spans="1:11" s="3736" customFormat="1" ht="15.95" customHeight="1">
      <c r="A46" s="3759">
        <v>19</v>
      </c>
      <c r="B46" s="3759">
        <v>22</v>
      </c>
      <c r="C46" s="3776" t="s">
        <v>606</v>
      </c>
      <c r="D46" s="3775" t="s">
        <v>2746</v>
      </c>
      <c r="E46" s="3774" t="s">
        <v>166</v>
      </c>
      <c r="F46" s="3768">
        <v>243756</v>
      </c>
      <c r="G46" s="3774" t="s">
        <v>166</v>
      </c>
      <c r="H46" s="3768">
        <f>VLOOKUP(G46,$A$65:$B$222,2)*12</f>
        <v>243756</v>
      </c>
      <c r="I46" s="3767">
        <f>SUM(H46-F46)</f>
        <v>0</v>
      </c>
      <c r="J46" s="3737"/>
    </row>
    <row r="47" spans="1:11" s="3736" customFormat="1" ht="15.95" customHeight="1">
      <c r="A47" s="3759">
        <v>20</v>
      </c>
      <c r="B47" s="3759">
        <v>23</v>
      </c>
      <c r="C47" s="3770" t="s">
        <v>1095</v>
      </c>
      <c r="D47" s="3773" t="s">
        <v>2745</v>
      </c>
      <c r="E47" s="3771" t="s">
        <v>190</v>
      </c>
      <c r="F47" s="3772">
        <v>197340</v>
      </c>
      <c r="G47" s="3771" t="s">
        <v>190</v>
      </c>
      <c r="H47" s="3768">
        <f>VLOOKUP(G47,$A$65:$B$222,2)*12</f>
        <v>197340</v>
      </c>
      <c r="I47" s="3767">
        <f>SUM(H47-F47)</f>
        <v>0</v>
      </c>
      <c r="J47" s="3737"/>
    </row>
    <row r="48" spans="1:11" s="3742" customFormat="1" ht="15.95" customHeight="1">
      <c r="A48" s="3759">
        <v>23</v>
      </c>
      <c r="B48" s="3759">
        <v>24</v>
      </c>
      <c r="C48" s="3770" t="s">
        <v>1344</v>
      </c>
      <c r="D48" s="3755" t="s">
        <v>2744</v>
      </c>
      <c r="E48" s="3769" t="s">
        <v>223</v>
      </c>
      <c r="F48" s="3768">
        <v>154716</v>
      </c>
      <c r="G48" s="3769" t="s">
        <v>223</v>
      </c>
      <c r="H48" s="3768">
        <f>VLOOKUP(G48,$A$65:$B$222,2)*12</f>
        <v>154716</v>
      </c>
      <c r="I48" s="3767">
        <f>SUM(H48-F48)</f>
        <v>0</v>
      </c>
      <c r="J48" s="3743"/>
    </row>
    <row r="49" spans="1:12" s="3742" customFormat="1" ht="16.5" customHeight="1">
      <c r="A49" s="3766"/>
      <c r="B49" s="3765"/>
      <c r="C49" s="3764"/>
      <c r="D49" s="3763"/>
      <c r="E49" s="3762"/>
      <c r="F49" s="3761"/>
      <c r="G49" s="3762"/>
      <c r="H49" s="3761"/>
      <c r="I49" s="3760"/>
      <c r="J49" s="3743"/>
    </row>
    <row r="50" spans="1:12" s="3742" customFormat="1" ht="16.5" customHeight="1">
      <c r="A50" s="3759"/>
      <c r="B50" s="3758"/>
      <c r="C50" s="3757"/>
      <c r="D50" s="3755" t="s">
        <v>2743</v>
      </c>
      <c r="E50" s="3756"/>
      <c r="F50" s="3755">
        <f>SUM(F14:F48)</f>
        <v>7227528</v>
      </c>
      <c r="G50" s="3755"/>
      <c r="H50" s="3755">
        <f>SUM(H14:H48)</f>
        <v>7579692</v>
      </c>
      <c r="I50" s="3755">
        <f>SUM(I14:I48)</f>
        <v>352164</v>
      </c>
      <c r="J50" s="3743"/>
    </row>
    <row r="51" spans="1:12" s="3741" customFormat="1" ht="16.5" customHeight="1" thickBot="1">
      <c r="A51" s="4979"/>
      <c r="B51" s="4980"/>
      <c r="C51" s="3754"/>
      <c r="D51" s="3753"/>
      <c r="E51" s="3753"/>
      <c r="F51" s="3753"/>
      <c r="G51" s="3753"/>
      <c r="H51" s="3753"/>
      <c r="I51" s="3753"/>
      <c r="J51" s="3749"/>
      <c r="K51" s="3742"/>
    </row>
    <row r="52" spans="1:12" s="3741" customFormat="1" ht="14.45" customHeight="1" thickTop="1">
      <c r="A52" s="3752"/>
      <c r="B52" s="3752"/>
      <c r="C52" s="3751" t="s">
        <v>2742</v>
      </c>
      <c r="D52" s="3750"/>
      <c r="E52" s="3742"/>
      <c r="F52" s="3742"/>
      <c r="G52" s="3742"/>
      <c r="H52" s="3742"/>
      <c r="I52" s="3742"/>
      <c r="J52" s="3749"/>
      <c r="K52" s="3742"/>
    </row>
    <row r="53" spans="1:12" s="3367" customFormat="1" ht="14.45" customHeight="1">
      <c r="A53" s="3338"/>
      <c r="B53" s="3369" t="s">
        <v>715</v>
      </c>
      <c r="C53" s="3364"/>
      <c r="D53" s="3368" t="s">
        <v>363</v>
      </c>
      <c r="E53" s="3362"/>
      <c r="G53" s="3366" t="s">
        <v>2406</v>
      </c>
      <c r="H53" s="3356"/>
      <c r="I53" s="3364"/>
      <c r="J53" s="3747"/>
      <c r="K53" s="3748"/>
      <c r="L53" s="3747"/>
    </row>
    <row r="54" spans="1:12" s="3367" customFormat="1" ht="14.45" customHeight="1">
      <c r="A54" s="3338"/>
      <c r="B54" s="3369"/>
      <c r="C54" s="3364"/>
      <c r="D54" s="3368"/>
      <c r="E54" s="3362"/>
      <c r="G54" s="3362"/>
      <c r="H54" s="3356"/>
      <c r="I54" s="3364"/>
      <c r="J54" s="3747"/>
      <c r="K54" s="3748"/>
      <c r="L54" s="3747"/>
    </row>
    <row r="55" spans="1:12" s="3741" customFormat="1" ht="14.25" customHeight="1">
      <c r="A55" s="3365"/>
      <c r="B55" s="3365"/>
      <c r="C55" s="3364"/>
      <c r="D55" s="3364"/>
      <c r="E55" s="3362"/>
      <c r="F55" s="3363"/>
      <c r="G55" s="3362"/>
      <c r="H55" s="3356"/>
      <c r="I55" s="3160"/>
      <c r="J55" s="3746"/>
      <c r="K55" s="3742"/>
    </row>
    <row r="56" spans="1:12" s="3741" customFormat="1" ht="14.25" customHeight="1">
      <c r="A56" s="3361"/>
      <c r="B56" s="3745" t="s">
        <v>2741</v>
      </c>
      <c r="C56" s="3358"/>
      <c r="D56" s="3744" t="s">
        <v>2404</v>
      </c>
      <c r="E56" s="3340"/>
      <c r="F56" s="3358"/>
      <c r="G56" s="3357" t="s">
        <v>359</v>
      </c>
      <c r="H56" s="3356"/>
      <c r="I56" s="3160"/>
      <c r="J56" s="3743"/>
      <c r="K56" s="3742"/>
    </row>
    <row r="57" spans="1:12" s="3735" customFormat="1" ht="14.25" customHeight="1">
      <c r="A57" s="3343"/>
      <c r="B57" s="3740" t="s">
        <v>2740</v>
      </c>
      <c r="C57" s="3738"/>
      <c r="D57" s="3739" t="s">
        <v>2739</v>
      </c>
      <c r="E57" s="3340"/>
      <c r="F57" s="3738"/>
      <c r="G57" s="3339"/>
      <c r="H57" s="3348" t="s">
        <v>356</v>
      </c>
      <c r="I57" s="3606"/>
      <c r="J57" s="3737"/>
      <c r="K57" s="3736"/>
    </row>
    <row r="58" spans="1:12" ht="15" customHeight="1">
      <c r="A58" s="3733"/>
      <c r="H58" s="3734"/>
      <c r="J58" s="3732"/>
      <c r="K58" s="3717"/>
    </row>
    <row r="59" spans="1:12" ht="15" customHeight="1">
      <c r="A59" s="3733"/>
      <c r="J59" s="3732"/>
      <c r="K59" s="3717"/>
    </row>
    <row r="60" spans="1:12" ht="15" customHeight="1">
      <c r="A60" s="3733"/>
      <c r="J60" s="3732"/>
      <c r="K60" s="3717"/>
    </row>
    <row r="61" spans="1:12" ht="15" customHeight="1">
      <c r="A61" s="3731" t="s">
        <v>2401</v>
      </c>
      <c r="B61" s="3731"/>
      <c r="C61" s="3318"/>
      <c r="D61" s="3318"/>
      <c r="J61" s="3729"/>
      <c r="K61" s="3717"/>
    </row>
    <row r="62" spans="1:12" ht="15" customHeight="1">
      <c r="A62" s="3730"/>
      <c r="B62" s="3730"/>
      <c r="C62" s="3318"/>
      <c r="D62" s="3318"/>
      <c r="J62" s="3729"/>
      <c r="K62" s="3717"/>
    </row>
    <row r="63" spans="1:12" ht="16.5" customHeight="1">
      <c r="A63" s="3713" t="s">
        <v>239</v>
      </c>
      <c r="B63" s="3712">
        <v>11432</v>
      </c>
      <c r="C63" s="3318"/>
      <c r="D63" s="3710"/>
      <c r="E63" s="3711" t="s">
        <v>231</v>
      </c>
      <c r="F63" s="3710">
        <v>7780</v>
      </c>
      <c r="G63" s="3720"/>
      <c r="H63" s="3318"/>
      <c r="I63" s="3318"/>
      <c r="J63" s="3729"/>
      <c r="K63" s="3717"/>
    </row>
    <row r="64" spans="1:12" ht="16.5" customHeight="1">
      <c r="A64" s="3713" t="s">
        <v>238</v>
      </c>
      <c r="B64" s="3712">
        <v>11527</v>
      </c>
      <c r="C64" s="3318"/>
      <c r="D64" s="3710"/>
      <c r="E64" s="3711" t="s">
        <v>230</v>
      </c>
      <c r="F64" s="3710">
        <v>7905</v>
      </c>
      <c r="G64" s="3720"/>
      <c r="H64" s="3318"/>
      <c r="I64" s="3318">
        <f>87.5*12*1</f>
        <v>1050</v>
      </c>
      <c r="J64" s="3721"/>
      <c r="K64" s="3717"/>
    </row>
    <row r="65" spans="1:11" ht="16.5" customHeight="1">
      <c r="A65" s="3713" t="s">
        <v>237</v>
      </c>
      <c r="B65" s="3712">
        <v>11624</v>
      </c>
      <c r="C65" s="3318"/>
      <c r="D65" s="3710"/>
      <c r="E65" s="3711" t="s">
        <v>229</v>
      </c>
      <c r="F65" s="3710">
        <v>8033</v>
      </c>
      <c r="G65" s="3720"/>
      <c r="H65" s="3318"/>
      <c r="J65" s="3725"/>
      <c r="K65" s="3717"/>
    </row>
    <row r="66" spans="1:11" ht="16.5" customHeight="1">
      <c r="A66" s="3713" t="s">
        <v>236</v>
      </c>
      <c r="B66" s="3712">
        <v>11722</v>
      </c>
      <c r="C66" s="3318"/>
      <c r="D66" s="3710"/>
      <c r="E66" s="3711" t="s">
        <v>228</v>
      </c>
      <c r="F66" s="3710">
        <v>8164</v>
      </c>
      <c r="G66" s="3720"/>
      <c r="H66" s="3318"/>
      <c r="J66" s="3725"/>
      <c r="K66" s="3717"/>
    </row>
    <row r="67" spans="1:11" ht="16.5" customHeight="1">
      <c r="A67" s="3713" t="s">
        <v>235</v>
      </c>
      <c r="B67" s="3712">
        <v>11820</v>
      </c>
      <c r="C67" s="3318"/>
      <c r="D67" s="3710"/>
      <c r="E67" s="3711" t="s">
        <v>227</v>
      </c>
      <c r="F67" s="3710">
        <v>8296</v>
      </c>
      <c r="G67" s="3720"/>
      <c r="H67" s="3318"/>
      <c r="I67" s="3318"/>
      <c r="J67" s="3725"/>
      <c r="K67" s="3717"/>
    </row>
    <row r="68" spans="1:11" ht="16.5" customHeight="1">
      <c r="A68" s="3713" t="s">
        <v>234</v>
      </c>
      <c r="B68" s="3712">
        <v>11918</v>
      </c>
      <c r="C68" s="3318"/>
      <c r="D68" s="3710"/>
      <c r="E68" s="3711" t="s">
        <v>226</v>
      </c>
      <c r="F68" s="3710">
        <v>8432</v>
      </c>
      <c r="G68" s="3720"/>
      <c r="H68" s="3318"/>
      <c r="I68" s="3318"/>
      <c r="J68" s="3725"/>
      <c r="K68" s="3717"/>
    </row>
    <row r="69" spans="1:11" ht="16.5" customHeight="1">
      <c r="A69" s="3713" t="s">
        <v>233</v>
      </c>
      <c r="B69" s="3712">
        <v>12018</v>
      </c>
      <c r="C69" s="3318"/>
      <c r="D69" s="3710"/>
      <c r="E69" s="3711" t="s">
        <v>225</v>
      </c>
      <c r="F69" s="3710">
        <v>8571</v>
      </c>
      <c r="G69" s="3318"/>
      <c r="H69" s="3318"/>
      <c r="I69" s="3318"/>
      <c r="J69" s="3725"/>
      <c r="K69" s="3717"/>
    </row>
    <row r="70" spans="1:11" ht="16.5" customHeight="1">
      <c r="A70" s="3713" t="s">
        <v>232</v>
      </c>
      <c r="B70" s="3712">
        <v>12118</v>
      </c>
      <c r="C70" s="3318"/>
      <c r="D70" s="3710"/>
      <c r="E70" s="3711" t="s">
        <v>224</v>
      </c>
      <c r="F70" s="3710">
        <v>8712</v>
      </c>
      <c r="G70" s="3318"/>
      <c r="H70" s="3318">
        <f>100*12*5</f>
        <v>6000</v>
      </c>
      <c r="I70" s="3318">
        <f>100*12*1</f>
        <v>1200</v>
      </c>
      <c r="J70" s="3725"/>
      <c r="K70" s="3717"/>
    </row>
    <row r="71" spans="1:11" ht="16.5" customHeight="1">
      <c r="A71" s="3713" t="s">
        <v>231</v>
      </c>
      <c r="B71" s="3712">
        <v>12151</v>
      </c>
      <c r="C71" s="3318"/>
      <c r="D71" s="3710"/>
      <c r="E71" s="3711" t="s">
        <v>223</v>
      </c>
      <c r="F71" s="3710">
        <v>8411</v>
      </c>
      <c r="G71" s="3318"/>
      <c r="H71" s="3318"/>
      <c r="J71" s="3725"/>
      <c r="K71" s="3717"/>
    </row>
    <row r="72" spans="1:11" ht="16.5" customHeight="1">
      <c r="A72" s="3713" t="s">
        <v>230</v>
      </c>
      <c r="B72" s="3712">
        <v>12244</v>
      </c>
      <c r="C72" s="3318"/>
      <c r="D72" s="3710"/>
      <c r="E72" s="3711" t="s">
        <v>222</v>
      </c>
      <c r="F72" s="3710">
        <v>8547</v>
      </c>
      <c r="G72" s="3318"/>
      <c r="H72" s="3318"/>
      <c r="I72" s="3318"/>
      <c r="J72" s="3724"/>
      <c r="K72" s="3717"/>
    </row>
    <row r="73" spans="1:11" ht="16.5" customHeight="1">
      <c r="A73" s="3713" t="s">
        <v>229</v>
      </c>
      <c r="B73" s="3712">
        <v>12338</v>
      </c>
      <c r="C73" s="3318"/>
      <c r="D73" s="3710"/>
      <c r="E73" s="3711" t="s">
        <v>221</v>
      </c>
      <c r="F73" s="3710">
        <v>8685</v>
      </c>
      <c r="G73" s="3318"/>
      <c r="H73" s="3318"/>
      <c r="I73" s="3318"/>
      <c r="J73" s="3724"/>
      <c r="K73" s="3717"/>
    </row>
    <row r="74" spans="1:11" ht="16.5" customHeight="1">
      <c r="A74" s="3713" t="s">
        <v>228</v>
      </c>
      <c r="B74" s="3712">
        <v>12433</v>
      </c>
      <c r="C74" s="3318"/>
      <c r="D74" s="3710"/>
      <c r="E74" s="3711" t="s">
        <v>220</v>
      </c>
      <c r="F74" s="3710">
        <v>8827</v>
      </c>
      <c r="G74" s="3318"/>
      <c r="H74" s="3318"/>
      <c r="I74" s="3318"/>
      <c r="J74" s="3724"/>
    </row>
    <row r="75" spans="1:11" ht="16.5" customHeight="1">
      <c r="A75" s="3713" t="s">
        <v>227</v>
      </c>
      <c r="B75" s="3712">
        <v>12528</v>
      </c>
      <c r="C75" s="3318"/>
      <c r="D75" s="3710"/>
      <c r="E75" s="3711" t="s">
        <v>219</v>
      </c>
      <c r="F75" s="3710">
        <v>8971</v>
      </c>
      <c r="G75" s="3318"/>
      <c r="J75" s="3724"/>
    </row>
    <row r="76" spans="1:11" ht="16.5" customHeight="1">
      <c r="A76" s="3713" t="s">
        <v>226</v>
      </c>
      <c r="B76" s="3712">
        <v>12624</v>
      </c>
      <c r="C76" s="3318"/>
      <c r="D76" s="3710"/>
      <c r="E76" s="3711" t="s">
        <v>218</v>
      </c>
      <c r="F76" s="3710">
        <v>9119</v>
      </c>
      <c r="G76" s="3318"/>
      <c r="H76" s="3318"/>
      <c r="I76" s="3318"/>
      <c r="J76" s="3724"/>
    </row>
    <row r="77" spans="1:11" ht="16.5" customHeight="1">
      <c r="A77" s="3713" t="s">
        <v>225</v>
      </c>
      <c r="B77" s="3712">
        <v>12721</v>
      </c>
      <c r="C77" s="3318"/>
      <c r="D77" s="3710"/>
      <c r="E77" s="3711" t="s">
        <v>217</v>
      </c>
      <c r="F77" s="3710">
        <v>9268</v>
      </c>
      <c r="G77" s="3318"/>
      <c r="H77" s="3318"/>
      <c r="I77" s="3318"/>
      <c r="J77" s="3724"/>
    </row>
    <row r="78" spans="1:11" ht="16.5" customHeight="1">
      <c r="A78" s="3713" t="s">
        <v>224</v>
      </c>
      <c r="B78" s="3712">
        <v>12818</v>
      </c>
      <c r="C78" s="3318"/>
      <c r="D78" s="3710"/>
      <c r="E78" s="3711" t="s">
        <v>216</v>
      </c>
      <c r="F78" s="3710">
        <v>9421</v>
      </c>
      <c r="G78" s="3318"/>
      <c r="H78" s="3318"/>
      <c r="I78" s="3318"/>
      <c r="J78" s="3724"/>
    </row>
    <row r="79" spans="1:11" ht="16.5" customHeight="1">
      <c r="A79" s="3713" t="s">
        <v>223</v>
      </c>
      <c r="B79" s="3712">
        <v>12893</v>
      </c>
      <c r="C79" s="3318"/>
      <c r="D79" s="3710"/>
      <c r="E79" s="3711" t="s">
        <v>215</v>
      </c>
      <c r="F79" s="3710">
        <v>9059</v>
      </c>
      <c r="G79" s="3318"/>
      <c r="H79" s="3318"/>
      <c r="J79" s="3724"/>
    </row>
    <row r="80" spans="1:11" ht="16.5" customHeight="1">
      <c r="A80" s="3713" t="s">
        <v>222</v>
      </c>
      <c r="B80" s="3712">
        <v>12993</v>
      </c>
      <c r="C80" s="3318"/>
      <c r="D80" s="3710"/>
      <c r="E80" s="3711" t="s">
        <v>214</v>
      </c>
      <c r="F80" s="3710">
        <v>9206</v>
      </c>
      <c r="G80" s="3318"/>
      <c r="H80" s="3318">
        <f>112.5*12*6</f>
        <v>8100</v>
      </c>
      <c r="I80" s="3318">
        <f>112.5*12*1</f>
        <v>1350</v>
      </c>
      <c r="J80" s="3728"/>
    </row>
    <row r="81" spans="1:10" ht="16.5" customHeight="1">
      <c r="A81" s="3713" t="s">
        <v>221</v>
      </c>
      <c r="B81" s="3712">
        <v>13092</v>
      </c>
      <c r="C81" s="3318"/>
      <c r="D81" s="3710"/>
      <c r="E81" s="3711" t="s">
        <v>213</v>
      </c>
      <c r="F81" s="3710">
        <v>9356</v>
      </c>
      <c r="G81" s="3318"/>
      <c r="H81" s="3318"/>
      <c r="I81" s="3318"/>
      <c r="J81" s="3728"/>
    </row>
    <row r="82" spans="1:10" ht="16.5" customHeight="1">
      <c r="A82" s="3713" t="s">
        <v>220</v>
      </c>
      <c r="B82" s="3712">
        <v>13194</v>
      </c>
      <c r="C82" s="3318"/>
      <c r="D82" s="3710"/>
      <c r="E82" s="3711" t="s">
        <v>212</v>
      </c>
      <c r="F82" s="3710">
        <v>9508</v>
      </c>
      <c r="G82" s="3318"/>
      <c r="H82" s="3318"/>
      <c r="I82" s="3318"/>
      <c r="J82" s="3724"/>
    </row>
    <row r="83" spans="1:10" ht="16.5" customHeight="1">
      <c r="A83" s="3713" t="s">
        <v>219</v>
      </c>
      <c r="B83" s="3712">
        <v>13295</v>
      </c>
      <c r="C83" s="3318"/>
      <c r="D83" s="3710"/>
      <c r="E83" s="3711" t="s">
        <v>211</v>
      </c>
      <c r="F83" s="3710">
        <v>9663</v>
      </c>
      <c r="G83" s="3318"/>
      <c r="H83" s="3318"/>
      <c r="J83" s="3724"/>
    </row>
    <row r="84" spans="1:10" ht="16.5" customHeight="1">
      <c r="A84" s="3713" t="s">
        <v>218</v>
      </c>
      <c r="B84" s="3712">
        <v>13396</v>
      </c>
      <c r="C84" s="3318"/>
      <c r="D84" s="3710"/>
      <c r="E84" s="3711" t="s">
        <v>210</v>
      </c>
      <c r="F84" s="3710">
        <v>9822</v>
      </c>
      <c r="G84" s="3318"/>
      <c r="H84" s="3318"/>
      <c r="I84" s="3318"/>
      <c r="J84" s="3724"/>
    </row>
    <row r="85" spans="1:10" ht="16.5" customHeight="1">
      <c r="A85" s="3713" t="s">
        <v>217</v>
      </c>
      <c r="B85" s="3712">
        <v>13500</v>
      </c>
      <c r="C85" s="3318"/>
      <c r="D85" s="3710"/>
      <c r="E85" s="3711" t="s">
        <v>209</v>
      </c>
      <c r="F85" s="3710">
        <v>9984</v>
      </c>
      <c r="G85" s="3318"/>
      <c r="J85" s="3721"/>
    </row>
    <row r="86" spans="1:10" ht="16.5" customHeight="1">
      <c r="A86" s="3713" t="s">
        <v>216</v>
      </c>
      <c r="B86" s="3712">
        <v>13603</v>
      </c>
      <c r="C86" s="3318"/>
      <c r="D86" s="3710"/>
      <c r="E86" s="3711" t="s">
        <v>208</v>
      </c>
      <c r="F86" s="3710">
        <v>10149</v>
      </c>
      <c r="G86" s="3318"/>
      <c r="H86" s="3318"/>
      <c r="I86" s="3318">
        <f>125*12*1</f>
        <v>1500</v>
      </c>
      <c r="J86" s="3721"/>
    </row>
    <row r="87" spans="1:10" ht="16.5" customHeight="1">
      <c r="A87" s="3713" t="s">
        <v>215</v>
      </c>
      <c r="B87" s="3712">
        <v>13680</v>
      </c>
      <c r="C87" s="3318"/>
      <c r="D87" s="3710"/>
      <c r="E87" s="3711" t="s">
        <v>207</v>
      </c>
      <c r="F87" s="3710">
        <v>9757</v>
      </c>
      <c r="G87" s="3711"/>
      <c r="J87" s="3724"/>
    </row>
    <row r="88" spans="1:10" ht="16.5" customHeight="1">
      <c r="A88" s="3713" t="s">
        <v>214</v>
      </c>
      <c r="B88" s="3712">
        <v>13785</v>
      </c>
      <c r="C88" s="3318"/>
      <c r="D88" s="3710"/>
      <c r="E88" s="3711" t="s">
        <v>206</v>
      </c>
      <c r="F88" s="3710">
        <v>9915</v>
      </c>
      <c r="G88" s="3711"/>
      <c r="H88" s="3318">
        <f>112.5*12*1</f>
        <v>1350</v>
      </c>
      <c r="I88" s="3318">
        <f>112.5*12*1</f>
        <v>1350</v>
      </c>
      <c r="J88" s="3724"/>
    </row>
    <row r="89" spans="1:10" ht="16.5" customHeight="1">
      <c r="A89" s="3713" t="s">
        <v>213</v>
      </c>
      <c r="B89" s="3712">
        <v>13891</v>
      </c>
      <c r="C89" s="3318"/>
      <c r="D89" s="3710"/>
      <c r="E89" s="3711" t="s">
        <v>205</v>
      </c>
      <c r="F89" s="3710">
        <v>10077</v>
      </c>
      <c r="G89" s="3711"/>
      <c r="J89" s="3724"/>
    </row>
    <row r="90" spans="1:10" ht="16.5" customHeight="1">
      <c r="A90" s="3713" t="s">
        <v>212</v>
      </c>
      <c r="B90" s="3712">
        <v>13998</v>
      </c>
      <c r="C90" s="3318"/>
      <c r="D90" s="3710"/>
      <c r="E90" s="3711" t="s">
        <v>204</v>
      </c>
      <c r="F90" s="3710">
        <v>10241</v>
      </c>
      <c r="G90" s="3711"/>
      <c r="J90" s="3724"/>
    </row>
    <row r="91" spans="1:10" ht="16.5" customHeight="1">
      <c r="A91" s="3713" t="s">
        <v>211</v>
      </c>
      <c r="B91" s="3712">
        <v>14106</v>
      </c>
      <c r="C91" s="3318"/>
      <c r="D91" s="3710"/>
      <c r="E91" s="3711" t="s">
        <v>203</v>
      </c>
      <c r="F91" s="3710">
        <v>10409</v>
      </c>
      <c r="G91" s="3711"/>
      <c r="J91" s="3724"/>
    </row>
    <row r="92" spans="1:10" ht="16.5" customHeight="1">
      <c r="A92" s="3713" t="s">
        <v>210</v>
      </c>
      <c r="B92" s="3712">
        <v>14213</v>
      </c>
      <c r="C92" s="3318"/>
      <c r="D92" s="3710"/>
      <c r="E92" s="3711" t="s">
        <v>202</v>
      </c>
      <c r="F92" s="3710">
        <v>10580</v>
      </c>
      <c r="G92" s="3711"/>
      <c r="J92" s="3724"/>
    </row>
    <row r="93" spans="1:10" ht="16.5" customHeight="1">
      <c r="A93" s="3713" t="s">
        <v>209</v>
      </c>
      <c r="B93" s="3712">
        <v>14323</v>
      </c>
      <c r="C93" s="3318"/>
      <c r="D93" s="3710"/>
      <c r="E93" s="3711" t="s">
        <v>201</v>
      </c>
      <c r="F93" s="3710">
        <v>10754</v>
      </c>
      <c r="G93" s="3711"/>
      <c r="H93" s="3318">
        <f>125*12*2</f>
        <v>3000</v>
      </c>
      <c r="I93" s="3318">
        <f>125*12*1</f>
        <v>1500</v>
      </c>
      <c r="J93" s="3724"/>
    </row>
    <row r="94" spans="1:10" ht="16.5" customHeight="1">
      <c r="A94" s="3713" t="s">
        <v>208</v>
      </c>
      <c r="B94" s="3712">
        <v>14432</v>
      </c>
      <c r="C94" s="3318"/>
      <c r="D94" s="3710"/>
      <c r="E94" s="3711" t="s">
        <v>200</v>
      </c>
      <c r="F94" s="3710">
        <v>10933</v>
      </c>
      <c r="G94" s="3711"/>
      <c r="J94" s="3724"/>
    </row>
    <row r="95" spans="1:10" ht="16.5" customHeight="1">
      <c r="A95" s="3713" t="s">
        <v>207</v>
      </c>
      <c r="B95" s="3712">
        <v>14511</v>
      </c>
      <c r="C95" s="3318"/>
      <c r="D95" s="3710"/>
      <c r="E95" s="3711" t="s">
        <v>199</v>
      </c>
      <c r="F95" s="3710">
        <v>10509</v>
      </c>
      <c r="G95" s="3318"/>
      <c r="H95" s="3318"/>
      <c r="I95" s="3318"/>
      <c r="J95" s="3724"/>
    </row>
    <row r="96" spans="1:10" ht="16.5" customHeight="1">
      <c r="A96" s="3713" t="s">
        <v>206</v>
      </c>
      <c r="B96" s="3712">
        <v>14623</v>
      </c>
      <c r="C96" s="3318"/>
      <c r="D96" s="3710"/>
      <c r="E96" s="3711" t="s">
        <v>198</v>
      </c>
      <c r="F96" s="3710">
        <v>10680</v>
      </c>
      <c r="G96" s="3318"/>
      <c r="H96" s="3318"/>
      <c r="J96" s="3724"/>
    </row>
    <row r="97" spans="1:10" ht="16.5" customHeight="1">
      <c r="A97" s="3713" t="s">
        <v>205</v>
      </c>
      <c r="B97" s="3712">
        <v>14735</v>
      </c>
      <c r="C97" s="3318"/>
      <c r="D97" s="3710"/>
      <c r="E97" s="3711" t="s">
        <v>197</v>
      </c>
      <c r="F97" s="3710">
        <v>10854</v>
      </c>
      <c r="G97" s="3318"/>
      <c r="H97" s="3318"/>
      <c r="I97" s="3318"/>
      <c r="J97" s="3724"/>
    </row>
    <row r="98" spans="1:10" ht="16.5" customHeight="1">
      <c r="A98" s="3713" t="s">
        <v>204</v>
      </c>
      <c r="B98" s="3712">
        <v>14849</v>
      </c>
      <c r="C98" s="3318"/>
      <c r="D98" s="3710"/>
      <c r="E98" s="3711" t="s">
        <v>196</v>
      </c>
      <c r="F98" s="3710">
        <v>11031</v>
      </c>
      <c r="G98" s="3318"/>
      <c r="J98" s="3724"/>
    </row>
    <row r="99" spans="1:10" ht="16.5" customHeight="1">
      <c r="A99" s="3713" t="s">
        <v>203</v>
      </c>
      <c r="B99" s="3712">
        <v>14963</v>
      </c>
      <c r="C99" s="3318"/>
      <c r="D99" s="3710"/>
      <c r="E99" s="3711" t="s">
        <v>195</v>
      </c>
      <c r="F99" s="3710">
        <v>11213</v>
      </c>
      <c r="G99" s="3318"/>
      <c r="H99" s="3318"/>
      <c r="I99" s="3318"/>
      <c r="J99" s="3728"/>
    </row>
    <row r="100" spans="1:10" ht="16.5" customHeight="1">
      <c r="A100" s="3713" t="s">
        <v>202</v>
      </c>
      <c r="B100" s="3712">
        <v>15077</v>
      </c>
      <c r="C100" s="3318"/>
      <c r="D100" s="3710"/>
      <c r="E100" s="3711" t="s">
        <v>194</v>
      </c>
      <c r="F100" s="3710">
        <v>11397</v>
      </c>
      <c r="G100" s="3318"/>
      <c r="H100" s="3318"/>
      <c r="I100" s="3318"/>
      <c r="J100" s="3728"/>
    </row>
    <row r="101" spans="1:10" ht="16.5" customHeight="1">
      <c r="A101" s="3713" t="s">
        <v>201</v>
      </c>
      <c r="B101" s="3712">
        <v>15193</v>
      </c>
      <c r="C101" s="3318"/>
      <c r="D101" s="3710"/>
      <c r="E101" s="3711" t="s">
        <v>193</v>
      </c>
      <c r="F101" s="3710">
        <v>11584</v>
      </c>
      <c r="G101" s="3318"/>
      <c r="H101" s="3318"/>
      <c r="I101" s="3318"/>
      <c r="J101" s="3724"/>
    </row>
    <row r="102" spans="1:10" ht="16.5" customHeight="1">
      <c r="A102" s="3713" t="s">
        <v>200</v>
      </c>
      <c r="B102" s="3712">
        <v>15309</v>
      </c>
      <c r="C102" s="3318"/>
      <c r="D102" s="3710"/>
      <c r="E102" s="3711" t="s">
        <v>192</v>
      </c>
      <c r="F102" s="3710">
        <v>11777</v>
      </c>
      <c r="G102" s="3318"/>
      <c r="H102" s="3318">
        <f>137.5*12*2</f>
        <v>3300</v>
      </c>
      <c r="I102" s="3318">
        <f>137.5*12*1</f>
        <v>1650</v>
      </c>
      <c r="J102" s="3724"/>
    </row>
    <row r="103" spans="1:10" ht="16.5" customHeight="1">
      <c r="A103" s="3713" t="s">
        <v>199</v>
      </c>
      <c r="B103" s="3712">
        <v>15390</v>
      </c>
      <c r="C103" s="3318"/>
      <c r="D103" s="3710"/>
      <c r="E103" s="3711" t="s">
        <v>191</v>
      </c>
      <c r="F103" s="3710">
        <v>11276</v>
      </c>
      <c r="J103" s="3724"/>
    </row>
    <row r="104" spans="1:10" ht="16.5" customHeight="1">
      <c r="A104" s="3713" t="s">
        <v>198</v>
      </c>
      <c r="B104" s="3712">
        <v>15509</v>
      </c>
      <c r="C104" s="3318"/>
      <c r="D104" s="3710"/>
      <c r="E104" s="3711" t="s">
        <v>190</v>
      </c>
      <c r="F104" s="3710">
        <v>11457</v>
      </c>
      <c r="J104" s="3724"/>
    </row>
    <row r="105" spans="1:10" ht="16.5" customHeight="1">
      <c r="A105" s="3713" t="s">
        <v>197</v>
      </c>
      <c r="B105" s="3712">
        <v>15628</v>
      </c>
      <c r="C105" s="3318"/>
      <c r="D105" s="3710"/>
      <c r="E105" s="3711" t="s">
        <v>189</v>
      </c>
      <c r="F105" s="3710">
        <v>11644</v>
      </c>
      <c r="J105" s="3724"/>
    </row>
    <row r="106" spans="1:10" ht="16.5" customHeight="1">
      <c r="A106" s="3713" t="s">
        <v>196</v>
      </c>
      <c r="B106" s="3712">
        <v>15748</v>
      </c>
      <c r="C106" s="3318"/>
      <c r="D106" s="3710"/>
      <c r="E106" s="3711" t="s">
        <v>188</v>
      </c>
      <c r="F106" s="3710">
        <v>11834</v>
      </c>
      <c r="J106" s="3724"/>
    </row>
    <row r="107" spans="1:10" ht="16.5" customHeight="1">
      <c r="A107" s="3713" t="s">
        <v>195</v>
      </c>
      <c r="B107" s="3712">
        <v>15869</v>
      </c>
      <c r="C107" s="3318"/>
      <c r="D107" s="3710"/>
      <c r="E107" s="3711" t="s">
        <v>187</v>
      </c>
      <c r="F107" s="3710">
        <v>12029</v>
      </c>
      <c r="J107" s="3724"/>
    </row>
    <row r="108" spans="1:10" ht="16.5" customHeight="1">
      <c r="A108" s="3713" t="s">
        <v>194</v>
      </c>
      <c r="B108" s="3712">
        <v>15990</v>
      </c>
      <c r="C108" s="3318"/>
      <c r="D108" s="3710"/>
      <c r="E108" s="3711" t="s">
        <v>186</v>
      </c>
      <c r="F108" s="3710">
        <v>12226</v>
      </c>
      <c r="J108" s="3724"/>
    </row>
    <row r="109" spans="1:10" ht="16.5" customHeight="1">
      <c r="A109" s="3713" t="s">
        <v>193</v>
      </c>
      <c r="B109" s="3712">
        <v>16114</v>
      </c>
      <c r="C109" s="3318"/>
      <c r="D109" s="3710"/>
      <c r="E109" s="3711" t="s">
        <v>185</v>
      </c>
      <c r="F109" s="3710">
        <v>12428</v>
      </c>
      <c r="J109" s="3725"/>
    </row>
    <row r="110" spans="1:10" ht="16.5" customHeight="1">
      <c r="A110" s="3713" t="s">
        <v>192</v>
      </c>
      <c r="B110" s="3712">
        <v>16237</v>
      </c>
      <c r="C110" s="3318"/>
      <c r="D110" s="3710"/>
      <c r="E110" s="3711" t="s">
        <v>184</v>
      </c>
      <c r="F110" s="3710">
        <v>12634</v>
      </c>
      <c r="J110" s="3724"/>
    </row>
    <row r="111" spans="1:10" ht="16.5" customHeight="1">
      <c r="A111" s="3713" t="s">
        <v>191</v>
      </c>
      <c r="B111" s="3712">
        <v>16320</v>
      </c>
      <c r="C111" s="3318"/>
      <c r="D111" s="3710"/>
      <c r="E111" s="3711" t="s">
        <v>183</v>
      </c>
      <c r="F111" s="3710">
        <v>12098</v>
      </c>
      <c r="G111" s="3318"/>
      <c r="H111" s="3318">
        <f>150*12*2</f>
        <v>3600</v>
      </c>
      <c r="I111" s="3318">
        <f>150*12*1</f>
        <v>1800</v>
      </c>
      <c r="J111" s="3725"/>
    </row>
    <row r="112" spans="1:10" ht="16.5" customHeight="1">
      <c r="A112" s="3713" t="s">
        <v>190</v>
      </c>
      <c r="B112" s="3712">
        <v>16445</v>
      </c>
      <c r="C112" s="3318"/>
      <c r="D112" s="3710"/>
      <c r="E112" s="3711" t="s">
        <v>182</v>
      </c>
      <c r="F112" s="3710">
        <v>12294</v>
      </c>
      <c r="G112" s="3318"/>
      <c r="J112" s="3724"/>
    </row>
    <row r="113" spans="1:11" ht="16.5" customHeight="1">
      <c r="A113" s="3713" t="s">
        <v>189</v>
      </c>
      <c r="B113" s="3712">
        <v>16572</v>
      </c>
      <c r="C113" s="3318"/>
      <c r="D113" s="3710"/>
      <c r="E113" s="3711" t="s">
        <v>181</v>
      </c>
      <c r="F113" s="3710">
        <v>12493</v>
      </c>
      <c r="G113" s="3318"/>
      <c r="H113" s="3318"/>
      <c r="I113" s="3318"/>
      <c r="J113" s="3727"/>
    </row>
    <row r="114" spans="1:11" ht="16.5" customHeight="1">
      <c r="A114" s="3713" t="s">
        <v>188</v>
      </c>
      <c r="B114" s="3712">
        <v>16699</v>
      </c>
      <c r="C114" s="3318"/>
      <c r="D114" s="3710"/>
      <c r="E114" s="3711" t="s">
        <v>180</v>
      </c>
      <c r="F114" s="3710">
        <v>12698</v>
      </c>
      <c r="G114" s="3318"/>
      <c r="H114" s="3318"/>
      <c r="J114" s="3726"/>
    </row>
    <row r="115" spans="1:11" ht="16.5" customHeight="1">
      <c r="A115" s="3713" t="s">
        <v>187</v>
      </c>
      <c r="B115" s="3712">
        <v>16827</v>
      </c>
      <c r="C115" s="3318"/>
      <c r="D115" s="3710"/>
      <c r="E115" s="3711" t="s">
        <v>179</v>
      </c>
      <c r="F115" s="3710">
        <v>12905</v>
      </c>
      <c r="G115" s="3318"/>
      <c r="H115" s="3318"/>
      <c r="J115" s="3725"/>
    </row>
    <row r="116" spans="1:11" ht="16.5" customHeight="1">
      <c r="A116" s="3713" t="s">
        <v>186</v>
      </c>
      <c r="B116" s="3712">
        <v>16957</v>
      </c>
      <c r="C116" s="3318"/>
      <c r="D116" s="3710"/>
      <c r="E116" s="3711" t="s">
        <v>178</v>
      </c>
      <c r="F116" s="3710">
        <v>13117</v>
      </c>
      <c r="G116" s="3318"/>
      <c r="H116" s="3318"/>
      <c r="I116" s="3318"/>
      <c r="J116" s="3724"/>
    </row>
    <row r="117" spans="1:11" ht="16.5" customHeight="1">
      <c r="A117" s="3713" t="s">
        <v>185</v>
      </c>
      <c r="B117" s="3712">
        <v>17086</v>
      </c>
      <c r="C117" s="3318"/>
      <c r="D117" s="3710"/>
      <c r="E117" s="3711" t="s">
        <v>177</v>
      </c>
      <c r="F117" s="3710">
        <v>13333</v>
      </c>
      <c r="G117" s="3318"/>
      <c r="H117" s="3318"/>
      <c r="I117" s="3318">
        <f>162.5*12*1</f>
        <v>1950</v>
      </c>
      <c r="J117" s="3724"/>
    </row>
    <row r="118" spans="1:11" ht="16.5" customHeight="1">
      <c r="A118" s="3713" t="s">
        <v>184</v>
      </c>
      <c r="B118" s="3712">
        <v>17218</v>
      </c>
      <c r="C118" s="3318"/>
      <c r="D118" s="3710"/>
      <c r="E118" s="3711" t="s">
        <v>176</v>
      </c>
      <c r="F118" s="3710">
        <v>13554</v>
      </c>
      <c r="G118" s="3318"/>
      <c r="H118" s="3318"/>
      <c r="J118" s="3724"/>
    </row>
    <row r="119" spans="1:11" ht="16.5" customHeight="1">
      <c r="A119" s="3713" t="s">
        <v>183</v>
      </c>
      <c r="B119" s="3712">
        <v>17338</v>
      </c>
      <c r="C119" s="3318"/>
      <c r="D119" s="3710"/>
      <c r="E119" s="3719" t="s">
        <v>175</v>
      </c>
      <c r="F119" s="3710">
        <v>12980</v>
      </c>
      <c r="G119" s="3318"/>
      <c r="H119" s="3318"/>
      <c r="I119" s="3318">
        <f>150*12*1</f>
        <v>1800</v>
      </c>
      <c r="J119" s="3724"/>
    </row>
    <row r="120" spans="1:11" ht="16.5" customHeight="1">
      <c r="A120" s="3713" t="s">
        <v>182</v>
      </c>
      <c r="B120" s="3712">
        <v>17496</v>
      </c>
      <c r="C120" s="3318"/>
      <c r="D120" s="3710"/>
      <c r="E120" s="3719" t="s">
        <v>174</v>
      </c>
      <c r="F120" s="3710">
        <v>13190</v>
      </c>
      <c r="G120" s="3318"/>
      <c r="H120" s="3318"/>
      <c r="J120" s="3721"/>
    </row>
    <row r="121" spans="1:11" ht="16.5" customHeight="1">
      <c r="A121" s="3713" t="s">
        <v>181</v>
      </c>
      <c r="B121" s="3712">
        <v>17654</v>
      </c>
      <c r="C121" s="3318"/>
      <c r="D121" s="3710"/>
      <c r="E121" s="3719" t="s">
        <v>173</v>
      </c>
      <c r="F121" s="3710">
        <v>13404</v>
      </c>
      <c r="G121" s="3318"/>
      <c r="H121" s="3318"/>
      <c r="I121" s="3318">
        <f>162.5*12*1</f>
        <v>1950</v>
      </c>
      <c r="J121" s="3721"/>
    </row>
    <row r="122" spans="1:11" ht="16.5" customHeight="1">
      <c r="A122" s="3713" t="s">
        <v>180</v>
      </c>
      <c r="B122" s="3712">
        <v>17813</v>
      </c>
      <c r="C122" s="3318"/>
      <c r="D122" s="3710"/>
      <c r="E122" s="3719" t="s">
        <v>172</v>
      </c>
      <c r="F122" s="3710">
        <v>13623</v>
      </c>
      <c r="G122" s="3318"/>
      <c r="H122" s="3318"/>
      <c r="J122" s="3721"/>
      <c r="K122" s="3707">
        <f>SUM(H122:H138)</f>
        <v>8700</v>
      </c>
    </row>
    <row r="123" spans="1:11" ht="16.5" customHeight="1">
      <c r="A123" s="3713" t="s">
        <v>179</v>
      </c>
      <c r="B123" s="3712">
        <v>17974</v>
      </c>
      <c r="C123" s="3318"/>
      <c r="D123" s="3710"/>
      <c r="E123" s="3719" t="s">
        <v>171</v>
      </c>
      <c r="F123" s="3710">
        <v>13846</v>
      </c>
      <c r="G123" s="3318"/>
      <c r="H123" s="3318"/>
      <c r="J123" s="3723"/>
    </row>
    <row r="124" spans="1:11" ht="16.5" customHeight="1">
      <c r="A124" s="3713" t="s">
        <v>178</v>
      </c>
      <c r="B124" s="3712">
        <v>18136</v>
      </c>
      <c r="C124" s="3318"/>
      <c r="D124" s="3710"/>
      <c r="E124" s="3719" t="s">
        <v>170</v>
      </c>
      <c r="F124" s="3710">
        <v>14072</v>
      </c>
      <c r="G124" s="3318"/>
      <c r="H124" s="3318"/>
      <c r="I124" s="3318"/>
      <c r="J124" s="3723"/>
    </row>
    <row r="125" spans="1:11" ht="16.5" customHeight="1">
      <c r="A125" s="3713" t="s">
        <v>177</v>
      </c>
      <c r="B125" s="3712">
        <v>18301</v>
      </c>
      <c r="C125" s="3318"/>
      <c r="D125" s="3710"/>
      <c r="E125" s="3719" t="s">
        <v>169</v>
      </c>
      <c r="F125" s="3710">
        <v>14305</v>
      </c>
      <c r="G125" s="3318"/>
      <c r="H125" s="3318"/>
      <c r="I125" s="3318"/>
      <c r="J125" s="3721"/>
    </row>
    <row r="126" spans="1:11" ht="16.5" customHeight="1">
      <c r="A126" s="3713" t="s">
        <v>176</v>
      </c>
      <c r="B126" s="3712">
        <v>18466</v>
      </c>
      <c r="C126" s="3318"/>
      <c r="D126" s="3710"/>
      <c r="E126" s="3719" t="s">
        <v>168</v>
      </c>
      <c r="F126" s="3710">
        <v>14540</v>
      </c>
      <c r="G126" s="3318"/>
      <c r="H126" s="3318"/>
      <c r="J126" s="3722"/>
    </row>
    <row r="127" spans="1:11" ht="16.5" customHeight="1">
      <c r="A127" s="3713" t="s">
        <v>175</v>
      </c>
      <c r="B127" s="3712">
        <v>18613</v>
      </c>
      <c r="C127" s="3318"/>
      <c r="D127" s="3710"/>
      <c r="E127" s="3719" t="s">
        <v>167</v>
      </c>
      <c r="F127" s="3710">
        <v>13909</v>
      </c>
      <c r="G127" s="3318"/>
      <c r="H127" s="3318"/>
      <c r="I127" s="3318"/>
      <c r="J127" s="3721"/>
    </row>
    <row r="128" spans="1:11" ht="16.5" customHeight="1">
      <c r="A128" s="3713" t="s">
        <v>174</v>
      </c>
      <c r="B128" s="3712">
        <v>18769</v>
      </c>
      <c r="C128" s="3318"/>
      <c r="D128" s="3710"/>
      <c r="E128" s="3719" t="s">
        <v>166</v>
      </c>
      <c r="F128" s="3710">
        <v>14134</v>
      </c>
      <c r="G128" s="3318"/>
      <c r="H128" s="3318">
        <f>175*12*1</f>
        <v>2100</v>
      </c>
      <c r="I128" s="3318">
        <f>175*12*1</f>
        <v>2100</v>
      </c>
      <c r="J128" s="3721"/>
    </row>
    <row r="129" spans="1:10" ht="16.5" customHeight="1">
      <c r="A129" s="3713" t="s">
        <v>173</v>
      </c>
      <c r="B129" s="3712">
        <v>18926</v>
      </c>
      <c r="C129" s="3318"/>
      <c r="D129" s="3710"/>
      <c r="E129" s="3719" t="s">
        <v>165</v>
      </c>
      <c r="F129" s="3710">
        <v>14362</v>
      </c>
      <c r="G129" s="3318"/>
      <c r="H129" s="3318"/>
      <c r="I129" s="3318"/>
      <c r="J129" s="3721"/>
    </row>
    <row r="130" spans="1:10" ht="16.5" customHeight="1">
      <c r="A130" s="3713" t="s">
        <v>172</v>
      </c>
      <c r="B130" s="3712">
        <v>19085</v>
      </c>
      <c r="C130" s="3318"/>
      <c r="D130" s="3710"/>
      <c r="E130" s="3719" t="s">
        <v>164</v>
      </c>
      <c r="F130" s="3710">
        <v>14596</v>
      </c>
      <c r="G130" s="3318"/>
      <c r="H130" s="3318"/>
      <c r="I130" s="3318"/>
      <c r="J130" s="3721"/>
    </row>
    <row r="131" spans="1:10" ht="16.5" customHeight="1">
      <c r="A131" s="3713" t="s">
        <v>171</v>
      </c>
      <c r="B131" s="3712">
        <v>19244</v>
      </c>
      <c r="C131" s="3318"/>
      <c r="D131" s="3710"/>
      <c r="E131" s="3719" t="s">
        <v>163</v>
      </c>
      <c r="F131" s="3710">
        <v>14834</v>
      </c>
      <c r="G131" s="3318"/>
      <c r="H131" s="3318"/>
      <c r="I131" s="3318"/>
      <c r="J131" s="3721"/>
    </row>
    <row r="132" spans="1:10" ht="16.5" customHeight="1">
      <c r="A132" s="3713" t="s">
        <v>170</v>
      </c>
      <c r="B132" s="3712">
        <v>19405</v>
      </c>
      <c r="C132" s="3318"/>
      <c r="D132" s="3710"/>
      <c r="E132" s="3719" t="s">
        <v>162</v>
      </c>
      <c r="F132" s="3710">
        <v>15078</v>
      </c>
      <c r="G132" s="3318"/>
      <c r="H132" s="3318"/>
      <c r="I132" s="3318"/>
      <c r="J132" s="3721"/>
    </row>
    <row r="133" spans="1:10" ht="16.5" customHeight="1">
      <c r="A133" s="3713" t="s">
        <v>169</v>
      </c>
      <c r="B133" s="3712">
        <v>19567</v>
      </c>
      <c r="C133" s="3318"/>
      <c r="D133" s="3710"/>
      <c r="E133" s="3719" t="s">
        <v>161</v>
      </c>
      <c r="F133" s="3710">
        <v>15325</v>
      </c>
      <c r="G133" s="3318"/>
      <c r="H133" s="3318"/>
      <c r="I133" s="3318">
        <f>187.5*12*1</f>
        <v>2250</v>
      </c>
      <c r="J133" s="3721"/>
    </row>
    <row r="134" spans="1:10" ht="16.5" customHeight="1">
      <c r="A134" s="3713" t="s">
        <v>168</v>
      </c>
      <c r="B134" s="3712">
        <v>19731</v>
      </c>
      <c r="C134" s="3318"/>
      <c r="D134" s="3710"/>
      <c r="E134" s="3719" t="s">
        <v>160</v>
      </c>
      <c r="F134" s="3710">
        <v>15578</v>
      </c>
      <c r="G134" s="3318"/>
      <c r="H134" s="3318"/>
      <c r="J134" s="3721"/>
    </row>
    <row r="135" spans="1:10" ht="16.5" customHeight="1">
      <c r="A135" s="3713" t="s">
        <v>167</v>
      </c>
      <c r="B135" s="3712">
        <v>20145</v>
      </c>
      <c r="C135" s="3318"/>
      <c r="D135" s="3710"/>
      <c r="E135" s="3719" t="s">
        <v>159</v>
      </c>
      <c r="F135" s="3710">
        <v>14867</v>
      </c>
      <c r="G135" s="3318"/>
      <c r="H135" s="3318">
        <f>175*12*1</f>
        <v>2100</v>
      </c>
      <c r="I135" s="3318">
        <f>175*12*1</f>
        <v>2100</v>
      </c>
      <c r="J135" s="3721"/>
    </row>
    <row r="136" spans="1:10" ht="16.5" customHeight="1">
      <c r="A136" s="3713" t="s">
        <v>166</v>
      </c>
      <c r="B136" s="3712">
        <v>20313</v>
      </c>
      <c r="C136" s="3318"/>
      <c r="D136" s="3710"/>
      <c r="E136" s="3719" t="s">
        <v>158</v>
      </c>
      <c r="F136" s="3710">
        <v>15105</v>
      </c>
      <c r="G136" s="3318"/>
      <c r="H136" s="3318"/>
      <c r="J136" s="3721"/>
    </row>
    <row r="137" spans="1:10" ht="16.5" customHeight="1">
      <c r="A137" s="3713" t="s">
        <v>165</v>
      </c>
      <c r="B137" s="3712">
        <v>20483</v>
      </c>
      <c r="C137" s="3318"/>
      <c r="D137" s="3710"/>
      <c r="E137" s="3719" t="s">
        <v>157</v>
      </c>
      <c r="F137" s="3710">
        <v>15349</v>
      </c>
      <c r="G137" s="3318"/>
      <c r="H137" s="3318"/>
      <c r="I137" s="3318"/>
      <c r="J137" s="3721"/>
    </row>
    <row r="138" spans="1:10" ht="16.5" customHeight="1">
      <c r="A138" s="3713" t="s">
        <v>164</v>
      </c>
      <c r="B138" s="3712">
        <v>20654</v>
      </c>
      <c r="C138" s="3318"/>
      <c r="D138" s="3710"/>
      <c r="E138" s="3719" t="s">
        <v>156</v>
      </c>
      <c r="F138" s="3710">
        <v>15598</v>
      </c>
      <c r="G138" s="3318"/>
      <c r="H138" s="3318">
        <f>187.5*12*2</f>
        <v>4500</v>
      </c>
      <c r="I138" s="3318">
        <f>187.5*12*1</f>
        <v>2250</v>
      </c>
      <c r="J138" s="3721"/>
    </row>
    <row r="139" spans="1:10" ht="16.5" customHeight="1">
      <c r="A139" s="3713" t="s">
        <v>163</v>
      </c>
      <c r="B139" s="3712">
        <v>20827</v>
      </c>
      <c r="C139" s="3318"/>
      <c r="D139" s="3710"/>
      <c r="E139" s="3719" t="s">
        <v>155</v>
      </c>
      <c r="F139" s="3710">
        <v>15853</v>
      </c>
      <c r="G139" s="3318"/>
      <c r="H139" s="3318"/>
      <c r="J139" s="3717"/>
    </row>
    <row r="140" spans="1:10" ht="16.5" customHeight="1">
      <c r="A140" s="3713" t="s">
        <v>162</v>
      </c>
      <c r="B140" s="3712">
        <v>21001</v>
      </c>
      <c r="C140" s="3318"/>
      <c r="D140" s="3710"/>
      <c r="E140" s="3719" t="s">
        <v>154</v>
      </c>
      <c r="F140" s="3710">
        <v>16111</v>
      </c>
      <c r="G140" s="3318"/>
      <c r="H140" s="3318"/>
      <c r="J140" s="3717"/>
    </row>
    <row r="141" spans="1:10" ht="16.5" customHeight="1">
      <c r="A141" s="3713" t="s">
        <v>161</v>
      </c>
      <c r="B141" s="3712">
        <v>21176</v>
      </c>
      <c r="C141" s="3318"/>
      <c r="D141" s="3710"/>
      <c r="E141" s="3719" t="s">
        <v>153</v>
      </c>
      <c r="F141" s="3710">
        <v>16375</v>
      </c>
      <c r="G141" s="3318"/>
      <c r="H141" s="3318"/>
      <c r="I141" s="3318">
        <f>200*12*1</f>
        <v>2400</v>
      </c>
    </row>
    <row r="142" spans="1:10" ht="16.5" customHeight="1">
      <c r="A142" s="3713" t="s">
        <v>160</v>
      </c>
      <c r="B142" s="3712">
        <v>21353</v>
      </c>
      <c r="C142" s="3318"/>
      <c r="D142" s="3710"/>
      <c r="E142" s="3719" t="s">
        <v>152</v>
      </c>
      <c r="F142" s="3710">
        <v>16643</v>
      </c>
      <c r="G142" s="3318"/>
      <c r="H142" s="3318"/>
    </row>
    <row r="143" spans="1:10" ht="16.5" customHeight="1">
      <c r="A143" s="3713" t="s">
        <v>159</v>
      </c>
      <c r="B143" s="3712">
        <v>22683</v>
      </c>
      <c r="C143" s="3318"/>
      <c r="D143" s="3710"/>
      <c r="E143" s="3719" t="s">
        <v>151</v>
      </c>
      <c r="F143" s="3710">
        <v>15890</v>
      </c>
      <c r="G143" s="3318"/>
      <c r="H143" s="3318">
        <f>187.5*12*1</f>
        <v>2250</v>
      </c>
      <c r="I143" s="3318">
        <f>187.5*12*1</f>
        <v>2250</v>
      </c>
    </row>
    <row r="144" spans="1:10" ht="16.5" customHeight="1">
      <c r="A144" s="3713" t="s">
        <v>158</v>
      </c>
      <c r="B144" s="3712">
        <v>22953</v>
      </c>
      <c r="C144" s="3318"/>
      <c r="D144" s="3710"/>
      <c r="E144" s="3719" t="s">
        <v>150</v>
      </c>
      <c r="F144" s="3710">
        <v>16145</v>
      </c>
      <c r="G144" s="3318"/>
      <c r="H144" s="3318"/>
      <c r="I144" s="3318"/>
    </row>
    <row r="145" spans="1:9" ht="16.5" customHeight="1">
      <c r="A145" s="3713" t="s">
        <v>157</v>
      </c>
      <c r="B145" s="3712">
        <v>23228</v>
      </c>
      <c r="C145" s="3318"/>
      <c r="D145" s="3710"/>
      <c r="E145" s="3719" t="s">
        <v>149</v>
      </c>
      <c r="F145" s="3710">
        <v>16406</v>
      </c>
      <c r="G145" s="3318"/>
      <c r="H145" s="3318"/>
      <c r="I145" s="3318"/>
    </row>
    <row r="146" spans="1:9" ht="16.5" customHeight="1">
      <c r="A146" s="3713" t="s">
        <v>156</v>
      </c>
      <c r="B146" s="3712">
        <v>23505</v>
      </c>
      <c r="C146" s="3318"/>
      <c r="D146" s="3710"/>
      <c r="E146" s="3719" t="s">
        <v>148</v>
      </c>
      <c r="F146" s="3710">
        <v>16671</v>
      </c>
      <c r="G146" s="3318"/>
      <c r="H146" s="3318">
        <f>200*12*1</f>
        <v>2400</v>
      </c>
      <c r="I146" s="3318">
        <f>200*12*1</f>
        <v>2400</v>
      </c>
    </row>
    <row r="147" spans="1:9" ht="16.5" customHeight="1">
      <c r="A147" s="3713" t="s">
        <v>155</v>
      </c>
      <c r="B147" s="3712">
        <v>23786</v>
      </c>
      <c r="C147" s="3318"/>
      <c r="D147" s="3710"/>
      <c r="E147" s="3719" t="s">
        <v>147</v>
      </c>
      <c r="F147" s="3710">
        <v>16941</v>
      </c>
      <c r="G147" s="3318"/>
      <c r="H147" s="3318"/>
      <c r="I147" s="3318"/>
    </row>
    <row r="148" spans="1:9" ht="16.5" customHeight="1">
      <c r="A148" s="3713" t="s">
        <v>154</v>
      </c>
      <c r="B148" s="3712">
        <v>24072</v>
      </c>
      <c r="C148" s="3318"/>
      <c r="D148" s="3710"/>
      <c r="E148" s="3719" t="s">
        <v>146</v>
      </c>
      <c r="F148" s="3710">
        <v>17217</v>
      </c>
      <c r="G148" s="3318"/>
      <c r="H148" s="3318"/>
    </row>
    <row r="149" spans="1:9" ht="16.5" customHeight="1">
      <c r="A149" s="3713" t="s">
        <v>153</v>
      </c>
      <c r="B149" s="3712">
        <v>24361</v>
      </c>
      <c r="C149" s="3318"/>
      <c r="D149" s="3710"/>
      <c r="E149" s="3719" t="s">
        <v>145</v>
      </c>
      <c r="F149" s="3710">
        <v>17498</v>
      </c>
      <c r="G149" s="3318"/>
      <c r="H149" s="3318"/>
      <c r="I149" s="3318">
        <f>212.5*12*1</f>
        <v>2550</v>
      </c>
    </row>
    <row r="150" spans="1:9" ht="16.5" customHeight="1">
      <c r="A150" s="3713" t="s">
        <v>152</v>
      </c>
      <c r="B150" s="3712">
        <v>24654</v>
      </c>
      <c r="C150" s="3318"/>
      <c r="D150" s="3710"/>
      <c r="E150" s="3719" t="s">
        <v>144</v>
      </c>
      <c r="F150" s="3710">
        <v>17784</v>
      </c>
      <c r="G150" s="3318"/>
      <c r="H150" s="3318"/>
      <c r="I150" s="3318"/>
    </row>
    <row r="151" spans="1:9" ht="16.5" customHeight="1">
      <c r="A151" s="3713" t="s">
        <v>151</v>
      </c>
      <c r="B151" s="3712">
        <v>24749</v>
      </c>
      <c r="C151" s="3318"/>
      <c r="D151" s="3710"/>
      <c r="E151" s="3719" t="s">
        <v>135</v>
      </c>
      <c r="F151" s="3710">
        <v>18156</v>
      </c>
      <c r="G151" s="3318"/>
      <c r="H151" s="3318"/>
    </row>
    <row r="152" spans="1:9" ht="16.5" customHeight="1">
      <c r="A152" s="3713" t="s">
        <v>150</v>
      </c>
      <c r="B152" s="3712">
        <v>25019</v>
      </c>
      <c r="C152" s="3318"/>
      <c r="D152" s="3710"/>
      <c r="E152" s="3719" t="s">
        <v>134</v>
      </c>
      <c r="F152" s="3710">
        <v>18447</v>
      </c>
      <c r="G152" s="3318"/>
      <c r="H152" s="3318">
        <f>225*12*3</f>
        <v>8100</v>
      </c>
      <c r="I152" s="3318">
        <f>225*12*1</f>
        <v>2700</v>
      </c>
    </row>
    <row r="153" spans="1:9" ht="16.5" customHeight="1">
      <c r="A153" s="3713" t="s">
        <v>149</v>
      </c>
      <c r="B153" s="3712">
        <v>25293</v>
      </c>
      <c r="C153" s="3318"/>
      <c r="D153" s="3710"/>
      <c r="E153" s="3719" t="s">
        <v>133</v>
      </c>
      <c r="F153" s="3710">
        <v>18742</v>
      </c>
      <c r="G153" s="3318"/>
      <c r="H153" s="3318"/>
      <c r="I153" s="3318"/>
    </row>
    <row r="154" spans="1:9" ht="16.5" customHeight="1">
      <c r="A154" s="3713" t="s">
        <v>148</v>
      </c>
      <c r="B154" s="3712">
        <v>25569</v>
      </c>
      <c r="C154" s="3318"/>
      <c r="D154" s="3710"/>
      <c r="E154" s="3719" t="s">
        <v>132</v>
      </c>
      <c r="F154" s="3710">
        <v>19043</v>
      </c>
      <c r="G154" s="3720"/>
      <c r="H154" s="3720"/>
      <c r="I154" s="3720"/>
    </row>
    <row r="155" spans="1:9" ht="16.5" customHeight="1">
      <c r="A155" s="3713" t="s">
        <v>147</v>
      </c>
      <c r="B155" s="3712">
        <v>25850</v>
      </c>
      <c r="C155" s="3318"/>
      <c r="D155" s="3710"/>
      <c r="E155" s="3719" t="s">
        <v>131</v>
      </c>
      <c r="F155" s="3710">
        <v>19351</v>
      </c>
      <c r="G155" s="3318"/>
      <c r="H155" s="3318"/>
    </row>
    <row r="156" spans="1:9" ht="16.5" customHeight="1">
      <c r="A156" s="3713" t="s">
        <v>146</v>
      </c>
      <c r="B156" s="3712">
        <v>26134</v>
      </c>
      <c r="C156" s="3318"/>
      <c r="D156" s="3710"/>
      <c r="E156" s="3719" t="s">
        <v>130</v>
      </c>
      <c r="F156" s="3710">
        <v>19664</v>
      </c>
      <c r="G156" s="3318"/>
      <c r="H156" s="3318"/>
      <c r="I156" s="3318">
        <f>237.5*12*1</f>
        <v>2850</v>
      </c>
    </row>
    <row r="157" spans="1:9" ht="16.5" customHeight="1">
      <c r="A157" s="3713" t="s">
        <v>145</v>
      </c>
      <c r="B157" s="3712">
        <v>26420</v>
      </c>
      <c r="C157" s="3318"/>
      <c r="D157" s="3710"/>
      <c r="E157" s="3719" t="s">
        <v>129</v>
      </c>
      <c r="F157" s="3710">
        <v>19982</v>
      </c>
      <c r="G157" s="3318"/>
      <c r="H157" s="3318"/>
      <c r="I157" s="3318"/>
    </row>
    <row r="158" spans="1:9" ht="16.5" customHeight="1">
      <c r="A158" s="3713" t="s">
        <v>144</v>
      </c>
      <c r="B158" s="3712">
        <v>26711</v>
      </c>
      <c r="C158" s="3318"/>
      <c r="D158" s="3710"/>
      <c r="E158" s="3719" t="s">
        <v>128</v>
      </c>
      <c r="F158" s="3710">
        <v>20307</v>
      </c>
      <c r="G158" s="3318"/>
      <c r="H158" s="3318"/>
      <c r="I158" s="3318">
        <f>250*12*1</f>
        <v>3000</v>
      </c>
    </row>
    <row r="159" spans="1:9" ht="16.5" customHeight="1">
      <c r="A159" s="3713" t="s">
        <v>143</v>
      </c>
      <c r="B159" s="3712">
        <v>26862</v>
      </c>
      <c r="C159" s="3318"/>
      <c r="D159" s="3710"/>
      <c r="E159" s="3719" t="s">
        <v>127</v>
      </c>
      <c r="F159" s="3710">
        <v>19466</v>
      </c>
      <c r="G159" s="3318"/>
      <c r="H159" s="3318"/>
      <c r="I159" s="3318">
        <f>237.5*12*1</f>
        <v>2850</v>
      </c>
    </row>
    <row r="160" spans="1:9" ht="16.5" customHeight="1">
      <c r="A160" s="3713" t="s">
        <v>142</v>
      </c>
      <c r="B160" s="3712">
        <v>27160</v>
      </c>
      <c r="C160" s="3318"/>
      <c r="D160" s="3710"/>
      <c r="E160" s="3719" t="s">
        <v>126</v>
      </c>
      <c r="F160" s="3710">
        <v>19786</v>
      </c>
      <c r="G160" s="3318"/>
      <c r="H160" s="3318"/>
      <c r="I160" s="3318"/>
    </row>
    <row r="161" spans="1:9" ht="16.5" customHeight="1">
      <c r="A161" s="3713" t="s">
        <v>141</v>
      </c>
      <c r="B161" s="3712">
        <v>27460</v>
      </c>
      <c r="C161" s="3318"/>
      <c r="D161" s="3710"/>
      <c r="E161" s="3719" t="s">
        <v>125</v>
      </c>
      <c r="F161" s="3710">
        <v>20113</v>
      </c>
      <c r="G161" s="3318"/>
      <c r="H161" s="3318"/>
      <c r="I161" s="3318"/>
    </row>
    <row r="162" spans="1:9" ht="16.5" customHeight="1">
      <c r="A162" s="3713" t="s">
        <v>140</v>
      </c>
      <c r="B162" s="3712">
        <v>27764</v>
      </c>
      <c r="C162" s="3318"/>
      <c r="D162" s="3710"/>
      <c r="E162" s="3719" t="s">
        <v>124</v>
      </c>
      <c r="F162" s="3710">
        <v>20447</v>
      </c>
      <c r="G162" s="3318"/>
      <c r="H162" s="3318">
        <f>250*12*1</f>
        <v>3000</v>
      </c>
      <c r="I162" s="3318">
        <f>250*12*1</f>
        <v>3000</v>
      </c>
    </row>
    <row r="163" spans="1:9" ht="16.5" customHeight="1">
      <c r="A163" s="3713" t="s">
        <v>139</v>
      </c>
      <c r="B163" s="3712">
        <v>28073</v>
      </c>
      <c r="C163" s="3318"/>
      <c r="D163" s="3710"/>
      <c r="E163" s="3719" t="s">
        <v>123</v>
      </c>
      <c r="F163" s="3710">
        <v>20788</v>
      </c>
      <c r="G163" s="3318"/>
      <c r="H163" s="3318"/>
      <c r="I163" s="3318"/>
    </row>
    <row r="164" spans="1:9" ht="16.5" customHeight="1">
      <c r="A164" s="3713" t="s">
        <v>138</v>
      </c>
      <c r="B164" s="3712">
        <v>28384</v>
      </c>
      <c r="C164" s="3318"/>
      <c r="D164" s="3710"/>
      <c r="E164" s="3719" t="s">
        <v>122</v>
      </c>
      <c r="F164" s="3710">
        <v>21135</v>
      </c>
      <c r="G164" s="3318"/>
      <c r="H164" s="3318"/>
    </row>
    <row r="165" spans="1:9" ht="16.5" customHeight="1">
      <c r="A165" s="3713" t="s">
        <v>137</v>
      </c>
      <c r="B165" s="3712">
        <v>28700</v>
      </c>
      <c r="C165" s="3318"/>
      <c r="D165" s="3710"/>
      <c r="E165" s="3719" t="s">
        <v>121</v>
      </c>
      <c r="F165" s="3710">
        <v>21488</v>
      </c>
      <c r="G165" s="3318"/>
      <c r="H165" s="3318"/>
      <c r="I165" s="3318">
        <f>262.5*12*1</f>
        <v>3150</v>
      </c>
    </row>
    <row r="166" spans="1:9" ht="16.5" customHeight="1">
      <c r="A166" s="3713" t="s">
        <v>136</v>
      </c>
      <c r="B166" s="3712">
        <v>29020</v>
      </c>
      <c r="C166" s="3318"/>
      <c r="D166" s="3710"/>
      <c r="E166" s="3719" t="s">
        <v>120</v>
      </c>
      <c r="F166" s="3710">
        <v>21849</v>
      </c>
      <c r="G166" s="3318"/>
      <c r="H166" s="3318"/>
      <c r="I166" s="3318"/>
    </row>
    <row r="167" spans="1:9" ht="16.5" customHeight="1">
      <c r="A167" s="3713" t="s">
        <v>135</v>
      </c>
      <c r="B167" s="3712">
        <v>29259</v>
      </c>
      <c r="C167" s="3318"/>
      <c r="D167" s="3710"/>
      <c r="E167" s="3719" t="s">
        <v>119</v>
      </c>
      <c r="F167" s="3710">
        <v>20871</v>
      </c>
      <c r="G167" s="3318"/>
      <c r="H167" s="3318">
        <f>250*12*1</f>
        <v>3000</v>
      </c>
      <c r="I167" s="3318">
        <f>250*12*1</f>
        <v>3000</v>
      </c>
    </row>
    <row r="168" spans="1:9" ht="16.5" customHeight="1">
      <c r="A168" s="3713" t="s">
        <v>134</v>
      </c>
      <c r="B168" s="3712">
        <v>29586</v>
      </c>
      <c r="C168" s="3318"/>
      <c r="D168" s="3710"/>
      <c r="E168" s="3719" t="s">
        <v>118</v>
      </c>
      <c r="F168" s="3710">
        <v>21213</v>
      </c>
      <c r="G168" s="3318"/>
      <c r="H168" s="3318"/>
      <c r="I168" s="3318"/>
    </row>
    <row r="169" spans="1:9" ht="16.5" customHeight="1">
      <c r="A169" s="3713" t="s">
        <v>133</v>
      </c>
      <c r="B169" s="3712">
        <v>29916</v>
      </c>
      <c r="C169" s="3318"/>
      <c r="D169" s="3710"/>
      <c r="E169" s="3719" t="s">
        <v>117</v>
      </c>
      <c r="F169" s="3710">
        <v>21562</v>
      </c>
      <c r="G169" s="3318"/>
      <c r="H169" s="3318"/>
      <c r="I169" s="3318">
        <f>262.5*12*1</f>
        <v>3150</v>
      </c>
    </row>
    <row r="170" spans="1:9" ht="16.5" customHeight="1">
      <c r="A170" s="3713" t="s">
        <v>132</v>
      </c>
      <c r="B170" s="3712">
        <v>30252</v>
      </c>
      <c r="C170" s="3318"/>
      <c r="D170" s="3710"/>
      <c r="E170" s="3719" t="s">
        <v>116</v>
      </c>
      <c r="F170" s="3710">
        <v>21919</v>
      </c>
      <c r="G170" s="3318"/>
      <c r="H170" s="3318"/>
      <c r="I170" s="3318"/>
    </row>
    <row r="171" spans="1:9" ht="16.5" customHeight="1">
      <c r="A171" s="3713" t="s">
        <v>131</v>
      </c>
      <c r="B171" s="3712">
        <v>30590</v>
      </c>
      <c r="C171" s="3318"/>
      <c r="D171" s="3710"/>
      <c r="E171" s="3719" t="s">
        <v>115</v>
      </c>
      <c r="F171" s="3710">
        <v>22282</v>
      </c>
      <c r="G171" s="3318"/>
      <c r="H171" s="3318"/>
    </row>
    <row r="172" spans="1:9" ht="16.5" customHeight="1">
      <c r="A172" s="3713" t="s">
        <v>130</v>
      </c>
      <c r="B172" s="3712">
        <v>30933</v>
      </c>
      <c r="C172" s="3318"/>
      <c r="D172" s="3710"/>
      <c r="E172" s="3719" t="s">
        <v>114</v>
      </c>
      <c r="F172" s="3710">
        <v>22653</v>
      </c>
      <c r="G172" s="3318"/>
      <c r="H172" s="3318"/>
      <c r="I172" s="3318">
        <f>275*12*1</f>
        <v>3300</v>
      </c>
    </row>
    <row r="173" spans="1:9" ht="16.5" customHeight="1">
      <c r="A173" s="3713" t="s">
        <v>129</v>
      </c>
      <c r="B173" s="3712">
        <v>31281</v>
      </c>
      <c r="C173" s="3318"/>
      <c r="D173" s="3710"/>
      <c r="E173" s="3719" t="s">
        <v>113</v>
      </c>
      <c r="F173" s="3710">
        <v>23031</v>
      </c>
      <c r="G173" s="3318"/>
      <c r="H173" s="3318"/>
      <c r="I173" s="3318"/>
    </row>
    <row r="174" spans="1:9" ht="16.5" customHeight="1">
      <c r="A174" s="3713" t="s">
        <v>128</v>
      </c>
      <c r="B174" s="3712">
        <v>31632</v>
      </c>
      <c r="C174" s="3318"/>
      <c r="D174" s="3710"/>
      <c r="E174" s="3719" t="s">
        <v>112</v>
      </c>
      <c r="F174" s="3710">
        <v>23415</v>
      </c>
      <c r="G174" s="3318"/>
      <c r="H174" s="3707">
        <f>287.5*12*2</f>
        <v>6900</v>
      </c>
      <c r="I174" s="3707">
        <f>287.5*12*1</f>
        <v>3450</v>
      </c>
    </row>
    <row r="175" spans="1:9" ht="16.5" customHeight="1">
      <c r="A175" s="3713" t="s">
        <v>127</v>
      </c>
      <c r="B175" s="3712">
        <v>31896</v>
      </c>
      <c r="C175" s="3318"/>
      <c r="D175" s="3710"/>
      <c r="E175" s="3716" t="s">
        <v>103</v>
      </c>
      <c r="F175" s="3710">
        <v>23996</v>
      </c>
      <c r="G175" s="3318"/>
    </row>
    <row r="176" spans="1:9" ht="16.5" customHeight="1">
      <c r="A176" s="3713" t="s">
        <v>126</v>
      </c>
      <c r="B176" s="3712">
        <v>32255</v>
      </c>
      <c r="C176" s="3318"/>
      <c r="D176" s="3710"/>
      <c r="E176" s="3716" t="s">
        <v>102</v>
      </c>
      <c r="F176" s="3710">
        <v>24387</v>
      </c>
      <c r="G176" s="3318"/>
      <c r="H176" s="3318"/>
      <c r="I176" s="3318"/>
    </row>
    <row r="177" spans="1:9" ht="16.5" customHeight="1">
      <c r="A177" s="3713" t="s">
        <v>125</v>
      </c>
      <c r="B177" s="3712">
        <v>32619</v>
      </c>
      <c r="C177" s="3318"/>
      <c r="D177" s="3710"/>
      <c r="E177" s="3716" t="s">
        <v>101</v>
      </c>
      <c r="F177" s="3710">
        <v>24786</v>
      </c>
      <c r="G177" s="3318"/>
      <c r="H177" s="3318"/>
      <c r="I177" s="3318">
        <f>300*12*1</f>
        <v>3600</v>
      </c>
    </row>
    <row r="178" spans="1:9" ht="16.5" customHeight="1">
      <c r="A178" s="3713" t="s">
        <v>124</v>
      </c>
      <c r="B178" s="3712">
        <v>32988</v>
      </c>
      <c r="C178" s="3318"/>
      <c r="D178" s="3710"/>
      <c r="E178" s="3716" t="s">
        <v>100</v>
      </c>
      <c r="F178" s="3710">
        <v>25193</v>
      </c>
      <c r="G178" s="3318"/>
      <c r="H178" s="3318"/>
      <c r="I178" s="3318"/>
    </row>
    <row r="179" spans="1:9" ht="16.5" customHeight="1">
      <c r="A179" s="3713" t="s">
        <v>123</v>
      </c>
      <c r="B179" s="3712">
        <v>33360</v>
      </c>
      <c r="C179" s="3318"/>
      <c r="D179" s="3710"/>
      <c r="E179" s="3716" t="s">
        <v>99</v>
      </c>
      <c r="F179" s="3710">
        <v>25608</v>
      </c>
      <c r="G179" s="3318"/>
      <c r="H179" s="3318"/>
      <c r="I179" s="3318">
        <f>312.5*12*1</f>
        <v>3750</v>
      </c>
    </row>
    <row r="180" spans="1:9" ht="16.5" customHeight="1">
      <c r="A180" s="3713" t="s">
        <v>122</v>
      </c>
      <c r="B180" s="3712">
        <v>33737</v>
      </c>
      <c r="C180" s="3318"/>
      <c r="D180" s="3710"/>
      <c r="E180" s="3716" t="s">
        <v>98</v>
      </c>
      <c r="F180" s="3710">
        <v>26029</v>
      </c>
      <c r="G180" s="3318"/>
      <c r="H180" s="3318"/>
      <c r="I180" s="3318"/>
    </row>
    <row r="181" spans="1:9" ht="16.5" customHeight="1">
      <c r="A181" s="3713" t="s">
        <v>121</v>
      </c>
      <c r="B181" s="3712">
        <v>34119</v>
      </c>
      <c r="C181" s="3318"/>
      <c r="D181" s="3710"/>
      <c r="E181" s="3716" t="s">
        <v>97</v>
      </c>
      <c r="F181" s="3710">
        <v>26460</v>
      </c>
      <c r="G181" s="3318"/>
      <c r="H181" s="3318"/>
      <c r="I181" s="3318">
        <f>325*12*1</f>
        <v>3900</v>
      </c>
    </row>
    <row r="182" spans="1:9" ht="16.5" customHeight="1">
      <c r="A182" s="3713" t="s">
        <v>120</v>
      </c>
      <c r="B182" s="3712">
        <v>34507</v>
      </c>
      <c r="C182" s="3318"/>
      <c r="D182" s="3710"/>
      <c r="E182" s="3716" t="s">
        <v>96</v>
      </c>
      <c r="F182" s="3710">
        <v>26899</v>
      </c>
      <c r="G182" s="3318"/>
      <c r="H182" s="3318"/>
    </row>
    <row r="183" spans="1:9" ht="16.5" customHeight="1">
      <c r="A183" s="3713" t="s">
        <v>119</v>
      </c>
      <c r="B183" s="3712">
        <v>34797</v>
      </c>
      <c r="C183" s="3318"/>
      <c r="D183" s="3710"/>
      <c r="E183" s="3716" t="s">
        <v>95</v>
      </c>
      <c r="F183" s="3710">
        <v>25734</v>
      </c>
      <c r="G183" s="3318"/>
      <c r="H183" s="3318">
        <f>312.5*12*1</f>
        <v>3750</v>
      </c>
      <c r="I183" s="3318">
        <f>312.5*12*1</f>
        <v>3750</v>
      </c>
    </row>
    <row r="184" spans="1:9" ht="16.5" customHeight="1">
      <c r="A184" s="3713" t="s">
        <v>118</v>
      </c>
      <c r="B184" s="3712">
        <v>35192</v>
      </c>
      <c r="C184" s="3318"/>
      <c r="D184" s="3710"/>
      <c r="E184" s="3716" t="s">
        <v>94</v>
      </c>
      <c r="F184" s="3710">
        <v>26152</v>
      </c>
      <c r="G184" s="3318"/>
      <c r="H184" s="3318"/>
      <c r="I184" s="3318"/>
    </row>
    <row r="185" spans="1:9" ht="16.5" customHeight="1">
      <c r="A185" s="3713" t="s">
        <v>117</v>
      </c>
      <c r="B185" s="3712">
        <v>35592</v>
      </c>
      <c r="C185" s="3318"/>
      <c r="D185" s="3710"/>
      <c r="E185" s="3716" t="s">
        <v>93</v>
      </c>
      <c r="F185" s="3710">
        <v>26578</v>
      </c>
      <c r="G185" s="3318"/>
      <c r="H185" s="3318"/>
      <c r="I185" s="3318">
        <f>325*12*1</f>
        <v>3900</v>
      </c>
    </row>
    <row r="186" spans="1:9" ht="16.5" customHeight="1">
      <c r="A186" s="3713" t="s">
        <v>116</v>
      </c>
      <c r="B186" s="3712">
        <v>35996</v>
      </c>
      <c r="C186" s="3318"/>
      <c r="D186" s="3710"/>
      <c r="E186" s="3716" t="s">
        <v>92</v>
      </c>
      <c r="F186" s="3710">
        <v>27012</v>
      </c>
      <c r="G186" s="3318"/>
      <c r="H186" s="3318"/>
      <c r="I186" s="3318"/>
    </row>
    <row r="187" spans="1:9" ht="16.5" customHeight="1">
      <c r="A187" s="3713" t="s">
        <v>115</v>
      </c>
      <c r="B187" s="3712">
        <v>36407</v>
      </c>
      <c r="C187" s="3318"/>
      <c r="D187" s="3710"/>
      <c r="E187" s="3716" t="s">
        <v>91</v>
      </c>
      <c r="F187" s="3710">
        <v>27456</v>
      </c>
      <c r="G187" s="3318"/>
      <c r="H187" s="3318"/>
      <c r="I187" s="3318">
        <f>337.5*12*1</f>
        <v>4050</v>
      </c>
    </row>
    <row r="188" spans="1:9" ht="16.5" customHeight="1">
      <c r="A188" s="3713" t="s">
        <v>114</v>
      </c>
      <c r="B188" s="3712">
        <v>36822</v>
      </c>
      <c r="C188" s="3318"/>
      <c r="D188" s="3710"/>
      <c r="E188" s="3716" t="s">
        <v>90</v>
      </c>
      <c r="F188" s="3710">
        <v>27906</v>
      </c>
      <c r="G188" s="3318"/>
      <c r="H188" s="3318"/>
      <c r="I188" s="3318"/>
    </row>
    <row r="189" spans="1:9" ht="16.5" customHeight="1">
      <c r="A189" s="3713" t="s">
        <v>113</v>
      </c>
      <c r="B189" s="3712">
        <v>37243</v>
      </c>
      <c r="C189" s="3318"/>
      <c r="D189" s="3710"/>
      <c r="E189" s="3716" t="s">
        <v>89</v>
      </c>
      <c r="F189" s="3710">
        <v>28366</v>
      </c>
      <c r="G189" s="3318"/>
      <c r="H189" s="3318"/>
      <c r="I189" s="3318"/>
    </row>
    <row r="190" spans="1:9" ht="16.5" customHeight="1">
      <c r="A190" s="3713" t="s">
        <v>112</v>
      </c>
      <c r="B190" s="3712">
        <v>37668</v>
      </c>
      <c r="C190" s="3318"/>
      <c r="D190" s="3710"/>
      <c r="E190" s="3716" t="s">
        <v>88</v>
      </c>
      <c r="F190" s="3710">
        <v>28834</v>
      </c>
      <c r="G190" s="3318"/>
      <c r="H190" s="3318"/>
      <c r="I190" s="3318">
        <f>350*12*1</f>
        <v>4200</v>
      </c>
    </row>
    <row r="191" spans="1:9" ht="16.5" customHeight="1">
      <c r="A191" s="3713" t="s">
        <v>111</v>
      </c>
      <c r="B191" s="3712">
        <v>37987</v>
      </c>
      <c r="C191" s="3318"/>
      <c r="D191" s="3710"/>
      <c r="E191" s="3719" t="s">
        <v>47</v>
      </c>
      <c r="F191" s="3710">
        <v>37968</v>
      </c>
      <c r="G191" s="3318"/>
    </row>
    <row r="192" spans="1:9" ht="16.5" customHeight="1">
      <c r="A192" s="3713" t="s">
        <v>110</v>
      </c>
      <c r="B192" s="3712">
        <v>38422</v>
      </c>
      <c r="C192" s="3318"/>
      <c r="D192" s="3710"/>
      <c r="E192" s="3719" t="s">
        <v>46</v>
      </c>
      <c r="F192" s="3710">
        <v>38560</v>
      </c>
      <c r="G192" s="3318"/>
    </row>
    <row r="193" spans="1:9" ht="16.5" customHeight="1">
      <c r="A193" s="3713" t="s">
        <v>109</v>
      </c>
      <c r="B193" s="3712">
        <v>38862</v>
      </c>
      <c r="C193" s="3318"/>
      <c r="D193" s="3710"/>
      <c r="E193" s="3719" t="s">
        <v>45</v>
      </c>
      <c r="F193" s="3710">
        <v>39163</v>
      </c>
      <c r="G193" s="3318"/>
    </row>
    <row r="194" spans="1:9" ht="16.5" customHeight="1">
      <c r="A194" s="3713" t="s">
        <v>108</v>
      </c>
      <c r="B194" s="3712">
        <v>39307</v>
      </c>
      <c r="C194" s="3318"/>
      <c r="D194" s="3710"/>
      <c r="E194" s="3719" t="s">
        <v>44</v>
      </c>
      <c r="F194" s="3710">
        <v>39776</v>
      </c>
      <c r="G194" s="3318"/>
      <c r="H194" s="3318">
        <f>375*12*1</f>
        <v>4500</v>
      </c>
      <c r="I194" s="3318">
        <f>375*12*1</f>
        <v>4500</v>
      </c>
    </row>
    <row r="195" spans="1:9" ht="16.5" customHeight="1">
      <c r="A195" s="3713" t="s">
        <v>107</v>
      </c>
      <c r="B195" s="3712">
        <v>39758</v>
      </c>
      <c r="C195" s="3318"/>
      <c r="D195" s="3710"/>
      <c r="E195" s="3719" t="s">
        <v>43</v>
      </c>
      <c r="F195" s="3710">
        <v>40402</v>
      </c>
      <c r="G195" s="3318"/>
      <c r="H195" s="3318"/>
    </row>
    <row r="196" spans="1:9" ht="16.5" customHeight="1">
      <c r="A196" s="3713" t="s">
        <v>106</v>
      </c>
      <c r="B196" s="3712">
        <v>40215</v>
      </c>
      <c r="C196" s="3318"/>
      <c r="D196" s="3710"/>
      <c r="E196" s="3719" t="s">
        <v>42</v>
      </c>
      <c r="F196" s="3710">
        <v>41038</v>
      </c>
      <c r="G196" s="3318"/>
    </row>
    <row r="197" spans="1:9" ht="16.5" customHeight="1">
      <c r="A197" s="3713" t="s">
        <v>105</v>
      </c>
      <c r="B197" s="3712">
        <v>40677</v>
      </c>
      <c r="C197" s="3318"/>
      <c r="D197" s="3710"/>
      <c r="E197" s="3719" t="s">
        <v>41</v>
      </c>
      <c r="F197" s="3710">
        <v>41686</v>
      </c>
      <c r="G197" s="3318"/>
    </row>
    <row r="198" spans="1:9" ht="16.5" customHeight="1">
      <c r="A198" s="3713" t="s">
        <v>104</v>
      </c>
      <c r="B198" s="3712">
        <v>41145</v>
      </c>
      <c r="C198" s="3318"/>
      <c r="D198" s="3710"/>
      <c r="E198" s="3719" t="s">
        <v>40</v>
      </c>
      <c r="F198" s="3710">
        <v>42348</v>
      </c>
      <c r="G198" s="3318"/>
      <c r="H198" s="3718"/>
    </row>
    <row r="199" spans="1:9" ht="16.5" customHeight="1">
      <c r="A199" s="3713" t="s">
        <v>103</v>
      </c>
      <c r="B199" s="3712">
        <v>41497</v>
      </c>
      <c r="C199" s="3318"/>
      <c r="D199" s="3710"/>
      <c r="E199" s="3711"/>
      <c r="F199" s="3710"/>
      <c r="G199" s="3318"/>
      <c r="H199" s="3717">
        <f>SUM(H63:H198)</f>
        <v>67950</v>
      </c>
    </row>
    <row r="200" spans="1:9" ht="16.5" customHeight="1">
      <c r="A200" s="3713" t="s">
        <v>102</v>
      </c>
      <c r="B200" s="3712">
        <v>41975</v>
      </c>
      <c r="C200" s="3318"/>
      <c r="D200" s="3710"/>
      <c r="E200" s="3318"/>
      <c r="F200" s="3318"/>
      <c r="G200" s="3318"/>
      <c r="H200" s="3318"/>
    </row>
    <row r="201" spans="1:9" ht="16.5" customHeight="1">
      <c r="A201" s="3713" t="s">
        <v>101</v>
      </c>
      <c r="B201" s="3712">
        <v>42459</v>
      </c>
      <c r="C201" s="3318"/>
      <c r="D201" s="3710"/>
      <c r="E201" s="3318"/>
      <c r="F201" s="3318"/>
      <c r="G201" s="3318"/>
      <c r="H201" s="3318"/>
    </row>
    <row r="202" spans="1:9" ht="16.5" customHeight="1">
      <c r="A202" s="3713" t="s">
        <v>100</v>
      </c>
      <c r="B202" s="3712">
        <v>42949</v>
      </c>
      <c r="C202" s="3318"/>
      <c r="D202" s="3710"/>
      <c r="E202" s="3318"/>
      <c r="F202" s="3318"/>
      <c r="G202" s="3318"/>
      <c r="H202" s="3318"/>
    </row>
    <row r="203" spans="1:9" ht="16.5" customHeight="1">
      <c r="A203" s="3713" t="s">
        <v>99</v>
      </c>
      <c r="B203" s="3712">
        <v>43445</v>
      </c>
      <c r="C203" s="3318"/>
      <c r="D203" s="3710"/>
      <c r="E203" s="3318"/>
      <c r="F203" s="3318"/>
      <c r="G203" s="3318"/>
      <c r="H203" s="3318"/>
    </row>
    <row r="204" spans="1:9" ht="16.5" customHeight="1">
      <c r="A204" s="3713" t="s">
        <v>98</v>
      </c>
      <c r="B204" s="3712">
        <v>43948</v>
      </c>
      <c r="C204" s="3318"/>
      <c r="D204" s="3710"/>
      <c r="E204" s="3318"/>
      <c r="F204" s="3318"/>
      <c r="G204" s="3318"/>
      <c r="H204" s="3318"/>
    </row>
    <row r="205" spans="1:9" ht="16.5" customHeight="1">
      <c r="A205" s="3713" t="s">
        <v>97</v>
      </c>
      <c r="B205" s="3712">
        <v>44456</v>
      </c>
      <c r="C205" s="3318"/>
      <c r="D205" s="3710"/>
      <c r="E205" s="3318"/>
      <c r="F205" s="3318"/>
      <c r="G205" s="3318"/>
      <c r="H205" s="3715"/>
    </row>
    <row r="206" spans="1:9" ht="16.5" customHeight="1">
      <c r="A206" s="3713" t="s">
        <v>96</v>
      </c>
      <c r="B206" s="3712">
        <v>44971</v>
      </c>
      <c r="C206" s="3318"/>
      <c r="D206" s="3710"/>
      <c r="E206" s="3318"/>
      <c r="F206" s="3318"/>
      <c r="G206" s="3318"/>
      <c r="H206" s="3318"/>
    </row>
    <row r="207" spans="1:9" ht="16.5" customHeight="1">
      <c r="A207" s="3713" t="s">
        <v>95</v>
      </c>
      <c r="B207" s="3712">
        <v>45897</v>
      </c>
      <c r="C207" s="3318"/>
      <c r="D207" s="3710"/>
      <c r="E207" s="3318"/>
      <c r="F207" s="3318"/>
      <c r="G207" s="3318"/>
      <c r="H207" s="3318"/>
    </row>
    <row r="208" spans="1:9" ht="16.5" customHeight="1">
      <c r="A208" s="3713" t="s">
        <v>94</v>
      </c>
      <c r="B208" s="3712">
        <v>46599</v>
      </c>
      <c r="C208" s="3318"/>
      <c r="D208" s="3710"/>
      <c r="E208" s="3318"/>
      <c r="F208" s="3318"/>
      <c r="G208" s="3318"/>
      <c r="H208" s="3318"/>
    </row>
    <row r="209" spans="1:8" ht="16.5" customHeight="1">
      <c r="A209" s="3713" t="s">
        <v>93</v>
      </c>
      <c r="B209" s="3712">
        <v>47313</v>
      </c>
      <c r="C209" s="3318"/>
      <c r="D209" s="3710"/>
      <c r="E209" s="3318"/>
      <c r="F209" s="3318"/>
      <c r="G209" s="3318"/>
      <c r="H209" s="3318"/>
    </row>
    <row r="210" spans="1:8" ht="16.5" customHeight="1">
      <c r="A210" s="3713" t="s">
        <v>92</v>
      </c>
      <c r="B210" s="3712">
        <v>48038</v>
      </c>
      <c r="C210" s="3318"/>
      <c r="D210" s="3710"/>
      <c r="E210" s="3318"/>
      <c r="F210" s="3318"/>
      <c r="G210" s="3318"/>
      <c r="H210" s="3318"/>
    </row>
    <row r="211" spans="1:8" ht="16.5" customHeight="1">
      <c r="A211" s="3713" t="s">
        <v>91</v>
      </c>
      <c r="B211" s="3712">
        <v>48775</v>
      </c>
      <c r="C211" s="3318"/>
      <c r="D211" s="3710"/>
      <c r="E211" s="3318"/>
      <c r="F211" s="3318"/>
      <c r="G211" s="3318"/>
    </row>
    <row r="212" spans="1:8" ht="16.5" customHeight="1">
      <c r="A212" s="3713" t="s">
        <v>90</v>
      </c>
      <c r="B212" s="3712">
        <v>49524</v>
      </c>
      <c r="C212" s="3318"/>
      <c r="D212" s="3710"/>
      <c r="E212" s="3318"/>
      <c r="F212" s="3318"/>
      <c r="G212" s="3318"/>
      <c r="H212" s="3318"/>
    </row>
    <row r="213" spans="1:8" ht="16.5" customHeight="1">
      <c r="A213" s="3713" t="s">
        <v>89</v>
      </c>
      <c r="B213" s="3712">
        <v>50285</v>
      </c>
      <c r="C213" s="3318"/>
      <c r="D213" s="3710"/>
      <c r="E213" s="3318"/>
      <c r="F213" s="3318"/>
      <c r="G213" s="3318"/>
      <c r="H213" s="3318"/>
    </row>
    <row r="214" spans="1:8" ht="16.5" customHeight="1">
      <c r="A214" s="3713" t="s">
        <v>88</v>
      </c>
      <c r="B214" s="3712">
        <v>51059</v>
      </c>
      <c r="C214" s="3318"/>
      <c r="D214" s="3710"/>
      <c r="E214" s="3318"/>
      <c r="F214" s="3318"/>
      <c r="G214" s="3318"/>
      <c r="H214" s="3318"/>
    </row>
    <row r="215" spans="1:8" ht="16.5" customHeight="1">
      <c r="A215" s="3713" t="s">
        <v>87</v>
      </c>
      <c r="B215" s="3712">
        <v>51538</v>
      </c>
      <c r="C215" s="3318"/>
      <c r="D215" s="3710"/>
    </row>
    <row r="216" spans="1:8" ht="16.5" customHeight="1">
      <c r="A216" s="3713" t="s">
        <v>86</v>
      </c>
      <c r="B216" s="3712">
        <v>52331</v>
      </c>
      <c r="C216" s="3318"/>
      <c r="D216" s="3710"/>
    </row>
    <row r="217" spans="1:8" ht="16.5" customHeight="1">
      <c r="A217" s="3713" t="s">
        <v>85</v>
      </c>
      <c r="B217" s="3712">
        <v>53137</v>
      </c>
      <c r="C217" s="3318"/>
      <c r="D217" s="3710"/>
    </row>
    <row r="218" spans="1:8" ht="16.5" customHeight="1">
      <c r="A218" s="3713" t="s">
        <v>84</v>
      </c>
      <c r="B218" s="3712">
        <v>53956</v>
      </c>
      <c r="C218" s="3318"/>
      <c r="D218" s="3710"/>
    </row>
    <row r="219" spans="1:8" ht="16.5" customHeight="1">
      <c r="A219" s="3713" t="s">
        <v>83</v>
      </c>
      <c r="B219" s="3712">
        <v>54789</v>
      </c>
      <c r="C219" s="3318"/>
      <c r="D219" s="3710"/>
    </row>
    <row r="220" spans="1:8" ht="16.5" customHeight="1">
      <c r="A220" s="3713" t="s">
        <v>82</v>
      </c>
      <c r="B220" s="3712">
        <v>55636</v>
      </c>
      <c r="C220" s="3318"/>
      <c r="D220" s="3710"/>
    </row>
    <row r="221" spans="1:8" ht="16.5" customHeight="1">
      <c r="A221" s="3713" t="s">
        <v>81</v>
      </c>
      <c r="B221" s="3712">
        <v>56496</v>
      </c>
      <c r="C221" s="3318"/>
      <c r="D221" s="3710"/>
    </row>
    <row r="222" spans="1:8" ht="16.5" customHeight="1">
      <c r="A222" s="3713" t="s">
        <v>80</v>
      </c>
      <c r="B222" s="3712">
        <v>57370</v>
      </c>
      <c r="C222" s="3318"/>
      <c r="D222" s="3710"/>
    </row>
    <row r="223" spans="1:8" ht="16.5" customHeight="1">
      <c r="A223" s="3713" t="s">
        <v>79</v>
      </c>
      <c r="B223" s="3712">
        <v>57856</v>
      </c>
      <c r="C223" s="3318"/>
      <c r="D223" s="3710"/>
    </row>
    <row r="224" spans="1:8" ht="16.5" customHeight="1">
      <c r="A224" s="3713" t="s">
        <v>78</v>
      </c>
      <c r="B224" s="3712">
        <v>58752</v>
      </c>
      <c r="C224" s="3318"/>
      <c r="D224" s="3710"/>
    </row>
    <row r="225" spans="1:4" ht="16.5" customHeight="1">
      <c r="A225" s="3713" t="s">
        <v>77</v>
      </c>
      <c r="B225" s="3712">
        <v>59663</v>
      </c>
      <c r="C225" s="3318"/>
      <c r="D225" s="3710"/>
    </row>
    <row r="226" spans="1:4" ht="16.5" customHeight="1">
      <c r="A226" s="3713" t="s">
        <v>76</v>
      </c>
      <c r="B226" s="3712">
        <v>60588</v>
      </c>
      <c r="C226" s="3318"/>
      <c r="D226" s="3710"/>
    </row>
    <row r="227" spans="1:4" ht="16.5" customHeight="1">
      <c r="A227" s="3713" t="s">
        <v>75</v>
      </c>
      <c r="B227" s="3712">
        <v>61530</v>
      </c>
      <c r="C227" s="3318"/>
      <c r="D227" s="3710"/>
    </row>
    <row r="228" spans="1:4" ht="16.5" customHeight="1">
      <c r="A228" s="3713" t="s">
        <v>74</v>
      </c>
      <c r="B228" s="3712">
        <v>62485</v>
      </c>
      <c r="C228" s="3318"/>
      <c r="D228" s="3710"/>
    </row>
    <row r="229" spans="1:4" ht="16.5" customHeight="1">
      <c r="A229" s="3713" t="s">
        <v>73</v>
      </c>
      <c r="B229" s="3712">
        <v>63457</v>
      </c>
      <c r="C229" s="3318"/>
      <c r="D229" s="3710"/>
    </row>
    <row r="230" spans="1:4" ht="16.5" customHeight="1">
      <c r="A230" s="3713" t="s">
        <v>72</v>
      </c>
      <c r="B230" s="3712">
        <v>64445</v>
      </c>
      <c r="C230" s="3318"/>
      <c r="D230" s="3710"/>
    </row>
    <row r="231" spans="1:4" ht="16.5" customHeight="1">
      <c r="A231" s="3713" t="s">
        <v>71</v>
      </c>
      <c r="B231" s="3712">
        <v>64994</v>
      </c>
      <c r="C231" s="3318"/>
      <c r="D231" s="3710"/>
    </row>
    <row r="232" spans="1:4" ht="16.5" customHeight="1">
      <c r="A232" s="3713" t="s">
        <v>70</v>
      </c>
      <c r="B232" s="3712">
        <v>66007</v>
      </c>
      <c r="C232" s="3318"/>
      <c r="D232" s="3710"/>
    </row>
    <row r="233" spans="1:4" ht="16.5" customHeight="1">
      <c r="A233" s="3713" t="s">
        <v>69</v>
      </c>
      <c r="B233" s="3712">
        <v>67037</v>
      </c>
      <c r="C233" s="3318"/>
      <c r="D233" s="3710"/>
    </row>
    <row r="234" spans="1:4" ht="16.5" customHeight="1">
      <c r="A234" s="3713" t="s">
        <v>68</v>
      </c>
      <c r="B234" s="3712">
        <v>68083</v>
      </c>
      <c r="C234" s="3318"/>
      <c r="D234" s="3710"/>
    </row>
    <row r="235" spans="1:4" ht="16.5" customHeight="1">
      <c r="A235" s="3713" t="s">
        <v>67</v>
      </c>
      <c r="B235" s="3712">
        <v>69146</v>
      </c>
      <c r="C235" s="3318"/>
      <c r="D235" s="3710"/>
    </row>
    <row r="236" spans="1:4" ht="16.5" customHeight="1">
      <c r="A236" s="3713" t="s">
        <v>66</v>
      </c>
      <c r="B236" s="3712">
        <v>70227</v>
      </c>
      <c r="C236" s="3318"/>
      <c r="D236" s="3710"/>
    </row>
    <row r="237" spans="1:4" ht="16.5" customHeight="1">
      <c r="A237" s="3713" t="s">
        <v>65</v>
      </c>
      <c r="B237" s="3712">
        <v>71325</v>
      </c>
      <c r="C237" s="3318"/>
      <c r="D237" s="3710"/>
    </row>
    <row r="238" spans="1:4" ht="16.5" customHeight="1">
      <c r="A238" s="3713" t="s">
        <v>64</v>
      </c>
      <c r="B238" s="3712">
        <v>72440</v>
      </c>
      <c r="C238" s="3318"/>
      <c r="D238" s="3710"/>
    </row>
    <row r="239" spans="1:4" ht="16.5" customHeight="1">
      <c r="A239" s="3713" t="s">
        <v>63</v>
      </c>
      <c r="B239" s="3712">
        <v>73062</v>
      </c>
      <c r="C239" s="3318"/>
      <c r="D239" s="3710"/>
    </row>
    <row r="240" spans="1:4" ht="16.5" customHeight="1">
      <c r="A240" s="3713" t="s">
        <v>62</v>
      </c>
      <c r="B240" s="3712">
        <v>74205</v>
      </c>
      <c r="C240" s="3318"/>
      <c r="D240" s="3710"/>
    </row>
    <row r="241" spans="1:4" ht="16.5" customHeight="1">
      <c r="A241" s="3713" t="s">
        <v>61</v>
      </c>
      <c r="B241" s="3712">
        <v>75369</v>
      </c>
      <c r="C241" s="3318"/>
      <c r="D241" s="3710"/>
    </row>
    <row r="242" spans="1:4" ht="16.5" customHeight="1">
      <c r="A242" s="3713" t="s">
        <v>60</v>
      </c>
      <c r="B242" s="3712">
        <v>76554</v>
      </c>
      <c r="C242" s="3318"/>
      <c r="D242" s="3710"/>
    </row>
    <row r="243" spans="1:4" ht="16.5" customHeight="1">
      <c r="A243" s="3713" t="s">
        <v>59</v>
      </c>
      <c r="B243" s="3712">
        <v>77804</v>
      </c>
      <c r="C243" s="3318"/>
      <c r="D243" s="3710"/>
    </row>
    <row r="244" spans="1:4" ht="16.5" customHeight="1">
      <c r="A244" s="3713" t="s">
        <v>58</v>
      </c>
      <c r="B244" s="3712">
        <v>79073</v>
      </c>
      <c r="C244" s="3318"/>
      <c r="D244" s="3710"/>
    </row>
    <row r="245" spans="1:4" ht="16.5" customHeight="1">
      <c r="A245" s="3713" t="s">
        <v>57</v>
      </c>
      <c r="B245" s="3712">
        <v>80364</v>
      </c>
      <c r="C245" s="3318"/>
      <c r="D245" s="3710"/>
    </row>
    <row r="246" spans="1:4" ht="16.5" customHeight="1">
      <c r="A246" s="3713" t="s">
        <v>56</v>
      </c>
      <c r="B246" s="3712">
        <v>81676</v>
      </c>
      <c r="C246" s="3318"/>
      <c r="D246" s="3710"/>
    </row>
    <row r="247" spans="1:4" ht="16.5" customHeight="1">
      <c r="A247" s="3713" t="s">
        <v>55</v>
      </c>
      <c r="B247" s="3712">
        <v>82405</v>
      </c>
      <c r="C247" s="3318"/>
      <c r="D247" s="3710"/>
    </row>
    <row r="248" spans="1:4" ht="16.5" customHeight="1">
      <c r="A248" s="3713" t="s">
        <v>54</v>
      </c>
      <c r="B248" s="3712">
        <v>83750</v>
      </c>
      <c r="C248" s="3318"/>
      <c r="D248" s="3710"/>
    </row>
    <row r="249" spans="1:4" ht="16.5" customHeight="1">
      <c r="A249" s="3713" t="s">
        <v>53</v>
      </c>
      <c r="B249" s="3712">
        <v>85117</v>
      </c>
      <c r="C249" s="3318"/>
      <c r="D249" s="3710"/>
    </row>
    <row r="250" spans="1:4" ht="16.5" customHeight="1">
      <c r="A250" s="3713" t="s">
        <v>52</v>
      </c>
      <c r="B250" s="3712">
        <v>86506</v>
      </c>
      <c r="C250" s="3318"/>
      <c r="D250" s="3710"/>
    </row>
    <row r="251" spans="1:4" ht="16.5" customHeight="1">
      <c r="A251" s="3713" t="s">
        <v>51</v>
      </c>
      <c r="B251" s="3712">
        <v>87918</v>
      </c>
      <c r="C251" s="3318"/>
      <c r="D251" s="3710"/>
    </row>
    <row r="252" spans="1:4" ht="16.5" customHeight="1">
      <c r="A252" s="3713" t="s">
        <v>50</v>
      </c>
      <c r="B252" s="3712">
        <v>89354</v>
      </c>
      <c r="C252" s="3318"/>
      <c r="D252" s="3710"/>
    </row>
    <row r="253" spans="1:4" ht="16.5" customHeight="1">
      <c r="A253" s="3713" t="s">
        <v>49</v>
      </c>
      <c r="B253" s="3712">
        <v>90812</v>
      </c>
      <c r="C253" s="3318"/>
      <c r="D253" s="3710"/>
    </row>
    <row r="254" spans="1:4" ht="16.5" customHeight="1">
      <c r="A254" s="3713" t="s">
        <v>48</v>
      </c>
      <c r="B254" s="3712">
        <v>92294</v>
      </c>
      <c r="C254" s="3318"/>
      <c r="D254" s="3710"/>
    </row>
    <row r="255" spans="1:4" ht="16.5" customHeight="1">
      <c r="A255" s="3713" t="s">
        <v>47</v>
      </c>
      <c r="B255" s="3712">
        <v>93942</v>
      </c>
      <c r="C255" s="3318"/>
      <c r="D255" s="3710"/>
    </row>
    <row r="256" spans="1:4" ht="16.5" customHeight="1">
      <c r="A256" s="3713" t="s">
        <v>46</v>
      </c>
      <c r="B256" s="3712">
        <v>95475</v>
      </c>
      <c r="C256" s="3318"/>
      <c r="D256" s="3710"/>
    </row>
    <row r="257" spans="1:11" ht="16.5" customHeight="1">
      <c r="A257" s="3713" t="s">
        <v>45</v>
      </c>
      <c r="B257" s="3712">
        <v>97033</v>
      </c>
      <c r="C257" s="3318"/>
      <c r="D257" s="3710"/>
    </row>
    <row r="258" spans="1:11" ht="16.5" customHeight="1">
      <c r="A258" s="3713" t="s">
        <v>44</v>
      </c>
      <c r="B258" s="3712">
        <v>98618</v>
      </c>
      <c r="C258" s="3318"/>
      <c r="D258" s="3710"/>
    </row>
    <row r="259" spans="1:11" ht="16.5" customHeight="1">
      <c r="A259" s="3713" t="s">
        <v>43</v>
      </c>
      <c r="B259" s="3712">
        <v>100227</v>
      </c>
      <c r="C259" s="3318"/>
      <c r="D259" s="3710"/>
    </row>
    <row r="260" spans="1:11" ht="16.5" customHeight="1">
      <c r="A260" s="3713" t="s">
        <v>42</v>
      </c>
      <c r="B260" s="3712">
        <v>101863</v>
      </c>
      <c r="C260" s="3318"/>
      <c r="D260" s="3710"/>
    </row>
    <row r="261" spans="1:11" ht="16.5" customHeight="1">
      <c r="A261" s="3713" t="s">
        <v>41</v>
      </c>
      <c r="B261" s="3712">
        <v>103525</v>
      </c>
      <c r="C261" s="3318"/>
      <c r="D261" s="3710"/>
    </row>
    <row r="262" spans="1:11" ht="16.5" customHeight="1">
      <c r="A262" s="3713" t="s">
        <v>40</v>
      </c>
      <c r="B262" s="3712">
        <v>105215</v>
      </c>
      <c r="C262" s="3318"/>
      <c r="D262" s="3710"/>
    </row>
    <row r="263" spans="1:11" ht="16.5" customHeight="1">
      <c r="A263" s="3713" t="s">
        <v>39</v>
      </c>
      <c r="B263" s="3712">
        <v>106155</v>
      </c>
      <c r="C263" s="3318"/>
      <c r="D263" s="3710"/>
    </row>
    <row r="264" spans="1:11" ht="16.5" customHeight="1">
      <c r="A264" s="3713" t="s">
        <v>38</v>
      </c>
      <c r="B264" s="3712">
        <v>107887</v>
      </c>
      <c r="C264" s="3318"/>
      <c r="D264" s="3710"/>
    </row>
    <row r="265" spans="1:11" ht="16.5" customHeight="1">
      <c r="A265" s="3713" t="s">
        <v>37</v>
      </c>
      <c r="B265" s="3712">
        <v>109648</v>
      </c>
      <c r="C265" s="3318"/>
      <c r="D265" s="3710"/>
    </row>
    <row r="266" spans="1:11" ht="16.5" customHeight="1">
      <c r="A266" s="3713" t="s">
        <v>36</v>
      </c>
      <c r="B266" s="3712">
        <v>111438</v>
      </c>
      <c r="C266" s="3318"/>
      <c r="D266" s="3710"/>
    </row>
    <row r="267" spans="1:11" ht="16.5" customHeight="1">
      <c r="A267" s="3713" t="s">
        <v>35</v>
      </c>
      <c r="B267" s="3712">
        <v>113256</v>
      </c>
      <c r="C267" s="3318"/>
      <c r="D267" s="3710"/>
    </row>
    <row r="268" spans="1:11" ht="16.5" customHeight="1">
      <c r="A268" s="3713" t="s">
        <v>34</v>
      </c>
      <c r="B268" s="3712">
        <v>115105</v>
      </c>
      <c r="C268" s="3318"/>
      <c r="D268" s="3710"/>
    </row>
    <row r="269" spans="1:11" ht="16.5" customHeight="1">
      <c r="A269" s="3713" t="s">
        <v>33</v>
      </c>
      <c r="B269" s="3712">
        <v>116983</v>
      </c>
      <c r="C269" s="3318"/>
      <c r="D269" s="3710"/>
    </row>
    <row r="270" spans="1:11" ht="16.5" customHeight="1">
      <c r="A270" s="3713" t="s">
        <v>32</v>
      </c>
      <c r="B270" s="3712">
        <v>118893</v>
      </c>
      <c r="C270" s="3318"/>
      <c r="D270" s="3710"/>
    </row>
    <row r="271" spans="1:11" ht="16.5" customHeight="1">
      <c r="A271" s="3714" t="s">
        <v>31</v>
      </c>
      <c r="B271" s="3712">
        <v>119954</v>
      </c>
      <c r="C271" s="3318"/>
      <c r="D271" s="3710"/>
    </row>
    <row r="272" spans="1:11" ht="15.75">
      <c r="A272" s="3714" t="s">
        <v>30</v>
      </c>
      <c r="B272" s="3712">
        <v>121913</v>
      </c>
      <c r="C272" s="3318"/>
      <c r="D272" s="3710"/>
      <c r="E272" s="3318"/>
      <c r="F272" s="3318"/>
      <c r="G272" s="3318"/>
      <c r="H272" s="3318"/>
      <c r="K272" s="3716"/>
    </row>
    <row r="273" spans="1:11" ht="15.75">
      <c r="A273" s="3714" t="s">
        <v>29</v>
      </c>
      <c r="B273" s="3712">
        <v>123902</v>
      </c>
      <c r="C273" s="3318"/>
      <c r="D273" s="3710"/>
      <c r="E273" s="3318"/>
      <c r="F273" s="3318"/>
      <c r="G273" s="3318"/>
      <c r="H273" s="3318"/>
      <c r="K273" s="3716"/>
    </row>
    <row r="274" spans="1:11" ht="15.75">
      <c r="A274" s="3714" t="s">
        <v>28</v>
      </c>
      <c r="B274" s="3712">
        <v>125924</v>
      </c>
      <c r="C274" s="3318"/>
      <c r="D274" s="3710"/>
      <c r="E274" s="3318"/>
      <c r="F274" s="3318"/>
      <c r="G274" s="3318"/>
      <c r="H274" s="3318"/>
      <c r="K274" s="3716"/>
    </row>
    <row r="275" spans="1:11" ht="15.75">
      <c r="A275" s="3714" t="s">
        <v>27</v>
      </c>
      <c r="B275" s="3712">
        <v>127979</v>
      </c>
      <c r="C275" s="3318"/>
      <c r="D275" s="3710"/>
      <c r="E275" s="3318"/>
      <c r="F275" s="3318"/>
      <c r="G275" s="3318"/>
      <c r="H275" s="3318"/>
      <c r="K275" s="3716"/>
    </row>
    <row r="276" spans="1:11" ht="15.75">
      <c r="A276" s="3714" t="s">
        <v>26</v>
      </c>
      <c r="B276" s="3712">
        <v>130068</v>
      </c>
      <c r="C276" s="3318"/>
      <c r="D276" s="3710"/>
      <c r="E276" s="3318"/>
      <c r="F276" s="3318"/>
      <c r="G276" s="3318"/>
      <c r="H276" s="3318"/>
      <c r="K276" s="3716"/>
    </row>
    <row r="277" spans="1:11" ht="15.75">
      <c r="A277" s="3714" t="s">
        <v>25</v>
      </c>
      <c r="B277" s="3712">
        <v>132192</v>
      </c>
      <c r="C277" s="3318"/>
      <c r="D277" s="3710"/>
      <c r="E277" s="3318"/>
      <c r="F277" s="3318"/>
      <c r="G277" s="3318"/>
      <c r="H277" s="3318"/>
    </row>
    <row r="278" spans="1:11" ht="15.75">
      <c r="A278" s="3714" t="s">
        <v>24</v>
      </c>
      <c r="B278" s="3712">
        <v>134349</v>
      </c>
      <c r="C278" s="3318"/>
      <c r="D278" s="3710"/>
      <c r="E278" s="3318"/>
      <c r="F278" s="3318"/>
      <c r="G278" s="3318"/>
      <c r="H278" s="3318"/>
    </row>
    <row r="279" spans="1:11" ht="15.75">
      <c r="A279" s="3714" t="s">
        <v>23</v>
      </c>
      <c r="B279" s="3712">
        <v>135549</v>
      </c>
      <c r="C279" s="3318"/>
      <c r="D279" s="3710"/>
      <c r="E279" s="3318"/>
      <c r="F279" s="3318"/>
      <c r="G279" s="3318"/>
      <c r="H279" s="3318"/>
    </row>
    <row r="280" spans="1:11" ht="15.75">
      <c r="A280" s="3714" t="s">
        <v>22</v>
      </c>
      <c r="B280" s="3712">
        <v>137760</v>
      </c>
      <c r="C280" s="3318"/>
      <c r="D280" s="3710"/>
      <c r="E280" s="3318"/>
      <c r="F280" s="3318"/>
      <c r="G280" s="3318"/>
      <c r="H280" s="3318"/>
    </row>
    <row r="281" spans="1:11" ht="15.75">
      <c r="A281" s="3714" t="s">
        <v>21</v>
      </c>
      <c r="B281" s="3712">
        <v>140009</v>
      </c>
      <c r="C281" s="3318"/>
      <c r="D281" s="3710"/>
      <c r="E281" s="3318"/>
      <c r="F281" s="3318"/>
      <c r="G281" s="3318"/>
      <c r="H281" s="3715"/>
    </row>
    <row r="282" spans="1:11" ht="15.75">
      <c r="A282" s="3714" t="s">
        <v>20</v>
      </c>
      <c r="B282" s="3712">
        <v>142295</v>
      </c>
      <c r="C282" s="3318"/>
      <c r="D282" s="3710"/>
      <c r="E282" s="3318"/>
      <c r="F282" s="3318"/>
      <c r="G282" s="3318"/>
      <c r="H282" s="3318"/>
    </row>
    <row r="283" spans="1:11" ht="15.75">
      <c r="A283" s="3714" t="s">
        <v>19</v>
      </c>
      <c r="B283" s="3712">
        <v>144617</v>
      </c>
      <c r="C283" s="3318"/>
      <c r="D283" s="3710"/>
      <c r="E283" s="3318"/>
      <c r="F283" s="3318"/>
      <c r="G283" s="3318"/>
      <c r="H283" s="3318"/>
    </row>
    <row r="284" spans="1:11" ht="15.75">
      <c r="A284" s="3714" t="s">
        <v>18</v>
      </c>
      <c r="B284" s="3712">
        <v>146978</v>
      </c>
      <c r="C284" s="3318"/>
      <c r="D284" s="3710"/>
      <c r="E284" s="3318"/>
      <c r="F284" s="3318"/>
      <c r="G284" s="3318"/>
      <c r="H284" s="3318"/>
    </row>
    <row r="285" spans="1:11" ht="15.75">
      <c r="A285" s="3714" t="s">
        <v>17</v>
      </c>
      <c r="B285" s="3712">
        <v>149377</v>
      </c>
      <c r="C285" s="3318"/>
      <c r="D285" s="3710"/>
      <c r="E285" s="3318"/>
      <c r="F285" s="3318"/>
      <c r="G285" s="3318"/>
      <c r="H285" s="3318"/>
    </row>
    <row r="286" spans="1:11" ht="15.75">
      <c r="A286" s="3714" t="s">
        <v>16</v>
      </c>
      <c r="B286" s="3712">
        <v>151814</v>
      </c>
      <c r="C286" s="3318"/>
      <c r="D286" s="3710"/>
      <c r="E286" s="3318"/>
      <c r="F286" s="3318"/>
      <c r="G286" s="3318"/>
      <c r="H286" s="3318"/>
    </row>
    <row r="287" spans="1:11" ht="15.75">
      <c r="A287" s="3714" t="s">
        <v>15</v>
      </c>
      <c r="B287" s="3712">
        <v>153169</v>
      </c>
      <c r="C287" s="3318"/>
      <c r="D287" s="3710"/>
      <c r="E287" s="3318"/>
      <c r="F287" s="3318"/>
      <c r="G287" s="3318"/>
    </row>
    <row r="288" spans="1:11" ht="15.75">
      <c r="A288" s="3714" t="s">
        <v>14</v>
      </c>
      <c r="B288" s="3712">
        <v>155670</v>
      </c>
      <c r="C288" s="3318"/>
      <c r="D288" s="3710"/>
      <c r="E288" s="3318"/>
      <c r="F288" s="3318"/>
      <c r="G288" s="3318"/>
      <c r="H288" s="3318"/>
    </row>
    <row r="289" spans="1:8" ht="15.75">
      <c r="A289" s="3714" t="s">
        <v>13</v>
      </c>
      <c r="B289" s="3712">
        <v>158210</v>
      </c>
      <c r="C289" s="3318"/>
      <c r="D289" s="3710"/>
      <c r="E289" s="3318"/>
      <c r="F289" s="3318"/>
      <c r="G289" s="3318"/>
      <c r="H289" s="3318"/>
    </row>
    <row r="290" spans="1:8" ht="15.75">
      <c r="A290" s="3714" t="s">
        <v>12</v>
      </c>
      <c r="B290" s="3712">
        <v>160793</v>
      </c>
      <c r="C290" s="3318"/>
      <c r="D290" s="3710"/>
      <c r="E290" s="3318"/>
      <c r="F290" s="3318"/>
      <c r="G290" s="3318"/>
      <c r="H290" s="3318"/>
    </row>
    <row r="291" spans="1:8" ht="15.75">
      <c r="A291" s="3714" t="s">
        <v>11</v>
      </c>
      <c r="B291" s="3712">
        <v>163417</v>
      </c>
      <c r="C291" s="3318"/>
      <c r="D291" s="3710"/>
    </row>
    <row r="292" spans="1:8" ht="15.75">
      <c r="A292" s="3714" t="s">
        <v>10</v>
      </c>
      <c r="B292" s="3712">
        <v>166085</v>
      </c>
      <c r="C292" s="3318"/>
      <c r="D292" s="3710"/>
    </row>
    <row r="293" spans="1:8" ht="15.75">
      <c r="A293" s="3714" t="s">
        <v>9</v>
      </c>
      <c r="B293" s="3712">
        <v>168795</v>
      </c>
      <c r="C293" s="3318"/>
      <c r="D293" s="3710"/>
    </row>
    <row r="294" spans="1:8" ht="15.75">
      <c r="A294" s="3714" t="s">
        <v>8</v>
      </c>
      <c r="B294" s="3712">
        <v>171550</v>
      </c>
      <c r="C294" s="3318"/>
      <c r="D294" s="3710"/>
    </row>
    <row r="295" spans="1:8" ht="15.75">
      <c r="A295" s="3713" t="s">
        <v>7</v>
      </c>
      <c r="B295" s="3712">
        <v>173081</v>
      </c>
      <c r="C295" s="3318"/>
      <c r="D295" s="3710"/>
    </row>
    <row r="296" spans="1:8" ht="15.75">
      <c r="A296" s="3713" t="s">
        <v>6</v>
      </c>
      <c r="B296" s="3712">
        <v>175907</v>
      </c>
      <c r="C296" s="3318"/>
      <c r="D296" s="3710"/>
    </row>
    <row r="297" spans="1:8" ht="15.75">
      <c r="A297" s="3713" t="s">
        <v>5</v>
      </c>
      <c r="B297" s="3712">
        <v>178778</v>
      </c>
      <c r="C297" s="3318"/>
      <c r="D297" s="3710"/>
    </row>
    <row r="298" spans="1:8" ht="15.75">
      <c r="A298" s="3713" t="s">
        <v>4</v>
      </c>
      <c r="B298" s="3712">
        <v>181696</v>
      </c>
      <c r="C298" s="3318"/>
      <c r="D298" s="3710"/>
    </row>
    <row r="299" spans="1:8" ht="15.75">
      <c r="A299" s="3713" t="s">
        <v>3</v>
      </c>
      <c r="B299" s="3712">
        <v>184661</v>
      </c>
      <c r="C299" s="3318"/>
      <c r="D299" s="3710"/>
    </row>
    <row r="300" spans="1:8" ht="15.75">
      <c r="A300" s="3713" t="s">
        <v>2</v>
      </c>
      <c r="B300" s="3712">
        <v>187675</v>
      </c>
      <c r="C300" s="3318"/>
      <c r="D300" s="3710"/>
    </row>
    <row r="301" spans="1:8" ht="15.75">
      <c r="A301" s="3713" t="s">
        <v>1</v>
      </c>
      <c r="B301" s="3712">
        <v>190738</v>
      </c>
      <c r="C301" s="3318"/>
      <c r="D301" s="3710"/>
    </row>
    <row r="302" spans="1:8" ht="15.75">
      <c r="A302" s="3713" t="s">
        <v>0</v>
      </c>
      <c r="B302" s="3712">
        <v>193851</v>
      </c>
      <c r="C302" s="3318"/>
      <c r="D302" s="3710"/>
    </row>
    <row r="303" spans="1:8">
      <c r="A303" s="3711"/>
      <c r="B303" s="3710"/>
      <c r="C303" s="3709"/>
    </row>
    <row r="304" spans="1:8">
      <c r="A304" s="3711"/>
      <c r="B304" s="3710"/>
      <c r="C304" s="3709"/>
    </row>
    <row r="305" spans="1:3">
      <c r="A305" s="3711"/>
      <c r="B305" s="3710"/>
      <c r="C305" s="3709"/>
    </row>
    <row r="306" spans="1:3">
      <c r="A306" s="3711"/>
      <c r="B306" s="3710"/>
      <c r="C306" s="3709"/>
    </row>
  </sheetData>
  <mergeCells count="12">
    <mergeCell ref="E9:F9"/>
    <mergeCell ref="G9:H9"/>
    <mergeCell ref="A10:B10"/>
    <mergeCell ref="E10:F10"/>
    <mergeCell ref="G10:H10"/>
    <mergeCell ref="A11:B11"/>
    <mergeCell ref="A51:B51"/>
    <mergeCell ref="A3:I3"/>
    <mergeCell ref="A4:I4"/>
    <mergeCell ref="A5:I5"/>
    <mergeCell ref="E8:F8"/>
    <mergeCell ref="G8:H8"/>
  </mergeCells>
  <printOptions horizontalCentered="1"/>
  <pageMargins left="0.5" right="0" top="0.25" bottom="1.25" header="0" footer="0"/>
  <pageSetup paperSize="5" orientation="portrait" r:id="rId1"/>
  <headerFooter alignWithMargins="0"/>
  <drawing r:id="rId2"/>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 transitionEvaluation="1" transitionEntry="1">
    <tabColor rgb="FF7030A0"/>
    <outlinePr summaryBelow="0"/>
  </sheetPr>
  <dimension ref="A1:EH102"/>
  <sheetViews>
    <sheetView showGridLines="0" showOutlineSymbols="0" topLeftCell="A40" workbookViewId="0">
      <selection activeCell="A63" sqref="A63"/>
    </sheetView>
  </sheetViews>
  <sheetFormatPr defaultColWidth="12.5703125" defaultRowHeight="15.75" outlineLevelRow="2" outlineLevelCol="2"/>
  <cols>
    <col min="1" max="1" width="1.85546875" style="1390" customWidth="1"/>
    <col min="2" max="2" width="33.140625" style="1390" customWidth="1"/>
    <col min="3" max="3" width="12.7109375" style="3161" customWidth="1"/>
    <col min="4" max="4" width="10.28515625" style="3161" customWidth="1"/>
    <col min="5" max="5" width="9.7109375" style="3161" customWidth="1"/>
    <col min="6" max="6" width="10.28515625" style="3161" customWidth="1"/>
    <col min="7" max="7" width="9.85546875" style="3161" customWidth="1"/>
    <col min="8" max="8" width="10.28515625" style="3161" customWidth="1"/>
    <col min="9" max="37" width="12.5703125" style="1390"/>
    <col min="38" max="42" width="12.5703125" style="1390" outlineLevel="1"/>
    <col min="43" max="48" width="12.5703125" style="1390" outlineLevel="2"/>
    <col min="49" max="51" width="12.5703125" style="1390" outlineLevel="1"/>
    <col min="52" max="71" width="12.5703125" style="1390"/>
    <col min="72" max="75" width="12.5703125" style="1390" outlineLevel="1"/>
    <col min="76" max="123" width="12.5703125" style="1390"/>
    <col min="124" max="129" width="12.5703125" style="1390" outlineLevel="1"/>
    <col min="130" max="135" width="12.5703125" style="1390" outlineLevel="2"/>
    <col min="136" max="138" width="12.5703125" style="1390" outlineLevel="1"/>
    <col min="139" max="16384" width="12.5703125" style="1390"/>
  </cols>
  <sheetData>
    <row r="1" spans="1:9">
      <c r="A1" s="3285" t="s">
        <v>473</v>
      </c>
      <c r="B1" s="1403"/>
      <c r="E1" s="3285"/>
      <c r="F1" s="3285"/>
      <c r="G1" s="3285"/>
      <c r="H1" s="3285"/>
    </row>
    <row r="2" spans="1:9" ht="14.25" customHeight="1">
      <c r="A2" s="3284" t="s">
        <v>1291</v>
      </c>
      <c r="B2" s="1403"/>
      <c r="E2" s="3284"/>
      <c r="F2" s="3284"/>
      <c r="G2" s="3284"/>
      <c r="H2" s="3284"/>
    </row>
    <row r="3" spans="1:9" ht="14.25" customHeight="1">
      <c r="A3" s="1403"/>
      <c r="B3" s="1403"/>
      <c r="E3" s="3284"/>
      <c r="F3" s="3284"/>
      <c r="G3" s="3284"/>
      <c r="H3" s="3284"/>
    </row>
    <row r="4" spans="1:9" ht="14.25" customHeight="1">
      <c r="A4" s="4741" t="s">
        <v>471</v>
      </c>
      <c r="B4" s="4741"/>
      <c r="C4" s="4741"/>
      <c r="D4" s="4741"/>
      <c r="E4" s="4741"/>
      <c r="F4" s="4741"/>
      <c r="G4" s="4741"/>
      <c r="H4" s="4741"/>
    </row>
    <row r="5" spans="1:9" ht="14.25" customHeight="1">
      <c r="A5" s="4742" t="s">
        <v>746</v>
      </c>
      <c r="B5" s="4742"/>
      <c r="C5" s="4742"/>
      <c r="D5" s="4742"/>
      <c r="E5" s="4742"/>
      <c r="F5" s="4742"/>
      <c r="G5" s="4742"/>
      <c r="H5" s="4742"/>
    </row>
    <row r="6" spans="1:9" ht="14.25" customHeight="1">
      <c r="A6" s="1578"/>
      <c r="B6" s="1578"/>
      <c r="C6" s="3852"/>
      <c r="D6" s="3852"/>
      <c r="E6" s="3852"/>
      <c r="F6" s="3852"/>
      <c r="G6" s="3852"/>
      <c r="H6" s="3282"/>
    </row>
    <row r="7" spans="1:9" ht="14.25" customHeight="1">
      <c r="A7" s="3135"/>
      <c r="B7" s="1577" t="s">
        <v>2803</v>
      </c>
    </row>
    <row r="8" spans="1:9" ht="14.25" customHeight="1">
      <c r="A8" s="4743" t="s">
        <v>468</v>
      </c>
      <c r="B8" s="4744"/>
      <c r="C8" s="3280" t="s">
        <v>467</v>
      </c>
      <c r="D8" s="3220" t="s">
        <v>466</v>
      </c>
      <c r="E8" s="4948" t="s">
        <v>465</v>
      </c>
      <c r="F8" s="4949"/>
      <c r="G8" s="4950"/>
      <c r="H8" s="3220" t="s">
        <v>2345</v>
      </c>
    </row>
    <row r="9" spans="1:9" ht="14.25" customHeight="1">
      <c r="A9" s="4745"/>
      <c r="B9" s="4746"/>
      <c r="C9" s="3279" t="s">
        <v>463</v>
      </c>
      <c r="D9" s="3218">
        <v>2020</v>
      </c>
      <c r="E9" s="3218" t="s">
        <v>2344</v>
      </c>
      <c r="F9" s="3218" t="s">
        <v>2343</v>
      </c>
      <c r="G9" s="3218"/>
      <c r="H9" s="3218" t="s">
        <v>2342</v>
      </c>
    </row>
    <row r="10" spans="1:9" ht="14.25" customHeight="1">
      <c r="A10" s="4745"/>
      <c r="B10" s="4746"/>
      <c r="C10" s="3279"/>
      <c r="D10" s="3218"/>
      <c r="E10" s="3218" t="s">
        <v>2341</v>
      </c>
      <c r="F10" s="3218" t="s">
        <v>2341</v>
      </c>
      <c r="G10" s="3218" t="s">
        <v>244</v>
      </c>
      <c r="H10" s="3218" t="s">
        <v>652</v>
      </c>
    </row>
    <row r="11" spans="1:9" ht="14.25" customHeight="1">
      <c r="A11" s="4747"/>
      <c r="B11" s="4748"/>
      <c r="C11" s="3278"/>
      <c r="D11" s="3215" t="s">
        <v>460</v>
      </c>
      <c r="E11" s="3215" t="s">
        <v>460</v>
      </c>
      <c r="F11" s="3215" t="s">
        <v>459</v>
      </c>
      <c r="G11" s="3216"/>
      <c r="H11" s="3215" t="s">
        <v>458</v>
      </c>
    </row>
    <row r="12" spans="1:9" ht="20.100000000000001" customHeight="1">
      <c r="A12" s="3109" t="s">
        <v>456</v>
      </c>
      <c r="B12" s="1569"/>
      <c r="C12" s="3275"/>
      <c r="D12" s="3275"/>
      <c r="E12" s="3275"/>
      <c r="F12" s="3274"/>
      <c r="G12" s="3274"/>
      <c r="H12" s="3274"/>
    </row>
    <row r="13" spans="1:9" ht="20.100000000000001" customHeight="1">
      <c r="A13" s="3851" t="s">
        <v>455</v>
      </c>
      <c r="B13" s="3850"/>
      <c r="C13" s="3849"/>
      <c r="D13" s="3642">
        <f>SUM(D15:D37)</f>
        <v>9688120.7999999989</v>
      </c>
      <c r="E13" s="3642">
        <f>SUM(E15:E37)</f>
        <v>4454045.0699999994</v>
      </c>
      <c r="F13" s="3642">
        <f>SUM(F15:F37)</f>
        <v>6912369.9300000006</v>
      </c>
      <c r="G13" s="3642">
        <f>SUM(G15:G37)</f>
        <v>11366415</v>
      </c>
      <c r="H13" s="3642">
        <f>SUM(H15:H37)</f>
        <v>12886652</v>
      </c>
    </row>
    <row r="14" spans="1:9" ht="16.7" customHeight="1" outlineLevel="1">
      <c r="A14" s="3270" t="s">
        <v>454</v>
      </c>
      <c r="B14" s="3269"/>
      <c r="C14" s="3267"/>
      <c r="D14" s="3268"/>
      <c r="E14" s="3268"/>
      <c r="F14" s="3267"/>
      <c r="G14" s="3267"/>
      <c r="H14" s="3267"/>
    </row>
    <row r="15" spans="1:9" ht="16.7" customHeight="1" outlineLevel="1">
      <c r="A15" s="1527" t="s">
        <v>426</v>
      </c>
      <c r="B15" s="3700"/>
      <c r="C15" s="3266" t="s">
        <v>453</v>
      </c>
      <c r="D15" s="3180">
        <f>[31]GSD!$E$13</f>
        <v>5745342.3599999994</v>
      </c>
      <c r="E15" s="3052">
        <f>[32]GSD!$E$13</f>
        <v>3030734.13</v>
      </c>
      <c r="F15" s="3052">
        <f>G15-E15</f>
        <v>4196793.87</v>
      </c>
      <c r="G15" s="2619">
        <f>[32]GSD!$C$13</f>
        <v>7227528</v>
      </c>
      <c r="H15" s="2619">
        <f>'[33]GSD-FINAL'!$H$54</f>
        <v>7579692</v>
      </c>
      <c r="I15" s="1390">
        <f>H15*0.1</f>
        <v>757969.20000000007</v>
      </c>
    </row>
    <row r="16" spans="1:9" ht="16.7" customHeight="1" outlineLevel="1">
      <c r="A16" s="3261" t="s">
        <v>452</v>
      </c>
      <c r="B16" s="3700"/>
      <c r="C16" s="3212"/>
      <c r="D16" s="3180"/>
      <c r="E16" s="3052"/>
      <c r="F16" s="3052"/>
      <c r="G16" s="2619"/>
      <c r="H16" s="2619"/>
    </row>
    <row r="17" spans="1:10" ht="16.7" customHeight="1" outlineLevel="1">
      <c r="A17" s="1527" t="s">
        <v>1507</v>
      </c>
      <c r="B17" s="3700"/>
      <c r="C17" s="3266" t="s">
        <v>450</v>
      </c>
      <c r="D17" s="3180">
        <f>[31]GSD!$E$14</f>
        <v>431799.99</v>
      </c>
      <c r="E17" s="3052">
        <f>[32]GSD!$E$14</f>
        <v>264000</v>
      </c>
      <c r="F17" s="3052">
        <f t="shared" ref="F17:F24" si="0">G17-E17</f>
        <v>288000</v>
      </c>
      <c r="G17" s="2619">
        <f>[32]GSD!$C$14</f>
        <v>552000</v>
      </c>
      <c r="H17" s="2619">
        <f>'[33]GSD-FINAL'!$B$50*2000*12</f>
        <v>576000</v>
      </c>
    </row>
    <row r="18" spans="1:10" ht="16.7" customHeight="1" outlineLevel="1">
      <c r="A18" s="1527" t="s">
        <v>449</v>
      </c>
      <c r="B18" s="3700"/>
      <c r="C18" s="3266" t="s">
        <v>448</v>
      </c>
      <c r="D18" s="3180">
        <f>[31]GSD!$E$15</f>
        <v>85500</v>
      </c>
      <c r="E18" s="3260">
        <f>[32]GSD!$E$15</f>
        <v>42750</v>
      </c>
      <c r="F18" s="3052">
        <f t="shared" si="0"/>
        <v>42750</v>
      </c>
      <c r="G18" s="3262">
        <f>[32]GSD!$C$15</f>
        <v>85500</v>
      </c>
      <c r="H18" s="2619">
        <v>85500</v>
      </c>
    </row>
    <row r="19" spans="1:10" ht="16.7" customHeight="1" outlineLevel="1">
      <c r="A19" s="1527" t="s">
        <v>447</v>
      </c>
      <c r="B19" s="3700"/>
      <c r="C19" s="3266" t="s">
        <v>446</v>
      </c>
      <c r="D19" s="3180">
        <f>[31]GSD!$E$16</f>
        <v>85500</v>
      </c>
      <c r="E19" s="3260">
        <f>[32]GSD!$E$16</f>
        <v>42750</v>
      </c>
      <c r="F19" s="3052">
        <f t="shared" si="0"/>
        <v>42750</v>
      </c>
      <c r="G19" s="3262">
        <f>[32]GSD!$C$16</f>
        <v>85500</v>
      </c>
      <c r="H19" s="2619">
        <v>85500</v>
      </c>
    </row>
    <row r="20" spans="1:10" ht="16.7" customHeight="1" outlineLevel="1">
      <c r="A20" s="1527" t="s">
        <v>445</v>
      </c>
      <c r="B20" s="3700"/>
      <c r="C20" s="3266" t="s">
        <v>2360</v>
      </c>
      <c r="D20" s="3180">
        <f>[31]GSD!$E$17</f>
        <v>102000</v>
      </c>
      <c r="E20" s="3260">
        <f>[32]GSD!$E$17</f>
        <v>120000</v>
      </c>
      <c r="F20" s="3052">
        <f t="shared" si="0"/>
        <v>18000</v>
      </c>
      <c r="G20" s="3262">
        <f>[32]GSD!$C$17</f>
        <v>138000</v>
      </c>
      <c r="H20" s="3262">
        <f>'[33]GSD-FINAL'!$B$50*6000</f>
        <v>144000</v>
      </c>
    </row>
    <row r="21" spans="1:10" ht="16.7" customHeight="1" outlineLevel="1">
      <c r="A21" s="1520" t="s">
        <v>441</v>
      </c>
      <c r="B21" s="3700"/>
      <c r="C21" s="3266" t="s">
        <v>440</v>
      </c>
      <c r="D21" s="3180">
        <f>[31]GSD!$E$18</f>
        <v>62347.89</v>
      </c>
      <c r="E21" s="3260">
        <f>[32]GSD!$E$18</f>
        <v>6156.5499999999993</v>
      </c>
      <c r="F21" s="3052">
        <f t="shared" si="0"/>
        <v>193843.45</v>
      </c>
      <c r="G21" s="3262">
        <f>[32]GSD!$C$18</f>
        <v>200000</v>
      </c>
      <c r="H21" s="3262">
        <v>200000</v>
      </c>
    </row>
    <row r="22" spans="1:10" ht="16.7" customHeight="1" outlineLevel="1">
      <c r="A22" s="1527" t="s">
        <v>1506</v>
      </c>
      <c r="B22" s="3700"/>
      <c r="C22" s="3212" t="s">
        <v>439</v>
      </c>
      <c r="D22" s="3180">
        <f>[31]GSD!$E$19</f>
        <v>465949</v>
      </c>
      <c r="E22" s="3260">
        <f>[32]GSD!$E$19</f>
        <v>0</v>
      </c>
      <c r="F22" s="3052">
        <f t="shared" si="0"/>
        <v>602294</v>
      </c>
      <c r="G22" s="3262">
        <f>[32]GSD!$C$19</f>
        <v>602294</v>
      </c>
      <c r="H22" s="2619">
        <f>H15/12</f>
        <v>631641</v>
      </c>
      <c r="I22" s="1390">
        <f>H22*0.1</f>
        <v>63164.100000000006</v>
      </c>
    </row>
    <row r="23" spans="1:10" ht="16.7" customHeight="1" outlineLevel="1">
      <c r="A23" s="1527" t="s">
        <v>2359</v>
      </c>
      <c r="B23" s="3700"/>
      <c r="C23" s="3212" t="s">
        <v>437</v>
      </c>
      <c r="D23" s="3180">
        <f>[31]GSD!$E$20</f>
        <v>89500</v>
      </c>
      <c r="E23" s="3264">
        <f>[32]GSD!$E$20</f>
        <v>0</v>
      </c>
      <c r="F23" s="3052">
        <f t="shared" si="0"/>
        <v>115000</v>
      </c>
      <c r="G23" s="3265">
        <f>[32]GSD!$C$20</f>
        <v>115000</v>
      </c>
      <c r="H23" s="3265">
        <f>'[33]GSD-FINAL'!$B$50*5000</f>
        <v>120000</v>
      </c>
    </row>
    <row r="24" spans="1:10" ht="16.7" customHeight="1" outlineLevel="1">
      <c r="A24" s="1527" t="s">
        <v>436</v>
      </c>
      <c r="B24" s="3700"/>
      <c r="C24" s="3212" t="s">
        <v>435</v>
      </c>
      <c r="D24" s="3180">
        <f>[31]GSD!$E$21</f>
        <v>463613</v>
      </c>
      <c r="E24" s="3260">
        <f>[32]GSD!$E$21</f>
        <v>495600</v>
      </c>
      <c r="F24" s="3052">
        <f t="shared" si="0"/>
        <v>106694</v>
      </c>
      <c r="G24" s="3262">
        <f>[32]GSD!$C$21</f>
        <v>602294</v>
      </c>
      <c r="H24" s="2619">
        <f>H22</f>
        <v>631641</v>
      </c>
      <c r="I24" s="1390">
        <f>H24*0.1</f>
        <v>63164.100000000006</v>
      </c>
    </row>
    <row r="25" spans="1:10" ht="16.7" customHeight="1" outlineLevel="1">
      <c r="A25" s="3261" t="s">
        <v>434</v>
      </c>
      <c r="B25" s="3700"/>
      <c r="C25" s="3212"/>
      <c r="D25" s="3180"/>
      <c r="E25" s="3260"/>
      <c r="F25" s="3052"/>
      <c r="G25" s="3262"/>
      <c r="H25" s="2619"/>
    </row>
    <row r="26" spans="1:10" ht="16.7" customHeight="1" outlineLevel="1">
      <c r="A26" s="1527" t="s">
        <v>421</v>
      </c>
      <c r="B26" s="3700"/>
      <c r="C26" s="3212" t="s">
        <v>433</v>
      </c>
      <c r="D26" s="3180">
        <f>[31]GSD!$E$22</f>
        <v>689441</v>
      </c>
      <c r="E26" s="3260">
        <f>[32]GSD!$E$22</f>
        <v>363688.08999999997</v>
      </c>
      <c r="F26" s="3052">
        <f>G26-E26</f>
        <v>503615.91000000003</v>
      </c>
      <c r="G26" s="3262">
        <f>[32]GSD!$C$22</f>
        <v>867304</v>
      </c>
      <c r="H26" s="2619">
        <v>909564</v>
      </c>
      <c r="I26" s="1390">
        <f>H26*0.1</f>
        <v>90956.400000000009</v>
      </c>
      <c r="J26" s="1390">
        <f>H15*0.12</f>
        <v>909563.03999999992</v>
      </c>
    </row>
    <row r="27" spans="1:10" ht="16.7" customHeight="1" outlineLevel="1">
      <c r="A27" s="1527" t="s">
        <v>2358</v>
      </c>
      <c r="B27" s="3700"/>
      <c r="C27" s="3212" t="s">
        <v>431</v>
      </c>
      <c r="D27" s="3180">
        <f>[31]GSD!$E$23</f>
        <v>21600</v>
      </c>
      <c r="E27" s="3260">
        <f>[32]GSD!$E$23</f>
        <v>11500</v>
      </c>
      <c r="F27" s="3052">
        <f>G27-E27</f>
        <v>16100</v>
      </c>
      <c r="G27" s="3262">
        <f>[32]GSD!$C$23</f>
        <v>27600</v>
      </c>
      <c r="H27" s="3052">
        <f>'[33]GSD-FINAL'!$B$50*100*12</f>
        <v>28800</v>
      </c>
    </row>
    <row r="28" spans="1:10" ht="16.7" customHeight="1" outlineLevel="1">
      <c r="A28" s="1527" t="s">
        <v>418</v>
      </c>
      <c r="B28" s="3700"/>
      <c r="C28" s="3212" t="s">
        <v>430</v>
      </c>
      <c r="D28" s="3180">
        <f>[31]GSD!$E$24</f>
        <v>77712.010000000009</v>
      </c>
      <c r="E28" s="3260">
        <f>[32]GSD!$E$24</f>
        <v>40366.300000000003</v>
      </c>
      <c r="F28" s="3052">
        <f>G28-E28</f>
        <v>79075.7</v>
      </c>
      <c r="G28" s="3262">
        <f>[32]GSD!$C$24</f>
        <v>119442</v>
      </c>
      <c r="H28" s="3052">
        <f>'[33]GSD-FINAL'!$K$56</f>
        <v>121691</v>
      </c>
      <c r="I28" s="1393">
        <f>H28*0.1</f>
        <v>12169.1</v>
      </c>
    </row>
    <row r="29" spans="1:10" ht="16.7" customHeight="1" outlineLevel="1">
      <c r="A29" s="1527" t="s">
        <v>428</v>
      </c>
      <c r="B29" s="3700"/>
      <c r="C29" s="3212" t="s">
        <v>427</v>
      </c>
      <c r="D29" s="3180">
        <f>[31]GSD!$E$25</f>
        <v>21600</v>
      </c>
      <c r="E29" s="3260">
        <f>[32]GSD!$E$25</f>
        <v>11500</v>
      </c>
      <c r="F29" s="3052">
        <f>G29-E29</f>
        <v>16100</v>
      </c>
      <c r="G29" s="3223">
        <f>[32]GSD!$C$25</f>
        <v>27600</v>
      </c>
      <c r="H29" s="3052">
        <f>'[33]GSD-FINAL'!$B$50*100*12</f>
        <v>28800</v>
      </c>
      <c r="I29" s="1390">
        <f>SUM(I15:I28)</f>
        <v>987422.9</v>
      </c>
    </row>
    <row r="30" spans="1:10" ht="16.7" customHeight="1" outlineLevel="1">
      <c r="A30" s="3261" t="s">
        <v>425</v>
      </c>
      <c r="B30" s="3700"/>
      <c r="C30" s="3212"/>
      <c r="D30" s="3180"/>
      <c r="E30" s="3260"/>
      <c r="F30" s="3052"/>
      <c r="G30" s="3223"/>
      <c r="H30" s="3052"/>
      <c r="I30" s="3848">
        <v>987423</v>
      </c>
    </row>
    <row r="31" spans="1:10" ht="16.7" customHeight="1" outlineLevel="1">
      <c r="A31" s="1527" t="s">
        <v>423</v>
      </c>
      <c r="B31" s="3700"/>
      <c r="C31" s="3212" t="s">
        <v>422</v>
      </c>
      <c r="D31" s="3180">
        <f>[31]GSD!$E$26</f>
        <v>0</v>
      </c>
      <c r="E31" s="3260">
        <f>[32]GSD!$E$26</f>
        <v>0</v>
      </c>
      <c r="F31" s="3052">
        <f>G31-E31</f>
        <v>1000</v>
      </c>
      <c r="G31" s="3223">
        <f>[32]GSD!$C$26</f>
        <v>1000</v>
      </c>
      <c r="H31" s="3052">
        <v>605400</v>
      </c>
    </row>
    <row r="32" spans="1:10" ht="16.7" customHeight="1" outlineLevel="1">
      <c r="A32" s="1527" t="s">
        <v>420</v>
      </c>
      <c r="B32" s="3700"/>
      <c r="C32" s="3255" t="s">
        <v>1996</v>
      </c>
      <c r="D32" s="3233">
        <f>[31]GSD!$E$27</f>
        <v>1192715.55</v>
      </c>
      <c r="E32" s="3254">
        <f>[32]GSD!$E$27</f>
        <v>0</v>
      </c>
      <c r="F32" s="3052">
        <f>G32-E32</f>
        <v>569353</v>
      </c>
      <c r="G32" s="3223">
        <f>[32]GSD!$C$27</f>
        <v>569353</v>
      </c>
      <c r="H32" s="3052">
        <f>I30</f>
        <v>987423</v>
      </c>
    </row>
    <row r="33" spans="1:9" ht="16.7" customHeight="1" outlineLevel="1">
      <c r="A33" s="1527" t="s">
        <v>2802</v>
      </c>
      <c r="B33" s="3700"/>
      <c r="C33" s="3255" t="s">
        <v>2399</v>
      </c>
      <c r="D33" s="3233">
        <f>[31]GSD!$E$28</f>
        <v>10000</v>
      </c>
      <c r="E33" s="3254">
        <f>[32]GSD!$E$28</f>
        <v>25000</v>
      </c>
      <c r="F33" s="3052">
        <f>G33-E33</f>
        <v>5000</v>
      </c>
      <c r="G33" s="3254">
        <f>[32]GSD!$C$28</f>
        <v>30000</v>
      </c>
      <c r="H33" s="3052">
        <v>30000</v>
      </c>
    </row>
    <row r="34" spans="1:9" ht="16.7" customHeight="1" outlineLevel="1">
      <c r="A34" s="1527" t="s">
        <v>2801</v>
      </c>
      <c r="B34" s="3700"/>
      <c r="C34" s="3255" t="s">
        <v>2357</v>
      </c>
      <c r="D34" s="3233">
        <f>[31]GSD!$E$29</f>
        <v>0</v>
      </c>
      <c r="E34" s="3254">
        <f>[32]GSD!$E$29</f>
        <v>0</v>
      </c>
      <c r="F34" s="3052">
        <f>G34-E34</f>
        <v>1000</v>
      </c>
      <c r="G34" s="3254">
        <f>[32]GSD!$C$29</f>
        <v>1000</v>
      </c>
      <c r="H34" s="3052">
        <v>1000</v>
      </c>
    </row>
    <row r="35" spans="1:9" ht="16.7" customHeight="1" outlineLevel="1">
      <c r="A35" s="3830" t="s">
        <v>2800</v>
      </c>
      <c r="B35" s="3826"/>
      <c r="C35" s="3255"/>
      <c r="D35" s="3233"/>
      <c r="E35" s="3254"/>
      <c r="F35" s="3052"/>
      <c r="G35" s="3254"/>
      <c r="H35" s="3052"/>
    </row>
    <row r="36" spans="1:9" ht="16.7" customHeight="1" outlineLevel="1">
      <c r="A36" s="3847"/>
      <c r="B36" s="3228" t="s">
        <v>1688</v>
      </c>
      <c r="C36" s="3255" t="s">
        <v>2355</v>
      </c>
      <c r="D36" s="3180">
        <f>[31]GSD!$E$30</f>
        <v>92500</v>
      </c>
      <c r="E36" s="3260">
        <f>[32]GSD!$E$30</f>
        <v>0</v>
      </c>
      <c r="F36" s="3052">
        <f>G36-E36</f>
        <v>115000</v>
      </c>
      <c r="G36" s="3260">
        <f>[32]GSD!$C$30</f>
        <v>115000</v>
      </c>
      <c r="H36" s="3052">
        <f>'[33]GSD-FINAL'!$B$50*5000</f>
        <v>120000</v>
      </c>
      <c r="I36" s="1396"/>
    </row>
    <row r="37" spans="1:9" ht="16.7" customHeight="1" outlineLevel="1">
      <c r="A37" s="3825" t="s">
        <v>782</v>
      </c>
      <c r="B37" s="3846"/>
      <c r="C37" s="3251" t="s">
        <v>2718</v>
      </c>
      <c r="D37" s="3229">
        <f>[31]GSD!$E$31</f>
        <v>51000</v>
      </c>
      <c r="E37" s="3306">
        <v>0</v>
      </c>
      <c r="F37" s="3047">
        <f>G37-E37</f>
        <v>0</v>
      </c>
      <c r="G37" s="3306">
        <v>0</v>
      </c>
      <c r="H37" s="3047">
        <v>0</v>
      </c>
    </row>
    <row r="38" spans="1:9" s="1395" customFormat="1" ht="20.100000000000001" customHeight="1" outlineLevel="1">
      <c r="A38" s="3699" t="s">
        <v>407</v>
      </c>
      <c r="B38" s="3845"/>
      <c r="C38" s="3190"/>
      <c r="D38" s="1512">
        <f>SUM(D39:D82)</f>
        <v>11084102.65</v>
      </c>
      <c r="E38" s="1512">
        <f>SUM(E39:E82)</f>
        <v>7185157.3500000006</v>
      </c>
      <c r="F38" s="1512">
        <f>SUM(F39:F82)</f>
        <v>6333655.1699999999</v>
      </c>
      <c r="G38" s="1512">
        <f>SUM(G39:G82)</f>
        <v>13518812.52</v>
      </c>
      <c r="H38" s="1512">
        <f>SUM(H39:H82)</f>
        <v>13369040</v>
      </c>
    </row>
    <row r="39" spans="1:9" s="2288" customFormat="1" ht="16.7" customHeight="1" outlineLevel="1">
      <c r="A39" s="3844" t="s">
        <v>2352</v>
      </c>
      <c r="B39" s="3844"/>
      <c r="C39" s="3236" t="s">
        <v>405</v>
      </c>
      <c r="D39" s="3303">
        <f>[31]GSD!$E$33</f>
        <v>49284</v>
      </c>
      <c r="E39" s="3302">
        <f>[32]GSD!$E$32</f>
        <v>22082</v>
      </c>
      <c r="F39" s="3072">
        <f>G39-E39</f>
        <v>127918</v>
      </c>
      <c r="G39" s="3235">
        <f>[32]GSD!$C$32</f>
        <v>150000</v>
      </c>
      <c r="H39" s="3072">
        <v>100000</v>
      </c>
    </row>
    <row r="40" spans="1:9" s="2288" customFormat="1" ht="16.7" customHeight="1" outlineLevel="1">
      <c r="A40" s="1520" t="s">
        <v>404</v>
      </c>
      <c r="B40" s="1520"/>
      <c r="C40" s="3203" t="s">
        <v>403</v>
      </c>
      <c r="D40" s="3180">
        <f>[31]GSD!$E$34</f>
        <v>0</v>
      </c>
      <c r="E40" s="3301">
        <f>[32]GSD!$E$33</f>
        <v>0</v>
      </c>
      <c r="F40" s="3052">
        <f>G40-E40</f>
        <v>50000</v>
      </c>
      <c r="G40" s="3234">
        <f>[32]GSD!$C$33</f>
        <v>50000</v>
      </c>
      <c r="H40" s="3052">
        <v>50000</v>
      </c>
    </row>
    <row r="41" spans="1:9" s="2248" customFormat="1" ht="16.7" customHeight="1" outlineLevel="1">
      <c r="A41" s="1520" t="s">
        <v>402</v>
      </c>
      <c r="B41" s="1520"/>
      <c r="C41" s="3184" t="s">
        <v>401</v>
      </c>
      <c r="D41" s="3233">
        <f>[31]GSD!$E$35</f>
        <v>100595.31999999999</v>
      </c>
      <c r="E41" s="3301">
        <f>[32]GSD!$E$34</f>
        <v>61446</v>
      </c>
      <c r="F41" s="3052">
        <f>G41-E41</f>
        <v>68554</v>
      </c>
      <c r="G41" s="3199">
        <f>[32]GSD!$C$34</f>
        <v>130000</v>
      </c>
      <c r="H41" s="2619">
        <v>130000</v>
      </c>
    </row>
    <row r="42" spans="1:9" s="2248" customFormat="1" ht="16.7" customHeight="1" outlineLevel="1">
      <c r="A42" s="1520" t="s">
        <v>674</v>
      </c>
      <c r="B42" s="1527"/>
      <c r="C42" s="3184" t="s">
        <v>396</v>
      </c>
      <c r="D42" s="3180">
        <f>[31]GSD!$E$36</f>
        <v>76169.19</v>
      </c>
      <c r="E42" s="3222">
        <f>[32]GSD!$E$35</f>
        <v>28580.28</v>
      </c>
      <c r="F42" s="3052">
        <f>G42-E42</f>
        <v>171419.72</v>
      </c>
      <c r="G42" s="3199">
        <f>[32]GSD!$C$35</f>
        <v>200000</v>
      </c>
      <c r="H42" s="2619">
        <v>200000</v>
      </c>
    </row>
    <row r="43" spans="1:9" s="2248" customFormat="1" ht="16.7" customHeight="1" outlineLevel="1">
      <c r="A43" s="1520" t="s">
        <v>2793</v>
      </c>
      <c r="B43" s="1527"/>
      <c r="C43" s="3184"/>
      <c r="D43" s="3180"/>
      <c r="E43" s="2619"/>
      <c r="F43" s="3052"/>
      <c r="G43" s="3199"/>
      <c r="H43" s="2619"/>
    </row>
    <row r="44" spans="1:9" s="2248" customFormat="1" ht="16.7" customHeight="1" outlineLevel="1">
      <c r="A44" s="1520"/>
      <c r="B44" s="3839" t="s">
        <v>2799</v>
      </c>
      <c r="C44" s="3184" t="s">
        <v>2798</v>
      </c>
      <c r="D44" s="3180">
        <f>[31]GSD!$E$38</f>
        <v>1581942.3699999999</v>
      </c>
      <c r="E44" s="2619">
        <f>[32]GSD!$E$37</f>
        <v>909577.41999999993</v>
      </c>
      <c r="F44" s="3052">
        <f>G44-E44</f>
        <v>790422.58000000007</v>
      </c>
      <c r="G44" s="3199">
        <f>[32]GSD!$C$37</f>
        <v>1700000</v>
      </c>
      <c r="H44" s="2619">
        <v>1700000</v>
      </c>
    </row>
    <row r="45" spans="1:9" s="2248" customFormat="1" ht="16.7" customHeight="1" outlineLevel="1">
      <c r="A45" s="1520"/>
      <c r="B45" s="3839" t="s">
        <v>2797</v>
      </c>
      <c r="C45" s="3184" t="s">
        <v>2796</v>
      </c>
      <c r="D45" s="3180">
        <f>[31]GSD!$E$40</f>
        <v>3760266.5</v>
      </c>
      <c r="E45" s="2619">
        <f>[32]GSD!$E$39</f>
        <v>2647615</v>
      </c>
      <c r="F45" s="3052">
        <f>G45-E45</f>
        <v>2352385</v>
      </c>
      <c r="G45" s="3199">
        <f>[32]GSD!$C$39</f>
        <v>5000000</v>
      </c>
      <c r="H45" s="2619">
        <v>5000000</v>
      </c>
    </row>
    <row r="46" spans="1:9" s="2248" customFormat="1" ht="16.7" customHeight="1" outlineLevel="1">
      <c r="A46" s="1520" t="s">
        <v>2793</v>
      </c>
      <c r="B46" s="3700"/>
      <c r="C46" s="3184"/>
      <c r="D46" s="3180"/>
      <c r="E46" s="2619"/>
      <c r="F46" s="3052"/>
      <c r="G46" s="3199"/>
      <c r="H46" s="2619"/>
    </row>
    <row r="47" spans="1:9" s="2248" customFormat="1" ht="16.7" customHeight="1" outlineLevel="1">
      <c r="A47" s="1520"/>
      <c r="B47" s="3839" t="s">
        <v>2795</v>
      </c>
      <c r="C47" s="3184" t="s">
        <v>2794</v>
      </c>
      <c r="D47" s="3180">
        <f>[31]GSD!$E$42</f>
        <v>1247952.08</v>
      </c>
      <c r="E47" s="2619">
        <f>[32]GSD!$E$41</f>
        <v>592964.28000000014</v>
      </c>
      <c r="F47" s="3052">
        <f>G47-E47</f>
        <v>907035.71999999986</v>
      </c>
      <c r="G47" s="3199">
        <f>[32]GSD!$C$41</f>
        <v>1500000</v>
      </c>
      <c r="H47" s="2619">
        <v>1500000</v>
      </c>
    </row>
    <row r="48" spans="1:9" s="2248" customFormat="1" ht="16.7" customHeight="1" outlineLevel="1">
      <c r="A48" s="1520" t="s">
        <v>2793</v>
      </c>
      <c r="B48" s="3700"/>
      <c r="C48" s="3184"/>
      <c r="D48" s="3180"/>
      <c r="E48" s="2619"/>
      <c r="F48" s="3052"/>
      <c r="G48" s="3199"/>
      <c r="H48" s="2619"/>
    </row>
    <row r="49" spans="1:8" s="2248" customFormat="1" ht="16.7" customHeight="1" outlineLevel="1">
      <c r="A49" s="1520"/>
      <c r="B49" s="3839" t="s">
        <v>2792</v>
      </c>
      <c r="C49" s="3184" t="s">
        <v>2393</v>
      </c>
      <c r="D49" s="3180">
        <f>[31]GSD!$E$44</f>
        <v>9600</v>
      </c>
      <c r="E49" s="2619">
        <f>[32]GSD!$E$43</f>
        <v>0</v>
      </c>
      <c r="F49" s="3052">
        <f>G49-E49</f>
        <v>94320</v>
      </c>
      <c r="G49" s="3199">
        <f>[32]GSD!$C$43</f>
        <v>94320</v>
      </c>
      <c r="H49" s="2619">
        <v>94320</v>
      </c>
    </row>
    <row r="50" spans="1:8" s="2248" customFormat="1" ht="16.7" customHeight="1" outlineLevel="1">
      <c r="A50" s="1520" t="s">
        <v>673</v>
      </c>
      <c r="B50" s="1527"/>
      <c r="C50" s="3184" t="s">
        <v>1269</v>
      </c>
      <c r="D50" s="3180">
        <f>[31]GSD!$E$45</f>
        <v>381201.54999999993</v>
      </c>
      <c r="E50" s="2619">
        <f>[32]GSD!$E$44</f>
        <v>157701.94999999998</v>
      </c>
      <c r="F50" s="3052">
        <f>G50-E50</f>
        <v>132298.05000000002</v>
      </c>
      <c r="G50" s="3199">
        <f>[32]GSD!$C$44</f>
        <v>290000</v>
      </c>
      <c r="H50" s="2619">
        <v>290000</v>
      </c>
    </row>
    <row r="51" spans="1:8" s="2248" customFormat="1" ht="16.7" customHeight="1" outlineLevel="1">
      <c r="A51" s="1520" t="s">
        <v>700</v>
      </c>
      <c r="B51" s="1527"/>
      <c r="C51" s="3184" t="s">
        <v>392</v>
      </c>
      <c r="D51" s="3180">
        <f>[31]GSD!$E$46</f>
        <v>85</v>
      </c>
      <c r="E51" s="2619">
        <f>[32]GSD!$E$45</f>
        <v>0</v>
      </c>
      <c r="F51" s="3052">
        <f>G51-E51</f>
        <v>5000</v>
      </c>
      <c r="G51" s="3199">
        <f>[32]GSD!$C$45</f>
        <v>5000</v>
      </c>
      <c r="H51" s="2619">
        <v>5000</v>
      </c>
    </row>
    <row r="52" spans="1:8" s="2248" customFormat="1" ht="16.7" customHeight="1" outlineLevel="1">
      <c r="A52" s="1520" t="s">
        <v>699</v>
      </c>
      <c r="B52" s="1527"/>
      <c r="C52" s="3212" t="s">
        <v>390</v>
      </c>
      <c r="D52" s="3180">
        <f>[31]GSD!$E$47</f>
        <v>49801.950000000004</v>
      </c>
      <c r="E52" s="2619">
        <f>[32]GSD!$E$46</f>
        <v>21421.329999999998</v>
      </c>
      <c r="F52" s="3052">
        <f>G52-E52</f>
        <v>71751.19</v>
      </c>
      <c r="G52" s="3199">
        <f>[32]GSD!$C$46</f>
        <v>93172.52</v>
      </c>
      <c r="H52" s="2619">
        <v>92400</v>
      </c>
    </row>
    <row r="53" spans="1:8" s="2248" customFormat="1" ht="16.7" customHeight="1" outlineLevel="1">
      <c r="A53" s="3843" t="s">
        <v>389</v>
      </c>
      <c r="B53" s="3843"/>
      <c r="C53" s="3230" t="s">
        <v>388</v>
      </c>
      <c r="D53" s="3195">
        <f>[31]GSD!$E$48</f>
        <v>410226.23</v>
      </c>
      <c r="E53" s="3193">
        <f>[32]GSD!$E$47</f>
        <v>188850</v>
      </c>
      <c r="F53" s="3047">
        <f>G53-E53</f>
        <v>286350</v>
      </c>
      <c r="G53" s="3194">
        <f>[32]GSD!$C$47</f>
        <v>475200</v>
      </c>
      <c r="H53" s="3193">
        <v>475200</v>
      </c>
    </row>
    <row r="54" spans="1:8" s="2248" customFormat="1" ht="16.7" customHeight="1" outlineLevel="1">
      <c r="A54" s="3842"/>
      <c r="B54" s="3842"/>
      <c r="C54" s="3212"/>
      <c r="D54" s="3224"/>
      <c r="E54" s="3222"/>
      <c r="F54" s="3222"/>
      <c r="G54" s="3227"/>
      <c r="H54" s="3222"/>
    </row>
    <row r="55" spans="1:8" s="2248" customFormat="1" ht="16.7" customHeight="1" outlineLevel="1">
      <c r="A55" s="3842"/>
      <c r="B55" s="3842"/>
      <c r="C55" s="3212"/>
      <c r="D55" s="3224"/>
      <c r="E55" s="3222"/>
      <c r="F55" s="3222"/>
      <c r="G55" s="3227"/>
      <c r="H55" s="3222"/>
    </row>
    <row r="56" spans="1:8" s="2248" customFormat="1" ht="16.7" customHeight="1" outlineLevel="1">
      <c r="A56" s="3842"/>
      <c r="B56" s="3842"/>
      <c r="C56" s="3212"/>
      <c r="D56" s="3224"/>
      <c r="E56" s="3222"/>
      <c r="F56" s="3222"/>
      <c r="G56" s="3227"/>
      <c r="H56" s="3222"/>
    </row>
    <row r="57" spans="1:8" s="2248" customFormat="1" ht="16.7" customHeight="1" outlineLevel="1">
      <c r="A57" s="3842"/>
      <c r="B57" s="3842"/>
      <c r="C57" s="3212"/>
      <c r="D57" s="3224"/>
      <c r="E57" s="3222"/>
      <c r="F57" s="3222"/>
      <c r="G57" s="3227"/>
      <c r="H57" s="3222"/>
    </row>
    <row r="58" spans="1:8" s="2288" customFormat="1" ht="16.7" customHeight="1" outlineLevel="1">
      <c r="A58" s="3842"/>
      <c r="B58" s="3842"/>
      <c r="C58" s="3212"/>
      <c r="D58" s="3224"/>
      <c r="E58" s="3222"/>
      <c r="F58" s="3222"/>
      <c r="G58" s="3227"/>
      <c r="H58" s="3222"/>
    </row>
    <row r="59" spans="1:8" s="2288" customFormat="1" ht="16.7" customHeight="1" outlineLevel="1">
      <c r="A59" s="3842"/>
      <c r="B59" s="3842"/>
      <c r="C59" s="3212"/>
      <c r="D59" s="3224"/>
      <c r="E59" s="3222"/>
      <c r="F59" s="3222"/>
      <c r="G59" s="3227"/>
      <c r="H59" s="3222"/>
    </row>
    <row r="60" spans="1:8" s="2288" customFormat="1" ht="16.7" customHeight="1" outlineLevel="1">
      <c r="A60" s="3842"/>
      <c r="B60" s="3842"/>
      <c r="C60" s="3212"/>
      <c r="D60" s="3224"/>
      <c r="E60" s="3222"/>
      <c r="F60" s="3222"/>
      <c r="G60" s="3227"/>
      <c r="H60" s="3222"/>
    </row>
    <row r="61" spans="1:8" s="2288" customFormat="1" ht="16.7" customHeight="1" outlineLevel="1">
      <c r="A61" s="3285" t="s">
        <v>473</v>
      </c>
      <c r="B61" s="3842"/>
      <c r="C61" s="3212"/>
      <c r="D61" s="3224"/>
      <c r="E61" s="3222"/>
      <c r="F61" s="3222"/>
      <c r="G61" s="3227"/>
      <c r="H61" s="3222"/>
    </row>
    <row r="62" spans="1:8" s="2288" customFormat="1" ht="16.7" customHeight="1" outlineLevel="1">
      <c r="A62" s="3284" t="s">
        <v>2791</v>
      </c>
      <c r="B62" s="3842"/>
      <c r="C62" s="3212"/>
      <c r="D62" s="3224"/>
      <c r="E62" s="3222"/>
      <c r="F62" s="3222"/>
      <c r="G62" s="3227"/>
      <c r="H62" s="3222"/>
    </row>
    <row r="63" spans="1:8" s="2288" customFormat="1" ht="16.7" customHeight="1" outlineLevel="1">
      <c r="A63" s="3284"/>
      <c r="B63" s="3842"/>
      <c r="C63" s="3212"/>
      <c r="D63" s="3224"/>
      <c r="E63" s="3222"/>
      <c r="F63" s="3222"/>
      <c r="G63" s="3227"/>
      <c r="H63" s="3222"/>
    </row>
    <row r="64" spans="1:8" s="2288" customFormat="1" ht="16.7" customHeight="1" outlineLevel="1">
      <c r="A64" s="3284"/>
      <c r="B64" s="3842"/>
      <c r="C64" s="3212"/>
      <c r="D64" s="3224"/>
      <c r="E64" s="3222"/>
      <c r="F64" s="3222"/>
      <c r="G64" s="3227"/>
      <c r="H64" s="3222"/>
    </row>
    <row r="65" spans="1:8" s="2288" customFormat="1" ht="16.7" customHeight="1" outlineLevel="1">
      <c r="A65" s="4743" t="s">
        <v>468</v>
      </c>
      <c r="B65" s="4744"/>
      <c r="C65" s="3280" t="s">
        <v>467</v>
      </c>
      <c r="D65" s="3220" t="s">
        <v>466</v>
      </c>
      <c r="E65" s="4948" t="s">
        <v>465</v>
      </c>
      <c r="F65" s="4949"/>
      <c r="G65" s="4950"/>
      <c r="H65" s="3220" t="s">
        <v>2345</v>
      </c>
    </row>
    <row r="66" spans="1:8" s="2288" customFormat="1" ht="16.7" customHeight="1" outlineLevel="1">
      <c r="A66" s="4745"/>
      <c r="B66" s="4746"/>
      <c r="C66" s="3279" t="s">
        <v>463</v>
      </c>
      <c r="D66" s="3218">
        <v>2020</v>
      </c>
      <c r="E66" s="3218" t="s">
        <v>2344</v>
      </c>
      <c r="F66" s="3218" t="s">
        <v>2343</v>
      </c>
      <c r="G66" s="3218"/>
      <c r="H66" s="3218" t="s">
        <v>2342</v>
      </c>
    </row>
    <row r="67" spans="1:8" s="2288" customFormat="1" ht="16.7" customHeight="1" outlineLevel="1">
      <c r="A67" s="4745"/>
      <c r="B67" s="4746"/>
      <c r="C67" s="3279"/>
      <c r="D67" s="3218"/>
      <c r="E67" s="3218" t="s">
        <v>2341</v>
      </c>
      <c r="F67" s="3218" t="s">
        <v>2341</v>
      </c>
      <c r="G67" s="3218" t="s">
        <v>244</v>
      </c>
      <c r="H67" s="3218" t="s">
        <v>652</v>
      </c>
    </row>
    <row r="68" spans="1:8" s="2288" customFormat="1" ht="16.7" customHeight="1" outlineLevel="1">
      <c r="A68" s="4747"/>
      <c r="B68" s="4748"/>
      <c r="C68" s="3278"/>
      <c r="D68" s="3215" t="s">
        <v>460</v>
      </c>
      <c r="E68" s="3215" t="s">
        <v>460</v>
      </c>
      <c r="F68" s="3215" t="s">
        <v>459</v>
      </c>
      <c r="G68" s="3216"/>
      <c r="H68" s="3215" t="s">
        <v>458</v>
      </c>
    </row>
    <row r="69" spans="1:8" s="2248" customFormat="1" ht="16.7" customHeight="1" outlineLevel="1">
      <c r="A69" s="3841" t="s">
        <v>1925</v>
      </c>
      <c r="B69" s="3840"/>
      <c r="C69" s="3236"/>
      <c r="D69" s="3833"/>
      <c r="E69" s="3831"/>
      <c r="F69" s="3072"/>
      <c r="G69" s="3832"/>
      <c r="H69" s="3831"/>
    </row>
    <row r="70" spans="1:8" s="2248" customFormat="1" ht="16.7" customHeight="1" outlineLevel="1">
      <c r="A70" s="1520"/>
      <c r="B70" s="3839" t="s">
        <v>2790</v>
      </c>
      <c r="C70" s="3184" t="s">
        <v>2335</v>
      </c>
      <c r="D70" s="3180">
        <f>[31]GSD!$E$49</f>
        <v>32150</v>
      </c>
      <c r="E70" s="2619">
        <f>[32]GSD!$E$48</f>
        <v>79197</v>
      </c>
      <c r="F70" s="3052">
        <f>G70-E70</f>
        <v>20803</v>
      </c>
      <c r="G70" s="3199">
        <f>[32]GSD!$C$48</f>
        <v>100000</v>
      </c>
      <c r="H70" s="2619">
        <v>100000</v>
      </c>
    </row>
    <row r="71" spans="1:8" s="2248" customFormat="1" ht="16.7" customHeight="1" outlineLevel="1">
      <c r="A71" s="1527" t="s">
        <v>2076</v>
      </c>
      <c r="B71" s="3700"/>
      <c r="C71" s="3184"/>
      <c r="D71" s="3180"/>
      <c r="E71" s="2619"/>
      <c r="F71" s="3052"/>
      <c r="G71" s="3199"/>
      <c r="H71" s="2619"/>
    </row>
    <row r="72" spans="1:8" s="2248" customFormat="1" ht="16.7" customHeight="1" outlineLevel="1">
      <c r="A72" s="1520"/>
      <c r="B72" s="3839" t="s">
        <v>2328</v>
      </c>
      <c r="C72" s="3184" t="s">
        <v>2327</v>
      </c>
      <c r="D72" s="3180">
        <f>[31]GSD!$E$50</f>
        <v>269522.40000000002</v>
      </c>
      <c r="E72" s="2619">
        <f>[32]GSD!$E$49</f>
        <v>11300</v>
      </c>
      <c r="F72" s="3052">
        <f>G72-E72</f>
        <v>93700</v>
      </c>
      <c r="G72" s="3199">
        <f>[32]GSD!$C$49</f>
        <v>105000</v>
      </c>
      <c r="H72" s="2619">
        <v>105000</v>
      </c>
    </row>
    <row r="73" spans="1:8" s="2248" customFormat="1" ht="16.7" customHeight="1" outlineLevel="1">
      <c r="A73" s="1527" t="s">
        <v>2076</v>
      </c>
      <c r="B73" s="3700"/>
      <c r="C73" s="3184"/>
      <c r="D73" s="3180"/>
      <c r="E73" s="2619"/>
      <c r="F73" s="3052"/>
      <c r="G73" s="3199"/>
      <c r="H73" s="2619"/>
    </row>
    <row r="74" spans="1:8" s="2248" customFormat="1" ht="16.7" customHeight="1" outlineLevel="1">
      <c r="A74" s="1520"/>
      <c r="B74" s="3700" t="s">
        <v>2715</v>
      </c>
      <c r="C74" s="3184" t="s">
        <v>1906</v>
      </c>
      <c r="D74" s="3180">
        <f>[31]GSD!$E$51</f>
        <v>10180</v>
      </c>
      <c r="E74" s="2619">
        <f>[32]GSD!$E$50</f>
        <v>2880</v>
      </c>
      <c r="F74" s="3052">
        <f>G74-E74</f>
        <v>85120</v>
      </c>
      <c r="G74" s="3199">
        <f>[32]GSD!$C$50</f>
        <v>88000</v>
      </c>
      <c r="H74" s="2619">
        <v>88000</v>
      </c>
    </row>
    <row r="75" spans="1:8" s="2248" customFormat="1" ht="16.7" customHeight="1" outlineLevel="1">
      <c r="A75" s="3825" t="s">
        <v>2789</v>
      </c>
      <c r="B75" s="3838"/>
      <c r="C75" s="3837" t="s">
        <v>1242</v>
      </c>
      <c r="D75" s="3195">
        <f>[31]GSD!$E$52</f>
        <v>0</v>
      </c>
      <c r="E75" s="3193">
        <f>[32]GSD!$E$51</f>
        <v>0</v>
      </c>
      <c r="F75" s="3047">
        <f>G75-E75</f>
        <v>90000</v>
      </c>
      <c r="G75" s="3194">
        <f>[32]GSD!$C$51</f>
        <v>90000</v>
      </c>
      <c r="H75" s="3193">
        <v>0</v>
      </c>
    </row>
    <row r="76" spans="1:8" s="2248" customFormat="1" ht="16.7" customHeight="1" outlineLevel="1">
      <c r="A76" s="3836" t="s">
        <v>370</v>
      </c>
      <c r="B76" s="3835"/>
      <c r="C76" s="3834" t="s">
        <v>369</v>
      </c>
      <c r="D76" s="3833">
        <f>[31]GSD!$E$53</f>
        <v>0</v>
      </c>
      <c r="E76" s="3831">
        <v>0</v>
      </c>
      <c r="F76" s="3072">
        <f>G76-E76</f>
        <v>9000</v>
      </c>
      <c r="G76" s="3832">
        <f>[32]GSD!$C$52</f>
        <v>9000</v>
      </c>
      <c r="H76" s="3831">
        <v>0</v>
      </c>
    </row>
    <row r="77" spans="1:8" s="2248" customFormat="1" ht="16.7" customHeight="1" outlineLevel="1">
      <c r="A77" s="3830" t="s">
        <v>1897</v>
      </c>
      <c r="B77" s="3828"/>
      <c r="C77" s="3200" t="s">
        <v>2788</v>
      </c>
      <c r="D77" s="3180">
        <f>[31]GSD!$E$55</f>
        <v>935898.34999999986</v>
      </c>
      <c r="E77" s="2619">
        <f>[32]GSD!$E$54</f>
        <v>501813.12999999995</v>
      </c>
      <c r="F77" s="3052">
        <f>G77-E77</f>
        <v>548186.87000000011</v>
      </c>
      <c r="G77" s="3199">
        <f>[32]GSD!$C$54</f>
        <v>1050000</v>
      </c>
      <c r="H77" s="2619">
        <v>1050000</v>
      </c>
    </row>
    <row r="78" spans="1:8" s="2248" customFormat="1" ht="16.7" customHeight="1" outlineLevel="1">
      <c r="A78" s="3830" t="s">
        <v>1895</v>
      </c>
      <c r="B78" s="3828"/>
      <c r="C78" s="3200" t="s">
        <v>2787</v>
      </c>
      <c r="D78" s="3180">
        <f>[31]GSD!$E$54</f>
        <v>1761703.74</v>
      </c>
      <c r="E78" s="2619">
        <f>[32]GSD!$E$53</f>
        <v>1761703.74</v>
      </c>
      <c r="F78" s="3052">
        <f>G78-E78</f>
        <v>98296.260000000009</v>
      </c>
      <c r="G78" s="3199">
        <f>[32]GSD!$C$53</f>
        <v>1860000</v>
      </c>
      <c r="H78" s="2619">
        <v>1860000</v>
      </c>
    </row>
    <row r="79" spans="1:8" s="2248" customFormat="1" ht="16.7" customHeight="1" outlineLevel="1">
      <c r="A79" s="3829" t="s">
        <v>368</v>
      </c>
      <c r="B79" s="3828"/>
      <c r="C79" s="3200"/>
      <c r="D79" s="3180"/>
      <c r="E79" s="2619"/>
      <c r="F79" s="3052"/>
      <c r="G79" s="3199"/>
      <c r="H79" s="2619"/>
    </row>
    <row r="80" spans="1:8" s="2248" customFormat="1" ht="16.7" customHeight="1" outlineLevel="1">
      <c r="A80" s="1527" t="s">
        <v>693</v>
      </c>
      <c r="B80" s="3700"/>
      <c r="C80" s="3184" t="s">
        <v>367</v>
      </c>
      <c r="D80" s="3180">
        <f>[31]GSD!$E$56</f>
        <v>8431.2999999999993</v>
      </c>
      <c r="E80" s="2619">
        <f>[32]GSD!$E$55</f>
        <v>2553.6</v>
      </c>
      <c r="F80" s="3052">
        <f>G80-E80</f>
        <v>86566.399999999994</v>
      </c>
      <c r="G80" s="3199">
        <f>[32]GSD!$C$55</f>
        <v>89120</v>
      </c>
      <c r="H80" s="2619">
        <v>89120</v>
      </c>
    </row>
    <row r="81" spans="1:19" s="2248" customFormat="1" ht="16.7" customHeight="1" outlineLevel="1">
      <c r="A81" s="3827" t="s">
        <v>693</v>
      </c>
      <c r="B81" s="3826"/>
      <c r="C81" s="3184"/>
      <c r="D81" s="3180"/>
      <c r="E81" s="2619"/>
      <c r="F81" s="3052"/>
      <c r="G81" s="3199"/>
      <c r="H81" s="2619"/>
    </row>
    <row r="82" spans="1:19" s="2248" customFormat="1" ht="16.7" customHeight="1" outlineLevel="1" thickBot="1">
      <c r="A82" s="3825"/>
      <c r="B82" s="3824" t="s">
        <v>2786</v>
      </c>
      <c r="C82" s="3184" t="s">
        <v>1865</v>
      </c>
      <c r="D82" s="3180">
        <f>[31]GSD!$E$57</f>
        <v>397072.66999999975</v>
      </c>
      <c r="E82" s="2619">
        <f>[32]GSD!$E$56</f>
        <v>195471.61999999988</v>
      </c>
      <c r="F82" s="3052">
        <f>G82-E82</f>
        <v>244528.38000000012</v>
      </c>
      <c r="G82" s="3199">
        <f>[32]GSD!$C$56</f>
        <v>440000</v>
      </c>
      <c r="H82" s="2619">
        <v>440000</v>
      </c>
    </row>
    <row r="83" spans="1:19" s="2248" customFormat="1" ht="16.7" customHeight="1" outlineLevel="1" thickBot="1">
      <c r="A83" s="3823" t="s">
        <v>1241</v>
      </c>
      <c r="B83" s="3609"/>
      <c r="C83" s="3822"/>
      <c r="D83" s="3607">
        <f>SUM(D84:D85)</f>
        <v>243500</v>
      </c>
      <c r="E83" s="3607">
        <f>SUM(E84:E85)</f>
        <v>0</v>
      </c>
      <c r="F83" s="3607">
        <f>SUM(F84:F85)</f>
        <v>0</v>
      </c>
      <c r="G83" s="3607">
        <f>SUM(G84:G85)</f>
        <v>0</v>
      </c>
      <c r="H83" s="3607">
        <f>SUM(H84:H85)</f>
        <v>0</v>
      </c>
    </row>
    <row r="84" spans="1:19" s="2248" customFormat="1" ht="16.7" customHeight="1" outlineLevel="1">
      <c r="A84" s="3202"/>
      <c r="B84" s="3601" t="s">
        <v>2785</v>
      </c>
      <c r="C84" s="3821" t="s">
        <v>2784</v>
      </c>
      <c r="D84" s="3599">
        <f>[31]GSD!$E$59</f>
        <v>84000</v>
      </c>
      <c r="E84" s="2619">
        <v>0</v>
      </c>
      <c r="F84" s="3052">
        <v>0</v>
      </c>
      <c r="G84" s="3199">
        <v>0</v>
      </c>
      <c r="H84" s="2619">
        <v>0</v>
      </c>
    </row>
    <row r="85" spans="1:19" s="3701" customFormat="1" ht="16.7" customHeight="1" outlineLevel="1">
      <c r="A85" s="3300"/>
      <c r="B85" s="3820" t="s">
        <v>2328</v>
      </c>
      <c r="C85" s="3819" t="s">
        <v>1801</v>
      </c>
      <c r="D85" s="3666">
        <f>[31]GSD!$E$60</f>
        <v>159500</v>
      </c>
      <c r="E85" s="3193">
        <v>0</v>
      </c>
      <c r="F85" s="3047">
        <v>0</v>
      </c>
      <c r="G85" s="3194">
        <v>0</v>
      </c>
      <c r="H85" s="3193">
        <v>0</v>
      </c>
    </row>
    <row r="86" spans="1:19" ht="20.100000000000001" customHeight="1" outlineLevel="2" thickBot="1">
      <c r="A86" s="1421" t="s">
        <v>366</v>
      </c>
      <c r="B86" s="1420"/>
      <c r="C86" s="3651"/>
      <c r="D86" s="3650">
        <f>D83+D38+D13</f>
        <v>21015723.449999999</v>
      </c>
      <c r="E86" s="3650">
        <f>E83+E38+E13</f>
        <v>11639202.42</v>
      </c>
      <c r="F86" s="3650">
        <f>F83+F38+F13</f>
        <v>13246025.100000001</v>
      </c>
      <c r="G86" s="3650">
        <f>G83+G38+G13</f>
        <v>24885227.52</v>
      </c>
      <c r="H86" s="3650">
        <f>H83+H38+H13</f>
        <v>26255692</v>
      </c>
    </row>
    <row r="87" spans="1:19" ht="21" customHeight="1" outlineLevel="2" thickTop="1">
      <c r="A87" s="1414"/>
      <c r="B87" s="1413"/>
      <c r="C87" s="3177"/>
      <c r="D87" s="3176"/>
      <c r="E87" s="3176"/>
      <c r="F87" s="3176"/>
      <c r="G87" s="3176"/>
      <c r="H87" s="3176"/>
    </row>
    <row r="88" spans="1:19" s="3162" customFormat="1" ht="14.25" customHeight="1">
      <c r="A88" s="3175" t="s">
        <v>2312</v>
      </c>
      <c r="B88" s="3174"/>
      <c r="C88" s="3174"/>
      <c r="D88" s="3174"/>
      <c r="E88" s="3173"/>
      <c r="F88" s="3173"/>
      <c r="G88" s="3173" t="s">
        <v>2311</v>
      </c>
      <c r="H88" s="3173"/>
      <c r="I88" s="2233"/>
      <c r="J88" s="2255"/>
      <c r="K88" s="2255"/>
      <c r="L88" s="2255"/>
      <c r="M88" s="2255"/>
      <c r="N88" s="2255"/>
      <c r="O88" s="2255"/>
      <c r="P88" s="2255"/>
      <c r="Q88" s="2255"/>
      <c r="R88" s="2255"/>
      <c r="S88" s="2255"/>
    </row>
    <row r="89" spans="1:19" s="3162" customFormat="1" ht="11.25" customHeight="1">
      <c r="A89" s="3173"/>
      <c r="B89" s="3174"/>
      <c r="C89" s="3174"/>
      <c r="D89" s="3174"/>
      <c r="E89" s="3173"/>
      <c r="F89" s="3173"/>
      <c r="G89" s="3173"/>
      <c r="H89" s="3173"/>
      <c r="I89" s="2233"/>
      <c r="J89" s="2255"/>
      <c r="K89" s="2255"/>
      <c r="L89" s="2255"/>
      <c r="M89" s="2255"/>
      <c r="N89" s="2255"/>
      <c r="O89" s="2255"/>
      <c r="P89" s="2255"/>
      <c r="Q89" s="2255"/>
      <c r="R89" s="2255"/>
      <c r="S89" s="2255"/>
    </row>
    <row r="90" spans="1:19" s="3162" customFormat="1" ht="6" customHeight="1">
      <c r="A90" s="3173"/>
      <c r="B90" s="3174"/>
      <c r="C90" s="3174"/>
      <c r="D90" s="3174"/>
      <c r="E90" s="3173"/>
      <c r="F90" s="3173"/>
      <c r="G90" s="3173"/>
      <c r="H90" s="3173"/>
      <c r="I90" s="2233"/>
      <c r="J90" s="2255"/>
      <c r="K90" s="2255"/>
      <c r="L90" s="2255"/>
      <c r="M90" s="2255"/>
      <c r="N90" s="2255"/>
      <c r="O90" s="2255"/>
      <c r="P90" s="2255"/>
      <c r="Q90" s="2255"/>
      <c r="R90" s="2255"/>
      <c r="S90" s="2255"/>
    </row>
    <row r="91" spans="1:19" s="3162" customFormat="1" ht="14.25" customHeight="1">
      <c r="A91" s="3172" t="s">
        <v>2783</v>
      </c>
      <c r="B91" s="3167"/>
      <c r="C91" s="3171" t="s">
        <v>2309</v>
      </c>
      <c r="D91" s="3165"/>
      <c r="E91" s="3169"/>
      <c r="F91" s="3169"/>
      <c r="G91" s="3170" t="s">
        <v>359</v>
      </c>
      <c r="H91" s="3169"/>
      <c r="I91" s="2233"/>
      <c r="J91" s="2255"/>
      <c r="K91" s="2255"/>
      <c r="L91" s="2255"/>
      <c r="M91" s="2255"/>
      <c r="N91" s="2255"/>
      <c r="O91" s="2255"/>
      <c r="P91" s="2255"/>
      <c r="Q91" s="2255"/>
      <c r="R91" s="2255"/>
      <c r="S91" s="2255"/>
    </row>
    <row r="92" spans="1:19" s="3162" customFormat="1" ht="14.25" customHeight="1">
      <c r="A92" s="3168" t="s">
        <v>2782</v>
      </c>
      <c r="B92" s="3167"/>
      <c r="C92" s="3166" t="s">
        <v>2308</v>
      </c>
      <c r="D92" s="3165"/>
      <c r="E92" s="3163"/>
      <c r="F92" s="3163"/>
      <c r="G92" s="3164" t="s">
        <v>2307</v>
      </c>
      <c r="H92" s="3163"/>
      <c r="I92" s="2233"/>
      <c r="J92" s="2255"/>
      <c r="K92" s="2255"/>
      <c r="L92" s="2255"/>
      <c r="M92" s="2255"/>
      <c r="N92" s="2255"/>
      <c r="O92" s="2255"/>
      <c r="P92" s="2255"/>
      <c r="Q92" s="2255"/>
      <c r="R92" s="2255"/>
      <c r="S92" s="2255"/>
    </row>
    <row r="93" spans="1:19" s="1404" customFormat="1" ht="13.5">
      <c r="B93" s="2236"/>
      <c r="C93" s="3288"/>
      <c r="D93" s="3287"/>
      <c r="E93" s="3287"/>
      <c r="F93" s="3287"/>
      <c r="G93" s="3287"/>
      <c r="H93" s="3287"/>
    </row>
    <row r="94" spans="1:19" s="1404" customFormat="1" ht="13.5">
      <c r="B94" s="2236"/>
      <c r="C94" s="3288"/>
      <c r="D94" s="3287"/>
      <c r="E94" s="3287"/>
      <c r="F94" s="3287"/>
      <c r="G94" s="3287"/>
      <c r="H94" s="3287"/>
    </row>
    <row r="95" spans="1:19" s="1404" customFormat="1" ht="13.5">
      <c r="B95" s="2236"/>
      <c r="C95" s="3288"/>
      <c r="D95" s="3287"/>
      <c r="E95" s="3287"/>
      <c r="F95" s="3287"/>
      <c r="G95" s="3287"/>
      <c r="H95" s="3287"/>
    </row>
    <row r="96" spans="1:19" s="1404" customFormat="1" ht="13.5">
      <c r="B96" s="2236"/>
      <c r="C96" s="3288"/>
      <c r="D96" s="3287"/>
      <c r="E96" s="3287"/>
      <c r="F96" s="3287"/>
      <c r="G96" s="3287"/>
      <c r="H96" s="3287"/>
    </row>
    <row r="97" spans="2:8" s="1404" customFormat="1" ht="13.5">
      <c r="B97" s="2236"/>
      <c r="C97" s="3288"/>
      <c r="D97" s="3287"/>
      <c r="E97" s="3287"/>
      <c r="F97" s="3287"/>
      <c r="G97" s="3287"/>
      <c r="H97" s="3287"/>
    </row>
    <row r="98" spans="2:8" s="1404" customFormat="1" ht="13.5">
      <c r="B98" s="2236"/>
      <c r="C98" s="3288"/>
      <c r="D98" s="3287"/>
      <c r="E98" s="3287"/>
      <c r="F98" s="3287"/>
      <c r="G98" s="3287"/>
      <c r="H98" s="3287"/>
    </row>
    <row r="99" spans="2:8" s="1404" customFormat="1" ht="13.5">
      <c r="B99" s="2236"/>
      <c r="C99" s="3288"/>
      <c r="D99" s="3287"/>
      <c r="E99" s="3287"/>
      <c r="F99" s="3287"/>
      <c r="G99" s="3287"/>
      <c r="H99" s="3287"/>
    </row>
    <row r="100" spans="2:8" s="1404" customFormat="1" ht="13.5">
      <c r="B100" s="2236"/>
      <c r="C100" s="3288"/>
      <c r="D100" s="3287"/>
      <c r="E100" s="3287"/>
      <c r="F100" s="3287"/>
      <c r="G100" s="3287"/>
      <c r="H100" s="3287"/>
    </row>
    <row r="101" spans="2:8" s="1404" customFormat="1" ht="13.5">
      <c r="B101" s="2236"/>
      <c r="C101" s="3288"/>
      <c r="D101" s="3287"/>
      <c r="E101" s="3287"/>
      <c r="F101" s="3287"/>
      <c r="G101" s="3287"/>
      <c r="H101" s="3287"/>
    </row>
    <row r="102" spans="2:8" s="1404" customFormat="1" ht="13.5">
      <c r="B102" s="2236"/>
      <c r="C102" s="3288"/>
      <c r="D102" s="3287"/>
      <c r="E102" s="3287"/>
      <c r="F102" s="3287"/>
      <c r="G102" s="3287"/>
      <c r="H102" s="3287"/>
    </row>
  </sheetData>
  <mergeCells count="6">
    <mergeCell ref="A65:B68"/>
    <mergeCell ref="E65:G65"/>
    <mergeCell ref="A4:H4"/>
    <mergeCell ref="A5:H5"/>
    <mergeCell ref="A8:B11"/>
    <mergeCell ref="E8:G8"/>
  </mergeCells>
  <pageMargins left="0.5" right="0" top="0" bottom="0" header="0.5" footer="0"/>
  <pageSetup paperSize="5" orientation="portrait" verticalDpi="300" r:id="rId1"/>
  <headerFooter alignWithMargins="0"/>
  <legacy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64"/>
  <sheetViews>
    <sheetView topLeftCell="A13" workbookViewId="0">
      <selection activeCell="E28" sqref="E28"/>
    </sheetView>
  </sheetViews>
  <sheetFormatPr defaultRowHeight="12.75"/>
  <cols>
    <col min="1" max="1" width="1.28515625" style="3853" customWidth="1"/>
    <col min="2" max="2" width="35.85546875" style="3853" customWidth="1"/>
    <col min="3" max="3" width="12.85546875" style="3853" customWidth="1"/>
    <col min="4" max="5" width="11.5703125" style="3853" customWidth="1"/>
    <col min="6" max="6" width="9.5703125" style="3854" customWidth="1"/>
    <col min="7" max="7" width="11.7109375" style="3853" customWidth="1"/>
    <col min="8" max="10" width="12" style="3853" customWidth="1"/>
    <col min="11" max="11" width="9.140625" style="3853" customWidth="1"/>
    <col min="12" max="256" width="9.140625" style="3853"/>
    <col min="257" max="257" width="1.28515625" style="3853" customWidth="1"/>
    <col min="258" max="258" width="35.85546875" style="3853" customWidth="1"/>
    <col min="259" max="259" width="12.85546875" style="3853" customWidth="1"/>
    <col min="260" max="261" width="11.5703125" style="3853" customWidth="1"/>
    <col min="262" max="262" width="9.5703125" style="3853" customWidth="1"/>
    <col min="263" max="263" width="11.7109375" style="3853" customWidth="1"/>
    <col min="264" max="266" width="12" style="3853" customWidth="1"/>
    <col min="267" max="267" width="9.140625" style="3853" customWidth="1"/>
    <col min="268" max="512" width="9.140625" style="3853"/>
    <col min="513" max="513" width="1.28515625" style="3853" customWidth="1"/>
    <col min="514" max="514" width="35.85546875" style="3853" customWidth="1"/>
    <col min="515" max="515" width="12.85546875" style="3853" customWidth="1"/>
    <col min="516" max="517" width="11.5703125" style="3853" customWidth="1"/>
    <col min="518" max="518" width="9.5703125" style="3853" customWidth="1"/>
    <col min="519" max="519" width="11.7109375" style="3853" customWidth="1"/>
    <col min="520" max="522" width="12" style="3853" customWidth="1"/>
    <col min="523" max="523" width="9.140625" style="3853" customWidth="1"/>
    <col min="524" max="768" width="9.140625" style="3853"/>
    <col min="769" max="769" width="1.28515625" style="3853" customWidth="1"/>
    <col min="770" max="770" width="35.85546875" style="3853" customWidth="1"/>
    <col min="771" max="771" width="12.85546875" style="3853" customWidth="1"/>
    <col min="772" max="773" width="11.5703125" style="3853" customWidth="1"/>
    <col min="774" max="774" width="9.5703125" style="3853" customWidth="1"/>
    <col min="775" max="775" width="11.7109375" style="3853" customWidth="1"/>
    <col min="776" max="778" width="12" style="3853" customWidth="1"/>
    <col min="779" max="779" width="9.140625" style="3853" customWidth="1"/>
    <col min="780" max="1024" width="9.140625" style="3853"/>
    <col min="1025" max="1025" width="1.28515625" style="3853" customWidth="1"/>
    <col min="1026" max="1026" width="35.85546875" style="3853" customWidth="1"/>
    <col min="1027" max="1027" width="12.85546875" style="3853" customWidth="1"/>
    <col min="1028" max="1029" width="11.5703125" style="3853" customWidth="1"/>
    <col min="1030" max="1030" width="9.5703125" style="3853" customWidth="1"/>
    <col min="1031" max="1031" width="11.7109375" style="3853" customWidth="1"/>
    <col min="1032" max="1034" width="12" style="3853" customWidth="1"/>
    <col min="1035" max="1035" width="9.140625" style="3853" customWidth="1"/>
    <col min="1036" max="1280" width="9.140625" style="3853"/>
    <col min="1281" max="1281" width="1.28515625" style="3853" customWidth="1"/>
    <col min="1282" max="1282" width="35.85546875" style="3853" customWidth="1"/>
    <col min="1283" max="1283" width="12.85546875" style="3853" customWidth="1"/>
    <col min="1284" max="1285" width="11.5703125" style="3853" customWidth="1"/>
    <col min="1286" max="1286" width="9.5703125" style="3853" customWidth="1"/>
    <col min="1287" max="1287" width="11.7109375" style="3853" customWidth="1"/>
    <col min="1288" max="1290" width="12" style="3853" customWidth="1"/>
    <col min="1291" max="1291" width="9.140625" style="3853" customWidth="1"/>
    <col min="1292" max="1536" width="9.140625" style="3853"/>
    <col min="1537" max="1537" width="1.28515625" style="3853" customWidth="1"/>
    <col min="1538" max="1538" width="35.85546875" style="3853" customWidth="1"/>
    <col min="1539" max="1539" width="12.85546875" style="3853" customWidth="1"/>
    <col min="1540" max="1541" width="11.5703125" style="3853" customWidth="1"/>
    <col min="1542" max="1542" width="9.5703125" style="3853" customWidth="1"/>
    <col min="1543" max="1543" width="11.7109375" style="3853" customWidth="1"/>
    <col min="1544" max="1546" width="12" style="3853" customWidth="1"/>
    <col min="1547" max="1547" width="9.140625" style="3853" customWidth="1"/>
    <col min="1548" max="1792" width="9.140625" style="3853"/>
    <col min="1793" max="1793" width="1.28515625" style="3853" customWidth="1"/>
    <col min="1794" max="1794" width="35.85546875" style="3853" customWidth="1"/>
    <col min="1795" max="1795" width="12.85546875" style="3853" customWidth="1"/>
    <col min="1796" max="1797" width="11.5703125" style="3853" customWidth="1"/>
    <col min="1798" max="1798" width="9.5703125" style="3853" customWidth="1"/>
    <col min="1799" max="1799" width="11.7109375" style="3853" customWidth="1"/>
    <col min="1800" max="1802" width="12" style="3853" customWidth="1"/>
    <col min="1803" max="1803" width="9.140625" style="3853" customWidth="1"/>
    <col min="1804" max="2048" width="9.140625" style="3853"/>
    <col min="2049" max="2049" width="1.28515625" style="3853" customWidth="1"/>
    <col min="2050" max="2050" width="35.85546875" style="3853" customWidth="1"/>
    <col min="2051" max="2051" width="12.85546875" style="3853" customWidth="1"/>
    <col min="2052" max="2053" width="11.5703125" style="3853" customWidth="1"/>
    <col min="2054" max="2054" width="9.5703125" style="3853" customWidth="1"/>
    <col min="2055" max="2055" width="11.7109375" style="3853" customWidth="1"/>
    <col min="2056" max="2058" width="12" style="3853" customWidth="1"/>
    <col min="2059" max="2059" width="9.140625" style="3853" customWidth="1"/>
    <col min="2060" max="2304" width="9.140625" style="3853"/>
    <col min="2305" max="2305" width="1.28515625" style="3853" customWidth="1"/>
    <col min="2306" max="2306" width="35.85546875" style="3853" customWidth="1"/>
    <col min="2307" max="2307" width="12.85546875" style="3853" customWidth="1"/>
    <col min="2308" max="2309" width="11.5703125" style="3853" customWidth="1"/>
    <col min="2310" max="2310" width="9.5703125" style="3853" customWidth="1"/>
    <col min="2311" max="2311" width="11.7109375" style="3853" customWidth="1"/>
    <col min="2312" max="2314" width="12" style="3853" customWidth="1"/>
    <col min="2315" max="2315" width="9.140625" style="3853" customWidth="1"/>
    <col min="2316" max="2560" width="9.140625" style="3853"/>
    <col min="2561" max="2561" width="1.28515625" style="3853" customWidth="1"/>
    <col min="2562" max="2562" width="35.85546875" style="3853" customWidth="1"/>
    <col min="2563" max="2563" width="12.85546875" style="3853" customWidth="1"/>
    <col min="2564" max="2565" width="11.5703125" style="3853" customWidth="1"/>
    <col min="2566" max="2566" width="9.5703125" style="3853" customWidth="1"/>
    <col min="2567" max="2567" width="11.7109375" style="3853" customWidth="1"/>
    <col min="2568" max="2570" width="12" style="3853" customWidth="1"/>
    <col min="2571" max="2571" width="9.140625" style="3853" customWidth="1"/>
    <col min="2572" max="2816" width="9.140625" style="3853"/>
    <col min="2817" max="2817" width="1.28515625" style="3853" customWidth="1"/>
    <col min="2818" max="2818" width="35.85546875" style="3853" customWidth="1"/>
    <col min="2819" max="2819" width="12.85546875" style="3853" customWidth="1"/>
    <col min="2820" max="2821" width="11.5703125" style="3853" customWidth="1"/>
    <col min="2822" max="2822" width="9.5703125" style="3853" customWidth="1"/>
    <col min="2823" max="2823" width="11.7109375" style="3853" customWidth="1"/>
    <col min="2824" max="2826" width="12" style="3853" customWidth="1"/>
    <col min="2827" max="2827" width="9.140625" style="3853" customWidth="1"/>
    <col min="2828" max="3072" width="9.140625" style="3853"/>
    <col min="3073" max="3073" width="1.28515625" style="3853" customWidth="1"/>
    <col min="3074" max="3074" width="35.85546875" style="3853" customWidth="1"/>
    <col min="3075" max="3075" width="12.85546875" style="3853" customWidth="1"/>
    <col min="3076" max="3077" width="11.5703125" style="3853" customWidth="1"/>
    <col min="3078" max="3078" width="9.5703125" style="3853" customWidth="1"/>
    <col min="3079" max="3079" width="11.7109375" style="3853" customWidth="1"/>
    <col min="3080" max="3082" width="12" style="3853" customWidth="1"/>
    <col min="3083" max="3083" width="9.140625" style="3853" customWidth="1"/>
    <col min="3084" max="3328" width="9.140625" style="3853"/>
    <col min="3329" max="3329" width="1.28515625" style="3853" customWidth="1"/>
    <col min="3330" max="3330" width="35.85546875" style="3853" customWidth="1"/>
    <col min="3331" max="3331" width="12.85546875" style="3853" customWidth="1"/>
    <col min="3332" max="3333" width="11.5703125" style="3853" customWidth="1"/>
    <col min="3334" max="3334" width="9.5703125" style="3853" customWidth="1"/>
    <col min="3335" max="3335" width="11.7109375" style="3853" customWidth="1"/>
    <col min="3336" max="3338" width="12" style="3853" customWidth="1"/>
    <col min="3339" max="3339" width="9.140625" style="3853" customWidth="1"/>
    <col min="3340" max="3584" width="9.140625" style="3853"/>
    <col min="3585" max="3585" width="1.28515625" style="3853" customWidth="1"/>
    <col min="3586" max="3586" width="35.85546875" style="3853" customWidth="1"/>
    <col min="3587" max="3587" width="12.85546875" style="3853" customWidth="1"/>
    <col min="3588" max="3589" width="11.5703125" style="3853" customWidth="1"/>
    <col min="3590" max="3590" width="9.5703125" style="3853" customWidth="1"/>
    <col min="3591" max="3591" width="11.7109375" style="3853" customWidth="1"/>
    <col min="3592" max="3594" width="12" style="3853" customWidth="1"/>
    <col min="3595" max="3595" width="9.140625" style="3853" customWidth="1"/>
    <col min="3596" max="3840" width="9.140625" style="3853"/>
    <col min="3841" max="3841" width="1.28515625" style="3853" customWidth="1"/>
    <col min="3842" max="3842" width="35.85546875" style="3853" customWidth="1"/>
    <col min="3843" max="3843" width="12.85546875" style="3853" customWidth="1"/>
    <col min="3844" max="3845" width="11.5703125" style="3853" customWidth="1"/>
    <col min="3846" max="3846" width="9.5703125" style="3853" customWidth="1"/>
    <col min="3847" max="3847" width="11.7109375" style="3853" customWidth="1"/>
    <col min="3848" max="3850" width="12" style="3853" customWidth="1"/>
    <col min="3851" max="3851" width="9.140625" style="3853" customWidth="1"/>
    <col min="3852" max="4096" width="9.140625" style="3853"/>
    <col min="4097" max="4097" width="1.28515625" style="3853" customWidth="1"/>
    <col min="4098" max="4098" width="35.85546875" style="3853" customWidth="1"/>
    <col min="4099" max="4099" width="12.85546875" style="3853" customWidth="1"/>
    <col min="4100" max="4101" width="11.5703125" style="3853" customWidth="1"/>
    <col min="4102" max="4102" width="9.5703125" style="3853" customWidth="1"/>
    <col min="4103" max="4103" width="11.7109375" style="3853" customWidth="1"/>
    <col min="4104" max="4106" width="12" style="3853" customWidth="1"/>
    <col min="4107" max="4107" width="9.140625" style="3853" customWidth="1"/>
    <col min="4108" max="4352" width="9.140625" style="3853"/>
    <col min="4353" max="4353" width="1.28515625" style="3853" customWidth="1"/>
    <col min="4354" max="4354" width="35.85546875" style="3853" customWidth="1"/>
    <col min="4355" max="4355" width="12.85546875" style="3853" customWidth="1"/>
    <col min="4356" max="4357" width="11.5703125" style="3853" customWidth="1"/>
    <col min="4358" max="4358" width="9.5703125" style="3853" customWidth="1"/>
    <col min="4359" max="4359" width="11.7109375" style="3853" customWidth="1"/>
    <col min="4360" max="4362" width="12" style="3853" customWidth="1"/>
    <col min="4363" max="4363" width="9.140625" style="3853" customWidth="1"/>
    <col min="4364" max="4608" width="9.140625" style="3853"/>
    <col min="4609" max="4609" width="1.28515625" style="3853" customWidth="1"/>
    <col min="4610" max="4610" width="35.85546875" style="3853" customWidth="1"/>
    <col min="4611" max="4611" width="12.85546875" style="3853" customWidth="1"/>
    <col min="4612" max="4613" width="11.5703125" style="3853" customWidth="1"/>
    <col min="4614" max="4614" width="9.5703125" style="3853" customWidth="1"/>
    <col min="4615" max="4615" width="11.7109375" style="3853" customWidth="1"/>
    <col min="4616" max="4618" width="12" style="3853" customWidth="1"/>
    <col min="4619" max="4619" width="9.140625" style="3853" customWidth="1"/>
    <col min="4620" max="4864" width="9.140625" style="3853"/>
    <col min="4865" max="4865" width="1.28515625" style="3853" customWidth="1"/>
    <col min="4866" max="4866" width="35.85546875" style="3853" customWidth="1"/>
    <col min="4867" max="4867" width="12.85546875" style="3853" customWidth="1"/>
    <col min="4868" max="4869" width="11.5703125" style="3853" customWidth="1"/>
    <col min="4870" max="4870" width="9.5703125" style="3853" customWidth="1"/>
    <col min="4871" max="4871" width="11.7109375" style="3853" customWidth="1"/>
    <col min="4872" max="4874" width="12" style="3853" customWidth="1"/>
    <col min="4875" max="4875" width="9.140625" style="3853" customWidth="1"/>
    <col min="4876" max="5120" width="9.140625" style="3853"/>
    <col min="5121" max="5121" width="1.28515625" style="3853" customWidth="1"/>
    <col min="5122" max="5122" width="35.85546875" style="3853" customWidth="1"/>
    <col min="5123" max="5123" width="12.85546875" style="3853" customWidth="1"/>
    <col min="5124" max="5125" width="11.5703125" style="3853" customWidth="1"/>
    <col min="5126" max="5126" width="9.5703125" style="3853" customWidth="1"/>
    <col min="5127" max="5127" width="11.7109375" style="3853" customWidth="1"/>
    <col min="5128" max="5130" width="12" style="3853" customWidth="1"/>
    <col min="5131" max="5131" width="9.140625" style="3853" customWidth="1"/>
    <col min="5132" max="5376" width="9.140625" style="3853"/>
    <col min="5377" max="5377" width="1.28515625" style="3853" customWidth="1"/>
    <col min="5378" max="5378" width="35.85546875" style="3853" customWidth="1"/>
    <col min="5379" max="5379" width="12.85546875" style="3853" customWidth="1"/>
    <col min="5380" max="5381" width="11.5703125" style="3853" customWidth="1"/>
    <col min="5382" max="5382" width="9.5703125" style="3853" customWidth="1"/>
    <col min="5383" max="5383" width="11.7109375" style="3853" customWidth="1"/>
    <col min="5384" max="5386" width="12" style="3853" customWidth="1"/>
    <col min="5387" max="5387" width="9.140625" style="3853" customWidth="1"/>
    <col min="5388" max="5632" width="9.140625" style="3853"/>
    <col min="5633" max="5633" width="1.28515625" style="3853" customWidth="1"/>
    <col min="5634" max="5634" width="35.85546875" style="3853" customWidth="1"/>
    <col min="5635" max="5635" width="12.85546875" style="3853" customWidth="1"/>
    <col min="5636" max="5637" width="11.5703125" style="3853" customWidth="1"/>
    <col min="5638" max="5638" width="9.5703125" style="3853" customWidth="1"/>
    <col min="5639" max="5639" width="11.7109375" style="3853" customWidth="1"/>
    <col min="5640" max="5642" width="12" style="3853" customWidth="1"/>
    <col min="5643" max="5643" width="9.140625" style="3853" customWidth="1"/>
    <col min="5644" max="5888" width="9.140625" style="3853"/>
    <col min="5889" max="5889" width="1.28515625" style="3853" customWidth="1"/>
    <col min="5890" max="5890" width="35.85546875" style="3853" customWidth="1"/>
    <col min="5891" max="5891" width="12.85546875" style="3853" customWidth="1"/>
    <col min="5892" max="5893" width="11.5703125" style="3853" customWidth="1"/>
    <col min="5894" max="5894" width="9.5703125" style="3853" customWidth="1"/>
    <col min="5895" max="5895" width="11.7109375" style="3853" customWidth="1"/>
    <col min="5896" max="5898" width="12" style="3853" customWidth="1"/>
    <col min="5899" max="5899" width="9.140625" style="3853" customWidth="1"/>
    <col min="5900" max="6144" width="9.140625" style="3853"/>
    <col min="6145" max="6145" width="1.28515625" style="3853" customWidth="1"/>
    <col min="6146" max="6146" width="35.85546875" style="3853" customWidth="1"/>
    <col min="6147" max="6147" width="12.85546875" style="3853" customWidth="1"/>
    <col min="6148" max="6149" width="11.5703125" style="3853" customWidth="1"/>
    <col min="6150" max="6150" width="9.5703125" style="3853" customWidth="1"/>
    <col min="6151" max="6151" width="11.7109375" style="3853" customWidth="1"/>
    <col min="6152" max="6154" width="12" style="3853" customWidth="1"/>
    <col min="6155" max="6155" width="9.140625" style="3853" customWidth="1"/>
    <col min="6156" max="6400" width="9.140625" style="3853"/>
    <col min="6401" max="6401" width="1.28515625" style="3853" customWidth="1"/>
    <col min="6402" max="6402" width="35.85546875" style="3853" customWidth="1"/>
    <col min="6403" max="6403" width="12.85546875" style="3853" customWidth="1"/>
    <col min="6404" max="6405" width="11.5703125" style="3853" customWidth="1"/>
    <col min="6406" max="6406" width="9.5703125" style="3853" customWidth="1"/>
    <col min="6407" max="6407" width="11.7109375" style="3853" customWidth="1"/>
    <col min="6408" max="6410" width="12" style="3853" customWidth="1"/>
    <col min="6411" max="6411" width="9.140625" style="3853" customWidth="1"/>
    <col min="6412" max="6656" width="9.140625" style="3853"/>
    <col min="6657" max="6657" width="1.28515625" style="3853" customWidth="1"/>
    <col min="6658" max="6658" width="35.85546875" style="3853" customWidth="1"/>
    <col min="6659" max="6659" width="12.85546875" style="3853" customWidth="1"/>
    <col min="6660" max="6661" width="11.5703125" style="3853" customWidth="1"/>
    <col min="6662" max="6662" width="9.5703125" style="3853" customWidth="1"/>
    <col min="6663" max="6663" width="11.7109375" style="3853" customWidth="1"/>
    <col min="6664" max="6666" width="12" style="3853" customWidth="1"/>
    <col min="6667" max="6667" width="9.140625" style="3853" customWidth="1"/>
    <col min="6668" max="6912" width="9.140625" style="3853"/>
    <col min="6913" max="6913" width="1.28515625" style="3853" customWidth="1"/>
    <col min="6914" max="6914" width="35.85546875" style="3853" customWidth="1"/>
    <col min="6915" max="6915" width="12.85546875" style="3853" customWidth="1"/>
    <col min="6916" max="6917" width="11.5703125" style="3853" customWidth="1"/>
    <col min="6918" max="6918" width="9.5703125" style="3853" customWidth="1"/>
    <col min="6919" max="6919" width="11.7109375" style="3853" customWidth="1"/>
    <col min="6920" max="6922" width="12" style="3853" customWidth="1"/>
    <col min="6923" max="6923" width="9.140625" style="3853" customWidth="1"/>
    <col min="6924" max="7168" width="9.140625" style="3853"/>
    <col min="7169" max="7169" width="1.28515625" style="3853" customWidth="1"/>
    <col min="7170" max="7170" width="35.85546875" style="3853" customWidth="1"/>
    <col min="7171" max="7171" width="12.85546875" style="3853" customWidth="1"/>
    <col min="7172" max="7173" width="11.5703125" style="3853" customWidth="1"/>
    <col min="7174" max="7174" width="9.5703125" style="3853" customWidth="1"/>
    <col min="7175" max="7175" width="11.7109375" style="3853" customWidth="1"/>
    <col min="7176" max="7178" width="12" style="3853" customWidth="1"/>
    <col min="7179" max="7179" width="9.140625" style="3853" customWidth="1"/>
    <col min="7180" max="7424" width="9.140625" style="3853"/>
    <col min="7425" max="7425" width="1.28515625" style="3853" customWidth="1"/>
    <col min="7426" max="7426" width="35.85546875" style="3853" customWidth="1"/>
    <col min="7427" max="7427" width="12.85546875" style="3853" customWidth="1"/>
    <col min="7428" max="7429" width="11.5703125" style="3853" customWidth="1"/>
    <col min="7430" max="7430" width="9.5703125" style="3853" customWidth="1"/>
    <col min="7431" max="7431" width="11.7109375" style="3853" customWidth="1"/>
    <col min="7432" max="7434" width="12" style="3853" customWidth="1"/>
    <col min="7435" max="7435" width="9.140625" style="3853" customWidth="1"/>
    <col min="7436" max="7680" width="9.140625" style="3853"/>
    <col min="7681" max="7681" width="1.28515625" style="3853" customWidth="1"/>
    <col min="7682" max="7682" width="35.85546875" style="3853" customWidth="1"/>
    <col min="7683" max="7683" width="12.85546875" style="3853" customWidth="1"/>
    <col min="7684" max="7685" width="11.5703125" style="3853" customWidth="1"/>
    <col min="7686" max="7686" width="9.5703125" style="3853" customWidth="1"/>
    <col min="7687" max="7687" width="11.7109375" style="3853" customWidth="1"/>
    <col min="7688" max="7690" width="12" style="3853" customWidth="1"/>
    <col min="7691" max="7691" width="9.140625" style="3853" customWidth="1"/>
    <col min="7692" max="7936" width="9.140625" style="3853"/>
    <col min="7937" max="7937" width="1.28515625" style="3853" customWidth="1"/>
    <col min="7938" max="7938" width="35.85546875" style="3853" customWidth="1"/>
    <col min="7939" max="7939" width="12.85546875" style="3853" customWidth="1"/>
    <col min="7940" max="7941" width="11.5703125" style="3853" customWidth="1"/>
    <col min="7942" max="7942" width="9.5703125" style="3853" customWidth="1"/>
    <col min="7943" max="7943" width="11.7109375" style="3853" customWidth="1"/>
    <col min="7944" max="7946" width="12" style="3853" customWidth="1"/>
    <col min="7947" max="7947" width="9.140625" style="3853" customWidth="1"/>
    <col min="7948" max="8192" width="9.140625" style="3853"/>
    <col min="8193" max="8193" width="1.28515625" style="3853" customWidth="1"/>
    <col min="8194" max="8194" width="35.85546875" style="3853" customWidth="1"/>
    <col min="8195" max="8195" width="12.85546875" style="3853" customWidth="1"/>
    <col min="8196" max="8197" width="11.5703125" style="3853" customWidth="1"/>
    <col min="8198" max="8198" width="9.5703125" style="3853" customWidth="1"/>
    <col min="8199" max="8199" width="11.7109375" style="3853" customWidth="1"/>
    <col min="8200" max="8202" width="12" style="3853" customWidth="1"/>
    <col min="8203" max="8203" width="9.140625" style="3853" customWidth="1"/>
    <col min="8204" max="8448" width="9.140625" style="3853"/>
    <col min="8449" max="8449" width="1.28515625" style="3853" customWidth="1"/>
    <col min="8450" max="8450" width="35.85546875" style="3853" customWidth="1"/>
    <col min="8451" max="8451" width="12.85546875" style="3853" customWidth="1"/>
    <col min="8452" max="8453" width="11.5703125" style="3853" customWidth="1"/>
    <col min="8454" max="8454" width="9.5703125" style="3853" customWidth="1"/>
    <col min="8455" max="8455" width="11.7109375" style="3853" customWidth="1"/>
    <col min="8456" max="8458" width="12" style="3853" customWidth="1"/>
    <col min="8459" max="8459" width="9.140625" style="3853" customWidth="1"/>
    <col min="8460" max="8704" width="9.140625" style="3853"/>
    <col min="8705" max="8705" width="1.28515625" style="3853" customWidth="1"/>
    <col min="8706" max="8706" width="35.85546875" style="3853" customWidth="1"/>
    <col min="8707" max="8707" width="12.85546875" style="3853" customWidth="1"/>
    <col min="8708" max="8709" width="11.5703125" style="3853" customWidth="1"/>
    <col min="8710" max="8710" width="9.5703125" style="3853" customWidth="1"/>
    <col min="8711" max="8711" width="11.7109375" style="3853" customWidth="1"/>
    <col min="8712" max="8714" width="12" style="3853" customWidth="1"/>
    <col min="8715" max="8715" width="9.140625" style="3853" customWidth="1"/>
    <col min="8716" max="8960" width="9.140625" style="3853"/>
    <col min="8961" max="8961" width="1.28515625" style="3853" customWidth="1"/>
    <col min="8962" max="8962" width="35.85546875" style="3853" customWidth="1"/>
    <col min="8963" max="8963" width="12.85546875" style="3853" customWidth="1"/>
    <col min="8964" max="8965" width="11.5703125" style="3853" customWidth="1"/>
    <col min="8966" max="8966" width="9.5703125" style="3853" customWidth="1"/>
    <col min="8967" max="8967" width="11.7109375" style="3853" customWidth="1"/>
    <col min="8968" max="8970" width="12" style="3853" customWidth="1"/>
    <col min="8971" max="8971" width="9.140625" style="3853" customWidth="1"/>
    <col min="8972" max="9216" width="9.140625" style="3853"/>
    <col min="9217" max="9217" width="1.28515625" style="3853" customWidth="1"/>
    <col min="9218" max="9218" width="35.85546875" style="3853" customWidth="1"/>
    <col min="9219" max="9219" width="12.85546875" style="3853" customWidth="1"/>
    <col min="9220" max="9221" width="11.5703125" style="3853" customWidth="1"/>
    <col min="9222" max="9222" width="9.5703125" style="3853" customWidth="1"/>
    <col min="9223" max="9223" width="11.7109375" style="3853" customWidth="1"/>
    <col min="9224" max="9226" width="12" style="3853" customWidth="1"/>
    <col min="9227" max="9227" width="9.140625" style="3853" customWidth="1"/>
    <col min="9228" max="9472" width="9.140625" style="3853"/>
    <col min="9473" max="9473" width="1.28515625" style="3853" customWidth="1"/>
    <col min="9474" max="9474" width="35.85546875" style="3853" customWidth="1"/>
    <col min="9475" max="9475" width="12.85546875" style="3853" customWidth="1"/>
    <col min="9476" max="9477" width="11.5703125" style="3853" customWidth="1"/>
    <col min="9478" max="9478" width="9.5703125" style="3853" customWidth="1"/>
    <col min="9479" max="9479" width="11.7109375" style="3853" customWidth="1"/>
    <col min="9480" max="9482" width="12" style="3853" customWidth="1"/>
    <col min="9483" max="9483" width="9.140625" style="3853" customWidth="1"/>
    <col min="9484" max="9728" width="9.140625" style="3853"/>
    <col min="9729" max="9729" width="1.28515625" style="3853" customWidth="1"/>
    <col min="9730" max="9730" width="35.85546875" style="3853" customWidth="1"/>
    <col min="9731" max="9731" width="12.85546875" style="3853" customWidth="1"/>
    <col min="9732" max="9733" width="11.5703125" style="3853" customWidth="1"/>
    <col min="9734" max="9734" width="9.5703125" style="3853" customWidth="1"/>
    <col min="9735" max="9735" width="11.7109375" style="3853" customWidth="1"/>
    <col min="9736" max="9738" width="12" style="3853" customWidth="1"/>
    <col min="9739" max="9739" width="9.140625" style="3853" customWidth="1"/>
    <col min="9740" max="9984" width="9.140625" style="3853"/>
    <col min="9985" max="9985" width="1.28515625" style="3853" customWidth="1"/>
    <col min="9986" max="9986" width="35.85546875" style="3853" customWidth="1"/>
    <col min="9987" max="9987" width="12.85546875" style="3853" customWidth="1"/>
    <col min="9988" max="9989" width="11.5703125" style="3853" customWidth="1"/>
    <col min="9990" max="9990" width="9.5703125" style="3853" customWidth="1"/>
    <col min="9991" max="9991" width="11.7109375" style="3853" customWidth="1"/>
    <col min="9992" max="9994" width="12" style="3853" customWidth="1"/>
    <col min="9995" max="9995" width="9.140625" style="3853" customWidth="1"/>
    <col min="9996" max="10240" width="9.140625" style="3853"/>
    <col min="10241" max="10241" width="1.28515625" style="3853" customWidth="1"/>
    <col min="10242" max="10242" width="35.85546875" style="3853" customWidth="1"/>
    <col min="10243" max="10243" width="12.85546875" style="3853" customWidth="1"/>
    <col min="10244" max="10245" width="11.5703125" style="3853" customWidth="1"/>
    <col min="10246" max="10246" width="9.5703125" style="3853" customWidth="1"/>
    <col min="10247" max="10247" width="11.7109375" style="3853" customWidth="1"/>
    <col min="10248" max="10250" width="12" style="3853" customWidth="1"/>
    <col min="10251" max="10251" width="9.140625" style="3853" customWidth="1"/>
    <col min="10252" max="10496" width="9.140625" style="3853"/>
    <col min="10497" max="10497" width="1.28515625" style="3853" customWidth="1"/>
    <col min="10498" max="10498" width="35.85546875" style="3853" customWidth="1"/>
    <col min="10499" max="10499" width="12.85546875" style="3853" customWidth="1"/>
    <col min="10500" max="10501" width="11.5703125" style="3853" customWidth="1"/>
    <col min="10502" max="10502" width="9.5703125" style="3853" customWidth="1"/>
    <col min="10503" max="10503" width="11.7109375" style="3853" customWidth="1"/>
    <col min="10504" max="10506" width="12" style="3853" customWidth="1"/>
    <col min="10507" max="10507" width="9.140625" style="3853" customWidth="1"/>
    <col min="10508" max="10752" width="9.140625" style="3853"/>
    <col min="10753" max="10753" width="1.28515625" style="3853" customWidth="1"/>
    <col min="10754" max="10754" width="35.85546875" style="3853" customWidth="1"/>
    <col min="10755" max="10755" width="12.85546875" style="3853" customWidth="1"/>
    <col min="10756" max="10757" width="11.5703125" style="3853" customWidth="1"/>
    <col min="10758" max="10758" width="9.5703125" style="3853" customWidth="1"/>
    <col min="10759" max="10759" width="11.7109375" style="3853" customWidth="1"/>
    <col min="10760" max="10762" width="12" style="3853" customWidth="1"/>
    <col min="10763" max="10763" width="9.140625" style="3853" customWidth="1"/>
    <col min="10764" max="11008" width="9.140625" style="3853"/>
    <col min="11009" max="11009" width="1.28515625" style="3853" customWidth="1"/>
    <col min="11010" max="11010" width="35.85546875" style="3853" customWidth="1"/>
    <col min="11011" max="11011" width="12.85546875" style="3853" customWidth="1"/>
    <col min="11012" max="11013" width="11.5703125" style="3853" customWidth="1"/>
    <col min="11014" max="11014" width="9.5703125" style="3853" customWidth="1"/>
    <col min="11015" max="11015" width="11.7109375" style="3853" customWidth="1"/>
    <col min="11016" max="11018" width="12" style="3853" customWidth="1"/>
    <col min="11019" max="11019" width="9.140625" style="3853" customWidth="1"/>
    <col min="11020" max="11264" width="9.140625" style="3853"/>
    <col min="11265" max="11265" width="1.28515625" style="3853" customWidth="1"/>
    <col min="11266" max="11266" width="35.85546875" style="3853" customWidth="1"/>
    <col min="11267" max="11267" width="12.85546875" style="3853" customWidth="1"/>
    <col min="11268" max="11269" width="11.5703125" style="3853" customWidth="1"/>
    <col min="11270" max="11270" width="9.5703125" style="3853" customWidth="1"/>
    <col min="11271" max="11271" width="11.7109375" style="3853" customWidth="1"/>
    <col min="11272" max="11274" width="12" style="3853" customWidth="1"/>
    <col min="11275" max="11275" width="9.140625" style="3853" customWidth="1"/>
    <col min="11276" max="11520" width="9.140625" style="3853"/>
    <col min="11521" max="11521" width="1.28515625" style="3853" customWidth="1"/>
    <col min="11522" max="11522" width="35.85546875" style="3853" customWidth="1"/>
    <col min="11523" max="11523" width="12.85546875" style="3853" customWidth="1"/>
    <col min="11524" max="11525" width="11.5703125" style="3853" customWidth="1"/>
    <col min="11526" max="11526" width="9.5703125" style="3853" customWidth="1"/>
    <col min="11527" max="11527" width="11.7109375" style="3853" customWidth="1"/>
    <col min="11528" max="11530" width="12" style="3853" customWidth="1"/>
    <col min="11531" max="11531" width="9.140625" style="3853" customWidth="1"/>
    <col min="11532" max="11776" width="9.140625" style="3853"/>
    <col min="11777" max="11777" width="1.28515625" style="3853" customWidth="1"/>
    <col min="11778" max="11778" width="35.85546875" style="3853" customWidth="1"/>
    <col min="11779" max="11779" width="12.85546875" style="3853" customWidth="1"/>
    <col min="11780" max="11781" width="11.5703125" style="3853" customWidth="1"/>
    <col min="11782" max="11782" width="9.5703125" style="3853" customWidth="1"/>
    <col min="11783" max="11783" width="11.7109375" style="3853" customWidth="1"/>
    <col min="11784" max="11786" width="12" style="3853" customWidth="1"/>
    <col min="11787" max="11787" width="9.140625" style="3853" customWidth="1"/>
    <col min="11788" max="12032" width="9.140625" style="3853"/>
    <col min="12033" max="12033" width="1.28515625" style="3853" customWidth="1"/>
    <col min="12034" max="12034" width="35.85546875" style="3853" customWidth="1"/>
    <col min="12035" max="12035" width="12.85546875" style="3853" customWidth="1"/>
    <col min="12036" max="12037" width="11.5703125" style="3853" customWidth="1"/>
    <col min="12038" max="12038" width="9.5703125" style="3853" customWidth="1"/>
    <col min="12039" max="12039" width="11.7109375" style="3853" customWidth="1"/>
    <col min="12040" max="12042" width="12" style="3853" customWidth="1"/>
    <col min="12043" max="12043" width="9.140625" style="3853" customWidth="1"/>
    <col min="12044" max="12288" width="9.140625" style="3853"/>
    <col min="12289" max="12289" width="1.28515625" style="3853" customWidth="1"/>
    <col min="12290" max="12290" width="35.85546875" style="3853" customWidth="1"/>
    <col min="12291" max="12291" width="12.85546875" style="3853" customWidth="1"/>
    <col min="12292" max="12293" width="11.5703125" style="3853" customWidth="1"/>
    <col min="12294" max="12294" width="9.5703125" style="3853" customWidth="1"/>
    <col min="12295" max="12295" width="11.7109375" style="3853" customWidth="1"/>
    <col min="12296" max="12298" width="12" style="3853" customWidth="1"/>
    <col min="12299" max="12299" width="9.140625" style="3853" customWidth="1"/>
    <col min="12300" max="12544" width="9.140625" style="3853"/>
    <col min="12545" max="12545" width="1.28515625" style="3853" customWidth="1"/>
    <col min="12546" max="12546" width="35.85546875" style="3853" customWidth="1"/>
    <col min="12547" max="12547" width="12.85546875" style="3853" customWidth="1"/>
    <col min="12548" max="12549" width="11.5703125" style="3853" customWidth="1"/>
    <col min="12550" max="12550" width="9.5703125" style="3853" customWidth="1"/>
    <col min="12551" max="12551" width="11.7109375" style="3853" customWidth="1"/>
    <col min="12552" max="12554" width="12" style="3853" customWidth="1"/>
    <col min="12555" max="12555" width="9.140625" style="3853" customWidth="1"/>
    <col min="12556" max="12800" width="9.140625" style="3853"/>
    <col min="12801" max="12801" width="1.28515625" style="3853" customWidth="1"/>
    <col min="12802" max="12802" width="35.85546875" style="3853" customWidth="1"/>
    <col min="12803" max="12803" width="12.85546875" style="3853" customWidth="1"/>
    <col min="12804" max="12805" width="11.5703125" style="3853" customWidth="1"/>
    <col min="12806" max="12806" width="9.5703125" style="3853" customWidth="1"/>
    <col min="12807" max="12807" width="11.7109375" style="3853" customWidth="1"/>
    <col min="12808" max="12810" width="12" style="3853" customWidth="1"/>
    <col min="12811" max="12811" width="9.140625" style="3853" customWidth="1"/>
    <col min="12812" max="13056" width="9.140625" style="3853"/>
    <col min="13057" max="13057" width="1.28515625" style="3853" customWidth="1"/>
    <col min="13058" max="13058" width="35.85546875" style="3853" customWidth="1"/>
    <col min="13059" max="13059" width="12.85546875" style="3853" customWidth="1"/>
    <col min="13060" max="13061" width="11.5703125" style="3853" customWidth="1"/>
    <col min="13062" max="13062" width="9.5703125" style="3853" customWidth="1"/>
    <col min="13063" max="13063" width="11.7109375" style="3853" customWidth="1"/>
    <col min="13064" max="13066" width="12" style="3853" customWidth="1"/>
    <col min="13067" max="13067" width="9.140625" style="3853" customWidth="1"/>
    <col min="13068" max="13312" width="9.140625" style="3853"/>
    <col min="13313" max="13313" width="1.28515625" style="3853" customWidth="1"/>
    <col min="13314" max="13314" width="35.85546875" style="3853" customWidth="1"/>
    <col min="13315" max="13315" width="12.85546875" style="3853" customWidth="1"/>
    <col min="13316" max="13317" width="11.5703125" style="3853" customWidth="1"/>
    <col min="13318" max="13318" width="9.5703125" style="3853" customWidth="1"/>
    <col min="13319" max="13319" width="11.7109375" style="3853" customWidth="1"/>
    <col min="13320" max="13322" width="12" style="3853" customWidth="1"/>
    <col min="13323" max="13323" width="9.140625" style="3853" customWidth="1"/>
    <col min="13324" max="13568" width="9.140625" style="3853"/>
    <col min="13569" max="13569" width="1.28515625" style="3853" customWidth="1"/>
    <col min="13570" max="13570" width="35.85546875" style="3853" customWidth="1"/>
    <col min="13571" max="13571" width="12.85546875" style="3853" customWidth="1"/>
    <col min="13572" max="13573" width="11.5703125" style="3853" customWidth="1"/>
    <col min="13574" max="13574" width="9.5703125" style="3853" customWidth="1"/>
    <col min="13575" max="13575" width="11.7109375" style="3853" customWidth="1"/>
    <col min="13576" max="13578" width="12" style="3853" customWidth="1"/>
    <col min="13579" max="13579" width="9.140625" style="3853" customWidth="1"/>
    <col min="13580" max="13824" width="9.140625" style="3853"/>
    <col min="13825" max="13825" width="1.28515625" style="3853" customWidth="1"/>
    <col min="13826" max="13826" width="35.85546875" style="3853" customWidth="1"/>
    <col min="13827" max="13827" width="12.85546875" style="3853" customWidth="1"/>
    <col min="13828" max="13829" width="11.5703125" style="3853" customWidth="1"/>
    <col min="13830" max="13830" width="9.5703125" style="3853" customWidth="1"/>
    <col min="13831" max="13831" width="11.7109375" style="3853" customWidth="1"/>
    <col min="13832" max="13834" width="12" style="3853" customWidth="1"/>
    <col min="13835" max="13835" width="9.140625" style="3853" customWidth="1"/>
    <col min="13836" max="14080" width="9.140625" style="3853"/>
    <col min="14081" max="14081" width="1.28515625" style="3853" customWidth="1"/>
    <col min="14082" max="14082" width="35.85546875" style="3853" customWidth="1"/>
    <col min="14083" max="14083" width="12.85546875" style="3853" customWidth="1"/>
    <col min="14084" max="14085" width="11.5703125" style="3853" customWidth="1"/>
    <col min="14086" max="14086" width="9.5703125" style="3853" customWidth="1"/>
    <col min="14087" max="14087" width="11.7109375" style="3853" customWidth="1"/>
    <col min="14088" max="14090" width="12" style="3853" customWidth="1"/>
    <col min="14091" max="14091" width="9.140625" style="3853" customWidth="1"/>
    <col min="14092" max="14336" width="9.140625" style="3853"/>
    <col min="14337" max="14337" width="1.28515625" style="3853" customWidth="1"/>
    <col min="14338" max="14338" width="35.85546875" style="3853" customWidth="1"/>
    <col min="14339" max="14339" width="12.85546875" style="3853" customWidth="1"/>
    <col min="14340" max="14341" width="11.5703125" style="3853" customWidth="1"/>
    <col min="14342" max="14342" width="9.5703125" style="3853" customWidth="1"/>
    <col min="14343" max="14343" width="11.7109375" style="3853" customWidth="1"/>
    <col min="14344" max="14346" width="12" style="3853" customWidth="1"/>
    <col min="14347" max="14347" width="9.140625" style="3853" customWidth="1"/>
    <col min="14348" max="14592" width="9.140625" style="3853"/>
    <col min="14593" max="14593" width="1.28515625" style="3853" customWidth="1"/>
    <col min="14594" max="14594" width="35.85546875" style="3853" customWidth="1"/>
    <col min="14595" max="14595" width="12.85546875" style="3853" customWidth="1"/>
    <col min="14596" max="14597" width="11.5703125" style="3853" customWidth="1"/>
    <col min="14598" max="14598" width="9.5703125" style="3853" customWidth="1"/>
    <col min="14599" max="14599" width="11.7109375" style="3853" customWidth="1"/>
    <col min="14600" max="14602" width="12" style="3853" customWidth="1"/>
    <col min="14603" max="14603" width="9.140625" style="3853" customWidth="1"/>
    <col min="14604" max="14848" width="9.140625" style="3853"/>
    <col min="14849" max="14849" width="1.28515625" style="3853" customWidth="1"/>
    <col min="14850" max="14850" width="35.85546875" style="3853" customWidth="1"/>
    <col min="14851" max="14851" width="12.85546875" style="3853" customWidth="1"/>
    <col min="14852" max="14853" width="11.5703125" style="3853" customWidth="1"/>
    <col min="14854" max="14854" width="9.5703125" style="3853" customWidth="1"/>
    <col min="14855" max="14855" width="11.7109375" style="3853" customWidth="1"/>
    <col min="14856" max="14858" width="12" style="3853" customWidth="1"/>
    <col min="14859" max="14859" width="9.140625" style="3853" customWidth="1"/>
    <col min="14860" max="15104" width="9.140625" style="3853"/>
    <col min="15105" max="15105" width="1.28515625" style="3853" customWidth="1"/>
    <col min="15106" max="15106" width="35.85546875" style="3853" customWidth="1"/>
    <col min="15107" max="15107" width="12.85546875" style="3853" customWidth="1"/>
    <col min="15108" max="15109" width="11.5703125" style="3853" customWidth="1"/>
    <col min="15110" max="15110" width="9.5703125" style="3853" customWidth="1"/>
    <col min="15111" max="15111" width="11.7109375" style="3853" customWidth="1"/>
    <col min="15112" max="15114" width="12" style="3853" customWidth="1"/>
    <col min="15115" max="15115" width="9.140625" style="3853" customWidth="1"/>
    <col min="15116" max="15360" width="9.140625" style="3853"/>
    <col min="15361" max="15361" width="1.28515625" style="3853" customWidth="1"/>
    <col min="15362" max="15362" width="35.85546875" style="3853" customWidth="1"/>
    <col min="15363" max="15363" width="12.85546875" style="3853" customWidth="1"/>
    <col min="15364" max="15365" width="11.5703125" style="3853" customWidth="1"/>
    <col min="15366" max="15366" width="9.5703125" style="3853" customWidth="1"/>
    <col min="15367" max="15367" width="11.7109375" style="3853" customWidth="1"/>
    <col min="15368" max="15370" width="12" style="3853" customWidth="1"/>
    <col min="15371" max="15371" width="9.140625" style="3853" customWidth="1"/>
    <col min="15372" max="15616" width="9.140625" style="3853"/>
    <col min="15617" max="15617" width="1.28515625" style="3853" customWidth="1"/>
    <col min="15618" max="15618" width="35.85546875" style="3853" customWidth="1"/>
    <col min="15619" max="15619" width="12.85546875" style="3853" customWidth="1"/>
    <col min="15620" max="15621" width="11.5703125" style="3853" customWidth="1"/>
    <col min="15622" max="15622" width="9.5703125" style="3853" customWidth="1"/>
    <col min="15623" max="15623" width="11.7109375" style="3853" customWidth="1"/>
    <col min="15624" max="15626" width="12" style="3853" customWidth="1"/>
    <col min="15627" max="15627" width="9.140625" style="3853" customWidth="1"/>
    <col min="15628" max="15872" width="9.140625" style="3853"/>
    <col min="15873" max="15873" width="1.28515625" style="3853" customWidth="1"/>
    <col min="15874" max="15874" width="35.85546875" style="3853" customWidth="1"/>
    <col min="15875" max="15875" width="12.85546875" style="3853" customWidth="1"/>
    <col min="15876" max="15877" width="11.5703125" style="3853" customWidth="1"/>
    <col min="15878" max="15878" width="9.5703125" style="3853" customWidth="1"/>
    <col min="15879" max="15879" width="11.7109375" style="3853" customWidth="1"/>
    <col min="15880" max="15882" width="12" style="3853" customWidth="1"/>
    <col min="15883" max="15883" width="9.140625" style="3853" customWidth="1"/>
    <col min="15884" max="16128" width="9.140625" style="3853"/>
    <col min="16129" max="16129" width="1.28515625" style="3853" customWidth="1"/>
    <col min="16130" max="16130" width="35.85546875" style="3853" customWidth="1"/>
    <col min="16131" max="16131" width="12.85546875" style="3853" customWidth="1"/>
    <col min="16132" max="16133" width="11.5703125" style="3853" customWidth="1"/>
    <col min="16134" max="16134" width="9.5703125" style="3853" customWidth="1"/>
    <col min="16135" max="16135" width="11.7109375" style="3853" customWidth="1"/>
    <col min="16136" max="16138" width="12" style="3853" customWidth="1"/>
    <col min="16139" max="16139" width="9.140625" style="3853" customWidth="1"/>
    <col min="16140" max="16384" width="9.140625" style="3853"/>
  </cols>
  <sheetData>
    <row r="1" spans="1:11" ht="18">
      <c r="A1" s="4981" t="s">
        <v>2193</v>
      </c>
      <c r="B1" s="4981"/>
      <c r="C1" s="4981"/>
      <c r="D1" s="4981"/>
      <c r="E1" s="4981"/>
      <c r="F1" s="4981"/>
      <c r="G1" s="4981"/>
      <c r="H1" s="4981"/>
      <c r="I1" s="4981"/>
      <c r="J1" s="4981"/>
      <c r="K1" s="4981"/>
    </row>
    <row r="2" spans="1:11" ht="20.25">
      <c r="A2" s="4982" t="s">
        <v>2809</v>
      </c>
      <c r="B2" s="4982"/>
      <c r="C2" s="4982"/>
      <c r="D2" s="4982"/>
      <c r="E2" s="4982"/>
      <c r="F2" s="4982"/>
      <c r="G2" s="4982"/>
      <c r="H2" s="4982"/>
      <c r="I2" s="4982"/>
      <c r="J2" s="4982"/>
      <c r="K2" s="4982"/>
    </row>
    <row r="3" spans="1:11" ht="20.25">
      <c r="A3" s="4982" t="s">
        <v>2191</v>
      </c>
      <c r="B3" s="4982"/>
      <c r="C3" s="4982"/>
      <c r="D3" s="4982"/>
      <c r="E3" s="4982"/>
      <c r="F3" s="4982"/>
      <c r="G3" s="4982"/>
      <c r="H3" s="4982"/>
      <c r="I3" s="4982"/>
      <c r="J3" s="4982"/>
      <c r="K3" s="4982"/>
    </row>
    <row r="4" spans="1:11" ht="20.25">
      <c r="A4" s="4983" t="s">
        <v>2779</v>
      </c>
      <c r="B4" s="4983"/>
      <c r="C4" s="4983"/>
      <c r="D4" s="4983"/>
      <c r="E4" s="4983"/>
      <c r="F4" s="4983"/>
      <c r="G4" s="4983"/>
      <c r="H4" s="4983"/>
      <c r="I4" s="4983"/>
      <c r="J4" s="4983"/>
    </row>
    <row r="5" spans="1:11" ht="15" customHeight="1">
      <c r="D5" s="4984" t="s">
        <v>2189</v>
      </c>
      <c r="E5" s="4985"/>
      <c r="F5" s="4985"/>
      <c r="G5" s="4986"/>
      <c r="H5" s="3889" t="s">
        <v>2188</v>
      </c>
      <c r="I5" s="4987" t="s">
        <v>1516</v>
      </c>
      <c r="J5" s="4990" t="s">
        <v>2187</v>
      </c>
    </row>
    <row r="6" spans="1:11" ht="12.75" customHeight="1">
      <c r="D6" s="4993" t="s">
        <v>2182</v>
      </c>
      <c r="E6" s="3888"/>
      <c r="F6" s="3887"/>
      <c r="G6" s="4993" t="s">
        <v>244</v>
      </c>
      <c r="H6" s="3886" t="s">
        <v>2806</v>
      </c>
      <c r="I6" s="4988"/>
      <c r="J6" s="4991"/>
    </row>
    <row r="7" spans="1:11" ht="12.75" customHeight="1">
      <c r="D7" s="4994"/>
      <c r="E7" s="3885" t="s">
        <v>2185</v>
      </c>
      <c r="F7" s="3884" t="s">
        <v>2183</v>
      </c>
      <c r="G7" s="4994"/>
      <c r="H7" s="3883" t="s">
        <v>2805</v>
      </c>
      <c r="I7" s="4988"/>
      <c r="J7" s="4991"/>
    </row>
    <row r="8" spans="1:11" ht="12.75" customHeight="1">
      <c r="D8" s="4995"/>
      <c r="E8" s="3882"/>
      <c r="F8" s="3881" t="s">
        <v>2181</v>
      </c>
      <c r="G8" s="4995"/>
      <c r="H8" s="3880" t="s">
        <v>2180</v>
      </c>
      <c r="I8" s="4989"/>
      <c r="J8" s="4992"/>
    </row>
    <row r="9" spans="1:11">
      <c r="A9" s="3898" t="s">
        <v>2179</v>
      </c>
      <c r="D9" s="3895"/>
      <c r="E9" s="3897"/>
      <c r="F9" s="3896"/>
      <c r="G9" s="3895"/>
      <c r="H9" s="3895"/>
      <c r="I9" s="3895"/>
      <c r="J9" s="3895"/>
    </row>
    <row r="10" spans="1:11" s="3808" customFormat="1" ht="13.5">
      <c r="A10" s="2874"/>
      <c r="B10" s="3842" t="s">
        <v>2352</v>
      </c>
      <c r="C10" s="3185" t="s">
        <v>405</v>
      </c>
      <c r="D10" s="3869">
        <f>[34]RELEASE!$E$8</f>
        <v>150000</v>
      </c>
      <c r="E10" s="2869"/>
      <c r="F10" s="3873"/>
      <c r="G10" s="3872">
        <f>SUM(D10:F10)</f>
        <v>150000</v>
      </c>
      <c r="H10" s="3869">
        <v>150000</v>
      </c>
      <c r="I10" s="2869"/>
      <c r="J10" s="2869"/>
    </row>
    <row r="11" spans="1:11" s="3808" customFormat="1" ht="13.5">
      <c r="A11" s="2874"/>
      <c r="B11" s="3842" t="s">
        <v>404</v>
      </c>
      <c r="C11" s="3185" t="s">
        <v>403</v>
      </c>
      <c r="D11" s="3869">
        <f>[34]RELEASE!$F$8</f>
        <v>50000</v>
      </c>
      <c r="E11" s="2869"/>
      <c r="F11" s="3873"/>
      <c r="G11" s="3872">
        <f>SUM(D11:F11)</f>
        <v>50000</v>
      </c>
      <c r="H11" s="3869">
        <v>50000</v>
      </c>
      <c r="I11" s="2869"/>
      <c r="J11" s="2869"/>
    </row>
    <row r="12" spans="1:11" s="3808" customFormat="1" ht="13.5">
      <c r="A12" s="2874"/>
      <c r="B12" s="3842" t="s">
        <v>402</v>
      </c>
      <c r="C12" s="3185" t="s">
        <v>401</v>
      </c>
      <c r="D12" s="3869">
        <f>[34]RELEASE!$G$8</f>
        <v>130000</v>
      </c>
      <c r="E12" s="2869"/>
      <c r="F12" s="3873"/>
      <c r="G12" s="3872">
        <f>SUM(D12:F12)</f>
        <v>130000</v>
      </c>
      <c r="H12" s="3869">
        <v>130000</v>
      </c>
      <c r="I12" s="2869"/>
      <c r="J12" s="2869"/>
    </row>
    <row r="13" spans="1:11" s="3808" customFormat="1" ht="13.5">
      <c r="A13" s="2874"/>
      <c r="B13" s="3842" t="s">
        <v>674</v>
      </c>
      <c r="C13" s="3185" t="s">
        <v>396</v>
      </c>
      <c r="D13" s="3869">
        <f>[34]RELEASE!$H$8</f>
        <v>200000</v>
      </c>
      <c r="E13" s="2869"/>
      <c r="F13" s="3873"/>
      <c r="G13" s="3872">
        <f>SUM(D13:F13)</f>
        <v>200000</v>
      </c>
      <c r="H13" s="3869">
        <v>200000</v>
      </c>
      <c r="I13" s="2869"/>
      <c r="J13" s="2869"/>
    </row>
    <row r="14" spans="1:11" s="3808" customFormat="1" ht="13.5">
      <c r="A14" s="2874"/>
      <c r="B14" s="3842" t="s">
        <v>2793</v>
      </c>
      <c r="C14" s="3185"/>
      <c r="D14" s="3869"/>
      <c r="E14" s="2869"/>
      <c r="F14" s="3873"/>
      <c r="G14" s="3872"/>
      <c r="H14" s="3869"/>
      <c r="I14" s="2869"/>
      <c r="J14" s="2869"/>
    </row>
    <row r="15" spans="1:11" s="3808" customFormat="1" ht="13.5">
      <c r="A15" s="2874"/>
      <c r="B15" s="3894" t="s">
        <v>2799</v>
      </c>
      <c r="C15" s="3185" t="s">
        <v>2798</v>
      </c>
      <c r="D15" s="3869">
        <f>[34]RELEASE!$I$8</f>
        <v>1700000</v>
      </c>
      <c r="E15" s="2869"/>
      <c r="F15" s="3873"/>
      <c r="G15" s="3872">
        <f>SUM(D15:F15)</f>
        <v>1700000</v>
      </c>
      <c r="H15" s="3869">
        <v>1700000</v>
      </c>
      <c r="I15" s="2869"/>
      <c r="J15" s="2869"/>
    </row>
    <row r="16" spans="1:11" s="3808" customFormat="1" ht="13.5">
      <c r="A16" s="2874"/>
      <c r="B16" s="3842" t="s">
        <v>2793</v>
      </c>
      <c r="C16" s="3185"/>
      <c r="D16" s="3869"/>
      <c r="E16" s="2869"/>
      <c r="F16" s="3873"/>
      <c r="G16" s="3872"/>
      <c r="H16" s="3869"/>
      <c r="I16" s="2869"/>
      <c r="J16" s="2869"/>
    </row>
    <row r="17" spans="1:10" s="3808" customFormat="1" ht="13.5">
      <c r="A17" s="2874"/>
      <c r="B17" s="3894" t="s">
        <v>2797</v>
      </c>
      <c r="C17" s="3185" t="s">
        <v>2808</v>
      </c>
      <c r="D17" s="3869">
        <f>[34]RELEASE!$J$8</f>
        <v>5000000</v>
      </c>
      <c r="E17" s="2869"/>
      <c r="F17" s="3873"/>
      <c r="G17" s="3872">
        <f>SUM(D17:F17)</f>
        <v>5000000</v>
      </c>
      <c r="H17" s="3869">
        <v>5000000</v>
      </c>
      <c r="I17" s="2869"/>
      <c r="J17" s="2869"/>
    </row>
    <row r="18" spans="1:10" s="3808" customFormat="1" ht="13.5">
      <c r="A18" s="2874"/>
      <c r="B18" s="3842" t="s">
        <v>2793</v>
      </c>
      <c r="C18" s="3185"/>
      <c r="D18" s="3869"/>
      <c r="E18" s="2869"/>
      <c r="F18" s="3873"/>
      <c r="G18" s="3872"/>
      <c r="H18" s="3869"/>
      <c r="I18" s="2869"/>
      <c r="J18" s="2869"/>
    </row>
    <row r="19" spans="1:10" s="3808" customFormat="1" ht="13.5">
      <c r="A19" s="2874"/>
      <c r="B19" s="3894" t="s">
        <v>2795</v>
      </c>
      <c r="C19" s="3185" t="s">
        <v>2807</v>
      </c>
      <c r="D19" s="3869">
        <f>[34]RELEASE!$K$8</f>
        <v>1500000</v>
      </c>
      <c r="E19" s="2869"/>
      <c r="F19" s="3873"/>
      <c r="G19" s="3872">
        <f>SUM(D19:F19)</f>
        <v>1500000</v>
      </c>
      <c r="H19" s="3869">
        <v>1500000</v>
      </c>
      <c r="I19" s="2869"/>
      <c r="J19" s="2869"/>
    </row>
    <row r="20" spans="1:10" s="3808" customFormat="1" ht="13.5">
      <c r="A20" s="2874"/>
      <c r="B20" s="3842" t="s">
        <v>2793</v>
      </c>
      <c r="C20" s="3185"/>
      <c r="D20" s="3869"/>
      <c r="E20" s="2869"/>
      <c r="F20" s="3873"/>
      <c r="G20" s="3872"/>
      <c r="H20" s="3869"/>
      <c r="I20" s="2869"/>
      <c r="J20" s="2869"/>
    </row>
    <row r="21" spans="1:10" s="3808" customFormat="1" ht="13.5">
      <c r="A21" s="2874"/>
      <c r="B21" s="3894" t="s">
        <v>2792</v>
      </c>
      <c r="C21" s="3185" t="s">
        <v>2796</v>
      </c>
      <c r="D21" s="3869">
        <f>[34]RELEASE!$L$8</f>
        <v>94320</v>
      </c>
      <c r="E21" s="2869"/>
      <c r="F21" s="3873"/>
      <c r="G21" s="3872">
        <f>SUM(D21:F21)</f>
        <v>94320</v>
      </c>
      <c r="H21" s="3869">
        <v>94320</v>
      </c>
      <c r="I21" s="2869"/>
      <c r="J21" s="2869"/>
    </row>
    <row r="22" spans="1:10" s="3808" customFormat="1" ht="13.5">
      <c r="A22" s="2874"/>
      <c r="B22" s="3842" t="s">
        <v>673</v>
      </c>
      <c r="C22" s="3185" t="s">
        <v>1269</v>
      </c>
      <c r="D22" s="3869">
        <f>[34]RELEASE!$M$8</f>
        <v>290000</v>
      </c>
      <c r="E22" s="2869"/>
      <c r="F22" s="3873"/>
      <c r="G22" s="3872">
        <f>SUM(D22:F22)</f>
        <v>290000</v>
      </c>
      <c r="H22" s="3869">
        <v>290000</v>
      </c>
      <c r="I22" s="2869"/>
      <c r="J22" s="2869"/>
    </row>
    <row r="23" spans="1:10" s="3808" customFormat="1" ht="13.5">
      <c r="A23" s="2874"/>
      <c r="B23" s="3842" t="s">
        <v>700</v>
      </c>
      <c r="C23" s="3185" t="s">
        <v>392</v>
      </c>
      <c r="D23" s="3869">
        <f>[34]RELEASE!$N$8</f>
        <v>5000</v>
      </c>
      <c r="E23" s="2869"/>
      <c r="F23" s="3873"/>
      <c r="G23" s="3872">
        <f>SUM(D23:F23)</f>
        <v>5000</v>
      </c>
      <c r="H23" s="3869">
        <v>5000</v>
      </c>
      <c r="I23" s="2869"/>
      <c r="J23" s="2869"/>
    </row>
    <row r="24" spans="1:10" s="3808" customFormat="1" ht="13.5">
      <c r="A24" s="2874"/>
      <c r="B24" s="3842" t="s">
        <v>699</v>
      </c>
      <c r="C24" s="3185" t="s">
        <v>390</v>
      </c>
      <c r="D24" s="3869">
        <f>[34]RELEASE!$O$8</f>
        <v>92400</v>
      </c>
      <c r="E24" s="2869">
        <f>[34]RELEASE!$O$11</f>
        <v>772.52</v>
      </c>
      <c r="F24" s="3873"/>
      <c r="G24" s="3872">
        <f>SUM(D24:F24)</f>
        <v>93172.52</v>
      </c>
      <c r="H24" s="3869">
        <v>92400</v>
      </c>
      <c r="I24" s="2869"/>
      <c r="J24" s="2869"/>
    </row>
    <row r="25" spans="1:10" s="3808" customFormat="1" ht="13.5">
      <c r="A25" s="2874"/>
      <c r="B25" s="3842" t="s">
        <v>389</v>
      </c>
      <c r="C25" s="3185" t="s">
        <v>388</v>
      </c>
      <c r="D25" s="3869">
        <f>[34]RELEASE!$P$8</f>
        <v>475200</v>
      </c>
      <c r="E25" s="2869"/>
      <c r="F25" s="3873"/>
      <c r="G25" s="3872">
        <f>SUM(D25:F25)</f>
        <v>475200</v>
      </c>
      <c r="H25" s="3869">
        <v>475200</v>
      </c>
      <c r="I25" s="2869"/>
      <c r="J25" s="2869"/>
    </row>
    <row r="26" spans="1:10" s="3808" customFormat="1" ht="13.5">
      <c r="A26" s="2874"/>
      <c r="B26" s="3842" t="s">
        <v>1925</v>
      </c>
      <c r="C26" s="3185"/>
      <c r="D26" s="3869"/>
      <c r="E26" s="2869"/>
      <c r="F26" s="3873"/>
      <c r="G26" s="3872"/>
      <c r="H26" s="3869"/>
      <c r="I26" s="2869"/>
      <c r="J26" s="2869"/>
    </row>
    <row r="27" spans="1:10" s="3808" customFormat="1" ht="13.5">
      <c r="A27" s="2874"/>
      <c r="B27" s="3894" t="s">
        <v>2790</v>
      </c>
      <c r="C27" s="3185" t="s">
        <v>2335</v>
      </c>
      <c r="D27" s="3869">
        <f>[34]RELEASE!$Q$8</f>
        <v>100000</v>
      </c>
      <c r="E27" s="2869"/>
      <c r="F27" s="3873"/>
      <c r="G27" s="3872">
        <f>SUM(D27:F27)</f>
        <v>100000</v>
      </c>
      <c r="H27" s="3869">
        <v>100000</v>
      </c>
      <c r="I27" s="2869"/>
      <c r="J27" s="2869"/>
    </row>
    <row r="28" spans="1:10" s="3808" customFormat="1" ht="13.5">
      <c r="A28" s="2874"/>
      <c r="B28" s="3842" t="s">
        <v>2076</v>
      </c>
      <c r="C28" s="3185"/>
      <c r="D28" s="3869"/>
      <c r="E28" s="2869"/>
      <c r="F28" s="3873"/>
      <c r="G28" s="3872"/>
      <c r="H28" s="3869"/>
      <c r="I28" s="2869"/>
      <c r="J28" s="2869"/>
    </row>
    <row r="29" spans="1:10" s="3808" customFormat="1" ht="13.5">
      <c r="A29" s="2874"/>
      <c r="B29" s="3894" t="s">
        <v>2328</v>
      </c>
      <c r="C29" s="3185" t="s">
        <v>2327</v>
      </c>
      <c r="D29" s="3869">
        <f>[34]RELEASE!$R$8</f>
        <v>105000</v>
      </c>
      <c r="E29" s="2869"/>
      <c r="F29" s="3873"/>
      <c r="G29" s="3872">
        <f>SUM(D29:F29)</f>
        <v>105000</v>
      </c>
      <c r="H29" s="3869">
        <v>105000</v>
      </c>
      <c r="I29" s="2869"/>
      <c r="J29" s="2869"/>
    </row>
    <row r="30" spans="1:10" s="3808" customFormat="1" ht="13.5">
      <c r="A30" s="2874"/>
      <c r="B30" s="3842" t="s">
        <v>2076</v>
      </c>
      <c r="C30" s="3185"/>
      <c r="D30" s="3869"/>
      <c r="E30" s="2869"/>
      <c r="F30" s="3873"/>
      <c r="G30" s="3872"/>
      <c r="H30" s="3869"/>
      <c r="I30" s="2869"/>
      <c r="J30" s="2869"/>
    </row>
    <row r="31" spans="1:10" s="3808" customFormat="1" ht="13.5">
      <c r="A31" s="2874"/>
      <c r="B31" s="3842" t="s">
        <v>2715</v>
      </c>
      <c r="C31" s="3185" t="s">
        <v>1906</v>
      </c>
      <c r="D31" s="3869">
        <f>[34]RELEASE!$S$8</f>
        <v>88000</v>
      </c>
      <c r="E31" s="2869"/>
      <c r="F31" s="3873"/>
      <c r="G31" s="3872">
        <f>SUM(D31:F31)</f>
        <v>88000</v>
      </c>
      <c r="H31" s="3869">
        <v>88000</v>
      </c>
      <c r="I31" s="2869"/>
      <c r="J31" s="2869"/>
    </row>
    <row r="32" spans="1:10" s="3808" customFormat="1" ht="13.5">
      <c r="A32" s="2874"/>
      <c r="B32" s="3828" t="s">
        <v>2789</v>
      </c>
      <c r="C32" s="3893" t="s">
        <v>1242</v>
      </c>
      <c r="D32" s="3869">
        <f>[34]RELEASE!$T$8</f>
        <v>90000</v>
      </c>
      <c r="E32" s="2869"/>
      <c r="F32" s="3873"/>
      <c r="G32" s="3872">
        <f>SUM(D32:F32)</f>
        <v>90000</v>
      </c>
      <c r="H32" s="3869">
        <v>90000</v>
      </c>
      <c r="I32" s="2869"/>
      <c r="J32" s="2869"/>
    </row>
    <row r="33" spans="1:10" s="3808" customFormat="1" ht="13.5">
      <c r="A33" s="2874"/>
      <c r="B33" s="3828" t="s">
        <v>370</v>
      </c>
      <c r="C33" s="3893" t="s">
        <v>369</v>
      </c>
      <c r="D33" s="3869">
        <f>[34]RELEASE!$U$8</f>
        <v>9000</v>
      </c>
      <c r="E33" s="2869"/>
      <c r="F33" s="3873"/>
      <c r="G33" s="3872">
        <f>SUM(D33:F33)</f>
        <v>9000</v>
      </c>
      <c r="H33" s="3869">
        <v>9000</v>
      </c>
      <c r="I33" s="2869"/>
      <c r="J33" s="2869"/>
    </row>
    <row r="34" spans="1:10" s="3808" customFormat="1" ht="13.5">
      <c r="A34" s="2874"/>
      <c r="B34" s="3828" t="s">
        <v>1895</v>
      </c>
      <c r="C34" s="3893" t="s">
        <v>2788</v>
      </c>
      <c r="D34" s="3869">
        <f>[34]RELEASE!$W$8</f>
        <v>1860000</v>
      </c>
      <c r="E34" s="2869"/>
      <c r="F34" s="3873"/>
      <c r="G34" s="3872">
        <f>SUM(D34:F34)</f>
        <v>1860000</v>
      </c>
      <c r="H34" s="3872">
        <v>1050000</v>
      </c>
      <c r="I34" s="2869"/>
      <c r="J34" s="2869"/>
    </row>
    <row r="35" spans="1:10" s="3808" customFormat="1" ht="13.5">
      <c r="A35" s="2874"/>
      <c r="B35" s="3828" t="s">
        <v>1897</v>
      </c>
      <c r="C35" s="3893" t="s">
        <v>2787</v>
      </c>
      <c r="D35" s="2869">
        <f>[34]RELEASE!$V$8</f>
        <v>1050000</v>
      </c>
      <c r="E35" s="2869"/>
      <c r="F35" s="3873"/>
      <c r="G35" s="3872">
        <f>SUM(D35:F35)</f>
        <v>1050000</v>
      </c>
      <c r="H35" s="3872">
        <v>1860000</v>
      </c>
      <c r="I35" s="2869"/>
      <c r="J35" s="2869"/>
    </row>
    <row r="36" spans="1:10" s="3808" customFormat="1" ht="13.5">
      <c r="A36" s="2874"/>
      <c r="B36" s="3828"/>
      <c r="C36" s="3878"/>
      <c r="D36" s="3890"/>
      <c r="E36" s="3890"/>
      <c r="F36" s="3892"/>
      <c r="G36" s="3891"/>
      <c r="H36" s="3891"/>
      <c r="I36" s="3890"/>
      <c r="J36" s="3890"/>
    </row>
    <row r="37" spans="1:10" s="3808" customFormat="1" ht="13.5">
      <c r="A37" s="2874"/>
      <c r="B37" s="3828"/>
      <c r="C37" s="3878"/>
      <c r="D37" s="3890"/>
      <c r="E37" s="3890"/>
      <c r="F37" s="3892"/>
      <c r="G37" s="3891"/>
      <c r="H37" s="3891"/>
      <c r="I37" s="3890"/>
      <c r="J37" s="3890"/>
    </row>
    <row r="38" spans="1:10" s="3808" customFormat="1" ht="13.5">
      <c r="A38" s="2874"/>
      <c r="B38" s="3828"/>
      <c r="C38" s="3878"/>
      <c r="D38" s="3890"/>
      <c r="E38" s="3890"/>
      <c r="F38" s="3892"/>
      <c r="G38" s="3891"/>
      <c r="H38" s="3891"/>
      <c r="I38" s="3890"/>
      <c r="J38" s="3890"/>
    </row>
    <row r="39" spans="1:10" ht="15" customHeight="1">
      <c r="D39" s="4984" t="s">
        <v>2189</v>
      </c>
      <c r="E39" s="4985"/>
      <c r="F39" s="4985"/>
      <c r="G39" s="4986"/>
      <c r="H39" s="3889" t="s">
        <v>2188</v>
      </c>
      <c r="I39" s="4987" t="s">
        <v>1516</v>
      </c>
      <c r="J39" s="4990" t="s">
        <v>2187</v>
      </c>
    </row>
    <row r="40" spans="1:10" ht="12.75" customHeight="1">
      <c r="D40" s="4993" t="s">
        <v>2182</v>
      </c>
      <c r="E40" s="3888"/>
      <c r="F40" s="3887"/>
      <c r="G40" s="4993" t="s">
        <v>244</v>
      </c>
      <c r="H40" s="3886" t="s">
        <v>2806</v>
      </c>
      <c r="I40" s="4988"/>
      <c r="J40" s="4991"/>
    </row>
    <row r="41" spans="1:10" ht="12.75" customHeight="1">
      <c r="D41" s="4994"/>
      <c r="E41" s="3885" t="s">
        <v>2185</v>
      </c>
      <c r="F41" s="3884" t="s">
        <v>2183</v>
      </c>
      <c r="G41" s="4994"/>
      <c r="H41" s="3883" t="s">
        <v>2805</v>
      </c>
      <c r="I41" s="4988"/>
      <c r="J41" s="4991"/>
    </row>
    <row r="42" spans="1:10" ht="12.75" customHeight="1">
      <c r="D42" s="4995"/>
      <c r="E42" s="3882"/>
      <c r="F42" s="3881" t="s">
        <v>2181</v>
      </c>
      <c r="G42" s="4995"/>
      <c r="H42" s="3880" t="s">
        <v>2180</v>
      </c>
      <c r="I42" s="4989"/>
      <c r="J42" s="4992"/>
    </row>
    <row r="43" spans="1:10" s="3808" customFormat="1" ht="13.5">
      <c r="A43" s="2874"/>
      <c r="B43" s="3879" t="s">
        <v>368</v>
      </c>
      <c r="C43" s="3878"/>
      <c r="D43" s="2869"/>
      <c r="E43" s="2869"/>
      <c r="F43" s="3873"/>
      <c r="G43" s="3872"/>
      <c r="H43" s="2869"/>
      <c r="I43" s="2869"/>
      <c r="J43" s="2869"/>
    </row>
    <row r="44" spans="1:10" s="3808" customFormat="1" ht="13.5">
      <c r="A44" s="2874"/>
      <c r="B44" s="3842" t="s">
        <v>693</v>
      </c>
      <c r="C44" s="3185" t="s">
        <v>367</v>
      </c>
      <c r="D44" s="3875">
        <f>[34]RELEASE!$X$8</f>
        <v>89120</v>
      </c>
      <c r="E44" s="3874"/>
      <c r="F44" s="3877"/>
      <c r="G44" s="3876">
        <f>SUM(D44:F44)</f>
        <v>89120</v>
      </c>
      <c r="H44" s="3875">
        <v>89120</v>
      </c>
      <c r="I44" s="3874"/>
      <c r="J44" s="3874"/>
    </row>
    <row r="45" spans="1:10" s="3808" customFormat="1" ht="13.5">
      <c r="A45" s="2874"/>
      <c r="B45" s="3828" t="s">
        <v>693</v>
      </c>
      <c r="C45" s="3185"/>
      <c r="D45" s="3869"/>
      <c r="E45" s="2869"/>
      <c r="F45" s="3873"/>
      <c r="G45" s="3872"/>
      <c r="H45" s="3869"/>
      <c r="I45" s="2869"/>
      <c r="J45" s="2869"/>
    </row>
    <row r="46" spans="1:10" s="3808" customFormat="1" ht="13.5">
      <c r="A46" s="2874"/>
      <c r="B46" s="3871" t="s">
        <v>2804</v>
      </c>
      <c r="C46" s="3185" t="s">
        <v>1865</v>
      </c>
      <c r="D46" s="3869">
        <f>[34]RELEASE!$Y$8</f>
        <v>440000</v>
      </c>
      <c r="E46" s="2869"/>
      <c r="F46" s="3870"/>
      <c r="G46" s="3870">
        <f>SUM(D46:F46)</f>
        <v>440000</v>
      </c>
      <c r="H46" s="3869">
        <v>440000</v>
      </c>
      <c r="I46" s="2869"/>
      <c r="J46" s="2869"/>
    </row>
    <row r="47" spans="1:10" s="3867" customFormat="1">
      <c r="A47" s="2864"/>
      <c r="B47" s="2863" t="s">
        <v>244</v>
      </c>
      <c r="C47" s="2862"/>
      <c r="D47" s="3868">
        <f t="shared" ref="D47:I47" si="0">SUM(D10:D46)</f>
        <v>13518040</v>
      </c>
      <c r="E47" s="2866">
        <f t="shared" si="0"/>
        <v>772.52</v>
      </c>
      <c r="F47" s="2867">
        <f t="shared" si="0"/>
        <v>0</v>
      </c>
      <c r="G47" s="2866">
        <f t="shared" si="0"/>
        <v>13518812.52</v>
      </c>
      <c r="H47" s="3868">
        <f t="shared" si="0"/>
        <v>13518040</v>
      </c>
      <c r="I47" s="3868">
        <f t="shared" si="0"/>
        <v>0</v>
      </c>
      <c r="J47" s="3868"/>
    </row>
    <row r="48" spans="1:10" s="3867" customFormat="1">
      <c r="A48" s="2864"/>
      <c r="B48" s="2863"/>
      <c r="C48" s="2862"/>
      <c r="D48" s="2859"/>
      <c r="E48" s="2860"/>
      <c r="F48" s="2861"/>
      <c r="G48" s="2860"/>
      <c r="H48" s="2859"/>
      <c r="I48" s="2859"/>
      <c r="J48" s="2859"/>
    </row>
    <row r="49" spans="1:10" s="3864" customFormat="1">
      <c r="A49" s="2857"/>
      <c r="B49" s="2856"/>
      <c r="C49" s="2855"/>
      <c r="D49" s="2852"/>
      <c r="E49" s="3866"/>
      <c r="F49" s="3865"/>
      <c r="G49" s="3865"/>
      <c r="H49" s="2852"/>
      <c r="I49" s="2852"/>
      <c r="J49" s="2852"/>
    </row>
    <row r="50" spans="1:10" s="3859" customFormat="1">
      <c r="B50" s="3859" t="s">
        <v>715</v>
      </c>
      <c r="E50" s="3859" t="s">
        <v>2168</v>
      </c>
    </row>
    <row r="51" spans="1:10" s="3859" customFormat="1">
      <c r="C51" s="3863"/>
      <c r="F51" s="3862"/>
    </row>
    <row r="52" spans="1:10" s="3859" customFormat="1">
      <c r="C52" s="3863"/>
      <c r="F52" s="3862"/>
    </row>
    <row r="53" spans="1:10" s="3859" customFormat="1">
      <c r="B53" s="3861" t="s">
        <v>735</v>
      </c>
      <c r="C53" s="3861"/>
      <c r="D53" s="3861"/>
      <c r="E53" s="3861"/>
      <c r="F53" s="4997" t="s">
        <v>360</v>
      </c>
      <c r="G53" s="4997"/>
      <c r="H53" s="4997"/>
      <c r="I53" s="4997"/>
      <c r="J53" s="4997"/>
    </row>
    <row r="54" spans="1:10" s="3859" customFormat="1">
      <c r="B54" s="3860" t="s">
        <v>736</v>
      </c>
      <c r="C54" s="3860"/>
      <c r="D54" s="3860"/>
      <c r="E54" s="3860"/>
      <c r="F54" s="4996" t="s">
        <v>357</v>
      </c>
      <c r="G54" s="4996"/>
      <c r="H54" s="4996"/>
      <c r="I54" s="4996"/>
      <c r="J54" s="4996"/>
    </row>
    <row r="55" spans="1:10" s="3856" customFormat="1">
      <c r="C55" s="3858"/>
      <c r="F55" s="4996"/>
      <c r="G55" s="4996"/>
      <c r="H55" s="4996"/>
      <c r="I55" s="4996"/>
      <c r="J55" s="4996"/>
    </row>
    <row r="56" spans="1:10" s="3856" customFormat="1" ht="8.25">
      <c r="C56" s="3858"/>
      <c r="F56" s="3857"/>
    </row>
    <row r="57" spans="1:10" s="3856" customFormat="1" ht="8.25">
      <c r="C57" s="3858"/>
      <c r="F57" s="3857"/>
    </row>
    <row r="58" spans="1:10" s="3856" customFormat="1" ht="8.25">
      <c r="C58" s="3858"/>
      <c r="F58" s="3857"/>
    </row>
    <row r="59" spans="1:10" s="3856" customFormat="1" ht="8.25">
      <c r="C59" s="3858"/>
      <c r="F59" s="3857"/>
    </row>
    <row r="60" spans="1:10">
      <c r="C60" s="3855"/>
    </row>
    <row r="61" spans="1:10">
      <c r="C61" s="3855"/>
    </row>
    <row r="62" spans="1:10">
      <c r="C62" s="3855"/>
    </row>
    <row r="63" spans="1:10">
      <c r="C63" s="3855"/>
    </row>
    <row r="64" spans="1:10">
      <c r="C64" s="3855"/>
    </row>
  </sheetData>
  <mergeCells count="17">
    <mergeCell ref="F54:J54"/>
    <mergeCell ref="F55:J55"/>
    <mergeCell ref="D39:G39"/>
    <mergeCell ref="I39:I42"/>
    <mergeCell ref="J39:J42"/>
    <mergeCell ref="D40:D42"/>
    <mergeCell ref="G40:G42"/>
    <mergeCell ref="F53:J53"/>
    <mergeCell ref="A1:K1"/>
    <mergeCell ref="A2:K2"/>
    <mergeCell ref="A3:K3"/>
    <mergeCell ref="A4:J4"/>
    <mergeCell ref="D5:G5"/>
    <mergeCell ref="I5:I8"/>
    <mergeCell ref="J5:J8"/>
    <mergeCell ref="D6:D8"/>
    <mergeCell ref="G6:G8"/>
  </mergeCells>
  <printOptions horizontalCentered="1"/>
  <pageMargins left="0" right="0" top="0.5" bottom="0.5" header="0.5" footer="0.5"/>
  <pageSetup paperSize="5" orientation="landscape" verticalDpi="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dimension ref="A1:K547"/>
  <sheetViews>
    <sheetView showGridLines="0" zoomScale="140" zoomScaleNormal="140" workbookViewId="0">
      <selection activeCell="C66" sqref="C66"/>
    </sheetView>
  </sheetViews>
  <sheetFormatPr defaultColWidth="12.5703125" defaultRowHeight="12.75"/>
  <cols>
    <col min="1" max="2" width="3.7109375" style="3901" customWidth="1"/>
    <col min="3" max="3" width="24.7109375" style="3899" customWidth="1"/>
    <col min="4" max="4" width="26.7109375" style="3899" customWidth="1"/>
    <col min="5" max="5" width="3.7109375" style="3900" customWidth="1"/>
    <col min="6" max="6" width="11.7109375" style="3899" customWidth="1"/>
    <col min="7" max="7" width="3.7109375" style="3900" customWidth="1"/>
    <col min="8" max="8" width="11.7109375" style="3899" customWidth="1"/>
    <col min="9" max="9" width="11.42578125" style="3899" customWidth="1"/>
    <col min="10" max="256" width="12.5703125" style="3899"/>
    <col min="257" max="258" width="3.7109375" style="3899" customWidth="1"/>
    <col min="259" max="259" width="24.7109375" style="3899" customWidth="1"/>
    <col min="260" max="260" width="26.7109375" style="3899" customWidth="1"/>
    <col min="261" max="261" width="3.7109375" style="3899" customWidth="1"/>
    <col min="262" max="262" width="11.7109375" style="3899" customWidth="1"/>
    <col min="263" max="263" width="3.7109375" style="3899" customWidth="1"/>
    <col min="264" max="264" width="11.7109375" style="3899" customWidth="1"/>
    <col min="265" max="265" width="10.7109375" style="3899" customWidth="1"/>
    <col min="266" max="512" width="12.5703125" style="3899"/>
    <col min="513" max="514" width="3.7109375" style="3899" customWidth="1"/>
    <col min="515" max="515" width="24.7109375" style="3899" customWidth="1"/>
    <col min="516" max="516" width="26.7109375" style="3899" customWidth="1"/>
    <col min="517" max="517" width="3.7109375" style="3899" customWidth="1"/>
    <col min="518" max="518" width="11.7109375" style="3899" customWidth="1"/>
    <col min="519" max="519" width="3.7109375" style="3899" customWidth="1"/>
    <col min="520" max="520" width="11.7109375" style="3899" customWidth="1"/>
    <col min="521" max="521" width="10.7109375" style="3899" customWidth="1"/>
    <col min="522" max="768" width="12.5703125" style="3899"/>
    <col min="769" max="770" width="3.7109375" style="3899" customWidth="1"/>
    <col min="771" max="771" width="24.7109375" style="3899" customWidth="1"/>
    <col min="772" max="772" width="26.7109375" style="3899" customWidth="1"/>
    <col min="773" max="773" width="3.7109375" style="3899" customWidth="1"/>
    <col min="774" max="774" width="11.7109375" style="3899" customWidth="1"/>
    <col min="775" max="775" width="3.7109375" style="3899" customWidth="1"/>
    <col min="776" max="776" width="11.7109375" style="3899" customWidth="1"/>
    <col min="777" max="777" width="10.7109375" style="3899" customWidth="1"/>
    <col min="778" max="1024" width="12.5703125" style="3899"/>
    <col min="1025" max="1026" width="3.7109375" style="3899" customWidth="1"/>
    <col min="1027" max="1027" width="24.7109375" style="3899" customWidth="1"/>
    <col min="1028" max="1028" width="26.7109375" style="3899" customWidth="1"/>
    <col min="1029" max="1029" width="3.7109375" style="3899" customWidth="1"/>
    <col min="1030" max="1030" width="11.7109375" style="3899" customWidth="1"/>
    <col min="1031" max="1031" width="3.7109375" style="3899" customWidth="1"/>
    <col min="1032" max="1032" width="11.7109375" style="3899" customWidth="1"/>
    <col min="1033" max="1033" width="10.7109375" style="3899" customWidth="1"/>
    <col min="1034" max="1280" width="12.5703125" style="3899"/>
    <col min="1281" max="1282" width="3.7109375" style="3899" customWidth="1"/>
    <col min="1283" max="1283" width="24.7109375" style="3899" customWidth="1"/>
    <col min="1284" max="1284" width="26.7109375" style="3899" customWidth="1"/>
    <col min="1285" max="1285" width="3.7109375" style="3899" customWidth="1"/>
    <col min="1286" max="1286" width="11.7109375" style="3899" customWidth="1"/>
    <col min="1287" max="1287" width="3.7109375" style="3899" customWidth="1"/>
    <col min="1288" max="1288" width="11.7109375" style="3899" customWidth="1"/>
    <col min="1289" max="1289" width="10.7109375" style="3899" customWidth="1"/>
    <col min="1290" max="1536" width="12.5703125" style="3899"/>
    <col min="1537" max="1538" width="3.7109375" style="3899" customWidth="1"/>
    <col min="1539" max="1539" width="24.7109375" style="3899" customWidth="1"/>
    <col min="1540" max="1540" width="26.7109375" style="3899" customWidth="1"/>
    <col min="1541" max="1541" width="3.7109375" style="3899" customWidth="1"/>
    <col min="1542" max="1542" width="11.7109375" style="3899" customWidth="1"/>
    <col min="1543" max="1543" width="3.7109375" style="3899" customWidth="1"/>
    <col min="1544" max="1544" width="11.7109375" style="3899" customWidth="1"/>
    <col min="1545" max="1545" width="10.7109375" style="3899" customWidth="1"/>
    <col min="1546" max="1792" width="12.5703125" style="3899"/>
    <col min="1793" max="1794" width="3.7109375" style="3899" customWidth="1"/>
    <col min="1795" max="1795" width="24.7109375" style="3899" customWidth="1"/>
    <col min="1796" max="1796" width="26.7109375" style="3899" customWidth="1"/>
    <col min="1797" max="1797" width="3.7109375" style="3899" customWidth="1"/>
    <col min="1798" max="1798" width="11.7109375" style="3899" customWidth="1"/>
    <col min="1799" max="1799" width="3.7109375" style="3899" customWidth="1"/>
    <col min="1800" max="1800" width="11.7109375" style="3899" customWidth="1"/>
    <col min="1801" max="1801" width="10.7109375" style="3899" customWidth="1"/>
    <col min="1802" max="2048" width="12.5703125" style="3899"/>
    <col min="2049" max="2050" width="3.7109375" style="3899" customWidth="1"/>
    <col min="2051" max="2051" width="24.7109375" style="3899" customWidth="1"/>
    <col min="2052" max="2052" width="26.7109375" style="3899" customWidth="1"/>
    <col min="2053" max="2053" width="3.7109375" style="3899" customWidth="1"/>
    <col min="2054" max="2054" width="11.7109375" style="3899" customWidth="1"/>
    <col min="2055" max="2055" width="3.7109375" style="3899" customWidth="1"/>
    <col min="2056" max="2056" width="11.7109375" style="3899" customWidth="1"/>
    <col min="2057" max="2057" width="10.7109375" style="3899" customWidth="1"/>
    <col min="2058" max="2304" width="12.5703125" style="3899"/>
    <col min="2305" max="2306" width="3.7109375" style="3899" customWidth="1"/>
    <col min="2307" max="2307" width="24.7109375" style="3899" customWidth="1"/>
    <col min="2308" max="2308" width="26.7109375" style="3899" customWidth="1"/>
    <col min="2309" max="2309" width="3.7109375" style="3899" customWidth="1"/>
    <col min="2310" max="2310" width="11.7109375" style="3899" customWidth="1"/>
    <col min="2311" max="2311" width="3.7109375" style="3899" customWidth="1"/>
    <col min="2312" max="2312" width="11.7109375" style="3899" customWidth="1"/>
    <col min="2313" max="2313" width="10.7109375" style="3899" customWidth="1"/>
    <col min="2314" max="2560" width="12.5703125" style="3899"/>
    <col min="2561" max="2562" width="3.7109375" style="3899" customWidth="1"/>
    <col min="2563" max="2563" width="24.7109375" style="3899" customWidth="1"/>
    <col min="2564" max="2564" width="26.7109375" style="3899" customWidth="1"/>
    <col min="2565" max="2565" width="3.7109375" style="3899" customWidth="1"/>
    <col min="2566" max="2566" width="11.7109375" style="3899" customWidth="1"/>
    <col min="2567" max="2567" width="3.7109375" style="3899" customWidth="1"/>
    <col min="2568" max="2568" width="11.7109375" style="3899" customWidth="1"/>
    <col min="2569" max="2569" width="10.7109375" style="3899" customWidth="1"/>
    <col min="2570" max="2816" width="12.5703125" style="3899"/>
    <col min="2817" max="2818" width="3.7109375" style="3899" customWidth="1"/>
    <col min="2819" max="2819" width="24.7109375" style="3899" customWidth="1"/>
    <col min="2820" max="2820" width="26.7109375" style="3899" customWidth="1"/>
    <col min="2821" max="2821" width="3.7109375" style="3899" customWidth="1"/>
    <col min="2822" max="2822" width="11.7109375" style="3899" customWidth="1"/>
    <col min="2823" max="2823" width="3.7109375" style="3899" customWidth="1"/>
    <col min="2824" max="2824" width="11.7109375" style="3899" customWidth="1"/>
    <col min="2825" max="2825" width="10.7109375" style="3899" customWidth="1"/>
    <col min="2826" max="3072" width="12.5703125" style="3899"/>
    <col min="3073" max="3074" width="3.7109375" style="3899" customWidth="1"/>
    <col min="3075" max="3075" width="24.7109375" style="3899" customWidth="1"/>
    <col min="3076" max="3076" width="26.7109375" style="3899" customWidth="1"/>
    <col min="3077" max="3077" width="3.7109375" style="3899" customWidth="1"/>
    <col min="3078" max="3078" width="11.7109375" style="3899" customWidth="1"/>
    <col min="3079" max="3079" width="3.7109375" style="3899" customWidth="1"/>
    <col min="3080" max="3080" width="11.7109375" style="3899" customWidth="1"/>
    <col min="3081" max="3081" width="10.7109375" style="3899" customWidth="1"/>
    <col min="3082" max="3328" width="12.5703125" style="3899"/>
    <col min="3329" max="3330" width="3.7109375" style="3899" customWidth="1"/>
    <col min="3331" max="3331" width="24.7109375" style="3899" customWidth="1"/>
    <col min="3332" max="3332" width="26.7109375" style="3899" customWidth="1"/>
    <col min="3333" max="3333" width="3.7109375" style="3899" customWidth="1"/>
    <col min="3334" max="3334" width="11.7109375" style="3899" customWidth="1"/>
    <col min="3335" max="3335" width="3.7109375" style="3899" customWidth="1"/>
    <col min="3336" max="3336" width="11.7109375" style="3899" customWidth="1"/>
    <col min="3337" max="3337" width="10.7109375" style="3899" customWidth="1"/>
    <col min="3338" max="3584" width="12.5703125" style="3899"/>
    <col min="3585" max="3586" width="3.7109375" style="3899" customWidth="1"/>
    <col min="3587" max="3587" width="24.7109375" style="3899" customWidth="1"/>
    <col min="3588" max="3588" width="26.7109375" style="3899" customWidth="1"/>
    <col min="3589" max="3589" width="3.7109375" style="3899" customWidth="1"/>
    <col min="3590" max="3590" width="11.7109375" style="3899" customWidth="1"/>
    <col min="3591" max="3591" width="3.7109375" style="3899" customWidth="1"/>
    <col min="3592" max="3592" width="11.7109375" style="3899" customWidth="1"/>
    <col min="3593" max="3593" width="10.7109375" style="3899" customWidth="1"/>
    <col min="3594" max="3840" width="12.5703125" style="3899"/>
    <col min="3841" max="3842" width="3.7109375" style="3899" customWidth="1"/>
    <col min="3843" max="3843" width="24.7109375" style="3899" customWidth="1"/>
    <col min="3844" max="3844" width="26.7109375" style="3899" customWidth="1"/>
    <col min="3845" max="3845" width="3.7109375" style="3899" customWidth="1"/>
    <col min="3846" max="3846" width="11.7109375" style="3899" customWidth="1"/>
    <col min="3847" max="3847" width="3.7109375" style="3899" customWidth="1"/>
    <col min="3848" max="3848" width="11.7109375" style="3899" customWidth="1"/>
    <col min="3849" max="3849" width="10.7109375" style="3899" customWidth="1"/>
    <col min="3850" max="4096" width="12.5703125" style="3899"/>
    <col min="4097" max="4098" width="3.7109375" style="3899" customWidth="1"/>
    <col min="4099" max="4099" width="24.7109375" style="3899" customWidth="1"/>
    <col min="4100" max="4100" width="26.7109375" style="3899" customWidth="1"/>
    <col min="4101" max="4101" width="3.7109375" style="3899" customWidth="1"/>
    <col min="4102" max="4102" width="11.7109375" style="3899" customWidth="1"/>
    <col min="4103" max="4103" width="3.7109375" style="3899" customWidth="1"/>
    <col min="4104" max="4104" width="11.7109375" style="3899" customWidth="1"/>
    <col min="4105" max="4105" width="10.7109375" style="3899" customWidth="1"/>
    <col min="4106" max="4352" width="12.5703125" style="3899"/>
    <col min="4353" max="4354" width="3.7109375" style="3899" customWidth="1"/>
    <col min="4355" max="4355" width="24.7109375" style="3899" customWidth="1"/>
    <col min="4356" max="4356" width="26.7109375" style="3899" customWidth="1"/>
    <col min="4357" max="4357" width="3.7109375" style="3899" customWidth="1"/>
    <col min="4358" max="4358" width="11.7109375" style="3899" customWidth="1"/>
    <col min="4359" max="4359" width="3.7109375" style="3899" customWidth="1"/>
    <col min="4360" max="4360" width="11.7109375" style="3899" customWidth="1"/>
    <col min="4361" max="4361" width="10.7109375" style="3899" customWidth="1"/>
    <col min="4362" max="4608" width="12.5703125" style="3899"/>
    <col min="4609" max="4610" width="3.7109375" style="3899" customWidth="1"/>
    <col min="4611" max="4611" width="24.7109375" style="3899" customWidth="1"/>
    <col min="4612" max="4612" width="26.7109375" style="3899" customWidth="1"/>
    <col min="4613" max="4613" width="3.7109375" style="3899" customWidth="1"/>
    <col min="4614" max="4614" width="11.7109375" style="3899" customWidth="1"/>
    <col min="4615" max="4615" width="3.7109375" style="3899" customWidth="1"/>
    <col min="4616" max="4616" width="11.7109375" style="3899" customWidth="1"/>
    <col min="4617" max="4617" width="10.7109375" style="3899" customWidth="1"/>
    <col min="4618" max="4864" width="12.5703125" style="3899"/>
    <col min="4865" max="4866" width="3.7109375" style="3899" customWidth="1"/>
    <col min="4867" max="4867" width="24.7109375" style="3899" customWidth="1"/>
    <col min="4868" max="4868" width="26.7109375" style="3899" customWidth="1"/>
    <col min="4869" max="4869" width="3.7109375" style="3899" customWidth="1"/>
    <col min="4870" max="4870" width="11.7109375" style="3899" customWidth="1"/>
    <col min="4871" max="4871" width="3.7109375" style="3899" customWidth="1"/>
    <col min="4872" max="4872" width="11.7109375" style="3899" customWidth="1"/>
    <col min="4873" max="4873" width="10.7109375" style="3899" customWidth="1"/>
    <col min="4874" max="5120" width="12.5703125" style="3899"/>
    <col min="5121" max="5122" width="3.7109375" style="3899" customWidth="1"/>
    <col min="5123" max="5123" width="24.7109375" style="3899" customWidth="1"/>
    <col min="5124" max="5124" width="26.7109375" style="3899" customWidth="1"/>
    <col min="5125" max="5125" width="3.7109375" style="3899" customWidth="1"/>
    <col min="5126" max="5126" width="11.7109375" style="3899" customWidth="1"/>
    <col min="5127" max="5127" width="3.7109375" style="3899" customWidth="1"/>
    <col min="5128" max="5128" width="11.7109375" style="3899" customWidth="1"/>
    <col min="5129" max="5129" width="10.7109375" style="3899" customWidth="1"/>
    <col min="5130" max="5376" width="12.5703125" style="3899"/>
    <col min="5377" max="5378" width="3.7109375" style="3899" customWidth="1"/>
    <col min="5379" max="5379" width="24.7109375" style="3899" customWidth="1"/>
    <col min="5380" max="5380" width="26.7109375" style="3899" customWidth="1"/>
    <col min="5381" max="5381" width="3.7109375" style="3899" customWidth="1"/>
    <col min="5382" max="5382" width="11.7109375" style="3899" customWidth="1"/>
    <col min="5383" max="5383" width="3.7109375" style="3899" customWidth="1"/>
    <col min="5384" max="5384" width="11.7109375" style="3899" customWidth="1"/>
    <col min="5385" max="5385" width="10.7109375" style="3899" customWidth="1"/>
    <col min="5386" max="5632" width="12.5703125" style="3899"/>
    <col min="5633" max="5634" width="3.7109375" style="3899" customWidth="1"/>
    <col min="5635" max="5635" width="24.7109375" style="3899" customWidth="1"/>
    <col min="5636" max="5636" width="26.7109375" style="3899" customWidth="1"/>
    <col min="5637" max="5637" width="3.7109375" style="3899" customWidth="1"/>
    <col min="5638" max="5638" width="11.7109375" style="3899" customWidth="1"/>
    <col min="5639" max="5639" width="3.7109375" style="3899" customWidth="1"/>
    <col min="5640" max="5640" width="11.7109375" style="3899" customWidth="1"/>
    <col min="5641" max="5641" width="10.7109375" style="3899" customWidth="1"/>
    <col min="5642" max="5888" width="12.5703125" style="3899"/>
    <col min="5889" max="5890" width="3.7109375" style="3899" customWidth="1"/>
    <col min="5891" max="5891" width="24.7109375" style="3899" customWidth="1"/>
    <col min="5892" max="5892" width="26.7109375" style="3899" customWidth="1"/>
    <col min="5893" max="5893" width="3.7109375" style="3899" customWidth="1"/>
    <col min="5894" max="5894" width="11.7109375" style="3899" customWidth="1"/>
    <col min="5895" max="5895" width="3.7109375" style="3899" customWidth="1"/>
    <col min="5896" max="5896" width="11.7109375" style="3899" customWidth="1"/>
    <col min="5897" max="5897" width="10.7109375" style="3899" customWidth="1"/>
    <col min="5898" max="6144" width="12.5703125" style="3899"/>
    <col min="6145" max="6146" width="3.7109375" style="3899" customWidth="1"/>
    <col min="6147" max="6147" width="24.7109375" style="3899" customWidth="1"/>
    <col min="6148" max="6148" width="26.7109375" style="3899" customWidth="1"/>
    <col min="6149" max="6149" width="3.7109375" style="3899" customWidth="1"/>
    <col min="6150" max="6150" width="11.7109375" style="3899" customWidth="1"/>
    <col min="6151" max="6151" width="3.7109375" style="3899" customWidth="1"/>
    <col min="6152" max="6152" width="11.7109375" style="3899" customWidth="1"/>
    <col min="6153" max="6153" width="10.7109375" style="3899" customWidth="1"/>
    <col min="6154" max="6400" width="12.5703125" style="3899"/>
    <col min="6401" max="6402" width="3.7109375" style="3899" customWidth="1"/>
    <col min="6403" max="6403" width="24.7109375" style="3899" customWidth="1"/>
    <col min="6404" max="6404" width="26.7109375" style="3899" customWidth="1"/>
    <col min="6405" max="6405" width="3.7109375" style="3899" customWidth="1"/>
    <col min="6406" max="6406" width="11.7109375" style="3899" customWidth="1"/>
    <col min="6407" max="6407" width="3.7109375" style="3899" customWidth="1"/>
    <col min="6408" max="6408" width="11.7109375" style="3899" customWidth="1"/>
    <col min="6409" max="6409" width="10.7109375" style="3899" customWidth="1"/>
    <col min="6410" max="6656" width="12.5703125" style="3899"/>
    <col min="6657" max="6658" width="3.7109375" style="3899" customWidth="1"/>
    <col min="6659" max="6659" width="24.7109375" style="3899" customWidth="1"/>
    <col min="6660" max="6660" width="26.7109375" style="3899" customWidth="1"/>
    <col min="6661" max="6661" width="3.7109375" style="3899" customWidth="1"/>
    <col min="6662" max="6662" width="11.7109375" style="3899" customWidth="1"/>
    <col min="6663" max="6663" width="3.7109375" style="3899" customWidth="1"/>
    <col min="6664" max="6664" width="11.7109375" style="3899" customWidth="1"/>
    <col min="6665" max="6665" width="10.7109375" style="3899" customWidth="1"/>
    <col min="6666" max="6912" width="12.5703125" style="3899"/>
    <col min="6913" max="6914" width="3.7109375" style="3899" customWidth="1"/>
    <col min="6915" max="6915" width="24.7109375" style="3899" customWidth="1"/>
    <col min="6916" max="6916" width="26.7109375" style="3899" customWidth="1"/>
    <col min="6917" max="6917" width="3.7109375" style="3899" customWidth="1"/>
    <col min="6918" max="6918" width="11.7109375" style="3899" customWidth="1"/>
    <col min="6919" max="6919" width="3.7109375" style="3899" customWidth="1"/>
    <col min="6920" max="6920" width="11.7109375" style="3899" customWidth="1"/>
    <col min="6921" max="6921" width="10.7109375" style="3899" customWidth="1"/>
    <col min="6922" max="7168" width="12.5703125" style="3899"/>
    <col min="7169" max="7170" width="3.7109375" style="3899" customWidth="1"/>
    <col min="7171" max="7171" width="24.7109375" style="3899" customWidth="1"/>
    <col min="7172" max="7172" width="26.7109375" style="3899" customWidth="1"/>
    <col min="7173" max="7173" width="3.7109375" style="3899" customWidth="1"/>
    <col min="7174" max="7174" width="11.7109375" style="3899" customWidth="1"/>
    <col min="7175" max="7175" width="3.7109375" style="3899" customWidth="1"/>
    <col min="7176" max="7176" width="11.7109375" style="3899" customWidth="1"/>
    <col min="7177" max="7177" width="10.7109375" style="3899" customWidth="1"/>
    <col min="7178" max="7424" width="12.5703125" style="3899"/>
    <col min="7425" max="7426" width="3.7109375" style="3899" customWidth="1"/>
    <col min="7427" max="7427" width="24.7109375" style="3899" customWidth="1"/>
    <col min="7428" max="7428" width="26.7109375" style="3899" customWidth="1"/>
    <col min="7429" max="7429" width="3.7109375" style="3899" customWidth="1"/>
    <col min="7430" max="7430" width="11.7109375" style="3899" customWidth="1"/>
    <col min="7431" max="7431" width="3.7109375" style="3899" customWidth="1"/>
    <col min="7432" max="7432" width="11.7109375" style="3899" customWidth="1"/>
    <col min="7433" max="7433" width="10.7109375" style="3899" customWidth="1"/>
    <col min="7434" max="7680" width="12.5703125" style="3899"/>
    <col min="7681" max="7682" width="3.7109375" style="3899" customWidth="1"/>
    <col min="7683" max="7683" width="24.7109375" style="3899" customWidth="1"/>
    <col min="7684" max="7684" width="26.7109375" style="3899" customWidth="1"/>
    <col min="7685" max="7685" width="3.7109375" style="3899" customWidth="1"/>
    <col min="7686" max="7686" width="11.7109375" style="3899" customWidth="1"/>
    <col min="7687" max="7687" width="3.7109375" style="3899" customWidth="1"/>
    <col min="7688" max="7688" width="11.7109375" style="3899" customWidth="1"/>
    <col min="7689" max="7689" width="10.7109375" style="3899" customWidth="1"/>
    <col min="7690" max="7936" width="12.5703125" style="3899"/>
    <col min="7937" max="7938" width="3.7109375" style="3899" customWidth="1"/>
    <col min="7939" max="7939" width="24.7109375" style="3899" customWidth="1"/>
    <col min="7940" max="7940" width="26.7109375" style="3899" customWidth="1"/>
    <col min="7941" max="7941" width="3.7109375" style="3899" customWidth="1"/>
    <col min="7942" max="7942" width="11.7109375" style="3899" customWidth="1"/>
    <col min="7943" max="7943" width="3.7109375" style="3899" customWidth="1"/>
    <col min="7944" max="7944" width="11.7109375" style="3899" customWidth="1"/>
    <col min="7945" max="7945" width="10.7109375" style="3899" customWidth="1"/>
    <col min="7946" max="8192" width="12.5703125" style="3899"/>
    <col min="8193" max="8194" width="3.7109375" style="3899" customWidth="1"/>
    <col min="8195" max="8195" width="24.7109375" style="3899" customWidth="1"/>
    <col min="8196" max="8196" width="26.7109375" style="3899" customWidth="1"/>
    <col min="8197" max="8197" width="3.7109375" style="3899" customWidth="1"/>
    <col min="8198" max="8198" width="11.7109375" style="3899" customWidth="1"/>
    <col min="8199" max="8199" width="3.7109375" style="3899" customWidth="1"/>
    <col min="8200" max="8200" width="11.7109375" style="3899" customWidth="1"/>
    <col min="8201" max="8201" width="10.7109375" style="3899" customWidth="1"/>
    <col min="8202" max="8448" width="12.5703125" style="3899"/>
    <col min="8449" max="8450" width="3.7109375" style="3899" customWidth="1"/>
    <col min="8451" max="8451" width="24.7109375" style="3899" customWidth="1"/>
    <col min="8452" max="8452" width="26.7109375" style="3899" customWidth="1"/>
    <col min="8453" max="8453" width="3.7109375" style="3899" customWidth="1"/>
    <col min="8454" max="8454" width="11.7109375" style="3899" customWidth="1"/>
    <col min="8455" max="8455" width="3.7109375" style="3899" customWidth="1"/>
    <col min="8456" max="8456" width="11.7109375" style="3899" customWidth="1"/>
    <col min="8457" max="8457" width="10.7109375" style="3899" customWidth="1"/>
    <col min="8458" max="8704" width="12.5703125" style="3899"/>
    <col min="8705" max="8706" width="3.7109375" style="3899" customWidth="1"/>
    <col min="8707" max="8707" width="24.7109375" style="3899" customWidth="1"/>
    <col min="8708" max="8708" width="26.7109375" style="3899" customWidth="1"/>
    <col min="8709" max="8709" width="3.7109375" style="3899" customWidth="1"/>
    <col min="8710" max="8710" width="11.7109375" style="3899" customWidth="1"/>
    <col min="8711" max="8711" width="3.7109375" style="3899" customWidth="1"/>
    <col min="8712" max="8712" width="11.7109375" style="3899" customWidth="1"/>
    <col min="8713" max="8713" width="10.7109375" style="3899" customWidth="1"/>
    <col min="8714" max="8960" width="12.5703125" style="3899"/>
    <col min="8961" max="8962" width="3.7109375" style="3899" customWidth="1"/>
    <col min="8963" max="8963" width="24.7109375" style="3899" customWidth="1"/>
    <col min="8964" max="8964" width="26.7109375" style="3899" customWidth="1"/>
    <col min="8965" max="8965" width="3.7109375" style="3899" customWidth="1"/>
    <col min="8966" max="8966" width="11.7109375" style="3899" customWidth="1"/>
    <col min="8967" max="8967" width="3.7109375" style="3899" customWidth="1"/>
    <col min="8968" max="8968" width="11.7109375" style="3899" customWidth="1"/>
    <col min="8969" max="8969" width="10.7109375" style="3899" customWidth="1"/>
    <col min="8970" max="9216" width="12.5703125" style="3899"/>
    <col min="9217" max="9218" width="3.7109375" style="3899" customWidth="1"/>
    <col min="9219" max="9219" width="24.7109375" style="3899" customWidth="1"/>
    <col min="9220" max="9220" width="26.7109375" style="3899" customWidth="1"/>
    <col min="9221" max="9221" width="3.7109375" style="3899" customWidth="1"/>
    <col min="9222" max="9222" width="11.7109375" style="3899" customWidth="1"/>
    <col min="9223" max="9223" width="3.7109375" style="3899" customWidth="1"/>
    <col min="9224" max="9224" width="11.7109375" style="3899" customWidth="1"/>
    <col min="9225" max="9225" width="10.7109375" style="3899" customWidth="1"/>
    <col min="9226" max="9472" width="12.5703125" style="3899"/>
    <col min="9473" max="9474" width="3.7109375" style="3899" customWidth="1"/>
    <col min="9475" max="9475" width="24.7109375" style="3899" customWidth="1"/>
    <col min="9476" max="9476" width="26.7109375" style="3899" customWidth="1"/>
    <col min="9477" max="9477" width="3.7109375" style="3899" customWidth="1"/>
    <col min="9478" max="9478" width="11.7109375" style="3899" customWidth="1"/>
    <col min="9479" max="9479" width="3.7109375" style="3899" customWidth="1"/>
    <col min="9480" max="9480" width="11.7109375" style="3899" customWidth="1"/>
    <col min="9481" max="9481" width="10.7109375" style="3899" customWidth="1"/>
    <col min="9482" max="9728" width="12.5703125" style="3899"/>
    <col min="9729" max="9730" width="3.7109375" style="3899" customWidth="1"/>
    <col min="9731" max="9731" width="24.7109375" style="3899" customWidth="1"/>
    <col min="9732" max="9732" width="26.7109375" style="3899" customWidth="1"/>
    <col min="9733" max="9733" width="3.7109375" style="3899" customWidth="1"/>
    <col min="9734" max="9734" width="11.7109375" style="3899" customWidth="1"/>
    <col min="9735" max="9735" width="3.7109375" style="3899" customWidth="1"/>
    <col min="9736" max="9736" width="11.7109375" style="3899" customWidth="1"/>
    <col min="9737" max="9737" width="10.7109375" style="3899" customWidth="1"/>
    <col min="9738" max="9984" width="12.5703125" style="3899"/>
    <col min="9985" max="9986" width="3.7109375" style="3899" customWidth="1"/>
    <col min="9987" max="9987" width="24.7109375" style="3899" customWidth="1"/>
    <col min="9988" max="9988" width="26.7109375" style="3899" customWidth="1"/>
    <col min="9989" max="9989" width="3.7109375" style="3899" customWidth="1"/>
    <col min="9990" max="9990" width="11.7109375" style="3899" customWidth="1"/>
    <col min="9991" max="9991" width="3.7109375" style="3899" customWidth="1"/>
    <col min="9992" max="9992" width="11.7109375" style="3899" customWidth="1"/>
    <col min="9993" max="9993" width="10.7109375" style="3899" customWidth="1"/>
    <col min="9994" max="10240" width="12.5703125" style="3899"/>
    <col min="10241" max="10242" width="3.7109375" style="3899" customWidth="1"/>
    <col min="10243" max="10243" width="24.7109375" style="3899" customWidth="1"/>
    <col min="10244" max="10244" width="26.7109375" style="3899" customWidth="1"/>
    <col min="10245" max="10245" width="3.7109375" style="3899" customWidth="1"/>
    <col min="10246" max="10246" width="11.7109375" style="3899" customWidth="1"/>
    <col min="10247" max="10247" width="3.7109375" style="3899" customWidth="1"/>
    <col min="10248" max="10248" width="11.7109375" style="3899" customWidth="1"/>
    <col min="10249" max="10249" width="10.7109375" style="3899" customWidth="1"/>
    <col min="10250" max="10496" width="12.5703125" style="3899"/>
    <col min="10497" max="10498" width="3.7109375" style="3899" customWidth="1"/>
    <col min="10499" max="10499" width="24.7109375" style="3899" customWidth="1"/>
    <col min="10500" max="10500" width="26.7109375" style="3899" customWidth="1"/>
    <col min="10501" max="10501" width="3.7109375" style="3899" customWidth="1"/>
    <col min="10502" max="10502" width="11.7109375" style="3899" customWidth="1"/>
    <col min="10503" max="10503" width="3.7109375" style="3899" customWidth="1"/>
    <col min="10504" max="10504" width="11.7109375" style="3899" customWidth="1"/>
    <col min="10505" max="10505" width="10.7109375" style="3899" customWidth="1"/>
    <col min="10506" max="10752" width="12.5703125" style="3899"/>
    <col min="10753" max="10754" width="3.7109375" style="3899" customWidth="1"/>
    <col min="10755" max="10755" width="24.7109375" style="3899" customWidth="1"/>
    <col min="10756" max="10756" width="26.7109375" style="3899" customWidth="1"/>
    <col min="10757" max="10757" width="3.7109375" style="3899" customWidth="1"/>
    <col min="10758" max="10758" width="11.7109375" style="3899" customWidth="1"/>
    <col min="10759" max="10759" width="3.7109375" style="3899" customWidth="1"/>
    <col min="10760" max="10760" width="11.7109375" style="3899" customWidth="1"/>
    <col min="10761" max="10761" width="10.7109375" style="3899" customWidth="1"/>
    <col min="10762" max="11008" width="12.5703125" style="3899"/>
    <col min="11009" max="11010" width="3.7109375" style="3899" customWidth="1"/>
    <col min="11011" max="11011" width="24.7109375" style="3899" customWidth="1"/>
    <col min="11012" max="11012" width="26.7109375" style="3899" customWidth="1"/>
    <col min="11013" max="11013" width="3.7109375" style="3899" customWidth="1"/>
    <col min="11014" max="11014" width="11.7109375" style="3899" customWidth="1"/>
    <col min="11015" max="11015" width="3.7109375" style="3899" customWidth="1"/>
    <col min="11016" max="11016" width="11.7109375" style="3899" customWidth="1"/>
    <col min="11017" max="11017" width="10.7109375" style="3899" customWidth="1"/>
    <col min="11018" max="11264" width="12.5703125" style="3899"/>
    <col min="11265" max="11266" width="3.7109375" style="3899" customWidth="1"/>
    <col min="11267" max="11267" width="24.7109375" style="3899" customWidth="1"/>
    <col min="11268" max="11268" width="26.7109375" style="3899" customWidth="1"/>
    <col min="11269" max="11269" width="3.7109375" style="3899" customWidth="1"/>
    <col min="11270" max="11270" width="11.7109375" style="3899" customWidth="1"/>
    <col min="11271" max="11271" width="3.7109375" style="3899" customWidth="1"/>
    <col min="11272" max="11272" width="11.7109375" style="3899" customWidth="1"/>
    <col min="11273" max="11273" width="10.7109375" style="3899" customWidth="1"/>
    <col min="11274" max="11520" width="12.5703125" style="3899"/>
    <col min="11521" max="11522" width="3.7109375" style="3899" customWidth="1"/>
    <col min="11523" max="11523" width="24.7109375" style="3899" customWidth="1"/>
    <col min="11524" max="11524" width="26.7109375" style="3899" customWidth="1"/>
    <col min="11525" max="11525" width="3.7109375" style="3899" customWidth="1"/>
    <col min="11526" max="11526" width="11.7109375" style="3899" customWidth="1"/>
    <col min="11527" max="11527" width="3.7109375" style="3899" customWidth="1"/>
    <col min="11528" max="11528" width="11.7109375" style="3899" customWidth="1"/>
    <col min="11529" max="11529" width="10.7109375" style="3899" customWidth="1"/>
    <col min="11530" max="11776" width="12.5703125" style="3899"/>
    <col min="11777" max="11778" width="3.7109375" style="3899" customWidth="1"/>
    <col min="11779" max="11779" width="24.7109375" style="3899" customWidth="1"/>
    <col min="11780" max="11780" width="26.7109375" style="3899" customWidth="1"/>
    <col min="11781" max="11781" width="3.7109375" style="3899" customWidth="1"/>
    <col min="11782" max="11782" width="11.7109375" style="3899" customWidth="1"/>
    <col min="11783" max="11783" width="3.7109375" style="3899" customWidth="1"/>
    <col min="11784" max="11784" width="11.7109375" style="3899" customWidth="1"/>
    <col min="11785" max="11785" width="10.7109375" style="3899" customWidth="1"/>
    <col min="11786" max="12032" width="12.5703125" style="3899"/>
    <col min="12033" max="12034" width="3.7109375" style="3899" customWidth="1"/>
    <col min="12035" max="12035" width="24.7109375" style="3899" customWidth="1"/>
    <col min="12036" max="12036" width="26.7109375" style="3899" customWidth="1"/>
    <col min="12037" max="12037" width="3.7109375" style="3899" customWidth="1"/>
    <col min="12038" max="12038" width="11.7109375" style="3899" customWidth="1"/>
    <col min="12039" max="12039" width="3.7109375" style="3899" customWidth="1"/>
    <col min="12040" max="12040" width="11.7109375" style="3899" customWidth="1"/>
    <col min="12041" max="12041" width="10.7109375" style="3899" customWidth="1"/>
    <col min="12042" max="12288" width="12.5703125" style="3899"/>
    <col min="12289" max="12290" width="3.7109375" style="3899" customWidth="1"/>
    <col min="12291" max="12291" width="24.7109375" style="3899" customWidth="1"/>
    <col min="12292" max="12292" width="26.7109375" style="3899" customWidth="1"/>
    <col min="12293" max="12293" width="3.7109375" style="3899" customWidth="1"/>
    <col min="12294" max="12294" width="11.7109375" style="3899" customWidth="1"/>
    <col min="12295" max="12295" width="3.7109375" style="3899" customWidth="1"/>
    <col min="12296" max="12296" width="11.7109375" style="3899" customWidth="1"/>
    <col min="12297" max="12297" width="10.7109375" style="3899" customWidth="1"/>
    <col min="12298" max="12544" width="12.5703125" style="3899"/>
    <col min="12545" max="12546" width="3.7109375" style="3899" customWidth="1"/>
    <col min="12547" max="12547" width="24.7109375" style="3899" customWidth="1"/>
    <col min="12548" max="12548" width="26.7109375" style="3899" customWidth="1"/>
    <col min="12549" max="12549" width="3.7109375" style="3899" customWidth="1"/>
    <col min="12550" max="12550" width="11.7109375" style="3899" customWidth="1"/>
    <col min="12551" max="12551" width="3.7109375" style="3899" customWidth="1"/>
    <col min="12552" max="12552" width="11.7109375" style="3899" customWidth="1"/>
    <col min="12553" max="12553" width="10.7109375" style="3899" customWidth="1"/>
    <col min="12554" max="12800" width="12.5703125" style="3899"/>
    <col min="12801" max="12802" width="3.7109375" style="3899" customWidth="1"/>
    <col min="12803" max="12803" width="24.7109375" style="3899" customWidth="1"/>
    <col min="12804" max="12804" width="26.7109375" style="3899" customWidth="1"/>
    <col min="12805" max="12805" width="3.7109375" style="3899" customWidth="1"/>
    <col min="12806" max="12806" width="11.7109375" style="3899" customWidth="1"/>
    <col min="12807" max="12807" width="3.7109375" style="3899" customWidth="1"/>
    <col min="12808" max="12808" width="11.7109375" style="3899" customWidth="1"/>
    <col min="12809" max="12809" width="10.7109375" style="3899" customWidth="1"/>
    <col min="12810" max="13056" width="12.5703125" style="3899"/>
    <col min="13057" max="13058" width="3.7109375" style="3899" customWidth="1"/>
    <col min="13059" max="13059" width="24.7109375" style="3899" customWidth="1"/>
    <col min="13060" max="13060" width="26.7109375" style="3899" customWidth="1"/>
    <col min="13061" max="13061" width="3.7109375" style="3899" customWidth="1"/>
    <col min="13062" max="13062" width="11.7109375" style="3899" customWidth="1"/>
    <col min="13063" max="13063" width="3.7109375" style="3899" customWidth="1"/>
    <col min="13064" max="13064" width="11.7109375" style="3899" customWidth="1"/>
    <col min="13065" max="13065" width="10.7109375" style="3899" customWidth="1"/>
    <col min="13066" max="13312" width="12.5703125" style="3899"/>
    <col min="13313" max="13314" width="3.7109375" style="3899" customWidth="1"/>
    <col min="13315" max="13315" width="24.7109375" style="3899" customWidth="1"/>
    <col min="13316" max="13316" width="26.7109375" style="3899" customWidth="1"/>
    <col min="13317" max="13317" width="3.7109375" style="3899" customWidth="1"/>
    <col min="13318" max="13318" width="11.7109375" style="3899" customWidth="1"/>
    <col min="13319" max="13319" width="3.7109375" style="3899" customWidth="1"/>
    <col min="13320" max="13320" width="11.7109375" style="3899" customWidth="1"/>
    <col min="13321" max="13321" width="10.7109375" style="3899" customWidth="1"/>
    <col min="13322" max="13568" width="12.5703125" style="3899"/>
    <col min="13569" max="13570" width="3.7109375" style="3899" customWidth="1"/>
    <col min="13571" max="13571" width="24.7109375" style="3899" customWidth="1"/>
    <col min="13572" max="13572" width="26.7109375" style="3899" customWidth="1"/>
    <col min="13573" max="13573" width="3.7109375" style="3899" customWidth="1"/>
    <col min="13574" max="13574" width="11.7109375" style="3899" customWidth="1"/>
    <col min="13575" max="13575" width="3.7109375" style="3899" customWidth="1"/>
    <col min="13576" max="13576" width="11.7109375" style="3899" customWidth="1"/>
    <col min="13577" max="13577" width="10.7109375" style="3899" customWidth="1"/>
    <col min="13578" max="13824" width="12.5703125" style="3899"/>
    <col min="13825" max="13826" width="3.7109375" style="3899" customWidth="1"/>
    <col min="13827" max="13827" width="24.7109375" style="3899" customWidth="1"/>
    <col min="13828" max="13828" width="26.7109375" style="3899" customWidth="1"/>
    <col min="13829" max="13829" width="3.7109375" style="3899" customWidth="1"/>
    <col min="13830" max="13830" width="11.7109375" style="3899" customWidth="1"/>
    <col min="13831" max="13831" width="3.7109375" style="3899" customWidth="1"/>
    <col min="13832" max="13832" width="11.7109375" style="3899" customWidth="1"/>
    <col min="13833" max="13833" width="10.7109375" style="3899" customWidth="1"/>
    <col min="13834" max="14080" width="12.5703125" style="3899"/>
    <col min="14081" max="14082" width="3.7109375" style="3899" customWidth="1"/>
    <col min="14083" max="14083" width="24.7109375" style="3899" customWidth="1"/>
    <col min="14084" max="14084" width="26.7109375" style="3899" customWidth="1"/>
    <col min="14085" max="14085" width="3.7109375" style="3899" customWidth="1"/>
    <col min="14086" max="14086" width="11.7109375" style="3899" customWidth="1"/>
    <col min="14087" max="14087" width="3.7109375" style="3899" customWidth="1"/>
    <col min="14088" max="14088" width="11.7109375" style="3899" customWidth="1"/>
    <col min="14089" max="14089" width="10.7109375" style="3899" customWidth="1"/>
    <col min="14090" max="14336" width="12.5703125" style="3899"/>
    <col min="14337" max="14338" width="3.7109375" style="3899" customWidth="1"/>
    <col min="14339" max="14339" width="24.7109375" style="3899" customWidth="1"/>
    <col min="14340" max="14340" width="26.7109375" style="3899" customWidth="1"/>
    <col min="14341" max="14341" width="3.7109375" style="3899" customWidth="1"/>
    <col min="14342" max="14342" width="11.7109375" style="3899" customWidth="1"/>
    <col min="14343" max="14343" width="3.7109375" style="3899" customWidth="1"/>
    <col min="14344" max="14344" width="11.7109375" style="3899" customWidth="1"/>
    <col min="14345" max="14345" width="10.7109375" style="3899" customWidth="1"/>
    <col min="14346" max="14592" width="12.5703125" style="3899"/>
    <col min="14593" max="14594" width="3.7109375" style="3899" customWidth="1"/>
    <col min="14595" max="14595" width="24.7109375" style="3899" customWidth="1"/>
    <col min="14596" max="14596" width="26.7109375" style="3899" customWidth="1"/>
    <col min="14597" max="14597" width="3.7109375" style="3899" customWidth="1"/>
    <col min="14598" max="14598" width="11.7109375" style="3899" customWidth="1"/>
    <col min="14599" max="14599" width="3.7109375" style="3899" customWidth="1"/>
    <col min="14600" max="14600" width="11.7109375" style="3899" customWidth="1"/>
    <col min="14601" max="14601" width="10.7109375" style="3899" customWidth="1"/>
    <col min="14602" max="14848" width="12.5703125" style="3899"/>
    <col min="14849" max="14850" width="3.7109375" style="3899" customWidth="1"/>
    <col min="14851" max="14851" width="24.7109375" style="3899" customWidth="1"/>
    <col min="14852" max="14852" width="26.7109375" style="3899" customWidth="1"/>
    <col min="14853" max="14853" width="3.7109375" style="3899" customWidth="1"/>
    <col min="14854" max="14854" width="11.7109375" style="3899" customWidth="1"/>
    <col min="14855" max="14855" width="3.7109375" style="3899" customWidth="1"/>
    <col min="14856" max="14856" width="11.7109375" style="3899" customWidth="1"/>
    <col min="14857" max="14857" width="10.7109375" style="3899" customWidth="1"/>
    <col min="14858" max="15104" width="12.5703125" style="3899"/>
    <col min="15105" max="15106" width="3.7109375" style="3899" customWidth="1"/>
    <col min="15107" max="15107" width="24.7109375" style="3899" customWidth="1"/>
    <col min="15108" max="15108" width="26.7109375" style="3899" customWidth="1"/>
    <col min="15109" max="15109" width="3.7109375" style="3899" customWidth="1"/>
    <col min="15110" max="15110" width="11.7109375" style="3899" customWidth="1"/>
    <col min="15111" max="15111" width="3.7109375" style="3899" customWidth="1"/>
    <col min="15112" max="15112" width="11.7109375" style="3899" customWidth="1"/>
    <col min="15113" max="15113" width="10.7109375" style="3899" customWidth="1"/>
    <col min="15114" max="15360" width="12.5703125" style="3899"/>
    <col min="15361" max="15362" width="3.7109375" style="3899" customWidth="1"/>
    <col min="15363" max="15363" width="24.7109375" style="3899" customWidth="1"/>
    <col min="15364" max="15364" width="26.7109375" style="3899" customWidth="1"/>
    <col min="15365" max="15365" width="3.7109375" style="3899" customWidth="1"/>
    <col min="15366" max="15366" width="11.7109375" style="3899" customWidth="1"/>
    <col min="15367" max="15367" width="3.7109375" style="3899" customWidth="1"/>
    <col min="15368" max="15368" width="11.7109375" style="3899" customWidth="1"/>
    <col min="15369" max="15369" width="10.7109375" style="3899" customWidth="1"/>
    <col min="15370" max="15616" width="12.5703125" style="3899"/>
    <col min="15617" max="15618" width="3.7109375" style="3899" customWidth="1"/>
    <col min="15619" max="15619" width="24.7109375" style="3899" customWidth="1"/>
    <col min="15620" max="15620" width="26.7109375" style="3899" customWidth="1"/>
    <col min="15621" max="15621" width="3.7109375" style="3899" customWidth="1"/>
    <col min="15622" max="15622" width="11.7109375" style="3899" customWidth="1"/>
    <col min="15623" max="15623" width="3.7109375" style="3899" customWidth="1"/>
    <col min="15624" max="15624" width="11.7109375" style="3899" customWidth="1"/>
    <col min="15625" max="15625" width="10.7109375" style="3899" customWidth="1"/>
    <col min="15626" max="15872" width="12.5703125" style="3899"/>
    <col min="15873" max="15874" width="3.7109375" style="3899" customWidth="1"/>
    <col min="15875" max="15875" width="24.7109375" style="3899" customWidth="1"/>
    <col min="15876" max="15876" width="26.7109375" style="3899" customWidth="1"/>
    <col min="15877" max="15877" width="3.7109375" style="3899" customWidth="1"/>
    <col min="15878" max="15878" width="11.7109375" style="3899" customWidth="1"/>
    <col min="15879" max="15879" width="3.7109375" style="3899" customWidth="1"/>
    <col min="15880" max="15880" width="11.7109375" style="3899" customWidth="1"/>
    <col min="15881" max="15881" width="10.7109375" style="3899" customWidth="1"/>
    <col min="15882" max="16128" width="12.5703125" style="3899"/>
    <col min="16129" max="16130" width="3.7109375" style="3899" customWidth="1"/>
    <col min="16131" max="16131" width="24.7109375" style="3899" customWidth="1"/>
    <col min="16132" max="16132" width="26.7109375" style="3899" customWidth="1"/>
    <col min="16133" max="16133" width="3.7109375" style="3899" customWidth="1"/>
    <col min="16134" max="16134" width="11.7109375" style="3899" customWidth="1"/>
    <col min="16135" max="16135" width="3.7109375" style="3899" customWidth="1"/>
    <col min="16136" max="16136" width="11.7109375" style="3899" customWidth="1"/>
    <col min="16137" max="16137" width="10.7109375" style="3899" customWidth="1"/>
    <col min="16138" max="16384" width="12.5703125" style="3899"/>
  </cols>
  <sheetData>
    <row r="1" spans="1:11" s="3389" customFormat="1" ht="13.5" customHeight="1">
      <c r="A1" s="3808"/>
      <c r="B1" s="3818" t="s">
        <v>2457</v>
      </c>
      <c r="C1" s="3808"/>
      <c r="D1" s="3808"/>
      <c r="E1" s="4148"/>
      <c r="F1" s="4151"/>
      <c r="G1" s="4147"/>
      <c r="H1" s="4150"/>
      <c r="I1" s="3589"/>
    </row>
    <row r="2" spans="1:11" s="3389" customFormat="1" ht="13.5" customHeight="1">
      <c r="A2" s="3808"/>
      <c r="B2" s="3816" t="s">
        <v>3101</v>
      </c>
      <c r="C2" s="4149"/>
      <c r="D2" s="3808"/>
      <c r="E2" s="4148"/>
      <c r="G2" s="4147"/>
      <c r="H2" s="4146"/>
      <c r="I2" s="3589"/>
    </row>
    <row r="3" spans="1:11" s="3389" customFormat="1" ht="13.5" customHeight="1">
      <c r="A3" s="4951" t="s">
        <v>353</v>
      </c>
      <c r="B3" s="4951"/>
      <c r="C3" s="4951"/>
      <c r="D3" s="4951"/>
      <c r="E3" s="4951"/>
      <c r="F3" s="4951"/>
      <c r="G3" s="4951"/>
      <c r="H3" s="4951"/>
      <c r="I3" s="4951"/>
    </row>
    <row r="4" spans="1:11" s="3389" customFormat="1" ht="13.5" customHeight="1">
      <c r="A4" s="4952" t="s">
        <v>2676</v>
      </c>
      <c r="B4" s="4952"/>
      <c r="C4" s="4952"/>
      <c r="D4" s="4952"/>
      <c r="E4" s="4952"/>
      <c r="F4" s="4952"/>
      <c r="G4" s="4952"/>
      <c r="H4" s="4952"/>
      <c r="I4" s="4952"/>
    </row>
    <row r="5" spans="1:11" s="3389" customFormat="1" ht="13.5" customHeight="1">
      <c r="A5" s="4953" t="s">
        <v>2675</v>
      </c>
      <c r="B5" s="4953"/>
      <c r="C5" s="4953"/>
      <c r="D5" s="4953"/>
      <c r="E5" s="4953"/>
      <c r="F5" s="4953"/>
      <c r="G5" s="4953"/>
      <c r="H5" s="4953"/>
      <c r="I5" s="4953"/>
    </row>
    <row r="6" spans="1:11" s="3389" customFormat="1" ht="13.5" customHeight="1">
      <c r="A6" s="4143" t="s">
        <v>624</v>
      </c>
      <c r="B6" s="4142"/>
      <c r="C6" s="4145" t="s">
        <v>3100</v>
      </c>
      <c r="D6" s="4141"/>
      <c r="E6" s="4140"/>
      <c r="G6" s="4144"/>
      <c r="H6" s="3808"/>
      <c r="I6" s="3808"/>
      <c r="J6" s="3808"/>
    </row>
    <row r="7" spans="1:11" s="3389" customFormat="1" ht="13.5" customHeight="1">
      <c r="A7" s="4143"/>
      <c r="B7" s="4142"/>
      <c r="C7" s="3958"/>
      <c r="D7" s="4141"/>
      <c r="E7" s="4140"/>
      <c r="G7" s="4140"/>
    </row>
    <row r="8" spans="1:11" s="3389" customFormat="1" ht="13.5" customHeight="1">
      <c r="A8" s="3441"/>
      <c r="B8" s="3807"/>
      <c r="C8" s="3387"/>
      <c r="D8" s="3441"/>
      <c r="E8" s="4954" t="s">
        <v>348</v>
      </c>
      <c r="F8" s="4955"/>
      <c r="G8" s="4954" t="s">
        <v>2455</v>
      </c>
      <c r="H8" s="4955"/>
      <c r="I8" s="3440"/>
      <c r="J8" s="4139"/>
    </row>
    <row r="9" spans="1:11" s="3389" customFormat="1" ht="13.5" customHeight="1">
      <c r="A9" s="3439"/>
      <c r="B9" s="3806"/>
      <c r="C9" s="3406"/>
      <c r="D9" s="3257"/>
      <c r="E9" s="4956" t="s">
        <v>346</v>
      </c>
      <c r="F9" s="4957"/>
      <c r="G9" s="4956" t="s">
        <v>345</v>
      </c>
      <c r="H9" s="4957"/>
      <c r="I9" s="3434"/>
      <c r="J9" s="4139"/>
    </row>
    <row r="10" spans="1:11" s="3389" customFormat="1" ht="13.5" customHeight="1">
      <c r="A10" s="4956" t="s">
        <v>2454</v>
      </c>
      <c r="B10" s="4957"/>
      <c r="C10" s="3434" t="s">
        <v>342</v>
      </c>
      <c r="D10" s="3433" t="s">
        <v>341</v>
      </c>
      <c r="E10" s="4958" t="s">
        <v>2453</v>
      </c>
      <c r="F10" s="4958"/>
      <c r="G10" s="4958" t="s">
        <v>2453</v>
      </c>
      <c r="H10" s="4958"/>
      <c r="I10" s="3434" t="s">
        <v>340</v>
      </c>
      <c r="J10" s="4139"/>
    </row>
    <row r="11" spans="1:11" s="3389" customFormat="1" ht="13.5" customHeight="1">
      <c r="A11" s="4956" t="s">
        <v>2452</v>
      </c>
      <c r="B11" s="4957"/>
      <c r="C11" s="3434"/>
      <c r="D11" s="3433"/>
      <c r="E11" s="3434" t="s">
        <v>339</v>
      </c>
      <c r="F11" s="3256"/>
      <c r="G11" s="3434" t="s">
        <v>339</v>
      </c>
      <c r="H11" s="3256"/>
      <c r="I11" s="3432" t="s">
        <v>335</v>
      </c>
      <c r="J11" s="4138"/>
    </row>
    <row r="12" spans="1:11" s="3389" customFormat="1" ht="13.5" customHeight="1">
      <c r="A12" s="3994" t="s">
        <v>337</v>
      </c>
      <c r="B12" s="3993" t="s">
        <v>336</v>
      </c>
      <c r="C12" s="3435"/>
      <c r="D12" s="3435"/>
      <c r="E12" s="3434" t="s">
        <v>334</v>
      </c>
      <c r="F12" s="3433" t="s">
        <v>333</v>
      </c>
      <c r="G12" s="3434" t="s">
        <v>334</v>
      </c>
      <c r="H12" s="3433" t="s">
        <v>333</v>
      </c>
      <c r="I12" s="3432"/>
      <c r="J12" s="4137"/>
    </row>
    <row r="13" spans="1:11" s="3389" customFormat="1" ht="13.5" customHeight="1">
      <c r="A13" s="3431" t="s">
        <v>331</v>
      </c>
      <c r="B13" s="3430" t="s">
        <v>330</v>
      </c>
      <c r="C13" s="3430" t="s">
        <v>329</v>
      </c>
      <c r="D13" s="3430" t="s">
        <v>328</v>
      </c>
      <c r="E13" s="3429" t="s">
        <v>327</v>
      </c>
      <c r="F13" s="3430" t="s">
        <v>326</v>
      </c>
      <c r="G13" s="3429" t="s">
        <v>324</v>
      </c>
      <c r="H13" s="3429" t="s">
        <v>323</v>
      </c>
      <c r="I13" s="3429" t="s">
        <v>325</v>
      </c>
      <c r="J13" s="4137"/>
    </row>
    <row r="14" spans="1:11" s="3389" customFormat="1" ht="20.100000000000001" customHeight="1">
      <c r="A14" s="4124">
        <v>1</v>
      </c>
      <c r="B14" s="4124">
        <v>1</v>
      </c>
      <c r="C14" s="3259" t="s">
        <v>940</v>
      </c>
      <c r="D14" s="4071" t="s">
        <v>3099</v>
      </c>
      <c r="E14" s="3969" t="s">
        <v>44</v>
      </c>
      <c r="F14" s="3968">
        <v>1245696</v>
      </c>
      <c r="G14" s="4106" t="s">
        <v>43</v>
      </c>
      <c r="H14" s="3968">
        <f>VLOOKUP(G14,$A$483:$B$487,2)*12</f>
        <v>1266024</v>
      </c>
      <c r="I14" s="3967">
        <f>SUM(H14-F14)</f>
        <v>20328</v>
      </c>
      <c r="J14" s="3959">
        <f>H14/12</f>
        <v>105502</v>
      </c>
      <c r="K14" s="3389">
        <v>1600</v>
      </c>
    </row>
    <row r="15" spans="1:11" s="3389" customFormat="1" ht="20.100000000000001" customHeight="1">
      <c r="A15" s="4124"/>
      <c r="B15" s="4124"/>
      <c r="C15" s="4136" t="s">
        <v>3098</v>
      </c>
      <c r="D15" s="3978"/>
      <c r="E15" s="3982"/>
      <c r="F15" s="3968"/>
      <c r="G15" s="4036"/>
      <c r="H15" s="3968"/>
      <c r="I15" s="3967"/>
      <c r="J15" s="4135"/>
    </row>
    <row r="16" spans="1:11" s="3389" customFormat="1" ht="20.100000000000001" customHeight="1">
      <c r="A16" s="4124">
        <v>2</v>
      </c>
      <c r="B16" s="4124">
        <v>2</v>
      </c>
      <c r="C16" s="4134" t="s">
        <v>3095</v>
      </c>
      <c r="D16" s="3970" t="s">
        <v>3097</v>
      </c>
      <c r="E16" s="3982" t="s">
        <v>41</v>
      </c>
      <c r="F16" s="3968">
        <v>1307688</v>
      </c>
      <c r="G16" s="4106" t="s">
        <v>33</v>
      </c>
      <c r="H16" s="3968">
        <f>VLOOKUP(G16,$A$291:$B$497,2)*12</f>
        <v>1477680</v>
      </c>
      <c r="I16" s="3967">
        <f t="shared" ref="I16:I46" si="0">SUM(H16-F16)</f>
        <v>169992</v>
      </c>
      <c r="J16" s="3959">
        <f t="shared" ref="J16:J79" si="1">H16/12</f>
        <v>123140</v>
      </c>
      <c r="K16" s="3389">
        <v>1600</v>
      </c>
    </row>
    <row r="17" spans="1:11" s="3389" customFormat="1" ht="20.100000000000001" customHeight="1">
      <c r="A17" s="4124">
        <v>4</v>
      </c>
      <c r="B17" s="4124">
        <v>3</v>
      </c>
      <c r="C17" s="4134" t="s">
        <v>3095</v>
      </c>
      <c r="D17" s="4071" t="s">
        <v>3096</v>
      </c>
      <c r="E17" s="3982" t="s">
        <v>43</v>
      </c>
      <c r="F17" s="3968">
        <v>1266024</v>
      </c>
      <c r="G17" s="4092" t="s">
        <v>43</v>
      </c>
      <c r="H17" s="3968">
        <f>VLOOKUP(G17,$A$291:$B$487,2)*12</f>
        <v>1266024</v>
      </c>
      <c r="I17" s="3967">
        <f t="shared" si="0"/>
        <v>0</v>
      </c>
      <c r="J17" s="3959">
        <f t="shared" si="1"/>
        <v>105502</v>
      </c>
      <c r="K17" s="3389">
        <v>1600</v>
      </c>
    </row>
    <row r="18" spans="1:11" s="3389" customFormat="1" ht="20.100000000000001" customHeight="1">
      <c r="A18" s="4124">
        <v>5</v>
      </c>
      <c r="B18" s="4124">
        <v>4</v>
      </c>
      <c r="C18" s="4134" t="s">
        <v>3095</v>
      </c>
      <c r="D18" s="3970" t="s">
        <v>3094</v>
      </c>
      <c r="E18" s="4042" t="s">
        <v>44</v>
      </c>
      <c r="F18" s="3968">
        <v>1245696</v>
      </c>
      <c r="G18" s="4101" t="s">
        <v>44</v>
      </c>
      <c r="H18" s="3968">
        <f>VLOOKUP(G18,$A$485:$B$486,2)*12</f>
        <v>1245696</v>
      </c>
      <c r="I18" s="3967">
        <f t="shared" si="0"/>
        <v>0</v>
      </c>
      <c r="J18" s="3959">
        <f t="shared" si="1"/>
        <v>103808</v>
      </c>
      <c r="K18" s="3389">
        <v>1600</v>
      </c>
    </row>
    <row r="19" spans="1:11" s="3389" customFormat="1" ht="20.100000000000001" customHeight="1">
      <c r="A19" s="4124">
        <v>6</v>
      </c>
      <c r="B19" s="4124">
        <v>5</v>
      </c>
      <c r="C19" s="4030" t="s">
        <v>3078</v>
      </c>
      <c r="D19" s="3978" t="s">
        <v>3093</v>
      </c>
      <c r="E19" s="3969" t="s">
        <v>63</v>
      </c>
      <c r="F19" s="3968">
        <v>922884</v>
      </c>
      <c r="G19" s="4092" t="s">
        <v>63</v>
      </c>
      <c r="H19" s="3968">
        <f>VLOOKUP(G19,$A$291:$B$488,2)*12</f>
        <v>922884</v>
      </c>
      <c r="I19" s="3967">
        <f t="shared" si="0"/>
        <v>0</v>
      </c>
      <c r="J19" s="3959">
        <f t="shared" si="1"/>
        <v>76907</v>
      </c>
      <c r="K19" s="3389">
        <f t="shared" ref="K19:K36" si="2">J19*0.04/2</f>
        <v>1538.14</v>
      </c>
    </row>
    <row r="20" spans="1:11" s="3389" customFormat="1" ht="20.100000000000001" customHeight="1">
      <c r="A20" s="4124">
        <v>7</v>
      </c>
      <c r="B20" s="4124">
        <v>6</v>
      </c>
      <c r="C20" s="3971" t="s">
        <v>3078</v>
      </c>
      <c r="D20" s="3978" t="s">
        <v>3092</v>
      </c>
      <c r="E20" s="3982" t="s">
        <v>63</v>
      </c>
      <c r="F20" s="3975">
        <v>922884</v>
      </c>
      <c r="G20" s="4036" t="s">
        <v>63</v>
      </c>
      <c r="H20" s="3968">
        <f t="shared" ref="H20:H31" si="3">VLOOKUP(G20,$A$291:$B$483,2)*12</f>
        <v>922884</v>
      </c>
      <c r="I20" s="3967">
        <f t="shared" si="0"/>
        <v>0</v>
      </c>
      <c r="J20" s="3959">
        <f t="shared" si="1"/>
        <v>76907</v>
      </c>
      <c r="K20" s="3389">
        <f t="shared" si="2"/>
        <v>1538.14</v>
      </c>
    </row>
    <row r="21" spans="1:11" s="3389" customFormat="1" ht="20.100000000000001" customHeight="1">
      <c r="A21" s="4124">
        <v>8</v>
      </c>
      <c r="B21" s="4124">
        <v>7</v>
      </c>
      <c r="C21" s="3971" t="s">
        <v>3078</v>
      </c>
      <c r="D21" s="3978" t="s">
        <v>3091</v>
      </c>
      <c r="E21" s="3982" t="s">
        <v>63</v>
      </c>
      <c r="F21" s="3975">
        <v>922884</v>
      </c>
      <c r="G21" s="4036" t="s">
        <v>63</v>
      </c>
      <c r="H21" s="3968">
        <f t="shared" si="3"/>
        <v>922884</v>
      </c>
      <c r="I21" s="3967">
        <f t="shared" si="0"/>
        <v>0</v>
      </c>
      <c r="J21" s="3959">
        <f t="shared" si="1"/>
        <v>76907</v>
      </c>
      <c r="K21" s="3389">
        <f t="shared" si="2"/>
        <v>1538.14</v>
      </c>
    </row>
    <row r="22" spans="1:11" s="3389" customFormat="1" ht="20.100000000000001" customHeight="1">
      <c r="A22" s="4124">
        <v>9</v>
      </c>
      <c r="B22" s="4124">
        <v>8</v>
      </c>
      <c r="C22" s="3971" t="s">
        <v>3078</v>
      </c>
      <c r="D22" s="3978" t="s">
        <v>3090</v>
      </c>
      <c r="E22" s="3969" t="s">
        <v>63</v>
      </c>
      <c r="F22" s="3968">
        <v>922884</v>
      </c>
      <c r="G22" s="4092" t="s">
        <v>63</v>
      </c>
      <c r="H22" s="3968">
        <f t="shared" si="3"/>
        <v>922884</v>
      </c>
      <c r="I22" s="3967">
        <f t="shared" si="0"/>
        <v>0</v>
      </c>
      <c r="J22" s="3959">
        <f t="shared" si="1"/>
        <v>76907</v>
      </c>
      <c r="K22" s="3389">
        <f t="shared" si="2"/>
        <v>1538.14</v>
      </c>
    </row>
    <row r="23" spans="1:11" s="3389" customFormat="1" ht="20.100000000000001" customHeight="1">
      <c r="A23" s="4124">
        <v>10</v>
      </c>
      <c r="B23" s="4124">
        <v>9</v>
      </c>
      <c r="C23" s="3971" t="s">
        <v>3078</v>
      </c>
      <c r="D23" s="3978" t="s">
        <v>3089</v>
      </c>
      <c r="E23" s="3982" t="s">
        <v>63</v>
      </c>
      <c r="F23" s="3975">
        <v>922884</v>
      </c>
      <c r="G23" s="4036" t="s">
        <v>63</v>
      </c>
      <c r="H23" s="3968">
        <f t="shared" si="3"/>
        <v>922884</v>
      </c>
      <c r="I23" s="3967">
        <f t="shared" si="0"/>
        <v>0</v>
      </c>
      <c r="J23" s="3959">
        <f t="shared" si="1"/>
        <v>76907</v>
      </c>
      <c r="K23" s="3389">
        <f t="shared" si="2"/>
        <v>1538.14</v>
      </c>
    </row>
    <row r="24" spans="1:11" s="3389" customFormat="1" ht="20.100000000000001" customHeight="1">
      <c r="A24" s="4124">
        <v>11</v>
      </c>
      <c r="B24" s="4124">
        <v>10</v>
      </c>
      <c r="C24" s="3971" t="s">
        <v>3078</v>
      </c>
      <c r="D24" s="3978" t="s">
        <v>3088</v>
      </c>
      <c r="E24" s="3982" t="s">
        <v>63</v>
      </c>
      <c r="F24" s="3975">
        <v>922884</v>
      </c>
      <c r="G24" s="4036" t="s">
        <v>63</v>
      </c>
      <c r="H24" s="3968">
        <f t="shared" si="3"/>
        <v>922884</v>
      </c>
      <c r="I24" s="3967">
        <f t="shared" si="0"/>
        <v>0</v>
      </c>
      <c r="J24" s="3959">
        <f t="shared" si="1"/>
        <v>76907</v>
      </c>
      <c r="K24" s="3389">
        <f t="shared" si="2"/>
        <v>1538.14</v>
      </c>
    </row>
    <row r="25" spans="1:11" s="3389" customFormat="1" ht="20.100000000000001" customHeight="1">
      <c r="A25" s="4124">
        <v>12</v>
      </c>
      <c r="B25" s="4124">
        <v>11</v>
      </c>
      <c r="C25" s="3971" t="s">
        <v>3078</v>
      </c>
      <c r="D25" s="3978" t="s">
        <v>3087</v>
      </c>
      <c r="E25" s="3982" t="s">
        <v>63</v>
      </c>
      <c r="F25" s="3975">
        <v>922884</v>
      </c>
      <c r="G25" s="4036" t="s">
        <v>63</v>
      </c>
      <c r="H25" s="3968">
        <f t="shared" si="3"/>
        <v>922884</v>
      </c>
      <c r="I25" s="3967">
        <f t="shared" si="0"/>
        <v>0</v>
      </c>
      <c r="J25" s="3959">
        <f t="shared" si="1"/>
        <v>76907</v>
      </c>
      <c r="K25" s="3389">
        <f t="shared" si="2"/>
        <v>1538.14</v>
      </c>
    </row>
    <row r="26" spans="1:11" s="3389" customFormat="1" ht="20.100000000000001" customHeight="1">
      <c r="A26" s="4124">
        <v>13</v>
      </c>
      <c r="B26" s="4124">
        <v>12</v>
      </c>
      <c r="C26" s="3971" t="s">
        <v>3078</v>
      </c>
      <c r="D26" s="3978" t="s">
        <v>3086</v>
      </c>
      <c r="E26" s="3982" t="s">
        <v>63</v>
      </c>
      <c r="F26" s="3975">
        <v>922884</v>
      </c>
      <c r="G26" s="4036" t="s">
        <v>63</v>
      </c>
      <c r="H26" s="3968">
        <f t="shared" si="3"/>
        <v>922884</v>
      </c>
      <c r="I26" s="3967">
        <f t="shared" si="0"/>
        <v>0</v>
      </c>
      <c r="J26" s="3959">
        <f t="shared" si="1"/>
        <v>76907</v>
      </c>
      <c r="K26" s="3389">
        <f t="shared" si="2"/>
        <v>1538.14</v>
      </c>
    </row>
    <row r="27" spans="1:11" s="3389" customFormat="1" ht="20.100000000000001" customHeight="1">
      <c r="A27" s="4124">
        <v>14</v>
      </c>
      <c r="B27" s="4124">
        <v>13</v>
      </c>
      <c r="C27" s="3971" t="s">
        <v>3078</v>
      </c>
      <c r="D27" s="4071" t="s">
        <v>3085</v>
      </c>
      <c r="E27" s="3982" t="s">
        <v>63</v>
      </c>
      <c r="F27" s="3975">
        <v>922884</v>
      </c>
      <c r="G27" s="4036" t="s">
        <v>63</v>
      </c>
      <c r="H27" s="3968">
        <f t="shared" si="3"/>
        <v>922884</v>
      </c>
      <c r="I27" s="3967">
        <f t="shared" si="0"/>
        <v>0</v>
      </c>
      <c r="J27" s="3959">
        <f t="shared" si="1"/>
        <v>76907</v>
      </c>
      <c r="K27" s="3389">
        <f t="shared" si="2"/>
        <v>1538.14</v>
      </c>
    </row>
    <row r="28" spans="1:11" s="3389" customFormat="1" ht="20.100000000000001" customHeight="1">
      <c r="A28" s="4124">
        <v>15</v>
      </c>
      <c r="B28" s="4124">
        <v>14</v>
      </c>
      <c r="C28" s="3971" t="s">
        <v>3078</v>
      </c>
      <c r="D28" s="3978" t="s">
        <v>3084</v>
      </c>
      <c r="E28" s="3982" t="s">
        <v>63</v>
      </c>
      <c r="F28" s="3975">
        <v>922884</v>
      </c>
      <c r="G28" s="4036" t="s">
        <v>63</v>
      </c>
      <c r="H28" s="3968">
        <f t="shared" si="3"/>
        <v>922884</v>
      </c>
      <c r="I28" s="3967">
        <f t="shared" si="0"/>
        <v>0</v>
      </c>
      <c r="J28" s="3959">
        <f t="shared" si="1"/>
        <v>76907</v>
      </c>
      <c r="K28" s="3389">
        <f t="shared" si="2"/>
        <v>1538.14</v>
      </c>
    </row>
    <row r="29" spans="1:11" s="3389" customFormat="1" ht="20.100000000000001" customHeight="1">
      <c r="A29" s="4124">
        <v>16</v>
      </c>
      <c r="B29" s="4124">
        <v>15</v>
      </c>
      <c r="C29" s="3971" t="s">
        <v>3078</v>
      </c>
      <c r="D29" s="3978" t="s">
        <v>3083</v>
      </c>
      <c r="E29" s="3982" t="s">
        <v>63</v>
      </c>
      <c r="F29" s="3975">
        <v>922884</v>
      </c>
      <c r="G29" s="4036" t="s">
        <v>63</v>
      </c>
      <c r="H29" s="3968">
        <f t="shared" si="3"/>
        <v>922884</v>
      </c>
      <c r="I29" s="3967">
        <f t="shared" si="0"/>
        <v>0</v>
      </c>
      <c r="J29" s="3959">
        <f t="shared" si="1"/>
        <v>76907</v>
      </c>
      <c r="K29" s="3389">
        <f t="shared" si="2"/>
        <v>1538.14</v>
      </c>
    </row>
    <row r="30" spans="1:11" s="3389" customFormat="1" ht="20.100000000000001" customHeight="1">
      <c r="A30" s="4124">
        <v>17</v>
      </c>
      <c r="B30" s="4124">
        <v>16</v>
      </c>
      <c r="C30" s="3971" t="s">
        <v>3078</v>
      </c>
      <c r="D30" s="3978" t="s">
        <v>2814</v>
      </c>
      <c r="E30" s="3982" t="s">
        <v>63</v>
      </c>
      <c r="F30" s="3975">
        <v>922884</v>
      </c>
      <c r="G30" s="4036" t="s">
        <v>63</v>
      </c>
      <c r="H30" s="3968">
        <f t="shared" si="3"/>
        <v>922884</v>
      </c>
      <c r="I30" s="3967">
        <f t="shared" si="0"/>
        <v>0</v>
      </c>
      <c r="J30" s="3959">
        <f t="shared" si="1"/>
        <v>76907</v>
      </c>
      <c r="K30" s="3389">
        <f t="shared" si="2"/>
        <v>1538.14</v>
      </c>
    </row>
    <row r="31" spans="1:11" s="3389" customFormat="1" ht="20.100000000000001" customHeight="1">
      <c r="A31" s="4124">
        <v>18</v>
      </c>
      <c r="B31" s="4124">
        <v>17</v>
      </c>
      <c r="C31" s="3971" t="s">
        <v>3078</v>
      </c>
      <c r="D31" s="3978" t="s">
        <v>3082</v>
      </c>
      <c r="E31" s="3982" t="s">
        <v>63</v>
      </c>
      <c r="F31" s="3975">
        <v>922884</v>
      </c>
      <c r="G31" s="4036" t="s">
        <v>63</v>
      </c>
      <c r="H31" s="3968">
        <f t="shared" si="3"/>
        <v>922884</v>
      </c>
      <c r="I31" s="3967">
        <f t="shared" si="0"/>
        <v>0</v>
      </c>
      <c r="J31" s="3959">
        <f t="shared" si="1"/>
        <v>76907</v>
      </c>
      <c r="K31" s="3389">
        <f t="shared" si="2"/>
        <v>1538.14</v>
      </c>
    </row>
    <row r="32" spans="1:11" s="3389" customFormat="1" ht="20.100000000000001" customHeight="1">
      <c r="A32" s="4124">
        <v>19</v>
      </c>
      <c r="B32" s="4124">
        <v>18</v>
      </c>
      <c r="C32" s="4134" t="s">
        <v>3078</v>
      </c>
      <c r="D32" s="3978" t="s">
        <v>3081</v>
      </c>
      <c r="E32" s="3969" t="s">
        <v>63</v>
      </c>
      <c r="F32" s="3968">
        <v>922884</v>
      </c>
      <c r="G32" s="4092" t="s">
        <v>63</v>
      </c>
      <c r="H32" s="3968">
        <f>VLOOKUP(G32,$A$291:$B$486,2)*12</f>
        <v>922884</v>
      </c>
      <c r="I32" s="3967">
        <f t="shared" si="0"/>
        <v>0</v>
      </c>
      <c r="J32" s="3959">
        <f t="shared" si="1"/>
        <v>76907</v>
      </c>
      <c r="K32" s="3389">
        <f t="shared" si="2"/>
        <v>1538.14</v>
      </c>
    </row>
    <row r="33" spans="1:11" s="3389" customFormat="1" ht="20.100000000000001" customHeight="1">
      <c r="A33" s="4124">
        <v>20</v>
      </c>
      <c r="B33" s="4124">
        <v>19</v>
      </c>
      <c r="C33" s="4134" t="s">
        <v>3078</v>
      </c>
      <c r="D33" s="3978" t="s">
        <v>3080</v>
      </c>
      <c r="E33" s="3969" t="s">
        <v>63</v>
      </c>
      <c r="F33" s="3968">
        <v>922884</v>
      </c>
      <c r="G33" s="4092" t="s">
        <v>63</v>
      </c>
      <c r="H33" s="3968">
        <f>VLOOKUP(G33,$A$291:$B$486,2)*12</f>
        <v>922884</v>
      </c>
      <c r="I33" s="3967">
        <f t="shared" si="0"/>
        <v>0</v>
      </c>
      <c r="J33" s="3959">
        <f t="shared" si="1"/>
        <v>76907</v>
      </c>
      <c r="K33" s="3389">
        <f t="shared" si="2"/>
        <v>1538.14</v>
      </c>
    </row>
    <row r="34" spans="1:11" s="3389" customFormat="1" ht="20.100000000000001" customHeight="1">
      <c r="A34" s="4124">
        <v>21</v>
      </c>
      <c r="B34" s="4124">
        <v>20</v>
      </c>
      <c r="C34" s="4134" t="s">
        <v>3078</v>
      </c>
      <c r="D34" s="3978" t="s">
        <v>3079</v>
      </c>
      <c r="E34" s="3969" t="s">
        <v>63</v>
      </c>
      <c r="F34" s="3968">
        <v>922884</v>
      </c>
      <c r="G34" s="4092" t="s">
        <v>63</v>
      </c>
      <c r="H34" s="3968">
        <f>VLOOKUP(G34,$A$291:$B$483,2)*12</f>
        <v>922884</v>
      </c>
      <c r="I34" s="3967">
        <f t="shared" si="0"/>
        <v>0</v>
      </c>
      <c r="J34" s="3959">
        <f t="shared" si="1"/>
        <v>76907</v>
      </c>
      <c r="K34" s="3389">
        <f t="shared" si="2"/>
        <v>1538.14</v>
      </c>
    </row>
    <row r="35" spans="1:11" s="3932" customFormat="1" ht="20.100000000000001" customHeight="1">
      <c r="A35" s="4122">
        <v>22</v>
      </c>
      <c r="B35" s="4122"/>
      <c r="C35" s="4109" t="s">
        <v>3078</v>
      </c>
      <c r="D35" s="3981" t="s">
        <v>245</v>
      </c>
      <c r="E35" s="3980" t="s">
        <v>63</v>
      </c>
      <c r="F35" s="4105">
        <v>922884</v>
      </c>
      <c r="G35" s="4106" t="s">
        <v>63</v>
      </c>
      <c r="H35" s="4105"/>
      <c r="I35" s="4104">
        <f t="shared" si="0"/>
        <v>-922884</v>
      </c>
      <c r="J35" s="3959">
        <f t="shared" si="1"/>
        <v>0</v>
      </c>
      <c r="K35" s="3389">
        <f t="shared" si="2"/>
        <v>0</v>
      </c>
    </row>
    <row r="36" spans="1:11" s="3932" customFormat="1" ht="20.100000000000001" customHeight="1">
      <c r="A36" s="4122">
        <v>3</v>
      </c>
      <c r="B36" s="4122"/>
      <c r="C36" s="4133" t="s">
        <v>3077</v>
      </c>
      <c r="D36" s="4120" t="s">
        <v>245</v>
      </c>
      <c r="E36" s="4132" t="s">
        <v>34</v>
      </c>
      <c r="F36" s="4130">
        <v>1453956</v>
      </c>
      <c r="G36" s="4131" t="s">
        <v>63</v>
      </c>
      <c r="H36" s="4130">
        <v>922884</v>
      </c>
      <c r="I36" s="4129">
        <f t="shared" si="0"/>
        <v>-531072</v>
      </c>
      <c r="J36" s="3959">
        <f t="shared" si="1"/>
        <v>76907</v>
      </c>
      <c r="K36" s="3389">
        <f t="shared" si="2"/>
        <v>1538.14</v>
      </c>
    </row>
    <row r="37" spans="1:11" s="3932" customFormat="1" ht="20.100000000000001" customHeight="1">
      <c r="A37" s="4122"/>
      <c r="B37" s="4122"/>
      <c r="C37" s="4133" t="s">
        <v>3077</v>
      </c>
      <c r="D37" s="4120" t="s">
        <v>245</v>
      </c>
      <c r="E37" s="4132" t="s">
        <v>63</v>
      </c>
      <c r="F37" s="4130">
        <v>922884</v>
      </c>
      <c r="G37" s="4131"/>
      <c r="H37" s="4130"/>
      <c r="I37" s="4129">
        <f t="shared" si="0"/>
        <v>-922884</v>
      </c>
      <c r="J37" s="3959">
        <f t="shared" si="1"/>
        <v>0</v>
      </c>
    </row>
    <row r="38" spans="1:11" s="3958" customFormat="1" ht="20.100000000000001" customHeight="1">
      <c r="A38" s="4124">
        <v>23</v>
      </c>
      <c r="B38" s="4124">
        <v>21</v>
      </c>
      <c r="C38" s="4123" t="s">
        <v>1643</v>
      </c>
      <c r="D38" s="3978" t="s">
        <v>3076</v>
      </c>
      <c r="E38" s="4043" t="s">
        <v>60</v>
      </c>
      <c r="F38" s="3968">
        <v>966996</v>
      </c>
      <c r="G38" s="4088" t="s">
        <v>60</v>
      </c>
      <c r="H38" s="3968">
        <f>VLOOKUP(G38,$A$291:$B$483,2)*12</f>
        <v>966996</v>
      </c>
      <c r="I38" s="3967">
        <f t="shared" si="0"/>
        <v>0</v>
      </c>
      <c r="J38" s="3959">
        <f t="shared" si="1"/>
        <v>80583</v>
      </c>
      <c r="K38" s="3958">
        <v>1600</v>
      </c>
    </row>
    <row r="39" spans="1:11" s="3958" customFormat="1" ht="20.100000000000001" customHeight="1">
      <c r="A39" s="4124">
        <v>24</v>
      </c>
      <c r="B39" s="4124">
        <v>22</v>
      </c>
      <c r="C39" s="4123" t="s">
        <v>1643</v>
      </c>
      <c r="D39" s="4044" t="s">
        <v>3075</v>
      </c>
      <c r="E39" s="4043" t="s">
        <v>62</v>
      </c>
      <c r="F39" s="3968">
        <v>937332</v>
      </c>
      <c r="G39" s="4088" t="s">
        <v>62</v>
      </c>
      <c r="H39" s="3968">
        <f>VLOOKUP(G39,$A$291:$B$483,2)*12</f>
        <v>937332</v>
      </c>
      <c r="I39" s="3967">
        <f t="shared" si="0"/>
        <v>0</v>
      </c>
      <c r="J39" s="3959">
        <f t="shared" si="1"/>
        <v>78111</v>
      </c>
      <c r="K39" s="3389">
        <f t="shared" ref="K39:K102" si="4">J39*0.04/2</f>
        <v>1562.22</v>
      </c>
    </row>
    <row r="40" spans="1:11" s="3932" customFormat="1" ht="20.100000000000001" customHeight="1">
      <c r="A40" s="4122">
        <v>25</v>
      </c>
      <c r="B40" s="4122"/>
      <c r="C40" s="4128" t="s">
        <v>1643</v>
      </c>
      <c r="D40" s="3981" t="s">
        <v>1642</v>
      </c>
      <c r="E40" s="4127" t="s">
        <v>62</v>
      </c>
      <c r="F40" s="4105">
        <v>937332</v>
      </c>
      <c r="G40" s="4126" t="s">
        <v>62</v>
      </c>
      <c r="H40" s="4105">
        <v>0</v>
      </c>
      <c r="I40" s="4104">
        <f t="shared" si="0"/>
        <v>-937332</v>
      </c>
      <c r="J40" s="3959">
        <f t="shared" si="1"/>
        <v>0</v>
      </c>
      <c r="K40" s="3389">
        <f t="shared" si="4"/>
        <v>0</v>
      </c>
    </row>
    <row r="41" spans="1:11" s="3389" customFormat="1" ht="20.100000000000001" customHeight="1">
      <c r="A41" s="4124">
        <v>26</v>
      </c>
      <c r="B41" s="4124">
        <v>23</v>
      </c>
      <c r="C41" s="4123" t="s">
        <v>1640</v>
      </c>
      <c r="D41" s="3978" t="s">
        <v>3074</v>
      </c>
      <c r="E41" s="4042" t="s">
        <v>79</v>
      </c>
      <c r="F41" s="3968">
        <v>730812</v>
      </c>
      <c r="G41" s="4088" t="s">
        <v>79</v>
      </c>
      <c r="H41" s="3968">
        <f>VLOOKUP(G41,$A$291:$B$483,2)*12</f>
        <v>730812</v>
      </c>
      <c r="I41" s="3967">
        <f t="shared" si="0"/>
        <v>0</v>
      </c>
      <c r="J41" s="3959">
        <f t="shared" si="1"/>
        <v>60901</v>
      </c>
      <c r="K41" s="3389">
        <f t="shared" si="4"/>
        <v>1218.02</v>
      </c>
    </row>
    <row r="42" spans="1:11" s="3389" customFormat="1" ht="20.100000000000001" customHeight="1">
      <c r="A42" s="4124">
        <v>27</v>
      </c>
      <c r="B42" s="4124">
        <v>24</v>
      </c>
      <c r="C42" s="4016" t="s">
        <v>1640</v>
      </c>
      <c r="D42" s="4125" t="s">
        <v>3073</v>
      </c>
      <c r="E42" s="4043" t="s">
        <v>79</v>
      </c>
      <c r="F42" s="3968">
        <v>730812</v>
      </c>
      <c r="G42" s="4088" t="s">
        <v>79</v>
      </c>
      <c r="H42" s="3968">
        <f>VLOOKUP(G42,$A$291:$B$483,2)*12</f>
        <v>730812</v>
      </c>
      <c r="I42" s="3967">
        <f t="shared" si="0"/>
        <v>0</v>
      </c>
      <c r="J42" s="3959">
        <f t="shared" si="1"/>
        <v>60901</v>
      </c>
      <c r="K42" s="3389">
        <f t="shared" si="4"/>
        <v>1218.02</v>
      </c>
    </row>
    <row r="43" spans="1:11" s="3389" customFormat="1" ht="20.100000000000001" customHeight="1">
      <c r="A43" s="4124">
        <v>28</v>
      </c>
      <c r="B43" s="4124">
        <v>25</v>
      </c>
      <c r="C43" s="4016" t="s">
        <v>1640</v>
      </c>
      <c r="D43" s="3978" t="s">
        <v>3072</v>
      </c>
      <c r="E43" s="3969" t="s">
        <v>79</v>
      </c>
      <c r="F43" s="3968">
        <v>730812</v>
      </c>
      <c r="G43" s="4092" t="s">
        <v>79</v>
      </c>
      <c r="H43" s="3968">
        <f>VLOOKUP(G43,$A$291:$B$483,2)*12</f>
        <v>730812</v>
      </c>
      <c r="I43" s="3967">
        <f t="shared" si="0"/>
        <v>0</v>
      </c>
      <c r="J43" s="3959">
        <f t="shared" si="1"/>
        <v>60901</v>
      </c>
      <c r="K43" s="3389">
        <f t="shared" si="4"/>
        <v>1218.02</v>
      </c>
    </row>
    <row r="44" spans="1:11" s="3389" customFormat="1" ht="20.100000000000001" customHeight="1">
      <c r="A44" s="4124">
        <v>29</v>
      </c>
      <c r="B44" s="4124">
        <v>26</v>
      </c>
      <c r="C44" s="4123" t="s">
        <v>1640</v>
      </c>
      <c r="D44" s="3978" t="s">
        <v>3071</v>
      </c>
      <c r="E44" s="4042" t="s">
        <v>79</v>
      </c>
      <c r="F44" s="3968">
        <v>730812</v>
      </c>
      <c r="G44" s="4088" t="s">
        <v>79</v>
      </c>
      <c r="H44" s="3968">
        <f>VLOOKUP(G44,$A$291:$B$483,2)*12</f>
        <v>730812</v>
      </c>
      <c r="I44" s="3967">
        <f t="shared" si="0"/>
        <v>0</v>
      </c>
      <c r="J44" s="3959">
        <f t="shared" si="1"/>
        <v>60901</v>
      </c>
      <c r="K44" s="3389">
        <f t="shared" si="4"/>
        <v>1218.02</v>
      </c>
    </row>
    <row r="45" spans="1:11" s="3389" customFormat="1" ht="20.100000000000001" customHeight="1">
      <c r="A45" s="4124">
        <v>30</v>
      </c>
      <c r="B45" s="4124">
        <v>27</v>
      </c>
      <c r="C45" s="4123" t="s">
        <v>1640</v>
      </c>
      <c r="D45" s="3978" t="s">
        <v>3070</v>
      </c>
      <c r="E45" s="3982" t="s">
        <v>79</v>
      </c>
      <c r="F45" s="3968">
        <v>730812</v>
      </c>
      <c r="G45" s="4092" t="s">
        <v>79</v>
      </c>
      <c r="H45" s="3968">
        <f>VLOOKUP(G45,$A$291:$B$483,2)*12</f>
        <v>730812</v>
      </c>
      <c r="I45" s="3967">
        <f t="shared" si="0"/>
        <v>0</v>
      </c>
      <c r="J45" s="3959">
        <f t="shared" si="1"/>
        <v>60901</v>
      </c>
      <c r="K45" s="3389">
        <f t="shared" si="4"/>
        <v>1218.02</v>
      </c>
    </row>
    <row r="46" spans="1:11" s="3932" customFormat="1" ht="20.100000000000001" customHeight="1">
      <c r="A46" s="4122">
        <v>31</v>
      </c>
      <c r="B46" s="4122"/>
      <c r="C46" s="4121" t="s">
        <v>1640</v>
      </c>
      <c r="D46" s="4120" t="s">
        <v>245</v>
      </c>
      <c r="E46" s="3980" t="s">
        <v>79</v>
      </c>
      <c r="F46" s="4105">
        <v>730812</v>
      </c>
      <c r="G46" s="4106" t="s">
        <v>79</v>
      </c>
      <c r="H46" s="4105">
        <v>0</v>
      </c>
      <c r="I46" s="4104">
        <f t="shared" si="0"/>
        <v>-730812</v>
      </c>
      <c r="J46" s="3959">
        <f t="shared" si="1"/>
        <v>0</v>
      </c>
      <c r="K46" s="3389">
        <f t="shared" si="4"/>
        <v>0</v>
      </c>
    </row>
    <row r="47" spans="1:11" s="3389" customFormat="1" ht="20.100000000000001" customHeight="1">
      <c r="A47" s="4119"/>
      <c r="B47" s="4119"/>
      <c r="C47" s="4118"/>
      <c r="D47" s="4117"/>
      <c r="E47" s="4116"/>
      <c r="F47" s="4011"/>
      <c r="G47" s="4115"/>
      <c r="H47" s="4011"/>
      <c r="I47" s="4010"/>
      <c r="J47" s="3959">
        <f t="shared" si="1"/>
        <v>0</v>
      </c>
      <c r="K47" s="3389">
        <f t="shared" si="4"/>
        <v>0</v>
      </c>
    </row>
    <row r="48" spans="1:11" s="3389" customFormat="1" ht="20.25" customHeight="1">
      <c r="A48" s="4114"/>
      <c r="B48" s="4114"/>
      <c r="C48" s="4008" t="s">
        <v>3069</v>
      </c>
      <c r="D48" s="4008" t="s">
        <v>3068</v>
      </c>
      <c r="E48" s="4113"/>
      <c r="F48" s="4008"/>
      <c r="G48" s="4112"/>
      <c r="H48" s="4038"/>
      <c r="I48" s="4005"/>
      <c r="J48" s="3959">
        <f t="shared" si="1"/>
        <v>0</v>
      </c>
      <c r="K48" s="3389">
        <f t="shared" si="4"/>
        <v>0</v>
      </c>
    </row>
    <row r="49" spans="1:11" s="3389" customFormat="1" ht="13.5" customHeight="1">
      <c r="A49" s="3451"/>
      <c r="B49" s="4004" t="s">
        <v>2457</v>
      </c>
      <c r="C49" s="4001"/>
      <c r="D49" s="4001"/>
      <c r="E49" s="4002"/>
      <c r="F49" s="3959"/>
      <c r="H49" s="4001"/>
      <c r="I49" s="4000"/>
      <c r="J49" s="3959">
        <f t="shared" si="1"/>
        <v>0</v>
      </c>
      <c r="K49" s="3389">
        <f t="shared" si="4"/>
        <v>0</v>
      </c>
    </row>
    <row r="50" spans="1:11" s="3389" customFormat="1" ht="13.5" customHeight="1">
      <c r="A50" s="3451"/>
      <c r="B50" s="4003" t="s">
        <v>3067</v>
      </c>
      <c r="C50" s="4001"/>
      <c r="D50" s="4001"/>
      <c r="E50" s="4002"/>
      <c r="F50" s="3959"/>
      <c r="H50" s="4001"/>
      <c r="I50" s="4000"/>
      <c r="J50" s="3959">
        <f t="shared" si="1"/>
        <v>0</v>
      </c>
      <c r="K50" s="3389">
        <f t="shared" si="4"/>
        <v>0</v>
      </c>
    </row>
    <row r="51" spans="1:11" s="3389" customFormat="1" ht="13.5" customHeight="1">
      <c r="A51" s="3999"/>
      <c r="B51" s="3999"/>
      <c r="C51" s="3996"/>
      <c r="D51" s="3996"/>
      <c r="E51" s="3997"/>
      <c r="F51" s="3998"/>
      <c r="G51" s="3997"/>
      <c r="H51" s="3996"/>
      <c r="I51" s="3995"/>
      <c r="J51" s="3959">
        <f t="shared" si="1"/>
        <v>0</v>
      </c>
      <c r="K51" s="3389">
        <f t="shared" si="4"/>
        <v>0</v>
      </c>
    </row>
    <row r="52" spans="1:11" s="3389" customFormat="1" ht="13.5" customHeight="1">
      <c r="A52" s="3441"/>
      <c r="B52" s="3807"/>
      <c r="C52" s="3387"/>
      <c r="D52" s="3441"/>
      <c r="E52" s="4954" t="s">
        <v>348</v>
      </c>
      <c r="F52" s="4955"/>
      <c r="G52" s="4954" t="s">
        <v>2455</v>
      </c>
      <c r="H52" s="4955"/>
      <c r="I52" s="3440"/>
      <c r="J52" s="3959">
        <f t="shared" si="1"/>
        <v>0</v>
      </c>
      <c r="K52" s="3389">
        <f t="shared" si="4"/>
        <v>0</v>
      </c>
    </row>
    <row r="53" spans="1:11" s="3389" customFormat="1" ht="13.5" customHeight="1">
      <c r="A53" s="3439"/>
      <c r="B53" s="3806"/>
      <c r="C53" s="3406"/>
      <c r="D53" s="3257"/>
      <c r="E53" s="4956" t="s">
        <v>346</v>
      </c>
      <c r="F53" s="4957"/>
      <c r="G53" s="4956" t="s">
        <v>345</v>
      </c>
      <c r="H53" s="4957"/>
      <c r="I53" s="3434"/>
      <c r="J53" s="3959">
        <f t="shared" si="1"/>
        <v>0</v>
      </c>
      <c r="K53" s="3389">
        <f t="shared" si="4"/>
        <v>0</v>
      </c>
    </row>
    <row r="54" spans="1:11" s="3389" customFormat="1" ht="13.5" customHeight="1">
      <c r="A54" s="4956" t="s">
        <v>2454</v>
      </c>
      <c r="B54" s="4957"/>
      <c r="C54" s="3434" t="s">
        <v>342</v>
      </c>
      <c r="D54" s="3433" t="s">
        <v>341</v>
      </c>
      <c r="E54" s="4958" t="s">
        <v>2453</v>
      </c>
      <c r="F54" s="4958"/>
      <c r="G54" s="4958" t="s">
        <v>2453</v>
      </c>
      <c r="H54" s="4958"/>
      <c r="I54" s="3434" t="s">
        <v>340</v>
      </c>
      <c r="J54" s="3959">
        <f t="shared" si="1"/>
        <v>0</v>
      </c>
      <c r="K54" s="3389">
        <f t="shared" si="4"/>
        <v>0</v>
      </c>
    </row>
    <row r="55" spans="1:11" s="3389" customFormat="1" ht="13.5" customHeight="1">
      <c r="A55" s="4956" t="s">
        <v>2452</v>
      </c>
      <c r="B55" s="4957"/>
      <c r="C55" s="3434"/>
      <c r="D55" s="3433"/>
      <c r="E55" s="3434" t="s">
        <v>339</v>
      </c>
      <c r="F55" s="3256"/>
      <c r="G55" s="3434" t="s">
        <v>339</v>
      </c>
      <c r="H55" s="3256"/>
      <c r="I55" s="3432" t="s">
        <v>335</v>
      </c>
      <c r="J55" s="3959">
        <f t="shared" si="1"/>
        <v>0</v>
      </c>
      <c r="K55" s="3389">
        <f t="shared" si="4"/>
        <v>0</v>
      </c>
    </row>
    <row r="56" spans="1:11" s="3389" customFormat="1" ht="13.5" customHeight="1">
      <c r="A56" s="3994" t="s">
        <v>337</v>
      </c>
      <c r="B56" s="3993" t="s">
        <v>336</v>
      </c>
      <c r="C56" s="3435"/>
      <c r="D56" s="3435"/>
      <c r="E56" s="3434" t="s">
        <v>334</v>
      </c>
      <c r="F56" s="3433" t="s">
        <v>333</v>
      </c>
      <c r="G56" s="3434" t="s">
        <v>334</v>
      </c>
      <c r="H56" s="3433" t="s">
        <v>333</v>
      </c>
      <c r="I56" s="3432"/>
      <c r="J56" s="3959">
        <f t="shared" si="1"/>
        <v>0</v>
      </c>
      <c r="K56" s="3389">
        <f t="shared" si="4"/>
        <v>0</v>
      </c>
    </row>
    <row r="57" spans="1:11" s="3389" customFormat="1" ht="13.5" customHeight="1">
      <c r="A57" s="3431" t="s">
        <v>331</v>
      </c>
      <c r="B57" s="3430" t="s">
        <v>330</v>
      </c>
      <c r="C57" s="3430" t="s">
        <v>329</v>
      </c>
      <c r="D57" s="3430" t="s">
        <v>328</v>
      </c>
      <c r="E57" s="3429" t="s">
        <v>327</v>
      </c>
      <c r="F57" s="3430" t="s">
        <v>326</v>
      </c>
      <c r="G57" s="3429" t="s">
        <v>324</v>
      </c>
      <c r="H57" s="3429" t="s">
        <v>323</v>
      </c>
      <c r="I57" s="3429" t="s">
        <v>325</v>
      </c>
      <c r="J57" s="3959">
        <f t="shared" si="1"/>
        <v>0</v>
      </c>
      <c r="K57" s="3389">
        <f t="shared" si="4"/>
        <v>0</v>
      </c>
    </row>
    <row r="58" spans="1:11" s="3389" customFormat="1" ht="13.5" customHeight="1">
      <c r="A58" s="3461"/>
      <c r="B58" s="3432"/>
      <c r="C58" s="3432"/>
      <c r="D58" s="3432"/>
      <c r="E58" s="3408"/>
      <c r="F58" s="3432"/>
      <c r="G58" s="3408"/>
      <c r="H58" s="3408"/>
      <c r="I58" s="3408"/>
      <c r="J58" s="3959">
        <f t="shared" si="1"/>
        <v>0</v>
      </c>
      <c r="K58" s="3389">
        <f t="shared" si="4"/>
        <v>0</v>
      </c>
    </row>
    <row r="59" spans="1:11" s="3389" customFormat="1" ht="18.600000000000001" customHeight="1">
      <c r="A59" s="4111"/>
      <c r="B59" s="4111"/>
      <c r="C59" s="3978" t="s">
        <v>3066</v>
      </c>
      <c r="D59" s="3971"/>
      <c r="E59" s="3976"/>
      <c r="F59" s="3975"/>
      <c r="G59" s="3975"/>
      <c r="H59" s="3975"/>
      <c r="I59" s="3975"/>
      <c r="J59" s="3959">
        <f t="shared" si="1"/>
        <v>0</v>
      </c>
      <c r="K59" s="3389">
        <f t="shared" si="4"/>
        <v>0</v>
      </c>
    </row>
    <row r="60" spans="1:11" s="3932" customFormat="1" ht="18.600000000000001" customHeight="1">
      <c r="A60" s="4110">
        <v>32</v>
      </c>
      <c r="B60" s="4110"/>
      <c r="C60" s="4109" t="s">
        <v>1634</v>
      </c>
      <c r="D60" s="3981" t="s">
        <v>1633</v>
      </c>
      <c r="E60" s="4108" t="s">
        <v>135</v>
      </c>
      <c r="F60" s="4107">
        <v>369588</v>
      </c>
      <c r="G60" s="4106" t="s">
        <v>135</v>
      </c>
      <c r="H60" s="4105"/>
      <c r="I60" s="4104">
        <f>SUM(H60-F60)</f>
        <v>-369588</v>
      </c>
      <c r="J60" s="3959">
        <f t="shared" si="1"/>
        <v>0</v>
      </c>
      <c r="K60" s="3389">
        <f t="shared" si="4"/>
        <v>0</v>
      </c>
    </row>
    <row r="61" spans="1:11" s="3389" customFormat="1" ht="18.600000000000001" customHeight="1">
      <c r="A61" s="4029"/>
      <c r="B61" s="4029"/>
      <c r="C61" s="3971"/>
      <c r="D61" s="3971"/>
      <c r="E61" s="3976"/>
      <c r="F61" s="3975"/>
      <c r="G61" s="3975"/>
      <c r="H61" s="3975"/>
      <c r="I61" s="3975"/>
      <c r="J61" s="3959">
        <f t="shared" si="1"/>
        <v>0</v>
      </c>
      <c r="K61" s="3389">
        <f t="shared" si="4"/>
        <v>0</v>
      </c>
    </row>
    <row r="62" spans="1:11" s="3389" customFormat="1" ht="18.600000000000001" customHeight="1">
      <c r="A62" s="3432"/>
      <c r="B62" s="3432"/>
      <c r="C62" s="4103" t="s">
        <v>3065</v>
      </c>
      <c r="D62" s="3978"/>
      <c r="E62" s="3982"/>
      <c r="F62" s="3968"/>
      <c r="G62" s="4036"/>
      <c r="H62" s="3968"/>
      <c r="I62" s="3967"/>
      <c r="J62" s="3959">
        <f t="shared" si="1"/>
        <v>0</v>
      </c>
      <c r="K62" s="3389">
        <f t="shared" si="4"/>
        <v>0</v>
      </c>
    </row>
    <row r="63" spans="1:11" s="3389" customFormat="1" ht="18.600000000000001" customHeight="1">
      <c r="A63" s="3982" t="s">
        <v>493</v>
      </c>
      <c r="B63" s="3982" t="s">
        <v>498</v>
      </c>
      <c r="C63" s="3974" t="s">
        <v>3017</v>
      </c>
      <c r="D63" s="3970" t="s">
        <v>3064</v>
      </c>
      <c r="E63" s="4043" t="s">
        <v>127</v>
      </c>
      <c r="F63" s="3968">
        <v>402900</v>
      </c>
      <c r="G63" s="4088" t="s">
        <v>119</v>
      </c>
      <c r="H63" s="3968">
        <f t="shared" ref="H63:H95" si="5">VLOOKUP(G63,$A$291:$B$483,2)*12</f>
        <v>439536</v>
      </c>
      <c r="I63" s="3967">
        <f t="shared" ref="I63:I95" si="6">SUM(H63-F63)</f>
        <v>36636</v>
      </c>
      <c r="J63" s="3959">
        <f t="shared" si="1"/>
        <v>36628</v>
      </c>
      <c r="K63" s="3389">
        <f t="shared" si="4"/>
        <v>732.56000000000006</v>
      </c>
    </row>
    <row r="64" spans="1:11" s="3389" customFormat="1" ht="18.600000000000001" customHeight="1">
      <c r="A64" s="3982" t="s">
        <v>490</v>
      </c>
      <c r="B64" s="3982" t="s">
        <v>510</v>
      </c>
      <c r="C64" s="3974" t="s">
        <v>3017</v>
      </c>
      <c r="D64" s="4063" t="s">
        <v>3063</v>
      </c>
      <c r="E64" s="3982" t="s">
        <v>127</v>
      </c>
      <c r="F64" s="3968">
        <v>402900</v>
      </c>
      <c r="G64" s="4036" t="s">
        <v>119</v>
      </c>
      <c r="H64" s="3968">
        <f t="shared" si="5"/>
        <v>439536</v>
      </c>
      <c r="I64" s="3967">
        <f t="shared" si="6"/>
        <v>36636</v>
      </c>
      <c r="J64" s="3959">
        <f t="shared" si="1"/>
        <v>36628</v>
      </c>
      <c r="K64" s="3389">
        <f t="shared" si="4"/>
        <v>732.56000000000006</v>
      </c>
    </row>
    <row r="65" spans="1:11" s="3389" customFormat="1" ht="18.600000000000001" customHeight="1">
      <c r="A65" s="3982" t="s">
        <v>486</v>
      </c>
      <c r="B65" s="3982" t="s">
        <v>494</v>
      </c>
      <c r="C65" s="3974" t="s">
        <v>3017</v>
      </c>
      <c r="D65" s="3978" t="s">
        <v>3062</v>
      </c>
      <c r="E65" s="3969" t="s">
        <v>127</v>
      </c>
      <c r="F65" s="3968">
        <v>402900</v>
      </c>
      <c r="G65" s="4036" t="s">
        <v>119</v>
      </c>
      <c r="H65" s="3968">
        <f t="shared" si="5"/>
        <v>439536</v>
      </c>
      <c r="I65" s="3967">
        <f t="shared" si="6"/>
        <v>36636</v>
      </c>
      <c r="J65" s="3959">
        <f t="shared" si="1"/>
        <v>36628</v>
      </c>
      <c r="K65" s="3389">
        <f t="shared" si="4"/>
        <v>732.56000000000006</v>
      </c>
    </row>
    <row r="66" spans="1:11" s="3389" customFormat="1" ht="18.600000000000001" customHeight="1">
      <c r="A66" s="3982" t="s">
        <v>298</v>
      </c>
      <c r="B66" s="3982" t="s">
        <v>501</v>
      </c>
      <c r="C66" s="3974" t="s">
        <v>3017</v>
      </c>
      <c r="D66" s="4102" t="s">
        <v>3061</v>
      </c>
      <c r="E66" s="4042" t="s">
        <v>121</v>
      </c>
      <c r="F66" s="3968">
        <v>430980</v>
      </c>
      <c r="G66" s="4101" t="s">
        <v>121</v>
      </c>
      <c r="H66" s="3968">
        <f t="shared" si="5"/>
        <v>430980</v>
      </c>
      <c r="I66" s="3967">
        <f t="shared" si="6"/>
        <v>0</v>
      </c>
      <c r="J66" s="3959">
        <f t="shared" si="1"/>
        <v>35915</v>
      </c>
      <c r="K66" s="3389">
        <f t="shared" si="4"/>
        <v>718.30000000000007</v>
      </c>
    </row>
    <row r="67" spans="1:11" s="3389" customFormat="1" ht="18.600000000000001" customHeight="1">
      <c r="A67" s="3982" t="s">
        <v>482</v>
      </c>
      <c r="B67" s="3982" t="s">
        <v>491</v>
      </c>
      <c r="C67" s="3974" t="s">
        <v>3017</v>
      </c>
      <c r="D67" s="3970" t="s">
        <v>3060</v>
      </c>
      <c r="E67" s="3982" t="s">
        <v>122</v>
      </c>
      <c r="F67" s="3968">
        <v>426156</v>
      </c>
      <c r="G67" s="4092" t="s">
        <v>122</v>
      </c>
      <c r="H67" s="3968">
        <f t="shared" si="5"/>
        <v>426156</v>
      </c>
      <c r="I67" s="3967">
        <f t="shared" si="6"/>
        <v>0</v>
      </c>
      <c r="J67" s="3959">
        <f t="shared" si="1"/>
        <v>35513</v>
      </c>
      <c r="K67" s="3389">
        <f t="shared" si="4"/>
        <v>710.26</v>
      </c>
    </row>
    <row r="68" spans="1:11" s="3389" customFormat="1" ht="18.600000000000001" customHeight="1">
      <c r="A68" s="3982" t="s">
        <v>479</v>
      </c>
      <c r="B68" s="3982" t="s">
        <v>493</v>
      </c>
      <c r="C68" s="3974" t="s">
        <v>3017</v>
      </c>
      <c r="D68" s="3970" t="s">
        <v>3059</v>
      </c>
      <c r="E68" s="3982" t="s">
        <v>123</v>
      </c>
      <c r="F68" s="3968">
        <v>421392</v>
      </c>
      <c r="G68" s="4092" t="s">
        <v>123</v>
      </c>
      <c r="H68" s="3968">
        <f t="shared" si="5"/>
        <v>421392</v>
      </c>
      <c r="I68" s="3967">
        <f t="shared" si="6"/>
        <v>0</v>
      </c>
      <c r="J68" s="3959">
        <f t="shared" si="1"/>
        <v>35116</v>
      </c>
      <c r="K68" s="3389">
        <f t="shared" si="4"/>
        <v>702.32</v>
      </c>
    </row>
    <row r="69" spans="1:11" s="3389" customFormat="1" ht="18.600000000000001" customHeight="1">
      <c r="A69" s="3982" t="s">
        <v>1063</v>
      </c>
      <c r="B69" s="3982" t="s">
        <v>490</v>
      </c>
      <c r="C69" s="3974" t="s">
        <v>3017</v>
      </c>
      <c r="D69" s="3970" t="s">
        <v>3058</v>
      </c>
      <c r="E69" s="3982" t="s">
        <v>124</v>
      </c>
      <c r="F69" s="3968">
        <v>416688</v>
      </c>
      <c r="G69" s="4092" t="s">
        <v>124</v>
      </c>
      <c r="H69" s="3968">
        <f t="shared" si="5"/>
        <v>416688</v>
      </c>
      <c r="I69" s="3967">
        <f t="shared" si="6"/>
        <v>0</v>
      </c>
      <c r="J69" s="3959">
        <f t="shared" si="1"/>
        <v>34724</v>
      </c>
      <c r="K69" s="3389">
        <f t="shared" si="4"/>
        <v>694.48</v>
      </c>
    </row>
    <row r="70" spans="1:11" s="3389" customFormat="1" ht="18.600000000000001" customHeight="1">
      <c r="A70" s="3982" t="s">
        <v>1060</v>
      </c>
      <c r="B70" s="3982" t="s">
        <v>486</v>
      </c>
      <c r="C70" s="3974" t="s">
        <v>3017</v>
      </c>
      <c r="D70" s="4100" t="s">
        <v>3057</v>
      </c>
      <c r="E70" s="3982" t="s">
        <v>125</v>
      </c>
      <c r="F70" s="3968">
        <v>412032</v>
      </c>
      <c r="G70" s="4092" t="s">
        <v>125</v>
      </c>
      <c r="H70" s="3968">
        <f t="shared" si="5"/>
        <v>412032</v>
      </c>
      <c r="I70" s="3967">
        <f t="shared" si="6"/>
        <v>0</v>
      </c>
      <c r="J70" s="3959">
        <f t="shared" si="1"/>
        <v>34336</v>
      </c>
      <c r="K70" s="3389">
        <f t="shared" si="4"/>
        <v>686.72</v>
      </c>
    </row>
    <row r="71" spans="1:11" s="4093" customFormat="1" ht="18.600000000000001" customHeight="1">
      <c r="A71" s="4097" t="s">
        <v>1058</v>
      </c>
      <c r="B71" s="4097" t="s">
        <v>298</v>
      </c>
      <c r="C71" s="4099" t="s">
        <v>3017</v>
      </c>
      <c r="D71" s="4098" t="s">
        <v>3056</v>
      </c>
      <c r="E71" s="4097" t="s">
        <v>125</v>
      </c>
      <c r="F71" s="4095">
        <v>412032</v>
      </c>
      <c r="G71" s="4096" t="s">
        <v>125</v>
      </c>
      <c r="H71" s="4095">
        <f t="shared" si="5"/>
        <v>412032</v>
      </c>
      <c r="I71" s="4094">
        <f t="shared" si="6"/>
        <v>0</v>
      </c>
      <c r="J71" s="3959">
        <f t="shared" si="1"/>
        <v>34336</v>
      </c>
      <c r="K71" s="3389">
        <f t="shared" si="4"/>
        <v>686.72</v>
      </c>
    </row>
    <row r="72" spans="1:11" s="3389" customFormat="1" ht="18.600000000000001" customHeight="1">
      <c r="A72" s="3982" t="s">
        <v>901</v>
      </c>
      <c r="B72" s="3982" t="s">
        <v>482</v>
      </c>
      <c r="C72" s="3974" t="s">
        <v>3017</v>
      </c>
      <c r="D72" s="3970" t="s">
        <v>3055</v>
      </c>
      <c r="E72" s="3982" t="s">
        <v>126</v>
      </c>
      <c r="F72" s="3968">
        <v>407436</v>
      </c>
      <c r="G72" s="4092" t="s">
        <v>126</v>
      </c>
      <c r="H72" s="3968">
        <f t="shared" si="5"/>
        <v>407436</v>
      </c>
      <c r="I72" s="3967">
        <f t="shared" si="6"/>
        <v>0</v>
      </c>
      <c r="J72" s="3959">
        <f t="shared" si="1"/>
        <v>33953</v>
      </c>
      <c r="K72" s="3389">
        <f t="shared" si="4"/>
        <v>679.06000000000006</v>
      </c>
    </row>
    <row r="73" spans="1:11" s="3389" customFormat="1" ht="18.600000000000001" customHeight="1">
      <c r="A73" s="3982" t="s">
        <v>895</v>
      </c>
      <c r="B73" s="3982" t="s">
        <v>479</v>
      </c>
      <c r="C73" s="3974" t="s">
        <v>3017</v>
      </c>
      <c r="D73" s="4063" t="s">
        <v>3054</v>
      </c>
      <c r="E73" s="4042" t="s">
        <v>127</v>
      </c>
      <c r="F73" s="3968">
        <v>402900</v>
      </c>
      <c r="G73" s="4088" t="s">
        <v>127</v>
      </c>
      <c r="H73" s="3968">
        <f t="shared" si="5"/>
        <v>402900</v>
      </c>
      <c r="I73" s="3967">
        <f t="shared" si="6"/>
        <v>0</v>
      </c>
      <c r="J73" s="3959">
        <f t="shared" si="1"/>
        <v>33575</v>
      </c>
      <c r="K73" s="3389">
        <f t="shared" si="4"/>
        <v>671.5</v>
      </c>
    </row>
    <row r="74" spans="1:11" s="3389" customFormat="1" ht="18.600000000000001" customHeight="1">
      <c r="A74" s="3982" t="s">
        <v>900</v>
      </c>
      <c r="B74" s="3982" t="s">
        <v>1063</v>
      </c>
      <c r="C74" s="3974" t="s">
        <v>3017</v>
      </c>
      <c r="D74" s="3970" t="s">
        <v>3053</v>
      </c>
      <c r="E74" s="3969" t="s">
        <v>127</v>
      </c>
      <c r="F74" s="3968">
        <v>402900</v>
      </c>
      <c r="G74" s="4088" t="s">
        <v>127</v>
      </c>
      <c r="H74" s="3968">
        <f t="shared" si="5"/>
        <v>402900</v>
      </c>
      <c r="I74" s="3967">
        <f t="shared" si="6"/>
        <v>0</v>
      </c>
      <c r="J74" s="3959">
        <f t="shared" si="1"/>
        <v>33575</v>
      </c>
      <c r="K74" s="3389">
        <f t="shared" si="4"/>
        <v>671.5</v>
      </c>
    </row>
    <row r="75" spans="1:11" s="3389" customFormat="1" ht="18.600000000000001" customHeight="1">
      <c r="A75" s="3982" t="s">
        <v>1053</v>
      </c>
      <c r="B75" s="3982" t="s">
        <v>1060</v>
      </c>
      <c r="C75" s="4030" t="s">
        <v>3017</v>
      </c>
      <c r="D75" s="3978" t="s">
        <v>3052</v>
      </c>
      <c r="E75" s="4042" t="s">
        <v>127</v>
      </c>
      <c r="F75" s="3968">
        <v>402900</v>
      </c>
      <c r="G75" s="4088" t="s">
        <v>127</v>
      </c>
      <c r="H75" s="3968">
        <f t="shared" si="5"/>
        <v>402900</v>
      </c>
      <c r="I75" s="3967">
        <f t="shared" si="6"/>
        <v>0</v>
      </c>
      <c r="J75" s="3959">
        <f t="shared" si="1"/>
        <v>33575</v>
      </c>
      <c r="K75" s="3389">
        <f t="shared" si="4"/>
        <v>671.5</v>
      </c>
    </row>
    <row r="76" spans="1:11" s="3389" customFormat="1" ht="18.600000000000001" customHeight="1">
      <c r="A76" s="3982" t="s">
        <v>994</v>
      </c>
      <c r="B76" s="3982" t="s">
        <v>1058</v>
      </c>
      <c r="C76" s="3974" t="s">
        <v>3017</v>
      </c>
      <c r="D76" s="3970" t="s">
        <v>3051</v>
      </c>
      <c r="E76" s="3982" t="s">
        <v>127</v>
      </c>
      <c r="F76" s="3968">
        <v>402900</v>
      </c>
      <c r="G76" s="4088" t="s">
        <v>127</v>
      </c>
      <c r="H76" s="3968">
        <f t="shared" si="5"/>
        <v>402900</v>
      </c>
      <c r="I76" s="3967">
        <f t="shared" si="6"/>
        <v>0</v>
      </c>
      <c r="J76" s="3959">
        <f t="shared" si="1"/>
        <v>33575</v>
      </c>
      <c r="K76" s="3389">
        <f t="shared" si="4"/>
        <v>671.5</v>
      </c>
    </row>
    <row r="77" spans="1:11" s="3389" customFormat="1" ht="18.600000000000001" customHeight="1">
      <c r="A77" s="3982" t="s">
        <v>1049</v>
      </c>
      <c r="B77" s="3982" t="s">
        <v>901</v>
      </c>
      <c r="C77" s="3974" t="s">
        <v>3017</v>
      </c>
      <c r="D77" s="3970" t="s">
        <v>3050</v>
      </c>
      <c r="E77" s="3982" t="s">
        <v>127</v>
      </c>
      <c r="F77" s="3968">
        <v>402900</v>
      </c>
      <c r="G77" s="4088" t="s">
        <v>127</v>
      </c>
      <c r="H77" s="3968">
        <f t="shared" si="5"/>
        <v>402900</v>
      </c>
      <c r="I77" s="3967">
        <f t="shared" si="6"/>
        <v>0</v>
      </c>
      <c r="J77" s="3959">
        <f t="shared" si="1"/>
        <v>33575</v>
      </c>
      <c r="K77" s="3389">
        <f t="shared" si="4"/>
        <v>671.5</v>
      </c>
    </row>
    <row r="78" spans="1:11" s="3389" customFormat="1" ht="18.600000000000001" customHeight="1">
      <c r="A78" s="3982" t="s">
        <v>1046</v>
      </c>
      <c r="B78" s="3982" t="s">
        <v>895</v>
      </c>
      <c r="C78" s="3974" t="s">
        <v>3017</v>
      </c>
      <c r="D78" s="4071" t="s">
        <v>3049</v>
      </c>
      <c r="E78" s="4043" t="s">
        <v>127</v>
      </c>
      <c r="F78" s="3968">
        <v>402900</v>
      </c>
      <c r="G78" s="4088" t="s">
        <v>127</v>
      </c>
      <c r="H78" s="3968">
        <f t="shared" si="5"/>
        <v>402900</v>
      </c>
      <c r="I78" s="3967">
        <f t="shared" si="6"/>
        <v>0</v>
      </c>
      <c r="J78" s="3959">
        <f t="shared" si="1"/>
        <v>33575</v>
      </c>
      <c r="K78" s="3389">
        <f t="shared" si="4"/>
        <v>671.5</v>
      </c>
    </row>
    <row r="79" spans="1:11" s="3389" customFormat="1" ht="18.600000000000001" customHeight="1">
      <c r="A79" s="3982" t="s">
        <v>1044</v>
      </c>
      <c r="B79" s="3982" t="s">
        <v>900</v>
      </c>
      <c r="C79" s="3974" t="s">
        <v>3017</v>
      </c>
      <c r="D79" s="3970" t="s">
        <v>3048</v>
      </c>
      <c r="E79" s="3982" t="s">
        <v>127</v>
      </c>
      <c r="F79" s="3968">
        <v>402900</v>
      </c>
      <c r="G79" s="4088" t="s">
        <v>127</v>
      </c>
      <c r="H79" s="3968">
        <f t="shared" si="5"/>
        <v>402900</v>
      </c>
      <c r="I79" s="3967">
        <f t="shared" si="6"/>
        <v>0</v>
      </c>
      <c r="J79" s="3959">
        <f t="shared" si="1"/>
        <v>33575</v>
      </c>
      <c r="K79" s="3389">
        <f t="shared" si="4"/>
        <v>671.5</v>
      </c>
    </row>
    <row r="80" spans="1:11" s="3389" customFormat="1" ht="18.600000000000001" customHeight="1">
      <c r="A80" s="3982" t="s">
        <v>1041</v>
      </c>
      <c r="B80" s="3982" t="s">
        <v>1053</v>
      </c>
      <c r="C80" s="3974" t="s">
        <v>3017</v>
      </c>
      <c r="D80" s="3970" t="s">
        <v>3047</v>
      </c>
      <c r="E80" s="3982" t="s">
        <v>127</v>
      </c>
      <c r="F80" s="3968">
        <v>402900</v>
      </c>
      <c r="G80" s="4088" t="s">
        <v>127</v>
      </c>
      <c r="H80" s="3968">
        <f t="shared" si="5"/>
        <v>402900</v>
      </c>
      <c r="I80" s="3967">
        <f t="shared" si="6"/>
        <v>0</v>
      </c>
      <c r="J80" s="3959">
        <f t="shared" ref="J80:J143" si="7">H80/12</f>
        <v>33575</v>
      </c>
      <c r="K80" s="3389">
        <f t="shared" si="4"/>
        <v>671.5</v>
      </c>
    </row>
    <row r="81" spans="1:11" s="3389" customFormat="1" ht="18.600000000000001" customHeight="1">
      <c r="A81" s="3982" t="s">
        <v>1025</v>
      </c>
      <c r="B81" s="3982" t="s">
        <v>994</v>
      </c>
      <c r="C81" s="3974" t="s">
        <v>3017</v>
      </c>
      <c r="D81" s="3970" t="s">
        <v>3046</v>
      </c>
      <c r="E81" s="3982" t="s">
        <v>127</v>
      </c>
      <c r="F81" s="3968">
        <v>402900</v>
      </c>
      <c r="G81" s="4088" t="s">
        <v>127</v>
      </c>
      <c r="H81" s="3968">
        <f t="shared" si="5"/>
        <v>402900</v>
      </c>
      <c r="I81" s="3967">
        <f t="shared" si="6"/>
        <v>0</v>
      </c>
      <c r="J81" s="3959">
        <f t="shared" si="7"/>
        <v>33575</v>
      </c>
      <c r="K81" s="3389">
        <f t="shared" si="4"/>
        <v>671.5</v>
      </c>
    </row>
    <row r="82" spans="1:11" s="3389" customFormat="1" ht="18.600000000000001" customHeight="1">
      <c r="A82" s="3982" t="s">
        <v>1034</v>
      </c>
      <c r="B82" s="3982" t="s">
        <v>1049</v>
      </c>
      <c r="C82" s="3974" t="s">
        <v>3017</v>
      </c>
      <c r="D82" s="3970" t="s">
        <v>3045</v>
      </c>
      <c r="E82" s="3982" t="s">
        <v>127</v>
      </c>
      <c r="F82" s="3968">
        <v>402900</v>
      </c>
      <c r="G82" s="4088" t="s">
        <v>127</v>
      </c>
      <c r="H82" s="3968">
        <f t="shared" si="5"/>
        <v>402900</v>
      </c>
      <c r="I82" s="3967">
        <f t="shared" si="6"/>
        <v>0</v>
      </c>
      <c r="J82" s="3959">
        <f t="shared" si="7"/>
        <v>33575</v>
      </c>
      <c r="K82" s="3389">
        <f t="shared" si="4"/>
        <v>671.5</v>
      </c>
    </row>
    <row r="83" spans="1:11" s="3389" customFormat="1" ht="18.600000000000001" customHeight="1">
      <c r="A83" s="3982" t="s">
        <v>1030</v>
      </c>
      <c r="B83" s="3982" t="s">
        <v>1046</v>
      </c>
      <c r="C83" s="3974" t="s">
        <v>3017</v>
      </c>
      <c r="D83" s="3970" t="s">
        <v>3044</v>
      </c>
      <c r="E83" s="3982" t="s">
        <v>127</v>
      </c>
      <c r="F83" s="3968">
        <v>402900</v>
      </c>
      <c r="G83" s="4088" t="s">
        <v>127</v>
      </c>
      <c r="H83" s="3968">
        <f t="shared" si="5"/>
        <v>402900</v>
      </c>
      <c r="I83" s="3967">
        <f t="shared" si="6"/>
        <v>0</v>
      </c>
      <c r="J83" s="3959">
        <f t="shared" si="7"/>
        <v>33575</v>
      </c>
      <c r="K83" s="3389">
        <f t="shared" si="4"/>
        <v>671.5</v>
      </c>
    </row>
    <row r="84" spans="1:11" s="3389" customFormat="1" ht="18.600000000000001" customHeight="1">
      <c r="A84" s="3982" t="s">
        <v>1035</v>
      </c>
      <c r="B84" s="3982" t="s">
        <v>1044</v>
      </c>
      <c r="C84" s="3974" t="s">
        <v>3017</v>
      </c>
      <c r="D84" s="3970" t="s">
        <v>3043</v>
      </c>
      <c r="E84" s="3982" t="s">
        <v>127</v>
      </c>
      <c r="F84" s="3968">
        <v>402900</v>
      </c>
      <c r="G84" s="4088" t="s">
        <v>127</v>
      </c>
      <c r="H84" s="3968">
        <f t="shared" si="5"/>
        <v>402900</v>
      </c>
      <c r="I84" s="3967">
        <f t="shared" si="6"/>
        <v>0</v>
      </c>
      <c r="J84" s="3959">
        <f t="shared" si="7"/>
        <v>33575</v>
      </c>
      <c r="K84" s="3389">
        <f t="shared" si="4"/>
        <v>671.5</v>
      </c>
    </row>
    <row r="85" spans="1:11" s="3389" customFormat="1" ht="18.600000000000001" customHeight="1">
      <c r="A85" s="3982" t="s">
        <v>1028</v>
      </c>
      <c r="B85" s="3982" t="s">
        <v>1041</v>
      </c>
      <c r="C85" s="3974" t="s">
        <v>3017</v>
      </c>
      <c r="D85" s="3970" t="s">
        <v>3042</v>
      </c>
      <c r="E85" s="3982" t="s">
        <v>127</v>
      </c>
      <c r="F85" s="3968">
        <v>402900</v>
      </c>
      <c r="G85" s="4088" t="s">
        <v>127</v>
      </c>
      <c r="H85" s="3968">
        <f t="shared" si="5"/>
        <v>402900</v>
      </c>
      <c r="I85" s="3967">
        <f t="shared" si="6"/>
        <v>0</v>
      </c>
      <c r="J85" s="3959">
        <f t="shared" si="7"/>
        <v>33575</v>
      </c>
      <c r="K85" s="3389">
        <f t="shared" si="4"/>
        <v>671.5</v>
      </c>
    </row>
    <row r="86" spans="1:11" s="3389" customFormat="1" ht="18.600000000000001" customHeight="1">
      <c r="A86" s="3982" t="s">
        <v>1033</v>
      </c>
      <c r="B86" s="3982" t="s">
        <v>1025</v>
      </c>
      <c r="C86" s="3974" t="s">
        <v>3017</v>
      </c>
      <c r="D86" s="4091" t="s">
        <v>3041</v>
      </c>
      <c r="E86" s="3982" t="s">
        <v>127</v>
      </c>
      <c r="F86" s="3968">
        <v>402900</v>
      </c>
      <c r="G86" s="4088" t="s">
        <v>127</v>
      </c>
      <c r="H86" s="3968">
        <f t="shared" si="5"/>
        <v>402900</v>
      </c>
      <c r="I86" s="3967">
        <f t="shared" si="6"/>
        <v>0</v>
      </c>
      <c r="J86" s="3959">
        <f t="shared" si="7"/>
        <v>33575</v>
      </c>
      <c r="K86" s="3389">
        <f t="shared" si="4"/>
        <v>671.5</v>
      </c>
    </row>
    <row r="87" spans="1:11" s="3389" customFormat="1" ht="18.600000000000001" customHeight="1">
      <c r="A87" s="3982" t="s">
        <v>1021</v>
      </c>
      <c r="B87" s="3982" t="s">
        <v>1034</v>
      </c>
      <c r="C87" s="3974" t="s">
        <v>3017</v>
      </c>
      <c r="D87" s="3970" t="s">
        <v>3040</v>
      </c>
      <c r="E87" s="3982" t="s">
        <v>127</v>
      </c>
      <c r="F87" s="3968">
        <v>402900</v>
      </c>
      <c r="G87" s="4088" t="s">
        <v>127</v>
      </c>
      <c r="H87" s="3968">
        <f t="shared" si="5"/>
        <v>402900</v>
      </c>
      <c r="I87" s="3967">
        <f t="shared" si="6"/>
        <v>0</v>
      </c>
      <c r="J87" s="3959">
        <f t="shared" si="7"/>
        <v>33575</v>
      </c>
      <c r="K87" s="3389">
        <f t="shared" si="4"/>
        <v>671.5</v>
      </c>
    </row>
    <row r="88" spans="1:11" s="3389" customFormat="1" ht="18.600000000000001" customHeight="1">
      <c r="A88" s="3982" t="s">
        <v>1019</v>
      </c>
      <c r="B88" s="3982" t="s">
        <v>1030</v>
      </c>
      <c r="C88" s="3974" t="s">
        <v>3017</v>
      </c>
      <c r="D88" s="3970" t="s">
        <v>3039</v>
      </c>
      <c r="E88" s="3982" t="s">
        <v>127</v>
      </c>
      <c r="F88" s="3968">
        <v>402900</v>
      </c>
      <c r="G88" s="4088" t="s">
        <v>127</v>
      </c>
      <c r="H88" s="3968">
        <f t="shared" si="5"/>
        <v>402900</v>
      </c>
      <c r="I88" s="3967">
        <f t="shared" si="6"/>
        <v>0</v>
      </c>
      <c r="J88" s="3959">
        <f t="shared" si="7"/>
        <v>33575</v>
      </c>
      <c r="K88" s="3389">
        <f t="shared" si="4"/>
        <v>671.5</v>
      </c>
    </row>
    <row r="89" spans="1:11" s="3389" customFormat="1" ht="18.600000000000001" customHeight="1">
      <c r="A89" s="3982" t="s">
        <v>1027</v>
      </c>
      <c r="B89" s="3982" t="s">
        <v>1035</v>
      </c>
      <c r="C89" s="3974" t="s">
        <v>3017</v>
      </c>
      <c r="D89" s="3970" t="s">
        <v>3038</v>
      </c>
      <c r="E89" s="3982" t="s">
        <v>127</v>
      </c>
      <c r="F89" s="3968">
        <v>402900</v>
      </c>
      <c r="G89" s="4088" t="s">
        <v>127</v>
      </c>
      <c r="H89" s="3968">
        <f t="shared" si="5"/>
        <v>402900</v>
      </c>
      <c r="I89" s="3967">
        <f t="shared" si="6"/>
        <v>0</v>
      </c>
      <c r="J89" s="3959">
        <f t="shared" si="7"/>
        <v>33575</v>
      </c>
      <c r="K89" s="3389">
        <f t="shared" si="4"/>
        <v>671.5</v>
      </c>
    </row>
    <row r="90" spans="1:11" s="3389" customFormat="1" ht="18.600000000000001" customHeight="1">
      <c r="A90" s="3982" t="s">
        <v>1024</v>
      </c>
      <c r="B90" s="3982" t="s">
        <v>1028</v>
      </c>
      <c r="C90" s="3974" t="s">
        <v>3017</v>
      </c>
      <c r="D90" s="3970" t="s">
        <v>3037</v>
      </c>
      <c r="E90" s="3982" t="s">
        <v>127</v>
      </c>
      <c r="F90" s="3968">
        <v>402900</v>
      </c>
      <c r="G90" s="4088" t="s">
        <v>127</v>
      </c>
      <c r="H90" s="3968">
        <f t="shared" si="5"/>
        <v>402900</v>
      </c>
      <c r="I90" s="3967">
        <f t="shared" si="6"/>
        <v>0</v>
      </c>
      <c r="J90" s="3959">
        <f t="shared" si="7"/>
        <v>33575</v>
      </c>
      <c r="K90" s="3389">
        <f t="shared" si="4"/>
        <v>671.5</v>
      </c>
    </row>
    <row r="91" spans="1:11" s="3389" customFormat="1" ht="18.600000000000001" customHeight="1">
      <c r="A91" s="3982" t="s">
        <v>1016</v>
      </c>
      <c r="B91" s="3982" t="s">
        <v>1033</v>
      </c>
      <c r="C91" s="3974" t="s">
        <v>3017</v>
      </c>
      <c r="D91" s="3970" t="s">
        <v>3036</v>
      </c>
      <c r="E91" s="3982" t="s">
        <v>127</v>
      </c>
      <c r="F91" s="3968">
        <v>402900</v>
      </c>
      <c r="G91" s="4088" t="s">
        <v>127</v>
      </c>
      <c r="H91" s="3968">
        <f t="shared" si="5"/>
        <v>402900</v>
      </c>
      <c r="I91" s="3967">
        <f t="shared" si="6"/>
        <v>0</v>
      </c>
      <c r="J91" s="3959">
        <f t="shared" si="7"/>
        <v>33575</v>
      </c>
      <c r="K91" s="3389">
        <f t="shared" si="4"/>
        <v>671.5</v>
      </c>
    </row>
    <row r="92" spans="1:11" s="3389" customFormat="1" ht="18.600000000000001" customHeight="1">
      <c r="A92" s="3982" t="s">
        <v>1018</v>
      </c>
      <c r="B92" s="3982" t="s">
        <v>1021</v>
      </c>
      <c r="C92" s="3974" t="s">
        <v>3017</v>
      </c>
      <c r="D92" s="3970" t="s">
        <v>3035</v>
      </c>
      <c r="E92" s="3982" t="s">
        <v>127</v>
      </c>
      <c r="F92" s="3968">
        <v>402900</v>
      </c>
      <c r="G92" s="4088" t="s">
        <v>127</v>
      </c>
      <c r="H92" s="3968">
        <f t="shared" si="5"/>
        <v>402900</v>
      </c>
      <c r="I92" s="3967">
        <f t="shared" si="6"/>
        <v>0</v>
      </c>
      <c r="J92" s="3959">
        <f t="shared" si="7"/>
        <v>33575</v>
      </c>
      <c r="K92" s="3389">
        <f t="shared" si="4"/>
        <v>671.5</v>
      </c>
    </row>
    <row r="93" spans="1:11" s="3389" customFormat="1" ht="18.600000000000001" customHeight="1">
      <c r="A93" s="3982" t="s">
        <v>1014</v>
      </c>
      <c r="B93" s="3982" t="s">
        <v>1019</v>
      </c>
      <c r="C93" s="3974" t="s">
        <v>3017</v>
      </c>
      <c r="D93" s="3970" t="s">
        <v>3034</v>
      </c>
      <c r="E93" s="4043" t="s">
        <v>127</v>
      </c>
      <c r="F93" s="3968">
        <v>402900</v>
      </c>
      <c r="G93" s="4088" t="s">
        <v>127</v>
      </c>
      <c r="H93" s="3968">
        <f t="shared" si="5"/>
        <v>402900</v>
      </c>
      <c r="I93" s="3967">
        <f t="shared" si="6"/>
        <v>0</v>
      </c>
      <c r="J93" s="3959">
        <f t="shared" si="7"/>
        <v>33575</v>
      </c>
      <c r="K93" s="3389">
        <f t="shared" si="4"/>
        <v>671.5</v>
      </c>
    </row>
    <row r="94" spans="1:11" s="3389" customFormat="1" ht="18" customHeight="1">
      <c r="A94" s="3982" t="s">
        <v>1011</v>
      </c>
      <c r="B94" s="3982" t="s">
        <v>1027</v>
      </c>
      <c r="C94" s="3979" t="s">
        <v>3017</v>
      </c>
      <c r="D94" s="3978" t="s">
        <v>3033</v>
      </c>
      <c r="E94" s="3982" t="s">
        <v>127</v>
      </c>
      <c r="F94" s="3968">
        <v>402900</v>
      </c>
      <c r="G94" s="4088" t="s">
        <v>127</v>
      </c>
      <c r="H94" s="3968">
        <f t="shared" si="5"/>
        <v>402900</v>
      </c>
      <c r="I94" s="3967">
        <f t="shared" si="6"/>
        <v>0</v>
      </c>
      <c r="J94" s="3959">
        <f t="shared" si="7"/>
        <v>33575</v>
      </c>
      <c r="K94" s="3389">
        <f t="shared" si="4"/>
        <v>671.5</v>
      </c>
    </row>
    <row r="95" spans="1:11" s="3389" customFormat="1" ht="18.600000000000001" customHeight="1">
      <c r="A95" s="3982" t="s">
        <v>1008</v>
      </c>
      <c r="B95" s="3982" t="s">
        <v>1024</v>
      </c>
      <c r="C95" s="3979" t="s">
        <v>3017</v>
      </c>
      <c r="D95" s="3978" t="s">
        <v>3032</v>
      </c>
      <c r="E95" s="3982" t="s">
        <v>127</v>
      </c>
      <c r="F95" s="3968">
        <v>402900</v>
      </c>
      <c r="G95" s="4088" t="s">
        <v>127</v>
      </c>
      <c r="H95" s="3968">
        <f t="shared" si="5"/>
        <v>402900</v>
      </c>
      <c r="I95" s="3967">
        <f t="shared" si="6"/>
        <v>0</v>
      </c>
      <c r="J95" s="3959">
        <f t="shared" si="7"/>
        <v>33575</v>
      </c>
      <c r="K95" s="3389">
        <f t="shared" si="4"/>
        <v>671.5</v>
      </c>
    </row>
    <row r="96" spans="1:11" s="3389" customFormat="1" ht="18.600000000000001" customHeight="1">
      <c r="A96" s="4015"/>
      <c r="B96" s="4015"/>
      <c r="C96" s="4041"/>
      <c r="D96" s="3965"/>
      <c r="E96" s="4015"/>
      <c r="F96" s="4011"/>
      <c r="G96" s="4012"/>
      <c r="H96" s="4011"/>
      <c r="I96" s="4010"/>
      <c r="J96" s="3959">
        <f t="shared" si="7"/>
        <v>0</v>
      </c>
      <c r="K96" s="3389">
        <f t="shared" si="4"/>
        <v>0</v>
      </c>
    </row>
    <row r="97" spans="1:11" s="3389" customFormat="1" ht="18.600000000000001" customHeight="1">
      <c r="A97" s="4009"/>
      <c r="B97" s="4009"/>
      <c r="C97" s="4040"/>
      <c r="D97" s="4090"/>
      <c r="E97" s="4007"/>
      <c r="F97" s="4039"/>
      <c r="G97" s="4089"/>
      <c r="H97" s="4039"/>
      <c r="I97" s="4005"/>
      <c r="J97" s="3959">
        <f t="shared" si="7"/>
        <v>0</v>
      </c>
      <c r="K97" s="3389">
        <f t="shared" si="4"/>
        <v>0</v>
      </c>
    </row>
    <row r="98" spans="1:11" s="3389" customFormat="1" ht="16.5" customHeight="1">
      <c r="A98" s="3451"/>
      <c r="B98" s="4004" t="s">
        <v>2457</v>
      </c>
      <c r="C98" s="4001"/>
      <c r="D98" s="4001"/>
      <c r="E98" s="4002"/>
      <c r="F98" s="3959"/>
      <c r="H98" s="4001"/>
      <c r="I98" s="4000"/>
      <c r="J98" s="3959">
        <f t="shared" si="7"/>
        <v>0</v>
      </c>
      <c r="K98" s="3389">
        <f t="shared" si="4"/>
        <v>0</v>
      </c>
    </row>
    <row r="99" spans="1:11" s="3389" customFormat="1" ht="16.5" customHeight="1">
      <c r="A99" s="3451"/>
      <c r="B99" s="4003" t="s">
        <v>3031</v>
      </c>
      <c r="C99" s="4001"/>
      <c r="D99" s="4001"/>
      <c r="E99" s="4002"/>
      <c r="F99" s="3959"/>
      <c r="H99" s="4001"/>
      <c r="I99" s="4000"/>
      <c r="J99" s="3959">
        <f t="shared" si="7"/>
        <v>0</v>
      </c>
      <c r="K99" s="3389">
        <f t="shared" si="4"/>
        <v>0</v>
      </c>
    </row>
    <row r="100" spans="1:11" s="3389" customFormat="1" ht="16.5" customHeight="1">
      <c r="A100" s="3999"/>
      <c r="B100" s="3999"/>
      <c r="C100" s="3996"/>
      <c r="D100" s="3996"/>
      <c r="E100" s="3997"/>
      <c r="F100" s="3998"/>
      <c r="G100" s="3997"/>
      <c r="H100" s="3996"/>
      <c r="I100" s="3995"/>
      <c r="J100" s="3959">
        <f t="shared" si="7"/>
        <v>0</v>
      </c>
      <c r="K100" s="3389">
        <f t="shared" si="4"/>
        <v>0</v>
      </c>
    </row>
    <row r="101" spans="1:11" s="3389" customFormat="1" ht="16.5" customHeight="1">
      <c r="A101" s="3441"/>
      <c r="B101" s="3807"/>
      <c r="C101" s="3387"/>
      <c r="D101" s="3441"/>
      <c r="E101" s="4954" t="s">
        <v>348</v>
      </c>
      <c r="F101" s="4955"/>
      <c r="G101" s="4954" t="s">
        <v>2455</v>
      </c>
      <c r="H101" s="4955"/>
      <c r="I101" s="3440"/>
      <c r="J101" s="3959">
        <f t="shared" si="7"/>
        <v>0</v>
      </c>
      <c r="K101" s="3389">
        <f t="shared" si="4"/>
        <v>0</v>
      </c>
    </row>
    <row r="102" spans="1:11" s="3389" customFormat="1" ht="16.5" customHeight="1">
      <c r="A102" s="3439"/>
      <c r="B102" s="3806"/>
      <c r="C102" s="3406"/>
      <c r="D102" s="3257"/>
      <c r="E102" s="4956" t="s">
        <v>346</v>
      </c>
      <c r="F102" s="4957"/>
      <c r="G102" s="4956" t="s">
        <v>345</v>
      </c>
      <c r="H102" s="4957"/>
      <c r="I102" s="3434"/>
      <c r="J102" s="3959">
        <f t="shared" si="7"/>
        <v>0</v>
      </c>
      <c r="K102" s="3389">
        <f t="shared" si="4"/>
        <v>0</v>
      </c>
    </row>
    <row r="103" spans="1:11" s="3389" customFormat="1" ht="16.5" customHeight="1">
      <c r="A103" s="4956" t="s">
        <v>2454</v>
      </c>
      <c r="B103" s="4957"/>
      <c r="C103" s="3434" t="s">
        <v>342</v>
      </c>
      <c r="D103" s="3433" t="s">
        <v>341</v>
      </c>
      <c r="E103" s="4958" t="s">
        <v>2453</v>
      </c>
      <c r="F103" s="4958"/>
      <c r="G103" s="4958" t="s">
        <v>2453</v>
      </c>
      <c r="H103" s="4958"/>
      <c r="I103" s="3434" t="s">
        <v>340</v>
      </c>
      <c r="J103" s="3959">
        <f t="shared" si="7"/>
        <v>0</v>
      </c>
      <c r="K103" s="3389">
        <f t="shared" ref="K103:K166" si="8">J103*0.04/2</f>
        <v>0</v>
      </c>
    </row>
    <row r="104" spans="1:11" s="3389" customFormat="1" ht="16.5" customHeight="1">
      <c r="A104" s="4956" t="s">
        <v>2452</v>
      </c>
      <c r="B104" s="4957"/>
      <c r="C104" s="3434"/>
      <c r="D104" s="3433"/>
      <c r="E104" s="3434" t="s">
        <v>339</v>
      </c>
      <c r="F104" s="3256"/>
      <c r="G104" s="3434" t="s">
        <v>339</v>
      </c>
      <c r="H104" s="3256"/>
      <c r="I104" s="3432" t="s">
        <v>335</v>
      </c>
      <c r="J104" s="3959">
        <f t="shared" si="7"/>
        <v>0</v>
      </c>
      <c r="K104" s="3389">
        <f t="shared" si="8"/>
        <v>0</v>
      </c>
    </row>
    <row r="105" spans="1:11" s="3389" customFormat="1" ht="16.5" customHeight="1">
      <c r="A105" s="3994" t="s">
        <v>337</v>
      </c>
      <c r="B105" s="3993" t="s">
        <v>336</v>
      </c>
      <c r="C105" s="3435"/>
      <c r="D105" s="3435"/>
      <c r="E105" s="3434" t="s">
        <v>334</v>
      </c>
      <c r="F105" s="3433" t="s">
        <v>333</v>
      </c>
      <c r="G105" s="3434" t="s">
        <v>334</v>
      </c>
      <c r="H105" s="3433" t="s">
        <v>333</v>
      </c>
      <c r="I105" s="3432"/>
      <c r="J105" s="3959">
        <f t="shared" si="7"/>
        <v>0</v>
      </c>
      <c r="K105" s="3389">
        <f t="shared" si="8"/>
        <v>0</v>
      </c>
    </row>
    <row r="106" spans="1:11" s="3389" customFormat="1" ht="16.5" customHeight="1">
      <c r="A106" s="3431" t="s">
        <v>331</v>
      </c>
      <c r="B106" s="3430" t="s">
        <v>330</v>
      </c>
      <c r="C106" s="3430" t="s">
        <v>329</v>
      </c>
      <c r="D106" s="3430" t="s">
        <v>328</v>
      </c>
      <c r="E106" s="3429" t="s">
        <v>327</v>
      </c>
      <c r="F106" s="3430" t="s">
        <v>326</v>
      </c>
      <c r="G106" s="3429" t="s">
        <v>324</v>
      </c>
      <c r="H106" s="3429" t="s">
        <v>323</v>
      </c>
      <c r="I106" s="3429" t="s">
        <v>325</v>
      </c>
      <c r="J106" s="3959">
        <f t="shared" si="7"/>
        <v>0</v>
      </c>
      <c r="K106" s="3389">
        <f t="shared" si="8"/>
        <v>0</v>
      </c>
    </row>
    <row r="107" spans="1:11" s="3389" customFormat="1" ht="18.600000000000001" customHeight="1">
      <c r="A107" s="3982" t="s">
        <v>1004</v>
      </c>
      <c r="B107" s="3982" t="s">
        <v>1016</v>
      </c>
      <c r="C107" s="3979" t="s">
        <v>3017</v>
      </c>
      <c r="D107" s="3978" t="s">
        <v>3030</v>
      </c>
      <c r="E107" s="3982" t="s">
        <v>127</v>
      </c>
      <c r="F107" s="3968">
        <v>402900</v>
      </c>
      <c r="G107" s="4088" t="s">
        <v>127</v>
      </c>
      <c r="H107" s="3968">
        <f t="shared" ref="H107:H120" si="9">VLOOKUP(G107,$A$291:$B$483,2)*12</f>
        <v>402900</v>
      </c>
      <c r="I107" s="3967">
        <f t="shared" ref="I107:I120" si="10">SUM(H107-F107)</f>
        <v>0</v>
      </c>
      <c r="J107" s="3959">
        <f t="shared" si="7"/>
        <v>33575</v>
      </c>
      <c r="K107" s="3389">
        <f t="shared" si="8"/>
        <v>671.5</v>
      </c>
    </row>
    <row r="108" spans="1:11" s="3389" customFormat="1" ht="18" customHeight="1">
      <c r="A108" s="3982" t="s">
        <v>1002</v>
      </c>
      <c r="B108" s="3982" t="s">
        <v>1018</v>
      </c>
      <c r="C108" s="3979" t="s">
        <v>3017</v>
      </c>
      <c r="D108" s="3978" t="s">
        <v>3029</v>
      </c>
      <c r="E108" s="3982" t="s">
        <v>127</v>
      </c>
      <c r="F108" s="3968">
        <v>402900</v>
      </c>
      <c r="G108" s="4088" t="s">
        <v>127</v>
      </c>
      <c r="H108" s="3968">
        <f t="shared" si="9"/>
        <v>402900</v>
      </c>
      <c r="I108" s="3967">
        <f t="shared" si="10"/>
        <v>0</v>
      </c>
      <c r="J108" s="3959">
        <f t="shared" si="7"/>
        <v>33575</v>
      </c>
      <c r="K108" s="3389">
        <f t="shared" si="8"/>
        <v>671.5</v>
      </c>
    </row>
    <row r="109" spans="1:11" s="3389" customFormat="1" ht="18" customHeight="1">
      <c r="A109" s="3982" t="s">
        <v>998</v>
      </c>
      <c r="B109" s="3982" t="s">
        <v>1014</v>
      </c>
      <c r="C109" s="3979" t="s">
        <v>3017</v>
      </c>
      <c r="D109" s="3978" t="s">
        <v>3028</v>
      </c>
      <c r="E109" s="3982" t="s">
        <v>127</v>
      </c>
      <c r="F109" s="3968">
        <v>402900</v>
      </c>
      <c r="G109" s="4088" t="s">
        <v>127</v>
      </c>
      <c r="H109" s="3968">
        <f t="shared" si="9"/>
        <v>402900</v>
      </c>
      <c r="I109" s="3967">
        <f t="shared" si="10"/>
        <v>0</v>
      </c>
      <c r="J109" s="3959">
        <f t="shared" si="7"/>
        <v>33575</v>
      </c>
      <c r="K109" s="3389">
        <f t="shared" si="8"/>
        <v>671.5</v>
      </c>
    </row>
    <row r="110" spans="1:11" s="3389" customFormat="1" ht="18" customHeight="1">
      <c r="A110" s="3982" t="s">
        <v>999</v>
      </c>
      <c r="B110" s="3982" t="s">
        <v>1011</v>
      </c>
      <c r="C110" s="3979" t="s">
        <v>3017</v>
      </c>
      <c r="D110" s="4017" t="s">
        <v>3027</v>
      </c>
      <c r="E110" s="3982" t="s">
        <v>127</v>
      </c>
      <c r="F110" s="3968">
        <v>402900</v>
      </c>
      <c r="G110" s="4088" t="s">
        <v>127</v>
      </c>
      <c r="H110" s="3968">
        <f t="shared" si="9"/>
        <v>402900</v>
      </c>
      <c r="I110" s="3967">
        <f t="shared" si="10"/>
        <v>0</v>
      </c>
      <c r="J110" s="3959">
        <f t="shared" si="7"/>
        <v>33575</v>
      </c>
      <c r="K110" s="3389">
        <f t="shared" si="8"/>
        <v>671.5</v>
      </c>
    </row>
    <row r="111" spans="1:11" s="3389" customFormat="1" ht="18" customHeight="1">
      <c r="A111" s="3982" t="s">
        <v>1548</v>
      </c>
      <c r="B111" s="3982" t="s">
        <v>1008</v>
      </c>
      <c r="C111" s="3979" t="s">
        <v>3017</v>
      </c>
      <c r="D111" s="3978" t="s">
        <v>3026</v>
      </c>
      <c r="E111" s="3982" t="s">
        <v>127</v>
      </c>
      <c r="F111" s="3968">
        <v>402900</v>
      </c>
      <c r="G111" s="4088" t="s">
        <v>127</v>
      </c>
      <c r="H111" s="3968">
        <f t="shared" si="9"/>
        <v>402900</v>
      </c>
      <c r="I111" s="3967">
        <f t="shared" si="10"/>
        <v>0</v>
      </c>
      <c r="J111" s="3959">
        <f t="shared" si="7"/>
        <v>33575</v>
      </c>
      <c r="K111" s="3389">
        <f t="shared" si="8"/>
        <v>671.5</v>
      </c>
    </row>
    <row r="112" spans="1:11" s="3389" customFormat="1" ht="18" customHeight="1">
      <c r="A112" s="3982" t="s">
        <v>1544</v>
      </c>
      <c r="B112" s="3982" t="s">
        <v>1004</v>
      </c>
      <c r="C112" s="3979" t="s">
        <v>3017</v>
      </c>
      <c r="D112" s="3978" t="s">
        <v>3025</v>
      </c>
      <c r="E112" s="3969" t="s">
        <v>127</v>
      </c>
      <c r="F112" s="3968">
        <v>402900</v>
      </c>
      <c r="G112" s="4088" t="s">
        <v>127</v>
      </c>
      <c r="H112" s="3968">
        <f t="shared" si="9"/>
        <v>402900</v>
      </c>
      <c r="I112" s="3967">
        <f t="shared" si="10"/>
        <v>0</v>
      </c>
      <c r="J112" s="3959">
        <f t="shared" si="7"/>
        <v>33575</v>
      </c>
      <c r="K112" s="3389">
        <f t="shared" si="8"/>
        <v>671.5</v>
      </c>
    </row>
    <row r="113" spans="1:11" s="3389" customFormat="1" ht="18" customHeight="1">
      <c r="A113" s="3982" t="s">
        <v>1541</v>
      </c>
      <c r="B113" s="3982" t="s">
        <v>1002</v>
      </c>
      <c r="C113" s="3979" t="s">
        <v>3017</v>
      </c>
      <c r="D113" s="3970" t="s">
        <v>3024</v>
      </c>
      <c r="E113" s="3969" t="s">
        <v>127</v>
      </c>
      <c r="F113" s="3968">
        <v>402900</v>
      </c>
      <c r="G113" s="4088" t="s">
        <v>127</v>
      </c>
      <c r="H113" s="3968">
        <f t="shared" si="9"/>
        <v>402900</v>
      </c>
      <c r="I113" s="3967">
        <f t="shared" si="10"/>
        <v>0</v>
      </c>
      <c r="J113" s="3959">
        <f t="shared" si="7"/>
        <v>33575</v>
      </c>
      <c r="K113" s="3389">
        <f t="shared" si="8"/>
        <v>671.5</v>
      </c>
    </row>
    <row r="114" spans="1:11" s="3389" customFormat="1" ht="18" customHeight="1">
      <c r="A114" s="3982" t="s">
        <v>1539</v>
      </c>
      <c r="B114" s="3982" t="s">
        <v>998</v>
      </c>
      <c r="C114" s="3979" t="s">
        <v>3017</v>
      </c>
      <c r="D114" s="3970" t="s">
        <v>3023</v>
      </c>
      <c r="E114" s="3969" t="s">
        <v>127</v>
      </c>
      <c r="F114" s="3968">
        <v>402900</v>
      </c>
      <c r="G114" s="4088" t="s">
        <v>127</v>
      </c>
      <c r="H114" s="3968">
        <f t="shared" si="9"/>
        <v>402900</v>
      </c>
      <c r="I114" s="3967">
        <f t="shared" si="10"/>
        <v>0</v>
      </c>
      <c r="J114" s="3959">
        <f t="shared" si="7"/>
        <v>33575</v>
      </c>
      <c r="K114" s="3389">
        <f t="shared" si="8"/>
        <v>671.5</v>
      </c>
    </row>
    <row r="115" spans="1:11" s="3389" customFormat="1" ht="18" customHeight="1">
      <c r="A115" s="3982" t="s">
        <v>1536</v>
      </c>
      <c r="B115" s="3982" t="s">
        <v>999</v>
      </c>
      <c r="C115" s="3979" t="s">
        <v>3017</v>
      </c>
      <c r="D115" s="3970" t="s">
        <v>3022</v>
      </c>
      <c r="E115" s="3969" t="s">
        <v>127</v>
      </c>
      <c r="F115" s="3968">
        <v>402900</v>
      </c>
      <c r="G115" s="4088" t="s">
        <v>127</v>
      </c>
      <c r="H115" s="3968">
        <f t="shared" si="9"/>
        <v>402900</v>
      </c>
      <c r="I115" s="3967">
        <f t="shared" si="10"/>
        <v>0</v>
      </c>
      <c r="J115" s="3959">
        <f t="shared" si="7"/>
        <v>33575</v>
      </c>
      <c r="K115" s="3389">
        <f t="shared" si="8"/>
        <v>671.5</v>
      </c>
    </row>
    <row r="116" spans="1:11" s="3389" customFormat="1" ht="18" customHeight="1">
      <c r="A116" s="3982" t="s">
        <v>1533</v>
      </c>
      <c r="B116" s="3982" t="s">
        <v>1548</v>
      </c>
      <c r="C116" s="3979" t="s">
        <v>3017</v>
      </c>
      <c r="D116" s="3970" t="s">
        <v>3021</v>
      </c>
      <c r="E116" s="3969" t="s">
        <v>127</v>
      </c>
      <c r="F116" s="3968">
        <v>402900</v>
      </c>
      <c r="G116" s="4088" t="s">
        <v>127</v>
      </c>
      <c r="H116" s="3968">
        <f t="shared" si="9"/>
        <v>402900</v>
      </c>
      <c r="I116" s="3967">
        <f t="shared" si="10"/>
        <v>0</v>
      </c>
      <c r="J116" s="3959">
        <f t="shared" si="7"/>
        <v>33575</v>
      </c>
      <c r="K116" s="3389">
        <f t="shared" si="8"/>
        <v>671.5</v>
      </c>
    </row>
    <row r="117" spans="1:11" s="3389" customFormat="1" ht="18" customHeight="1">
      <c r="A117" s="3982" t="s">
        <v>1530</v>
      </c>
      <c r="B117" s="3982" t="s">
        <v>1546</v>
      </c>
      <c r="C117" s="3979" t="s">
        <v>3017</v>
      </c>
      <c r="D117" s="3970" t="s">
        <v>3020</v>
      </c>
      <c r="E117" s="3969" t="s">
        <v>127</v>
      </c>
      <c r="F117" s="3968">
        <v>402900</v>
      </c>
      <c r="G117" s="4088" t="s">
        <v>127</v>
      </c>
      <c r="H117" s="3968">
        <f t="shared" si="9"/>
        <v>402900</v>
      </c>
      <c r="I117" s="3967">
        <f t="shared" si="10"/>
        <v>0</v>
      </c>
      <c r="J117" s="3959">
        <f t="shared" si="7"/>
        <v>33575</v>
      </c>
      <c r="K117" s="3389">
        <f t="shared" si="8"/>
        <v>671.5</v>
      </c>
    </row>
    <row r="118" spans="1:11" s="3389" customFormat="1" ht="18" customHeight="1">
      <c r="A118" s="3982" t="s">
        <v>1524</v>
      </c>
      <c r="B118" s="3982" t="s">
        <v>1544</v>
      </c>
      <c r="C118" s="3974" t="s">
        <v>3017</v>
      </c>
      <c r="D118" s="3978" t="s">
        <v>3019</v>
      </c>
      <c r="E118" s="4051" t="s">
        <v>127</v>
      </c>
      <c r="F118" s="3968">
        <v>402900</v>
      </c>
      <c r="G118" s="4088" t="s">
        <v>127</v>
      </c>
      <c r="H118" s="3968">
        <f t="shared" si="9"/>
        <v>402900</v>
      </c>
      <c r="I118" s="3967">
        <f t="shared" si="10"/>
        <v>0</v>
      </c>
      <c r="J118" s="3959">
        <f t="shared" si="7"/>
        <v>33575</v>
      </c>
      <c r="K118" s="3389">
        <f t="shared" si="8"/>
        <v>671.5</v>
      </c>
    </row>
    <row r="119" spans="1:11" s="3389" customFormat="1" ht="18" customHeight="1">
      <c r="A119" s="3982" t="s">
        <v>1540</v>
      </c>
      <c r="B119" s="3982" t="s">
        <v>1541</v>
      </c>
      <c r="C119" s="3974" t="s">
        <v>3017</v>
      </c>
      <c r="D119" s="3978" t="s">
        <v>3018</v>
      </c>
      <c r="E119" s="3982" t="s">
        <v>127</v>
      </c>
      <c r="F119" s="3968">
        <v>402900</v>
      </c>
      <c r="G119" s="4088" t="s">
        <v>127</v>
      </c>
      <c r="H119" s="3968">
        <f t="shared" si="9"/>
        <v>402900</v>
      </c>
      <c r="I119" s="3967">
        <f t="shared" si="10"/>
        <v>0</v>
      </c>
      <c r="J119" s="3959">
        <f t="shared" si="7"/>
        <v>33575</v>
      </c>
      <c r="K119" s="3389">
        <f t="shared" si="8"/>
        <v>671.5</v>
      </c>
    </row>
    <row r="120" spans="1:11" s="3389" customFormat="1" ht="17.45" customHeight="1">
      <c r="A120" s="4064" t="s">
        <v>1546</v>
      </c>
      <c r="B120" s="3982" t="s">
        <v>1539</v>
      </c>
      <c r="C120" s="3979" t="s">
        <v>3017</v>
      </c>
      <c r="D120" s="3981" t="s">
        <v>245</v>
      </c>
      <c r="E120" s="3969" t="s">
        <v>127</v>
      </c>
      <c r="F120" s="3968">
        <v>402900</v>
      </c>
      <c r="G120" s="4088" t="s">
        <v>127</v>
      </c>
      <c r="H120" s="3968">
        <f t="shared" si="9"/>
        <v>402900</v>
      </c>
      <c r="I120" s="3967">
        <f t="shared" si="10"/>
        <v>0</v>
      </c>
      <c r="J120" s="3959">
        <f t="shared" si="7"/>
        <v>33575</v>
      </c>
      <c r="K120" s="3389">
        <f t="shared" si="8"/>
        <v>671.5</v>
      </c>
    </row>
    <row r="121" spans="1:11" s="3389" customFormat="1" ht="17.45" customHeight="1">
      <c r="A121" s="4064"/>
      <c r="B121" s="4064"/>
      <c r="C121" s="4069"/>
      <c r="D121" s="3978"/>
      <c r="E121" s="3963"/>
      <c r="F121" s="3961"/>
      <c r="G121" s="4087"/>
      <c r="H121" s="3961"/>
      <c r="I121" s="3960"/>
      <c r="J121" s="3959">
        <f t="shared" si="7"/>
        <v>0</v>
      </c>
      <c r="K121" s="3389">
        <f t="shared" si="8"/>
        <v>0</v>
      </c>
    </row>
    <row r="122" spans="1:11" s="3389" customFormat="1" ht="17.45" customHeight="1">
      <c r="A122" s="3982"/>
      <c r="B122" s="3982"/>
      <c r="C122" s="4071" t="s">
        <v>3016</v>
      </c>
      <c r="D122" s="3978"/>
      <c r="E122" s="3982"/>
      <c r="F122" s="3968"/>
      <c r="G122" s="3969"/>
      <c r="H122" s="3968"/>
      <c r="I122" s="3967"/>
      <c r="J122" s="3959">
        <f t="shared" si="7"/>
        <v>0</v>
      </c>
      <c r="K122" s="3389">
        <f t="shared" si="8"/>
        <v>0</v>
      </c>
    </row>
    <row r="123" spans="1:11" s="4079" customFormat="1" ht="32.25" customHeight="1">
      <c r="A123" s="4086" t="s">
        <v>1538</v>
      </c>
      <c r="B123" s="4086"/>
      <c r="C123" s="4085" t="s">
        <v>3015</v>
      </c>
      <c r="D123" s="4084" t="s">
        <v>245</v>
      </c>
      <c r="E123" s="4083" t="s">
        <v>167</v>
      </c>
      <c r="F123" s="4081">
        <v>254460</v>
      </c>
      <c r="G123" s="4082" t="s">
        <v>167</v>
      </c>
      <c r="H123" s="4081">
        <v>0</v>
      </c>
      <c r="I123" s="4080">
        <f>SUM(H123-F123)</f>
        <v>-254460</v>
      </c>
      <c r="J123" s="3959">
        <f t="shared" si="7"/>
        <v>0</v>
      </c>
      <c r="K123" s="3389">
        <f t="shared" si="8"/>
        <v>0</v>
      </c>
    </row>
    <row r="124" spans="1:11" s="4072" customFormat="1" ht="16.5" customHeight="1">
      <c r="A124" s="4078"/>
      <c r="B124" s="4078"/>
      <c r="C124" s="4077"/>
      <c r="D124" s="3948"/>
      <c r="E124" s="4076"/>
      <c r="F124" s="4074"/>
      <c r="G124" s="4075"/>
      <c r="H124" s="4074"/>
      <c r="I124" s="4073"/>
      <c r="J124" s="3959">
        <f t="shared" si="7"/>
        <v>0</v>
      </c>
      <c r="K124" s="3389">
        <f t="shared" si="8"/>
        <v>0</v>
      </c>
    </row>
    <row r="125" spans="1:11" s="3958" customFormat="1" ht="18" customHeight="1">
      <c r="A125" s="4064"/>
      <c r="B125" s="4064"/>
      <c r="C125" s="4071" t="s">
        <v>3014</v>
      </c>
      <c r="D125" s="3978"/>
      <c r="E125" s="4064"/>
      <c r="F125" s="3961"/>
      <c r="G125" s="3963"/>
      <c r="H125" s="3961"/>
      <c r="I125" s="3960"/>
      <c r="J125" s="3959">
        <f t="shared" si="7"/>
        <v>0</v>
      </c>
      <c r="K125" s="3389">
        <f t="shared" si="8"/>
        <v>0</v>
      </c>
    </row>
    <row r="126" spans="1:11" s="3389" customFormat="1" ht="18" customHeight="1">
      <c r="A126" s="3982" t="s">
        <v>1535</v>
      </c>
      <c r="B126" s="3982" t="s">
        <v>1536</v>
      </c>
      <c r="C126" s="4030" t="s">
        <v>2998</v>
      </c>
      <c r="D126" s="4069" t="s">
        <v>3013</v>
      </c>
      <c r="E126" s="4042" t="s">
        <v>209</v>
      </c>
      <c r="F126" s="3968">
        <v>180924</v>
      </c>
      <c r="G126" s="4042" t="s">
        <v>209</v>
      </c>
      <c r="H126" s="3968">
        <f t="shared" ref="H126:H143" si="11">VLOOKUP(G126,$A$291:$B$483,2)*12</f>
        <v>180924</v>
      </c>
      <c r="I126" s="3967">
        <f t="shared" ref="I126:I143" si="12">SUM(H126-F126)</f>
        <v>0</v>
      </c>
      <c r="J126" s="3959">
        <f t="shared" si="7"/>
        <v>15077</v>
      </c>
      <c r="K126" s="3389">
        <f t="shared" si="8"/>
        <v>301.54000000000002</v>
      </c>
    </row>
    <row r="127" spans="1:11" s="3389" customFormat="1" ht="18" customHeight="1">
      <c r="A127" s="3982" t="s">
        <v>1529</v>
      </c>
      <c r="B127" s="3982" t="s">
        <v>1533</v>
      </c>
      <c r="C127" s="4030" t="s">
        <v>2998</v>
      </c>
      <c r="D127" s="4071" t="s">
        <v>3012</v>
      </c>
      <c r="E127" s="3969" t="s">
        <v>210</v>
      </c>
      <c r="F127" s="3968">
        <v>179532</v>
      </c>
      <c r="G127" s="3969" t="s">
        <v>210</v>
      </c>
      <c r="H127" s="3968">
        <f t="shared" si="11"/>
        <v>179532</v>
      </c>
      <c r="I127" s="3967">
        <f t="shared" si="12"/>
        <v>0</v>
      </c>
      <c r="J127" s="3959">
        <f t="shared" si="7"/>
        <v>14961</v>
      </c>
      <c r="K127" s="3389">
        <f t="shared" si="8"/>
        <v>299.22000000000003</v>
      </c>
    </row>
    <row r="128" spans="1:11" s="3389" customFormat="1" ht="18" customHeight="1">
      <c r="A128" s="3982" t="s">
        <v>1527</v>
      </c>
      <c r="B128" s="3982" t="s">
        <v>1530</v>
      </c>
      <c r="C128" s="4030" t="s">
        <v>2998</v>
      </c>
      <c r="D128" s="3970" t="s">
        <v>3011</v>
      </c>
      <c r="E128" s="4042" t="s">
        <v>211</v>
      </c>
      <c r="F128" s="3968">
        <v>178176</v>
      </c>
      <c r="G128" s="4042" t="s">
        <v>211</v>
      </c>
      <c r="H128" s="3968">
        <f t="shared" si="11"/>
        <v>178176</v>
      </c>
      <c r="I128" s="3967">
        <f t="shared" si="12"/>
        <v>0</v>
      </c>
      <c r="J128" s="3959">
        <f t="shared" si="7"/>
        <v>14848</v>
      </c>
      <c r="K128" s="3389">
        <f t="shared" si="8"/>
        <v>296.95999999999998</v>
      </c>
    </row>
    <row r="129" spans="1:11" s="3389" customFormat="1" ht="18" customHeight="1">
      <c r="A129" s="3982" t="s">
        <v>1523</v>
      </c>
      <c r="B129" s="3982" t="s">
        <v>1524</v>
      </c>
      <c r="C129" s="4030" t="s">
        <v>2998</v>
      </c>
      <c r="D129" s="3978" t="s">
        <v>3010</v>
      </c>
      <c r="E129" s="3969" t="s">
        <v>211</v>
      </c>
      <c r="F129" s="3968">
        <v>178176</v>
      </c>
      <c r="G129" s="3969" t="s">
        <v>211</v>
      </c>
      <c r="H129" s="3968">
        <f t="shared" si="11"/>
        <v>178176</v>
      </c>
      <c r="I129" s="3967">
        <f t="shared" si="12"/>
        <v>0</v>
      </c>
      <c r="J129" s="3959">
        <f t="shared" si="7"/>
        <v>14848</v>
      </c>
      <c r="K129" s="3389">
        <f t="shared" si="8"/>
        <v>296.95999999999998</v>
      </c>
    </row>
    <row r="130" spans="1:11" s="3389" customFormat="1" ht="18" customHeight="1">
      <c r="A130" s="3982" t="s">
        <v>3001</v>
      </c>
      <c r="B130" s="3982" t="s">
        <v>1540</v>
      </c>
      <c r="C130" s="4030" t="s">
        <v>2998</v>
      </c>
      <c r="D130" s="3977" t="s">
        <v>3009</v>
      </c>
      <c r="E130" s="4043" t="s">
        <v>214</v>
      </c>
      <c r="F130" s="3968">
        <v>174132</v>
      </c>
      <c r="G130" s="4042" t="s">
        <v>214</v>
      </c>
      <c r="H130" s="3968">
        <f t="shared" si="11"/>
        <v>174132</v>
      </c>
      <c r="I130" s="3967">
        <f t="shared" si="12"/>
        <v>0</v>
      </c>
      <c r="J130" s="3959">
        <f t="shared" si="7"/>
        <v>14511</v>
      </c>
      <c r="K130" s="3389">
        <f t="shared" si="8"/>
        <v>290.22000000000003</v>
      </c>
    </row>
    <row r="131" spans="1:11" s="3389" customFormat="1" ht="18" customHeight="1">
      <c r="A131" s="3982" t="s">
        <v>2999</v>
      </c>
      <c r="B131" s="3982" t="s">
        <v>1538</v>
      </c>
      <c r="C131" s="4030" t="s">
        <v>2998</v>
      </c>
      <c r="D131" s="4071" t="s">
        <v>3008</v>
      </c>
      <c r="E131" s="4051" t="s">
        <v>215</v>
      </c>
      <c r="F131" s="3968">
        <v>172800</v>
      </c>
      <c r="G131" s="4042" t="s">
        <v>215</v>
      </c>
      <c r="H131" s="3968">
        <f t="shared" si="11"/>
        <v>172800</v>
      </c>
      <c r="I131" s="3967">
        <f t="shared" si="12"/>
        <v>0</v>
      </c>
      <c r="J131" s="3959">
        <f t="shared" si="7"/>
        <v>14400</v>
      </c>
      <c r="K131" s="3389">
        <f t="shared" si="8"/>
        <v>288</v>
      </c>
    </row>
    <row r="132" spans="1:11" s="3389" customFormat="1" ht="18" customHeight="1">
      <c r="A132" s="3982" t="s">
        <v>2996</v>
      </c>
      <c r="B132" s="3982" t="s">
        <v>1535</v>
      </c>
      <c r="C132" s="4030" t="s">
        <v>2998</v>
      </c>
      <c r="D132" s="4069" t="s">
        <v>3007</v>
      </c>
      <c r="E132" s="4042" t="s">
        <v>215</v>
      </c>
      <c r="F132" s="3968">
        <v>172800</v>
      </c>
      <c r="G132" s="3969" t="s">
        <v>215</v>
      </c>
      <c r="H132" s="3968">
        <f t="shared" si="11"/>
        <v>172800</v>
      </c>
      <c r="I132" s="3967">
        <f t="shared" si="12"/>
        <v>0</v>
      </c>
      <c r="J132" s="3959">
        <f t="shared" si="7"/>
        <v>14400</v>
      </c>
      <c r="K132" s="3389">
        <f t="shared" si="8"/>
        <v>288</v>
      </c>
    </row>
    <row r="133" spans="1:11" s="3389" customFormat="1" ht="18" customHeight="1">
      <c r="A133" s="3982" t="s">
        <v>2994</v>
      </c>
      <c r="B133" s="3982" t="s">
        <v>1526</v>
      </c>
      <c r="C133" s="4030" t="s">
        <v>2998</v>
      </c>
      <c r="D133" s="3970" t="s">
        <v>3006</v>
      </c>
      <c r="E133" s="4051" t="s">
        <v>215</v>
      </c>
      <c r="F133" s="3968">
        <v>172800</v>
      </c>
      <c r="G133" s="3969" t="s">
        <v>215</v>
      </c>
      <c r="H133" s="3968">
        <f t="shared" si="11"/>
        <v>172800</v>
      </c>
      <c r="I133" s="3967">
        <f t="shared" si="12"/>
        <v>0</v>
      </c>
      <c r="J133" s="3959">
        <f t="shared" si="7"/>
        <v>14400</v>
      </c>
      <c r="K133" s="3389">
        <f t="shared" si="8"/>
        <v>288</v>
      </c>
    </row>
    <row r="134" spans="1:11" s="3389" customFormat="1" ht="18" customHeight="1">
      <c r="A134" s="3982" t="s">
        <v>2992</v>
      </c>
      <c r="B134" s="3982" t="s">
        <v>1529</v>
      </c>
      <c r="C134" s="4030" t="s">
        <v>2998</v>
      </c>
      <c r="D134" s="4069" t="s">
        <v>3005</v>
      </c>
      <c r="E134" s="3969" t="s">
        <v>215</v>
      </c>
      <c r="F134" s="3968">
        <v>172800</v>
      </c>
      <c r="G134" s="3969" t="s">
        <v>215</v>
      </c>
      <c r="H134" s="3968">
        <f t="shared" si="11"/>
        <v>172800</v>
      </c>
      <c r="I134" s="3967">
        <f t="shared" si="12"/>
        <v>0</v>
      </c>
      <c r="J134" s="3959">
        <f t="shared" si="7"/>
        <v>14400</v>
      </c>
      <c r="K134" s="3389">
        <f t="shared" si="8"/>
        <v>288</v>
      </c>
    </row>
    <row r="135" spans="1:11" s="3389" customFormat="1" ht="18" customHeight="1">
      <c r="A135" s="3982" t="s">
        <v>2990</v>
      </c>
      <c r="B135" s="3982" t="s">
        <v>1527</v>
      </c>
      <c r="C135" s="4030" t="s">
        <v>2998</v>
      </c>
      <c r="D135" s="3978" t="s">
        <v>3004</v>
      </c>
      <c r="E135" s="4051" t="s">
        <v>215</v>
      </c>
      <c r="F135" s="3968">
        <v>172800</v>
      </c>
      <c r="G135" s="4051" t="s">
        <v>215</v>
      </c>
      <c r="H135" s="3968">
        <f t="shared" si="11"/>
        <v>172800</v>
      </c>
      <c r="I135" s="3967">
        <f t="shared" si="12"/>
        <v>0</v>
      </c>
      <c r="J135" s="3959">
        <f t="shared" si="7"/>
        <v>14400</v>
      </c>
      <c r="K135" s="3389">
        <f t="shared" si="8"/>
        <v>288</v>
      </c>
    </row>
    <row r="136" spans="1:11" s="3389" customFormat="1" ht="18" customHeight="1">
      <c r="A136" s="3982" t="s">
        <v>2987</v>
      </c>
      <c r="B136" s="3982" t="s">
        <v>1525</v>
      </c>
      <c r="C136" s="4030" t="s">
        <v>2998</v>
      </c>
      <c r="D136" s="4070" t="s">
        <v>3003</v>
      </c>
      <c r="E136" s="4043" t="s">
        <v>215</v>
      </c>
      <c r="F136" s="3968">
        <v>172800</v>
      </c>
      <c r="G136" s="4042" t="s">
        <v>215</v>
      </c>
      <c r="H136" s="3968">
        <f t="shared" si="11"/>
        <v>172800</v>
      </c>
      <c r="I136" s="3967">
        <f t="shared" si="12"/>
        <v>0</v>
      </c>
      <c r="J136" s="3959">
        <f t="shared" si="7"/>
        <v>14400</v>
      </c>
      <c r="K136" s="3389">
        <f t="shared" si="8"/>
        <v>288</v>
      </c>
    </row>
    <row r="137" spans="1:11" s="3389" customFormat="1" ht="18" customHeight="1">
      <c r="A137" s="3982" t="s">
        <v>2985</v>
      </c>
      <c r="B137" s="3982" t="s">
        <v>1523</v>
      </c>
      <c r="C137" s="4030" t="s">
        <v>2998</v>
      </c>
      <c r="D137" s="3970" t="s">
        <v>3002</v>
      </c>
      <c r="E137" s="3969" t="s">
        <v>215</v>
      </c>
      <c r="F137" s="3968">
        <v>172800</v>
      </c>
      <c r="G137" s="3969" t="s">
        <v>215</v>
      </c>
      <c r="H137" s="3968">
        <f t="shared" si="11"/>
        <v>172800</v>
      </c>
      <c r="I137" s="3967">
        <f t="shared" si="12"/>
        <v>0</v>
      </c>
      <c r="J137" s="3959">
        <f t="shared" si="7"/>
        <v>14400</v>
      </c>
      <c r="K137" s="3389">
        <f t="shared" si="8"/>
        <v>288</v>
      </c>
    </row>
    <row r="138" spans="1:11" s="3389" customFormat="1" ht="18" customHeight="1">
      <c r="A138" s="3982" t="s">
        <v>2982</v>
      </c>
      <c r="B138" s="3982" t="s">
        <v>3001</v>
      </c>
      <c r="C138" s="4030" t="s">
        <v>2998</v>
      </c>
      <c r="D138" s="3970" t="s">
        <v>3000</v>
      </c>
      <c r="E138" s="3969" t="s">
        <v>215</v>
      </c>
      <c r="F138" s="3968">
        <v>172800</v>
      </c>
      <c r="G138" s="3969" t="s">
        <v>215</v>
      </c>
      <c r="H138" s="3968">
        <f t="shared" si="11"/>
        <v>172800</v>
      </c>
      <c r="I138" s="3967">
        <f t="shared" si="12"/>
        <v>0</v>
      </c>
      <c r="J138" s="3959">
        <f t="shared" si="7"/>
        <v>14400</v>
      </c>
      <c r="K138" s="3389">
        <f t="shared" si="8"/>
        <v>288</v>
      </c>
    </row>
    <row r="139" spans="1:11" s="3389" customFormat="1" ht="18" customHeight="1">
      <c r="A139" s="3982" t="s">
        <v>2979</v>
      </c>
      <c r="B139" s="3982" t="s">
        <v>2999</v>
      </c>
      <c r="C139" s="4030" t="s">
        <v>2998</v>
      </c>
      <c r="D139" s="4059" t="s">
        <v>2997</v>
      </c>
      <c r="E139" s="3969" t="s">
        <v>215</v>
      </c>
      <c r="F139" s="3968">
        <v>172800</v>
      </c>
      <c r="G139" s="3969" t="s">
        <v>215</v>
      </c>
      <c r="H139" s="3968">
        <f t="shared" si="11"/>
        <v>172800</v>
      </c>
      <c r="I139" s="3967">
        <f t="shared" si="12"/>
        <v>0</v>
      </c>
      <c r="J139" s="3959">
        <f t="shared" si="7"/>
        <v>14400</v>
      </c>
      <c r="K139" s="3389">
        <f t="shared" si="8"/>
        <v>288</v>
      </c>
    </row>
    <row r="140" spans="1:11" s="3389" customFormat="1" ht="18" customHeight="1">
      <c r="A140" s="3982" t="s">
        <v>2977</v>
      </c>
      <c r="B140" s="3982" t="s">
        <v>2996</v>
      </c>
      <c r="C140" s="4030" t="s">
        <v>2984</v>
      </c>
      <c r="D140" s="4069" t="s">
        <v>2995</v>
      </c>
      <c r="E140" s="3969" t="s">
        <v>215</v>
      </c>
      <c r="F140" s="3968">
        <v>172800</v>
      </c>
      <c r="G140" s="3969" t="s">
        <v>215</v>
      </c>
      <c r="H140" s="3968">
        <f t="shared" si="11"/>
        <v>172800</v>
      </c>
      <c r="I140" s="3967">
        <f t="shared" si="12"/>
        <v>0</v>
      </c>
      <c r="J140" s="3959">
        <f t="shared" si="7"/>
        <v>14400</v>
      </c>
      <c r="K140" s="3389">
        <f t="shared" si="8"/>
        <v>288</v>
      </c>
    </row>
    <row r="141" spans="1:11" s="3389" customFormat="1" ht="18" customHeight="1">
      <c r="A141" s="3982" t="s">
        <v>2974</v>
      </c>
      <c r="B141" s="3982" t="s">
        <v>2994</v>
      </c>
      <c r="C141" s="4030" t="s">
        <v>2984</v>
      </c>
      <c r="D141" s="3970" t="s">
        <v>2993</v>
      </c>
      <c r="E141" s="3969" t="s">
        <v>215</v>
      </c>
      <c r="F141" s="3968">
        <v>172800</v>
      </c>
      <c r="G141" s="3969" t="s">
        <v>215</v>
      </c>
      <c r="H141" s="3968">
        <f t="shared" si="11"/>
        <v>172800</v>
      </c>
      <c r="I141" s="3967">
        <f t="shared" si="12"/>
        <v>0</v>
      </c>
      <c r="J141" s="3959">
        <f t="shared" si="7"/>
        <v>14400</v>
      </c>
      <c r="K141" s="3389">
        <f t="shared" si="8"/>
        <v>288</v>
      </c>
    </row>
    <row r="142" spans="1:11" s="3389" customFormat="1" ht="18" customHeight="1">
      <c r="A142" s="3982" t="s">
        <v>2972</v>
      </c>
      <c r="B142" s="3982" t="s">
        <v>2992</v>
      </c>
      <c r="C142" s="4030" t="s">
        <v>2984</v>
      </c>
      <c r="D142" s="3970" t="s">
        <v>2991</v>
      </c>
      <c r="E142" s="3969" t="s">
        <v>215</v>
      </c>
      <c r="F142" s="3968">
        <v>172800</v>
      </c>
      <c r="G142" s="3969" t="s">
        <v>215</v>
      </c>
      <c r="H142" s="3968">
        <f t="shared" si="11"/>
        <v>172800</v>
      </c>
      <c r="I142" s="3967">
        <f t="shared" si="12"/>
        <v>0</v>
      </c>
      <c r="J142" s="3959">
        <f t="shared" si="7"/>
        <v>14400</v>
      </c>
      <c r="K142" s="3389">
        <f t="shared" si="8"/>
        <v>288</v>
      </c>
    </row>
    <row r="143" spans="1:11" s="3389" customFormat="1" ht="18" customHeight="1">
      <c r="A143" s="3982" t="s">
        <v>2970</v>
      </c>
      <c r="B143" s="3982" t="s">
        <v>2990</v>
      </c>
      <c r="C143" s="4030" t="s">
        <v>2984</v>
      </c>
      <c r="D143" s="3970" t="s">
        <v>2989</v>
      </c>
      <c r="E143" s="3969" t="s">
        <v>215</v>
      </c>
      <c r="F143" s="3968">
        <v>172800</v>
      </c>
      <c r="G143" s="3969" t="s">
        <v>215</v>
      </c>
      <c r="H143" s="3968">
        <f t="shared" si="11"/>
        <v>172800</v>
      </c>
      <c r="I143" s="3967">
        <f t="shared" si="12"/>
        <v>0</v>
      </c>
      <c r="J143" s="3959">
        <f t="shared" si="7"/>
        <v>14400</v>
      </c>
      <c r="K143" s="3389">
        <f t="shared" si="8"/>
        <v>288</v>
      </c>
    </row>
    <row r="144" spans="1:11" s="3389" customFormat="1" ht="18" customHeight="1">
      <c r="A144" s="4068"/>
      <c r="B144" s="4068"/>
      <c r="C144" s="3965"/>
      <c r="D144" s="3965"/>
      <c r="E144" s="4067"/>
      <c r="F144" s="4066"/>
      <c r="G144" s="4067"/>
      <c r="H144" s="4066"/>
      <c r="I144" s="4065"/>
      <c r="J144" s="3959">
        <f t="shared" ref="J144:J207" si="13">H144/12</f>
        <v>0</v>
      </c>
      <c r="K144" s="3389">
        <f t="shared" si="8"/>
        <v>0</v>
      </c>
    </row>
    <row r="145" spans="1:11" s="3389" customFormat="1" ht="18.600000000000001" customHeight="1">
      <c r="A145" s="4009"/>
      <c r="B145" s="4009"/>
      <c r="D145" s="4038"/>
      <c r="E145" s="4007"/>
      <c r="F145" s="4039"/>
      <c r="H145" s="4039"/>
      <c r="I145" s="4005"/>
      <c r="J145" s="3959">
        <f t="shared" si="13"/>
        <v>0</v>
      </c>
      <c r="K145" s="3389">
        <f t="shared" si="8"/>
        <v>0</v>
      </c>
    </row>
    <row r="146" spans="1:11" s="3389" customFormat="1" ht="16.5" customHeight="1">
      <c r="A146" s="3451"/>
      <c r="B146" s="4004" t="s">
        <v>2457</v>
      </c>
      <c r="C146" s="4001"/>
      <c r="D146" s="4001"/>
      <c r="E146" s="4002"/>
      <c r="F146" s="3959"/>
      <c r="H146" s="4001"/>
      <c r="I146" s="4000"/>
      <c r="J146" s="3959">
        <f t="shared" si="13"/>
        <v>0</v>
      </c>
      <c r="K146" s="3389">
        <f t="shared" si="8"/>
        <v>0</v>
      </c>
    </row>
    <row r="147" spans="1:11" s="3389" customFormat="1" ht="16.5" customHeight="1">
      <c r="A147" s="3451"/>
      <c r="B147" s="4003" t="s">
        <v>2988</v>
      </c>
      <c r="C147" s="4001"/>
      <c r="D147" s="4001"/>
      <c r="E147" s="4002"/>
      <c r="F147" s="3959"/>
      <c r="H147" s="4001"/>
      <c r="I147" s="4000"/>
      <c r="J147" s="3959">
        <f t="shared" si="13"/>
        <v>0</v>
      </c>
      <c r="K147" s="3389">
        <f t="shared" si="8"/>
        <v>0</v>
      </c>
    </row>
    <row r="148" spans="1:11" s="3389" customFormat="1" ht="16.5" customHeight="1">
      <c r="A148" s="3999"/>
      <c r="B148" s="3999"/>
      <c r="C148" s="3996"/>
      <c r="D148" s="3996"/>
      <c r="E148" s="3997"/>
      <c r="F148" s="3998"/>
      <c r="G148" s="3997"/>
      <c r="H148" s="3996"/>
      <c r="I148" s="3995"/>
      <c r="J148" s="3959">
        <f t="shared" si="13"/>
        <v>0</v>
      </c>
      <c r="K148" s="3389">
        <f t="shared" si="8"/>
        <v>0</v>
      </c>
    </row>
    <row r="149" spans="1:11" s="3389" customFormat="1" ht="16.5" customHeight="1">
      <c r="A149" s="3441"/>
      <c r="B149" s="3807"/>
      <c r="C149" s="3387"/>
      <c r="D149" s="3441"/>
      <c r="E149" s="4954" t="s">
        <v>348</v>
      </c>
      <c r="F149" s="4955"/>
      <c r="G149" s="4954" t="s">
        <v>2455</v>
      </c>
      <c r="H149" s="4955"/>
      <c r="I149" s="3440"/>
      <c r="J149" s="3959">
        <f t="shared" si="13"/>
        <v>0</v>
      </c>
      <c r="K149" s="3389">
        <f t="shared" si="8"/>
        <v>0</v>
      </c>
    </row>
    <row r="150" spans="1:11" s="3389" customFormat="1" ht="16.5" customHeight="1">
      <c r="A150" s="3439"/>
      <c r="B150" s="3806"/>
      <c r="C150" s="3406"/>
      <c r="D150" s="3257"/>
      <c r="E150" s="4956" t="s">
        <v>346</v>
      </c>
      <c r="F150" s="4957"/>
      <c r="G150" s="4956" t="s">
        <v>345</v>
      </c>
      <c r="H150" s="4957"/>
      <c r="I150" s="3434"/>
      <c r="J150" s="3959">
        <f t="shared" si="13"/>
        <v>0</v>
      </c>
      <c r="K150" s="3389">
        <f t="shared" si="8"/>
        <v>0</v>
      </c>
    </row>
    <row r="151" spans="1:11" s="3389" customFormat="1" ht="16.5" customHeight="1">
      <c r="A151" s="4956" t="s">
        <v>2454</v>
      </c>
      <c r="B151" s="4957"/>
      <c r="C151" s="3434" t="s">
        <v>342</v>
      </c>
      <c r="D151" s="3433" t="s">
        <v>341</v>
      </c>
      <c r="E151" s="4958" t="s">
        <v>2453</v>
      </c>
      <c r="F151" s="4958"/>
      <c r="G151" s="4958" t="s">
        <v>2453</v>
      </c>
      <c r="H151" s="4958"/>
      <c r="I151" s="3434" t="s">
        <v>340</v>
      </c>
      <c r="J151" s="3959">
        <f t="shared" si="13"/>
        <v>0</v>
      </c>
      <c r="K151" s="3389">
        <f t="shared" si="8"/>
        <v>0</v>
      </c>
    </row>
    <row r="152" spans="1:11" s="3389" customFormat="1" ht="16.5" customHeight="1">
      <c r="A152" s="4956" t="s">
        <v>2452</v>
      </c>
      <c r="B152" s="4957"/>
      <c r="C152" s="3434"/>
      <c r="D152" s="3433"/>
      <c r="E152" s="3434" t="s">
        <v>339</v>
      </c>
      <c r="F152" s="3256"/>
      <c r="G152" s="3434" t="s">
        <v>339</v>
      </c>
      <c r="H152" s="3256"/>
      <c r="I152" s="3432" t="s">
        <v>335</v>
      </c>
      <c r="J152" s="3959">
        <f t="shared" si="13"/>
        <v>0</v>
      </c>
      <c r="K152" s="3389">
        <f t="shared" si="8"/>
        <v>0</v>
      </c>
    </row>
    <row r="153" spans="1:11" s="3389" customFormat="1" ht="16.5" customHeight="1">
      <c r="A153" s="3994" t="s">
        <v>337</v>
      </c>
      <c r="B153" s="3993" t="s">
        <v>336</v>
      </c>
      <c r="C153" s="3435"/>
      <c r="D153" s="3435"/>
      <c r="E153" s="3434" t="s">
        <v>334</v>
      </c>
      <c r="F153" s="3433" t="s">
        <v>333</v>
      </c>
      <c r="G153" s="3434" t="s">
        <v>334</v>
      </c>
      <c r="H153" s="3433" t="s">
        <v>333</v>
      </c>
      <c r="I153" s="3432"/>
      <c r="J153" s="3959">
        <f t="shared" si="13"/>
        <v>0</v>
      </c>
      <c r="K153" s="3389">
        <f t="shared" si="8"/>
        <v>0</v>
      </c>
    </row>
    <row r="154" spans="1:11" s="3389" customFormat="1" ht="16.5" customHeight="1">
      <c r="A154" s="3431" t="s">
        <v>331</v>
      </c>
      <c r="B154" s="3430" t="s">
        <v>330</v>
      </c>
      <c r="C154" s="3430" t="s">
        <v>329</v>
      </c>
      <c r="D154" s="3430" t="s">
        <v>328</v>
      </c>
      <c r="E154" s="3429" t="s">
        <v>327</v>
      </c>
      <c r="F154" s="3430" t="s">
        <v>326</v>
      </c>
      <c r="G154" s="3429" t="s">
        <v>324</v>
      </c>
      <c r="H154" s="3429" t="s">
        <v>323</v>
      </c>
      <c r="I154" s="3429" t="s">
        <v>325</v>
      </c>
      <c r="J154" s="3959">
        <f t="shared" si="13"/>
        <v>0</v>
      </c>
      <c r="K154" s="3389">
        <f t="shared" si="8"/>
        <v>0</v>
      </c>
    </row>
    <row r="155" spans="1:11" s="3389" customFormat="1" ht="17.45" customHeight="1">
      <c r="A155" s="3982" t="s">
        <v>2968</v>
      </c>
      <c r="B155" s="3982" t="s">
        <v>2987</v>
      </c>
      <c r="C155" s="4030" t="s">
        <v>2984</v>
      </c>
      <c r="D155" s="3970" t="s">
        <v>2986</v>
      </c>
      <c r="E155" s="3969" t="s">
        <v>215</v>
      </c>
      <c r="F155" s="3968">
        <v>172800</v>
      </c>
      <c r="G155" s="3969" t="s">
        <v>215</v>
      </c>
      <c r="H155" s="4056">
        <f>VLOOKUP(G155,$A$291:$B$483,2)*12</f>
        <v>172800</v>
      </c>
      <c r="I155" s="3967">
        <f>SUM(H155-F155)</f>
        <v>0</v>
      </c>
      <c r="J155" s="3959">
        <f t="shared" si="13"/>
        <v>14400</v>
      </c>
      <c r="K155" s="3389">
        <f t="shared" si="8"/>
        <v>288</v>
      </c>
    </row>
    <row r="156" spans="1:11" s="3389" customFormat="1" ht="17.45" customHeight="1">
      <c r="A156" s="3982" t="s">
        <v>2965</v>
      </c>
      <c r="B156" s="3982" t="s">
        <v>2985</v>
      </c>
      <c r="C156" s="4030" t="s">
        <v>2984</v>
      </c>
      <c r="D156" s="3970" t="s">
        <v>2983</v>
      </c>
      <c r="E156" s="3969" t="s">
        <v>215</v>
      </c>
      <c r="F156" s="3968">
        <v>172800</v>
      </c>
      <c r="G156" s="3969" t="s">
        <v>215</v>
      </c>
      <c r="H156" s="4056">
        <f>VLOOKUP(G156,$A$291:$B$483,2)*12</f>
        <v>172800</v>
      </c>
      <c r="I156" s="3967">
        <f>SUM(H156-F156)</f>
        <v>0</v>
      </c>
      <c r="J156" s="3959">
        <f t="shared" si="13"/>
        <v>14400</v>
      </c>
      <c r="K156" s="3389">
        <f t="shared" si="8"/>
        <v>288</v>
      </c>
    </row>
    <row r="157" spans="1:11" s="3389" customFormat="1" ht="17.45" customHeight="1">
      <c r="A157" s="3982" t="s">
        <v>2962</v>
      </c>
      <c r="B157" s="3982" t="s">
        <v>2982</v>
      </c>
      <c r="C157" s="4030" t="s">
        <v>2981</v>
      </c>
      <c r="D157" s="4046" t="s">
        <v>2980</v>
      </c>
      <c r="E157" s="4042" t="s">
        <v>215</v>
      </c>
      <c r="F157" s="3968">
        <v>172800</v>
      </c>
      <c r="G157" s="4042" t="s">
        <v>215</v>
      </c>
      <c r="H157" s="3968">
        <f>VLOOKUP(G157,$A$291:$B$483,2)*12</f>
        <v>172800</v>
      </c>
      <c r="I157" s="3967">
        <f>SUM(H157-F157)</f>
        <v>0</v>
      </c>
      <c r="J157" s="3959">
        <f t="shared" si="13"/>
        <v>14400</v>
      </c>
      <c r="K157" s="3389">
        <f t="shared" si="8"/>
        <v>288</v>
      </c>
    </row>
    <row r="158" spans="1:11" s="3389" customFormat="1" ht="18" customHeight="1">
      <c r="A158" s="4064" t="s">
        <v>1526</v>
      </c>
      <c r="B158" s="4064" t="s">
        <v>2979</v>
      </c>
      <c r="C158" s="4063" t="s">
        <v>2976</v>
      </c>
      <c r="D158" s="4062" t="s">
        <v>2978</v>
      </c>
      <c r="E158" s="3963" t="s">
        <v>201</v>
      </c>
      <c r="F158" s="3961">
        <v>191916</v>
      </c>
      <c r="G158" s="4045" t="s">
        <v>215</v>
      </c>
      <c r="H158" s="3961">
        <f>VLOOKUP(G158,$A$291:$B$483,2)*12</f>
        <v>172800</v>
      </c>
      <c r="I158" s="3960">
        <f>SUM(H158-F158)</f>
        <v>-19116</v>
      </c>
      <c r="J158" s="3959">
        <f t="shared" si="13"/>
        <v>14400</v>
      </c>
      <c r="K158" s="3389">
        <f t="shared" si="8"/>
        <v>288</v>
      </c>
    </row>
    <row r="159" spans="1:11" s="3389" customFormat="1" ht="18" customHeight="1">
      <c r="A159" s="4064" t="s">
        <v>1525</v>
      </c>
      <c r="B159" s="4064" t="s">
        <v>2977</v>
      </c>
      <c r="C159" s="4063" t="s">
        <v>2976</v>
      </c>
      <c r="D159" s="4062" t="s">
        <v>2975</v>
      </c>
      <c r="E159" s="4061" t="s">
        <v>211</v>
      </c>
      <c r="F159" s="3961">
        <v>178176</v>
      </c>
      <c r="G159" s="4045" t="s">
        <v>215</v>
      </c>
      <c r="H159" s="3961">
        <f>VLOOKUP(G159,$A$291:$B$483,2)*12</f>
        <v>172800</v>
      </c>
      <c r="I159" s="3960">
        <f>SUM(H159-F159)</f>
        <v>-5376</v>
      </c>
      <c r="J159" s="3959">
        <f t="shared" si="13"/>
        <v>14400</v>
      </c>
      <c r="K159" s="3389">
        <f t="shared" si="8"/>
        <v>288</v>
      </c>
    </row>
    <row r="160" spans="1:11" s="3389" customFormat="1" ht="17.45" customHeight="1">
      <c r="A160" s="3982"/>
      <c r="B160" s="3982"/>
      <c r="C160" s="3970"/>
      <c r="D160" s="4060"/>
      <c r="E160" s="4042"/>
      <c r="F160" s="3968"/>
      <c r="G160" s="4042"/>
      <c r="H160" s="3968"/>
      <c r="I160" s="3967"/>
      <c r="J160" s="3959">
        <f t="shared" si="13"/>
        <v>0</v>
      </c>
      <c r="K160" s="3389">
        <f t="shared" si="8"/>
        <v>0</v>
      </c>
    </row>
    <row r="161" spans="1:11" s="3389" customFormat="1" ht="17.45" customHeight="1">
      <c r="A161" s="3973"/>
      <c r="B161" s="3973"/>
      <c r="C161" s="4048" t="s">
        <v>1608</v>
      </c>
      <c r="D161" s="3958"/>
      <c r="E161" s="3982"/>
      <c r="F161" s="3975"/>
      <c r="G161" s="4036"/>
      <c r="H161" s="3975"/>
      <c r="I161" s="3967"/>
      <c r="J161" s="3959">
        <f t="shared" si="13"/>
        <v>0</v>
      </c>
      <c r="K161" s="3389">
        <f t="shared" si="8"/>
        <v>0</v>
      </c>
    </row>
    <row r="162" spans="1:11" s="3389" customFormat="1" ht="17.45" customHeight="1">
      <c r="A162" s="3973" t="s">
        <v>2960</v>
      </c>
      <c r="B162" s="3973" t="s">
        <v>2974</v>
      </c>
      <c r="C162" s="4030" t="s">
        <v>1592</v>
      </c>
      <c r="D162" s="4059" t="s">
        <v>2973</v>
      </c>
      <c r="E162" s="3969" t="s">
        <v>153</v>
      </c>
      <c r="F162" s="3968">
        <v>307716</v>
      </c>
      <c r="G162" s="3982" t="s">
        <v>153</v>
      </c>
      <c r="H162" s="3968">
        <f>VLOOKUP(G162,$A$291:$B$483,2)*12</f>
        <v>307716</v>
      </c>
      <c r="I162" s="3967">
        <f>SUM(H162-F162)</f>
        <v>0</v>
      </c>
      <c r="J162" s="3959">
        <f t="shared" si="13"/>
        <v>25643</v>
      </c>
      <c r="K162" s="3389">
        <f t="shared" si="8"/>
        <v>512.86</v>
      </c>
    </row>
    <row r="163" spans="1:11" s="3389" customFormat="1" ht="17.45" customHeight="1">
      <c r="A163" s="3973" t="s">
        <v>2958</v>
      </c>
      <c r="B163" s="3973" t="s">
        <v>2972</v>
      </c>
      <c r="C163" s="4030" t="s">
        <v>1592</v>
      </c>
      <c r="D163" s="4049" t="s">
        <v>2971</v>
      </c>
      <c r="E163" s="3969" t="s">
        <v>157</v>
      </c>
      <c r="F163" s="3968">
        <v>293400</v>
      </c>
      <c r="G163" s="3969" t="s">
        <v>157</v>
      </c>
      <c r="H163" s="3968">
        <f>VLOOKUP(G163,$A$291:$B$483,2)*12</f>
        <v>293400</v>
      </c>
      <c r="I163" s="3967">
        <f>SUM(H163-F163)</f>
        <v>0</v>
      </c>
      <c r="J163" s="3959">
        <f t="shared" si="13"/>
        <v>24450</v>
      </c>
      <c r="K163" s="3389">
        <f t="shared" si="8"/>
        <v>489</v>
      </c>
    </row>
    <row r="164" spans="1:11" s="3389" customFormat="1" ht="17.45" customHeight="1">
      <c r="A164" s="3973" t="s">
        <v>2956</v>
      </c>
      <c r="B164" s="3973" t="s">
        <v>2970</v>
      </c>
      <c r="C164" s="4030" t="s">
        <v>1578</v>
      </c>
      <c r="D164" s="4057" t="s">
        <v>2969</v>
      </c>
      <c r="E164" s="3969" t="s">
        <v>175</v>
      </c>
      <c r="F164" s="3968">
        <v>235116</v>
      </c>
      <c r="G164" s="3969" t="s">
        <v>175</v>
      </c>
      <c r="H164" s="3968">
        <f>VLOOKUP(G164,$A$291:$B$483,2)*12</f>
        <v>235116</v>
      </c>
      <c r="I164" s="3967">
        <f>SUM(H164-F164)</f>
        <v>0</v>
      </c>
      <c r="J164" s="3959">
        <f t="shared" si="13"/>
        <v>19593</v>
      </c>
      <c r="K164" s="3389">
        <f t="shared" si="8"/>
        <v>391.86</v>
      </c>
    </row>
    <row r="165" spans="1:11" s="3389" customFormat="1" ht="17.45" customHeight="1">
      <c r="A165" s="3973" t="s">
        <v>2954</v>
      </c>
      <c r="B165" s="3973" t="s">
        <v>2968</v>
      </c>
      <c r="C165" s="4030" t="s">
        <v>1578</v>
      </c>
      <c r="D165" s="3970" t="s">
        <v>245</v>
      </c>
      <c r="E165" s="3969" t="s">
        <v>175</v>
      </c>
      <c r="F165" s="3968">
        <v>235116</v>
      </c>
      <c r="G165" s="3969" t="s">
        <v>175</v>
      </c>
      <c r="H165" s="4056">
        <f>VLOOKUP(G165,$A$291:$B$483,2)*12</f>
        <v>235116</v>
      </c>
      <c r="I165" s="3967">
        <f>SUM(H165-F165)</f>
        <v>0</v>
      </c>
      <c r="J165" s="3959">
        <f t="shared" si="13"/>
        <v>19593</v>
      </c>
      <c r="K165" s="3389">
        <f t="shared" si="8"/>
        <v>391.86</v>
      </c>
    </row>
    <row r="166" spans="1:11" s="3389" customFormat="1" ht="17.45" customHeight="1">
      <c r="A166" s="3973"/>
      <c r="B166" s="3973"/>
      <c r="C166" s="4058"/>
      <c r="D166" s="4057"/>
      <c r="E166" s="3969"/>
      <c r="F166" s="4056"/>
      <c r="G166" s="3969"/>
      <c r="H166" s="4056"/>
      <c r="I166" s="4055"/>
      <c r="J166" s="3959">
        <f t="shared" si="13"/>
        <v>0</v>
      </c>
      <c r="K166" s="3389">
        <f t="shared" si="8"/>
        <v>0</v>
      </c>
    </row>
    <row r="167" spans="1:11" s="3389" customFormat="1" ht="17.45" customHeight="1">
      <c r="A167" s="3432"/>
      <c r="B167" s="3432"/>
      <c r="C167" s="4054" t="s">
        <v>2967</v>
      </c>
      <c r="D167" s="3461"/>
      <c r="E167" s="3432"/>
      <c r="F167" s="3468"/>
      <c r="G167" s="3432"/>
      <c r="H167" s="3468"/>
      <c r="I167" s="3468"/>
      <c r="J167" s="3959">
        <f t="shared" si="13"/>
        <v>0</v>
      </c>
      <c r="K167" s="3389">
        <f t="shared" ref="K167:K230" si="14">J167*0.04/2</f>
        <v>0</v>
      </c>
    </row>
    <row r="168" spans="1:11" s="3389" customFormat="1" ht="17.45" customHeight="1">
      <c r="A168" s="3432"/>
      <c r="B168" s="3432"/>
      <c r="C168" s="4054"/>
      <c r="D168" s="2875"/>
      <c r="E168" s="3432"/>
      <c r="F168" s="3468"/>
      <c r="G168" s="3432"/>
      <c r="H168" s="3468"/>
      <c r="I168" s="3468"/>
      <c r="J168" s="3959">
        <f t="shared" si="13"/>
        <v>0</v>
      </c>
      <c r="K168" s="3389">
        <f t="shared" si="14"/>
        <v>0</v>
      </c>
    </row>
    <row r="169" spans="1:11" s="3389" customFormat="1" ht="17.45" customHeight="1">
      <c r="A169" s="4043"/>
      <c r="B169" s="4043"/>
      <c r="C169" s="4044" t="s">
        <v>2966</v>
      </c>
      <c r="D169" s="3958"/>
      <c r="E169" s="3973"/>
      <c r="F169" s="3975"/>
      <c r="G169" s="3973"/>
      <c r="H169" s="3975"/>
      <c r="I169" s="3975"/>
      <c r="J169" s="3959">
        <f t="shared" si="13"/>
        <v>0</v>
      </c>
      <c r="K169" s="3389">
        <f t="shared" si="14"/>
        <v>0</v>
      </c>
    </row>
    <row r="170" spans="1:11" s="3389" customFormat="1" ht="17.45" customHeight="1">
      <c r="A170" s="3982" t="s">
        <v>2950</v>
      </c>
      <c r="B170" s="3982" t="s">
        <v>2965</v>
      </c>
      <c r="C170" s="3971" t="s">
        <v>2964</v>
      </c>
      <c r="D170" s="4053" t="s">
        <v>2963</v>
      </c>
      <c r="E170" s="4051" t="s">
        <v>89</v>
      </c>
      <c r="F170" s="3968">
        <v>635184</v>
      </c>
      <c r="G170" s="4052" t="s">
        <v>103</v>
      </c>
      <c r="H170" s="3968">
        <f>VLOOKUP(G170,$A$291:$B$483,2)*12</f>
        <v>524172</v>
      </c>
      <c r="I170" s="3967">
        <f t="shared" ref="I170:I176" si="15">SUM(H170-F170)</f>
        <v>-111012</v>
      </c>
      <c r="J170" s="3959">
        <f t="shared" si="13"/>
        <v>43681</v>
      </c>
      <c r="K170" s="3389">
        <f t="shared" si="14"/>
        <v>873.62</v>
      </c>
    </row>
    <row r="171" spans="1:11" s="3389" customFormat="1" ht="17.45" customHeight="1">
      <c r="A171" s="3982" t="s">
        <v>2947</v>
      </c>
      <c r="B171" s="3982" t="s">
        <v>2962</v>
      </c>
      <c r="C171" s="3971" t="s">
        <v>1629</v>
      </c>
      <c r="D171" s="4049" t="s">
        <v>2961</v>
      </c>
      <c r="E171" s="3969" t="s">
        <v>124</v>
      </c>
      <c r="F171" s="3968">
        <v>416688</v>
      </c>
      <c r="G171" s="3969" t="s">
        <v>124</v>
      </c>
      <c r="H171" s="3968">
        <f>VLOOKUP(G171,$A$291:$B$483,2)*12</f>
        <v>416688</v>
      </c>
      <c r="I171" s="3967">
        <f t="shared" si="15"/>
        <v>0</v>
      </c>
      <c r="J171" s="3959">
        <f t="shared" si="13"/>
        <v>34724</v>
      </c>
      <c r="K171" s="3389">
        <f t="shared" si="14"/>
        <v>694.48</v>
      </c>
    </row>
    <row r="172" spans="1:11" s="3389" customFormat="1" ht="17.45" customHeight="1">
      <c r="A172" s="3982" t="s">
        <v>2945</v>
      </c>
      <c r="B172" s="3982" t="s">
        <v>2960</v>
      </c>
      <c r="C172" s="3971" t="s">
        <v>1625</v>
      </c>
      <c r="D172" s="3958" t="s">
        <v>2959</v>
      </c>
      <c r="E172" s="4051" t="s">
        <v>159</v>
      </c>
      <c r="F172" s="3968">
        <v>286524</v>
      </c>
      <c r="G172" s="4051" t="s">
        <v>159</v>
      </c>
      <c r="H172" s="3968">
        <f>VLOOKUP(G172,$A$291:$B$483,2)*12</f>
        <v>286524</v>
      </c>
      <c r="I172" s="3967">
        <f t="shared" si="15"/>
        <v>0</v>
      </c>
      <c r="J172" s="3959">
        <f t="shared" si="13"/>
        <v>23877</v>
      </c>
      <c r="K172" s="3389">
        <f t="shared" si="14"/>
        <v>477.54</v>
      </c>
    </row>
    <row r="173" spans="1:11" s="3389" customFormat="1" ht="17.45" customHeight="1">
      <c r="A173" s="3982" t="s">
        <v>2942</v>
      </c>
      <c r="B173" s="3982"/>
      <c r="C173" s="3971" t="s">
        <v>1625</v>
      </c>
      <c r="D173" s="4001" t="s">
        <v>1624</v>
      </c>
      <c r="E173" s="3969" t="s">
        <v>159</v>
      </c>
      <c r="F173" s="3968">
        <v>286524</v>
      </c>
      <c r="G173" s="4051"/>
      <c r="H173" s="3968"/>
      <c r="I173" s="3967">
        <f t="shared" si="15"/>
        <v>-286524</v>
      </c>
      <c r="J173" s="3959">
        <f t="shared" si="13"/>
        <v>0</v>
      </c>
      <c r="K173" s="3389">
        <f t="shared" si="14"/>
        <v>0</v>
      </c>
    </row>
    <row r="174" spans="1:11" s="3389" customFormat="1" ht="17.45" customHeight="1">
      <c r="A174" s="3982" t="s">
        <v>2939</v>
      </c>
      <c r="B174" s="3982" t="s">
        <v>2958</v>
      </c>
      <c r="C174" s="3971" t="s">
        <v>1625</v>
      </c>
      <c r="D174" s="4001" t="s">
        <v>2957</v>
      </c>
      <c r="E174" s="3973" t="s">
        <v>159</v>
      </c>
      <c r="F174" s="3975">
        <v>286524</v>
      </c>
      <c r="G174" s="4051" t="s">
        <v>159</v>
      </c>
      <c r="H174" s="3968">
        <f>VLOOKUP(G174,$A$291:$B$483,2)*12</f>
        <v>286524</v>
      </c>
      <c r="I174" s="3967">
        <f t="shared" si="15"/>
        <v>0</v>
      </c>
      <c r="J174" s="3959">
        <f t="shared" si="13"/>
        <v>23877</v>
      </c>
      <c r="K174" s="3389">
        <f t="shared" si="14"/>
        <v>477.54</v>
      </c>
    </row>
    <row r="175" spans="1:11" s="3389" customFormat="1" ht="17.45" customHeight="1">
      <c r="A175" s="3982" t="s">
        <v>2935</v>
      </c>
      <c r="B175" s="3982" t="s">
        <v>2956</v>
      </c>
      <c r="C175" s="3971" t="s">
        <v>1625</v>
      </c>
      <c r="D175" s="3970" t="s">
        <v>2955</v>
      </c>
      <c r="E175" s="3969" t="s">
        <v>159</v>
      </c>
      <c r="F175" s="3968">
        <v>286524</v>
      </c>
      <c r="G175" s="3969" t="s">
        <v>159</v>
      </c>
      <c r="H175" s="3968">
        <f>VLOOKUP(G175,$A$291:$B$483,2)*12</f>
        <v>286524</v>
      </c>
      <c r="I175" s="3967">
        <f t="shared" si="15"/>
        <v>0</v>
      </c>
      <c r="J175" s="3959">
        <f t="shared" si="13"/>
        <v>23877</v>
      </c>
      <c r="K175" s="3389">
        <f t="shared" si="14"/>
        <v>477.54</v>
      </c>
    </row>
    <row r="176" spans="1:11" s="3389" customFormat="1" ht="17.45" customHeight="1">
      <c r="A176" s="3982" t="s">
        <v>2932</v>
      </c>
      <c r="B176" s="3982" t="s">
        <v>2954</v>
      </c>
      <c r="C176" s="3974" t="s">
        <v>2953</v>
      </c>
      <c r="D176" s="3958" t="s">
        <v>2952</v>
      </c>
      <c r="E176" s="3969" t="s">
        <v>215</v>
      </c>
      <c r="F176" s="3968">
        <v>172800</v>
      </c>
      <c r="G176" s="4051" t="s">
        <v>215</v>
      </c>
      <c r="H176" s="3968">
        <f>VLOOKUP(G176,$A$291:$B$483,2)*12</f>
        <v>172800</v>
      </c>
      <c r="I176" s="3967">
        <f t="shared" si="15"/>
        <v>0</v>
      </c>
      <c r="J176" s="3959">
        <f t="shared" si="13"/>
        <v>14400</v>
      </c>
      <c r="K176" s="3389">
        <f t="shared" si="14"/>
        <v>288</v>
      </c>
    </row>
    <row r="177" spans="1:11" s="3389" customFormat="1" ht="17.45" customHeight="1">
      <c r="A177" s="3982"/>
      <c r="B177" s="3982"/>
      <c r="C177" s="3974"/>
      <c r="D177" s="3958"/>
      <c r="E177" s="3969"/>
      <c r="F177" s="3968"/>
      <c r="G177" s="4051"/>
      <c r="H177" s="3968"/>
      <c r="I177" s="3967"/>
      <c r="J177" s="3959">
        <f t="shared" si="13"/>
        <v>0</v>
      </c>
      <c r="K177" s="3389">
        <f t="shared" si="14"/>
        <v>0</v>
      </c>
    </row>
    <row r="178" spans="1:11" s="3389" customFormat="1" ht="17.45" customHeight="1">
      <c r="A178" s="3982"/>
      <c r="B178" s="3982"/>
      <c r="C178" s="3978" t="s">
        <v>2951</v>
      </c>
      <c r="D178" s="4001"/>
      <c r="E178" s="3969"/>
      <c r="F178" s="3968"/>
      <c r="G178" s="3982"/>
      <c r="H178" s="4050"/>
      <c r="I178" s="3967"/>
      <c r="J178" s="3959">
        <f t="shared" si="13"/>
        <v>0</v>
      </c>
      <c r="K178" s="3389">
        <f t="shared" si="14"/>
        <v>0</v>
      </c>
    </row>
    <row r="179" spans="1:11" s="3389" customFormat="1" ht="17.45" customHeight="1">
      <c r="A179" s="3982" t="s">
        <v>2930</v>
      </c>
      <c r="B179" s="3982" t="s">
        <v>2950</v>
      </c>
      <c r="C179" s="3979" t="s">
        <v>2949</v>
      </c>
      <c r="D179" s="3970" t="s">
        <v>2948</v>
      </c>
      <c r="E179" s="3969" t="s">
        <v>159</v>
      </c>
      <c r="F179" s="3968">
        <v>286524</v>
      </c>
      <c r="G179" s="3969" t="s">
        <v>159</v>
      </c>
      <c r="H179" s="3968">
        <f>VLOOKUP(G179,$A$291:$B$483,2)*12</f>
        <v>286524</v>
      </c>
      <c r="I179" s="3967">
        <f>SUM(H179-F179)</f>
        <v>0</v>
      </c>
      <c r="J179" s="3959">
        <f t="shared" si="13"/>
        <v>23877</v>
      </c>
      <c r="K179" s="3389">
        <f t="shared" si="14"/>
        <v>477.54</v>
      </c>
    </row>
    <row r="180" spans="1:11" s="3389" customFormat="1" ht="17.45" customHeight="1">
      <c r="A180" s="3982" t="s">
        <v>2928</v>
      </c>
      <c r="B180" s="3982" t="s">
        <v>2947</v>
      </c>
      <c r="C180" s="4030" t="s">
        <v>2944</v>
      </c>
      <c r="D180" s="3958" t="s">
        <v>2946</v>
      </c>
      <c r="E180" s="3969" t="s">
        <v>159</v>
      </c>
      <c r="F180" s="3968">
        <v>286524</v>
      </c>
      <c r="G180" s="3969" t="s">
        <v>159</v>
      </c>
      <c r="H180" s="3968">
        <f>VLOOKUP(G180,$A$291:$B$483,2)*12</f>
        <v>286524</v>
      </c>
      <c r="I180" s="3967">
        <f>SUM(H180-F180)</f>
        <v>0</v>
      </c>
      <c r="J180" s="3959">
        <f t="shared" si="13"/>
        <v>23877</v>
      </c>
      <c r="K180" s="3389">
        <f t="shared" si="14"/>
        <v>477.54</v>
      </c>
    </row>
    <row r="181" spans="1:11" s="3389" customFormat="1" ht="17.45" customHeight="1">
      <c r="A181" s="3982" t="s">
        <v>2925</v>
      </c>
      <c r="B181" s="3982" t="s">
        <v>2945</v>
      </c>
      <c r="C181" s="4030" t="s">
        <v>2944</v>
      </c>
      <c r="D181" s="3978" t="s">
        <v>2943</v>
      </c>
      <c r="E181" s="3969" t="s">
        <v>159</v>
      </c>
      <c r="F181" s="3968">
        <v>286524</v>
      </c>
      <c r="G181" s="3969" t="s">
        <v>159</v>
      </c>
      <c r="H181" s="3968">
        <f>VLOOKUP(G181,$A$291:$B$483,2)*12</f>
        <v>286524</v>
      </c>
      <c r="I181" s="3967">
        <f>SUM(H181-F181)</f>
        <v>0</v>
      </c>
      <c r="J181" s="3959">
        <f t="shared" si="13"/>
        <v>23877</v>
      </c>
      <c r="K181" s="3389">
        <f t="shared" si="14"/>
        <v>477.54</v>
      </c>
    </row>
    <row r="182" spans="1:11" s="3389" customFormat="1" ht="17.45" customHeight="1">
      <c r="A182" s="3982" t="s">
        <v>2917</v>
      </c>
      <c r="B182" s="3982" t="s">
        <v>2942</v>
      </c>
      <c r="C182" s="4030" t="s">
        <v>2941</v>
      </c>
      <c r="D182" s="4049" t="s">
        <v>2940</v>
      </c>
      <c r="E182" s="3969" t="s">
        <v>158</v>
      </c>
      <c r="F182" s="3968">
        <v>289932</v>
      </c>
      <c r="G182" s="3969" t="s">
        <v>158</v>
      </c>
      <c r="H182" s="3968">
        <f>VLOOKUP(G182,$A$291:$B$483,2)*12</f>
        <v>289932</v>
      </c>
      <c r="I182" s="3967">
        <f>SUM(H182-F182)</f>
        <v>0</v>
      </c>
      <c r="J182" s="3959">
        <f t="shared" si="13"/>
        <v>24161</v>
      </c>
      <c r="K182" s="3389">
        <f t="shared" si="14"/>
        <v>483.22</v>
      </c>
    </row>
    <row r="183" spans="1:11" s="3389" customFormat="1" ht="17.45" customHeight="1">
      <c r="A183" s="3982" t="s">
        <v>2913</v>
      </c>
      <c r="B183" s="3982" t="s">
        <v>2939</v>
      </c>
      <c r="C183" s="4030" t="s">
        <v>2938</v>
      </c>
      <c r="D183" s="3978" t="s">
        <v>2937</v>
      </c>
      <c r="E183" s="3982" t="s">
        <v>199</v>
      </c>
      <c r="F183" s="3968">
        <v>194400</v>
      </c>
      <c r="G183" s="3982" t="s">
        <v>199</v>
      </c>
      <c r="H183" s="3968">
        <f>VLOOKUP(G183,$A$291:$B$483,2)*12</f>
        <v>194400</v>
      </c>
      <c r="I183" s="3967">
        <f>SUM(H183-F183)</f>
        <v>0</v>
      </c>
      <c r="J183" s="3959">
        <f t="shared" si="13"/>
        <v>16200</v>
      </c>
      <c r="K183" s="3389">
        <f t="shared" si="14"/>
        <v>324</v>
      </c>
    </row>
    <row r="184" spans="1:11" s="3389" customFormat="1" ht="17.45" customHeight="1">
      <c r="A184" s="3982"/>
      <c r="B184" s="3982"/>
      <c r="C184" s="3970"/>
      <c r="D184" s="4001"/>
      <c r="E184" s="3982"/>
      <c r="F184" s="3968"/>
      <c r="G184" s="3982"/>
      <c r="H184" s="3968"/>
      <c r="I184" s="3967"/>
      <c r="J184" s="3959">
        <f t="shared" si="13"/>
        <v>0</v>
      </c>
      <c r="K184" s="3389">
        <f t="shared" si="14"/>
        <v>0</v>
      </c>
    </row>
    <row r="185" spans="1:11" s="3389" customFormat="1" ht="17.45" customHeight="1">
      <c r="A185" s="3982"/>
      <c r="B185" s="3982"/>
      <c r="C185" s="4048" t="s">
        <v>2936</v>
      </c>
      <c r="D185" s="3958"/>
      <c r="E185" s="3982"/>
      <c r="F185" s="3975"/>
      <c r="G185" s="3982"/>
      <c r="H185" s="3975"/>
      <c r="I185" s="3967"/>
      <c r="J185" s="3959">
        <f t="shared" si="13"/>
        <v>0</v>
      </c>
      <c r="K185" s="3389">
        <f t="shared" si="14"/>
        <v>0</v>
      </c>
    </row>
    <row r="186" spans="1:11" s="3389" customFormat="1" ht="17.45" customHeight="1">
      <c r="A186" s="3982" t="s">
        <v>2911</v>
      </c>
      <c r="B186" s="3982" t="s">
        <v>2935</v>
      </c>
      <c r="C186" s="4019" t="s">
        <v>2934</v>
      </c>
      <c r="D186" s="4047" t="s">
        <v>2933</v>
      </c>
      <c r="E186" s="3969" t="s">
        <v>127</v>
      </c>
      <c r="F186" s="3975">
        <v>402900</v>
      </c>
      <c r="G186" s="3969" t="s">
        <v>127</v>
      </c>
      <c r="H186" s="3968">
        <f>VLOOKUP(G186,$A$403:$B$483,2)*12</f>
        <v>402900</v>
      </c>
      <c r="I186" s="3967">
        <f>H186-F186</f>
        <v>0</v>
      </c>
      <c r="J186" s="3959">
        <f t="shared" si="13"/>
        <v>33575</v>
      </c>
      <c r="K186" s="3389">
        <f t="shared" si="14"/>
        <v>671.5</v>
      </c>
    </row>
    <row r="187" spans="1:11" s="3389" customFormat="1" ht="17.45" customHeight="1">
      <c r="A187" s="3982" t="s">
        <v>2909</v>
      </c>
      <c r="B187" s="3982" t="s">
        <v>2932</v>
      </c>
      <c r="C187" s="4019" t="s">
        <v>1631</v>
      </c>
      <c r="D187" s="3958" t="s">
        <v>2931</v>
      </c>
      <c r="E187" s="3969" t="s">
        <v>159</v>
      </c>
      <c r="F187" s="3968">
        <v>286524</v>
      </c>
      <c r="G187" s="3969" t="s">
        <v>159</v>
      </c>
      <c r="H187" s="3968">
        <f>VLOOKUP(G187,$A$291:$B$483,2)*12</f>
        <v>286524</v>
      </c>
      <c r="I187" s="3967">
        <f>SUM(H187-F187)</f>
        <v>0</v>
      </c>
      <c r="J187" s="3959">
        <f t="shared" si="13"/>
        <v>23877</v>
      </c>
      <c r="K187" s="3389">
        <f t="shared" si="14"/>
        <v>477.54</v>
      </c>
    </row>
    <row r="188" spans="1:11" s="3389" customFormat="1" ht="17.45" customHeight="1">
      <c r="A188" s="3982" t="s">
        <v>2905</v>
      </c>
      <c r="B188" s="3982" t="s">
        <v>2930</v>
      </c>
      <c r="C188" s="4019" t="s">
        <v>1631</v>
      </c>
      <c r="D188" s="3978" t="s">
        <v>2929</v>
      </c>
      <c r="E188" s="3969" t="s">
        <v>159</v>
      </c>
      <c r="F188" s="3968">
        <v>286524</v>
      </c>
      <c r="G188" s="3969" t="s">
        <v>159</v>
      </c>
      <c r="H188" s="3968">
        <f>VLOOKUP(G188,$A$291:$B$483,2)*12</f>
        <v>286524</v>
      </c>
      <c r="I188" s="3967">
        <f>SUM(H188-F188)</f>
        <v>0</v>
      </c>
      <c r="J188" s="3959">
        <f t="shared" si="13"/>
        <v>23877</v>
      </c>
      <c r="K188" s="3389">
        <f t="shared" si="14"/>
        <v>477.54</v>
      </c>
    </row>
    <row r="189" spans="1:11" s="3389" customFormat="1" ht="17.45" customHeight="1">
      <c r="A189" s="3982" t="s">
        <v>2902</v>
      </c>
      <c r="B189" s="3982" t="s">
        <v>2928</v>
      </c>
      <c r="C189" s="4019" t="s">
        <v>1631</v>
      </c>
      <c r="D189" s="3978" t="s">
        <v>2927</v>
      </c>
      <c r="E189" s="3969" t="s">
        <v>159</v>
      </c>
      <c r="F189" s="3968">
        <v>286524</v>
      </c>
      <c r="G189" s="3969" t="s">
        <v>159</v>
      </c>
      <c r="H189" s="3968">
        <f>VLOOKUP(G189,$A$291:$B$483,2)*12</f>
        <v>286524</v>
      </c>
      <c r="I189" s="3967">
        <f>SUM(H189-F189)</f>
        <v>0</v>
      </c>
      <c r="J189" s="3959">
        <f t="shared" si="13"/>
        <v>23877</v>
      </c>
      <c r="K189" s="3389">
        <f t="shared" si="14"/>
        <v>477.54</v>
      </c>
    </row>
    <row r="190" spans="1:11" s="3389" customFormat="1" ht="17.45" customHeight="1">
      <c r="A190" s="3982"/>
      <c r="B190" s="3982"/>
      <c r="C190" s="4019"/>
      <c r="D190" s="3978"/>
      <c r="E190" s="3969"/>
      <c r="F190" s="3968"/>
      <c r="G190" s="3969"/>
      <c r="H190" s="3968"/>
      <c r="I190" s="3967"/>
      <c r="J190" s="3959">
        <f t="shared" si="13"/>
        <v>0</v>
      </c>
      <c r="K190" s="3389">
        <f t="shared" si="14"/>
        <v>0</v>
      </c>
    </row>
    <row r="191" spans="1:11" s="3389" customFormat="1" ht="17.45" customHeight="1">
      <c r="A191" s="3982"/>
      <c r="B191" s="3982"/>
      <c r="C191" s="3978" t="s">
        <v>2926</v>
      </c>
      <c r="D191" s="3971"/>
      <c r="E191" s="3976"/>
      <c r="F191" s="3975"/>
      <c r="G191" s="3976"/>
      <c r="H191" s="3975"/>
      <c r="I191" s="3975"/>
      <c r="J191" s="3959">
        <f t="shared" si="13"/>
        <v>0</v>
      </c>
      <c r="K191" s="3389">
        <f t="shared" si="14"/>
        <v>0</v>
      </c>
    </row>
    <row r="192" spans="1:11" s="3389" customFormat="1" ht="17.45" customHeight="1">
      <c r="A192" s="3982" t="s">
        <v>2899</v>
      </c>
      <c r="B192" s="3982" t="s">
        <v>2925</v>
      </c>
      <c r="C192" s="4030" t="s">
        <v>2924</v>
      </c>
      <c r="D192" s="4046" t="s">
        <v>2923</v>
      </c>
      <c r="E192" s="4043" t="s">
        <v>100</v>
      </c>
      <c r="F192" s="3968">
        <v>542508</v>
      </c>
      <c r="G192" s="4045" t="s">
        <v>92</v>
      </c>
      <c r="H192" s="3968">
        <f>VLOOKUP(G192,$A$291:$B$483,2)*12</f>
        <v>606792</v>
      </c>
      <c r="I192" s="3967">
        <f>SUM(H192-F192)</f>
        <v>64284</v>
      </c>
      <c r="J192" s="3959">
        <f t="shared" si="13"/>
        <v>50566</v>
      </c>
      <c r="K192" s="3389">
        <f t="shared" si="14"/>
        <v>1011.32</v>
      </c>
    </row>
    <row r="193" spans="1:11" s="3389" customFormat="1" ht="17.45" customHeight="1">
      <c r="A193" s="3982"/>
      <c r="B193" s="3982"/>
      <c r="C193" s="4030"/>
      <c r="D193" s="4044"/>
      <c r="E193" s="4043"/>
      <c r="F193" s="3968"/>
      <c r="G193" s="4042"/>
      <c r="H193" s="3968"/>
      <c r="I193" s="3967"/>
      <c r="J193" s="3959">
        <f t="shared" si="13"/>
        <v>0</v>
      </c>
      <c r="K193" s="3389">
        <f t="shared" si="14"/>
        <v>0</v>
      </c>
    </row>
    <row r="194" spans="1:11" s="3389" customFormat="1" ht="17.45" customHeight="1">
      <c r="A194" s="4015"/>
      <c r="B194" s="4015"/>
      <c r="C194" s="4041"/>
      <c r="D194" s="3965"/>
      <c r="E194" s="4015"/>
      <c r="F194" s="4011"/>
      <c r="G194" s="4012"/>
      <c r="H194" s="4011"/>
      <c r="I194" s="4010"/>
      <c r="J194" s="3959">
        <f t="shared" si="13"/>
        <v>0</v>
      </c>
      <c r="K194" s="3389">
        <f t="shared" si="14"/>
        <v>0</v>
      </c>
    </row>
    <row r="195" spans="1:11" s="3389" customFormat="1" ht="17.45" customHeight="1">
      <c r="A195" s="4009"/>
      <c r="B195" s="4009"/>
      <c r="C195" s="4038" t="s">
        <v>2922</v>
      </c>
      <c r="D195" s="4040"/>
      <c r="E195" s="4037" t="s">
        <v>2921</v>
      </c>
      <c r="F195" s="4039"/>
      <c r="G195" s="4038"/>
      <c r="H195" s="4037" t="s">
        <v>2920</v>
      </c>
      <c r="I195" s="4005"/>
      <c r="J195" s="3959">
        <f t="shared" si="13"/>
        <v>0</v>
      </c>
      <c r="K195" s="3389">
        <f t="shared" si="14"/>
        <v>0</v>
      </c>
    </row>
    <row r="196" spans="1:11" s="3389" customFormat="1" ht="16.5" customHeight="1">
      <c r="A196" s="3451"/>
      <c r="B196" s="4004" t="s">
        <v>2457</v>
      </c>
      <c r="C196" s="4001"/>
      <c r="D196" s="4001"/>
      <c r="E196" s="4002"/>
      <c r="F196" s="3959"/>
      <c r="H196" s="4001"/>
      <c r="I196" s="4000"/>
      <c r="J196" s="3959">
        <f t="shared" si="13"/>
        <v>0</v>
      </c>
      <c r="K196" s="3389">
        <f t="shared" si="14"/>
        <v>0</v>
      </c>
    </row>
    <row r="197" spans="1:11" s="3389" customFormat="1" ht="16.5" customHeight="1">
      <c r="A197" s="3451"/>
      <c r="B197" s="4003" t="s">
        <v>2919</v>
      </c>
      <c r="C197" s="4001"/>
      <c r="D197" s="4001"/>
      <c r="E197" s="4002"/>
      <c r="F197" s="3959"/>
      <c r="H197" s="4001"/>
      <c r="I197" s="4000"/>
      <c r="J197" s="3959">
        <f t="shared" si="13"/>
        <v>0</v>
      </c>
      <c r="K197" s="3389">
        <f t="shared" si="14"/>
        <v>0</v>
      </c>
    </row>
    <row r="198" spans="1:11" s="3389" customFormat="1" ht="16.5" customHeight="1">
      <c r="A198" s="3999"/>
      <c r="B198" s="3999"/>
      <c r="C198" s="3996"/>
      <c r="D198" s="3996"/>
      <c r="E198" s="3997"/>
      <c r="F198" s="3998"/>
      <c r="G198" s="3997"/>
      <c r="H198" s="3996"/>
      <c r="I198" s="3995"/>
      <c r="J198" s="3959">
        <f t="shared" si="13"/>
        <v>0</v>
      </c>
      <c r="K198" s="3389">
        <f t="shared" si="14"/>
        <v>0</v>
      </c>
    </row>
    <row r="199" spans="1:11" s="3389" customFormat="1" ht="16.5" customHeight="1">
      <c r="A199" s="3441"/>
      <c r="B199" s="3807"/>
      <c r="C199" s="3387"/>
      <c r="D199" s="3441"/>
      <c r="E199" s="4954" t="s">
        <v>348</v>
      </c>
      <c r="F199" s="4955"/>
      <c r="G199" s="4954" t="s">
        <v>2455</v>
      </c>
      <c r="H199" s="4955"/>
      <c r="I199" s="3440"/>
      <c r="J199" s="3959">
        <f t="shared" si="13"/>
        <v>0</v>
      </c>
      <c r="K199" s="3389">
        <f t="shared" si="14"/>
        <v>0</v>
      </c>
    </row>
    <row r="200" spans="1:11" s="3389" customFormat="1" ht="16.5" customHeight="1">
      <c r="A200" s="3439"/>
      <c r="B200" s="3806"/>
      <c r="C200" s="3406"/>
      <c r="D200" s="3257"/>
      <c r="E200" s="4956" t="s">
        <v>346</v>
      </c>
      <c r="F200" s="4957"/>
      <c r="G200" s="4956" t="s">
        <v>345</v>
      </c>
      <c r="H200" s="4957"/>
      <c r="I200" s="3434"/>
      <c r="J200" s="3959">
        <f t="shared" si="13"/>
        <v>0</v>
      </c>
      <c r="K200" s="3389">
        <f t="shared" si="14"/>
        <v>0</v>
      </c>
    </row>
    <row r="201" spans="1:11" s="3389" customFormat="1" ht="16.5" customHeight="1">
      <c r="A201" s="4956" t="s">
        <v>2454</v>
      </c>
      <c r="B201" s="4957"/>
      <c r="C201" s="3434" t="s">
        <v>342</v>
      </c>
      <c r="D201" s="3433" t="s">
        <v>341</v>
      </c>
      <c r="E201" s="4958" t="s">
        <v>2453</v>
      </c>
      <c r="F201" s="4958"/>
      <c r="G201" s="4958" t="s">
        <v>2453</v>
      </c>
      <c r="H201" s="4958"/>
      <c r="I201" s="3434" t="s">
        <v>340</v>
      </c>
      <c r="J201" s="3959">
        <f t="shared" si="13"/>
        <v>0</v>
      </c>
      <c r="K201" s="3389">
        <f t="shared" si="14"/>
        <v>0</v>
      </c>
    </row>
    <row r="202" spans="1:11" s="3389" customFormat="1" ht="16.5" customHeight="1">
      <c r="A202" s="4956" t="s">
        <v>2452</v>
      </c>
      <c r="B202" s="4957"/>
      <c r="C202" s="3434"/>
      <c r="D202" s="3433"/>
      <c r="E202" s="3434" t="s">
        <v>339</v>
      </c>
      <c r="F202" s="3256"/>
      <c r="G202" s="3434" t="s">
        <v>339</v>
      </c>
      <c r="H202" s="3256"/>
      <c r="I202" s="3432" t="s">
        <v>335</v>
      </c>
      <c r="J202" s="3959">
        <f t="shared" si="13"/>
        <v>0</v>
      </c>
      <c r="K202" s="3389">
        <f t="shared" si="14"/>
        <v>0</v>
      </c>
    </row>
    <row r="203" spans="1:11" s="3389" customFormat="1" ht="16.5" customHeight="1">
      <c r="A203" s="3994" t="s">
        <v>337</v>
      </c>
      <c r="B203" s="3993" t="s">
        <v>336</v>
      </c>
      <c r="C203" s="3435"/>
      <c r="D203" s="3435"/>
      <c r="E203" s="3434" t="s">
        <v>334</v>
      </c>
      <c r="F203" s="3433" t="s">
        <v>333</v>
      </c>
      <c r="G203" s="3434" t="s">
        <v>334</v>
      </c>
      <c r="H203" s="3433" t="s">
        <v>333</v>
      </c>
      <c r="I203" s="3432"/>
      <c r="J203" s="3959">
        <f t="shared" si="13"/>
        <v>0</v>
      </c>
      <c r="K203" s="3389">
        <f t="shared" si="14"/>
        <v>0</v>
      </c>
    </row>
    <row r="204" spans="1:11" s="3389" customFormat="1" ht="16.5" customHeight="1">
      <c r="A204" s="3431" t="s">
        <v>331</v>
      </c>
      <c r="B204" s="3430" t="s">
        <v>330</v>
      </c>
      <c r="C204" s="3430" t="s">
        <v>329</v>
      </c>
      <c r="D204" s="3430" t="s">
        <v>328</v>
      </c>
      <c r="E204" s="3429" t="s">
        <v>327</v>
      </c>
      <c r="F204" s="3430" t="s">
        <v>326</v>
      </c>
      <c r="G204" s="3429" t="s">
        <v>324</v>
      </c>
      <c r="H204" s="3429" t="s">
        <v>323</v>
      </c>
      <c r="I204" s="3429" t="s">
        <v>325</v>
      </c>
      <c r="J204" s="3959">
        <f t="shared" si="13"/>
        <v>0</v>
      </c>
      <c r="K204" s="3389">
        <f t="shared" si="14"/>
        <v>0</v>
      </c>
    </row>
    <row r="205" spans="1:11" s="3389" customFormat="1" ht="20.100000000000001" customHeight="1">
      <c r="A205" s="3982"/>
      <c r="B205" s="3982"/>
      <c r="C205" s="4018" t="s">
        <v>2918</v>
      </c>
      <c r="D205" s="3978"/>
      <c r="E205" s="3982"/>
      <c r="F205" s="3975"/>
      <c r="G205" s="4036"/>
      <c r="H205" s="3975"/>
      <c r="I205" s="3967"/>
      <c r="J205" s="3959">
        <f t="shared" si="13"/>
        <v>0</v>
      </c>
      <c r="K205" s="3389">
        <f t="shared" si="14"/>
        <v>0</v>
      </c>
    </row>
    <row r="206" spans="1:11" s="3389" customFormat="1" ht="20.100000000000001" customHeight="1">
      <c r="A206" s="3982" t="s">
        <v>2896</v>
      </c>
      <c r="B206" s="3982" t="s">
        <v>2917</v>
      </c>
      <c r="C206" s="3992" t="s">
        <v>2916</v>
      </c>
      <c r="D206" s="3978" t="s">
        <v>2915</v>
      </c>
      <c r="E206" s="3969" t="s">
        <v>67</v>
      </c>
      <c r="F206" s="3968">
        <v>873420</v>
      </c>
      <c r="G206" s="3980" t="s">
        <v>66</v>
      </c>
      <c r="H206" s="3968">
        <f>VLOOKUP(G206,$A$291:$B$483,2)*12</f>
        <v>887076</v>
      </c>
      <c r="I206" s="3967">
        <f>SUM(H206-F206)</f>
        <v>13656</v>
      </c>
      <c r="J206" s="3959">
        <f t="shared" si="13"/>
        <v>73923</v>
      </c>
      <c r="K206" s="3389">
        <f t="shared" si="14"/>
        <v>1478.46</v>
      </c>
    </row>
    <row r="207" spans="1:11" s="3389" customFormat="1" ht="16.5" customHeight="1">
      <c r="A207" s="3982"/>
      <c r="B207" s="3982"/>
      <c r="C207" s="3992"/>
      <c r="D207" s="3978"/>
      <c r="E207" s="3969"/>
      <c r="F207" s="3968"/>
      <c r="G207" s="3969"/>
      <c r="H207" s="3968"/>
      <c r="I207" s="3967"/>
      <c r="J207" s="3959">
        <f t="shared" si="13"/>
        <v>0</v>
      </c>
      <c r="K207" s="3389">
        <f t="shared" si="14"/>
        <v>0</v>
      </c>
    </row>
    <row r="208" spans="1:11" s="3389" customFormat="1" ht="20.100000000000001" customHeight="1">
      <c r="A208" s="3982"/>
      <c r="B208" s="3982"/>
      <c r="C208" s="3977" t="s">
        <v>2914</v>
      </c>
      <c r="D208" s="4027"/>
      <c r="E208" s="3969"/>
      <c r="F208" s="3968"/>
      <c r="G208" s="3969"/>
      <c r="H208" s="3968"/>
      <c r="I208" s="3967"/>
      <c r="J208" s="3959">
        <f t="shared" ref="J208:J275" si="16">H208/12</f>
        <v>0</v>
      </c>
      <c r="K208" s="3389">
        <f t="shared" si="14"/>
        <v>0</v>
      </c>
    </row>
    <row r="209" spans="1:11" s="3389" customFormat="1" ht="20.100000000000001" customHeight="1">
      <c r="A209" s="3982" t="s">
        <v>2891</v>
      </c>
      <c r="B209" s="3982" t="s">
        <v>2913</v>
      </c>
      <c r="C209" s="3979" t="s">
        <v>2417</v>
      </c>
      <c r="D209" s="3970" t="s">
        <v>2912</v>
      </c>
      <c r="E209" s="3982" t="s">
        <v>223</v>
      </c>
      <c r="F209" s="3968">
        <v>162864</v>
      </c>
      <c r="G209" s="3982" t="s">
        <v>223</v>
      </c>
      <c r="H209" s="3968">
        <f>VLOOKUP(G209,$A$291:$B$483,2)*12</f>
        <v>162864</v>
      </c>
      <c r="I209" s="3967">
        <f>SUM(H209-F209)</f>
        <v>0</v>
      </c>
      <c r="J209" s="3959">
        <f t="shared" si="16"/>
        <v>13572</v>
      </c>
      <c r="K209" s="3389">
        <f t="shared" si="14"/>
        <v>271.44</v>
      </c>
    </row>
    <row r="210" spans="1:11" s="3389" customFormat="1" ht="20.100000000000001" customHeight="1">
      <c r="A210" s="3973" t="s">
        <v>2889</v>
      </c>
      <c r="B210" s="3973" t="s">
        <v>2911</v>
      </c>
      <c r="C210" s="3971" t="s">
        <v>2459</v>
      </c>
      <c r="D210" s="4020" t="s">
        <v>2910</v>
      </c>
      <c r="E210" s="3969" t="s">
        <v>231</v>
      </c>
      <c r="F210" s="3968">
        <v>153480</v>
      </c>
      <c r="G210" s="3969" t="s">
        <v>231</v>
      </c>
      <c r="H210" s="3968">
        <f>VLOOKUP(G210,$A$291:$B$483,2)*12</f>
        <v>153480</v>
      </c>
      <c r="I210" s="3967">
        <f>SUM(H210-F210)</f>
        <v>0</v>
      </c>
      <c r="J210" s="3959">
        <f t="shared" si="16"/>
        <v>12790</v>
      </c>
      <c r="K210" s="3389">
        <f t="shared" si="14"/>
        <v>255.8</v>
      </c>
    </row>
    <row r="211" spans="1:11" s="3934" customFormat="1" ht="20.100000000000001" customHeight="1">
      <c r="A211" s="4026" t="s">
        <v>2893</v>
      </c>
      <c r="B211" s="4026" t="s">
        <v>2909</v>
      </c>
      <c r="C211" s="4035" t="s">
        <v>2908</v>
      </c>
      <c r="D211" s="3978" t="s">
        <v>2907</v>
      </c>
      <c r="E211" s="4023" t="s">
        <v>215</v>
      </c>
      <c r="F211" s="4022">
        <v>172800</v>
      </c>
      <c r="G211" s="4023" t="s">
        <v>215</v>
      </c>
      <c r="H211" s="4022">
        <f>VLOOKUP(G211,$A$291:$B$483,2)*12</f>
        <v>172800</v>
      </c>
      <c r="I211" s="4021">
        <f>SUM(H211-F211)</f>
        <v>0</v>
      </c>
      <c r="J211" s="3959">
        <f t="shared" si="16"/>
        <v>14400</v>
      </c>
      <c r="K211" s="3389">
        <f t="shared" si="14"/>
        <v>288</v>
      </c>
    </row>
    <row r="212" spans="1:11" ht="20.100000000000001" customHeight="1">
      <c r="B212" s="4034"/>
      <c r="C212" s="3977" t="s">
        <v>2906</v>
      </c>
      <c r="D212" s="4032"/>
      <c r="E212" s="4033"/>
      <c r="F212" s="4032"/>
      <c r="G212" s="4033"/>
      <c r="H212" s="4032"/>
      <c r="I212" s="4032"/>
      <c r="J212" s="3959">
        <f t="shared" si="16"/>
        <v>0</v>
      </c>
      <c r="K212" s="3389">
        <f t="shared" si="14"/>
        <v>0</v>
      </c>
    </row>
    <row r="213" spans="1:11" s="3389" customFormat="1" ht="20.100000000000001" customHeight="1">
      <c r="A213" s="3973" t="s">
        <v>2886</v>
      </c>
      <c r="B213" s="3973" t="s">
        <v>2905</v>
      </c>
      <c r="C213" s="3992" t="s">
        <v>2904</v>
      </c>
      <c r="D213" s="3981" t="s">
        <v>2903</v>
      </c>
      <c r="E213" s="3969" t="s">
        <v>167</v>
      </c>
      <c r="F213" s="3968">
        <v>254460</v>
      </c>
      <c r="G213" s="3980" t="s">
        <v>175</v>
      </c>
      <c r="H213" s="3968">
        <f>VLOOKUP(G213,$A$291:$B$483,2)*12</f>
        <v>235116</v>
      </c>
      <c r="I213" s="3967">
        <f>SUM(H213-F213)</f>
        <v>-19344</v>
      </c>
      <c r="J213" s="3959">
        <f t="shared" si="16"/>
        <v>19593</v>
      </c>
      <c r="K213" s="3389">
        <f t="shared" si="14"/>
        <v>391.86</v>
      </c>
    </row>
    <row r="214" spans="1:11" s="3389" customFormat="1" ht="20.100000000000001" customHeight="1">
      <c r="A214" s="3973" t="s">
        <v>2876</v>
      </c>
      <c r="B214" s="3973" t="s">
        <v>2902</v>
      </c>
      <c r="C214" s="3974" t="s">
        <v>1153</v>
      </c>
      <c r="D214" s="3983" t="s">
        <v>2901</v>
      </c>
      <c r="E214" s="3969" t="s">
        <v>199</v>
      </c>
      <c r="F214" s="3968">
        <v>194400</v>
      </c>
      <c r="G214" s="3969" t="s">
        <v>199</v>
      </c>
      <c r="H214" s="3968">
        <f>VLOOKUP(G214,$A$291:$B$483,2)*12</f>
        <v>194400</v>
      </c>
      <c r="I214" s="3967">
        <f>SUM(H214-F214)</f>
        <v>0</v>
      </c>
      <c r="J214" s="3959">
        <f t="shared" si="16"/>
        <v>16200</v>
      </c>
      <c r="K214" s="3389">
        <f t="shared" si="14"/>
        <v>324</v>
      </c>
    </row>
    <row r="215" spans="1:11" s="3389" customFormat="1" ht="20.100000000000001" customHeight="1">
      <c r="A215" s="3973"/>
      <c r="B215" s="3973"/>
      <c r="C215" s="3977" t="s">
        <v>2900</v>
      </c>
      <c r="D215" s="3970"/>
      <c r="E215" s="3969"/>
      <c r="F215" s="3968"/>
      <c r="G215" s="3969"/>
      <c r="H215" s="3968"/>
      <c r="I215" s="3967"/>
      <c r="J215" s="3959">
        <f t="shared" si="16"/>
        <v>0</v>
      </c>
      <c r="K215" s="3389">
        <f t="shared" si="14"/>
        <v>0</v>
      </c>
    </row>
    <row r="216" spans="1:11" s="3389" customFormat="1" ht="39.950000000000003" customHeight="1">
      <c r="A216" s="4026" t="s">
        <v>2882</v>
      </c>
      <c r="B216" s="4026" t="s">
        <v>2899</v>
      </c>
      <c r="C216" s="4031" t="s">
        <v>2898</v>
      </c>
      <c r="D216" s="4020" t="s">
        <v>2897</v>
      </c>
      <c r="E216" s="4023" t="s">
        <v>191</v>
      </c>
      <c r="F216" s="4022">
        <v>206148</v>
      </c>
      <c r="G216" s="4023" t="s">
        <v>191</v>
      </c>
      <c r="H216" s="4022">
        <f>VLOOKUP(G216,$A$291:$B$483,2)*12</f>
        <v>206148</v>
      </c>
      <c r="I216" s="4021">
        <f>SUM(H216-F216)</f>
        <v>0</v>
      </c>
      <c r="J216" s="3959">
        <f t="shared" si="16"/>
        <v>17179</v>
      </c>
      <c r="K216" s="3389">
        <f t="shared" si="14"/>
        <v>343.58</v>
      </c>
    </row>
    <row r="217" spans="1:11" s="3389" customFormat="1" ht="20.100000000000001" customHeight="1">
      <c r="A217" s="3973" t="s">
        <v>2879</v>
      </c>
      <c r="B217" s="3973" t="s">
        <v>2896</v>
      </c>
      <c r="C217" s="3971" t="s">
        <v>483</v>
      </c>
      <c r="D217" s="3978" t="s">
        <v>2895</v>
      </c>
      <c r="E217" s="3969" t="s">
        <v>231</v>
      </c>
      <c r="F217" s="3968">
        <v>153480</v>
      </c>
      <c r="G217" s="3969" t="s">
        <v>231</v>
      </c>
      <c r="H217" s="3968">
        <f>VLOOKUP(G217,$A$291:$B$483,2)*12</f>
        <v>153480</v>
      </c>
      <c r="I217" s="3967">
        <f>SUM(H217-F217)</f>
        <v>0</v>
      </c>
      <c r="J217" s="3959">
        <f t="shared" si="16"/>
        <v>12790</v>
      </c>
      <c r="K217" s="3389">
        <f t="shared" si="14"/>
        <v>255.8</v>
      </c>
    </row>
    <row r="218" spans="1:11" s="3389" customFormat="1" ht="20.100000000000001" customHeight="1">
      <c r="A218" s="3973"/>
      <c r="B218" s="3973"/>
      <c r="C218" s="3977" t="s">
        <v>2894</v>
      </c>
      <c r="D218" s="3978"/>
      <c r="E218" s="3969"/>
      <c r="F218" s="3968"/>
      <c r="G218" s="3969"/>
      <c r="H218" s="3968"/>
      <c r="I218" s="3967"/>
      <c r="J218" s="3959">
        <f t="shared" si="16"/>
        <v>0</v>
      </c>
      <c r="K218" s="3389">
        <f t="shared" si="14"/>
        <v>0</v>
      </c>
    </row>
    <row r="219" spans="1:11" s="3389" customFormat="1" ht="20.100000000000001" customHeight="1">
      <c r="A219" s="3973" t="s">
        <v>2872</v>
      </c>
      <c r="B219" s="3973" t="s">
        <v>2893</v>
      </c>
      <c r="C219" s="3974" t="s">
        <v>1037</v>
      </c>
      <c r="D219" s="3970" t="s">
        <v>2892</v>
      </c>
      <c r="E219" s="3982" t="s">
        <v>223</v>
      </c>
      <c r="F219" s="3968">
        <v>162864</v>
      </c>
      <c r="G219" s="3969" t="s">
        <v>223</v>
      </c>
      <c r="H219" s="3968">
        <f>VLOOKUP(G219,$A$291:$B$483,2)*12</f>
        <v>162864</v>
      </c>
      <c r="I219" s="3967">
        <f>SUM(H219-F219)</f>
        <v>0</v>
      </c>
      <c r="J219" s="3959">
        <f t="shared" si="16"/>
        <v>13572</v>
      </c>
      <c r="K219" s="3389">
        <f t="shared" si="14"/>
        <v>271.44</v>
      </c>
    </row>
    <row r="220" spans="1:11" s="3389" customFormat="1" ht="20.100000000000001" customHeight="1">
      <c r="A220" s="3973" t="s">
        <v>2873</v>
      </c>
      <c r="B220" s="3973" t="s">
        <v>2891</v>
      </c>
      <c r="C220" s="4030" t="s">
        <v>2417</v>
      </c>
      <c r="D220" s="3970" t="s">
        <v>2890</v>
      </c>
      <c r="E220" s="3982" t="s">
        <v>223</v>
      </c>
      <c r="F220" s="3968">
        <v>162864</v>
      </c>
      <c r="G220" s="3982" t="s">
        <v>223</v>
      </c>
      <c r="H220" s="3968">
        <f>VLOOKUP(G220,$A$291:$B$483,2)*12</f>
        <v>162864</v>
      </c>
      <c r="I220" s="3967">
        <f>SUM(H220-F220)</f>
        <v>0</v>
      </c>
      <c r="J220" s="3959">
        <f t="shared" si="16"/>
        <v>13572</v>
      </c>
      <c r="K220" s="3389">
        <f t="shared" si="14"/>
        <v>271.44</v>
      </c>
    </row>
    <row r="221" spans="1:11" s="4028" customFormat="1" ht="20.100000000000001" customHeight="1">
      <c r="A221" s="3973" t="s">
        <v>2870</v>
      </c>
      <c r="B221" s="3973" t="s">
        <v>2889</v>
      </c>
      <c r="C221" s="4029" t="s">
        <v>246</v>
      </c>
      <c r="D221" s="3970" t="s">
        <v>2888</v>
      </c>
      <c r="E221" s="3969" t="s">
        <v>231</v>
      </c>
      <c r="F221" s="3968">
        <v>153480</v>
      </c>
      <c r="G221" s="3969" t="s">
        <v>231</v>
      </c>
      <c r="H221" s="3968">
        <f>VLOOKUP(G221,$A$291:$B$483,2)*12</f>
        <v>153480</v>
      </c>
      <c r="I221" s="3967">
        <f>SUM(H221-F221)</f>
        <v>0</v>
      </c>
      <c r="J221" s="3959">
        <f t="shared" si="16"/>
        <v>12790</v>
      </c>
      <c r="K221" s="3389">
        <f t="shared" si="14"/>
        <v>255.8</v>
      </c>
    </row>
    <row r="222" spans="1:11" s="3389" customFormat="1" ht="20.100000000000001" customHeight="1">
      <c r="A222" s="3973"/>
      <c r="B222" s="3973"/>
      <c r="C222" s="3977" t="s">
        <v>2887</v>
      </c>
      <c r="D222" s="4020"/>
      <c r="E222" s="3969"/>
      <c r="F222" s="3968"/>
      <c r="G222" s="3969"/>
      <c r="H222" s="3968"/>
      <c r="I222" s="3967"/>
      <c r="J222" s="3959">
        <f t="shared" si="16"/>
        <v>0</v>
      </c>
      <c r="K222" s="3389">
        <f t="shared" si="14"/>
        <v>0</v>
      </c>
    </row>
    <row r="223" spans="1:11" s="3389" customFormat="1" ht="20.100000000000001" customHeight="1">
      <c r="A223" s="3973" t="s">
        <v>2865</v>
      </c>
      <c r="B223" s="3973" t="s">
        <v>2886</v>
      </c>
      <c r="C223" s="3971" t="s">
        <v>246</v>
      </c>
      <c r="D223" s="3983" t="s">
        <v>245</v>
      </c>
      <c r="E223" s="3969" t="s">
        <v>231</v>
      </c>
      <c r="F223" s="3968">
        <v>153480</v>
      </c>
      <c r="G223" s="3969" t="s">
        <v>231</v>
      </c>
      <c r="H223" s="3968">
        <f>VLOOKUP(G223,$A$291:$B$483,2)*12</f>
        <v>153480</v>
      </c>
      <c r="I223" s="3967">
        <f>SUM(H223-F223)</f>
        <v>0</v>
      </c>
      <c r="J223" s="3959">
        <f t="shared" si="16"/>
        <v>12790</v>
      </c>
      <c r="K223" s="3389">
        <f t="shared" si="14"/>
        <v>255.8</v>
      </c>
    </row>
    <row r="224" spans="1:11" s="3389" customFormat="1" ht="20.100000000000001" customHeight="1">
      <c r="A224" s="3973"/>
      <c r="B224" s="3973"/>
      <c r="C224" s="3977" t="s">
        <v>2885</v>
      </c>
      <c r="D224" s="4027"/>
      <c r="E224" s="3969"/>
      <c r="F224" s="3968"/>
      <c r="G224" s="3969"/>
      <c r="H224" s="3968"/>
      <c r="I224" s="3967"/>
      <c r="J224" s="3959">
        <f t="shared" si="16"/>
        <v>0</v>
      </c>
      <c r="K224" s="3389">
        <f t="shared" si="14"/>
        <v>0</v>
      </c>
    </row>
    <row r="225" spans="1:11" s="3389" customFormat="1" ht="39.950000000000003" customHeight="1">
      <c r="A225" s="4026" t="s">
        <v>298</v>
      </c>
      <c r="B225" s="4026" t="s">
        <v>2861</v>
      </c>
      <c r="C225" s="4025" t="s">
        <v>2884</v>
      </c>
      <c r="D225" s="4024" t="s">
        <v>2883</v>
      </c>
      <c r="E225" s="4023" t="s">
        <v>199</v>
      </c>
      <c r="F225" s="4022">
        <v>194400</v>
      </c>
      <c r="G225" s="4023" t="s">
        <v>199</v>
      </c>
      <c r="H225" s="4022">
        <f>VLOOKUP(G225,$A$291:$B$483,2)*12</f>
        <v>194400</v>
      </c>
      <c r="I225" s="4021">
        <f>SUM(H225-F225)</f>
        <v>0</v>
      </c>
      <c r="J225" s="3959">
        <f t="shared" si="16"/>
        <v>16200</v>
      </c>
      <c r="K225" s="3389">
        <f t="shared" si="14"/>
        <v>324</v>
      </c>
    </row>
    <row r="226" spans="1:11" s="3389" customFormat="1" ht="20.100000000000001" customHeight="1">
      <c r="A226" s="3973" t="s">
        <v>2860</v>
      </c>
      <c r="B226" s="3973" t="s">
        <v>2882</v>
      </c>
      <c r="C226" s="3971" t="s">
        <v>246</v>
      </c>
      <c r="D226" s="4020" t="s">
        <v>2881</v>
      </c>
      <c r="E226" s="3969" t="s">
        <v>231</v>
      </c>
      <c r="F226" s="3968">
        <v>153480</v>
      </c>
      <c r="G226" s="3969" t="s">
        <v>231</v>
      </c>
      <c r="H226" s="3968">
        <f>VLOOKUP(G226,$A$291:$B$483,2)*12</f>
        <v>153480</v>
      </c>
      <c r="I226" s="3967">
        <f>SUM(H226-F226)</f>
        <v>0</v>
      </c>
      <c r="J226" s="3959">
        <f t="shared" si="16"/>
        <v>12790</v>
      </c>
      <c r="K226" s="3389">
        <f t="shared" si="14"/>
        <v>255.8</v>
      </c>
    </row>
    <row r="227" spans="1:11" s="3389" customFormat="1" ht="20.100000000000001" customHeight="1">
      <c r="A227" s="3982"/>
      <c r="B227" s="3982"/>
      <c r="C227" s="4019"/>
      <c r="D227" s="3978"/>
      <c r="E227" s="3969"/>
      <c r="F227" s="3968"/>
      <c r="G227" s="3969"/>
      <c r="H227" s="3968"/>
      <c r="I227" s="3967"/>
      <c r="J227" s="3959">
        <f t="shared" si="16"/>
        <v>0</v>
      </c>
      <c r="K227" s="3389">
        <f t="shared" si="14"/>
        <v>0</v>
      </c>
    </row>
    <row r="228" spans="1:11" s="3389" customFormat="1" ht="20.100000000000001" customHeight="1">
      <c r="A228" s="3982"/>
      <c r="B228" s="3982"/>
      <c r="C228" s="4018" t="s">
        <v>2880</v>
      </c>
      <c r="D228" s="3978"/>
      <c r="E228" s="3969"/>
      <c r="F228" s="3968"/>
      <c r="G228" s="3969"/>
      <c r="H228" s="3968"/>
      <c r="I228" s="3967"/>
      <c r="J228" s="3959">
        <f t="shared" si="16"/>
        <v>0</v>
      </c>
      <c r="K228" s="3389">
        <f t="shared" si="14"/>
        <v>0</v>
      </c>
    </row>
    <row r="229" spans="1:11" s="3389" customFormat="1" ht="20.100000000000001" customHeight="1">
      <c r="A229" s="3973" t="s">
        <v>2857</v>
      </c>
      <c r="B229" s="3973" t="s">
        <v>2879</v>
      </c>
      <c r="C229" s="3971" t="s">
        <v>1117</v>
      </c>
      <c r="D229" s="4017" t="s">
        <v>2878</v>
      </c>
      <c r="E229" s="3969" t="s">
        <v>127</v>
      </c>
      <c r="F229" s="3968">
        <v>402900</v>
      </c>
      <c r="G229" s="3969" t="s">
        <v>127</v>
      </c>
      <c r="H229" s="3968">
        <f>VLOOKUP(G229,$A$291:$B$483,2)*12</f>
        <v>402900</v>
      </c>
      <c r="I229" s="3967">
        <f>SUM(H229-F229)</f>
        <v>0</v>
      </c>
      <c r="J229" s="3959">
        <f t="shared" si="16"/>
        <v>33575</v>
      </c>
      <c r="K229" s="3389">
        <f t="shared" si="14"/>
        <v>671.5</v>
      </c>
    </row>
    <row r="230" spans="1:11" s="3389" customFormat="1" ht="20.100000000000001" customHeight="1">
      <c r="A230" s="3973"/>
      <c r="B230" s="3973"/>
      <c r="C230" s="3992"/>
      <c r="D230" s="4017"/>
      <c r="E230" s="3969"/>
      <c r="F230" s="3968"/>
      <c r="G230" s="3969"/>
      <c r="H230" s="3968"/>
      <c r="I230" s="3967"/>
      <c r="J230" s="3959">
        <f t="shared" si="16"/>
        <v>0</v>
      </c>
      <c r="K230" s="3389">
        <f t="shared" si="14"/>
        <v>0</v>
      </c>
    </row>
    <row r="231" spans="1:11" s="3389" customFormat="1" ht="20.100000000000001" customHeight="1">
      <c r="A231" s="3982"/>
      <c r="B231" s="3982"/>
      <c r="C231" s="3977" t="s">
        <v>2877</v>
      </c>
      <c r="D231" s="3978"/>
      <c r="E231" s="3969"/>
      <c r="F231" s="3968"/>
      <c r="G231" s="3969"/>
      <c r="H231" s="3968"/>
      <c r="I231" s="3967"/>
      <c r="J231" s="3959">
        <f t="shared" si="16"/>
        <v>0</v>
      </c>
      <c r="K231" s="3389">
        <f t="shared" ref="K231:K294" si="17">J231*0.04/2</f>
        <v>0</v>
      </c>
    </row>
    <row r="232" spans="1:11" s="3389" customFormat="1" ht="20.100000000000001" customHeight="1">
      <c r="A232" s="3973" t="s">
        <v>2853</v>
      </c>
      <c r="B232" s="3973" t="s">
        <v>2876</v>
      </c>
      <c r="C232" s="4016" t="s">
        <v>1037</v>
      </c>
      <c r="D232" s="3970" t="s">
        <v>2875</v>
      </c>
      <c r="E232" s="3982" t="s">
        <v>223</v>
      </c>
      <c r="F232" s="3968">
        <v>162864</v>
      </c>
      <c r="G232" s="3969" t="s">
        <v>223</v>
      </c>
      <c r="H232" s="3968">
        <f>VLOOKUP(G232,$A$291:$B$483,2)*12</f>
        <v>162864</v>
      </c>
      <c r="I232" s="3967">
        <f>SUM(H232-F232)</f>
        <v>0</v>
      </c>
      <c r="J232" s="3959">
        <f t="shared" si="16"/>
        <v>13572</v>
      </c>
      <c r="K232" s="3389">
        <f t="shared" si="17"/>
        <v>271.44</v>
      </c>
    </row>
    <row r="233" spans="1:11" s="3389" customFormat="1" ht="20.100000000000001" customHeight="1">
      <c r="A233" s="3973"/>
      <c r="B233" s="3973"/>
      <c r="C233" s="3977" t="s">
        <v>2874</v>
      </c>
      <c r="D233" s="3970"/>
      <c r="E233" s="3982"/>
      <c r="F233" s="3968"/>
      <c r="G233" s="3969"/>
      <c r="H233" s="3968"/>
      <c r="I233" s="3967"/>
      <c r="J233" s="3959">
        <f t="shared" si="16"/>
        <v>0</v>
      </c>
      <c r="K233" s="3389">
        <f t="shared" si="17"/>
        <v>0</v>
      </c>
    </row>
    <row r="234" spans="1:11" s="3389" customFormat="1" ht="20.100000000000001" customHeight="1">
      <c r="A234" s="3973" t="s">
        <v>2851</v>
      </c>
      <c r="B234" s="3973" t="s">
        <v>2873</v>
      </c>
      <c r="C234" s="4016" t="s">
        <v>2547</v>
      </c>
      <c r="D234" s="3970" t="s">
        <v>245</v>
      </c>
      <c r="E234" s="3969" t="s">
        <v>213</v>
      </c>
      <c r="F234" s="3968">
        <v>175464</v>
      </c>
      <c r="G234" s="3969" t="s">
        <v>215</v>
      </c>
      <c r="H234" s="3968">
        <f>VLOOKUP(G234,$A$291:$B$483,2)*12</f>
        <v>172800</v>
      </c>
      <c r="I234" s="3967">
        <f>SUM(H234-F234)</f>
        <v>-2664</v>
      </c>
      <c r="J234" s="3959">
        <f t="shared" si="16"/>
        <v>14400</v>
      </c>
      <c r="K234" s="3389">
        <f t="shared" si="17"/>
        <v>288</v>
      </c>
    </row>
    <row r="235" spans="1:11" s="3389" customFormat="1" ht="20.100000000000001" customHeight="1">
      <c r="A235" s="3982" t="s">
        <v>898</v>
      </c>
      <c r="B235" s="3982" t="s">
        <v>2872</v>
      </c>
      <c r="C235" s="3979" t="s">
        <v>603</v>
      </c>
      <c r="D235" s="3978" t="s">
        <v>2871</v>
      </c>
      <c r="E235" s="3982" t="s">
        <v>223</v>
      </c>
      <c r="F235" s="3968">
        <v>162864</v>
      </c>
      <c r="G235" s="3982" t="s">
        <v>223</v>
      </c>
      <c r="H235" s="3968">
        <f>VLOOKUP(G235,$A$291:$B$483,2)*12</f>
        <v>162864</v>
      </c>
      <c r="I235" s="3967">
        <f>SUM(H235-F235)</f>
        <v>0</v>
      </c>
      <c r="J235" s="3959">
        <f t="shared" si="16"/>
        <v>13572</v>
      </c>
      <c r="K235" s="3389">
        <f t="shared" si="17"/>
        <v>271.44</v>
      </c>
    </row>
    <row r="236" spans="1:11" s="3389" customFormat="1" ht="20.100000000000001" customHeight="1">
      <c r="A236" s="3982" t="s">
        <v>2848</v>
      </c>
      <c r="B236" s="3982" t="s">
        <v>2870</v>
      </c>
      <c r="C236" s="3971" t="s">
        <v>2459</v>
      </c>
      <c r="D236" s="3983" t="s">
        <v>2869</v>
      </c>
      <c r="E236" s="3969" t="s">
        <v>223</v>
      </c>
      <c r="F236" s="3968">
        <v>162864</v>
      </c>
      <c r="G236" s="3969" t="s">
        <v>231</v>
      </c>
      <c r="H236" s="3968">
        <f>VLOOKUP(G236,$A$291:$B$483,2)*12</f>
        <v>153480</v>
      </c>
      <c r="I236" s="3967">
        <f>SUM(H236-F236)</f>
        <v>-9384</v>
      </c>
      <c r="J236" s="3959">
        <f t="shared" si="16"/>
        <v>12790</v>
      </c>
      <c r="K236" s="3389">
        <f t="shared" si="17"/>
        <v>255.8</v>
      </c>
    </row>
    <row r="237" spans="1:11" s="3389" customFormat="1" ht="20.100000000000001" customHeight="1">
      <c r="A237" s="4015"/>
      <c r="B237" s="4015"/>
      <c r="C237" s="4014"/>
      <c r="D237" s="3964"/>
      <c r="E237" s="4013"/>
      <c r="F237" s="4011"/>
      <c r="G237" s="4012"/>
      <c r="H237" s="4011"/>
      <c r="I237" s="4010"/>
      <c r="J237" s="3959">
        <f t="shared" si="16"/>
        <v>0</v>
      </c>
      <c r="K237" s="3389">
        <f t="shared" si="17"/>
        <v>0</v>
      </c>
    </row>
    <row r="238" spans="1:11" s="3389" customFormat="1" ht="18" customHeight="1">
      <c r="A238" s="4009"/>
      <c r="B238" s="4009"/>
      <c r="C238" s="4008" t="s">
        <v>2868</v>
      </c>
      <c r="D238" s="4008"/>
      <c r="E238" s="4007"/>
      <c r="F238" s="4006"/>
      <c r="G238" s="4007"/>
      <c r="H238" s="4006"/>
      <c r="I238" s="4005"/>
      <c r="J238" s="3959">
        <f t="shared" si="16"/>
        <v>0</v>
      </c>
      <c r="K238" s="3389">
        <f t="shared" si="17"/>
        <v>0</v>
      </c>
    </row>
    <row r="239" spans="1:11" s="3389" customFormat="1" ht="16.5" customHeight="1">
      <c r="A239" s="3451"/>
      <c r="B239" s="4004" t="s">
        <v>2457</v>
      </c>
      <c r="C239" s="4001"/>
      <c r="D239" s="4001"/>
      <c r="E239" s="4002"/>
      <c r="F239" s="3959"/>
      <c r="H239" s="4001"/>
      <c r="I239" s="4000"/>
      <c r="J239" s="3959">
        <f t="shared" si="16"/>
        <v>0</v>
      </c>
      <c r="K239" s="3389">
        <f t="shared" si="17"/>
        <v>0</v>
      </c>
    </row>
    <row r="240" spans="1:11" s="3389" customFormat="1" ht="16.5" customHeight="1">
      <c r="A240" s="3451"/>
      <c r="B240" s="4003" t="s">
        <v>2867</v>
      </c>
      <c r="C240" s="4001"/>
      <c r="D240" s="4001"/>
      <c r="E240" s="4002"/>
      <c r="F240" s="3959"/>
      <c r="H240" s="4001"/>
      <c r="I240" s="4000"/>
      <c r="J240" s="3959">
        <f t="shared" si="16"/>
        <v>0</v>
      </c>
      <c r="K240" s="3389">
        <f t="shared" si="17"/>
        <v>0</v>
      </c>
    </row>
    <row r="241" spans="1:11" s="3389" customFormat="1" ht="16.5" customHeight="1">
      <c r="A241" s="3999"/>
      <c r="B241" s="3999"/>
      <c r="C241" s="3996"/>
      <c r="D241" s="3996"/>
      <c r="E241" s="3997"/>
      <c r="F241" s="3998"/>
      <c r="G241" s="3997"/>
      <c r="H241" s="3996"/>
      <c r="I241" s="3995"/>
      <c r="J241" s="3959">
        <f t="shared" si="16"/>
        <v>0</v>
      </c>
      <c r="K241" s="3389">
        <f t="shared" si="17"/>
        <v>0</v>
      </c>
    </row>
    <row r="242" spans="1:11" s="3389" customFormat="1" ht="16.5" customHeight="1">
      <c r="A242" s="3441"/>
      <c r="B242" s="3807"/>
      <c r="C242" s="3387"/>
      <c r="D242" s="3441"/>
      <c r="E242" s="4954" t="s">
        <v>348</v>
      </c>
      <c r="F242" s="4955"/>
      <c r="G242" s="4954" t="s">
        <v>2455</v>
      </c>
      <c r="H242" s="4955"/>
      <c r="I242" s="3440"/>
      <c r="J242" s="3959">
        <f t="shared" si="16"/>
        <v>0</v>
      </c>
      <c r="K242" s="3389">
        <f t="shared" si="17"/>
        <v>0</v>
      </c>
    </row>
    <row r="243" spans="1:11" s="3389" customFormat="1" ht="16.5" customHeight="1">
      <c r="A243" s="3439"/>
      <c r="B243" s="3806"/>
      <c r="C243" s="3406"/>
      <c r="D243" s="3257"/>
      <c r="E243" s="4956" t="s">
        <v>346</v>
      </c>
      <c r="F243" s="4957"/>
      <c r="G243" s="4956" t="s">
        <v>345</v>
      </c>
      <c r="H243" s="4957"/>
      <c r="I243" s="3434"/>
      <c r="J243" s="3959">
        <f t="shared" si="16"/>
        <v>0</v>
      </c>
      <c r="K243" s="3389">
        <f t="shared" si="17"/>
        <v>0</v>
      </c>
    </row>
    <row r="244" spans="1:11" s="3389" customFormat="1" ht="16.5" customHeight="1">
      <c r="A244" s="4956" t="s">
        <v>2454</v>
      </c>
      <c r="B244" s="4957"/>
      <c r="C244" s="3434" t="s">
        <v>342</v>
      </c>
      <c r="D244" s="3433" t="s">
        <v>341</v>
      </c>
      <c r="E244" s="4958" t="s">
        <v>2453</v>
      </c>
      <c r="F244" s="4958"/>
      <c r="G244" s="4958" t="s">
        <v>2453</v>
      </c>
      <c r="H244" s="4958"/>
      <c r="I244" s="3434" t="s">
        <v>340</v>
      </c>
      <c r="J244" s="3959">
        <f t="shared" si="16"/>
        <v>0</v>
      </c>
      <c r="K244" s="3389">
        <f t="shared" si="17"/>
        <v>0</v>
      </c>
    </row>
    <row r="245" spans="1:11" s="3389" customFormat="1" ht="16.5" customHeight="1">
      <c r="A245" s="4956" t="s">
        <v>2452</v>
      </c>
      <c r="B245" s="4957"/>
      <c r="C245" s="3434"/>
      <c r="D245" s="3433"/>
      <c r="E245" s="3434" t="s">
        <v>339</v>
      </c>
      <c r="F245" s="3256"/>
      <c r="G245" s="3434" t="s">
        <v>339</v>
      </c>
      <c r="H245" s="3256"/>
      <c r="I245" s="3432" t="s">
        <v>335</v>
      </c>
      <c r="J245" s="3959">
        <f t="shared" si="16"/>
        <v>0</v>
      </c>
      <c r="K245" s="3389">
        <f t="shared" si="17"/>
        <v>0</v>
      </c>
    </row>
    <row r="246" spans="1:11" s="3389" customFormat="1" ht="16.5" customHeight="1">
      <c r="A246" s="3994" t="s">
        <v>337</v>
      </c>
      <c r="B246" s="3993" t="s">
        <v>336</v>
      </c>
      <c r="C246" s="3435"/>
      <c r="D246" s="3435"/>
      <c r="E246" s="3434" t="s">
        <v>334</v>
      </c>
      <c r="F246" s="3433" t="s">
        <v>333</v>
      </c>
      <c r="G246" s="3434" t="s">
        <v>334</v>
      </c>
      <c r="H246" s="3433" t="s">
        <v>333</v>
      </c>
      <c r="I246" s="3432"/>
      <c r="J246" s="3959">
        <f t="shared" si="16"/>
        <v>0</v>
      </c>
      <c r="K246" s="3389">
        <f t="shared" si="17"/>
        <v>0</v>
      </c>
    </row>
    <row r="247" spans="1:11" s="3389" customFormat="1" ht="16.5" customHeight="1">
      <c r="A247" s="3431" t="s">
        <v>331</v>
      </c>
      <c r="B247" s="3430" t="s">
        <v>330</v>
      </c>
      <c r="C247" s="3430" t="s">
        <v>329</v>
      </c>
      <c r="D247" s="3430" t="s">
        <v>328</v>
      </c>
      <c r="E247" s="3429" t="s">
        <v>327</v>
      </c>
      <c r="F247" s="3430" t="s">
        <v>326</v>
      </c>
      <c r="G247" s="3429" t="s">
        <v>324</v>
      </c>
      <c r="H247" s="3429" t="s">
        <v>323</v>
      </c>
      <c r="I247" s="3429" t="s">
        <v>325</v>
      </c>
      <c r="J247" s="3959">
        <f t="shared" si="16"/>
        <v>0</v>
      </c>
      <c r="K247" s="3389">
        <f t="shared" si="17"/>
        <v>0</v>
      </c>
    </row>
    <row r="248" spans="1:11" s="3389" customFormat="1" ht="20.100000000000001" customHeight="1">
      <c r="A248" s="3973"/>
      <c r="B248" s="3973"/>
      <c r="C248" s="3977" t="s">
        <v>2866</v>
      </c>
      <c r="D248" s="3971"/>
      <c r="E248" s="3976"/>
      <c r="F248" s="3975"/>
      <c r="G248" s="3975"/>
      <c r="H248" s="3975"/>
      <c r="I248" s="3975"/>
      <c r="J248" s="3959">
        <f t="shared" si="16"/>
        <v>0</v>
      </c>
      <c r="K248" s="3389">
        <f t="shared" si="17"/>
        <v>0</v>
      </c>
    </row>
    <row r="249" spans="1:11" s="3389" customFormat="1" ht="20.100000000000001" customHeight="1">
      <c r="A249" s="3973" t="s">
        <v>2846</v>
      </c>
      <c r="B249" s="3973" t="s">
        <v>2865</v>
      </c>
      <c r="C249" s="3992" t="s">
        <v>606</v>
      </c>
      <c r="D249" s="3978" t="s">
        <v>2864</v>
      </c>
      <c r="E249" s="3969" t="s">
        <v>167</v>
      </c>
      <c r="F249" s="3968">
        <v>254460</v>
      </c>
      <c r="G249" s="3969" t="s">
        <v>167</v>
      </c>
      <c r="H249" s="3968">
        <f>VLOOKUP(G249,$A$291:$B$483,2)*12</f>
        <v>254460</v>
      </c>
      <c r="I249" s="3967">
        <f>SUM(H249-F249)</f>
        <v>0</v>
      </c>
      <c r="J249" s="3959">
        <f t="shared" si="16"/>
        <v>21205</v>
      </c>
      <c r="K249" s="3389">
        <f t="shared" si="17"/>
        <v>424.1</v>
      </c>
    </row>
    <row r="250" spans="1:11" s="3389" customFormat="1" ht="20.100000000000001" customHeight="1">
      <c r="A250" s="3973" t="s">
        <v>2841</v>
      </c>
      <c r="B250" s="3973" t="s">
        <v>2863</v>
      </c>
      <c r="C250" s="3992" t="s">
        <v>246</v>
      </c>
      <c r="D250" s="3970" t="s">
        <v>2862</v>
      </c>
      <c r="E250" s="3969" t="s">
        <v>231</v>
      </c>
      <c r="F250" s="3968">
        <v>153480</v>
      </c>
      <c r="G250" s="3969" t="s">
        <v>231</v>
      </c>
      <c r="H250" s="3968">
        <f>VLOOKUP(G250,$A$291:$B$483,2)*12</f>
        <v>153480</v>
      </c>
      <c r="I250" s="3967">
        <f>SUM(H250-F250)</f>
        <v>0</v>
      </c>
      <c r="J250" s="3959">
        <f t="shared" si="16"/>
        <v>12790</v>
      </c>
      <c r="K250" s="3389">
        <f t="shared" si="17"/>
        <v>255.8</v>
      </c>
    </row>
    <row r="251" spans="1:11" s="3389" customFormat="1" ht="19.5" customHeight="1">
      <c r="A251" s="3973" t="s">
        <v>2861</v>
      </c>
      <c r="B251" s="3973" t="s">
        <v>2860</v>
      </c>
      <c r="C251" s="3992" t="s">
        <v>246</v>
      </c>
      <c r="D251" s="3970" t="s">
        <v>2859</v>
      </c>
      <c r="E251" s="3969" t="s">
        <v>231</v>
      </c>
      <c r="F251" s="3968">
        <v>153480</v>
      </c>
      <c r="G251" s="3969" t="s">
        <v>231</v>
      </c>
      <c r="H251" s="3968">
        <f>VLOOKUP(G251,$A$291:$B$483,2)*12</f>
        <v>153480</v>
      </c>
      <c r="I251" s="3967">
        <f>SUM(H251-F251)</f>
        <v>0</v>
      </c>
      <c r="J251" s="3959">
        <f t="shared" si="16"/>
        <v>12790</v>
      </c>
      <c r="K251" s="3389">
        <f t="shared" si="17"/>
        <v>255.8</v>
      </c>
    </row>
    <row r="252" spans="1:11" s="3389" customFormat="1" ht="20.100000000000001" customHeight="1">
      <c r="A252" s="3973"/>
      <c r="B252" s="3973"/>
      <c r="C252" s="3992"/>
      <c r="D252" s="3970"/>
      <c r="E252" s="3969"/>
      <c r="F252" s="3968"/>
      <c r="G252" s="3969"/>
      <c r="H252" s="3968"/>
      <c r="I252" s="3967"/>
      <c r="J252" s="3959">
        <f t="shared" si="16"/>
        <v>0</v>
      </c>
      <c r="K252" s="3389">
        <f t="shared" si="17"/>
        <v>0</v>
      </c>
    </row>
    <row r="253" spans="1:11" s="3389" customFormat="1" ht="20.100000000000001" customHeight="1">
      <c r="A253" s="3973"/>
      <c r="B253" s="3973"/>
      <c r="C253" s="3977" t="s">
        <v>2858</v>
      </c>
      <c r="D253" s="3971"/>
      <c r="E253" s="3976"/>
      <c r="F253" s="3971"/>
      <c r="G253" s="3976"/>
      <c r="H253" s="3971"/>
      <c r="I253" s="3971"/>
      <c r="J253" s="3959">
        <f t="shared" si="16"/>
        <v>0</v>
      </c>
      <c r="K253" s="3389">
        <f t="shared" si="17"/>
        <v>0</v>
      </c>
    </row>
    <row r="254" spans="1:11" s="3984" customFormat="1" ht="20.100000000000001" customHeight="1">
      <c r="A254" s="3990" t="s">
        <v>2838</v>
      </c>
      <c r="B254" s="3990" t="s">
        <v>2857</v>
      </c>
      <c r="C254" s="3986" t="s">
        <v>2459</v>
      </c>
      <c r="D254" s="3991" t="s">
        <v>2856</v>
      </c>
      <c r="E254" s="3988" t="s">
        <v>231</v>
      </c>
      <c r="F254" s="3986">
        <v>153480</v>
      </c>
      <c r="G254" s="3987" t="s">
        <v>231</v>
      </c>
      <c r="H254" s="3986">
        <f>VLOOKUP(G254,$A$291:$B$483,2)*12</f>
        <v>153480</v>
      </c>
      <c r="I254" s="3985">
        <f>SUM(H254-F254)</f>
        <v>0</v>
      </c>
      <c r="J254" s="3959">
        <f t="shared" si="16"/>
        <v>12790</v>
      </c>
      <c r="K254" s="3389">
        <f t="shared" si="17"/>
        <v>255.8</v>
      </c>
    </row>
    <row r="255" spans="1:11" s="3984" customFormat="1" ht="20.100000000000001" customHeight="1">
      <c r="A255" s="3990"/>
      <c r="B255" s="3990"/>
      <c r="C255" s="3986"/>
      <c r="D255" s="3989"/>
      <c r="E255" s="3988"/>
      <c r="F255" s="3986"/>
      <c r="G255" s="3987"/>
      <c r="H255" s="3986"/>
      <c r="I255" s="3985"/>
      <c r="J255" s="3959">
        <f t="shared" si="16"/>
        <v>0</v>
      </c>
      <c r="K255" s="3389">
        <f t="shared" si="17"/>
        <v>0</v>
      </c>
    </row>
    <row r="256" spans="1:11" s="3389" customFormat="1" ht="20.100000000000001" customHeight="1">
      <c r="A256" s="3973"/>
      <c r="B256" s="3973"/>
      <c r="C256" s="3978" t="s">
        <v>2855</v>
      </c>
      <c r="D256" s="3971"/>
      <c r="E256" s="3976"/>
      <c r="F256" s="3975"/>
      <c r="G256" s="3976"/>
      <c r="H256" s="3975"/>
      <c r="I256" s="3975"/>
      <c r="J256" s="3959">
        <f t="shared" si="16"/>
        <v>0</v>
      </c>
      <c r="K256" s="3389">
        <f t="shared" si="17"/>
        <v>0</v>
      </c>
    </row>
    <row r="257" spans="1:11" s="3389" customFormat="1" ht="20.100000000000001" customHeight="1">
      <c r="A257" s="3973"/>
      <c r="B257" s="3973"/>
      <c r="C257" s="3978" t="s">
        <v>2854</v>
      </c>
      <c r="D257" s="3971"/>
      <c r="E257" s="3976"/>
      <c r="F257" s="3975"/>
      <c r="G257" s="3976"/>
      <c r="H257" s="3975"/>
      <c r="I257" s="3975"/>
      <c r="J257" s="3959">
        <f t="shared" si="16"/>
        <v>0</v>
      </c>
      <c r="K257" s="3389">
        <f t="shared" si="17"/>
        <v>0</v>
      </c>
    </row>
    <row r="258" spans="1:11" s="3389" customFormat="1" ht="20.100000000000001" customHeight="1">
      <c r="A258" s="3973" t="s">
        <v>2835</v>
      </c>
      <c r="B258" s="3973" t="s">
        <v>2853</v>
      </c>
      <c r="C258" s="3974" t="s">
        <v>590</v>
      </c>
      <c r="D258" s="3978" t="s">
        <v>2852</v>
      </c>
      <c r="E258" s="3969" t="s">
        <v>215</v>
      </c>
      <c r="F258" s="3968">
        <v>172800</v>
      </c>
      <c r="G258" s="3969" t="s">
        <v>215</v>
      </c>
      <c r="H258" s="3968">
        <f>VLOOKUP(G258,$A$291:$B$483,2)*12</f>
        <v>172800</v>
      </c>
      <c r="I258" s="3967">
        <f>SUM(H258-F258)</f>
        <v>0</v>
      </c>
      <c r="J258" s="3959">
        <f t="shared" si="16"/>
        <v>14400</v>
      </c>
      <c r="K258" s="3389">
        <f t="shared" si="17"/>
        <v>288</v>
      </c>
    </row>
    <row r="259" spans="1:11" s="3389" customFormat="1" ht="20.100000000000001" customHeight="1">
      <c r="A259" s="3973" t="s">
        <v>2833</v>
      </c>
      <c r="B259" s="3973" t="s">
        <v>2851</v>
      </c>
      <c r="C259" s="3974" t="s">
        <v>590</v>
      </c>
      <c r="D259" s="3970" t="s">
        <v>2850</v>
      </c>
      <c r="E259" s="3982" t="s">
        <v>215</v>
      </c>
      <c r="F259" s="3968">
        <v>172800</v>
      </c>
      <c r="G259" s="3969" t="s">
        <v>215</v>
      </c>
      <c r="H259" s="3968">
        <f>VLOOKUP(G259,$A$291:$B$483,2)*12</f>
        <v>172800</v>
      </c>
      <c r="I259" s="3967">
        <f>SUM(H259-F259)</f>
        <v>0</v>
      </c>
      <c r="J259" s="3959">
        <f t="shared" si="16"/>
        <v>14400</v>
      </c>
      <c r="K259" s="3389">
        <f t="shared" si="17"/>
        <v>288</v>
      </c>
    </row>
    <row r="260" spans="1:11" s="3389" customFormat="1" ht="20.100000000000001" customHeight="1">
      <c r="A260" s="3973" t="s">
        <v>2831</v>
      </c>
      <c r="B260" s="3973" t="s">
        <v>898</v>
      </c>
      <c r="C260" s="3974" t="s">
        <v>2845</v>
      </c>
      <c r="D260" s="3978" t="s">
        <v>2849</v>
      </c>
      <c r="E260" s="3969" t="s">
        <v>223</v>
      </c>
      <c r="F260" s="3968">
        <v>162864</v>
      </c>
      <c r="G260" s="3969" t="s">
        <v>223</v>
      </c>
      <c r="H260" s="3968">
        <f>VLOOKUP(G260,$A$291:$B$483,2)*12</f>
        <v>162864</v>
      </c>
      <c r="I260" s="3967">
        <f>SUM(H260-F260)</f>
        <v>0</v>
      </c>
      <c r="J260" s="3959">
        <f t="shared" si="16"/>
        <v>13572</v>
      </c>
      <c r="K260" s="3389">
        <f t="shared" si="17"/>
        <v>271.44</v>
      </c>
    </row>
    <row r="261" spans="1:11" s="3389" customFormat="1" ht="20.100000000000001" customHeight="1">
      <c r="A261" s="3973" t="s">
        <v>2828</v>
      </c>
      <c r="B261" s="3973" t="s">
        <v>2848</v>
      </c>
      <c r="C261" s="3974" t="s">
        <v>249</v>
      </c>
      <c r="D261" s="3978" t="s">
        <v>2847</v>
      </c>
      <c r="E261" s="3969" t="s">
        <v>223</v>
      </c>
      <c r="F261" s="3968">
        <v>162864</v>
      </c>
      <c r="G261" s="3969" t="s">
        <v>223</v>
      </c>
      <c r="H261" s="3968">
        <f>VLOOKUP(G261,$A$291:$B$483,2)*12</f>
        <v>162864</v>
      </c>
      <c r="I261" s="3967">
        <f>SUM(H261-F261)</f>
        <v>0</v>
      </c>
      <c r="J261" s="3959">
        <f t="shared" si="16"/>
        <v>13572</v>
      </c>
      <c r="K261" s="3389">
        <f t="shared" si="17"/>
        <v>271.44</v>
      </c>
    </row>
    <row r="262" spans="1:11" s="3958" customFormat="1" ht="20.100000000000001" customHeight="1">
      <c r="A262" s="3973" t="s">
        <v>2825</v>
      </c>
      <c r="B262" s="3973" t="s">
        <v>2846</v>
      </c>
      <c r="C262" s="3974" t="s">
        <v>2845</v>
      </c>
      <c r="D262" s="3983" t="s">
        <v>2844</v>
      </c>
      <c r="E262" s="3982" t="s">
        <v>223</v>
      </c>
      <c r="F262" s="3968">
        <v>162864</v>
      </c>
      <c r="G262" s="3969" t="s">
        <v>223</v>
      </c>
      <c r="H262" s="3968">
        <f>VLOOKUP(G262,$A$291:$B$483,2)*12</f>
        <v>162864</v>
      </c>
      <c r="I262" s="3967">
        <f>SUM(H262-F262)</f>
        <v>0</v>
      </c>
      <c r="J262" s="3959">
        <f t="shared" si="16"/>
        <v>13572</v>
      </c>
      <c r="K262" s="3389">
        <f t="shared" si="17"/>
        <v>271.44</v>
      </c>
    </row>
    <row r="263" spans="1:11" s="3389" customFormat="1" ht="20.100000000000001" customHeight="1">
      <c r="A263" s="3973"/>
      <c r="B263" s="3973"/>
      <c r="C263" s="3977" t="s">
        <v>2843</v>
      </c>
      <c r="D263" s="3971"/>
      <c r="E263" s="3976"/>
      <c r="F263" s="3975"/>
      <c r="G263" s="3976"/>
      <c r="H263" s="3975"/>
      <c r="I263" s="3975"/>
      <c r="J263" s="3959">
        <f t="shared" si="16"/>
        <v>0</v>
      </c>
      <c r="K263" s="3389">
        <f t="shared" si="17"/>
        <v>0</v>
      </c>
    </row>
    <row r="264" spans="1:11" s="3389" customFormat="1" ht="20.100000000000001" customHeight="1">
      <c r="A264" s="3973" t="s">
        <v>2842</v>
      </c>
      <c r="B264" s="3973" t="s">
        <v>2841</v>
      </c>
      <c r="C264" s="3979" t="s">
        <v>603</v>
      </c>
      <c r="D264" s="3970" t="s">
        <v>2840</v>
      </c>
      <c r="E264" s="3982" t="s">
        <v>217</v>
      </c>
      <c r="F264" s="3968">
        <v>170520</v>
      </c>
      <c r="G264" s="3969" t="s">
        <v>217</v>
      </c>
      <c r="H264" s="3968">
        <f t="shared" ref="H264:H270" si="18">VLOOKUP(G264,$A$291:$B$483,2)*12</f>
        <v>170520</v>
      </c>
      <c r="I264" s="3967">
        <f t="shared" ref="I264:I270" si="19">SUM(H264-F264)</f>
        <v>0</v>
      </c>
      <c r="J264" s="3959">
        <f t="shared" si="16"/>
        <v>14210</v>
      </c>
      <c r="K264" s="3389">
        <f t="shared" si="17"/>
        <v>284.2</v>
      </c>
    </row>
    <row r="265" spans="1:11" s="3389" customFormat="1" ht="20.100000000000001" customHeight="1">
      <c r="A265" s="3973" t="s">
        <v>2839</v>
      </c>
      <c r="B265" s="3973" t="s">
        <v>2838</v>
      </c>
      <c r="C265" s="3979" t="s">
        <v>603</v>
      </c>
      <c r="D265" s="3978" t="s">
        <v>2837</v>
      </c>
      <c r="E265" s="3982" t="s">
        <v>217</v>
      </c>
      <c r="F265" s="3968">
        <v>170520</v>
      </c>
      <c r="G265" s="3969" t="s">
        <v>217</v>
      </c>
      <c r="H265" s="3968">
        <f t="shared" si="18"/>
        <v>170520</v>
      </c>
      <c r="I265" s="3967">
        <f t="shared" si="19"/>
        <v>0</v>
      </c>
      <c r="J265" s="3959">
        <f t="shared" si="16"/>
        <v>14210</v>
      </c>
      <c r="K265" s="3389">
        <f t="shared" si="17"/>
        <v>284.2</v>
      </c>
    </row>
    <row r="266" spans="1:11" s="3389" customFormat="1" ht="20.100000000000001" customHeight="1">
      <c r="A266" s="3973" t="s">
        <v>2836</v>
      </c>
      <c r="B266" s="3973" t="s">
        <v>2835</v>
      </c>
      <c r="C266" s="3979" t="s">
        <v>603</v>
      </c>
      <c r="D266" s="3981" t="s">
        <v>2834</v>
      </c>
      <c r="E266" s="3969" t="s">
        <v>215</v>
      </c>
      <c r="F266" s="3968">
        <v>172800</v>
      </c>
      <c r="G266" s="3980" t="s">
        <v>223</v>
      </c>
      <c r="H266" s="3968">
        <f t="shared" si="18"/>
        <v>162864</v>
      </c>
      <c r="I266" s="3967">
        <f t="shared" si="19"/>
        <v>-9936</v>
      </c>
      <c r="J266" s="3959">
        <f t="shared" si="16"/>
        <v>13572</v>
      </c>
      <c r="K266" s="3389">
        <f t="shared" si="17"/>
        <v>271.44</v>
      </c>
    </row>
    <row r="267" spans="1:11" s="3389" customFormat="1" ht="20.100000000000001" customHeight="1">
      <c r="A267" s="3973" t="s">
        <v>2820</v>
      </c>
      <c r="B267" s="3973" t="s">
        <v>2833</v>
      </c>
      <c r="C267" s="3979" t="s">
        <v>603</v>
      </c>
      <c r="D267" s="3970" t="s">
        <v>245</v>
      </c>
      <c r="E267" s="3969" t="s">
        <v>217</v>
      </c>
      <c r="F267" s="3968">
        <v>170520</v>
      </c>
      <c r="G267" s="3969" t="s">
        <v>223</v>
      </c>
      <c r="H267" s="3968">
        <f t="shared" si="18"/>
        <v>162864</v>
      </c>
      <c r="I267" s="3967">
        <f t="shared" si="19"/>
        <v>-7656</v>
      </c>
      <c r="J267" s="3959">
        <f t="shared" si="16"/>
        <v>13572</v>
      </c>
      <c r="K267" s="3389">
        <f t="shared" si="17"/>
        <v>271.44</v>
      </c>
    </row>
    <row r="268" spans="1:11" s="3389" customFormat="1" ht="20.100000000000001" customHeight="1">
      <c r="A268" s="3973" t="s">
        <v>2832</v>
      </c>
      <c r="B268" s="3973" t="s">
        <v>2831</v>
      </c>
      <c r="C268" s="3979" t="s">
        <v>1104</v>
      </c>
      <c r="D268" s="3978" t="s">
        <v>2830</v>
      </c>
      <c r="E268" s="3969" t="s">
        <v>239</v>
      </c>
      <c r="F268" s="3968">
        <v>144408</v>
      </c>
      <c r="G268" s="3969" t="s">
        <v>239</v>
      </c>
      <c r="H268" s="3968">
        <f t="shared" si="18"/>
        <v>144408</v>
      </c>
      <c r="I268" s="3967">
        <f t="shared" si="19"/>
        <v>0</v>
      </c>
      <c r="J268" s="3959">
        <f t="shared" si="16"/>
        <v>12034</v>
      </c>
      <c r="K268" s="3389">
        <f t="shared" si="17"/>
        <v>240.68</v>
      </c>
    </row>
    <row r="269" spans="1:11" s="3389" customFormat="1" ht="20.100000000000001" customHeight="1">
      <c r="A269" s="3973" t="s">
        <v>2829</v>
      </c>
      <c r="B269" s="3973" t="s">
        <v>2828</v>
      </c>
      <c r="C269" s="3979" t="s">
        <v>1104</v>
      </c>
      <c r="D269" s="3970" t="s">
        <v>2827</v>
      </c>
      <c r="E269" s="3969" t="s">
        <v>239</v>
      </c>
      <c r="F269" s="3968">
        <v>144408</v>
      </c>
      <c r="G269" s="3969" t="s">
        <v>239</v>
      </c>
      <c r="H269" s="3968">
        <f t="shared" si="18"/>
        <v>144408</v>
      </c>
      <c r="I269" s="3967">
        <f t="shared" si="19"/>
        <v>0</v>
      </c>
      <c r="J269" s="3959">
        <f t="shared" si="16"/>
        <v>12034</v>
      </c>
      <c r="K269" s="3389">
        <f t="shared" si="17"/>
        <v>240.68</v>
      </c>
    </row>
    <row r="270" spans="1:11" s="3389" customFormat="1" ht="20.100000000000001" customHeight="1">
      <c r="A270" s="3973" t="s">
        <v>2826</v>
      </c>
      <c r="B270" s="3973" t="s">
        <v>2825</v>
      </c>
      <c r="C270" s="3979" t="s">
        <v>2824</v>
      </c>
      <c r="D270" s="3978" t="s">
        <v>2823</v>
      </c>
      <c r="E270" s="3969" t="s">
        <v>239</v>
      </c>
      <c r="F270" s="3968">
        <v>144408</v>
      </c>
      <c r="G270" s="3969" t="s">
        <v>239</v>
      </c>
      <c r="H270" s="3968">
        <f t="shared" si="18"/>
        <v>144408</v>
      </c>
      <c r="I270" s="3967">
        <f t="shared" si="19"/>
        <v>0</v>
      </c>
      <c r="J270" s="3959">
        <f t="shared" si="16"/>
        <v>12034</v>
      </c>
      <c r="K270" s="3389">
        <f t="shared" si="17"/>
        <v>240.68</v>
      </c>
    </row>
    <row r="271" spans="1:11" s="3389" customFormat="1" ht="20.100000000000001" customHeight="1">
      <c r="A271" s="3973"/>
      <c r="B271" s="3973"/>
      <c r="C271" s="3979"/>
      <c r="D271" s="3978"/>
      <c r="E271" s="3969"/>
      <c r="F271" s="3968"/>
      <c r="G271" s="3969"/>
      <c r="H271" s="3968"/>
      <c r="I271" s="3967"/>
      <c r="J271" s="3959">
        <f t="shared" si="16"/>
        <v>0</v>
      </c>
      <c r="K271" s="3389">
        <f t="shared" si="17"/>
        <v>0</v>
      </c>
    </row>
    <row r="272" spans="1:11" s="3389" customFormat="1" ht="20.100000000000001" customHeight="1">
      <c r="A272" s="3973"/>
      <c r="B272" s="3973"/>
      <c r="C272" s="3977" t="s">
        <v>2822</v>
      </c>
      <c r="D272" s="3971"/>
      <c r="E272" s="3976"/>
      <c r="F272" s="3975"/>
      <c r="G272" s="3976"/>
      <c r="H272" s="3975"/>
      <c r="I272" s="3975"/>
      <c r="J272" s="3959">
        <f t="shared" si="16"/>
        <v>0</v>
      </c>
      <c r="K272" s="3389">
        <f t="shared" si="17"/>
        <v>0</v>
      </c>
    </row>
    <row r="273" spans="1:11" s="3389" customFormat="1" ht="20.100000000000001" customHeight="1">
      <c r="A273" s="3973" t="s">
        <v>2821</v>
      </c>
      <c r="B273" s="3973" t="s">
        <v>2820</v>
      </c>
      <c r="C273" s="3974" t="s">
        <v>2819</v>
      </c>
      <c r="D273" s="3970" t="s">
        <v>2818</v>
      </c>
      <c r="E273" s="3969" t="s">
        <v>215</v>
      </c>
      <c r="F273" s="3968">
        <v>172800</v>
      </c>
      <c r="G273" s="3969" t="s">
        <v>215</v>
      </c>
      <c r="H273" s="3968">
        <f>VLOOKUP(G273,$A$291:$B$483,2)*12</f>
        <v>172800</v>
      </c>
      <c r="I273" s="3967">
        <f>SUM(H273-F273)</f>
        <v>0</v>
      </c>
      <c r="J273" s="3959">
        <f t="shared" si="16"/>
        <v>14400</v>
      </c>
      <c r="K273" s="3389">
        <f t="shared" si="17"/>
        <v>288</v>
      </c>
    </row>
    <row r="274" spans="1:11" s="3389" customFormat="1" ht="20.100000000000001" customHeight="1">
      <c r="A274" s="3973" t="s">
        <v>2817</v>
      </c>
      <c r="B274" s="3972">
        <v>154</v>
      </c>
      <c r="C274" s="3971" t="s">
        <v>246</v>
      </c>
      <c r="D274" s="3970" t="s">
        <v>2816</v>
      </c>
      <c r="E274" s="3969" t="s">
        <v>231</v>
      </c>
      <c r="F274" s="3968">
        <v>153480</v>
      </c>
      <c r="G274" s="3969" t="s">
        <v>231</v>
      </c>
      <c r="H274" s="3968">
        <f>VLOOKUP(G274,$A$291:$B$483,2)*12</f>
        <v>153480</v>
      </c>
      <c r="I274" s="3967">
        <f>SUM(H274-F274)</f>
        <v>0</v>
      </c>
      <c r="J274" s="3959">
        <f t="shared" si="16"/>
        <v>12790</v>
      </c>
      <c r="K274" s="3389">
        <f t="shared" si="17"/>
        <v>255.8</v>
      </c>
    </row>
    <row r="275" spans="1:11" s="3958" customFormat="1" ht="20.100000000000001" customHeight="1">
      <c r="A275" s="3966"/>
      <c r="B275" s="3966"/>
      <c r="C275" s="3965"/>
      <c r="D275" s="3964"/>
      <c r="E275" s="3963"/>
      <c r="F275" s="3961"/>
      <c r="G275" s="3962"/>
      <c r="H275" s="3961"/>
      <c r="I275" s="3960"/>
      <c r="J275" s="3959">
        <f t="shared" si="16"/>
        <v>0</v>
      </c>
      <c r="K275" s="3389">
        <f t="shared" si="17"/>
        <v>0</v>
      </c>
    </row>
    <row r="276" spans="1:11" s="3389" customFormat="1" ht="16.5" customHeight="1">
      <c r="A276" s="3957"/>
      <c r="B276" s="3956"/>
      <c r="C276" s="3955"/>
      <c r="D276" s="3954"/>
      <c r="E276" s="3953"/>
      <c r="F276" s="3952"/>
      <c r="G276" s="3952"/>
      <c r="H276" s="3952"/>
      <c r="I276" s="3952"/>
    </row>
    <row r="277" spans="1:11" s="3934" customFormat="1" ht="16.5" customHeight="1">
      <c r="A277" s="3951"/>
      <c r="B277" s="3950"/>
      <c r="C277" s="3949"/>
      <c r="D277" s="3948" t="s">
        <v>2743</v>
      </c>
      <c r="E277" s="3947"/>
      <c r="F277" s="3946">
        <f>SUM(F14:F275)</f>
        <v>67852632</v>
      </c>
      <c r="G277" s="3946"/>
      <c r="H277" s="3946">
        <f>SUM(H14:H275)</f>
        <v>63090756</v>
      </c>
      <c r="I277" s="3946">
        <f>SUM(I14:I275)</f>
        <v>-4761876</v>
      </c>
    </row>
    <row r="278" spans="1:11" s="3389" customFormat="1" ht="16.5" customHeight="1" thickBot="1">
      <c r="A278" s="3945"/>
      <c r="B278" s="3944"/>
      <c r="C278" s="3943"/>
      <c r="D278" s="3942"/>
      <c r="E278" s="3941"/>
      <c r="F278" s="3940"/>
      <c r="G278" s="3940"/>
      <c r="H278" s="3940"/>
      <c r="I278" s="3940"/>
      <c r="K278" s="3937" t="s">
        <v>256</v>
      </c>
    </row>
    <row r="279" spans="1:11" s="3934" customFormat="1" ht="16.5" customHeight="1" thickTop="1">
      <c r="A279" s="3939"/>
      <c r="B279" s="3939"/>
      <c r="C279" s="3937"/>
      <c r="D279" s="3938"/>
      <c r="E279" s="3937"/>
      <c r="F279" s="3936"/>
      <c r="G279" s="3935"/>
      <c r="H279" s="3935"/>
      <c r="I279" s="3935"/>
      <c r="K279" s="3934">
        <f>SUM(K14:K278)</f>
        <v>102780.55999999997</v>
      </c>
    </row>
    <row r="280" spans="1:11" s="3389" customFormat="1" ht="16.5" customHeight="1">
      <c r="A280" s="3338"/>
      <c r="B280" s="3369" t="s">
        <v>715</v>
      </c>
      <c r="C280" s="3364"/>
      <c r="D280" s="3368" t="s">
        <v>2815</v>
      </c>
      <c r="E280" s="3931"/>
      <c r="F280" s="3366"/>
      <c r="G280" s="3366" t="s">
        <v>2311</v>
      </c>
      <c r="H280" s="3364"/>
      <c r="I280" s="3933"/>
      <c r="K280" s="3389">
        <f>K279*12</f>
        <v>1233366.7199999997</v>
      </c>
    </row>
    <row r="281" spans="1:11" s="3389" customFormat="1" ht="16.5" customHeight="1">
      <c r="A281" s="3338"/>
      <c r="B281" s="3369"/>
      <c r="C281" s="3364"/>
      <c r="D281" s="3368"/>
      <c r="E281" s="3931"/>
      <c r="F281" s="3366"/>
      <c r="G281" s="3366"/>
      <c r="H281" s="3364"/>
      <c r="I281" s="3933"/>
      <c r="K281" s="3932">
        <v>1233367</v>
      </c>
    </row>
    <row r="282" spans="1:11" s="3389" customFormat="1" ht="16.5" customHeight="1">
      <c r="A282" s="3365"/>
      <c r="B282" s="3365"/>
      <c r="C282" s="3364"/>
      <c r="D282" s="3364"/>
      <c r="E282" s="3931"/>
      <c r="F282" s="3362"/>
      <c r="G282" s="3362"/>
      <c r="H282" s="3364"/>
      <c r="I282" s="3929"/>
    </row>
    <row r="283" spans="1:11" s="3389" customFormat="1" ht="16.5" customHeight="1">
      <c r="A283" s="3745" t="s">
        <v>2814</v>
      </c>
      <c r="C283" s="3930"/>
      <c r="D283" s="3744" t="s">
        <v>2813</v>
      </c>
      <c r="E283" s="3361"/>
      <c r="F283" s="3357"/>
      <c r="G283" s="3357" t="s">
        <v>2812</v>
      </c>
      <c r="H283" s="3364"/>
      <c r="I283" s="3929"/>
      <c r="J283" s="3928"/>
    </row>
    <row r="284" spans="1:11" s="3922" customFormat="1" ht="16.5" customHeight="1">
      <c r="A284" s="3927" t="s">
        <v>2811</v>
      </c>
      <c r="C284" s="3350"/>
      <c r="D284" s="3926" t="s">
        <v>2810</v>
      </c>
      <c r="E284" s="3925"/>
      <c r="F284" s="3349"/>
      <c r="G284" s="3339"/>
      <c r="H284" s="3348" t="s">
        <v>356</v>
      </c>
      <c r="I284" s="3924"/>
      <c r="J284" s="3923"/>
    </row>
    <row r="285" spans="1:11" ht="15" customHeight="1">
      <c r="A285" s="3921"/>
      <c r="B285" s="3920"/>
      <c r="C285" s="3920"/>
      <c r="D285" s="3919"/>
      <c r="E285" s="3918"/>
      <c r="F285" s="3917"/>
      <c r="G285" s="3916"/>
      <c r="H285" s="3915"/>
      <c r="I285" s="3915"/>
      <c r="J285" s="3911"/>
    </row>
    <row r="286" spans="1:11" ht="12.75" customHeight="1">
      <c r="A286" s="3914"/>
      <c r="B286" s="3899"/>
      <c r="H286" s="3913"/>
      <c r="I286" s="3912"/>
      <c r="J286" s="3911"/>
    </row>
    <row r="287" spans="1:11">
      <c r="A287" s="3914"/>
      <c r="B287" s="3899"/>
      <c r="H287" s="3913"/>
      <c r="I287" s="3912"/>
      <c r="J287" s="3911"/>
    </row>
    <row r="288" spans="1:11">
      <c r="A288" s="3914"/>
      <c r="B288" s="3899"/>
      <c r="H288" s="3913"/>
      <c r="I288" s="3912"/>
      <c r="J288" s="3911"/>
    </row>
    <row r="289" spans="1:9" ht="15.75">
      <c r="A289" s="3731" t="s">
        <v>2401</v>
      </c>
      <c r="B289" s="3731"/>
      <c r="C289" s="3711"/>
      <c r="D289" s="3710"/>
    </row>
    <row r="290" spans="1:9" ht="15.75">
      <c r="A290" s="3730"/>
      <c r="B290" s="3730"/>
      <c r="C290" s="3711"/>
      <c r="D290" s="3710"/>
    </row>
    <row r="291" spans="1:9" ht="15.75">
      <c r="A291" s="3904" t="s">
        <v>239</v>
      </c>
      <c r="B291" s="3903">
        <v>12034</v>
      </c>
      <c r="C291" s="3711"/>
      <c r="D291" s="3710"/>
      <c r="E291" s="3711" t="s">
        <v>231</v>
      </c>
      <c r="F291" s="3710">
        <v>8189</v>
      </c>
      <c r="G291" s="3908"/>
      <c r="H291" s="3318"/>
      <c r="I291" s="3318"/>
    </row>
    <row r="292" spans="1:9" ht="15.75">
      <c r="A292" s="3904" t="s">
        <v>238</v>
      </c>
      <c r="B292" s="3903">
        <v>12134</v>
      </c>
      <c r="C292" s="3711"/>
      <c r="D292" s="3710"/>
      <c r="E292" s="3711" t="s">
        <v>230</v>
      </c>
      <c r="F292" s="3710">
        <v>8321</v>
      </c>
      <c r="G292" s="3908"/>
      <c r="H292" s="3318"/>
      <c r="I292" s="3318"/>
    </row>
    <row r="293" spans="1:9" ht="15.75">
      <c r="A293" s="3904" t="s">
        <v>237</v>
      </c>
      <c r="B293" s="3903">
        <v>12236</v>
      </c>
      <c r="C293" s="3711"/>
      <c r="D293" s="3710"/>
      <c r="E293" s="3711" t="s">
        <v>229</v>
      </c>
      <c r="F293" s="3710">
        <v>8456</v>
      </c>
      <c r="G293" s="3908"/>
      <c r="H293" s="3318">
        <f>100*12*1</f>
        <v>1200</v>
      </c>
      <c r="I293" s="3318">
        <f>100*12*1</f>
        <v>1200</v>
      </c>
    </row>
    <row r="294" spans="1:9" ht="15.75">
      <c r="A294" s="3904" t="s">
        <v>236</v>
      </c>
      <c r="B294" s="3903">
        <v>12339</v>
      </c>
      <c r="C294" s="3711"/>
      <c r="D294" s="3710"/>
      <c r="E294" s="3711" t="s">
        <v>228</v>
      </c>
      <c r="F294" s="3710">
        <v>8594</v>
      </c>
      <c r="G294" s="3908"/>
      <c r="H294" s="3318"/>
      <c r="I294" s="3318"/>
    </row>
    <row r="295" spans="1:9" ht="15.75">
      <c r="A295" s="3904" t="s">
        <v>235</v>
      </c>
      <c r="B295" s="3903">
        <v>12442</v>
      </c>
      <c r="C295" s="3711"/>
      <c r="D295" s="3710"/>
      <c r="E295" s="3711" t="s">
        <v>227</v>
      </c>
      <c r="F295" s="3710">
        <v>8733</v>
      </c>
      <c r="G295" s="3908"/>
      <c r="H295" s="3318"/>
      <c r="I295" s="3318"/>
    </row>
    <row r="296" spans="1:9" ht="15.75">
      <c r="A296" s="3904" t="s">
        <v>234</v>
      </c>
      <c r="B296" s="3903">
        <v>12545</v>
      </c>
      <c r="C296" s="3711"/>
      <c r="D296" s="3710"/>
      <c r="E296" s="3711" t="s">
        <v>226</v>
      </c>
      <c r="F296" s="3710">
        <v>8876</v>
      </c>
      <c r="G296" s="3908"/>
      <c r="H296" s="3318"/>
      <c r="I296" s="3318"/>
    </row>
    <row r="297" spans="1:9" ht="15.75">
      <c r="A297" s="3904" t="s">
        <v>233</v>
      </c>
      <c r="B297" s="3903">
        <v>12651</v>
      </c>
      <c r="C297" s="3711"/>
      <c r="D297" s="3710"/>
      <c r="E297" s="3711" t="s">
        <v>225</v>
      </c>
      <c r="F297" s="3710">
        <v>9022</v>
      </c>
      <c r="G297" s="3906"/>
      <c r="H297" s="3318"/>
      <c r="I297" s="3318"/>
    </row>
    <row r="298" spans="1:9" ht="15.75">
      <c r="A298" s="3904" t="s">
        <v>232</v>
      </c>
      <c r="B298" s="3903">
        <v>12756</v>
      </c>
      <c r="C298" s="3711"/>
      <c r="D298" s="3710"/>
      <c r="E298" s="3711" t="s">
        <v>224</v>
      </c>
      <c r="F298" s="3710">
        <v>9170</v>
      </c>
      <c r="G298" s="3906"/>
      <c r="H298" s="3318"/>
      <c r="I298" s="3318">
        <f>112.5*12*1</f>
        <v>1350</v>
      </c>
    </row>
    <row r="299" spans="1:9" ht="15.75">
      <c r="A299" s="3904" t="s">
        <v>231</v>
      </c>
      <c r="B299" s="3903">
        <v>12790</v>
      </c>
      <c r="C299" s="3711"/>
      <c r="D299" s="3710"/>
      <c r="E299" s="3711" t="s">
        <v>223</v>
      </c>
      <c r="F299" s="3710">
        <v>8854</v>
      </c>
      <c r="G299" s="3906"/>
      <c r="H299" s="3318"/>
      <c r="I299" s="3318"/>
    </row>
    <row r="300" spans="1:9" ht="15.75">
      <c r="A300" s="3904" t="s">
        <v>230</v>
      </c>
      <c r="B300" s="3903">
        <v>12888</v>
      </c>
      <c r="C300" s="3711"/>
      <c r="D300" s="3710"/>
      <c r="E300" s="3711" t="s">
        <v>222</v>
      </c>
      <c r="F300" s="3710">
        <v>8997</v>
      </c>
      <c r="G300" s="3906"/>
      <c r="H300" s="3318">
        <f>100*12*6</f>
        <v>7200</v>
      </c>
      <c r="I300" s="3318">
        <f>100*12*1</f>
        <v>1200</v>
      </c>
    </row>
    <row r="301" spans="1:9" ht="15.75">
      <c r="A301" s="3904" t="s">
        <v>229</v>
      </c>
      <c r="B301" s="3903">
        <v>12987</v>
      </c>
      <c r="C301" s="3711"/>
      <c r="D301" s="3710"/>
      <c r="E301" s="3711" t="s">
        <v>221</v>
      </c>
      <c r="F301" s="3710">
        <v>9142</v>
      </c>
      <c r="G301" s="3906"/>
      <c r="H301" s="3318"/>
      <c r="I301" s="3318"/>
    </row>
    <row r="302" spans="1:9" ht="15.75">
      <c r="A302" s="3904" t="s">
        <v>228</v>
      </c>
      <c r="B302" s="3903">
        <v>13087</v>
      </c>
      <c r="C302" s="3711"/>
      <c r="D302" s="3710"/>
      <c r="E302" s="3711" t="s">
        <v>220</v>
      </c>
      <c r="F302" s="3710">
        <v>9292</v>
      </c>
      <c r="G302" s="3906"/>
      <c r="H302" s="3318"/>
      <c r="I302" s="3318"/>
    </row>
    <row r="303" spans="1:9" ht="15.75">
      <c r="A303" s="3904" t="s">
        <v>227</v>
      </c>
      <c r="B303" s="3903">
        <v>13187</v>
      </c>
      <c r="C303" s="3711"/>
      <c r="D303" s="3710"/>
      <c r="E303" s="3711" t="s">
        <v>219</v>
      </c>
      <c r="F303" s="3710">
        <v>9443</v>
      </c>
      <c r="G303" s="3906"/>
      <c r="H303" s="3318"/>
      <c r="I303" s="3318"/>
    </row>
    <row r="304" spans="1:9" ht="15.75">
      <c r="A304" s="3904" t="s">
        <v>226</v>
      </c>
      <c r="B304" s="3903">
        <v>13288</v>
      </c>
      <c r="C304" s="3711"/>
      <c r="D304" s="3710"/>
      <c r="E304" s="3711" t="s">
        <v>218</v>
      </c>
      <c r="F304" s="3710">
        <v>9599</v>
      </c>
      <c r="G304" s="3906"/>
      <c r="H304" s="3318"/>
      <c r="I304" s="3318"/>
    </row>
    <row r="305" spans="1:9" ht="15.75">
      <c r="A305" s="3904" t="s">
        <v>225</v>
      </c>
      <c r="B305" s="3903">
        <v>13390</v>
      </c>
      <c r="C305" s="3711"/>
      <c r="D305" s="3710"/>
      <c r="E305" s="3711" t="s">
        <v>217</v>
      </c>
      <c r="F305" s="3710">
        <v>9756</v>
      </c>
      <c r="G305" s="3906"/>
      <c r="H305" s="3318">
        <f>112.5*12*14</f>
        <v>18900</v>
      </c>
      <c r="I305" s="3318">
        <f>112.5*12*1</f>
        <v>1350</v>
      </c>
    </row>
    <row r="306" spans="1:9" ht="15.75">
      <c r="A306" s="3904" t="s">
        <v>224</v>
      </c>
      <c r="B306" s="3903">
        <v>13493</v>
      </c>
      <c r="C306" s="3711"/>
      <c r="D306" s="3710"/>
      <c r="E306" s="3711" t="s">
        <v>216</v>
      </c>
      <c r="F306" s="3710">
        <v>9917</v>
      </c>
      <c r="G306" s="3906"/>
      <c r="H306" s="3318"/>
      <c r="I306" s="3318"/>
    </row>
    <row r="307" spans="1:9" ht="15.75">
      <c r="A307" s="3904" t="s">
        <v>223</v>
      </c>
      <c r="B307" s="3903">
        <v>13572</v>
      </c>
      <c r="C307" s="3711"/>
      <c r="D307" s="3710"/>
      <c r="E307" s="3711" t="s">
        <v>215</v>
      </c>
      <c r="F307" s="3710">
        <v>9536</v>
      </c>
      <c r="G307" s="3906"/>
      <c r="H307" s="3318"/>
      <c r="I307" s="3318"/>
    </row>
    <row r="308" spans="1:9" ht="15.75">
      <c r="A308" s="3904" t="s">
        <v>222</v>
      </c>
      <c r="B308" s="3903">
        <v>13677</v>
      </c>
      <c r="C308" s="3711"/>
      <c r="D308" s="3710"/>
      <c r="E308" s="3711" t="s">
        <v>214</v>
      </c>
      <c r="F308" s="3710">
        <v>9690</v>
      </c>
      <c r="G308" s="3906"/>
      <c r="H308" s="3318"/>
      <c r="I308" s="3318"/>
    </row>
    <row r="309" spans="1:9" ht="15.75">
      <c r="A309" s="3904" t="s">
        <v>221</v>
      </c>
      <c r="B309" s="3903">
        <v>13781</v>
      </c>
      <c r="C309" s="3711"/>
      <c r="D309" s="3710"/>
      <c r="E309" s="3711" t="s">
        <v>213</v>
      </c>
      <c r="F309" s="3710">
        <v>9848</v>
      </c>
      <c r="G309" s="3906"/>
      <c r="H309" s="3318"/>
      <c r="I309" s="3318"/>
    </row>
    <row r="310" spans="1:9" ht="15.75">
      <c r="A310" s="3904" t="s">
        <v>220</v>
      </c>
      <c r="B310" s="3903">
        <v>13888</v>
      </c>
      <c r="C310" s="3711"/>
      <c r="D310" s="3710"/>
      <c r="E310" s="3711" t="s">
        <v>212</v>
      </c>
      <c r="F310" s="3710">
        <v>10008</v>
      </c>
      <c r="G310" s="3906"/>
      <c r="H310" s="3318"/>
      <c r="I310" s="3318"/>
    </row>
    <row r="311" spans="1:9" ht="15.75">
      <c r="A311" s="3904" t="s">
        <v>219</v>
      </c>
      <c r="B311" s="3903">
        <v>13995</v>
      </c>
      <c r="C311" s="3711"/>
      <c r="D311" s="3710"/>
      <c r="E311" s="3711" t="s">
        <v>211</v>
      </c>
      <c r="F311" s="3710">
        <v>10172</v>
      </c>
      <c r="G311" s="3906"/>
      <c r="H311" s="3318"/>
      <c r="I311" s="3318"/>
    </row>
    <row r="312" spans="1:9" ht="15.75">
      <c r="A312" s="3904" t="s">
        <v>218</v>
      </c>
      <c r="B312" s="3903">
        <v>14101</v>
      </c>
      <c r="C312" s="3711"/>
      <c r="D312" s="3710"/>
      <c r="E312" s="3711" t="s">
        <v>210</v>
      </c>
      <c r="F312" s="3710">
        <v>10339</v>
      </c>
      <c r="G312" s="3906"/>
      <c r="H312" s="3318"/>
      <c r="I312" s="3318"/>
    </row>
    <row r="313" spans="1:9" ht="15.75">
      <c r="A313" s="3904" t="s">
        <v>217</v>
      </c>
      <c r="B313" s="3903">
        <v>14210</v>
      </c>
      <c r="C313" s="3711"/>
      <c r="D313" s="3710"/>
      <c r="E313" s="3711" t="s">
        <v>209</v>
      </c>
      <c r="F313" s="3710">
        <v>10509</v>
      </c>
      <c r="G313" s="3906"/>
      <c r="H313" s="3318"/>
      <c r="I313" s="3318"/>
    </row>
    <row r="314" spans="1:9" ht="15.75">
      <c r="A314" s="3904" t="s">
        <v>216</v>
      </c>
      <c r="B314" s="3903">
        <v>14319</v>
      </c>
      <c r="C314" s="3711"/>
      <c r="D314" s="3710"/>
      <c r="E314" s="3711" t="s">
        <v>208</v>
      </c>
      <c r="F314" s="3710">
        <v>10683</v>
      </c>
      <c r="G314" s="3906"/>
      <c r="H314" s="3318"/>
    </row>
    <row r="315" spans="1:9" ht="15.75">
      <c r="A315" s="3904" t="s">
        <v>215</v>
      </c>
      <c r="B315" s="3903">
        <v>14400</v>
      </c>
      <c r="C315" s="3711"/>
      <c r="D315" s="3710"/>
      <c r="E315" s="3716" t="s">
        <v>207</v>
      </c>
      <c r="F315" s="3710">
        <v>10271</v>
      </c>
      <c r="G315" s="3906"/>
      <c r="H315" s="3318">
        <f>125*12*20</f>
        <v>30000</v>
      </c>
      <c r="I315" s="3318">
        <f>125*12*1</f>
        <v>1500</v>
      </c>
    </row>
    <row r="316" spans="1:9" ht="15.75">
      <c r="A316" s="3904" t="s">
        <v>214</v>
      </c>
      <c r="B316" s="3903">
        <v>14511</v>
      </c>
      <c r="C316" s="3711"/>
      <c r="D316" s="3710"/>
      <c r="E316" s="3716" t="s">
        <v>206</v>
      </c>
      <c r="F316" s="3710">
        <v>10437</v>
      </c>
      <c r="G316" s="3906"/>
      <c r="H316" s="3318"/>
      <c r="I316" s="3318"/>
    </row>
    <row r="317" spans="1:9" ht="15.75">
      <c r="A317" s="3904" t="s">
        <v>213</v>
      </c>
      <c r="B317" s="3903">
        <v>14622</v>
      </c>
      <c r="C317" s="3711"/>
      <c r="D317" s="3710"/>
      <c r="E317" s="3716" t="s">
        <v>205</v>
      </c>
      <c r="F317" s="3710">
        <v>10607</v>
      </c>
      <c r="G317" s="3906"/>
      <c r="H317" s="3318"/>
      <c r="I317" s="3318"/>
    </row>
    <row r="318" spans="1:9" ht="15.75">
      <c r="A318" s="3904" t="s">
        <v>212</v>
      </c>
      <c r="B318" s="3903">
        <v>14735</v>
      </c>
      <c r="C318" s="3711"/>
      <c r="D318" s="3710"/>
      <c r="E318" s="3716" t="s">
        <v>204</v>
      </c>
      <c r="F318" s="3710">
        <v>10780</v>
      </c>
      <c r="G318" s="3906"/>
      <c r="H318" s="3318"/>
      <c r="I318" s="3318"/>
    </row>
    <row r="319" spans="1:9" ht="15.75">
      <c r="A319" s="3904" t="s">
        <v>211</v>
      </c>
      <c r="B319" s="3903">
        <v>14848</v>
      </c>
      <c r="C319" s="3711"/>
      <c r="D319" s="3710"/>
      <c r="E319" s="3716" t="s">
        <v>203</v>
      </c>
      <c r="F319" s="3710">
        <v>10957</v>
      </c>
      <c r="G319" s="3906"/>
      <c r="H319" s="3318"/>
      <c r="I319" s="3318"/>
    </row>
    <row r="320" spans="1:9" ht="15.75">
      <c r="A320" s="3904" t="s">
        <v>210</v>
      </c>
      <c r="B320" s="3903">
        <v>14961</v>
      </c>
      <c r="C320" s="3711"/>
      <c r="D320" s="3710"/>
      <c r="E320" s="3716" t="s">
        <v>202</v>
      </c>
      <c r="F320" s="3710">
        <v>11137</v>
      </c>
      <c r="G320" s="3906"/>
      <c r="H320" s="3318"/>
      <c r="I320" s="3318"/>
    </row>
    <row r="321" spans="1:9" ht="15.75">
      <c r="A321" s="3904" t="s">
        <v>209</v>
      </c>
      <c r="B321" s="3903">
        <v>15077</v>
      </c>
      <c r="C321" s="3711"/>
      <c r="D321" s="3710"/>
      <c r="E321" s="3716" t="s">
        <v>201</v>
      </c>
      <c r="F321" s="3710">
        <v>11320</v>
      </c>
      <c r="G321" s="3906"/>
      <c r="H321" s="3318"/>
    </row>
    <row r="322" spans="1:9" ht="15.75">
      <c r="A322" s="3904" t="s">
        <v>208</v>
      </c>
      <c r="B322" s="3903">
        <v>15192</v>
      </c>
      <c r="C322" s="3711"/>
      <c r="D322" s="3710"/>
      <c r="E322" s="3716" t="s">
        <v>200</v>
      </c>
      <c r="F322" s="3710">
        <v>11508</v>
      </c>
      <c r="G322" s="3906"/>
      <c r="H322" s="3318"/>
      <c r="I322" s="3318"/>
    </row>
    <row r="323" spans="1:9" ht="15.75">
      <c r="A323" s="3904" t="s">
        <v>207</v>
      </c>
      <c r="B323" s="3903">
        <v>15275</v>
      </c>
      <c r="C323" s="3711"/>
      <c r="D323" s="3710"/>
      <c r="E323" s="3711" t="s">
        <v>199</v>
      </c>
      <c r="F323" s="3710">
        <v>11062</v>
      </c>
      <c r="G323" s="3906"/>
      <c r="H323" s="3318"/>
      <c r="I323" s="3318"/>
    </row>
    <row r="324" spans="1:9" ht="15.75">
      <c r="A324" s="3904" t="s">
        <v>206</v>
      </c>
      <c r="B324" s="3903">
        <v>15393</v>
      </c>
      <c r="C324" s="3711"/>
      <c r="D324" s="3710"/>
      <c r="E324" s="3711" t="s">
        <v>198</v>
      </c>
      <c r="F324" s="3710">
        <v>11242</v>
      </c>
      <c r="G324" s="3906"/>
      <c r="H324" s="3318">
        <f>137.5*12*1</f>
        <v>1650</v>
      </c>
      <c r="I324" s="3318">
        <f>137.5*12*1</f>
        <v>1650</v>
      </c>
    </row>
    <row r="325" spans="1:9" ht="15.75">
      <c r="A325" s="3904" t="s">
        <v>205</v>
      </c>
      <c r="B325" s="3903">
        <v>15511</v>
      </c>
      <c r="C325" s="3711"/>
      <c r="D325" s="3710"/>
      <c r="E325" s="3711" t="s">
        <v>197</v>
      </c>
      <c r="F325" s="3710">
        <v>11425</v>
      </c>
      <c r="G325" s="3906"/>
      <c r="H325" s="3318"/>
      <c r="I325" s="3318"/>
    </row>
    <row r="326" spans="1:9" ht="15.75">
      <c r="A326" s="3904" t="s">
        <v>204</v>
      </c>
      <c r="B326" s="3903">
        <v>15630</v>
      </c>
      <c r="C326" s="3711"/>
      <c r="D326" s="3710"/>
      <c r="E326" s="3711" t="s">
        <v>196</v>
      </c>
      <c r="F326" s="3710">
        <v>11612</v>
      </c>
      <c r="G326" s="3906"/>
      <c r="H326" s="3318"/>
      <c r="I326" s="3318"/>
    </row>
    <row r="327" spans="1:9" ht="15.75">
      <c r="A327" s="3904" t="s">
        <v>203</v>
      </c>
      <c r="B327" s="3903">
        <v>15750</v>
      </c>
      <c r="C327" s="3711"/>
      <c r="D327" s="3710"/>
      <c r="E327" s="3711" t="s">
        <v>195</v>
      </c>
      <c r="F327" s="3710">
        <v>11803</v>
      </c>
      <c r="G327" s="3906"/>
      <c r="H327" s="3318"/>
      <c r="I327" s="3318"/>
    </row>
    <row r="328" spans="1:9" ht="15.75">
      <c r="A328" s="3904" t="s">
        <v>202</v>
      </c>
      <c r="B328" s="3903">
        <v>15871</v>
      </c>
      <c r="C328" s="3711"/>
      <c r="D328" s="3710"/>
      <c r="E328" s="3711" t="s">
        <v>194</v>
      </c>
      <c r="F328" s="3710">
        <v>11997</v>
      </c>
      <c r="G328" s="3906"/>
      <c r="H328" s="3318"/>
      <c r="I328" s="3318"/>
    </row>
    <row r="329" spans="1:9" ht="15.75">
      <c r="A329" s="3904" t="s">
        <v>201</v>
      </c>
      <c r="B329" s="3903">
        <v>15993</v>
      </c>
      <c r="C329" s="3909"/>
      <c r="D329" s="3710"/>
      <c r="E329" s="3711" t="s">
        <v>193</v>
      </c>
      <c r="F329" s="3710">
        <v>12194</v>
      </c>
      <c r="G329" s="3906"/>
      <c r="H329" s="3318"/>
      <c r="I329" s="3318"/>
    </row>
    <row r="330" spans="1:9" ht="15.75">
      <c r="A330" s="3904" t="s">
        <v>200</v>
      </c>
      <c r="B330" s="3903">
        <v>16115</v>
      </c>
      <c r="C330" s="3909"/>
      <c r="D330" s="3710"/>
      <c r="E330" s="3711" t="s">
        <v>192</v>
      </c>
      <c r="F330" s="3710">
        <v>12397</v>
      </c>
      <c r="G330" s="3906"/>
      <c r="H330" s="3318"/>
    </row>
    <row r="331" spans="1:9" ht="15.75">
      <c r="A331" s="3904" t="s">
        <v>199</v>
      </c>
      <c r="B331" s="3903">
        <v>16200</v>
      </c>
      <c r="C331" s="3909"/>
      <c r="D331" s="3710"/>
      <c r="E331" s="3716" t="s">
        <v>191</v>
      </c>
      <c r="F331" s="3710">
        <v>11869</v>
      </c>
      <c r="G331" s="3910"/>
      <c r="H331" s="3318"/>
      <c r="I331" s="3318"/>
    </row>
    <row r="332" spans="1:9" ht="15.75">
      <c r="A332" s="3904" t="s">
        <v>198</v>
      </c>
      <c r="B332" s="3903">
        <v>16325</v>
      </c>
      <c r="C332" s="3909"/>
      <c r="D332" s="3710"/>
      <c r="E332" s="3716" t="s">
        <v>190</v>
      </c>
      <c r="F332" s="3710">
        <v>12060</v>
      </c>
      <c r="G332" s="3906"/>
      <c r="H332" s="3318">
        <f>150*12*1</f>
        <v>1800</v>
      </c>
      <c r="I332" s="3318">
        <f>150*12*1</f>
        <v>1800</v>
      </c>
    </row>
    <row r="333" spans="1:9" ht="15.75">
      <c r="A333" s="3904" t="s">
        <v>197</v>
      </c>
      <c r="B333" s="3903">
        <v>16450</v>
      </c>
      <c r="C333" s="3909"/>
      <c r="D333" s="3710"/>
      <c r="E333" s="3716" t="s">
        <v>189</v>
      </c>
      <c r="F333" s="3710">
        <v>12257</v>
      </c>
      <c r="G333" s="3906"/>
      <c r="H333" s="3318"/>
      <c r="I333" s="3318"/>
    </row>
    <row r="334" spans="1:9" ht="15.75">
      <c r="A334" s="3904" t="s">
        <v>196</v>
      </c>
      <c r="B334" s="3903">
        <v>16577</v>
      </c>
      <c r="C334" s="3909"/>
      <c r="D334" s="3710"/>
      <c r="E334" s="3716" t="s">
        <v>188</v>
      </c>
      <c r="F334" s="3710">
        <v>12457</v>
      </c>
      <c r="G334" s="3906"/>
      <c r="H334" s="3318"/>
      <c r="I334" s="3318"/>
    </row>
    <row r="335" spans="1:9" ht="15.75">
      <c r="A335" s="3904" t="s">
        <v>195</v>
      </c>
      <c r="B335" s="3903">
        <v>16704</v>
      </c>
      <c r="C335" s="3909"/>
      <c r="D335" s="3710"/>
      <c r="E335" s="3716" t="s">
        <v>187</v>
      </c>
      <c r="F335" s="3710">
        <v>12662</v>
      </c>
      <c r="G335" s="3906"/>
      <c r="H335" s="3318"/>
      <c r="I335" s="3318"/>
    </row>
    <row r="336" spans="1:9" ht="15.75">
      <c r="A336" s="3904" t="s">
        <v>194</v>
      </c>
      <c r="B336" s="3903">
        <v>16832</v>
      </c>
      <c r="C336" s="3909"/>
      <c r="D336" s="3710"/>
      <c r="E336" s="3716" t="s">
        <v>186</v>
      </c>
      <c r="F336" s="3710">
        <v>12870</v>
      </c>
      <c r="G336" s="3906"/>
      <c r="H336" s="3318"/>
      <c r="I336" s="3318"/>
    </row>
    <row r="337" spans="1:9" ht="15.75">
      <c r="A337" s="3904" t="s">
        <v>193</v>
      </c>
      <c r="B337" s="3903">
        <v>16962</v>
      </c>
      <c r="C337" s="3719"/>
      <c r="D337" s="3710"/>
      <c r="E337" s="3716" t="s">
        <v>185</v>
      </c>
      <c r="F337" s="3710">
        <v>13082</v>
      </c>
      <c r="G337" s="3906"/>
      <c r="H337" s="3318"/>
      <c r="I337" s="3318"/>
    </row>
    <row r="338" spans="1:9" ht="15.75">
      <c r="A338" s="3904" t="s">
        <v>192</v>
      </c>
      <c r="B338" s="3903">
        <v>17092</v>
      </c>
      <c r="C338" s="3719"/>
      <c r="D338" s="3710"/>
      <c r="E338" s="3716" t="s">
        <v>184</v>
      </c>
      <c r="F338" s="3710">
        <v>13299</v>
      </c>
      <c r="G338" s="3906"/>
      <c r="H338" s="3318"/>
      <c r="I338" s="3318">
        <f>162.5*12*1</f>
        <v>1950</v>
      </c>
    </row>
    <row r="339" spans="1:9" ht="15.75">
      <c r="A339" s="3904" t="s">
        <v>191</v>
      </c>
      <c r="B339" s="3903">
        <v>17179</v>
      </c>
      <c r="C339" s="3719"/>
      <c r="D339" s="3710"/>
      <c r="E339" s="3711" t="s">
        <v>183</v>
      </c>
      <c r="F339" s="3710">
        <v>12735</v>
      </c>
      <c r="G339" s="3906"/>
      <c r="H339" s="3318"/>
    </row>
    <row r="340" spans="1:9" ht="15.75">
      <c r="A340" s="3904" t="s">
        <v>190</v>
      </c>
      <c r="B340" s="3903">
        <v>17311</v>
      </c>
      <c r="C340" s="3719"/>
      <c r="D340" s="3710"/>
      <c r="E340" s="3711" t="s">
        <v>182</v>
      </c>
      <c r="F340" s="3710">
        <v>12941</v>
      </c>
      <c r="G340" s="3906"/>
      <c r="H340" s="3318">
        <f>150*12*1</f>
        <v>1800</v>
      </c>
      <c r="I340" s="3318">
        <f>150*12*1</f>
        <v>1800</v>
      </c>
    </row>
    <row r="341" spans="1:9" ht="15.75">
      <c r="A341" s="3904" t="s">
        <v>189</v>
      </c>
      <c r="B341" s="3903">
        <v>17444</v>
      </c>
      <c r="C341" s="3719"/>
      <c r="D341" s="3710"/>
      <c r="E341" s="3711" t="s">
        <v>181</v>
      </c>
      <c r="F341" s="3710">
        <v>13151</v>
      </c>
      <c r="G341" s="3906"/>
      <c r="H341" s="3318"/>
      <c r="I341" s="3318"/>
    </row>
    <row r="342" spans="1:9" ht="15.75">
      <c r="A342" s="3904" t="s">
        <v>188</v>
      </c>
      <c r="B342" s="3903">
        <v>17578</v>
      </c>
      <c r="C342" s="3719"/>
      <c r="D342" s="3710"/>
      <c r="E342" s="3711" t="s">
        <v>180</v>
      </c>
      <c r="F342" s="3710">
        <v>13366</v>
      </c>
      <c r="G342" s="3906"/>
      <c r="H342" s="3318"/>
      <c r="I342" s="3318"/>
    </row>
    <row r="343" spans="1:9" ht="15.75">
      <c r="A343" s="3904" t="s">
        <v>187</v>
      </c>
      <c r="B343" s="3903">
        <v>17713</v>
      </c>
      <c r="C343" s="3719"/>
      <c r="D343" s="3710"/>
      <c r="E343" s="3711" t="s">
        <v>179</v>
      </c>
      <c r="F343" s="3710">
        <v>13584</v>
      </c>
      <c r="G343" s="3906"/>
      <c r="H343" s="3318"/>
      <c r="I343" s="3318">
        <f>162.5*12*1</f>
        <v>1950</v>
      </c>
    </row>
    <row r="344" spans="1:9" ht="15.75">
      <c r="A344" s="3904" t="s">
        <v>186</v>
      </c>
      <c r="B344" s="3903">
        <v>17849</v>
      </c>
      <c r="C344" s="3719"/>
      <c r="D344" s="3710"/>
      <c r="E344" s="3711" t="s">
        <v>178</v>
      </c>
      <c r="F344" s="3710">
        <v>13807</v>
      </c>
      <c r="G344" s="3906"/>
      <c r="H344" s="3318"/>
      <c r="I344" s="3318"/>
    </row>
    <row r="345" spans="1:9" ht="15.75">
      <c r="A345" s="3904" t="s">
        <v>185</v>
      </c>
      <c r="B345" s="3903">
        <v>17985</v>
      </c>
      <c r="C345" s="3719"/>
      <c r="D345" s="3710"/>
      <c r="E345" s="3711" t="s">
        <v>177</v>
      </c>
      <c r="F345" s="3710">
        <v>14035</v>
      </c>
      <c r="G345" s="3906"/>
      <c r="H345" s="3318"/>
      <c r="I345" s="3318"/>
    </row>
    <row r="346" spans="1:9" ht="15.75">
      <c r="A346" s="3904" t="s">
        <v>184</v>
      </c>
      <c r="B346" s="3903">
        <v>18124</v>
      </c>
      <c r="C346" s="3719"/>
      <c r="D346" s="3710"/>
      <c r="E346" s="3711" t="s">
        <v>176</v>
      </c>
      <c r="F346" s="3710">
        <v>14267</v>
      </c>
      <c r="G346" s="3906"/>
      <c r="H346" s="3318"/>
      <c r="I346" s="3318">
        <f>175*12*1</f>
        <v>2100</v>
      </c>
    </row>
    <row r="347" spans="1:9" ht="15.75">
      <c r="A347" s="3904" t="s">
        <v>183</v>
      </c>
      <c r="B347" s="3903">
        <v>18251</v>
      </c>
      <c r="C347" s="3719"/>
      <c r="D347" s="3710"/>
      <c r="E347" s="3719" t="s">
        <v>175</v>
      </c>
      <c r="F347" s="3710">
        <v>13663</v>
      </c>
      <c r="G347" s="3906"/>
      <c r="H347" s="3318"/>
    </row>
    <row r="348" spans="1:9" ht="15.75">
      <c r="A348" s="3904" t="s">
        <v>182</v>
      </c>
      <c r="B348" s="3903">
        <v>18417</v>
      </c>
      <c r="C348" s="3719"/>
      <c r="D348" s="3710"/>
      <c r="E348" s="3719" t="s">
        <v>174</v>
      </c>
      <c r="F348" s="3710">
        <v>13884</v>
      </c>
      <c r="G348" s="3906"/>
      <c r="H348" s="3318"/>
      <c r="I348" s="3318">
        <f>162.5*12*1</f>
        <v>1950</v>
      </c>
    </row>
    <row r="349" spans="1:9" ht="15.75">
      <c r="A349" s="3904" t="s">
        <v>181</v>
      </c>
      <c r="B349" s="3903">
        <v>18583</v>
      </c>
      <c r="C349" s="3719"/>
      <c r="D349" s="3710"/>
      <c r="E349" s="3719" t="s">
        <v>173</v>
      </c>
      <c r="F349" s="3710">
        <v>14110</v>
      </c>
      <c r="G349" s="3906"/>
      <c r="H349" s="3318"/>
      <c r="I349" s="3318"/>
    </row>
    <row r="350" spans="1:9" ht="15.75">
      <c r="A350" s="3904" t="s">
        <v>180</v>
      </c>
      <c r="B350" s="3903">
        <v>18751</v>
      </c>
      <c r="C350" s="3719"/>
      <c r="D350" s="3710"/>
      <c r="E350" s="3719" t="s">
        <v>172</v>
      </c>
      <c r="F350" s="3710">
        <v>14340</v>
      </c>
      <c r="G350" s="3906"/>
      <c r="H350" s="3318"/>
      <c r="I350" s="3318"/>
    </row>
    <row r="351" spans="1:9" ht="15.75">
      <c r="A351" s="3904" t="s">
        <v>179</v>
      </c>
      <c r="B351" s="3903">
        <v>18920</v>
      </c>
      <c r="C351" s="3719"/>
      <c r="D351" s="3710"/>
      <c r="E351" s="3719" t="s">
        <v>171</v>
      </c>
      <c r="F351" s="3710">
        <v>14575</v>
      </c>
      <c r="G351" s="3906"/>
      <c r="H351" s="3318">
        <f>175*12*1</f>
        <v>2100</v>
      </c>
      <c r="I351" s="3318">
        <f>175*12*1</f>
        <v>2100</v>
      </c>
    </row>
    <row r="352" spans="1:9" ht="15.75">
      <c r="A352" s="3904" t="s">
        <v>178</v>
      </c>
      <c r="B352" s="3903">
        <v>19091</v>
      </c>
      <c r="C352" s="3719"/>
      <c r="D352" s="3710"/>
      <c r="E352" s="3719" t="s">
        <v>170</v>
      </c>
      <c r="F352" s="3710">
        <v>14813</v>
      </c>
      <c r="G352" s="3906"/>
      <c r="H352" s="3318"/>
      <c r="I352" s="3318"/>
    </row>
    <row r="353" spans="1:9" ht="15.75">
      <c r="A353" s="3904" t="s">
        <v>177</v>
      </c>
      <c r="B353" s="3903">
        <v>19264</v>
      </c>
      <c r="C353" s="3719"/>
      <c r="D353" s="3710"/>
      <c r="E353" s="3719" t="s">
        <v>169</v>
      </c>
      <c r="F353" s="3710">
        <v>15058</v>
      </c>
      <c r="G353" s="3906"/>
      <c r="H353" s="3318"/>
    </row>
    <row r="354" spans="1:9" ht="15.75">
      <c r="A354" s="3904" t="s">
        <v>176</v>
      </c>
      <c r="B354" s="3903">
        <v>19438</v>
      </c>
      <c r="C354" s="3719"/>
      <c r="D354" s="3710"/>
      <c r="E354" s="3719" t="s">
        <v>168</v>
      </c>
      <c r="F354" s="3710">
        <v>15305</v>
      </c>
      <c r="G354" s="3906"/>
      <c r="H354" s="3318"/>
      <c r="I354" s="3318">
        <f>187.5*12*1</f>
        <v>2250</v>
      </c>
    </row>
    <row r="355" spans="1:9" ht="15.75">
      <c r="A355" s="3904" t="s">
        <v>175</v>
      </c>
      <c r="B355" s="3903">
        <v>19593</v>
      </c>
      <c r="C355" s="3719"/>
      <c r="D355" s="3710"/>
      <c r="E355" s="3719" t="s">
        <v>167</v>
      </c>
      <c r="F355" s="3710">
        <v>14641</v>
      </c>
      <c r="G355" s="3906"/>
      <c r="H355" s="3318"/>
      <c r="I355" s="3318"/>
    </row>
    <row r="356" spans="1:9" ht="15.75">
      <c r="A356" s="3904" t="s">
        <v>174</v>
      </c>
      <c r="B356" s="3903">
        <v>19757</v>
      </c>
      <c r="C356" s="3719"/>
      <c r="D356" s="3710"/>
      <c r="E356" s="3719" t="s">
        <v>166</v>
      </c>
      <c r="F356" s="3710">
        <v>14878</v>
      </c>
      <c r="G356" s="3906"/>
      <c r="H356" s="3318"/>
      <c r="I356" s="3318">
        <f>175*12*1</f>
        <v>2100</v>
      </c>
    </row>
    <row r="357" spans="1:9" ht="15.75">
      <c r="A357" s="3904" t="s">
        <v>173</v>
      </c>
      <c r="B357" s="3903">
        <v>19922</v>
      </c>
      <c r="C357" s="3719"/>
      <c r="D357" s="3710"/>
      <c r="E357" s="3719" t="s">
        <v>165</v>
      </c>
      <c r="F357" s="3710">
        <v>15118</v>
      </c>
      <c r="G357" s="3906"/>
      <c r="H357" s="3318"/>
      <c r="I357" s="3318"/>
    </row>
    <row r="358" spans="1:9" ht="15.75">
      <c r="A358" s="3904" t="s">
        <v>172</v>
      </c>
      <c r="B358" s="3903">
        <v>20089</v>
      </c>
      <c r="C358" s="3719"/>
      <c r="D358" s="3710"/>
      <c r="E358" s="3719" t="s">
        <v>164</v>
      </c>
      <c r="F358" s="3710">
        <v>15364</v>
      </c>
      <c r="G358" s="3906"/>
      <c r="H358" s="3318">
        <f>187.5*12*2</f>
        <v>4500</v>
      </c>
      <c r="I358" s="3318">
        <f>187.5*12*1</f>
        <v>2250</v>
      </c>
    </row>
    <row r="359" spans="1:9" ht="15.75">
      <c r="A359" s="3904" t="s">
        <v>171</v>
      </c>
      <c r="B359" s="3903">
        <v>20257</v>
      </c>
      <c r="C359" s="3719"/>
      <c r="D359" s="3710"/>
      <c r="E359" s="3719" t="s">
        <v>163</v>
      </c>
      <c r="F359" s="3710">
        <v>15615</v>
      </c>
      <c r="G359" s="3906"/>
      <c r="H359" s="3318"/>
      <c r="I359" s="3318"/>
    </row>
    <row r="360" spans="1:9" ht="15.75">
      <c r="A360" s="3904" t="s">
        <v>170</v>
      </c>
      <c r="B360" s="3903">
        <v>20426</v>
      </c>
      <c r="C360" s="3719"/>
      <c r="D360" s="3710"/>
      <c r="E360" s="3719" t="s">
        <v>162</v>
      </c>
      <c r="F360" s="3710">
        <v>15872</v>
      </c>
      <c r="G360" s="3906"/>
      <c r="H360" s="3318"/>
      <c r="I360" s="3318"/>
    </row>
    <row r="361" spans="1:9" ht="15.75">
      <c r="A361" s="3904" t="s">
        <v>169</v>
      </c>
      <c r="B361" s="3903">
        <v>20597</v>
      </c>
      <c r="C361" s="3719"/>
      <c r="D361" s="3710"/>
      <c r="E361" s="3719" t="s">
        <v>161</v>
      </c>
      <c r="F361" s="3710">
        <v>16132</v>
      </c>
      <c r="G361" s="3906"/>
      <c r="H361" s="3318"/>
      <c r="I361" s="3318"/>
    </row>
    <row r="362" spans="1:9" ht="15.75">
      <c r="A362" s="3904" t="s">
        <v>168</v>
      </c>
      <c r="B362" s="3903">
        <v>20769</v>
      </c>
      <c r="C362" s="3719"/>
      <c r="D362" s="3710"/>
      <c r="E362" s="3719" t="s">
        <v>160</v>
      </c>
      <c r="F362" s="3710">
        <v>16398</v>
      </c>
      <c r="G362" s="3906"/>
      <c r="H362" s="3318"/>
      <c r="I362" s="3318">
        <f>200*12*1</f>
        <v>2400</v>
      </c>
    </row>
    <row r="363" spans="1:9" ht="15.75">
      <c r="A363" s="3904" t="s">
        <v>167</v>
      </c>
      <c r="B363" s="3903">
        <v>21205</v>
      </c>
      <c r="C363" s="3719"/>
      <c r="D363" s="3710"/>
      <c r="E363" s="3719" t="s">
        <v>159</v>
      </c>
      <c r="F363" s="3710">
        <v>15649</v>
      </c>
      <c r="G363" s="3906"/>
      <c r="H363" s="3318"/>
    </row>
    <row r="364" spans="1:9" ht="15.75">
      <c r="A364" s="3904" t="s">
        <v>166</v>
      </c>
      <c r="B364" s="3903">
        <v>21382</v>
      </c>
      <c r="C364" s="3719"/>
      <c r="D364" s="3710"/>
      <c r="E364" s="3719" t="s">
        <v>158</v>
      </c>
      <c r="F364" s="3710">
        <v>15900</v>
      </c>
      <c r="G364" s="3906"/>
      <c r="H364" s="3318">
        <f>187.5*12*6</f>
        <v>13500</v>
      </c>
      <c r="I364" s="3318">
        <f>187.5*12*1</f>
        <v>2250</v>
      </c>
    </row>
    <row r="365" spans="1:9" ht="15.75">
      <c r="A365" s="3904" t="s">
        <v>165</v>
      </c>
      <c r="B365" s="3903">
        <v>21561</v>
      </c>
      <c r="C365" s="3719"/>
      <c r="D365" s="3710"/>
      <c r="E365" s="3719" t="s">
        <v>157</v>
      </c>
      <c r="F365" s="3710">
        <v>16157</v>
      </c>
      <c r="G365" s="3906"/>
      <c r="H365" s="3318"/>
    </row>
    <row r="366" spans="1:9" ht="15.75">
      <c r="A366" s="3904" t="s">
        <v>164</v>
      </c>
      <c r="B366" s="3903">
        <v>21741</v>
      </c>
      <c r="C366" s="3719"/>
      <c r="D366" s="3710"/>
      <c r="E366" s="3719" t="s">
        <v>156</v>
      </c>
      <c r="F366" s="3710">
        <v>16419</v>
      </c>
      <c r="G366" s="3906"/>
      <c r="H366" s="3318"/>
      <c r="I366" s="3318"/>
    </row>
    <row r="367" spans="1:9" ht="15.75">
      <c r="A367" s="3904" t="s">
        <v>163</v>
      </c>
      <c r="B367" s="3903">
        <v>21923</v>
      </c>
      <c r="C367" s="3719"/>
      <c r="D367" s="3710"/>
      <c r="E367" s="3719" t="s">
        <v>155</v>
      </c>
      <c r="F367" s="3710">
        <v>16687</v>
      </c>
      <c r="G367" s="3906"/>
      <c r="H367" s="3318">
        <f>200*12*9</f>
        <v>21600</v>
      </c>
      <c r="I367" s="3318">
        <f>200*12*1</f>
        <v>2400</v>
      </c>
    </row>
    <row r="368" spans="1:9" ht="15.75">
      <c r="A368" s="3904" t="s">
        <v>162</v>
      </c>
      <c r="B368" s="3903">
        <v>22106</v>
      </c>
      <c r="C368" s="3719"/>
      <c r="D368" s="3710"/>
      <c r="E368" s="3719" t="s">
        <v>154</v>
      </c>
      <c r="F368" s="3710">
        <v>16959</v>
      </c>
      <c r="G368" s="3906"/>
      <c r="H368" s="3318"/>
      <c r="I368" s="3318"/>
    </row>
    <row r="369" spans="1:9" ht="15.75">
      <c r="A369" s="3904" t="s">
        <v>161</v>
      </c>
      <c r="B369" s="3903">
        <v>22291</v>
      </c>
      <c r="C369" s="3719"/>
      <c r="D369" s="3710"/>
      <c r="E369" s="3719" t="s">
        <v>153</v>
      </c>
      <c r="F369" s="3710">
        <v>17237</v>
      </c>
      <c r="G369" s="3906"/>
      <c r="H369" s="3318"/>
    </row>
    <row r="370" spans="1:9" ht="15.75">
      <c r="A370" s="3904" t="s">
        <v>160</v>
      </c>
      <c r="B370" s="3903">
        <v>22477</v>
      </c>
      <c r="C370" s="3719"/>
      <c r="D370" s="3710"/>
      <c r="E370" s="3719" t="s">
        <v>152</v>
      </c>
      <c r="F370" s="3710">
        <v>17519</v>
      </c>
      <c r="G370" s="3906"/>
      <c r="H370" s="3318">
        <f>212.5*12*6</f>
        <v>15300</v>
      </c>
      <c r="I370" s="3318">
        <f>212.5*12*1</f>
        <v>2550</v>
      </c>
    </row>
    <row r="371" spans="1:9" ht="15.75">
      <c r="A371" s="3904" t="s">
        <v>159</v>
      </c>
      <c r="B371" s="3903">
        <v>23877</v>
      </c>
      <c r="C371" s="3719"/>
      <c r="D371" s="3710"/>
      <c r="E371" s="3719" t="s">
        <v>151</v>
      </c>
      <c r="F371" s="3710">
        <v>16726</v>
      </c>
      <c r="G371" s="3906"/>
      <c r="H371" s="3318"/>
    </row>
    <row r="372" spans="1:9" ht="15.75">
      <c r="A372" s="3904" t="s">
        <v>158</v>
      </c>
      <c r="B372" s="3903">
        <v>24161</v>
      </c>
      <c r="C372" s="3719"/>
      <c r="D372" s="3710"/>
      <c r="E372" s="3719" t="s">
        <v>150</v>
      </c>
      <c r="F372" s="3710">
        <v>16995</v>
      </c>
      <c r="G372" s="3906"/>
      <c r="H372" s="3318"/>
      <c r="I372" s="3318">
        <f>200*12*1</f>
        <v>2400</v>
      </c>
    </row>
    <row r="373" spans="1:9" ht="15.75">
      <c r="A373" s="3904" t="s">
        <v>157</v>
      </c>
      <c r="B373" s="3903">
        <v>24450</v>
      </c>
      <c r="C373" s="3719"/>
      <c r="D373" s="3710"/>
      <c r="E373" s="3719" t="s">
        <v>149</v>
      </c>
      <c r="F373" s="3710">
        <v>17269</v>
      </c>
      <c r="G373" s="3906"/>
      <c r="H373" s="3318"/>
    </row>
    <row r="374" spans="1:9" ht="15.75">
      <c r="A374" s="3904" t="s">
        <v>156</v>
      </c>
      <c r="B374" s="3903">
        <v>24742</v>
      </c>
      <c r="C374" s="3719"/>
      <c r="D374" s="3710"/>
      <c r="E374" s="3719" t="s">
        <v>148</v>
      </c>
      <c r="F374" s="3710">
        <v>17548</v>
      </c>
      <c r="G374" s="3906"/>
      <c r="H374" s="3318"/>
      <c r="I374" s="3318">
        <f>212.5*12*1</f>
        <v>2550</v>
      </c>
    </row>
    <row r="375" spans="1:9" ht="15.75">
      <c r="A375" s="3904" t="s">
        <v>155</v>
      </c>
      <c r="B375" s="3903">
        <v>25038</v>
      </c>
      <c r="C375" s="3719"/>
      <c r="D375" s="3710"/>
      <c r="E375" s="3719" t="s">
        <v>147</v>
      </c>
      <c r="F375" s="3710">
        <v>17833</v>
      </c>
      <c r="G375" s="3906"/>
      <c r="H375" s="3318"/>
      <c r="I375" s="3318"/>
    </row>
    <row r="376" spans="1:9" ht="15.75">
      <c r="A376" s="3904" t="s">
        <v>154</v>
      </c>
      <c r="B376" s="3903">
        <v>25339</v>
      </c>
      <c r="C376" s="3719"/>
      <c r="D376" s="3710"/>
      <c r="E376" s="3719" t="s">
        <v>146</v>
      </c>
      <c r="F376" s="3710">
        <v>18123</v>
      </c>
      <c r="G376" s="3906"/>
      <c r="H376" s="3318"/>
      <c r="I376" s="3318"/>
    </row>
    <row r="377" spans="1:9" ht="15.75">
      <c r="A377" s="3904" t="s">
        <v>153</v>
      </c>
      <c r="B377" s="3903">
        <v>25643</v>
      </c>
      <c r="C377" s="3719"/>
      <c r="D377" s="3710"/>
      <c r="E377" s="3719" t="s">
        <v>145</v>
      </c>
      <c r="F377" s="3710">
        <v>18419</v>
      </c>
      <c r="G377" s="3906"/>
      <c r="H377" s="3318"/>
      <c r="I377" s="3318">
        <f>225*12*1</f>
        <v>2700</v>
      </c>
    </row>
    <row r="378" spans="1:9" ht="15.75">
      <c r="A378" s="3904" t="s">
        <v>152</v>
      </c>
      <c r="B378" s="3903">
        <v>25952</v>
      </c>
      <c r="C378" s="3719"/>
      <c r="D378" s="3710"/>
      <c r="E378" s="3719" t="s">
        <v>144</v>
      </c>
      <c r="F378" s="3710">
        <v>18720</v>
      </c>
      <c r="G378" s="3906"/>
      <c r="H378" s="3318"/>
      <c r="I378" s="3318"/>
    </row>
    <row r="379" spans="1:9" ht="15.75">
      <c r="A379" s="3904" t="s">
        <v>151</v>
      </c>
      <c r="B379" s="3903">
        <v>26052</v>
      </c>
      <c r="C379" s="3719"/>
      <c r="D379" s="3710"/>
      <c r="E379" s="3719" t="s">
        <v>143</v>
      </c>
      <c r="F379" s="3710">
        <v>17880</v>
      </c>
      <c r="G379" s="3906"/>
      <c r="H379" s="3318"/>
      <c r="I379" s="3318">
        <f>212.5*12*1</f>
        <v>2550</v>
      </c>
    </row>
    <row r="380" spans="1:9" ht="15.75">
      <c r="A380" s="3904" t="s">
        <v>150</v>
      </c>
      <c r="B380" s="3903">
        <v>26336</v>
      </c>
      <c r="C380" s="3719"/>
      <c r="D380" s="3710"/>
      <c r="E380" s="3719" t="s">
        <v>142</v>
      </c>
      <c r="F380" s="3710">
        <v>18166</v>
      </c>
      <c r="G380" s="3906"/>
      <c r="H380" s="3318"/>
      <c r="I380" s="3318"/>
    </row>
    <row r="381" spans="1:9" ht="15.75">
      <c r="A381" s="3904" t="s">
        <v>149</v>
      </c>
      <c r="B381" s="3903">
        <v>26624</v>
      </c>
      <c r="C381" s="3719"/>
      <c r="D381" s="3710"/>
      <c r="E381" s="3719" t="s">
        <v>141</v>
      </c>
      <c r="F381" s="3710">
        <v>18457</v>
      </c>
      <c r="G381" s="3906"/>
      <c r="H381" s="3318"/>
      <c r="I381" s="3318">
        <f>225*12*1</f>
        <v>2700</v>
      </c>
    </row>
    <row r="382" spans="1:9" ht="15.75">
      <c r="A382" s="3904" t="s">
        <v>148</v>
      </c>
      <c r="B382" s="3903">
        <v>26915</v>
      </c>
      <c r="C382" s="3719"/>
      <c r="D382" s="3710"/>
      <c r="E382" s="3719" t="s">
        <v>140</v>
      </c>
      <c r="F382" s="3710">
        <v>18755</v>
      </c>
      <c r="G382" s="3906"/>
      <c r="H382" s="3318"/>
      <c r="I382" s="3318"/>
    </row>
    <row r="383" spans="1:9" ht="15.75">
      <c r="A383" s="3904" t="s">
        <v>147</v>
      </c>
      <c r="B383" s="3903">
        <v>27210</v>
      </c>
      <c r="C383" s="3719"/>
      <c r="D383" s="3710"/>
      <c r="E383" s="3719" t="s">
        <v>139</v>
      </c>
      <c r="F383" s="3710">
        <v>19058</v>
      </c>
      <c r="G383" s="3906"/>
      <c r="H383" s="3318"/>
      <c r="I383" s="3318"/>
    </row>
    <row r="384" spans="1:9" ht="15.75">
      <c r="A384" s="3904" t="s">
        <v>146</v>
      </c>
      <c r="B384" s="3903">
        <v>27509</v>
      </c>
      <c r="C384" s="3719"/>
      <c r="D384" s="3710"/>
      <c r="E384" s="3719" t="s">
        <v>138</v>
      </c>
      <c r="F384" s="3710">
        <v>19367</v>
      </c>
      <c r="G384" s="3906"/>
      <c r="H384" s="3318"/>
      <c r="I384" s="3318">
        <f>237.5*12*1</f>
        <v>2850</v>
      </c>
    </row>
    <row r="385" spans="1:10" ht="15.75">
      <c r="A385" s="3904" t="s">
        <v>145</v>
      </c>
      <c r="B385" s="3903">
        <v>27811</v>
      </c>
      <c r="C385" s="3716"/>
      <c r="D385" s="3710"/>
      <c r="E385" s="3719" t="s">
        <v>137</v>
      </c>
      <c r="F385" s="3710">
        <v>19683</v>
      </c>
      <c r="G385" s="3906"/>
      <c r="H385" s="3318"/>
      <c r="I385" s="3318"/>
    </row>
    <row r="386" spans="1:10" ht="15.75">
      <c r="A386" s="3904" t="s">
        <v>144</v>
      </c>
      <c r="B386" s="3903">
        <v>28117</v>
      </c>
      <c r="C386" s="3716"/>
      <c r="D386" s="3710"/>
      <c r="E386" s="3719" t="s">
        <v>136</v>
      </c>
      <c r="F386" s="3710">
        <v>20004</v>
      </c>
      <c r="G386" s="3906"/>
      <c r="H386" s="3318"/>
      <c r="I386" s="3318">
        <f>250*12*1</f>
        <v>3000</v>
      </c>
    </row>
    <row r="387" spans="1:10" ht="15.75">
      <c r="A387" s="3904" t="s">
        <v>143</v>
      </c>
      <c r="B387" s="3903">
        <v>28276</v>
      </c>
      <c r="C387" s="3716"/>
      <c r="D387" s="3318"/>
      <c r="E387" s="3719" t="s">
        <v>135</v>
      </c>
      <c r="F387" s="3710">
        <v>19112</v>
      </c>
      <c r="G387" s="3906"/>
      <c r="H387" s="3318"/>
      <c r="I387" s="3318"/>
    </row>
    <row r="388" spans="1:10" ht="15.75">
      <c r="A388" s="3904" t="s">
        <v>142</v>
      </c>
      <c r="B388" s="3903">
        <v>28589</v>
      </c>
      <c r="C388" s="3716"/>
      <c r="D388" s="3710"/>
      <c r="E388" s="3719" t="s">
        <v>134</v>
      </c>
      <c r="F388" s="3710">
        <v>19418</v>
      </c>
      <c r="G388" s="3906"/>
      <c r="H388" s="3318"/>
      <c r="I388" s="3318">
        <f>237.5*12*1</f>
        <v>2850</v>
      </c>
    </row>
    <row r="389" spans="1:10" ht="15.75">
      <c r="A389" s="3904" t="s">
        <v>141</v>
      </c>
      <c r="B389" s="3903">
        <v>28905</v>
      </c>
      <c r="C389" s="3716"/>
      <c r="D389" s="3710"/>
      <c r="E389" s="3719" t="s">
        <v>133</v>
      </c>
      <c r="F389" s="3710">
        <v>19728</v>
      </c>
      <c r="G389" s="3906"/>
      <c r="H389" s="3318"/>
      <c r="I389" s="3318"/>
    </row>
    <row r="390" spans="1:10" ht="15.75">
      <c r="A390" s="3904" t="s">
        <v>140</v>
      </c>
      <c r="B390" s="3903">
        <v>29225</v>
      </c>
      <c r="C390" s="3716"/>
      <c r="D390" s="3710"/>
      <c r="E390" s="3719" t="s">
        <v>132</v>
      </c>
      <c r="F390" s="3710">
        <v>20045</v>
      </c>
      <c r="G390" s="3908"/>
      <c r="H390" s="3720"/>
      <c r="I390" s="3720"/>
    </row>
    <row r="391" spans="1:10" ht="15.75">
      <c r="A391" s="3904" t="s">
        <v>139</v>
      </c>
      <c r="B391" s="3903">
        <v>29550</v>
      </c>
      <c r="C391" s="3716"/>
      <c r="D391" s="3710"/>
      <c r="E391" s="3719" t="s">
        <v>131</v>
      </c>
      <c r="F391" s="3710">
        <v>20369</v>
      </c>
      <c r="G391" s="3906"/>
      <c r="H391" s="3318"/>
      <c r="I391" s="3318">
        <f>250*12*1</f>
        <v>3000</v>
      </c>
    </row>
    <row r="392" spans="1:10" ht="15.75">
      <c r="A392" s="3904" t="s">
        <v>138</v>
      </c>
      <c r="B392" s="3903">
        <v>29878</v>
      </c>
      <c r="C392" s="3716"/>
      <c r="D392" s="3710"/>
      <c r="E392" s="3719" t="s">
        <v>130</v>
      </c>
      <c r="F392" s="3710">
        <v>20699</v>
      </c>
      <c r="G392" s="3906"/>
      <c r="H392" s="3318"/>
      <c r="I392" s="3318"/>
    </row>
    <row r="393" spans="1:10" ht="15.75">
      <c r="A393" s="3904" t="s">
        <v>137</v>
      </c>
      <c r="B393" s="3903">
        <v>30210</v>
      </c>
      <c r="C393" s="3716"/>
      <c r="D393" s="3710"/>
      <c r="E393" s="3719" t="s">
        <v>129</v>
      </c>
      <c r="F393" s="3710">
        <v>21034</v>
      </c>
      <c r="G393" s="3906"/>
      <c r="H393" s="3318"/>
      <c r="I393" s="3318"/>
    </row>
    <row r="394" spans="1:10" ht="15.75">
      <c r="A394" s="3904" t="s">
        <v>136</v>
      </c>
      <c r="B394" s="3903">
        <v>30547</v>
      </c>
      <c r="C394" s="3716"/>
      <c r="D394" s="3710"/>
      <c r="E394" s="3719" t="s">
        <v>128</v>
      </c>
      <c r="F394" s="3710">
        <v>21376</v>
      </c>
      <c r="G394" s="3906"/>
      <c r="H394" s="3318"/>
      <c r="I394" s="3318">
        <f>262.5*12*1</f>
        <v>3150</v>
      </c>
    </row>
    <row r="395" spans="1:10" ht="15.75">
      <c r="A395" s="3904" t="s">
        <v>135</v>
      </c>
      <c r="B395" s="3903">
        <v>30799</v>
      </c>
      <c r="C395" s="3716"/>
      <c r="D395" s="3710"/>
      <c r="E395" s="3719" t="s">
        <v>127</v>
      </c>
      <c r="F395" s="3710">
        <v>20490</v>
      </c>
      <c r="G395" s="3906"/>
      <c r="H395" s="3318"/>
      <c r="I395" s="3318"/>
    </row>
    <row r="396" spans="1:10" ht="15.75">
      <c r="A396" s="3904" t="s">
        <v>134</v>
      </c>
      <c r="B396" s="3903">
        <v>31143</v>
      </c>
      <c r="C396" s="3716"/>
      <c r="D396" s="3710"/>
      <c r="E396" s="3719" t="s">
        <v>126</v>
      </c>
      <c r="F396" s="3710">
        <v>20827</v>
      </c>
      <c r="G396" s="3906"/>
      <c r="H396" s="3318">
        <f>250*12*3</f>
        <v>9000</v>
      </c>
      <c r="I396" s="3318">
        <f>250*12*1</f>
        <v>3000</v>
      </c>
    </row>
    <row r="397" spans="1:10" ht="15.75">
      <c r="A397" s="3904" t="s">
        <v>133</v>
      </c>
      <c r="B397" s="3903">
        <v>31491</v>
      </c>
      <c r="C397" s="3716"/>
      <c r="D397" s="3710"/>
      <c r="E397" s="3719" t="s">
        <v>125</v>
      </c>
      <c r="F397" s="3710">
        <v>21172</v>
      </c>
      <c r="G397" s="3906"/>
      <c r="H397" s="3318"/>
      <c r="I397" s="3318"/>
    </row>
    <row r="398" spans="1:10" ht="15.75">
      <c r="A398" s="3904" t="s">
        <v>132</v>
      </c>
      <c r="B398" s="3903">
        <v>31844</v>
      </c>
      <c r="C398" s="3716"/>
      <c r="D398" s="3710"/>
      <c r="E398" s="3719" t="s">
        <v>124</v>
      </c>
      <c r="F398" s="3710">
        <v>21523</v>
      </c>
      <c r="G398" s="3906"/>
      <c r="H398" s="3318">
        <f>262.5*12*3</f>
        <v>9450</v>
      </c>
      <c r="I398" s="3318">
        <f>262.5*12*1</f>
        <v>3150</v>
      </c>
      <c r="J398" s="3318">
        <f>262.5*12*1</f>
        <v>3150</v>
      </c>
    </row>
    <row r="399" spans="1:10" ht="15.75">
      <c r="A399" s="3904" t="s">
        <v>131</v>
      </c>
      <c r="B399" s="3903">
        <v>32200</v>
      </c>
      <c r="C399" s="3716"/>
      <c r="D399" s="3710"/>
      <c r="E399" s="3719" t="s">
        <v>123</v>
      </c>
      <c r="F399" s="3710">
        <v>21882</v>
      </c>
      <c r="G399" s="3906"/>
      <c r="H399" s="3318"/>
      <c r="I399" s="3318"/>
    </row>
    <row r="400" spans="1:10" ht="15.75">
      <c r="A400" s="3904" t="s">
        <v>130</v>
      </c>
      <c r="B400" s="3903">
        <v>32561</v>
      </c>
      <c r="C400" s="3716"/>
      <c r="D400" s="3710"/>
      <c r="E400" s="3719" t="s">
        <v>122</v>
      </c>
      <c r="F400" s="3710">
        <v>22247</v>
      </c>
      <c r="G400" s="3906"/>
      <c r="H400" s="3318"/>
      <c r="I400" s="3318"/>
    </row>
    <row r="401" spans="1:9" ht="15.75">
      <c r="A401" s="3904" t="s">
        <v>129</v>
      </c>
      <c r="B401" s="3903">
        <v>32927</v>
      </c>
      <c r="C401" s="3716"/>
      <c r="D401" s="3710"/>
      <c r="E401" s="3719" t="s">
        <v>121</v>
      </c>
      <c r="F401" s="3710">
        <v>22619</v>
      </c>
      <c r="G401" s="3906"/>
      <c r="H401" s="3318">
        <f>275*12*1</f>
        <v>3300</v>
      </c>
      <c r="I401" s="3318">
        <f>275*12*1</f>
        <v>3300</v>
      </c>
    </row>
    <row r="402" spans="1:9" ht="15.75">
      <c r="A402" s="3904" t="s">
        <v>128</v>
      </c>
      <c r="B402" s="3903">
        <v>33297</v>
      </c>
      <c r="C402" s="3716"/>
      <c r="D402" s="3710"/>
      <c r="E402" s="3719" t="s">
        <v>120</v>
      </c>
      <c r="F402" s="3710">
        <v>22999</v>
      </c>
      <c r="G402" s="3906"/>
      <c r="H402" s="3318"/>
      <c r="I402" s="3318"/>
    </row>
    <row r="403" spans="1:9" ht="15.75">
      <c r="A403" s="3904" t="s">
        <v>127</v>
      </c>
      <c r="B403" s="3903">
        <v>33575</v>
      </c>
      <c r="C403" s="3716"/>
      <c r="D403" s="3710"/>
      <c r="E403" s="3719" t="s">
        <v>119</v>
      </c>
      <c r="F403" s="3710">
        <v>21969</v>
      </c>
      <c r="G403" s="3906"/>
      <c r="H403" s="3318"/>
      <c r="I403" s="3318">
        <f>262.5*12*1</f>
        <v>3150</v>
      </c>
    </row>
    <row r="404" spans="1:9" ht="15.75">
      <c r="A404" s="3904" t="s">
        <v>126</v>
      </c>
      <c r="B404" s="3903">
        <v>33953</v>
      </c>
      <c r="C404" s="3716"/>
      <c r="D404" s="3710"/>
      <c r="E404" s="3719" t="s">
        <v>118</v>
      </c>
      <c r="F404" s="3710">
        <v>22329</v>
      </c>
      <c r="G404" s="3906"/>
      <c r="H404" s="3318"/>
      <c r="I404" s="3318"/>
    </row>
    <row r="405" spans="1:9" ht="15.75">
      <c r="A405" s="3904" t="s">
        <v>125</v>
      </c>
      <c r="B405" s="3903">
        <v>34336</v>
      </c>
      <c r="C405" s="3716"/>
      <c r="D405" s="3710"/>
      <c r="E405" s="3719" t="s">
        <v>117</v>
      </c>
      <c r="F405" s="3710">
        <v>22697</v>
      </c>
      <c r="G405" s="3906"/>
      <c r="H405" s="3318"/>
      <c r="I405" s="3318">
        <f>262.5*12*1</f>
        <v>3150</v>
      </c>
    </row>
    <row r="406" spans="1:9" ht="15.75">
      <c r="A406" s="3904" t="s">
        <v>124</v>
      </c>
      <c r="B406" s="3903">
        <v>34724</v>
      </c>
      <c r="C406" s="3716"/>
      <c r="D406" s="3710"/>
      <c r="E406" s="3719" t="s">
        <v>116</v>
      </c>
      <c r="F406" s="3710">
        <v>23073</v>
      </c>
      <c r="G406" s="3906"/>
      <c r="H406" s="3318"/>
      <c r="I406" s="3318"/>
    </row>
    <row r="407" spans="1:9" ht="15.75">
      <c r="A407" s="3904" t="s">
        <v>123</v>
      </c>
      <c r="B407" s="3903">
        <v>35116</v>
      </c>
      <c r="C407" s="3716"/>
      <c r="D407" s="3710"/>
      <c r="E407" s="3719" t="s">
        <v>115</v>
      </c>
      <c r="F407" s="3710">
        <v>23455</v>
      </c>
      <c r="G407" s="3906"/>
      <c r="H407" s="3318"/>
      <c r="I407" s="3318">
        <f>287.5*12*1</f>
        <v>3450</v>
      </c>
    </row>
    <row r="408" spans="1:9" ht="15.75">
      <c r="A408" s="3904" t="s">
        <v>122</v>
      </c>
      <c r="B408" s="3903">
        <v>35513</v>
      </c>
      <c r="C408" s="3716"/>
      <c r="D408" s="3710"/>
      <c r="E408" s="3719" t="s">
        <v>114</v>
      </c>
      <c r="F408" s="3710">
        <v>23845</v>
      </c>
      <c r="G408" s="3906"/>
      <c r="H408" s="3318"/>
    </row>
    <row r="409" spans="1:9" ht="15.75">
      <c r="A409" s="3904" t="s">
        <v>121</v>
      </c>
      <c r="B409" s="3903">
        <v>35915</v>
      </c>
      <c r="C409" s="3719"/>
      <c r="D409" s="3710"/>
      <c r="E409" s="3719" t="s">
        <v>113</v>
      </c>
      <c r="F409" s="3710">
        <v>24243</v>
      </c>
      <c r="G409" s="3906"/>
      <c r="H409" s="3318"/>
      <c r="I409" s="3318"/>
    </row>
    <row r="410" spans="1:9" ht="15.75">
      <c r="A410" s="3904" t="s">
        <v>120</v>
      </c>
      <c r="B410" s="3903">
        <v>36323</v>
      </c>
      <c r="C410" s="3719"/>
      <c r="D410" s="3710"/>
      <c r="E410" s="3719" t="s">
        <v>112</v>
      </c>
      <c r="F410" s="3710">
        <v>24647</v>
      </c>
      <c r="G410" s="3906"/>
      <c r="H410" s="3318"/>
      <c r="I410" s="3318">
        <f>300*12*1</f>
        <v>3600</v>
      </c>
    </row>
    <row r="411" spans="1:9" ht="15.75">
      <c r="A411" s="3904" t="s">
        <v>119</v>
      </c>
      <c r="B411" s="3903">
        <v>36628</v>
      </c>
      <c r="C411" s="3719"/>
      <c r="D411" s="3710"/>
      <c r="E411" s="3719" t="s">
        <v>111</v>
      </c>
      <c r="F411" s="3710">
        <v>23555</v>
      </c>
      <c r="G411" s="3906"/>
      <c r="H411" s="3318"/>
      <c r="I411" s="3318"/>
    </row>
    <row r="412" spans="1:9" ht="15.75">
      <c r="A412" s="3904" t="s">
        <v>118</v>
      </c>
      <c r="B412" s="3903">
        <v>37044</v>
      </c>
      <c r="C412" s="3719"/>
      <c r="D412" s="3710"/>
      <c r="E412" s="3719" t="s">
        <v>110</v>
      </c>
      <c r="F412" s="3710">
        <v>23941</v>
      </c>
      <c r="G412" s="3906"/>
      <c r="H412" s="3318"/>
      <c r="I412" s="3318">
        <f>287.5*12*1</f>
        <v>3450</v>
      </c>
    </row>
    <row r="413" spans="1:9" ht="15.75">
      <c r="A413" s="3904" t="s">
        <v>117</v>
      </c>
      <c r="B413" s="3903">
        <v>37465</v>
      </c>
      <c r="C413" s="3719"/>
      <c r="D413" s="3710"/>
      <c r="E413" s="3719" t="s">
        <v>109</v>
      </c>
      <c r="F413" s="3710">
        <v>24334</v>
      </c>
      <c r="G413" s="3906"/>
      <c r="H413" s="3318"/>
      <c r="I413" s="3318"/>
    </row>
    <row r="414" spans="1:9" ht="15.75">
      <c r="A414" s="3904" t="s">
        <v>116</v>
      </c>
      <c r="B414" s="3903">
        <v>37891</v>
      </c>
      <c r="C414" s="3719"/>
      <c r="D414" s="3710"/>
      <c r="E414" s="3719" t="s">
        <v>108</v>
      </c>
      <c r="F414" s="3710">
        <v>24734</v>
      </c>
      <c r="G414" s="3906"/>
      <c r="H414" s="3318">
        <f>300*12*1</f>
        <v>3600</v>
      </c>
      <c r="I414" s="3318">
        <f>300*12*1</f>
        <v>3600</v>
      </c>
    </row>
    <row r="415" spans="1:9" ht="15.75">
      <c r="A415" s="3904" t="s">
        <v>115</v>
      </c>
      <c r="B415" s="3903">
        <v>38323</v>
      </c>
      <c r="C415" s="3719"/>
      <c r="D415" s="3710"/>
      <c r="E415" s="3719" t="s">
        <v>107</v>
      </c>
      <c r="F415" s="3710">
        <v>25144</v>
      </c>
      <c r="G415" s="3906"/>
      <c r="H415" s="3318"/>
      <c r="I415" s="3318"/>
    </row>
    <row r="416" spans="1:9" ht="15.75">
      <c r="A416" s="3904" t="s">
        <v>114</v>
      </c>
      <c r="B416" s="3903">
        <v>38760</v>
      </c>
      <c r="C416" s="3719"/>
      <c r="D416" s="3710"/>
      <c r="E416" s="3719" t="s">
        <v>106</v>
      </c>
      <c r="F416" s="3710">
        <v>25560</v>
      </c>
      <c r="G416" s="3906"/>
      <c r="H416" s="3318"/>
      <c r="I416" s="3318">
        <f>312.5*12*1</f>
        <v>3750</v>
      </c>
    </row>
    <row r="417" spans="1:9" ht="15.75">
      <c r="A417" s="3904" t="s">
        <v>113</v>
      </c>
      <c r="B417" s="3903">
        <v>39203</v>
      </c>
      <c r="C417" s="3905"/>
      <c r="D417" s="3710"/>
      <c r="E417" s="3719" t="s">
        <v>105</v>
      </c>
      <c r="F417" s="3710">
        <v>25984</v>
      </c>
      <c r="G417" s="3906"/>
      <c r="H417" s="3318"/>
      <c r="I417" s="3318"/>
    </row>
    <row r="418" spans="1:9" ht="15.75">
      <c r="A418" s="3904" t="s">
        <v>112</v>
      </c>
      <c r="B418" s="3903">
        <v>39650</v>
      </c>
      <c r="C418" s="3905"/>
      <c r="D418" s="3710"/>
      <c r="E418" s="3719" t="s">
        <v>104</v>
      </c>
      <c r="F418" s="3710">
        <v>26416</v>
      </c>
      <c r="G418" s="3906"/>
      <c r="H418" s="3318"/>
      <c r="I418" s="3318">
        <f>325*12*1</f>
        <v>3900</v>
      </c>
    </row>
    <row r="419" spans="1:9" ht="15.75">
      <c r="A419" s="3904" t="s">
        <v>111</v>
      </c>
      <c r="B419" s="3903">
        <v>39986</v>
      </c>
      <c r="C419" s="3707"/>
      <c r="D419" s="3707"/>
      <c r="E419" s="3716" t="s">
        <v>103</v>
      </c>
      <c r="F419" s="3710">
        <v>25259</v>
      </c>
      <c r="G419" s="3906"/>
      <c r="H419" s="3318"/>
      <c r="I419" s="3318"/>
    </row>
    <row r="420" spans="1:9" ht="15.75">
      <c r="A420" s="3904" t="s">
        <v>110</v>
      </c>
      <c r="B420" s="3903">
        <v>40444</v>
      </c>
      <c r="C420" s="3905"/>
      <c r="D420" s="3905"/>
      <c r="E420" s="3716" t="s">
        <v>102</v>
      </c>
      <c r="F420" s="3710">
        <v>25671</v>
      </c>
      <c r="G420" s="3906"/>
      <c r="H420" s="3318">
        <f>312.5*12*1</f>
        <v>3750</v>
      </c>
      <c r="I420" s="3318">
        <f>312.5*12*1</f>
        <v>3750</v>
      </c>
    </row>
    <row r="421" spans="1:9" ht="15.75">
      <c r="A421" s="3904" t="s">
        <v>109</v>
      </c>
      <c r="B421" s="3903">
        <v>40907</v>
      </c>
      <c r="C421" s="3905"/>
      <c r="D421" s="3905"/>
      <c r="E421" s="3716" t="s">
        <v>101</v>
      </c>
      <c r="F421" s="3710">
        <v>26091</v>
      </c>
      <c r="G421" s="3906"/>
      <c r="H421" s="3318"/>
      <c r="I421" s="3318"/>
    </row>
    <row r="422" spans="1:9" ht="15.75">
      <c r="A422" s="3904" t="s">
        <v>108</v>
      </c>
      <c r="B422" s="3903">
        <v>41376</v>
      </c>
      <c r="C422" s="3905"/>
      <c r="D422" s="3905"/>
      <c r="E422" s="3716" t="s">
        <v>100</v>
      </c>
      <c r="F422" s="3710">
        <v>26519</v>
      </c>
      <c r="G422" s="3906"/>
      <c r="H422" s="3318">
        <f>325*12*1</f>
        <v>3900</v>
      </c>
      <c r="I422" s="3318">
        <f>325*12*1</f>
        <v>3900</v>
      </c>
    </row>
    <row r="423" spans="1:9" ht="15.75">
      <c r="A423" s="3904" t="s">
        <v>107</v>
      </c>
      <c r="B423" s="3903">
        <v>41851</v>
      </c>
      <c r="C423" s="3905"/>
      <c r="D423" s="3905"/>
      <c r="E423" s="3716" t="s">
        <v>99</v>
      </c>
      <c r="F423" s="3710">
        <v>26959</v>
      </c>
      <c r="G423" s="3906"/>
      <c r="H423" s="3318"/>
      <c r="I423" s="3318"/>
    </row>
    <row r="424" spans="1:9" ht="15.75">
      <c r="A424" s="3904" t="s">
        <v>106</v>
      </c>
      <c r="B424" s="3903">
        <v>42332</v>
      </c>
      <c r="C424" s="3905"/>
      <c r="D424" s="3905"/>
      <c r="E424" s="3716" t="s">
        <v>98</v>
      </c>
      <c r="F424" s="3710">
        <v>27399</v>
      </c>
      <c r="G424" s="3906"/>
      <c r="H424" s="3318"/>
      <c r="I424" s="3318"/>
    </row>
    <row r="425" spans="1:9" ht="15.75">
      <c r="A425" s="3904" t="s">
        <v>105</v>
      </c>
      <c r="B425" s="3903">
        <v>42818</v>
      </c>
      <c r="C425" s="3905"/>
      <c r="D425" s="3905"/>
      <c r="E425" s="3716" t="s">
        <v>97</v>
      </c>
      <c r="F425" s="3710">
        <v>27853</v>
      </c>
      <c r="G425" s="3906"/>
      <c r="H425" s="3318">
        <f>337.5*12*1</f>
        <v>4050</v>
      </c>
      <c r="I425" s="3318">
        <f>337.5*12*1</f>
        <v>4050</v>
      </c>
    </row>
    <row r="426" spans="1:9" ht="15.75">
      <c r="A426" s="3904" t="s">
        <v>104</v>
      </c>
      <c r="B426" s="3903">
        <v>43311</v>
      </c>
      <c r="C426" s="3905"/>
      <c r="D426" s="3905"/>
      <c r="E426" s="3716" t="s">
        <v>96</v>
      </c>
      <c r="F426" s="3710">
        <v>28315</v>
      </c>
      <c r="G426" s="3906"/>
      <c r="H426" s="3318"/>
      <c r="I426" s="3318">
        <f>350*12*1</f>
        <v>4200</v>
      </c>
    </row>
    <row r="427" spans="1:9" ht="15.75">
      <c r="A427" s="3904" t="s">
        <v>103</v>
      </c>
      <c r="B427" s="3903">
        <v>43681</v>
      </c>
      <c r="C427" s="3905"/>
      <c r="D427" s="3905"/>
      <c r="E427" s="3716" t="s">
        <v>95</v>
      </c>
      <c r="F427" s="3710">
        <v>27088</v>
      </c>
      <c r="G427" s="3906"/>
      <c r="H427" s="3318"/>
      <c r="I427" s="3318"/>
    </row>
    <row r="428" spans="1:9" ht="15.75">
      <c r="A428" s="3904" t="s">
        <v>102</v>
      </c>
      <c r="B428" s="3903">
        <v>44184</v>
      </c>
      <c r="C428" s="3905"/>
      <c r="D428" s="3905"/>
      <c r="E428" s="3716" t="s">
        <v>94</v>
      </c>
      <c r="F428" s="3710">
        <v>27528</v>
      </c>
      <c r="G428" s="3906"/>
      <c r="H428" s="3318">
        <f>337.5*12*1</f>
        <v>4050</v>
      </c>
      <c r="I428" s="3318">
        <f>337.5*12*1</f>
        <v>4050</v>
      </c>
    </row>
    <row r="429" spans="1:9" ht="15.75">
      <c r="A429" s="3904" t="s">
        <v>101</v>
      </c>
      <c r="B429" s="3903">
        <v>44694</v>
      </c>
      <c r="C429" s="3905"/>
      <c r="D429" s="3905"/>
      <c r="E429" s="3716" t="s">
        <v>93</v>
      </c>
      <c r="F429" s="3710">
        <v>27977</v>
      </c>
      <c r="G429" s="3906"/>
      <c r="H429" s="3318"/>
      <c r="I429" s="3318"/>
    </row>
    <row r="430" spans="1:9" ht="15.75">
      <c r="A430" s="3904" t="s">
        <v>100</v>
      </c>
      <c r="B430" s="3903">
        <v>45209</v>
      </c>
      <c r="C430" s="3905"/>
      <c r="D430" s="3905"/>
      <c r="E430" s="3716" t="s">
        <v>92</v>
      </c>
      <c r="F430" s="3710">
        <v>28434</v>
      </c>
      <c r="G430" s="3906"/>
      <c r="H430" s="3318"/>
      <c r="I430" s="3318"/>
    </row>
    <row r="431" spans="1:9" ht="15.75">
      <c r="A431" s="3904" t="s">
        <v>99</v>
      </c>
      <c r="B431" s="3903">
        <v>45732</v>
      </c>
      <c r="C431" s="3905"/>
      <c r="D431" s="3905"/>
      <c r="E431" s="3716" t="s">
        <v>91</v>
      </c>
      <c r="F431" s="3710">
        <v>28901</v>
      </c>
      <c r="G431" s="3906"/>
      <c r="H431" s="3318"/>
      <c r="I431" s="3318">
        <f>350*12*1</f>
        <v>4200</v>
      </c>
    </row>
    <row r="432" spans="1:9" ht="15.75">
      <c r="A432" s="3904" t="s">
        <v>98</v>
      </c>
      <c r="B432" s="3903">
        <v>46261</v>
      </c>
      <c r="C432" s="3905"/>
      <c r="D432" s="3905"/>
      <c r="E432" s="3716" t="s">
        <v>90</v>
      </c>
      <c r="F432" s="3710">
        <v>29375</v>
      </c>
      <c r="G432" s="3906"/>
      <c r="H432" s="3318"/>
      <c r="I432" s="3318"/>
    </row>
    <row r="433" spans="1:9" ht="15.75">
      <c r="A433" s="3904" t="s">
        <v>97</v>
      </c>
      <c r="B433" s="3903">
        <v>46796</v>
      </c>
      <c r="C433" s="3905"/>
      <c r="D433" s="3905"/>
      <c r="E433" s="3716" t="s">
        <v>89</v>
      </c>
      <c r="F433" s="3710">
        <v>29859</v>
      </c>
      <c r="G433" s="3906"/>
      <c r="H433" s="3318"/>
      <c r="I433" s="3318">
        <f>362.5*12*1</f>
        <v>4350</v>
      </c>
    </row>
    <row r="434" spans="1:9" ht="15.75">
      <c r="A434" s="3904" t="s">
        <v>96</v>
      </c>
      <c r="B434" s="3903">
        <v>47338</v>
      </c>
      <c r="C434" s="3905"/>
      <c r="D434" s="3905"/>
      <c r="E434" s="3716" t="s">
        <v>88</v>
      </c>
      <c r="F434" s="3710">
        <v>30352</v>
      </c>
      <c r="G434" s="3906"/>
      <c r="H434" s="3318"/>
      <c r="I434" s="3318">
        <f>375*12*1</f>
        <v>4500</v>
      </c>
    </row>
    <row r="435" spans="1:9" ht="15.75">
      <c r="A435" s="3904" t="s">
        <v>95</v>
      </c>
      <c r="B435" s="3903">
        <v>48313</v>
      </c>
      <c r="C435" s="3905"/>
      <c r="D435" s="3905"/>
      <c r="E435" s="3716" t="s">
        <v>87</v>
      </c>
      <c r="F435" s="3710">
        <v>29052</v>
      </c>
      <c r="G435" s="3906"/>
      <c r="H435" s="3318"/>
      <c r="I435" s="3318"/>
    </row>
    <row r="436" spans="1:9" ht="15.75">
      <c r="A436" s="3904" t="s">
        <v>94</v>
      </c>
      <c r="B436" s="3903">
        <v>49052</v>
      </c>
      <c r="C436" s="3905"/>
      <c r="D436" s="3905"/>
      <c r="E436" s="3716" t="s">
        <v>86</v>
      </c>
      <c r="F436" s="3710">
        <v>29522</v>
      </c>
      <c r="G436" s="3906"/>
      <c r="H436" s="3318"/>
      <c r="I436" s="3318">
        <f>362.5*12*1</f>
        <v>4350</v>
      </c>
    </row>
    <row r="437" spans="1:9" ht="15.75">
      <c r="A437" s="3904" t="s">
        <v>93</v>
      </c>
      <c r="B437" s="3903">
        <v>49803</v>
      </c>
      <c r="C437" s="3905"/>
      <c r="D437" s="3905"/>
      <c r="E437" s="3716" t="s">
        <v>85</v>
      </c>
      <c r="F437" s="3710">
        <v>30001</v>
      </c>
      <c r="G437" s="3906"/>
      <c r="H437" s="3318"/>
      <c r="I437" s="3318"/>
    </row>
    <row r="438" spans="1:9" ht="15.75">
      <c r="A438" s="3904" t="s">
        <v>92</v>
      </c>
      <c r="B438" s="3903">
        <v>50566</v>
      </c>
      <c r="C438" s="3905"/>
      <c r="D438" s="3905"/>
      <c r="E438" s="3716" t="s">
        <v>84</v>
      </c>
      <c r="F438" s="3710">
        <v>30491</v>
      </c>
      <c r="G438" s="3906"/>
      <c r="H438" s="3318"/>
      <c r="I438" s="3318"/>
    </row>
    <row r="439" spans="1:9" ht="15.75">
      <c r="A439" s="3904" t="s">
        <v>91</v>
      </c>
      <c r="B439" s="3903">
        <v>51342</v>
      </c>
      <c r="C439" s="3905"/>
      <c r="D439" s="3905"/>
      <c r="E439" s="3716" t="s">
        <v>83</v>
      </c>
      <c r="F439" s="3710">
        <v>30988</v>
      </c>
      <c r="G439" s="3906"/>
      <c r="H439" s="3318"/>
      <c r="I439" s="3318"/>
    </row>
    <row r="440" spans="1:9" ht="15.75">
      <c r="A440" s="3904" t="s">
        <v>90</v>
      </c>
      <c r="B440" s="3903">
        <v>52130</v>
      </c>
      <c r="C440" s="3905"/>
      <c r="D440" s="3905"/>
      <c r="E440" s="3716" t="s">
        <v>82</v>
      </c>
      <c r="F440" s="3710">
        <v>31495</v>
      </c>
      <c r="G440" s="3906"/>
      <c r="H440" s="3318"/>
      <c r="I440" s="3318"/>
    </row>
    <row r="441" spans="1:9" ht="15.75">
      <c r="A441" s="3904" t="s">
        <v>89</v>
      </c>
      <c r="B441" s="3903">
        <v>52932</v>
      </c>
      <c r="C441" s="3905"/>
      <c r="D441" s="3905"/>
      <c r="E441" s="3716" t="s">
        <v>81</v>
      </c>
      <c r="F441" s="3710">
        <v>32012</v>
      </c>
      <c r="G441" s="3906"/>
      <c r="H441" s="3318"/>
      <c r="I441" s="3318"/>
    </row>
    <row r="442" spans="1:9" ht="15.75">
      <c r="A442" s="3904" t="s">
        <v>88</v>
      </c>
      <c r="B442" s="3903">
        <v>53746</v>
      </c>
      <c r="C442" s="3905"/>
      <c r="D442" s="3905"/>
      <c r="E442" s="3716" t="s">
        <v>80</v>
      </c>
      <c r="F442" s="3710">
        <v>32539</v>
      </c>
      <c r="G442" s="3906"/>
      <c r="H442" s="3318"/>
      <c r="I442" s="3318"/>
    </row>
    <row r="443" spans="1:9" ht="15.75">
      <c r="A443" s="3904" t="s">
        <v>87</v>
      </c>
      <c r="B443" s="3903">
        <v>54251</v>
      </c>
      <c r="C443" s="3905"/>
      <c r="D443" s="3905"/>
      <c r="E443" s="3716" t="s">
        <v>79</v>
      </c>
      <c r="F443" s="3710">
        <v>30945</v>
      </c>
      <c r="G443" s="3906"/>
      <c r="H443" s="3318"/>
      <c r="I443" s="3318"/>
    </row>
    <row r="444" spans="1:9" ht="15.75">
      <c r="A444" s="3904" t="s">
        <v>86</v>
      </c>
      <c r="B444" s="3903">
        <v>55085</v>
      </c>
      <c r="C444" s="3905"/>
      <c r="D444" s="3905"/>
      <c r="E444" s="3716" t="s">
        <v>78</v>
      </c>
      <c r="F444" s="3710">
        <v>31443</v>
      </c>
      <c r="G444" s="3906"/>
      <c r="H444" s="3318"/>
      <c r="I444" s="3318"/>
    </row>
    <row r="445" spans="1:9" ht="15.75">
      <c r="A445" s="3904" t="s">
        <v>85</v>
      </c>
      <c r="B445" s="3903">
        <v>55934</v>
      </c>
      <c r="C445" s="3905"/>
      <c r="D445" s="3905"/>
      <c r="E445" s="3716" t="s">
        <v>77</v>
      </c>
      <c r="F445" s="3710">
        <v>31949</v>
      </c>
      <c r="G445" s="3906"/>
      <c r="H445" s="3318"/>
      <c r="I445" s="3318"/>
    </row>
    <row r="446" spans="1:9" ht="15.75">
      <c r="A446" s="3904" t="s">
        <v>84</v>
      </c>
      <c r="B446" s="3903">
        <v>56796</v>
      </c>
      <c r="C446" s="3905"/>
      <c r="D446" s="3905"/>
      <c r="E446" s="3716" t="s">
        <v>76</v>
      </c>
      <c r="F446" s="3710">
        <v>32465</v>
      </c>
      <c r="G446" s="3906"/>
      <c r="H446" s="3318"/>
      <c r="I446" s="3318"/>
    </row>
    <row r="447" spans="1:9" ht="15.75">
      <c r="A447" s="3904" t="s">
        <v>83</v>
      </c>
      <c r="B447" s="3903">
        <v>57673</v>
      </c>
      <c r="C447" s="3905"/>
      <c r="D447" s="3905"/>
      <c r="E447" s="3716" t="s">
        <v>75</v>
      </c>
      <c r="F447" s="3710">
        <v>32991</v>
      </c>
      <c r="G447" s="3906"/>
      <c r="H447" s="3318"/>
      <c r="I447" s="3318"/>
    </row>
    <row r="448" spans="1:9" ht="15.75">
      <c r="A448" s="3904" t="s">
        <v>82</v>
      </c>
      <c r="B448" s="3903">
        <v>58564</v>
      </c>
      <c r="C448" s="3905"/>
      <c r="D448" s="3905"/>
      <c r="E448" s="3716" t="s">
        <v>74</v>
      </c>
      <c r="F448" s="3710">
        <v>33527</v>
      </c>
      <c r="G448" s="3906"/>
      <c r="H448" s="3318"/>
      <c r="I448" s="3318"/>
    </row>
    <row r="449" spans="1:9" ht="15.75">
      <c r="A449" s="3904" t="s">
        <v>81</v>
      </c>
      <c r="B449" s="3903">
        <v>59469</v>
      </c>
      <c r="C449" s="3905"/>
      <c r="D449" s="3905"/>
      <c r="E449" s="3716" t="s">
        <v>73</v>
      </c>
      <c r="F449" s="3710">
        <v>34074</v>
      </c>
      <c r="G449" s="3906"/>
      <c r="H449" s="3318"/>
      <c r="I449" s="3318"/>
    </row>
    <row r="450" spans="1:9" ht="15.75">
      <c r="A450" s="3904" t="s">
        <v>80</v>
      </c>
      <c r="B450" s="3903">
        <v>60389</v>
      </c>
      <c r="C450" s="3905"/>
      <c r="D450" s="3905"/>
      <c r="E450" s="3716" t="s">
        <v>72</v>
      </c>
      <c r="F450" s="3710">
        <v>34630</v>
      </c>
      <c r="G450" s="3906"/>
      <c r="H450" s="3318"/>
      <c r="I450" s="3318"/>
    </row>
    <row r="451" spans="1:9" ht="15.75">
      <c r="A451" s="3904" t="s">
        <v>79</v>
      </c>
      <c r="B451" s="3903">
        <v>60901</v>
      </c>
      <c r="C451" s="3905"/>
      <c r="D451" s="3905"/>
      <c r="E451" s="3716" t="s">
        <v>71</v>
      </c>
      <c r="F451" s="3710">
        <v>32973</v>
      </c>
      <c r="G451" s="3906"/>
      <c r="H451" s="3318"/>
      <c r="I451" s="3318"/>
    </row>
    <row r="452" spans="1:9" ht="15.75">
      <c r="A452" s="3904" t="s">
        <v>78</v>
      </c>
      <c r="B452" s="3903">
        <v>61844</v>
      </c>
      <c r="C452" s="3905"/>
      <c r="D452" s="3905"/>
      <c r="E452" s="3716" t="s">
        <v>70</v>
      </c>
      <c r="F452" s="3710">
        <v>33499</v>
      </c>
      <c r="G452" s="3906"/>
      <c r="H452" s="3318"/>
      <c r="I452" s="3318"/>
    </row>
    <row r="453" spans="1:9" ht="15.75">
      <c r="A453" s="3904" t="s">
        <v>77</v>
      </c>
      <c r="B453" s="3903">
        <v>62803</v>
      </c>
      <c r="C453" s="3905"/>
      <c r="D453" s="3905"/>
      <c r="E453" s="3716" t="s">
        <v>69</v>
      </c>
      <c r="F453" s="3710">
        <v>34034</v>
      </c>
      <c r="G453" s="3906"/>
      <c r="H453" s="3318"/>
      <c r="I453" s="3318"/>
    </row>
    <row r="454" spans="1:9" ht="15.75">
      <c r="A454" s="3904" t="s">
        <v>76</v>
      </c>
      <c r="B454" s="3903">
        <v>63777</v>
      </c>
      <c r="C454" s="3905"/>
      <c r="D454" s="3905"/>
      <c r="E454" s="3716" t="s">
        <v>68</v>
      </c>
      <c r="F454" s="3710">
        <v>34580</v>
      </c>
      <c r="G454" s="3906"/>
      <c r="H454" s="3318"/>
      <c r="I454" s="3318"/>
    </row>
    <row r="455" spans="1:9" ht="15.75">
      <c r="A455" s="3904" t="s">
        <v>75</v>
      </c>
      <c r="B455" s="3903">
        <v>64768</v>
      </c>
      <c r="C455" s="3905"/>
      <c r="D455" s="3905"/>
      <c r="E455" s="3716" t="s">
        <v>67</v>
      </c>
      <c r="F455" s="3710">
        <v>35136</v>
      </c>
      <c r="G455" s="3906"/>
      <c r="H455" s="3318"/>
      <c r="I455" s="3318"/>
    </row>
    <row r="456" spans="1:9" ht="15.75">
      <c r="A456" s="3904" t="s">
        <v>74</v>
      </c>
      <c r="B456" s="3903">
        <v>65774</v>
      </c>
      <c r="C456" s="3905"/>
      <c r="D456" s="3905"/>
      <c r="E456" s="3716" t="s">
        <v>66</v>
      </c>
      <c r="F456" s="3710">
        <v>35703</v>
      </c>
      <c r="G456" s="3906"/>
      <c r="H456" s="3318"/>
      <c r="I456" s="3318"/>
    </row>
    <row r="457" spans="1:9" ht="15.75">
      <c r="A457" s="3904" t="s">
        <v>73</v>
      </c>
      <c r="B457" s="3903">
        <v>66797</v>
      </c>
      <c r="C457" s="3905"/>
      <c r="D457" s="3905"/>
      <c r="E457" s="3716" t="s">
        <v>65</v>
      </c>
      <c r="F457" s="3710">
        <v>36280</v>
      </c>
      <c r="G457" s="3906"/>
      <c r="H457" s="3318"/>
      <c r="I457" s="3318"/>
    </row>
    <row r="458" spans="1:9" ht="15.75">
      <c r="A458" s="3904" t="s">
        <v>72</v>
      </c>
      <c r="B458" s="3903">
        <v>67837</v>
      </c>
      <c r="C458" s="3905"/>
      <c r="D458" s="3905"/>
      <c r="E458" s="3716" t="s">
        <v>64</v>
      </c>
      <c r="F458" s="3710">
        <v>36867</v>
      </c>
      <c r="G458" s="3906"/>
      <c r="H458" s="3318"/>
      <c r="I458" s="3318"/>
    </row>
    <row r="459" spans="1:9" ht="15.75">
      <c r="A459" s="3904" t="s">
        <v>71</v>
      </c>
      <c r="B459" s="3903">
        <v>68415</v>
      </c>
      <c r="C459" s="3905"/>
      <c r="D459" s="3905"/>
      <c r="E459" s="3716" t="s">
        <v>63</v>
      </c>
      <c r="F459" s="3710">
        <v>35144</v>
      </c>
      <c r="G459" s="3906"/>
      <c r="H459" s="3318"/>
      <c r="I459" s="3318"/>
    </row>
    <row r="460" spans="1:9" ht="15.75">
      <c r="A460" s="3904" t="s">
        <v>70</v>
      </c>
      <c r="B460" s="3903">
        <v>69481</v>
      </c>
      <c r="C460" s="3905"/>
      <c r="D460" s="3905"/>
      <c r="E460" s="3716" t="s">
        <v>62</v>
      </c>
      <c r="F460" s="3710">
        <v>35701</v>
      </c>
      <c r="G460" s="3906"/>
      <c r="H460" s="3318">
        <f>375*12*19</f>
        <v>85500</v>
      </c>
      <c r="I460" s="3318">
        <f>375*12*1</f>
        <v>4500</v>
      </c>
    </row>
    <row r="461" spans="1:9" ht="15.75">
      <c r="A461" s="3904" t="s">
        <v>69</v>
      </c>
      <c r="B461" s="3903">
        <v>70565</v>
      </c>
      <c r="C461" s="3905"/>
      <c r="D461" s="3905"/>
      <c r="E461" s="3716" t="s">
        <v>61</v>
      </c>
      <c r="F461" s="3710">
        <v>36268</v>
      </c>
      <c r="G461" s="3906"/>
      <c r="H461" s="3318"/>
      <c r="I461" s="3318"/>
    </row>
    <row r="462" spans="1:9" ht="15.75">
      <c r="A462" s="3904" t="s">
        <v>68</v>
      </c>
      <c r="B462" s="3903">
        <v>71666</v>
      </c>
      <c r="C462" s="3905"/>
      <c r="D462" s="3905"/>
      <c r="E462" s="3716" t="s">
        <v>60</v>
      </c>
      <c r="F462" s="3710">
        <v>36845</v>
      </c>
      <c r="G462" s="3906"/>
      <c r="H462" s="3318"/>
    </row>
    <row r="463" spans="1:9" ht="15.75">
      <c r="A463" s="3904" t="s">
        <v>67</v>
      </c>
      <c r="B463" s="3903">
        <v>72785</v>
      </c>
      <c r="C463" s="3905"/>
      <c r="D463" s="3905"/>
      <c r="E463" s="3716" t="s">
        <v>59</v>
      </c>
      <c r="F463" s="3710">
        <v>37432</v>
      </c>
      <c r="G463" s="3906"/>
      <c r="H463" s="3318"/>
    </row>
    <row r="464" spans="1:9" ht="15.75">
      <c r="A464" s="3904" t="s">
        <v>66</v>
      </c>
      <c r="B464" s="3903">
        <v>73923</v>
      </c>
      <c r="C464" s="3905"/>
      <c r="D464" s="3905"/>
      <c r="E464" s="3716" t="s">
        <v>58</v>
      </c>
      <c r="F464" s="3710">
        <v>38032</v>
      </c>
      <c r="G464" s="3906"/>
      <c r="H464" s="3318"/>
    </row>
    <row r="465" spans="1:9" ht="15.75">
      <c r="A465" s="3904" t="s">
        <v>65</v>
      </c>
      <c r="B465" s="3903">
        <v>75079</v>
      </c>
      <c r="C465" s="3905"/>
      <c r="D465" s="3905"/>
      <c r="E465" s="3716" t="s">
        <v>57</v>
      </c>
      <c r="F465" s="3710">
        <v>38642</v>
      </c>
      <c r="G465" s="3906"/>
      <c r="H465" s="3318"/>
    </row>
    <row r="466" spans="1:9" ht="15.75">
      <c r="A466" s="3904" t="s">
        <v>64</v>
      </c>
      <c r="B466" s="3903">
        <v>76253</v>
      </c>
      <c r="C466" s="3905"/>
      <c r="D466" s="3905"/>
      <c r="E466" s="3716" t="s">
        <v>56</v>
      </c>
      <c r="F466" s="3710">
        <v>39264</v>
      </c>
      <c r="G466" s="3906"/>
      <c r="H466" s="3318"/>
      <c r="I466" s="3318"/>
    </row>
    <row r="467" spans="1:9" ht="15.75">
      <c r="A467" s="3904" t="s">
        <v>63</v>
      </c>
      <c r="B467" s="3903">
        <v>76907</v>
      </c>
      <c r="C467" s="3905"/>
      <c r="D467" s="3905"/>
      <c r="E467" s="3719" t="s">
        <v>55</v>
      </c>
      <c r="F467" s="3710">
        <v>37473</v>
      </c>
      <c r="G467" s="3906"/>
      <c r="H467" s="3318"/>
      <c r="I467" s="3318"/>
    </row>
    <row r="468" spans="1:9" ht="15.75">
      <c r="A468" s="3904" t="s">
        <v>62</v>
      </c>
      <c r="B468" s="3903">
        <v>78111</v>
      </c>
      <c r="C468" s="3905"/>
      <c r="D468" s="3905"/>
      <c r="E468" s="3719" t="s">
        <v>54</v>
      </c>
      <c r="F468" s="3710">
        <v>38061</v>
      </c>
      <c r="G468" s="3906"/>
      <c r="H468" s="3318"/>
      <c r="I468" s="3318"/>
    </row>
    <row r="469" spans="1:9" ht="15.75">
      <c r="A469" s="3904" t="s">
        <v>61</v>
      </c>
      <c r="B469" s="3903">
        <v>79336</v>
      </c>
      <c r="C469" s="3905"/>
      <c r="D469" s="3905"/>
      <c r="E469" s="3719" t="s">
        <v>53</v>
      </c>
      <c r="F469" s="3710">
        <v>38661</v>
      </c>
      <c r="G469" s="3906"/>
      <c r="H469" s="3318"/>
      <c r="I469" s="3318"/>
    </row>
    <row r="470" spans="1:9" ht="15.75">
      <c r="A470" s="3904" t="s">
        <v>60</v>
      </c>
      <c r="B470" s="3903">
        <v>80583</v>
      </c>
      <c r="C470" s="3905"/>
      <c r="D470" s="3905"/>
      <c r="E470" s="3719" t="s">
        <v>52</v>
      </c>
      <c r="F470" s="3710">
        <v>39271</v>
      </c>
      <c r="G470" s="3906"/>
      <c r="H470" s="3318"/>
      <c r="I470" s="3318"/>
    </row>
    <row r="471" spans="1:9" ht="15.75">
      <c r="A471" s="3904" t="s">
        <v>59</v>
      </c>
      <c r="B471" s="3903">
        <v>81899</v>
      </c>
      <c r="C471" s="3905"/>
      <c r="D471" s="3905"/>
      <c r="E471" s="3719" t="s">
        <v>51</v>
      </c>
      <c r="F471" s="3710">
        <v>39894</v>
      </c>
      <c r="G471" s="3906"/>
      <c r="H471" s="3318"/>
      <c r="I471" s="3318"/>
    </row>
    <row r="472" spans="1:9" ht="15.75">
      <c r="A472" s="3904" t="s">
        <v>58</v>
      </c>
      <c r="B472" s="3903">
        <v>83235</v>
      </c>
      <c r="C472" s="3905"/>
      <c r="D472" s="3905"/>
      <c r="E472" s="3719" t="s">
        <v>50</v>
      </c>
      <c r="F472" s="3710">
        <v>40526</v>
      </c>
      <c r="G472" s="3906"/>
      <c r="H472" s="3318"/>
      <c r="I472" s="3715"/>
    </row>
    <row r="473" spans="1:9" ht="15.75">
      <c r="A473" s="3904" t="s">
        <v>57</v>
      </c>
      <c r="B473" s="3903">
        <v>84594</v>
      </c>
      <c r="C473" s="3905"/>
      <c r="D473" s="3905"/>
      <c r="E473" s="3719" t="s">
        <v>49</v>
      </c>
      <c r="F473" s="3710">
        <v>41172</v>
      </c>
      <c r="G473" s="3906"/>
      <c r="H473" s="3318"/>
      <c r="I473" s="3318"/>
    </row>
    <row r="474" spans="1:9" ht="15.75">
      <c r="A474" s="3904" t="s">
        <v>56</v>
      </c>
      <c r="B474" s="3903">
        <v>85975</v>
      </c>
      <c r="C474" s="3905"/>
      <c r="D474" s="3905"/>
      <c r="E474" s="3719" t="s">
        <v>48</v>
      </c>
      <c r="F474" s="3710">
        <v>41830</v>
      </c>
      <c r="G474" s="3906"/>
      <c r="H474" s="3318"/>
      <c r="I474" s="3318"/>
    </row>
    <row r="475" spans="1:9" ht="15.75">
      <c r="A475" s="3904" t="s">
        <v>55</v>
      </c>
      <c r="B475" s="3903">
        <v>86742</v>
      </c>
      <c r="C475" s="3905"/>
      <c r="D475" s="3905"/>
      <c r="E475" s="3719" t="s">
        <v>47</v>
      </c>
      <c r="F475" s="3710">
        <v>39966</v>
      </c>
      <c r="G475" s="3906"/>
      <c r="H475" s="3318"/>
      <c r="I475" s="3318"/>
    </row>
    <row r="476" spans="1:9" ht="15.75">
      <c r="A476" s="3904" t="s">
        <v>54</v>
      </c>
      <c r="B476" s="3903">
        <v>88158</v>
      </c>
      <c r="C476" s="3905"/>
      <c r="D476" s="3711"/>
      <c r="E476" s="3719" t="s">
        <v>46</v>
      </c>
      <c r="F476" s="3710">
        <v>40590</v>
      </c>
      <c r="G476" s="3906"/>
      <c r="H476" s="3318"/>
      <c r="I476" s="3318"/>
    </row>
    <row r="477" spans="1:9" ht="15.75">
      <c r="A477" s="3904" t="s">
        <v>53</v>
      </c>
      <c r="B477" s="3903">
        <v>89597</v>
      </c>
      <c r="C477" s="3905"/>
      <c r="D477" s="3905"/>
      <c r="E477" s="3719" t="s">
        <v>45</v>
      </c>
      <c r="F477" s="3710">
        <v>41224</v>
      </c>
      <c r="G477" s="3906"/>
      <c r="H477" s="3318"/>
      <c r="I477" s="3318"/>
    </row>
    <row r="478" spans="1:9" ht="15.75">
      <c r="A478" s="3904" t="s">
        <v>52</v>
      </c>
      <c r="B478" s="3903">
        <v>91059</v>
      </c>
      <c r="C478" s="3905"/>
      <c r="D478" s="3905"/>
      <c r="E478" s="3719" t="s">
        <v>44</v>
      </c>
      <c r="F478" s="3710">
        <v>41870</v>
      </c>
      <c r="G478" s="3906"/>
      <c r="H478" s="3318"/>
      <c r="I478" s="3715"/>
    </row>
    <row r="479" spans="1:9" ht="15.75">
      <c r="A479" s="3904" t="s">
        <v>51</v>
      </c>
      <c r="B479" s="3903">
        <v>92545</v>
      </c>
      <c r="C479" s="3905"/>
      <c r="D479" s="3905"/>
      <c r="E479" s="3719" t="s">
        <v>43</v>
      </c>
      <c r="F479" s="3710">
        <v>42528</v>
      </c>
      <c r="G479" s="3906"/>
      <c r="H479" s="3318"/>
      <c r="I479" s="3318"/>
    </row>
    <row r="480" spans="1:9" ht="15.75">
      <c r="A480" s="3904" t="s">
        <v>50</v>
      </c>
      <c r="B480" s="3903">
        <v>94057</v>
      </c>
      <c r="C480" s="3905"/>
      <c r="D480" s="3905"/>
      <c r="E480" s="3719" t="s">
        <v>42</v>
      </c>
      <c r="F480" s="3710">
        <v>43198</v>
      </c>
      <c r="G480" s="3906"/>
      <c r="H480" s="3318"/>
      <c r="I480" s="3318"/>
    </row>
    <row r="481" spans="1:9" ht="15.75">
      <c r="A481" s="3904" t="s">
        <v>49</v>
      </c>
      <c r="B481" s="3903">
        <v>95592</v>
      </c>
      <c r="C481" s="3905"/>
      <c r="D481" s="3905"/>
      <c r="E481" s="3719" t="s">
        <v>41</v>
      </c>
      <c r="F481" s="3710">
        <v>43880</v>
      </c>
      <c r="G481" s="3906"/>
      <c r="H481" s="3318"/>
      <c r="I481" s="3318"/>
    </row>
    <row r="482" spans="1:9" ht="15.75">
      <c r="A482" s="3904" t="s">
        <v>48</v>
      </c>
      <c r="B482" s="3903">
        <v>97152</v>
      </c>
      <c r="C482" s="3905"/>
      <c r="D482" s="3905"/>
      <c r="E482" s="3719" t="s">
        <v>40</v>
      </c>
      <c r="F482" s="3710">
        <v>44577</v>
      </c>
      <c r="G482" s="3906"/>
      <c r="H482" s="3907"/>
      <c r="I482" s="3318"/>
    </row>
    <row r="483" spans="1:9" ht="15.75">
      <c r="A483" s="3904" t="s">
        <v>47</v>
      </c>
      <c r="B483" s="3903">
        <v>98886</v>
      </c>
      <c r="C483" s="3905"/>
      <c r="D483" s="3905"/>
      <c r="E483" s="3711"/>
      <c r="F483" s="3710"/>
      <c r="G483" s="3906"/>
      <c r="H483" s="3318">
        <f>SUM(H291:H482)</f>
        <v>246150</v>
      </c>
      <c r="I483" s="3318"/>
    </row>
    <row r="484" spans="1:9" ht="15.75">
      <c r="A484" s="3904" t="s">
        <v>46</v>
      </c>
      <c r="B484" s="3903">
        <v>100500</v>
      </c>
      <c r="C484" s="3905"/>
      <c r="D484" s="3905"/>
      <c r="E484" s="3716"/>
      <c r="F484" s="3710"/>
      <c r="G484" s="3906"/>
      <c r="I484" s="3318"/>
    </row>
    <row r="485" spans="1:9" ht="15.75">
      <c r="A485" s="3904" t="s">
        <v>45</v>
      </c>
      <c r="B485" s="3903">
        <v>102140</v>
      </c>
      <c r="C485" s="3905"/>
      <c r="D485" s="3905"/>
      <c r="E485" s="3906"/>
      <c r="F485" s="3710"/>
      <c r="G485" s="3906"/>
      <c r="I485" s="3318"/>
    </row>
    <row r="486" spans="1:9" ht="15.75">
      <c r="A486" s="3904" t="s">
        <v>44</v>
      </c>
      <c r="B486" s="3903">
        <v>103808</v>
      </c>
      <c r="C486" s="3905"/>
      <c r="D486" s="3905"/>
      <c r="E486" s="3716"/>
      <c r="F486" s="3710"/>
      <c r="G486" s="3906"/>
      <c r="H486" s="3720"/>
      <c r="I486" s="3318"/>
    </row>
    <row r="487" spans="1:9" ht="15.75">
      <c r="A487" s="3904" t="s">
        <v>43</v>
      </c>
      <c r="B487" s="3903">
        <v>105502</v>
      </c>
      <c r="C487" s="3905"/>
      <c r="D487" s="3905"/>
      <c r="E487" s="3906"/>
      <c r="F487" s="3710"/>
      <c r="G487" s="3906"/>
      <c r="H487" s="3318"/>
      <c r="I487" s="3318"/>
    </row>
    <row r="488" spans="1:9" ht="15.75">
      <c r="A488" s="3904" t="s">
        <v>42</v>
      </c>
      <c r="B488" s="3903">
        <v>107224</v>
      </c>
      <c r="C488" s="3905"/>
      <c r="D488" s="3905"/>
    </row>
    <row r="489" spans="1:9" ht="15.75">
      <c r="A489" s="3904" t="s">
        <v>41</v>
      </c>
      <c r="B489" s="3903">
        <v>108974</v>
      </c>
      <c r="C489" s="3905"/>
      <c r="D489" s="3905"/>
    </row>
    <row r="490" spans="1:9" ht="15.75">
      <c r="A490" s="3904" t="s">
        <v>40</v>
      </c>
      <c r="B490" s="3903">
        <v>110753</v>
      </c>
      <c r="C490" s="3905"/>
      <c r="D490" s="3905"/>
    </row>
    <row r="491" spans="1:9" ht="15.75">
      <c r="A491" s="3904" t="s">
        <v>39</v>
      </c>
      <c r="B491" s="3903">
        <v>111742</v>
      </c>
      <c r="C491" s="3905"/>
    </row>
    <row r="492" spans="1:9" ht="15.75">
      <c r="A492" s="3904" t="s">
        <v>38</v>
      </c>
      <c r="B492" s="3903">
        <v>113565</v>
      </c>
      <c r="C492" s="3905"/>
    </row>
    <row r="493" spans="1:9" ht="15.75">
      <c r="A493" s="3904" t="s">
        <v>37</v>
      </c>
      <c r="B493" s="3903">
        <v>115419</v>
      </c>
      <c r="C493" s="3905"/>
    </row>
    <row r="494" spans="1:9" ht="15.75">
      <c r="A494" s="3904" t="s">
        <v>36</v>
      </c>
      <c r="B494" s="3903">
        <v>117303</v>
      </c>
      <c r="C494" s="3905"/>
    </row>
    <row r="495" spans="1:9" ht="15.75">
      <c r="A495" s="3904" t="s">
        <v>35</v>
      </c>
      <c r="B495" s="3903">
        <v>119217</v>
      </c>
      <c r="C495" s="3905"/>
    </row>
    <row r="496" spans="1:9" ht="15.75">
      <c r="A496" s="3904" t="s">
        <v>34</v>
      </c>
      <c r="B496" s="3903">
        <v>121163</v>
      </c>
    </row>
    <row r="497" spans="1:2" ht="15.75">
      <c r="A497" s="3904" t="s">
        <v>33</v>
      </c>
      <c r="B497" s="3903">
        <v>123140</v>
      </c>
    </row>
    <row r="498" spans="1:2" ht="15.75">
      <c r="A498" s="3904" t="s">
        <v>32</v>
      </c>
      <c r="B498" s="3903">
        <v>125150</v>
      </c>
    </row>
    <row r="499" spans="1:2" ht="15.75">
      <c r="A499" s="3904"/>
      <c r="B499" s="3903"/>
    </row>
    <row r="500" spans="1:2" ht="15.75">
      <c r="A500" s="3904"/>
      <c r="B500" s="3903"/>
    </row>
    <row r="501" spans="1:2">
      <c r="A501" s="3711"/>
      <c r="B501" s="3902"/>
    </row>
    <row r="502" spans="1:2">
      <c r="A502" s="3711"/>
      <c r="B502" s="3902"/>
    </row>
    <row r="503" spans="1:2">
      <c r="A503" s="3711"/>
      <c r="B503" s="3902"/>
    </row>
    <row r="504" spans="1:2">
      <c r="A504" s="3711"/>
      <c r="B504" s="3902"/>
    </row>
    <row r="505" spans="1:2">
      <c r="A505" s="3711"/>
      <c r="B505" s="3902"/>
    </row>
    <row r="506" spans="1:2">
      <c r="A506" s="3711"/>
      <c r="B506" s="3902"/>
    </row>
    <row r="507" spans="1:2">
      <c r="B507" s="3902"/>
    </row>
    <row r="508" spans="1:2">
      <c r="B508" s="3902"/>
    </row>
    <row r="509" spans="1:2">
      <c r="B509" s="3902"/>
    </row>
    <row r="510" spans="1:2">
      <c r="B510" s="3902"/>
    </row>
    <row r="511" spans="1:2">
      <c r="B511" s="3902"/>
    </row>
    <row r="512" spans="1:2">
      <c r="B512" s="3902"/>
    </row>
    <row r="513" spans="2:2">
      <c r="B513" s="3902"/>
    </row>
    <row r="514" spans="2:2">
      <c r="B514" s="3902"/>
    </row>
    <row r="515" spans="2:2">
      <c r="B515" s="3902"/>
    </row>
    <row r="516" spans="2:2">
      <c r="B516" s="3902"/>
    </row>
    <row r="517" spans="2:2">
      <c r="B517" s="3902"/>
    </row>
    <row r="518" spans="2:2">
      <c r="B518" s="3902"/>
    </row>
    <row r="519" spans="2:2">
      <c r="B519" s="3902"/>
    </row>
    <row r="520" spans="2:2">
      <c r="B520" s="3902"/>
    </row>
    <row r="521" spans="2:2">
      <c r="B521" s="3902"/>
    </row>
    <row r="522" spans="2:2">
      <c r="B522" s="3902"/>
    </row>
    <row r="523" spans="2:2">
      <c r="B523" s="3902"/>
    </row>
    <row r="524" spans="2:2">
      <c r="B524" s="3902"/>
    </row>
    <row r="525" spans="2:2">
      <c r="B525" s="3902"/>
    </row>
    <row r="526" spans="2:2">
      <c r="B526" s="3902"/>
    </row>
    <row r="527" spans="2:2">
      <c r="B527" s="3902"/>
    </row>
    <row r="528" spans="2:2">
      <c r="B528" s="3902"/>
    </row>
    <row r="529" spans="2:2">
      <c r="B529" s="3902"/>
    </row>
    <row r="530" spans="2:2">
      <c r="B530" s="3902"/>
    </row>
    <row r="531" spans="2:2">
      <c r="B531" s="3902"/>
    </row>
    <row r="532" spans="2:2">
      <c r="B532" s="3902"/>
    </row>
    <row r="533" spans="2:2">
      <c r="B533" s="3902"/>
    </row>
    <row r="534" spans="2:2">
      <c r="B534" s="3902"/>
    </row>
    <row r="535" spans="2:2">
      <c r="B535" s="3902"/>
    </row>
    <row r="536" spans="2:2">
      <c r="B536" s="3902"/>
    </row>
    <row r="537" spans="2:2">
      <c r="B537" s="3902"/>
    </row>
    <row r="538" spans="2:2">
      <c r="B538" s="3902"/>
    </row>
    <row r="539" spans="2:2">
      <c r="B539" s="3902"/>
    </row>
    <row r="540" spans="2:2">
      <c r="B540" s="3902"/>
    </row>
    <row r="541" spans="2:2">
      <c r="B541" s="3902"/>
    </row>
    <row r="542" spans="2:2">
      <c r="B542" s="3902"/>
    </row>
    <row r="543" spans="2:2">
      <c r="B543" s="3902"/>
    </row>
    <row r="544" spans="2:2">
      <c r="B544" s="3902"/>
    </row>
    <row r="545" spans="2:2">
      <c r="B545" s="3902"/>
    </row>
    <row r="546" spans="2:2">
      <c r="B546" s="3902"/>
    </row>
    <row r="547" spans="2:2">
      <c r="B547" s="3902"/>
    </row>
  </sheetData>
  <mergeCells count="51">
    <mergeCell ref="E9:F9"/>
    <mergeCell ref="G9:H9"/>
    <mergeCell ref="A3:I3"/>
    <mergeCell ref="A4:I4"/>
    <mergeCell ref="A5:I5"/>
    <mergeCell ref="E8:F8"/>
    <mergeCell ref="G8:H8"/>
    <mergeCell ref="A55:B55"/>
    <mergeCell ref="A10:B10"/>
    <mergeCell ref="E10:F10"/>
    <mergeCell ref="G10:H10"/>
    <mergeCell ref="A11:B11"/>
    <mergeCell ref="E52:F52"/>
    <mergeCell ref="G52:H52"/>
    <mergeCell ref="E53:F53"/>
    <mergeCell ref="G53:H53"/>
    <mergeCell ref="A54:B54"/>
    <mergeCell ref="E54:F54"/>
    <mergeCell ref="G54:H54"/>
    <mergeCell ref="E101:F101"/>
    <mergeCell ref="G101:H101"/>
    <mergeCell ref="E102:F102"/>
    <mergeCell ref="G102:H102"/>
    <mergeCell ref="E199:F199"/>
    <mergeCell ref="G199:H199"/>
    <mergeCell ref="A103:B103"/>
    <mergeCell ref="E103:F103"/>
    <mergeCell ref="G103:H103"/>
    <mergeCell ref="A104:B104"/>
    <mergeCell ref="E149:F149"/>
    <mergeCell ref="G149:H149"/>
    <mergeCell ref="E150:F150"/>
    <mergeCell ref="G150:H150"/>
    <mergeCell ref="A151:B151"/>
    <mergeCell ref="E151:F151"/>
    <mergeCell ref="G151:H151"/>
    <mergeCell ref="A152:B152"/>
    <mergeCell ref="G244:H244"/>
    <mergeCell ref="E200:F200"/>
    <mergeCell ref="G200:H200"/>
    <mergeCell ref="A245:B245"/>
    <mergeCell ref="A202:B202"/>
    <mergeCell ref="E242:F242"/>
    <mergeCell ref="G242:H242"/>
    <mergeCell ref="E243:F243"/>
    <mergeCell ref="G243:H243"/>
    <mergeCell ref="A244:B244"/>
    <mergeCell ref="E244:F244"/>
    <mergeCell ref="A201:B201"/>
    <mergeCell ref="E201:F201"/>
    <mergeCell ref="G201:H201"/>
  </mergeCells>
  <printOptions horizontalCentered="1"/>
  <pageMargins left="0.5" right="0" top="0.5" bottom="1.5" header="0" footer="0"/>
  <pageSetup paperSize="5" orientation="portrait" r:id="rId1"/>
  <headerFooter alignWithMargins="0"/>
  <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 transitionEvaluation="1" transitionEntry="1">
    <tabColor rgb="FF7030A0"/>
    <outlinePr summaryBelow="0"/>
  </sheetPr>
  <dimension ref="A1:EJ188"/>
  <sheetViews>
    <sheetView showGridLines="0" showOutlineSymbols="0" zoomScaleNormal="100" workbookViewId="0">
      <pane xSplit="2" ySplit="10" topLeftCell="C62" activePane="bottomRight" state="frozen"/>
      <selection pane="topRight" activeCell="C1" sqref="C1"/>
      <selection pane="bottomLeft" activeCell="A9" sqref="A9"/>
      <selection pane="bottomRight" activeCell="H66" sqref="H66"/>
    </sheetView>
  </sheetViews>
  <sheetFormatPr defaultColWidth="12.5703125" defaultRowHeight="13.5" outlineLevelRow="2" outlineLevelCol="2"/>
  <cols>
    <col min="1" max="1" width="1.85546875" style="1403" customWidth="1"/>
    <col min="2" max="2" width="39.7109375" style="1403" customWidth="1"/>
    <col min="3" max="3" width="10.28515625" style="3593" customWidth="1"/>
    <col min="4" max="4" width="11.5703125" style="3160" customWidth="1"/>
    <col min="5" max="5" width="10.85546875" style="3160" customWidth="1"/>
    <col min="6" max="6" width="11.7109375" style="3160" customWidth="1"/>
    <col min="7" max="7" width="12.85546875" style="3160" customWidth="1"/>
    <col min="8" max="8" width="12.140625" style="3160" customWidth="1"/>
    <col min="9" max="39" width="12.5703125" style="1403"/>
    <col min="40" max="44" width="12.5703125" style="1403" outlineLevel="1"/>
    <col min="45" max="50" width="12.5703125" style="1403" outlineLevel="2"/>
    <col min="51" max="53" width="12.5703125" style="1403" outlineLevel="1"/>
    <col min="54" max="73" width="12.5703125" style="1403"/>
    <col min="74" max="77" width="12.5703125" style="1403" outlineLevel="1"/>
    <col min="78" max="125" width="12.5703125" style="1403"/>
    <col min="126" max="131" width="12.5703125" style="1403" outlineLevel="1"/>
    <col min="132" max="137" width="12.5703125" style="1403" outlineLevel="2"/>
    <col min="138" max="140" width="12.5703125" style="1403" outlineLevel="1"/>
    <col min="141" max="16384" width="12.5703125" style="1403"/>
  </cols>
  <sheetData>
    <row r="1" spans="1:9" s="2473" customFormat="1" ht="12" customHeight="1">
      <c r="A1" s="3226" t="s">
        <v>473</v>
      </c>
      <c r="C1" s="3593"/>
      <c r="D1" s="3593"/>
      <c r="E1" s="3226"/>
      <c r="F1" s="3226"/>
      <c r="G1" s="3226"/>
      <c r="H1" s="3226"/>
    </row>
    <row r="2" spans="1:9" s="2473" customFormat="1" ht="12" customHeight="1">
      <c r="A2" s="3221" t="s">
        <v>3143</v>
      </c>
      <c r="C2" s="3593"/>
      <c r="D2" s="3593"/>
      <c r="E2" s="3221"/>
      <c r="F2" s="3221"/>
      <c r="G2" s="3221"/>
      <c r="H2" s="3221"/>
    </row>
    <row r="3" spans="1:9" ht="4.5" customHeight="1">
      <c r="E3" s="4187"/>
      <c r="F3" s="4187"/>
      <c r="G3" s="4187"/>
      <c r="H3" s="4187"/>
    </row>
    <row r="4" spans="1:9" ht="12.75" customHeight="1">
      <c r="A4" s="4741" t="s">
        <v>471</v>
      </c>
      <c r="B4" s="4741"/>
      <c r="C4" s="4741"/>
      <c r="D4" s="4741"/>
      <c r="E4" s="4741"/>
      <c r="F4" s="4741"/>
      <c r="G4" s="4741"/>
      <c r="H4" s="4741"/>
    </row>
    <row r="5" spans="1:9" ht="13.5" customHeight="1">
      <c r="A5" s="4742" t="s">
        <v>746</v>
      </c>
      <c r="B5" s="4742"/>
      <c r="C5" s="4742"/>
      <c r="D5" s="4742"/>
      <c r="E5" s="4742"/>
      <c r="F5" s="4742"/>
      <c r="G5" s="4742"/>
      <c r="H5" s="4742"/>
    </row>
    <row r="6" spans="1:9" ht="13.5" customHeight="1">
      <c r="A6" s="2523"/>
      <c r="B6" s="2522" t="s">
        <v>3142</v>
      </c>
    </row>
    <row r="7" spans="1:9" ht="14.25" customHeight="1">
      <c r="A7" s="4743" t="s">
        <v>468</v>
      </c>
      <c r="B7" s="4744"/>
      <c r="C7" s="3220" t="s">
        <v>467</v>
      </c>
      <c r="D7" s="3220" t="s">
        <v>466</v>
      </c>
      <c r="E7" s="4948" t="s">
        <v>465</v>
      </c>
      <c r="F7" s="4949"/>
      <c r="G7" s="4950"/>
      <c r="H7" s="3220" t="s">
        <v>2345</v>
      </c>
    </row>
    <row r="8" spans="1:9" ht="14.25" customHeight="1">
      <c r="A8" s="4745"/>
      <c r="B8" s="4746"/>
      <c r="C8" s="3219" t="s">
        <v>463</v>
      </c>
      <c r="D8" s="3218">
        <v>2020</v>
      </c>
      <c r="E8" s="3218" t="s">
        <v>2344</v>
      </c>
      <c r="F8" s="3218" t="s">
        <v>2343</v>
      </c>
      <c r="G8" s="3218"/>
      <c r="H8" s="3218" t="s">
        <v>2342</v>
      </c>
    </row>
    <row r="9" spans="1:9" ht="14.25" customHeight="1">
      <c r="A9" s="4745"/>
      <c r="B9" s="4746"/>
      <c r="C9" s="3219"/>
      <c r="D9" s="3218"/>
      <c r="E9" s="3218" t="s">
        <v>2341</v>
      </c>
      <c r="F9" s="3218" t="s">
        <v>2341</v>
      </c>
      <c r="G9" s="3218" t="s">
        <v>244</v>
      </c>
      <c r="H9" s="3218" t="s">
        <v>652</v>
      </c>
    </row>
    <row r="10" spans="1:9" ht="12" customHeight="1">
      <c r="A10" s="4747"/>
      <c r="B10" s="4748"/>
      <c r="C10" s="3217"/>
      <c r="D10" s="3215" t="s">
        <v>460</v>
      </c>
      <c r="E10" s="3215" t="s">
        <v>460</v>
      </c>
      <c r="F10" s="3215" t="s">
        <v>459</v>
      </c>
      <c r="G10" s="3216"/>
      <c r="H10" s="3215" t="s">
        <v>458</v>
      </c>
    </row>
    <row r="11" spans="1:9" ht="12.75" customHeight="1">
      <c r="A11" s="1574" t="s">
        <v>456</v>
      </c>
      <c r="B11" s="1572"/>
      <c r="C11" s="3647"/>
      <c r="D11" s="4186"/>
      <c r="E11" s="4186"/>
      <c r="F11" s="3276"/>
      <c r="G11" s="3276"/>
      <c r="H11" s="3276"/>
    </row>
    <row r="12" spans="1:9" ht="12.75" customHeight="1">
      <c r="A12" s="3851" t="s">
        <v>455</v>
      </c>
      <c r="B12" s="3107"/>
      <c r="C12" s="3643"/>
      <c r="D12" s="3642">
        <f>SUM(D14:D41)</f>
        <v>109367109.06999999</v>
      </c>
      <c r="E12" s="3642">
        <f>SUM(E14:E41)</f>
        <v>56439639.780000001</v>
      </c>
      <c r="F12" s="3642">
        <f>SUM(F14:F41)</f>
        <v>68774918.219999999</v>
      </c>
      <c r="G12" s="3642">
        <f>SUM(G14:G41)</f>
        <v>125214558</v>
      </c>
      <c r="H12" s="3642">
        <f>SUM(H14:H41)</f>
        <v>122523270</v>
      </c>
    </row>
    <row r="13" spans="1:9" s="2233" customFormat="1" ht="15" customHeight="1" outlineLevel="1">
      <c r="A13" s="3641" t="s">
        <v>454</v>
      </c>
      <c r="B13" s="3640"/>
      <c r="C13" s="3638"/>
      <c r="D13" s="3268"/>
      <c r="E13" s="3268"/>
      <c r="F13" s="3267"/>
      <c r="G13" s="3267"/>
      <c r="H13" s="3267"/>
    </row>
    <row r="14" spans="1:9" s="2233" customFormat="1" ht="16.7" customHeight="1" outlineLevel="1">
      <c r="A14" s="3211" t="s">
        <v>426</v>
      </c>
      <c r="B14" s="3208"/>
      <c r="C14" s="4185" t="s">
        <v>453</v>
      </c>
      <c r="D14" s="3180">
        <f>[31]Hospital!$F$9</f>
        <v>54006017.729999989</v>
      </c>
      <c r="E14" s="3052">
        <f>[32]Hospital!$F$9</f>
        <v>31257650.430000003</v>
      </c>
      <c r="F14" s="3052">
        <f>G14-E14</f>
        <v>35672097.569999993</v>
      </c>
      <c r="G14" s="2619">
        <f>[32]Hospital!$D$9</f>
        <v>66929748</v>
      </c>
      <c r="H14" s="2619">
        <f>'HOS-plantilla - 9-1-21'!H277</f>
        <v>63090756</v>
      </c>
      <c r="I14" s="2233">
        <f>H14*0.1</f>
        <v>6309075.6000000006</v>
      </c>
    </row>
    <row r="15" spans="1:9" s="2233" customFormat="1" ht="14.25" customHeight="1" outlineLevel="1">
      <c r="A15" s="3635" t="s">
        <v>452</v>
      </c>
      <c r="B15" s="3208"/>
      <c r="C15" s="3614"/>
      <c r="D15" s="3180"/>
      <c r="E15" s="3052"/>
      <c r="F15" s="3052"/>
      <c r="G15" s="2619"/>
      <c r="H15" s="2619"/>
    </row>
    <row r="16" spans="1:9" s="2233" customFormat="1" ht="16.7" customHeight="1" outlineLevel="1">
      <c r="A16" s="3211" t="s">
        <v>1507</v>
      </c>
      <c r="B16" s="3208"/>
      <c r="C16" s="4185" t="s">
        <v>450</v>
      </c>
      <c r="D16" s="3180">
        <f>[31]Hospital!$F$10</f>
        <v>3459473.13</v>
      </c>
      <c r="E16" s="3052">
        <f>[32]Hospital!$F$10</f>
        <v>2022108.2999999998</v>
      </c>
      <c r="F16" s="3052">
        <f t="shared" ref="F16:F27" si="0">G16-E16</f>
        <v>1841891.7000000002</v>
      </c>
      <c r="G16" s="2619">
        <f>[32]Hospital!$D$10</f>
        <v>3864000</v>
      </c>
      <c r="H16" s="2619">
        <f>'HOS-plantilla - 9-1-21'!B274*2000*12</f>
        <v>3696000</v>
      </c>
    </row>
    <row r="17" spans="1:13" s="2233" customFormat="1" ht="16.7" customHeight="1" outlineLevel="1">
      <c r="A17" s="3211" t="s">
        <v>449</v>
      </c>
      <c r="B17" s="3208"/>
      <c r="C17" s="4185" t="s">
        <v>448</v>
      </c>
      <c r="D17" s="3180">
        <f>[31]Hospital!$F$11</f>
        <v>176937.5</v>
      </c>
      <c r="E17" s="3260">
        <f>[32]Hospital!$F$11</f>
        <v>93218.75</v>
      </c>
      <c r="F17" s="3052">
        <f t="shared" si="0"/>
        <v>49281.25</v>
      </c>
      <c r="G17" s="3262">
        <f>[32]Hospital!$D$11</f>
        <v>142500</v>
      </c>
      <c r="H17" s="2619">
        <v>228000</v>
      </c>
    </row>
    <row r="18" spans="1:13" s="2233" customFormat="1" ht="16.7" customHeight="1" outlineLevel="1">
      <c r="A18" s="3211" t="s">
        <v>447</v>
      </c>
      <c r="B18" s="3208"/>
      <c r="C18" s="4185" t="s">
        <v>446</v>
      </c>
      <c r="D18" s="3180">
        <f>[31]Hospital!$F$12</f>
        <v>176937.5</v>
      </c>
      <c r="E18" s="3260">
        <f>[32]Hospital!$F$12</f>
        <v>93218.75</v>
      </c>
      <c r="F18" s="3052">
        <f t="shared" si="0"/>
        <v>49281.25</v>
      </c>
      <c r="G18" s="3262">
        <f>[32]Hospital!$D$12</f>
        <v>142500</v>
      </c>
      <c r="H18" s="2619">
        <v>228000</v>
      </c>
    </row>
    <row r="19" spans="1:13" s="2233" customFormat="1" ht="16.7" customHeight="1" outlineLevel="1">
      <c r="A19" s="3211" t="s">
        <v>445</v>
      </c>
      <c r="B19" s="3208"/>
      <c r="C19" s="4185" t="s">
        <v>2360</v>
      </c>
      <c r="D19" s="3180">
        <f>[31]Hospital!$F$13</f>
        <v>906000</v>
      </c>
      <c r="E19" s="3260">
        <f>[32]Hospital!$F$13</f>
        <v>906000</v>
      </c>
      <c r="F19" s="3052">
        <f t="shared" si="0"/>
        <v>60000</v>
      </c>
      <c r="G19" s="3262">
        <f>[32]Hospital!$D$13</f>
        <v>966000</v>
      </c>
      <c r="H19" s="3262">
        <f>'HOS-plantilla - 9-1-21'!B274*6000</f>
        <v>924000</v>
      </c>
    </row>
    <row r="20" spans="1:13" s="2233" customFormat="1" ht="16.7" customHeight="1" outlineLevel="1">
      <c r="A20" s="3202" t="s">
        <v>1698</v>
      </c>
      <c r="B20" s="3208"/>
      <c r="C20" s="4185" t="s">
        <v>1697</v>
      </c>
      <c r="D20" s="3180">
        <f>[31]Hospital!$F$14</f>
        <v>2640882.96</v>
      </c>
      <c r="E20" s="3260">
        <f>[32]Hospital!$F$14</f>
        <v>1133183.1299999999</v>
      </c>
      <c r="F20" s="3052">
        <f t="shared" si="0"/>
        <v>1764816.87</v>
      </c>
      <c r="G20" s="3262">
        <f>[32]Hospital!$D$14</f>
        <v>2898000</v>
      </c>
      <c r="H20" s="3262">
        <f>1500*154*12</f>
        <v>2772000</v>
      </c>
    </row>
    <row r="21" spans="1:13" s="2233" customFormat="1" ht="16.7" customHeight="1" outlineLevel="1">
      <c r="A21" s="3202" t="s">
        <v>1696</v>
      </c>
      <c r="B21" s="3208"/>
      <c r="C21" s="4185" t="s">
        <v>1695</v>
      </c>
      <c r="D21" s="3180">
        <f>[31]Hospital!$F$15</f>
        <v>262907.99</v>
      </c>
      <c r="E21" s="3260">
        <f>[32]Hospital!$F$15</f>
        <v>113501.18000000001</v>
      </c>
      <c r="F21" s="3052">
        <f t="shared" si="0"/>
        <v>176298.82</v>
      </c>
      <c r="G21" s="3262">
        <f>[32]Hospital!$D$15</f>
        <v>289800</v>
      </c>
      <c r="H21" s="3262">
        <f>150*154*12</f>
        <v>277200</v>
      </c>
      <c r="M21" s="2233">
        <f>1320856-1298478</f>
        <v>22378</v>
      </c>
    </row>
    <row r="22" spans="1:13" s="2233" customFormat="1" ht="16.7" customHeight="1" outlineLevel="1">
      <c r="A22" s="3209" t="s">
        <v>1690</v>
      </c>
      <c r="B22" s="3208"/>
      <c r="C22" s="4185" t="s">
        <v>1694</v>
      </c>
      <c r="D22" s="3180">
        <f>[31]Hospital!$F$16</f>
        <v>11933348.079999998</v>
      </c>
      <c r="E22" s="3260">
        <f>[32]Hospital!$F$16</f>
        <v>5075770.16</v>
      </c>
      <c r="F22" s="3052">
        <f t="shared" si="0"/>
        <v>8178796.8399999999</v>
      </c>
      <c r="G22" s="3262">
        <f>[32]Hospital!$D$16</f>
        <v>13254567</v>
      </c>
      <c r="H22" s="3262">
        <v>13043976</v>
      </c>
      <c r="I22" s="2233">
        <f>H22*0.1</f>
        <v>1304397.6000000001</v>
      </c>
      <c r="M22" s="2233">
        <f>10282644-9402000</f>
        <v>880644</v>
      </c>
    </row>
    <row r="23" spans="1:13" s="2233" customFormat="1" ht="16.7" customHeight="1" outlineLevel="1">
      <c r="A23" s="3209" t="s">
        <v>1691</v>
      </c>
      <c r="B23" s="3208"/>
      <c r="C23" s="4185" t="s">
        <v>1693</v>
      </c>
      <c r="D23" s="3180">
        <f>[31]Hospital!$F$17</f>
        <v>1387046.8800000001</v>
      </c>
      <c r="E23" s="3260">
        <f>[32]Hospital!$F$17</f>
        <v>934426.09999999986</v>
      </c>
      <c r="F23" s="3052">
        <f t="shared" si="0"/>
        <v>1522573.9000000001</v>
      </c>
      <c r="G23" s="3262">
        <f>[32]Hospital!$D$17</f>
        <v>2457000</v>
      </c>
      <c r="H23" s="3262">
        <v>2929954</v>
      </c>
      <c r="I23" s="2233">
        <f>H23*0.1</f>
        <v>292995.40000000002</v>
      </c>
      <c r="M23" s="2233">
        <f>130417687-127270953</f>
        <v>3146734</v>
      </c>
    </row>
    <row r="24" spans="1:13" s="2233" customFormat="1" ht="16.7" customHeight="1" outlineLevel="1">
      <c r="A24" s="3209" t="s">
        <v>441</v>
      </c>
      <c r="B24" s="3208"/>
      <c r="C24" s="4185" t="s">
        <v>440</v>
      </c>
      <c r="D24" s="3180">
        <f>[31]Hospital!$F$18</f>
        <v>5646230.6100000003</v>
      </c>
      <c r="E24" s="3260">
        <f>[32]Hospital!$F$18</f>
        <v>2123070.58</v>
      </c>
      <c r="F24" s="3052">
        <f t="shared" si="0"/>
        <v>876929.41999999993</v>
      </c>
      <c r="G24" s="3262">
        <f>[32]Hospital!$D$18</f>
        <v>3000000</v>
      </c>
      <c r="H24" s="3262">
        <v>3500000</v>
      </c>
    </row>
    <row r="25" spans="1:13" s="2233" customFormat="1" ht="16.7" customHeight="1" outlineLevel="1">
      <c r="A25" s="3211" t="s">
        <v>1506</v>
      </c>
      <c r="B25" s="3208"/>
      <c r="C25" s="3614" t="s">
        <v>439</v>
      </c>
      <c r="D25" s="3180">
        <f>[31]Hospital!$F$19</f>
        <v>4407654</v>
      </c>
      <c r="E25" s="3260">
        <f>[32]Hospital!$F$19</f>
        <v>0</v>
      </c>
      <c r="F25" s="3052">
        <f t="shared" si="0"/>
        <v>5577479</v>
      </c>
      <c r="G25" s="3262">
        <f>[32]Hospital!$D$19</f>
        <v>5577479</v>
      </c>
      <c r="H25" s="2619">
        <f>H14/12</f>
        <v>5257563</v>
      </c>
      <c r="I25" s="2233">
        <f>H25*0.1</f>
        <v>525756.30000000005</v>
      </c>
    </row>
    <row r="26" spans="1:13" s="2233" customFormat="1" ht="16.7" customHeight="1" outlineLevel="1">
      <c r="A26" s="3211" t="s">
        <v>2359</v>
      </c>
      <c r="B26" s="3208"/>
      <c r="C26" s="3614" t="s">
        <v>437</v>
      </c>
      <c r="D26" s="3180">
        <f>[31]Hospital!$F$20</f>
        <v>720500</v>
      </c>
      <c r="E26" s="3264">
        <f>[32]Hospital!$F$20</f>
        <v>0</v>
      </c>
      <c r="F26" s="3052">
        <f t="shared" si="0"/>
        <v>805000</v>
      </c>
      <c r="G26" s="3265">
        <f>[32]Hospital!$D$20</f>
        <v>805000</v>
      </c>
      <c r="H26" s="3265">
        <f>154*5000</f>
        <v>770000</v>
      </c>
    </row>
    <row r="27" spans="1:13" s="2233" customFormat="1" ht="16.7" customHeight="1" outlineLevel="1">
      <c r="A27" s="3209" t="s">
        <v>436</v>
      </c>
      <c r="B27" s="3208"/>
      <c r="C27" s="3614" t="s">
        <v>435</v>
      </c>
      <c r="D27" s="3180">
        <f>[31]Hospital!$F$21</f>
        <v>4352433.5</v>
      </c>
      <c r="E27" s="3260">
        <f>[32]Hospital!$F$21</f>
        <v>5094053</v>
      </c>
      <c r="F27" s="3052">
        <f t="shared" si="0"/>
        <v>483426</v>
      </c>
      <c r="G27" s="3262">
        <f>[32]Hospital!$D$21</f>
        <v>5577479</v>
      </c>
      <c r="H27" s="2619">
        <f>H14/12</f>
        <v>5257563</v>
      </c>
      <c r="I27" s="2233">
        <f>H27*0.1</f>
        <v>525756.30000000005</v>
      </c>
    </row>
    <row r="28" spans="1:13" s="2233" customFormat="1" ht="14.25" customHeight="1" outlineLevel="1">
      <c r="A28" s="3635" t="s">
        <v>434</v>
      </c>
      <c r="B28" s="3208"/>
      <c r="C28" s="3614"/>
      <c r="D28" s="3180"/>
      <c r="E28" s="3260"/>
      <c r="F28" s="3052"/>
      <c r="G28" s="3262"/>
      <c r="H28" s="2619"/>
    </row>
    <row r="29" spans="1:13" s="2233" customFormat="1" ht="16.7" customHeight="1" outlineLevel="1">
      <c r="A29" s="3211" t="s">
        <v>421</v>
      </c>
      <c r="B29" s="3208"/>
      <c r="C29" s="3614" t="s">
        <v>433</v>
      </c>
      <c r="D29" s="3180">
        <f>[31]Hospital!$F$22</f>
        <v>6485799.7300000004</v>
      </c>
      <c r="E29" s="3260">
        <f>[32]Hospital!$F$22</f>
        <v>3760438.2399999998</v>
      </c>
      <c r="F29" s="3052">
        <f t="shared" ref="F29:F41" si="1">G29-E29</f>
        <v>4272267.76</v>
      </c>
      <c r="G29" s="3262">
        <f>[32]Hospital!$D$22</f>
        <v>8032706</v>
      </c>
      <c r="H29" s="2619">
        <f>ROUND(H14*0.12,0)</f>
        <v>7570891</v>
      </c>
      <c r="I29" s="2233">
        <f>H29*0.1</f>
        <v>757089.10000000009</v>
      </c>
      <c r="K29" s="2233">
        <f>H14*0.12</f>
        <v>7570890.7199999997</v>
      </c>
    </row>
    <row r="30" spans="1:13" s="2233" customFormat="1" ht="16.7" customHeight="1" outlineLevel="1">
      <c r="A30" s="3211" t="s">
        <v>2358</v>
      </c>
      <c r="B30" s="3208"/>
      <c r="C30" s="3614" t="s">
        <v>431</v>
      </c>
      <c r="D30" s="3180">
        <f>[31]Hospital!$F$23</f>
        <v>173000</v>
      </c>
      <c r="E30" s="3260">
        <f>[32]Hospital!$F$23</f>
        <v>89400</v>
      </c>
      <c r="F30" s="3052">
        <f t="shared" si="1"/>
        <v>103800</v>
      </c>
      <c r="G30" s="3262">
        <f>[32]Hospital!$D$23</f>
        <v>193200</v>
      </c>
      <c r="H30" s="2619">
        <f>154*100*12</f>
        <v>184800</v>
      </c>
    </row>
    <row r="31" spans="1:13" s="2233" customFormat="1" ht="16.7" customHeight="1" outlineLevel="1">
      <c r="A31" s="3211" t="s">
        <v>418</v>
      </c>
      <c r="B31" s="3208"/>
      <c r="C31" s="3614" t="s">
        <v>430</v>
      </c>
      <c r="D31" s="3180">
        <f>[31]Hospital!$F$24</f>
        <v>714936.01000000013</v>
      </c>
      <c r="E31" s="3260">
        <f>[32]Hospital!$F$24</f>
        <v>411035.92999999993</v>
      </c>
      <c r="F31" s="3052">
        <f t="shared" si="1"/>
        <v>686260.07000000007</v>
      </c>
      <c r="G31" s="3262">
        <f>[32]Hospital!$D$24</f>
        <v>1097296</v>
      </c>
      <c r="H31" s="2619">
        <f>'HOS-plantilla - 9-1-21'!K281</f>
        <v>1233367</v>
      </c>
      <c r="I31" s="4184">
        <f>H31*0.1</f>
        <v>123336.70000000001</v>
      </c>
    </row>
    <row r="32" spans="1:13" s="2233" customFormat="1" ht="16.7" customHeight="1" outlineLevel="1">
      <c r="A32" s="3211" t="s">
        <v>428</v>
      </c>
      <c r="B32" s="3208"/>
      <c r="C32" s="3614" t="s">
        <v>427</v>
      </c>
      <c r="D32" s="3180">
        <f>[31]Hospital!$F$25</f>
        <v>174200</v>
      </c>
      <c r="E32" s="3260">
        <f>[32]Hospital!$F$25</f>
        <v>89800</v>
      </c>
      <c r="F32" s="3052">
        <f t="shared" si="1"/>
        <v>103400</v>
      </c>
      <c r="G32" s="3262">
        <f>[32]Hospital!$D$25</f>
        <v>193200</v>
      </c>
      <c r="H32" s="2619">
        <f>H30</f>
        <v>184800</v>
      </c>
      <c r="I32" s="2233">
        <f>SUM(I14:I31)</f>
        <v>9838407.0000000019</v>
      </c>
    </row>
    <row r="33" spans="1:19" s="2233" customFormat="1" ht="11.25" customHeight="1" outlineLevel="1">
      <c r="A33" s="3635" t="s">
        <v>425</v>
      </c>
      <c r="B33" s="3208"/>
      <c r="C33" s="3614"/>
      <c r="D33" s="3180"/>
      <c r="E33" s="3260"/>
      <c r="F33" s="3052">
        <f t="shared" si="1"/>
        <v>0</v>
      </c>
      <c r="G33" s="3262"/>
      <c r="H33" s="2619"/>
      <c r="I33" s="4183">
        <v>10282644</v>
      </c>
    </row>
    <row r="34" spans="1:19" s="2233" customFormat="1" ht="16.7" customHeight="1" outlineLevel="1">
      <c r="A34" s="3211" t="s">
        <v>423</v>
      </c>
      <c r="B34" s="3208"/>
      <c r="C34" s="3614" t="s">
        <v>422</v>
      </c>
      <c r="D34" s="3180">
        <f>[31]Hospital!$F$26</f>
        <v>749169.5</v>
      </c>
      <c r="E34" s="3260">
        <f>[32]Hospital!$F$26</f>
        <v>3228765.23</v>
      </c>
      <c r="F34" s="3052">
        <f t="shared" si="1"/>
        <v>688234.77</v>
      </c>
      <c r="G34" s="3262">
        <f>[32]Hospital!$D$26</f>
        <v>3917000</v>
      </c>
      <c r="H34" s="2619">
        <v>3343400</v>
      </c>
    </row>
    <row r="35" spans="1:19" s="2233" customFormat="1" ht="16.7" customHeight="1" outlineLevel="1">
      <c r="A35" s="3211" t="s">
        <v>420</v>
      </c>
      <c r="B35" s="3208"/>
      <c r="C35" s="4182" t="s">
        <v>1996</v>
      </c>
      <c r="D35" s="3233">
        <f>[31]Hospital!$F$27</f>
        <v>9797133.9499999993</v>
      </c>
      <c r="E35" s="3254">
        <f>[32]Hospital!$F$27</f>
        <v>0</v>
      </c>
      <c r="F35" s="3052">
        <f t="shared" si="1"/>
        <v>4936083</v>
      </c>
      <c r="G35" s="3223">
        <f>[32]Hospital!$D$27</f>
        <v>4936083</v>
      </c>
      <c r="H35" s="3052">
        <v>7000000</v>
      </c>
    </row>
    <row r="36" spans="1:19" s="2233" customFormat="1" ht="16.7" customHeight="1" outlineLevel="1">
      <c r="A36" s="3211" t="s">
        <v>417</v>
      </c>
      <c r="B36" s="3208"/>
      <c r="C36" s="4182" t="s">
        <v>2399</v>
      </c>
      <c r="D36" s="3233">
        <f>[31]Hospital!$F$28</f>
        <v>70000</v>
      </c>
      <c r="E36" s="3254">
        <f>[32]Hospital!$F$28</f>
        <v>5000</v>
      </c>
      <c r="F36" s="3052">
        <f t="shared" si="1"/>
        <v>30000</v>
      </c>
      <c r="G36" s="3254">
        <f>[32]Hospital!$D$28</f>
        <v>35000</v>
      </c>
      <c r="H36" s="3052">
        <v>125000</v>
      </c>
    </row>
    <row r="37" spans="1:19" s="2233" customFormat="1" ht="16.7" customHeight="1" outlineLevel="1">
      <c r="A37" s="3211" t="s">
        <v>414</v>
      </c>
      <c r="B37" s="3208"/>
      <c r="C37" s="4182" t="s">
        <v>2357</v>
      </c>
      <c r="D37" s="3233">
        <f>[31]Hospital!$F$29</f>
        <v>0</v>
      </c>
      <c r="E37" s="3254">
        <f>[32]Hospital!$F$29</f>
        <v>0</v>
      </c>
      <c r="F37" s="3052">
        <f t="shared" si="1"/>
        <v>1000</v>
      </c>
      <c r="G37" s="3254">
        <f>[32]Hospital!$D$29</f>
        <v>1000</v>
      </c>
      <c r="H37" s="3052">
        <v>1000</v>
      </c>
      <c r="I37" s="1511"/>
      <c r="J37" s="1511"/>
      <c r="K37" s="1511"/>
      <c r="L37" s="1511"/>
      <c r="M37" s="1511"/>
      <c r="N37" s="1511"/>
      <c r="O37" s="1511"/>
      <c r="P37" s="1511"/>
      <c r="Q37" s="1511"/>
      <c r="R37" s="1511"/>
      <c r="S37" s="1511"/>
    </row>
    <row r="38" spans="1:19" s="2233" customFormat="1" ht="16.7" customHeight="1" outlineLevel="1">
      <c r="A38" s="3187" t="s">
        <v>2356</v>
      </c>
      <c r="B38" s="3186"/>
      <c r="C38" s="4182"/>
      <c r="D38" s="3233"/>
      <c r="E38" s="3254"/>
      <c r="F38" s="3052">
        <f t="shared" si="1"/>
        <v>0</v>
      </c>
      <c r="G38" s="3254"/>
      <c r="H38" s="3052"/>
      <c r="I38" s="1511"/>
      <c r="J38" s="1511"/>
      <c r="K38" s="1511"/>
      <c r="L38" s="1511"/>
      <c r="M38" s="1511"/>
      <c r="N38" s="1511"/>
      <c r="O38" s="1511"/>
      <c r="P38" s="1511"/>
      <c r="Q38" s="1511"/>
      <c r="R38" s="1511"/>
      <c r="S38" s="1511"/>
    </row>
    <row r="39" spans="1:19" s="2233" customFormat="1" ht="16.7" customHeight="1" outlineLevel="1">
      <c r="A39" s="3209"/>
      <c r="B39" s="3208" t="s">
        <v>1688</v>
      </c>
      <c r="C39" s="4182" t="s">
        <v>2355</v>
      </c>
      <c r="D39" s="3233">
        <f>[31]Hospital!$F$30</f>
        <v>721500</v>
      </c>
      <c r="E39" s="3254">
        <f>[32]Hospital!$F$30</f>
        <v>0</v>
      </c>
      <c r="F39" s="3052">
        <f t="shared" si="1"/>
        <v>805000</v>
      </c>
      <c r="G39" s="3254">
        <f>[32]Hospital!$D$30</f>
        <v>805000</v>
      </c>
      <c r="H39" s="3052">
        <f>'[33]HOSPITAL - NEW BUDGET CIRCULAR'!$B$218*5000</f>
        <v>805000</v>
      </c>
      <c r="I39" s="1511"/>
      <c r="J39" s="1511"/>
      <c r="K39" s="1511"/>
      <c r="L39" s="1511"/>
      <c r="M39" s="1511"/>
      <c r="N39" s="1511"/>
      <c r="O39" s="1511"/>
      <c r="P39" s="1511"/>
      <c r="Q39" s="1511"/>
      <c r="R39" s="1511"/>
      <c r="S39" s="1511"/>
    </row>
    <row r="40" spans="1:19" s="2233" customFormat="1" ht="16.7" customHeight="1" outlineLevel="1">
      <c r="A40" s="3187" t="s">
        <v>409</v>
      </c>
      <c r="B40" s="3208"/>
      <c r="C40" s="4182" t="s">
        <v>2718</v>
      </c>
      <c r="D40" s="3233">
        <f>[31]Hospital!$F$31</f>
        <v>393000</v>
      </c>
      <c r="E40" s="3254">
        <f>0</f>
        <v>0</v>
      </c>
      <c r="F40" s="3052">
        <f t="shared" si="1"/>
        <v>0</v>
      </c>
      <c r="G40" s="3254">
        <v>0</v>
      </c>
      <c r="H40" s="3052">
        <v>0</v>
      </c>
      <c r="I40" s="1511"/>
      <c r="J40" s="1511"/>
      <c r="K40" s="1511"/>
      <c r="L40" s="1511"/>
      <c r="M40" s="1511"/>
      <c r="N40" s="1511"/>
      <c r="O40" s="1511"/>
      <c r="P40" s="1511"/>
      <c r="Q40" s="1511"/>
      <c r="R40" s="1511"/>
      <c r="S40" s="1511"/>
    </row>
    <row r="41" spans="1:19" s="1511" customFormat="1" ht="16.7" customHeight="1" outlineLevel="1">
      <c r="A41" s="4181" t="s">
        <v>3141</v>
      </c>
      <c r="B41" s="3231"/>
      <c r="C41" s="4180" t="s">
        <v>3140</v>
      </c>
      <c r="D41" s="3195">
        <f>[31]Hospital!$F$32</f>
        <v>12000</v>
      </c>
      <c r="E41" s="3250">
        <f>[32]Hospital!$F$31</f>
        <v>9000</v>
      </c>
      <c r="F41" s="3052">
        <f t="shared" si="1"/>
        <v>91000</v>
      </c>
      <c r="G41" s="3250">
        <f>[32]Hospital!$D$31</f>
        <v>100000</v>
      </c>
      <c r="H41" s="3047">
        <v>100000</v>
      </c>
    </row>
    <row r="42" spans="1:19" s="1511" customFormat="1" ht="12" customHeight="1" outlineLevel="1">
      <c r="A42" s="3192" t="s">
        <v>407</v>
      </c>
      <c r="B42" s="3237"/>
      <c r="C42" s="3190"/>
      <c r="D42" s="3189">
        <f>SUM(D43:D107)</f>
        <v>58854269.379999995</v>
      </c>
      <c r="E42" s="3189">
        <f>SUM(E43:E107)</f>
        <v>28549874.089999996</v>
      </c>
      <c r="F42" s="3189">
        <f>SUM(F43:F107)</f>
        <v>81427635.909999996</v>
      </c>
      <c r="G42" s="3189">
        <f>SUM(G43:G107)</f>
        <v>109977510</v>
      </c>
      <c r="H42" s="1512">
        <f>SUM(H43:H107)</f>
        <v>66423930</v>
      </c>
      <c r="I42" s="2255"/>
      <c r="J42" s="2255"/>
      <c r="K42" s="2255"/>
      <c r="L42" s="2255"/>
      <c r="M42" s="2255"/>
      <c r="N42" s="2255"/>
      <c r="O42" s="2255"/>
      <c r="P42" s="2255"/>
      <c r="Q42" s="2255"/>
      <c r="R42" s="2255"/>
      <c r="S42" s="2255"/>
    </row>
    <row r="43" spans="1:19" s="2253" customFormat="1" ht="16.7" customHeight="1" outlineLevel="1">
      <c r="A43" s="3209" t="s">
        <v>2352</v>
      </c>
      <c r="B43" s="3228"/>
      <c r="C43" s="4179" t="s">
        <v>405</v>
      </c>
      <c r="D43" s="3224">
        <f>[31]Hospital!$F$34</f>
        <v>72487.13</v>
      </c>
      <c r="E43" s="3072">
        <f>[32]Hospital!$F$33</f>
        <v>33878</v>
      </c>
      <c r="F43" s="3052">
        <f>G43-E43</f>
        <v>66122</v>
      </c>
      <c r="G43" s="3235">
        <f>[32]Hospital!$D$33</f>
        <v>100000</v>
      </c>
      <c r="H43" s="3072">
        <v>50000</v>
      </c>
      <c r="I43" s="2255"/>
      <c r="J43" s="2255"/>
      <c r="K43" s="2255"/>
      <c r="L43" s="2255"/>
      <c r="M43" s="2255"/>
      <c r="N43" s="2255"/>
      <c r="O43" s="2255"/>
      <c r="P43" s="2255"/>
      <c r="Q43" s="2255"/>
      <c r="R43" s="2255"/>
      <c r="S43" s="2255"/>
    </row>
    <row r="44" spans="1:19" s="2253" customFormat="1" ht="16.7" customHeight="1" outlineLevel="1">
      <c r="A44" s="3209" t="s">
        <v>3139</v>
      </c>
      <c r="B44" s="3228"/>
      <c r="C44" s="4165" t="s">
        <v>3138</v>
      </c>
      <c r="D44" s="3180">
        <f>[31]Hospital!$F$35</f>
        <v>330180</v>
      </c>
      <c r="E44" s="3052">
        <f>[32]Hospital!$F$34</f>
        <v>130860</v>
      </c>
      <c r="F44" s="3052">
        <f>G44-E44</f>
        <v>464140</v>
      </c>
      <c r="G44" s="3234">
        <f>[32]Hospital!$D$34</f>
        <v>595000</v>
      </c>
      <c r="H44" s="3052">
        <v>300000</v>
      </c>
      <c r="I44" s="2255"/>
      <c r="J44" s="2255"/>
      <c r="K44" s="2255"/>
      <c r="L44" s="2255"/>
      <c r="M44" s="2255"/>
      <c r="N44" s="2255"/>
      <c r="O44" s="2255"/>
      <c r="P44" s="2255"/>
      <c r="Q44" s="2255"/>
      <c r="R44" s="2255"/>
      <c r="S44" s="2255"/>
    </row>
    <row r="45" spans="1:19" s="2253" customFormat="1" ht="16.7" customHeight="1" outlineLevel="1">
      <c r="A45" s="3209" t="s">
        <v>404</v>
      </c>
      <c r="B45" s="3228"/>
      <c r="C45" s="4165" t="s">
        <v>403</v>
      </c>
      <c r="D45" s="3233">
        <f>[31]Hospital!$F$36</f>
        <v>29840</v>
      </c>
      <c r="E45" s="3052">
        <f>[32]Hospital!$F$35</f>
        <v>312700</v>
      </c>
      <c r="F45" s="3052">
        <f>G45-E45</f>
        <v>87300</v>
      </c>
      <c r="G45" s="3234">
        <f>[32]Hospital!$D$35</f>
        <v>400000</v>
      </c>
      <c r="H45" s="3052">
        <v>200000</v>
      </c>
      <c r="I45" s="2255"/>
      <c r="J45" s="2255"/>
      <c r="K45" s="2255"/>
      <c r="L45" s="2255"/>
      <c r="M45" s="2255"/>
      <c r="N45" s="2255"/>
      <c r="O45" s="2255"/>
      <c r="P45" s="2255"/>
      <c r="Q45" s="2255"/>
      <c r="R45" s="2255"/>
      <c r="S45" s="2255"/>
    </row>
    <row r="46" spans="1:19" s="2255" customFormat="1" ht="16.7" customHeight="1" outlineLevel="1">
      <c r="A46" s="3211" t="s">
        <v>402</v>
      </c>
      <c r="B46" s="3228"/>
      <c r="C46" s="3611" t="s">
        <v>401</v>
      </c>
      <c r="D46" s="3233">
        <f>[31]Hospital!$F$37</f>
        <v>692026.59</v>
      </c>
      <c r="E46" s="3052">
        <f>[32]Hospital!$F$36</f>
        <v>648151.79999999993</v>
      </c>
      <c r="F46" s="3052">
        <f>G46-E46</f>
        <v>351848.20000000007</v>
      </c>
      <c r="G46" s="3199">
        <f>[32]Hospital!$D$36</f>
        <v>1000000</v>
      </c>
      <c r="H46" s="3052">
        <v>1000000</v>
      </c>
    </row>
    <row r="47" spans="1:19" s="2255" customFormat="1" ht="16.7" customHeight="1" outlineLevel="1">
      <c r="A47" s="3211" t="s">
        <v>572</v>
      </c>
      <c r="B47" s="3228"/>
      <c r="C47" s="3611"/>
      <c r="D47" s="3233"/>
      <c r="E47" s="3052"/>
      <c r="F47" s="3052"/>
      <c r="G47" s="3199"/>
      <c r="H47" s="2619"/>
    </row>
    <row r="48" spans="1:19" s="2255" customFormat="1" ht="16.7" customHeight="1" outlineLevel="1">
      <c r="A48" s="3209"/>
      <c r="B48" s="3228" t="s">
        <v>1319</v>
      </c>
      <c r="C48" s="3611" t="s">
        <v>2398</v>
      </c>
      <c r="D48" s="3233">
        <f>[31]Hospital!$F$39</f>
        <v>109145.5</v>
      </c>
      <c r="E48" s="3052">
        <f>[32]Hospital!$F$38</f>
        <v>195580.79999999999</v>
      </c>
      <c r="F48" s="3052">
        <f t="shared" ref="F48:F53" si="2">G48-E48</f>
        <v>154419.20000000001</v>
      </c>
      <c r="G48" s="3199">
        <f>[32]Hospital!$D$38</f>
        <v>350000</v>
      </c>
      <c r="H48" s="2619">
        <v>350000</v>
      </c>
    </row>
    <row r="49" spans="1:8" s="2255" customFormat="1" ht="16.7" customHeight="1" outlineLevel="1">
      <c r="A49" s="3209" t="s">
        <v>3137</v>
      </c>
      <c r="B49" s="3228"/>
      <c r="C49" s="3611" t="s">
        <v>2052</v>
      </c>
      <c r="D49" s="3233">
        <f>[31]Hospital!$F$40</f>
        <v>7935600</v>
      </c>
      <c r="E49" s="3052">
        <f>[32]Hospital!$F$39</f>
        <v>2099470</v>
      </c>
      <c r="F49" s="3052">
        <f t="shared" si="2"/>
        <v>9600530</v>
      </c>
      <c r="G49" s="3199">
        <f>[32]Hospital!$D$39</f>
        <v>11700000</v>
      </c>
      <c r="H49" s="2619">
        <v>7000000</v>
      </c>
    </row>
    <row r="50" spans="1:8" s="2255" customFormat="1" ht="16.7" customHeight="1" outlineLevel="1">
      <c r="A50" s="3209" t="s">
        <v>3136</v>
      </c>
      <c r="B50" s="3228"/>
      <c r="C50" s="3611"/>
      <c r="D50" s="3233">
        <v>0</v>
      </c>
      <c r="E50" s="3052">
        <f>[32]Hospital!$F$40</f>
        <v>169400</v>
      </c>
      <c r="F50" s="3052">
        <f t="shared" si="2"/>
        <v>29830600</v>
      </c>
      <c r="G50" s="3199">
        <f>[32]Hospital!$D$40</f>
        <v>30000000</v>
      </c>
      <c r="H50" s="2619">
        <v>0</v>
      </c>
    </row>
    <row r="51" spans="1:8" s="2255" customFormat="1" ht="16.7" customHeight="1" outlineLevel="1">
      <c r="A51" s="3209" t="s">
        <v>3135</v>
      </c>
      <c r="B51" s="3228"/>
      <c r="C51" s="3611" t="s">
        <v>3134</v>
      </c>
      <c r="D51" s="3233">
        <f>[31]Hospital!$F$41</f>
        <v>2542354</v>
      </c>
      <c r="E51" s="3052">
        <f>[32]Hospital!$F$41</f>
        <v>2969094</v>
      </c>
      <c r="F51" s="3052">
        <f t="shared" si="2"/>
        <v>1030906</v>
      </c>
      <c r="G51" s="3199">
        <f>[32]Hospital!$D$41</f>
        <v>4000000</v>
      </c>
      <c r="H51" s="2619">
        <v>4000000</v>
      </c>
    </row>
    <row r="52" spans="1:8" s="2255" customFormat="1" ht="16.7" customHeight="1" outlineLevel="1">
      <c r="A52" s="3209" t="s">
        <v>3133</v>
      </c>
      <c r="B52" s="3228"/>
      <c r="C52" s="3611" t="s">
        <v>3132</v>
      </c>
      <c r="D52" s="3233">
        <f>[31]Hospital!$F$42</f>
        <v>6987952.1699999999</v>
      </c>
      <c r="E52" s="3052">
        <f>[32]Hospital!$F$42</f>
        <v>3072348.13</v>
      </c>
      <c r="F52" s="3052">
        <f t="shared" si="2"/>
        <v>10927651.870000001</v>
      </c>
      <c r="G52" s="3199">
        <f>[32]Hospital!$D$42</f>
        <v>14000000</v>
      </c>
      <c r="H52" s="2619">
        <v>8000000</v>
      </c>
    </row>
    <row r="53" spans="1:8" s="2255" customFormat="1" ht="16.7" customHeight="1" outlineLevel="1">
      <c r="A53" s="3232" t="s">
        <v>3131</v>
      </c>
      <c r="B53" s="4178"/>
      <c r="C53" s="4162" t="s">
        <v>3130</v>
      </c>
      <c r="D53" s="3229">
        <f>[31]Hospital!$F$43</f>
        <v>215300</v>
      </c>
      <c r="E53" s="3047">
        <f>[32]Hospital!$F$43</f>
        <v>18480</v>
      </c>
      <c r="F53" s="3047">
        <f t="shared" si="2"/>
        <v>981520</v>
      </c>
      <c r="G53" s="3194">
        <f>[32]Hospital!$D$43</f>
        <v>1000000</v>
      </c>
      <c r="H53" s="3193">
        <f>[35]HOSPITAL!$G$20</f>
        <v>1000000</v>
      </c>
    </row>
    <row r="54" spans="1:8" s="2253" customFormat="1" ht="16.7" customHeight="1" outlineLevel="1">
      <c r="A54" s="3228"/>
      <c r="B54" s="3663"/>
      <c r="C54" s="3212"/>
      <c r="D54" s="3224"/>
      <c r="E54" s="3222"/>
      <c r="F54" s="3222"/>
      <c r="G54" s="3227"/>
      <c r="H54" s="3222"/>
    </row>
    <row r="55" spans="1:8" s="2253" customFormat="1" ht="16.7" customHeight="1" outlineLevel="1">
      <c r="A55" s="3228"/>
      <c r="B55" s="3663"/>
      <c r="C55" s="3212"/>
      <c r="D55" s="3224"/>
      <c r="E55" s="3222"/>
      <c r="F55" s="3222"/>
      <c r="G55" s="3227"/>
      <c r="H55" s="3222"/>
    </row>
    <row r="56" spans="1:8" s="2253" customFormat="1" ht="16.7" customHeight="1" outlineLevel="1">
      <c r="A56" s="3228"/>
      <c r="B56" s="3663"/>
      <c r="C56" s="3212"/>
      <c r="D56" s="3224"/>
      <c r="E56" s="3222"/>
      <c r="F56" s="4177"/>
      <c r="G56" s="4177"/>
      <c r="H56" s="4177"/>
    </row>
    <row r="57" spans="1:8" s="2253" customFormat="1" ht="16.7" customHeight="1" outlineLevel="1">
      <c r="A57" s="3228"/>
      <c r="B57" s="3663"/>
      <c r="C57" s="3212"/>
      <c r="D57" s="3224"/>
      <c r="E57" s="3222"/>
      <c r="F57" s="4176"/>
      <c r="G57" s="4176"/>
      <c r="H57" s="4176"/>
    </row>
    <row r="58" spans="1:8" s="2253" customFormat="1" ht="16.7" customHeight="1" outlineLevel="1">
      <c r="A58" s="3228"/>
      <c r="B58" s="3663"/>
      <c r="C58" s="3212"/>
      <c r="D58" s="3224"/>
      <c r="E58" s="3222"/>
      <c r="F58" s="4176"/>
      <c r="G58" s="4176"/>
      <c r="H58" s="4176"/>
    </row>
    <row r="59" spans="1:8" s="2253" customFormat="1" ht="16.7" customHeight="1" outlineLevel="1">
      <c r="A59" s="3228"/>
      <c r="B59" s="3663"/>
      <c r="C59" s="3212"/>
      <c r="D59" s="3224"/>
      <c r="E59" s="3222"/>
      <c r="F59" s="4176"/>
      <c r="G59" s="4176"/>
      <c r="H59" s="4176"/>
    </row>
    <row r="60" spans="1:8" s="2253" customFormat="1" ht="16.7" customHeight="1" outlineLevel="1">
      <c r="A60" s="3228"/>
      <c r="B60" s="3663"/>
      <c r="C60" s="3212"/>
      <c r="D60" s="3224"/>
      <c r="E60" s="3222"/>
      <c r="F60" s="4176"/>
      <c r="G60" s="4176"/>
      <c r="H60" s="4176"/>
    </row>
    <row r="61" spans="1:8" s="4166" customFormat="1" ht="16.7" customHeight="1" outlineLevel="1">
      <c r="A61" s="4173" t="s">
        <v>473</v>
      </c>
      <c r="B61" s="4171"/>
      <c r="C61" s="3614"/>
      <c r="D61" s="4175"/>
      <c r="E61" s="4174"/>
      <c r="F61" s="4173"/>
      <c r="G61" s="4172"/>
      <c r="H61" s="4172"/>
    </row>
    <row r="62" spans="1:8" s="4166" customFormat="1" ht="16.7" customHeight="1" outlineLevel="1">
      <c r="A62" s="4172" t="s">
        <v>3129</v>
      </c>
      <c r="B62" s="4171"/>
      <c r="C62" s="4170"/>
      <c r="D62" s="4169"/>
      <c r="E62" s="4168"/>
      <c r="F62" s="4167"/>
      <c r="G62" s="4167"/>
      <c r="H62" s="4167"/>
    </row>
    <row r="63" spans="1:8" s="2339" customFormat="1" ht="16.7" customHeight="1" outlineLevel="1">
      <c r="A63" s="4743" t="s">
        <v>468</v>
      </c>
      <c r="B63" s="4744"/>
      <c r="C63" s="3219" t="s">
        <v>467</v>
      </c>
      <c r="D63" s="3219" t="s">
        <v>466</v>
      </c>
      <c r="E63" s="4998" t="s">
        <v>465</v>
      </c>
      <c r="F63" s="4999"/>
      <c r="G63" s="5000"/>
      <c r="H63" s="3219" t="s">
        <v>2345</v>
      </c>
    </row>
    <row r="64" spans="1:8" s="2339" customFormat="1" ht="16.7" customHeight="1" outlineLevel="1">
      <c r="A64" s="4745"/>
      <c r="B64" s="4746"/>
      <c r="C64" s="3219" t="s">
        <v>463</v>
      </c>
      <c r="D64" s="3218" t="s">
        <v>573</v>
      </c>
      <c r="E64" s="3218" t="s">
        <v>2344</v>
      </c>
      <c r="F64" s="3218" t="s">
        <v>2343</v>
      </c>
      <c r="G64" s="3218"/>
      <c r="H64" s="3218" t="s">
        <v>2342</v>
      </c>
    </row>
    <row r="65" spans="1:8" s="2339" customFormat="1" ht="16.7" customHeight="1" outlineLevel="1">
      <c r="A65" s="4745"/>
      <c r="B65" s="4746"/>
      <c r="C65" s="3219"/>
      <c r="D65" s="3218"/>
      <c r="E65" s="3218" t="s">
        <v>2341</v>
      </c>
      <c r="F65" s="3218" t="s">
        <v>2341</v>
      </c>
      <c r="G65" s="3218" t="s">
        <v>244</v>
      </c>
      <c r="H65" s="3218" t="s">
        <v>652</v>
      </c>
    </row>
    <row r="66" spans="1:8" s="2255" customFormat="1" ht="16.7" customHeight="1" outlineLevel="1">
      <c r="A66" s="4747"/>
      <c r="B66" s="4748"/>
      <c r="C66" s="3217"/>
      <c r="D66" s="3215" t="s">
        <v>460</v>
      </c>
      <c r="E66" s="3215" t="s">
        <v>460</v>
      </c>
      <c r="F66" s="3215" t="s">
        <v>459</v>
      </c>
      <c r="G66" s="3216"/>
      <c r="H66" s="3215" t="s">
        <v>458</v>
      </c>
    </row>
    <row r="67" spans="1:8" s="2255" customFormat="1" ht="16.7" customHeight="1" outlineLevel="1">
      <c r="A67" s="3209" t="s">
        <v>3128</v>
      </c>
      <c r="B67" s="3228"/>
      <c r="C67" s="3611" t="s">
        <v>3127</v>
      </c>
      <c r="D67" s="3233">
        <f>[31]Hospital!$F$44</f>
        <v>47062</v>
      </c>
      <c r="E67" s="3052">
        <f>[32]Hospital!$F$44</f>
        <v>0</v>
      </c>
      <c r="F67" s="3052">
        <f>G67-E67</f>
        <v>250000</v>
      </c>
      <c r="G67" s="3199">
        <f>[32]Hospital!$D$44</f>
        <v>250000</v>
      </c>
      <c r="H67" s="2619">
        <v>50000</v>
      </c>
    </row>
    <row r="68" spans="1:8" s="2255" customFormat="1" ht="16.7" customHeight="1" outlineLevel="1">
      <c r="A68" s="3209" t="s">
        <v>3126</v>
      </c>
      <c r="B68" s="3228"/>
      <c r="C68" s="3611" t="s">
        <v>3125</v>
      </c>
      <c r="D68" s="3233">
        <f>[31]Hospital!$F$45</f>
        <v>60811</v>
      </c>
      <c r="E68" s="3052">
        <f>[32]Hospital!$F$45</f>
        <v>30000</v>
      </c>
      <c r="F68" s="3052">
        <f>G68-E68</f>
        <v>70000</v>
      </c>
      <c r="G68" s="3199">
        <f>[32]Hospital!$D$45</f>
        <v>100000</v>
      </c>
      <c r="H68" s="2619">
        <v>100000</v>
      </c>
    </row>
    <row r="69" spans="1:8" s="2255" customFormat="1" ht="16.7" customHeight="1" outlineLevel="1">
      <c r="A69" s="3209" t="s">
        <v>3122</v>
      </c>
      <c r="B69" s="3228"/>
      <c r="C69" s="3611"/>
      <c r="D69" s="3233"/>
      <c r="E69" s="3052"/>
      <c r="F69" s="3052"/>
      <c r="G69" s="3199"/>
      <c r="H69" s="2619"/>
    </row>
    <row r="70" spans="1:8" s="2255" customFormat="1" ht="16.7" customHeight="1" outlineLevel="1">
      <c r="A70" s="3209"/>
      <c r="B70" s="3663" t="s">
        <v>3124</v>
      </c>
      <c r="C70" s="3611" t="s">
        <v>3123</v>
      </c>
      <c r="D70" s="3233">
        <f>[31]Hospital!$F$46</f>
        <v>0</v>
      </c>
      <c r="E70" s="3052">
        <f>[32]Hospital!$F$46</f>
        <v>0</v>
      </c>
      <c r="F70" s="3052">
        <f>G70-E70</f>
        <v>200000</v>
      </c>
      <c r="G70" s="3199">
        <f>[32]Hospital!$D$46</f>
        <v>200000</v>
      </c>
      <c r="H70" s="2619">
        <v>10000</v>
      </c>
    </row>
    <row r="71" spans="1:8" s="2255" customFormat="1" ht="16.7" customHeight="1" outlineLevel="1">
      <c r="A71" s="3209" t="s">
        <v>3122</v>
      </c>
      <c r="B71" s="3228"/>
      <c r="C71" s="3611"/>
      <c r="D71" s="3233"/>
      <c r="E71" s="3052"/>
      <c r="F71" s="3052"/>
      <c r="G71" s="3199"/>
      <c r="H71" s="2619"/>
    </row>
    <row r="72" spans="1:8" s="2255" customFormat="1" ht="16.7" customHeight="1" outlineLevel="1">
      <c r="A72" s="3209"/>
      <c r="B72" s="3228" t="s">
        <v>3121</v>
      </c>
      <c r="C72" s="3611" t="s">
        <v>3120</v>
      </c>
      <c r="D72" s="3233">
        <f>[31]Hospital!$F$47</f>
        <v>0</v>
      </c>
      <c r="E72" s="3052">
        <f>[32]Hospital!$F$47</f>
        <v>0</v>
      </c>
      <c r="F72" s="3052">
        <f t="shared" ref="F72:F82" si="3">G72-E72</f>
        <v>300000</v>
      </c>
      <c r="G72" s="3199">
        <v>300000</v>
      </c>
      <c r="H72" s="2619">
        <v>10000</v>
      </c>
    </row>
    <row r="73" spans="1:8" s="2255" customFormat="1" ht="16.7" customHeight="1" outlineLevel="1">
      <c r="A73" s="3209" t="s">
        <v>674</v>
      </c>
      <c r="B73" s="3228"/>
      <c r="C73" s="3611" t="s">
        <v>396</v>
      </c>
      <c r="D73" s="3233">
        <f>[31]Hospital!$F$48</f>
        <v>1088701.1300000001</v>
      </c>
      <c r="E73" s="3052">
        <f>[32]Hospital!$F$48</f>
        <v>347938.11</v>
      </c>
      <c r="F73" s="3052">
        <f t="shared" si="3"/>
        <v>1652061.8900000001</v>
      </c>
      <c r="G73" s="3199">
        <f>[32]Hospital!$D$48</f>
        <v>2000000</v>
      </c>
      <c r="H73" s="2619">
        <v>1000000</v>
      </c>
    </row>
    <row r="74" spans="1:8" s="2255" customFormat="1" ht="16.7" customHeight="1" outlineLevel="1">
      <c r="A74" s="3209" t="s">
        <v>878</v>
      </c>
      <c r="B74" s="3228"/>
      <c r="C74" s="3611" t="s">
        <v>3119</v>
      </c>
      <c r="D74" s="3233">
        <f>[31]Hospital!$F$49</f>
        <v>463072</v>
      </c>
      <c r="E74" s="3301">
        <f>[32]Hospital!$F$49</f>
        <v>305260</v>
      </c>
      <c r="F74" s="3301">
        <f t="shared" si="3"/>
        <v>494740</v>
      </c>
      <c r="G74" s="3296">
        <f>[32]Hospital!$D$49</f>
        <v>800000</v>
      </c>
      <c r="H74" s="3052">
        <v>700000</v>
      </c>
    </row>
    <row r="75" spans="1:8" s="2255" customFormat="1" ht="16.7" customHeight="1" outlineLevel="1">
      <c r="A75" s="3211" t="s">
        <v>673</v>
      </c>
      <c r="B75" s="3228"/>
      <c r="C75" s="3611" t="s">
        <v>1269</v>
      </c>
      <c r="D75" s="3233">
        <f>[31]Hospital!$F$50</f>
        <v>358615.05</v>
      </c>
      <c r="E75" s="3052">
        <f>[32]Hospital!$F$50</f>
        <v>28997.199999999997</v>
      </c>
      <c r="F75" s="3301">
        <f t="shared" si="3"/>
        <v>571002.80000000005</v>
      </c>
      <c r="G75" s="3296">
        <f>[32]Hospital!$D$50</f>
        <v>600000</v>
      </c>
      <c r="H75" s="3052">
        <v>300000</v>
      </c>
    </row>
    <row r="76" spans="1:8" s="2255" customFormat="1" ht="16.7" customHeight="1" outlineLevel="1">
      <c r="A76" s="3209" t="s">
        <v>1266</v>
      </c>
      <c r="B76" s="3228"/>
      <c r="C76" s="3611" t="s">
        <v>1265</v>
      </c>
      <c r="D76" s="3233">
        <f>[31]Hospital!$F$51</f>
        <v>5284688.6499999994</v>
      </c>
      <c r="E76" s="3052">
        <f>[32]Hospital!$F$51</f>
        <v>2758244.04</v>
      </c>
      <c r="F76" s="3052">
        <f t="shared" si="3"/>
        <v>2741755.96</v>
      </c>
      <c r="G76" s="3199">
        <f>[32]Hospital!$D$51</f>
        <v>5500000</v>
      </c>
      <c r="H76" s="2619">
        <v>5500000</v>
      </c>
    </row>
    <row r="77" spans="1:8" s="2255" customFormat="1" ht="16.7" customHeight="1" outlineLevel="1">
      <c r="A77" s="3209" t="s">
        <v>700</v>
      </c>
      <c r="B77" s="3228"/>
      <c r="C77" s="3611" t="s">
        <v>392</v>
      </c>
      <c r="D77" s="3233">
        <f>[31]Hospital!$F$52</f>
        <v>0</v>
      </c>
      <c r="E77" s="3052">
        <f>[32]Hospital!$F$52</f>
        <v>0</v>
      </c>
      <c r="F77" s="3052">
        <f t="shared" si="3"/>
        <v>10000</v>
      </c>
      <c r="G77" s="3199">
        <f>[32]Hospital!$D$52</f>
        <v>10000</v>
      </c>
      <c r="H77" s="2619">
        <v>1000</v>
      </c>
    </row>
    <row r="78" spans="1:8" s="2255" customFormat="1" ht="16.7" customHeight="1" outlineLevel="1">
      <c r="A78" s="3211" t="s">
        <v>2038</v>
      </c>
      <c r="B78" s="3208"/>
      <c r="C78" s="3614" t="s">
        <v>390</v>
      </c>
      <c r="D78" s="3233">
        <f>[31]Hospital!$F$53</f>
        <v>95567.51999999999</v>
      </c>
      <c r="E78" s="3052">
        <f>[32]Hospital!$F$53</f>
        <v>64542.770000000004</v>
      </c>
      <c r="F78" s="3052">
        <f t="shared" si="3"/>
        <v>185457.22999999998</v>
      </c>
      <c r="G78" s="3199">
        <f>[32]Hospital!$D$53</f>
        <v>250000</v>
      </c>
      <c r="H78" s="2619">
        <v>150000</v>
      </c>
    </row>
    <row r="79" spans="1:8" s="2255" customFormat="1" ht="16.7" customHeight="1" outlineLevel="1">
      <c r="A79" s="3209" t="s">
        <v>1264</v>
      </c>
      <c r="B79" s="3208"/>
      <c r="C79" s="3614" t="s">
        <v>1263</v>
      </c>
      <c r="D79" s="3233">
        <f>[31]Hospital!$F$54</f>
        <v>498787.32</v>
      </c>
      <c r="E79" s="3052">
        <f>[32]Hospital!$F$54</f>
        <v>143360</v>
      </c>
      <c r="F79" s="3052">
        <f t="shared" si="3"/>
        <v>356640</v>
      </c>
      <c r="G79" s="3199">
        <f>[32]Hospital!$D$54</f>
        <v>500000</v>
      </c>
      <c r="H79" s="2619">
        <v>500000</v>
      </c>
    </row>
    <row r="80" spans="1:8" s="2255" customFormat="1" ht="16.7" customHeight="1" outlineLevel="1">
      <c r="A80" s="3209" t="s">
        <v>1262</v>
      </c>
      <c r="B80" s="3208"/>
      <c r="C80" s="3614" t="s">
        <v>1261</v>
      </c>
      <c r="D80" s="3233">
        <f>[31]Hospital!$F$55</f>
        <v>524400</v>
      </c>
      <c r="E80" s="3052">
        <f>[32]Hospital!$F$55</f>
        <v>175000</v>
      </c>
      <c r="F80" s="3052">
        <f t="shared" si="3"/>
        <v>589400</v>
      </c>
      <c r="G80" s="3199">
        <f>[32]Hospital!$D$55</f>
        <v>764400</v>
      </c>
      <c r="H80" s="2619">
        <v>764400</v>
      </c>
    </row>
    <row r="81" spans="1:9" s="2255" customFormat="1" ht="16.7" customHeight="1" outlineLevel="1">
      <c r="A81" s="3211" t="s">
        <v>389</v>
      </c>
      <c r="B81" s="3208"/>
      <c r="C81" s="3614" t="s">
        <v>388</v>
      </c>
      <c r="D81" s="3180">
        <f>[31]Hospital!$F$56</f>
        <v>26976015.779999997</v>
      </c>
      <c r="E81" s="2619">
        <f>[32]Hospital!$F$56</f>
        <v>12118882.359999999</v>
      </c>
      <c r="F81" s="3052">
        <f t="shared" si="3"/>
        <v>15929227.640000001</v>
      </c>
      <c r="G81" s="3199">
        <f>[32]Hospital!$D$56</f>
        <v>28048110</v>
      </c>
      <c r="H81" s="2619">
        <v>29312530</v>
      </c>
      <c r="I81" s="2255">
        <v>390000</v>
      </c>
    </row>
    <row r="82" spans="1:9" s="2255" customFormat="1" ht="16.7" customHeight="1" outlineLevel="1">
      <c r="A82" s="3211" t="s">
        <v>3118</v>
      </c>
      <c r="B82" s="3208"/>
      <c r="C82" s="3614" t="s">
        <v>1934</v>
      </c>
      <c r="D82" s="3180">
        <f>[31]Hospital!$F$57</f>
        <v>541568</v>
      </c>
      <c r="E82" s="2619">
        <f>[32]Hospital!$F$57</f>
        <v>499855</v>
      </c>
      <c r="F82" s="3052">
        <f t="shared" si="3"/>
        <v>250145</v>
      </c>
      <c r="G82" s="3199">
        <f>[32]Hospital!$D$57</f>
        <v>750000</v>
      </c>
      <c r="H82" s="2619">
        <v>750000</v>
      </c>
    </row>
    <row r="83" spans="1:9" s="2255" customFormat="1" ht="16.7" customHeight="1" outlineLevel="1">
      <c r="A83" s="3211" t="s">
        <v>1925</v>
      </c>
      <c r="B83" s="3208"/>
      <c r="C83" s="3611"/>
      <c r="D83" s="3180"/>
      <c r="E83" s="2619"/>
      <c r="F83" s="3052"/>
      <c r="G83" s="3199"/>
      <c r="H83" s="2619"/>
    </row>
    <row r="84" spans="1:9" s="2255" customFormat="1" ht="16.7" customHeight="1" outlineLevel="1">
      <c r="A84" s="3209"/>
      <c r="B84" s="3210" t="s">
        <v>2336</v>
      </c>
      <c r="C84" s="3611" t="s">
        <v>2335</v>
      </c>
      <c r="D84" s="3180">
        <f>[31]Hospital!$F$58</f>
        <v>98380</v>
      </c>
      <c r="E84" s="2619">
        <f>[32]Hospital!$F$58</f>
        <v>2550</v>
      </c>
      <c r="F84" s="3052">
        <f>G84-E84</f>
        <v>97450</v>
      </c>
      <c r="G84" s="3199">
        <f>[32]Hospital!$D$58</f>
        <v>100000</v>
      </c>
      <c r="H84" s="2619">
        <v>100000</v>
      </c>
    </row>
    <row r="85" spans="1:9" s="2255" customFormat="1" ht="16.7" customHeight="1" outlineLevel="1">
      <c r="A85" s="3202" t="s">
        <v>1925</v>
      </c>
      <c r="B85" s="3208"/>
      <c r="C85" s="3611"/>
      <c r="D85" s="3180"/>
      <c r="E85" s="2619"/>
      <c r="F85" s="3052"/>
      <c r="G85" s="3199"/>
      <c r="H85" s="2619"/>
    </row>
    <row r="86" spans="1:9" s="2255" customFormat="1" ht="16.7" customHeight="1" outlineLevel="1">
      <c r="A86" s="3209"/>
      <c r="B86" s="3210" t="s">
        <v>3117</v>
      </c>
      <c r="C86" s="3611" t="s">
        <v>2334</v>
      </c>
      <c r="D86" s="3180">
        <f>[31]Hospital!$F$60</f>
        <v>0</v>
      </c>
      <c r="E86" s="2619">
        <f>[32]Hospital!$F$60</f>
        <v>0</v>
      </c>
      <c r="F86" s="3052">
        <f>G86-E86</f>
        <v>70000</v>
      </c>
      <c r="G86" s="3199">
        <f>[32]Hospital!$D$60</f>
        <v>70000</v>
      </c>
      <c r="H86" s="2619">
        <v>1000</v>
      </c>
    </row>
    <row r="87" spans="1:9" s="2255" customFormat="1" ht="16.7" customHeight="1" outlineLevel="1">
      <c r="A87" s="3202" t="s">
        <v>1925</v>
      </c>
      <c r="B87" s="3205"/>
      <c r="C87" s="3611"/>
      <c r="D87" s="3180"/>
      <c r="E87" s="2619"/>
      <c r="F87" s="3052"/>
      <c r="G87" s="3199"/>
      <c r="H87" s="2619"/>
    </row>
    <row r="88" spans="1:9" s="2255" customFormat="1" ht="16.7" customHeight="1" outlineLevel="1">
      <c r="A88" s="3202"/>
      <c r="B88" s="3207" t="s">
        <v>3116</v>
      </c>
      <c r="C88" s="3611" t="s">
        <v>2330</v>
      </c>
      <c r="D88" s="3180">
        <f>[31]Hospital!$F$62</f>
        <v>9200</v>
      </c>
      <c r="E88" s="2619">
        <f>[32]Hospital!$F$62</f>
        <v>3883</v>
      </c>
      <c r="F88" s="3052">
        <f>G88-E88</f>
        <v>96117</v>
      </c>
      <c r="G88" s="3199">
        <f>[32]Hospital!$D$62</f>
        <v>100000</v>
      </c>
      <c r="H88" s="2619">
        <f>[35]HOSPITAL!$G$42</f>
        <v>100000</v>
      </c>
    </row>
    <row r="89" spans="1:9" s="2255" customFormat="1" ht="16.7" customHeight="1" outlineLevel="1">
      <c r="A89" s="3202" t="s">
        <v>873</v>
      </c>
      <c r="B89" s="3205"/>
      <c r="C89" s="3611"/>
      <c r="D89" s="3180"/>
      <c r="E89" s="2619"/>
      <c r="F89" s="3052"/>
      <c r="G89" s="3199"/>
      <c r="H89" s="2619"/>
    </row>
    <row r="90" spans="1:9" s="2255" customFormat="1" ht="16.7" customHeight="1" outlineLevel="1">
      <c r="A90" s="3202"/>
      <c r="B90" s="3205" t="s">
        <v>3115</v>
      </c>
      <c r="C90" s="3611" t="s">
        <v>3114</v>
      </c>
      <c r="D90" s="3180">
        <f>[31]Hospital!$F$64</f>
        <v>22700</v>
      </c>
      <c r="E90" s="2619">
        <f>[32]Hospital!$F$64</f>
        <v>0</v>
      </c>
      <c r="F90" s="3052">
        <f>G90-E90</f>
        <v>100000</v>
      </c>
      <c r="G90" s="3199">
        <f>[32]Hospital!$D$64</f>
        <v>100000</v>
      </c>
      <c r="H90" s="2619">
        <f>[35]HOSPITAL!$G$44</f>
        <v>100000</v>
      </c>
    </row>
    <row r="91" spans="1:9" s="2255" customFormat="1" ht="16.7" customHeight="1" outlineLevel="1">
      <c r="A91" s="3202" t="s">
        <v>2332</v>
      </c>
      <c r="B91" s="3205"/>
      <c r="C91" s="3611"/>
      <c r="D91" s="3180"/>
      <c r="E91" s="2619"/>
      <c r="F91" s="3052"/>
      <c r="G91" s="3199"/>
      <c r="H91" s="2619"/>
    </row>
    <row r="92" spans="1:9" s="2255" customFormat="1" ht="16.7" customHeight="1" outlineLevel="1">
      <c r="A92" s="3202"/>
      <c r="B92" s="3205" t="s">
        <v>3113</v>
      </c>
      <c r="C92" s="3611" t="s">
        <v>3112</v>
      </c>
      <c r="D92" s="3180">
        <f>[31]Hospital!$F$66</f>
        <v>13035.12</v>
      </c>
      <c r="E92" s="2619">
        <f>[32]Hospital!$F$66</f>
        <v>0</v>
      </c>
      <c r="F92" s="3052">
        <f>G92-E92</f>
        <v>100000</v>
      </c>
      <c r="G92" s="3199">
        <f>[32]Hospital!$D$66</f>
        <v>100000</v>
      </c>
      <c r="H92" s="2619">
        <v>0</v>
      </c>
    </row>
    <row r="93" spans="1:9" s="2255" customFormat="1" ht="16.7" customHeight="1" outlineLevel="1">
      <c r="A93" s="3202" t="s">
        <v>1925</v>
      </c>
      <c r="B93" s="3205"/>
      <c r="C93" s="3611"/>
      <c r="D93" s="3180"/>
      <c r="E93" s="2619"/>
      <c r="F93" s="3052"/>
      <c r="G93" s="3199"/>
      <c r="H93" s="2619"/>
    </row>
    <row r="94" spans="1:9" s="2255" customFormat="1" ht="12.75" customHeight="1" outlineLevel="1">
      <c r="A94" s="3202"/>
      <c r="B94" s="3207" t="s">
        <v>3111</v>
      </c>
      <c r="C94" s="3611" t="s">
        <v>3110</v>
      </c>
      <c r="D94" s="3180">
        <f>[31]Hospital!$F$74</f>
        <v>74600</v>
      </c>
      <c r="E94" s="2619">
        <f>[32]Hospital!$F$74</f>
        <v>66100</v>
      </c>
      <c r="F94" s="3052">
        <f>G94-E94</f>
        <v>33900</v>
      </c>
      <c r="G94" s="3199">
        <f>[32]Hospital!$D$74</f>
        <v>100000</v>
      </c>
      <c r="H94" s="2619">
        <v>100000</v>
      </c>
    </row>
    <row r="95" spans="1:9" s="2255" customFormat="1" ht="16.7" customHeight="1" outlineLevel="1">
      <c r="A95" s="3206" t="s">
        <v>3109</v>
      </c>
      <c r="B95" s="3205"/>
      <c r="C95" s="3611" t="s">
        <v>2329</v>
      </c>
      <c r="D95" s="3180">
        <f>[31]Hospital!$F$75</f>
        <v>10000</v>
      </c>
      <c r="E95" s="2619">
        <f>[32]Hospital!$F$75</f>
        <v>8900</v>
      </c>
      <c r="F95" s="3052">
        <f>G95-E95</f>
        <v>91100</v>
      </c>
      <c r="G95" s="3199">
        <f>[32]Hospital!$D$75</f>
        <v>100000</v>
      </c>
      <c r="H95" s="2619">
        <v>100000</v>
      </c>
    </row>
    <row r="96" spans="1:9" s="2255" customFormat="1" ht="16.7" customHeight="1" outlineLevel="1">
      <c r="A96" s="3206" t="s">
        <v>2076</v>
      </c>
      <c r="B96" s="3205"/>
      <c r="C96" s="3611"/>
      <c r="D96" s="3180"/>
      <c r="E96" s="2619"/>
      <c r="F96" s="3052"/>
      <c r="G96" s="3199"/>
      <c r="H96" s="2619"/>
    </row>
    <row r="97" spans="1:19" s="2255" customFormat="1" ht="13.5" customHeight="1" outlineLevel="1">
      <c r="A97" s="3202"/>
      <c r="B97" s="3204" t="s">
        <v>2328</v>
      </c>
      <c r="C97" s="3611" t="s">
        <v>2327</v>
      </c>
      <c r="D97" s="3180">
        <f>[31]Hospital!$F$76</f>
        <v>536263</v>
      </c>
      <c r="E97" s="2619">
        <f>[32]Hospital!$F$76</f>
        <v>231695</v>
      </c>
      <c r="F97" s="3052">
        <f>G97-E97</f>
        <v>968305</v>
      </c>
      <c r="G97" s="3199">
        <f>[32]Hospital!$D$76</f>
        <v>1200000</v>
      </c>
      <c r="H97" s="2619">
        <v>1000000</v>
      </c>
    </row>
    <row r="98" spans="1:19" s="2255" customFormat="1" ht="16.7" customHeight="1" outlineLevel="1">
      <c r="A98" s="3202" t="s">
        <v>2323</v>
      </c>
      <c r="B98" s="3201"/>
      <c r="C98" s="4165"/>
      <c r="D98" s="3180"/>
      <c r="E98" s="2619"/>
      <c r="F98" s="3052"/>
      <c r="G98" s="3199"/>
      <c r="H98" s="2619"/>
    </row>
    <row r="99" spans="1:19" s="2255" customFormat="1" ht="16.7" customHeight="1" outlineLevel="1">
      <c r="A99" s="3202"/>
      <c r="B99" s="3201" t="s">
        <v>2322</v>
      </c>
      <c r="C99" s="3611" t="s">
        <v>1900</v>
      </c>
      <c r="D99" s="3180">
        <f>[31]Hospital!$F$77</f>
        <v>70021.75</v>
      </c>
      <c r="E99" s="2619">
        <f>[32]Hospital!$F$77</f>
        <v>13300</v>
      </c>
      <c r="F99" s="3052">
        <f>G99-E99</f>
        <v>196700</v>
      </c>
      <c r="G99" s="3199">
        <f>[32]Hospital!$D$77</f>
        <v>210000</v>
      </c>
      <c r="H99" s="2619">
        <v>200000</v>
      </c>
    </row>
    <row r="100" spans="1:19" s="2255" customFormat="1" ht="16.7" customHeight="1" outlineLevel="1">
      <c r="A100" s="3187" t="s">
        <v>2789</v>
      </c>
      <c r="B100" s="3182"/>
      <c r="C100" s="4164" t="s">
        <v>1242</v>
      </c>
      <c r="D100" s="3180">
        <f>[31]Hospital!$F$78</f>
        <v>33200</v>
      </c>
      <c r="E100" s="2619">
        <f>[32]Hospital!$F$78</f>
        <v>51485</v>
      </c>
      <c r="F100" s="3052">
        <f>G100-E100</f>
        <v>23515</v>
      </c>
      <c r="G100" s="3199">
        <f>[32]Hospital!$D$78</f>
        <v>75000</v>
      </c>
      <c r="H100" s="2619">
        <f>[35]HOSPITAL!$G$54</f>
        <v>75000</v>
      </c>
    </row>
    <row r="101" spans="1:19" s="2255" customFormat="1" ht="16.7" customHeight="1" outlineLevel="1">
      <c r="A101" s="3187" t="s">
        <v>370</v>
      </c>
      <c r="B101" s="3182"/>
      <c r="C101" s="4164" t="s">
        <v>369</v>
      </c>
      <c r="D101" s="3180">
        <f>[31]Hospital!$F$79</f>
        <v>150</v>
      </c>
      <c r="E101" s="2619">
        <f>[32]Hospital!$F$79</f>
        <v>0</v>
      </c>
      <c r="F101" s="3052">
        <f>G101-E101</f>
        <v>10000</v>
      </c>
      <c r="G101" s="3199">
        <f>[32]Hospital!$D$79</f>
        <v>10000</v>
      </c>
      <c r="H101" s="2619">
        <v>5000</v>
      </c>
    </row>
    <row r="102" spans="1:19" s="2255" customFormat="1" ht="16.7" customHeight="1" outlineLevel="1">
      <c r="A102" s="3211" t="s">
        <v>693</v>
      </c>
      <c r="B102" s="3228"/>
      <c r="C102" s="3611" t="s">
        <v>367</v>
      </c>
      <c r="D102" s="3233">
        <f>[31]Hospital!$F$81</f>
        <v>312077.92</v>
      </c>
      <c r="E102" s="3301">
        <f>[32]Hospital!$F$80</f>
        <v>74138.880000000005</v>
      </c>
      <c r="F102" s="3052">
        <f>G102-E102</f>
        <v>720861.12</v>
      </c>
      <c r="G102" s="3234">
        <f>[32]Hospital!$D$80</f>
        <v>795000</v>
      </c>
      <c r="H102" s="3052">
        <v>795000</v>
      </c>
    </row>
    <row r="103" spans="1:19" s="2255" customFormat="1" ht="16.7" customHeight="1" outlineLevel="1">
      <c r="A103" s="3211" t="s">
        <v>3108</v>
      </c>
      <c r="B103" s="3228"/>
      <c r="C103" s="3611" t="s">
        <v>2026</v>
      </c>
      <c r="D103" s="3233">
        <f>[31]Hospital!$F$82</f>
        <v>478160</v>
      </c>
      <c r="E103" s="3052">
        <f>[32]Hospital!$F$81</f>
        <v>0</v>
      </c>
      <c r="F103" s="3052">
        <f>G103-E103</f>
        <v>200000</v>
      </c>
      <c r="G103" s="3199">
        <f>[32]Hospital!$D$81</f>
        <v>200000</v>
      </c>
      <c r="H103" s="3052">
        <v>200000</v>
      </c>
    </row>
    <row r="104" spans="1:19" s="2255" customFormat="1" ht="13.5" customHeight="1" outlineLevel="1">
      <c r="A104" s="3202" t="s">
        <v>693</v>
      </c>
      <c r="B104" s="3201"/>
      <c r="C104" s="3611"/>
      <c r="D104" s="3180"/>
      <c r="E104" s="3301"/>
      <c r="F104" s="3301"/>
      <c r="G104" s="3234"/>
      <c r="H104" s="3052"/>
    </row>
    <row r="105" spans="1:19" s="2255" customFormat="1" ht="12.75" customHeight="1" outlineLevel="1">
      <c r="A105" s="3202"/>
      <c r="B105" s="3204" t="s">
        <v>3107</v>
      </c>
      <c r="C105" s="3611" t="s">
        <v>2024</v>
      </c>
      <c r="D105" s="3180">
        <f>[31]Hospital!$F$83</f>
        <v>480905.75</v>
      </c>
      <c r="E105" s="3301">
        <f>[32]Hospital!$F$82</f>
        <v>552860</v>
      </c>
      <c r="F105" s="3052">
        <f>G105-E105</f>
        <v>597140</v>
      </c>
      <c r="G105" s="3234">
        <f>[32]Hospital!$D$82</f>
        <v>1150000</v>
      </c>
      <c r="H105" s="3052">
        <v>1150000</v>
      </c>
    </row>
    <row r="106" spans="1:19" s="2255" customFormat="1" ht="16.7" customHeight="1" outlineLevel="1">
      <c r="A106" s="4163" t="s">
        <v>2023</v>
      </c>
      <c r="B106" s="3182"/>
      <c r="C106" s="3611" t="s">
        <v>2022</v>
      </c>
      <c r="D106" s="3180">
        <f>[31]Hospital!$F$84</f>
        <v>231877</v>
      </c>
      <c r="E106" s="2619">
        <f>[32]Hospital!$F$83</f>
        <v>308570</v>
      </c>
      <c r="F106" s="3052">
        <f>G106-E106</f>
        <v>141430</v>
      </c>
      <c r="G106" s="3227">
        <f>[32]Hospital!$D$83</f>
        <v>450000</v>
      </c>
      <c r="H106" s="3052">
        <v>450000</v>
      </c>
    </row>
    <row r="107" spans="1:19" s="2255" customFormat="1" ht="16.7" customHeight="1" outlineLevel="1">
      <c r="A107" s="3198" t="s">
        <v>3106</v>
      </c>
      <c r="B107" s="3197"/>
      <c r="C107" s="4162" t="s">
        <v>2020</v>
      </c>
      <c r="D107" s="3195">
        <f>[31]Hospital!$F$85</f>
        <v>1629525</v>
      </c>
      <c r="E107" s="3193">
        <f>[32]Hospital!$F$84</f>
        <v>1114350</v>
      </c>
      <c r="F107" s="3047">
        <f>G107-E107</f>
        <v>885650</v>
      </c>
      <c r="G107" s="3194">
        <f>[32]Hospital!$D$84</f>
        <v>2000000</v>
      </c>
      <c r="H107" s="3047">
        <v>1000000</v>
      </c>
    </row>
    <row r="108" spans="1:19" s="2256" customFormat="1" ht="10.5" customHeight="1" outlineLevel="1">
      <c r="A108" s="4161" t="s">
        <v>775</v>
      </c>
      <c r="B108" s="4160"/>
      <c r="C108" s="4159"/>
      <c r="D108" s="4158">
        <f>SUM(D109:D110)</f>
        <v>250410</v>
      </c>
      <c r="E108" s="4158">
        <f>SUM(E109:E110)</f>
        <v>0</v>
      </c>
      <c r="F108" s="4158">
        <f>SUM(F109:F110)</f>
        <v>0</v>
      </c>
      <c r="G108" s="4158">
        <f>SUM(G109:G110)</f>
        <v>1000000</v>
      </c>
      <c r="H108" s="1433">
        <f>SUM(H109:H110)</f>
        <v>0</v>
      </c>
    </row>
    <row r="109" spans="1:19" s="3290" customFormat="1" ht="12.75" customHeight="1" outlineLevel="1">
      <c r="A109" s="3294" t="s">
        <v>3105</v>
      </c>
      <c r="B109" s="3605"/>
      <c r="C109" s="3611" t="s">
        <v>949</v>
      </c>
      <c r="D109" s="3180">
        <v>0</v>
      </c>
      <c r="E109" s="2619">
        <v>0</v>
      </c>
      <c r="F109" s="3052">
        <v>0</v>
      </c>
      <c r="G109" s="2619"/>
      <c r="H109" s="2619">
        <v>0</v>
      </c>
    </row>
    <row r="110" spans="1:19" s="3290" customFormat="1" ht="12.75" customHeight="1" outlineLevel="1">
      <c r="A110" s="3668" t="s">
        <v>3104</v>
      </c>
      <c r="B110" s="3605"/>
      <c r="C110" s="3184"/>
      <c r="D110" s="3180">
        <f>[31]Hospital!$F$88</f>
        <v>250410</v>
      </c>
      <c r="E110" s="2619">
        <f>[36]Hospital!$F$90</f>
        <v>0</v>
      </c>
      <c r="F110" s="3052">
        <v>0</v>
      </c>
      <c r="G110" s="3199">
        <f>[32]Hospital!$D$86</f>
        <v>1000000</v>
      </c>
      <c r="H110" s="2619">
        <v>0</v>
      </c>
    </row>
    <row r="111" spans="1:19" s="2233" customFormat="1" ht="12.75" customHeight="1" outlineLevel="2" thickBot="1">
      <c r="A111" s="1418" t="s">
        <v>366</v>
      </c>
      <c r="B111" s="1418"/>
      <c r="C111" s="3179"/>
      <c r="D111" s="3178">
        <f>D108+D42+D12</f>
        <v>168471788.44999999</v>
      </c>
      <c r="E111" s="3178">
        <f>E108+E42+E12</f>
        <v>84989513.870000005</v>
      </c>
      <c r="F111" s="3178">
        <f>F108+F42+F12</f>
        <v>150202554.13</v>
      </c>
      <c r="G111" s="3178">
        <f>G108+G42+G12</f>
        <v>236192068</v>
      </c>
      <c r="H111" s="3178">
        <f>H108+H42+H12</f>
        <v>188947200</v>
      </c>
      <c r="I111" s="2255">
        <f>H42+H12</f>
        <v>188947200</v>
      </c>
      <c r="J111" s="2255"/>
      <c r="K111" s="2255"/>
      <c r="L111" s="2255"/>
      <c r="M111" s="2255"/>
      <c r="N111" s="2255"/>
      <c r="O111" s="2255"/>
      <c r="P111" s="2255"/>
      <c r="Q111" s="2255"/>
      <c r="R111" s="2255"/>
      <c r="S111" s="2255"/>
    </row>
    <row r="112" spans="1:19" s="3162" customFormat="1" ht="14.25" customHeight="1" thickTop="1">
      <c r="A112" s="3175" t="s">
        <v>2312</v>
      </c>
      <c r="B112" s="3174"/>
      <c r="C112" s="3174"/>
      <c r="D112" s="3174"/>
      <c r="E112" s="3173"/>
      <c r="F112" s="3173"/>
      <c r="G112" s="3173" t="s">
        <v>2311</v>
      </c>
      <c r="H112" s="3173"/>
      <c r="I112" s="2233"/>
      <c r="J112" s="2255"/>
      <c r="K112" s="2255"/>
      <c r="L112" s="2255"/>
      <c r="M112" s="2255"/>
      <c r="N112" s="2255"/>
      <c r="O112" s="2255"/>
      <c r="P112" s="2255"/>
      <c r="Q112" s="2255"/>
      <c r="R112" s="2255"/>
      <c r="S112" s="2255"/>
    </row>
    <row r="113" spans="1:19" s="3162" customFormat="1" ht="11.25" customHeight="1">
      <c r="A113" s="3173"/>
      <c r="B113" s="3174"/>
      <c r="C113" s="3174"/>
      <c r="D113" s="3174"/>
      <c r="E113" s="3173"/>
      <c r="F113" s="3173"/>
      <c r="G113" s="3173"/>
      <c r="H113" s="3173"/>
      <c r="I113" s="2233"/>
      <c r="J113" s="2255"/>
      <c r="K113" s="2255"/>
      <c r="L113" s="2255"/>
      <c r="M113" s="2255"/>
      <c r="N113" s="2255"/>
      <c r="O113" s="2255"/>
      <c r="P113" s="2255"/>
      <c r="Q113" s="2255"/>
      <c r="R113" s="2255"/>
      <c r="S113" s="2255"/>
    </row>
    <row r="114" spans="1:19" s="3162" customFormat="1" ht="14.25" customHeight="1">
      <c r="A114" s="3745" t="s">
        <v>3103</v>
      </c>
      <c r="B114" s="3167"/>
      <c r="C114" s="3171" t="s">
        <v>2309</v>
      </c>
      <c r="D114" s="3165"/>
      <c r="E114" s="3169"/>
      <c r="F114" s="3169"/>
      <c r="G114" s="3170" t="s">
        <v>359</v>
      </c>
      <c r="H114" s="3169"/>
      <c r="I114" s="2233"/>
      <c r="J114" s="2255"/>
      <c r="K114" s="2255"/>
      <c r="L114" s="2255"/>
      <c r="M114" s="2255"/>
      <c r="N114" s="2255"/>
      <c r="O114" s="2255"/>
      <c r="P114" s="2255"/>
      <c r="Q114" s="2255"/>
      <c r="R114" s="2255"/>
      <c r="S114" s="2255"/>
    </row>
    <row r="115" spans="1:19" s="3162" customFormat="1" ht="14.25" customHeight="1">
      <c r="A115" s="3927" t="s">
        <v>3102</v>
      </c>
      <c r="B115" s="3167"/>
      <c r="C115" s="3166" t="s">
        <v>2308</v>
      </c>
      <c r="D115" s="3165"/>
      <c r="E115" s="3163"/>
      <c r="F115" s="3163"/>
      <c r="G115" s="3164" t="s">
        <v>2307</v>
      </c>
      <c r="H115" s="3163"/>
      <c r="I115" s="2233"/>
      <c r="J115" s="2255"/>
      <c r="K115" s="2255"/>
      <c r="L115" s="2255"/>
      <c r="M115" s="2255"/>
      <c r="N115" s="2255"/>
      <c r="O115" s="2255"/>
      <c r="P115" s="2255"/>
      <c r="Q115" s="2255"/>
      <c r="R115" s="2255"/>
      <c r="S115" s="2255"/>
    </row>
    <row r="116" spans="1:19" s="3162" customFormat="1" ht="14.25" customHeight="1">
      <c r="A116" s="4155"/>
      <c r="B116" s="4157"/>
      <c r="C116" s="4156"/>
      <c r="D116" s="4155"/>
      <c r="E116" s="3169"/>
      <c r="F116" s="3174"/>
      <c r="G116" s="3169"/>
      <c r="H116" s="3174"/>
      <c r="I116" s="2255"/>
      <c r="J116" s="2255"/>
      <c r="K116" s="2255"/>
      <c r="L116" s="2255"/>
      <c r="M116" s="2255"/>
      <c r="N116" s="2255"/>
      <c r="O116" s="2255"/>
      <c r="P116" s="2255"/>
      <c r="Q116" s="2255"/>
      <c r="R116" s="2255"/>
      <c r="S116" s="2255"/>
    </row>
    <row r="117" spans="1:19" s="3162" customFormat="1" ht="14.25" customHeight="1">
      <c r="A117" s="3174"/>
      <c r="B117" s="4154"/>
      <c r="C117" s="4153"/>
      <c r="D117" s="3173"/>
      <c r="E117" s="3163"/>
      <c r="F117" s="3174"/>
      <c r="G117" s="3163"/>
      <c r="H117" s="3174"/>
      <c r="I117" s="2255"/>
      <c r="J117" s="2255"/>
      <c r="K117" s="2255"/>
      <c r="L117" s="2255"/>
      <c r="M117" s="2255"/>
      <c r="N117" s="2255"/>
      <c r="O117" s="2255"/>
      <c r="P117" s="2255"/>
      <c r="Q117" s="2255"/>
      <c r="R117" s="2255"/>
      <c r="S117" s="2255"/>
    </row>
    <row r="118" spans="1:19" s="2235" customFormat="1">
      <c r="B118" s="2466"/>
      <c r="C118" s="3288"/>
      <c r="D118" s="3287"/>
      <c r="E118" s="3287"/>
      <c r="F118" s="3287"/>
      <c r="G118" s="3287"/>
      <c r="H118" s="3287"/>
      <c r="I118" s="2255"/>
      <c r="J118" s="2255"/>
      <c r="K118" s="2255"/>
      <c r="L118" s="2255"/>
      <c r="M118" s="2255"/>
      <c r="N118" s="2255"/>
      <c r="O118" s="2255"/>
      <c r="P118" s="2255"/>
      <c r="Q118" s="2255"/>
      <c r="R118" s="2255"/>
      <c r="S118" s="2255"/>
    </row>
    <row r="119" spans="1:19" s="2235" customFormat="1">
      <c r="B119" s="2466"/>
      <c r="C119" s="3288"/>
      <c r="D119" s="3287"/>
      <c r="E119" s="3287"/>
      <c r="F119" s="3287"/>
      <c r="G119" s="3287"/>
      <c r="H119" s="3287"/>
      <c r="I119" s="2255"/>
      <c r="J119" s="2255"/>
      <c r="K119" s="2255"/>
      <c r="L119" s="2255"/>
      <c r="M119" s="2255"/>
      <c r="N119" s="2255"/>
      <c r="O119" s="2255"/>
      <c r="P119" s="2255"/>
      <c r="Q119" s="2255"/>
      <c r="R119" s="2255"/>
      <c r="S119" s="2255"/>
    </row>
    <row r="120" spans="1:19" s="2235" customFormat="1">
      <c r="B120" s="2466"/>
      <c r="C120" s="3288"/>
      <c r="D120" s="3287"/>
      <c r="E120" s="3287"/>
      <c r="F120" s="3287"/>
      <c r="G120" s="3287"/>
      <c r="H120" s="3287"/>
      <c r="I120" s="2255"/>
      <c r="J120" s="2255"/>
      <c r="K120" s="2255"/>
      <c r="L120" s="2255"/>
      <c r="M120" s="2255"/>
      <c r="N120" s="2255"/>
      <c r="O120" s="2255"/>
      <c r="P120" s="2255"/>
      <c r="Q120" s="2255"/>
      <c r="R120" s="2255"/>
      <c r="S120" s="2255"/>
    </row>
    <row r="121" spans="1:19" s="2235" customFormat="1">
      <c r="B121" s="2466"/>
      <c r="C121" s="3288"/>
      <c r="D121" s="3287"/>
      <c r="E121" s="3287"/>
      <c r="F121" s="3287"/>
      <c r="G121" s="3287"/>
      <c r="H121" s="3287"/>
      <c r="I121" s="2255"/>
      <c r="J121" s="2255"/>
      <c r="K121" s="2255"/>
      <c r="L121" s="2255"/>
      <c r="M121" s="2255"/>
      <c r="N121" s="2255"/>
      <c r="O121" s="2255"/>
      <c r="P121" s="2255"/>
      <c r="Q121" s="2255"/>
      <c r="R121" s="2255"/>
      <c r="S121" s="2255"/>
    </row>
    <row r="122" spans="1:19" s="2235" customFormat="1">
      <c r="B122" s="2466"/>
      <c r="C122" s="3288"/>
      <c r="D122" s="3287"/>
      <c r="E122" s="3287"/>
      <c r="F122" s="3287"/>
      <c r="G122" s="3287"/>
      <c r="H122" s="3287"/>
      <c r="I122" s="2255"/>
      <c r="J122" s="2255"/>
      <c r="K122" s="2255"/>
      <c r="L122" s="2255"/>
      <c r="M122" s="2255"/>
      <c r="N122" s="2255"/>
      <c r="O122" s="2255"/>
      <c r="P122" s="2255"/>
      <c r="Q122" s="2255"/>
      <c r="R122" s="2255"/>
      <c r="S122" s="2255"/>
    </row>
    <row r="123" spans="1:19" s="2235" customFormat="1">
      <c r="B123" s="2466"/>
      <c r="C123" s="3288"/>
      <c r="D123" s="3287"/>
      <c r="E123" s="3287"/>
      <c r="F123" s="3287"/>
      <c r="G123" s="3287"/>
      <c r="H123" s="3287"/>
      <c r="I123" s="2255"/>
      <c r="J123" s="2255"/>
      <c r="K123" s="2255"/>
      <c r="L123" s="2255"/>
      <c r="M123" s="2255"/>
      <c r="N123" s="2255"/>
      <c r="O123" s="2255"/>
      <c r="P123" s="2255"/>
      <c r="Q123" s="2255"/>
      <c r="R123" s="2255"/>
      <c r="S123" s="2255"/>
    </row>
    <row r="124" spans="1:19" s="2235" customFormat="1">
      <c r="B124" s="2466"/>
      <c r="C124" s="3288"/>
      <c r="D124" s="3287"/>
      <c r="E124" s="3287"/>
      <c r="F124" s="3287"/>
      <c r="G124" s="3287"/>
      <c r="H124" s="3287"/>
      <c r="I124" s="2255"/>
      <c r="J124" s="2255"/>
      <c r="K124" s="2255"/>
      <c r="L124" s="2255"/>
      <c r="M124" s="2255"/>
      <c r="N124" s="2255"/>
      <c r="O124" s="2255"/>
      <c r="P124" s="2255"/>
      <c r="Q124" s="2255"/>
      <c r="R124" s="2255"/>
      <c r="S124" s="2255"/>
    </row>
    <row r="125" spans="1:19" s="2235" customFormat="1">
      <c r="B125" s="2466"/>
      <c r="C125" s="3288"/>
      <c r="D125" s="3287"/>
      <c r="E125" s="3287"/>
      <c r="F125" s="3287"/>
      <c r="G125" s="3287"/>
      <c r="H125" s="3287"/>
      <c r="I125" s="2255"/>
      <c r="J125" s="2255"/>
      <c r="K125" s="2255"/>
      <c r="L125" s="2255"/>
      <c r="M125" s="2255"/>
      <c r="N125" s="2255"/>
      <c r="O125" s="2255"/>
      <c r="P125" s="2255"/>
      <c r="Q125" s="2255"/>
      <c r="R125" s="2255"/>
      <c r="S125" s="2255"/>
    </row>
    <row r="126" spans="1:19" s="2235" customFormat="1">
      <c r="B126" s="2466"/>
      <c r="C126" s="3288"/>
      <c r="D126" s="3287"/>
      <c r="E126" s="3287"/>
      <c r="F126" s="3287"/>
      <c r="G126" s="3287"/>
      <c r="H126" s="3287"/>
      <c r="I126" s="2255"/>
      <c r="J126" s="2255"/>
      <c r="K126" s="2255"/>
      <c r="L126" s="2255"/>
      <c r="M126" s="2255"/>
      <c r="N126" s="2255"/>
      <c r="O126" s="2255"/>
      <c r="P126" s="2255"/>
      <c r="Q126" s="2255"/>
      <c r="R126" s="2255"/>
      <c r="S126" s="2255"/>
    </row>
    <row r="127" spans="1:19" s="2235" customFormat="1">
      <c r="B127" s="2466"/>
      <c r="C127" s="3288"/>
      <c r="D127" s="3287"/>
      <c r="E127" s="3287"/>
      <c r="F127" s="3287"/>
      <c r="G127" s="3287"/>
      <c r="H127" s="3287"/>
      <c r="I127" s="2255"/>
      <c r="J127" s="2255"/>
      <c r="K127" s="2255"/>
      <c r="L127" s="2255"/>
      <c r="M127" s="2255"/>
      <c r="N127" s="2255"/>
      <c r="O127" s="2255"/>
      <c r="P127" s="2255"/>
      <c r="Q127" s="2255"/>
      <c r="R127" s="2255"/>
      <c r="S127" s="2255"/>
    </row>
    <row r="128" spans="1:19" s="2235" customFormat="1">
      <c r="B128" s="2466"/>
      <c r="C128" s="3288"/>
      <c r="D128" s="3287"/>
      <c r="E128" s="3287"/>
      <c r="F128" s="3287"/>
      <c r="G128" s="3287"/>
      <c r="H128" s="3287"/>
      <c r="I128" s="2255"/>
      <c r="J128" s="2255"/>
      <c r="K128" s="2255"/>
      <c r="L128" s="2255"/>
      <c r="M128" s="2255"/>
      <c r="N128" s="2255"/>
      <c r="O128" s="2255"/>
      <c r="P128" s="2255"/>
      <c r="Q128" s="2255"/>
      <c r="R128" s="2255"/>
      <c r="S128" s="2255"/>
    </row>
    <row r="129" spans="3:19" s="2233" customFormat="1">
      <c r="C129" s="3161"/>
      <c r="D129" s="3161"/>
      <c r="E129" s="3161"/>
      <c r="F129" s="3161"/>
      <c r="G129" s="3161"/>
      <c r="H129" s="3161"/>
      <c r="I129" s="2255"/>
      <c r="J129" s="2255"/>
      <c r="K129" s="2255"/>
      <c r="L129" s="2255"/>
      <c r="M129" s="2255"/>
      <c r="N129" s="2255"/>
      <c r="O129" s="2255"/>
      <c r="P129" s="2255"/>
      <c r="Q129" s="2255"/>
      <c r="R129" s="2255"/>
      <c r="S129" s="2255"/>
    </row>
    <row r="130" spans="3:19" s="2233" customFormat="1">
      <c r="C130" s="3161"/>
      <c r="D130" s="3161"/>
      <c r="E130" s="3161"/>
      <c r="F130" s="3161"/>
      <c r="G130" s="3161"/>
      <c r="H130" s="3161"/>
      <c r="I130" s="2255"/>
      <c r="J130" s="2255"/>
      <c r="K130" s="2255"/>
      <c r="L130" s="2255"/>
      <c r="M130" s="2255"/>
      <c r="N130" s="2255"/>
      <c r="O130" s="2255"/>
      <c r="P130" s="2255"/>
      <c r="Q130" s="2255"/>
      <c r="R130" s="2255"/>
      <c r="S130" s="2255"/>
    </row>
    <row r="131" spans="3:19" s="2233" customFormat="1">
      <c r="C131" s="3161"/>
      <c r="D131" s="3161"/>
      <c r="E131" s="3161"/>
      <c r="F131" s="3161"/>
      <c r="G131" s="3161"/>
      <c r="H131" s="3161"/>
      <c r="I131" s="2255"/>
      <c r="J131" s="2255"/>
      <c r="K131" s="2255"/>
      <c r="L131" s="2255"/>
      <c r="M131" s="2255"/>
      <c r="N131" s="2255"/>
      <c r="O131" s="2255"/>
      <c r="P131" s="2255"/>
      <c r="Q131" s="2255"/>
      <c r="R131" s="2255"/>
      <c r="S131" s="2255"/>
    </row>
    <row r="132" spans="3:19" s="2233" customFormat="1">
      <c r="C132" s="3161"/>
      <c r="D132" s="3161"/>
      <c r="E132" s="3161"/>
      <c r="F132" s="3161"/>
      <c r="G132" s="3161"/>
      <c r="H132" s="3161"/>
      <c r="I132" s="2255"/>
      <c r="J132" s="2255"/>
      <c r="K132" s="2255"/>
      <c r="L132" s="2255"/>
      <c r="M132" s="2255"/>
      <c r="N132" s="2255"/>
      <c r="O132" s="2255"/>
      <c r="P132" s="2255"/>
      <c r="Q132" s="2255"/>
      <c r="R132" s="2255"/>
      <c r="S132" s="2255"/>
    </row>
    <row r="133" spans="3:19" s="2233" customFormat="1">
      <c r="C133" s="3161"/>
      <c r="D133" s="3161"/>
      <c r="E133" s="3161"/>
      <c r="F133" s="3161"/>
      <c r="G133" s="3161"/>
      <c r="H133" s="3161"/>
      <c r="I133" s="2255"/>
      <c r="J133" s="2255"/>
      <c r="K133" s="2255"/>
      <c r="L133" s="2255"/>
      <c r="M133" s="2255"/>
      <c r="N133" s="2255"/>
      <c r="O133" s="2255"/>
      <c r="P133" s="2255"/>
      <c r="Q133" s="2255"/>
      <c r="R133" s="2255"/>
      <c r="S133" s="2255"/>
    </row>
    <row r="134" spans="3:19" s="2233" customFormat="1">
      <c r="C134" s="3161"/>
      <c r="D134" s="3161"/>
      <c r="E134" s="3161"/>
      <c r="F134" s="3161"/>
      <c r="G134" s="3161"/>
      <c r="H134" s="3161"/>
      <c r="I134" s="2255"/>
      <c r="J134" s="2255"/>
      <c r="K134" s="2255"/>
      <c r="L134" s="2255"/>
      <c r="M134" s="2255"/>
      <c r="N134" s="2255"/>
      <c r="O134" s="2255"/>
      <c r="P134" s="2255"/>
      <c r="Q134" s="2255"/>
      <c r="R134" s="2255"/>
      <c r="S134" s="2255"/>
    </row>
    <row r="135" spans="3:19" s="2233" customFormat="1">
      <c r="C135" s="3161"/>
      <c r="D135" s="3161"/>
      <c r="E135" s="3161"/>
      <c r="F135" s="3161"/>
      <c r="G135" s="3161"/>
      <c r="H135" s="3161"/>
      <c r="I135" s="2255"/>
      <c r="J135" s="2255"/>
      <c r="K135" s="2255"/>
      <c r="L135" s="2255"/>
      <c r="M135" s="2255"/>
      <c r="N135" s="2255"/>
      <c r="O135" s="2255"/>
      <c r="P135" s="2255"/>
      <c r="Q135" s="2255"/>
      <c r="R135" s="2255"/>
      <c r="S135" s="2255"/>
    </row>
    <row r="136" spans="3:19" s="2233" customFormat="1">
      <c r="C136" s="3161"/>
      <c r="D136" s="3161"/>
      <c r="E136" s="3161"/>
      <c r="F136" s="3161"/>
      <c r="G136" s="3161"/>
      <c r="H136" s="3161"/>
      <c r="I136" s="2255"/>
      <c r="J136" s="2255"/>
      <c r="K136" s="2255"/>
      <c r="L136" s="2255"/>
      <c r="M136" s="2255"/>
      <c r="N136" s="2255"/>
      <c r="O136" s="2255"/>
      <c r="P136" s="2255"/>
      <c r="Q136" s="2255"/>
      <c r="R136" s="2255"/>
      <c r="S136" s="2255"/>
    </row>
    <row r="137" spans="3:19" s="2233" customFormat="1">
      <c r="C137" s="3161"/>
      <c r="D137" s="3161"/>
      <c r="E137" s="3161"/>
      <c r="F137" s="3161"/>
      <c r="G137" s="3161"/>
      <c r="H137" s="3161"/>
      <c r="I137" s="2255"/>
      <c r="J137" s="2255"/>
      <c r="K137" s="2255"/>
      <c r="L137" s="2255"/>
      <c r="M137" s="2255"/>
      <c r="N137" s="2255"/>
      <c r="O137" s="2255"/>
      <c r="P137" s="2255"/>
      <c r="Q137" s="2255"/>
      <c r="R137" s="2255"/>
      <c r="S137" s="2255"/>
    </row>
    <row r="138" spans="3:19" s="2233" customFormat="1">
      <c r="C138" s="3161"/>
      <c r="D138" s="3161"/>
      <c r="E138" s="3161"/>
      <c r="F138" s="3161"/>
      <c r="G138" s="3161"/>
      <c r="H138" s="3161"/>
      <c r="I138" s="2255"/>
      <c r="J138" s="2255"/>
      <c r="K138" s="2255"/>
      <c r="L138" s="2255"/>
      <c r="M138" s="2255"/>
      <c r="N138" s="2255"/>
      <c r="O138" s="2255"/>
      <c r="P138" s="2255"/>
      <c r="Q138" s="2255"/>
      <c r="R138" s="2255"/>
      <c r="S138" s="2255"/>
    </row>
    <row r="139" spans="3:19" s="2233" customFormat="1">
      <c r="C139" s="3161"/>
      <c r="D139" s="3161"/>
      <c r="E139" s="3161"/>
      <c r="F139" s="3161"/>
      <c r="G139" s="3161"/>
      <c r="H139" s="3161"/>
      <c r="I139" s="2255"/>
      <c r="J139" s="2255"/>
      <c r="K139" s="2255"/>
      <c r="L139" s="2255"/>
      <c r="M139" s="2255"/>
      <c r="N139" s="2255"/>
      <c r="O139" s="2255"/>
      <c r="P139" s="2255"/>
      <c r="Q139" s="2255"/>
      <c r="R139" s="2255"/>
      <c r="S139" s="2255"/>
    </row>
    <row r="140" spans="3:19" s="2233" customFormat="1">
      <c r="C140" s="3161"/>
      <c r="D140" s="3161"/>
      <c r="E140" s="3161"/>
      <c r="F140" s="3161"/>
      <c r="G140" s="3161"/>
      <c r="H140" s="3161"/>
      <c r="I140" s="2255"/>
      <c r="J140" s="2255"/>
      <c r="K140" s="2255"/>
      <c r="L140" s="2255"/>
      <c r="M140" s="2255"/>
      <c r="N140" s="2255"/>
      <c r="O140" s="2255"/>
      <c r="P140" s="2255"/>
      <c r="Q140" s="2255"/>
      <c r="R140" s="2255"/>
      <c r="S140" s="2255"/>
    </row>
    <row r="141" spans="3:19" s="2233" customFormat="1">
      <c r="C141" s="3161"/>
      <c r="D141" s="3161"/>
      <c r="E141" s="3161"/>
      <c r="F141" s="3161"/>
      <c r="G141" s="3161"/>
      <c r="H141" s="3161"/>
      <c r="I141" s="2255"/>
      <c r="J141" s="2255"/>
      <c r="K141" s="2255"/>
      <c r="L141" s="2255"/>
      <c r="M141" s="2255"/>
      <c r="N141" s="2255"/>
      <c r="O141" s="2255"/>
      <c r="P141" s="2255"/>
      <c r="Q141" s="2255"/>
      <c r="R141" s="2255"/>
      <c r="S141" s="2255"/>
    </row>
    <row r="142" spans="3:19" s="2233" customFormat="1">
      <c r="C142" s="3161"/>
      <c r="D142" s="3161"/>
      <c r="E142" s="3161"/>
      <c r="F142" s="3161"/>
      <c r="G142" s="3161"/>
      <c r="H142" s="3161"/>
      <c r="I142" s="2255"/>
      <c r="J142" s="2255"/>
      <c r="K142" s="2255"/>
      <c r="L142" s="2255"/>
      <c r="M142" s="2255"/>
      <c r="N142" s="2255"/>
      <c r="O142" s="2255"/>
      <c r="P142" s="2255"/>
      <c r="Q142" s="2255"/>
      <c r="R142" s="2255"/>
      <c r="S142" s="2255"/>
    </row>
    <row r="143" spans="3:19" s="2233" customFormat="1">
      <c r="C143" s="3161"/>
      <c r="D143" s="3161"/>
      <c r="E143" s="3161"/>
      <c r="F143" s="3161"/>
      <c r="G143" s="3161"/>
      <c r="H143" s="3161"/>
      <c r="I143" s="2255"/>
      <c r="J143" s="2255"/>
      <c r="K143" s="2255"/>
      <c r="L143" s="2255"/>
      <c r="M143" s="2255"/>
      <c r="N143" s="2255"/>
      <c r="O143" s="2255"/>
      <c r="P143" s="2255"/>
      <c r="Q143" s="2255"/>
      <c r="R143" s="2255"/>
      <c r="S143" s="2255"/>
    </row>
    <row r="144" spans="3:19" s="2233" customFormat="1">
      <c r="C144" s="3161"/>
      <c r="D144" s="3161"/>
      <c r="E144" s="3161"/>
      <c r="F144" s="3161"/>
      <c r="G144" s="3161"/>
      <c r="H144" s="3161"/>
      <c r="I144" s="2255"/>
      <c r="J144" s="2255"/>
      <c r="K144" s="2255"/>
      <c r="L144" s="2255"/>
      <c r="M144" s="2255"/>
      <c r="N144" s="2255"/>
      <c r="O144" s="2255"/>
      <c r="P144" s="2255"/>
      <c r="Q144" s="2255"/>
      <c r="R144" s="2255"/>
      <c r="S144" s="2255"/>
    </row>
    <row r="145" spans="3:19" s="2233" customFormat="1">
      <c r="C145" s="3161"/>
      <c r="D145" s="3161"/>
      <c r="E145" s="3161"/>
      <c r="F145" s="3161"/>
      <c r="G145" s="3161"/>
      <c r="H145" s="3161"/>
      <c r="I145" s="2255"/>
      <c r="J145" s="2255"/>
      <c r="K145" s="2255"/>
      <c r="L145" s="2255"/>
      <c r="M145" s="2255"/>
      <c r="N145" s="2255"/>
      <c r="O145" s="2255"/>
      <c r="P145" s="2255"/>
      <c r="Q145" s="2255"/>
      <c r="R145" s="2255"/>
      <c r="S145" s="2255"/>
    </row>
    <row r="146" spans="3:19" s="2233" customFormat="1">
      <c r="C146" s="3161"/>
      <c r="D146" s="3161"/>
      <c r="E146" s="3161"/>
      <c r="F146" s="3161"/>
      <c r="G146" s="3161"/>
      <c r="H146" s="3161"/>
      <c r="I146" s="2255"/>
      <c r="J146" s="2255"/>
      <c r="K146" s="2255"/>
      <c r="L146" s="2255"/>
      <c r="M146" s="2255"/>
      <c r="N146" s="2255"/>
      <c r="O146" s="2255"/>
      <c r="P146" s="2255"/>
      <c r="Q146" s="2255"/>
      <c r="R146" s="2255"/>
      <c r="S146" s="2255"/>
    </row>
    <row r="147" spans="3:19" s="2233" customFormat="1">
      <c r="C147" s="3161"/>
      <c r="D147" s="3161"/>
      <c r="E147" s="3161"/>
      <c r="F147" s="3161"/>
      <c r="G147" s="3161"/>
      <c r="H147" s="3161"/>
      <c r="I147" s="2255"/>
      <c r="J147" s="2255"/>
      <c r="K147" s="2255"/>
      <c r="L147" s="2255"/>
      <c r="M147" s="2255"/>
      <c r="N147" s="2255"/>
      <c r="O147" s="2255"/>
      <c r="P147" s="2255"/>
      <c r="Q147" s="2255"/>
      <c r="R147" s="2255"/>
      <c r="S147" s="2255"/>
    </row>
    <row r="148" spans="3:19" s="2233" customFormat="1">
      <c r="C148" s="3161"/>
      <c r="D148" s="3161"/>
      <c r="E148" s="3161"/>
      <c r="F148" s="3161"/>
      <c r="G148" s="3161"/>
      <c r="H148" s="3161"/>
      <c r="I148" s="2255"/>
      <c r="J148" s="2255"/>
      <c r="K148" s="2255"/>
      <c r="L148" s="2255"/>
      <c r="M148" s="2255"/>
      <c r="N148" s="2255"/>
      <c r="O148" s="2255"/>
      <c r="P148" s="2255"/>
      <c r="Q148" s="2255"/>
      <c r="R148" s="2255"/>
      <c r="S148" s="2255"/>
    </row>
    <row r="149" spans="3:19" s="2233" customFormat="1">
      <c r="C149" s="3161"/>
      <c r="D149" s="3161"/>
      <c r="E149" s="3161"/>
      <c r="F149" s="3161"/>
      <c r="G149" s="3161"/>
      <c r="H149" s="3161"/>
      <c r="I149" s="2255"/>
      <c r="J149" s="2255"/>
      <c r="K149" s="2255"/>
      <c r="L149" s="2255"/>
      <c r="M149" s="2255"/>
      <c r="N149" s="2255"/>
      <c r="O149" s="2255"/>
      <c r="P149" s="2255"/>
      <c r="Q149" s="2255"/>
      <c r="R149" s="2255"/>
      <c r="S149" s="2255"/>
    </row>
    <row r="150" spans="3:19" s="2233" customFormat="1">
      <c r="C150" s="3161"/>
      <c r="D150" s="3161"/>
      <c r="E150" s="3161"/>
      <c r="F150" s="3161"/>
      <c r="G150" s="3161"/>
      <c r="H150" s="3161"/>
      <c r="I150" s="2255"/>
      <c r="J150" s="2255"/>
      <c r="K150" s="2255"/>
      <c r="L150" s="2255"/>
      <c r="M150" s="2255"/>
      <c r="N150" s="2255"/>
      <c r="O150" s="2255"/>
      <c r="P150" s="2255"/>
      <c r="Q150" s="2255"/>
      <c r="R150" s="2255"/>
      <c r="S150" s="2255"/>
    </row>
    <row r="151" spans="3:19" s="2233" customFormat="1">
      <c r="C151" s="3161"/>
      <c r="D151" s="3161"/>
      <c r="E151" s="3161"/>
      <c r="F151" s="3161"/>
      <c r="G151" s="3161"/>
      <c r="H151" s="3161"/>
      <c r="I151" s="2255"/>
      <c r="J151" s="2255"/>
      <c r="K151" s="2255"/>
      <c r="L151" s="2255"/>
      <c r="M151" s="2255"/>
      <c r="N151" s="2255"/>
      <c r="O151" s="2255"/>
      <c r="P151" s="2255"/>
      <c r="Q151" s="2255"/>
      <c r="R151" s="2255"/>
      <c r="S151" s="2255"/>
    </row>
    <row r="152" spans="3:19" s="2233" customFormat="1">
      <c r="C152" s="3161"/>
      <c r="D152" s="3161"/>
      <c r="E152" s="3161"/>
      <c r="F152" s="3161"/>
      <c r="G152" s="3161"/>
      <c r="H152" s="3161"/>
      <c r="I152" s="2255"/>
      <c r="J152" s="2255"/>
      <c r="K152" s="2255"/>
      <c r="L152" s="2255"/>
      <c r="M152" s="2255"/>
      <c r="N152" s="2255"/>
      <c r="O152" s="2255"/>
      <c r="P152" s="2255"/>
      <c r="Q152" s="2255"/>
      <c r="R152" s="2255"/>
      <c r="S152" s="2255"/>
    </row>
    <row r="153" spans="3:19" s="2233" customFormat="1">
      <c r="C153" s="3161"/>
      <c r="D153" s="3161"/>
      <c r="E153" s="3161"/>
      <c r="F153" s="3161"/>
      <c r="G153" s="3161"/>
      <c r="H153" s="3161"/>
      <c r="I153" s="2255"/>
      <c r="J153" s="2255"/>
      <c r="K153" s="2255"/>
      <c r="L153" s="2255"/>
      <c r="M153" s="2255"/>
      <c r="N153" s="2255"/>
      <c r="O153" s="2255"/>
      <c r="P153" s="2255"/>
      <c r="Q153" s="2255"/>
      <c r="R153" s="2255"/>
      <c r="S153" s="2255"/>
    </row>
    <row r="154" spans="3:19" s="2233" customFormat="1">
      <c r="C154" s="3161"/>
      <c r="D154" s="3161"/>
      <c r="E154" s="3161"/>
      <c r="F154" s="3161"/>
      <c r="G154" s="3161"/>
      <c r="H154" s="3161"/>
      <c r="I154" s="2255"/>
      <c r="J154" s="2255"/>
      <c r="K154" s="2255"/>
      <c r="L154" s="2255"/>
      <c r="M154" s="2255"/>
      <c r="N154" s="2255"/>
      <c r="O154" s="2255"/>
      <c r="P154" s="2255"/>
      <c r="Q154" s="2255"/>
      <c r="R154" s="2255"/>
      <c r="S154" s="2255"/>
    </row>
    <row r="155" spans="3:19" s="2233" customFormat="1">
      <c r="C155" s="3161"/>
      <c r="D155" s="3161"/>
      <c r="E155" s="3161"/>
      <c r="F155" s="3161"/>
      <c r="G155" s="3161"/>
      <c r="H155" s="3161"/>
      <c r="I155" s="2255"/>
      <c r="J155" s="2255"/>
      <c r="K155" s="2255"/>
      <c r="L155" s="2255"/>
      <c r="M155" s="2255"/>
      <c r="N155" s="2255"/>
      <c r="O155" s="2255"/>
      <c r="P155" s="2255"/>
      <c r="Q155" s="2255"/>
      <c r="R155" s="2255"/>
      <c r="S155" s="2255"/>
    </row>
    <row r="156" spans="3:19" s="2233" customFormat="1">
      <c r="C156" s="3161"/>
      <c r="D156" s="3161"/>
      <c r="E156" s="3161"/>
      <c r="F156" s="3161"/>
      <c r="G156" s="3161"/>
      <c r="H156" s="3161"/>
      <c r="I156" s="2255"/>
      <c r="J156" s="2255"/>
      <c r="K156" s="2255"/>
      <c r="L156" s="2255"/>
      <c r="M156" s="2255"/>
      <c r="N156" s="2255"/>
      <c r="O156" s="2255"/>
      <c r="P156" s="2255"/>
      <c r="Q156" s="2255"/>
      <c r="R156" s="2255"/>
      <c r="S156" s="2255"/>
    </row>
    <row r="157" spans="3:19" s="2233" customFormat="1">
      <c r="C157" s="3161"/>
      <c r="D157" s="3161"/>
      <c r="E157" s="3161"/>
      <c r="F157" s="3161"/>
      <c r="G157" s="3161"/>
      <c r="H157" s="3161"/>
      <c r="I157" s="2255"/>
      <c r="J157" s="2255"/>
      <c r="K157" s="2255"/>
      <c r="L157" s="2255"/>
      <c r="M157" s="2255"/>
      <c r="N157" s="2255"/>
      <c r="O157" s="2255"/>
      <c r="P157" s="2255"/>
      <c r="Q157" s="2255"/>
      <c r="R157" s="2255"/>
      <c r="S157" s="2255"/>
    </row>
    <row r="158" spans="3:19" s="2233" customFormat="1">
      <c r="C158" s="3161"/>
      <c r="D158" s="3161"/>
      <c r="E158" s="3161"/>
      <c r="F158" s="3161"/>
      <c r="G158" s="3161"/>
      <c r="H158" s="3161"/>
      <c r="I158" s="2255"/>
      <c r="J158" s="2255"/>
      <c r="K158" s="2255"/>
      <c r="L158" s="2255"/>
      <c r="M158" s="2255"/>
      <c r="N158" s="2255"/>
      <c r="O158" s="2255"/>
      <c r="P158" s="2255"/>
      <c r="Q158" s="2255"/>
      <c r="R158" s="2255"/>
      <c r="S158" s="2255"/>
    </row>
    <row r="159" spans="3:19" s="2233" customFormat="1">
      <c r="C159" s="3161"/>
      <c r="D159" s="3161"/>
      <c r="E159" s="3161"/>
      <c r="F159" s="3161"/>
      <c r="G159" s="3161"/>
      <c r="H159" s="3161"/>
      <c r="I159" s="2255"/>
      <c r="J159" s="2255"/>
      <c r="K159" s="2255"/>
      <c r="L159" s="2255"/>
      <c r="M159" s="2255"/>
      <c r="N159" s="2255"/>
      <c r="O159" s="2255"/>
      <c r="P159" s="2255"/>
      <c r="Q159" s="2255"/>
      <c r="R159" s="2255"/>
      <c r="S159" s="2255"/>
    </row>
    <row r="160" spans="3:19" s="2233" customFormat="1">
      <c r="C160" s="3161"/>
      <c r="D160" s="3161"/>
      <c r="E160" s="3161"/>
      <c r="F160" s="3161"/>
      <c r="G160" s="3161"/>
      <c r="H160" s="3161"/>
      <c r="I160" s="2255"/>
      <c r="J160" s="2255"/>
      <c r="K160" s="2255"/>
      <c r="L160" s="2255"/>
      <c r="M160" s="2255"/>
      <c r="N160" s="2255"/>
      <c r="O160" s="2255"/>
      <c r="P160" s="2255"/>
      <c r="Q160" s="2255"/>
      <c r="R160" s="2255"/>
      <c r="S160" s="2255"/>
    </row>
    <row r="161" spans="3:19" s="2233" customFormat="1">
      <c r="C161" s="3161"/>
      <c r="D161" s="3161"/>
      <c r="E161" s="3161"/>
      <c r="F161" s="3161"/>
      <c r="G161" s="3161"/>
      <c r="H161" s="3161"/>
      <c r="I161" s="2255"/>
      <c r="J161" s="2255"/>
      <c r="K161" s="2255"/>
      <c r="L161" s="2255"/>
      <c r="M161" s="2255"/>
      <c r="N161" s="2255"/>
      <c r="O161" s="2255"/>
      <c r="P161" s="2255"/>
      <c r="Q161" s="2255"/>
      <c r="R161" s="2255"/>
      <c r="S161" s="2255"/>
    </row>
    <row r="162" spans="3:19" s="2233" customFormat="1">
      <c r="C162" s="3161"/>
      <c r="D162" s="3161"/>
      <c r="E162" s="3161"/>
      <c r="F162" s="3161"/>
      <c r="G162" s="3161"/>
      <c r="H162" s="3161"/>
      <c r="I162" s="2255"/>
      <c r="J162" s="2255"/>
      <c r="K162" s="2255"/>
      <c r="L162" s="2255"/>
      <c r="M162" s="2255"/>
      <c r="N162" s="2255"/>
      <c r="O162" s="2255"/>
      <c r="P162" s="2255"/>
      <c r="Q162" s="2255"/>
      <c r="R162" s="2255"/>
      <c r="S162" s="2255"/>
    </row>
    <row r="163" spans="3:19" s="2233" customFormat="1">
      <c r="C163" s="3161"/>
      <c r="D163" s="3161"/>
      <c r="E163" s="3161"/>
      <c r="F163" s="3161"/>
      <c r="G163" s="3161"/>
      <c r="H163" s="3161"/>
      <c r="I163" s="2255"/>
      <c r="J163" s="2255"/>
      <c r="K163" s="2255"/>
      <c r="L163" s="2255"/>
      <c r="M163" s="2255"/>
      <c r="N163" s="2255"/>
      <c r="O163" s="2255"/>
      <c r="P163" s="2255"/>
      <c r="Q163" s="2255"/>
      <c r="R163" s="2255"/>
      <c r="S163" s="2255"/>
    </row>
    <row r="164" spans="3:19" s="2233" customFormat="1">
      <c r="C164" s="3161"/>
      <c r="D164" s="3161"/>
      <c r="E164" s="3161"/>
      <c r="F164" s="3161"/>
      <c r="G164" s="3161"/>
      <c r="H164" s="3161"/>
      <c r="I164" s="2255"/>
      <c r="J164" s="2255"/>
      <c r="K164" s="2255"/>
      <c r="L164" s="2255"/>
      <c r="M164" s="2255"/>
      <c r="N164" s="2255"/>
      <c r="O164" s="2255"/>
      <c r="P164" s="2255"/>
      <c r="Q164" s="2255"/>
      <c r="R164" s="2255"/>
      <c r="S164" s="2255"/>
    </row>
    <row r="165" spans="3:19" s="2233" customFormat="1">
      <c r="C165" s="3161"/>
      <c r="D165" s="3161"/>
      <c r="E165" s="3161"/>
      <c r="F165" s="3161"/>
      <c r="G165" s="3161"/>
      <c r="H165" s="3161"/>
    </row>
    <row r="166" spans="3:19" s="2233" customFormat="1">
      <c r="C166" s="3161"/>
      <c r="D166" s="3161"/>
      <c r="E166" s="3161"/>
      <c r="F166" s="3161"/>
      <c r="G166" s="3161"/>
      <c r="H166" s="3161"/>
    </row>
    <row r="167" spans="3:19" s="2233" customFormat="1">
      <c r="C167" s="3161"/>
      <c r="D167" s="3161"/>
      <c r="E167" s="3161"/>
      <c r="F167" s="3161"/>
      <c r="G167" s="3161"/>
      <c r="H167" s="3161"/>
    </row>
    <row r="168" spans="3:19" s="2233" customFormat="1">
      <c r="C168" s="3161"/>
      <c r="D168" s="3161"/>
      <c r="E168" s="3161"/>
      <c r="F168" s="3161"/>
      <c r="G168" s="3161"/>
      <c r="H168" s="3161"/>
    </row>
    <row r="169" spans="3:19" s="2233" customFormat="1">
      <c r="C169" s="3161"/>
      <c r="D169" s="3161"/>
      <c r="E169" s="3161"/>
      <c r="F169" s="3161"/>
      <c r="G169" s="3161"/>
      <c r="H169" s="3161"/>
    </row>
    <row r="170" spans="3:19" s="2233" customFormat="1">
      <c r="C170" s="3161"/>
      <c r="D170" s="3161"/>
      <c r="E170" s="3161"/>
      <c r="F170" s="3161"/>
      <c r="G170" s="3161"/>
      <c r="H170" s="3161"/>
    </row>
    <row r="171" spans="3:19" s="2233" customFormat="1">
      <c r="C171" s="3161"/>
      <c r="D171" s="3161"/>
      <c r="E171" s="3161"/>
      <c r="F171" s="3161"/>
      <c r="G171" s="3161"/>
      <c r="H171" s="3161"/>
    </row>
    <row r="173" spans="3:19">
      <c r="I173" s="4152"/>
      <c r="J173" s="4152"/>
      <c r="K173" s="4152"/>
      <c r="L173" s="4152"/>
      <c r="M173" s="4152"/>
      <c r="N173" s="4152"/>
      <c r="O173" s="4152"/>
      <c r="P173" s="4152"/>
      <c r="Q173" s="4152"/>
      <c r="R173" s="4152"/>
      <c r="S173" s="4152"/>
    </row>
    <row r="174" spans="3:19">
      <c r="I174" s="4152"/>
      <c r="J174" s="4152"/>
      <c r="K174" s="4152"/>
      <c r="L174" s="4152"/>
      <c r="M174" s="4152"/>
      <c r="N174" s="4152"/>
      <c r="O174" s="4152"/>
      <c r="P174" s="4152"/>
      <c r="Q174" s="4152"/>
      <c r="R174" s="4152"/>
      <c r="S174" s="4152"/>
    </row>
    <row r="175" spans="3:19">
      <c r="I175" s="4152"/>
      <c r="J175" s="4152"/>
      <c r="K175" s="4152"/>
      <c r="L175" s="4152"/>
      <c r="M175" s="4152"/>
      <c r="N175" s="4152"/>
      <c r="O175" s="4152"/>
      <c r="P175" s="4152"/>
      <c r="Q175" s="4152"/>
      <c r="R175" s="4152"/>
      <c r="S175" s="4152"/>
    </row>
    <row r="176" spans="3:19">
      <c r="I176" s="4152"/>
      <c r="J176" s="4152"/>
      <c r="K176" s="4152"/>
      <c r="L176" s="4152"/>
      <c r="M176" s="4152"/>
      <c r="N176" s="4152"/>
      <c r="O176" s="4152"/>
      <c r="P176" s="4152"/>
      <c r="Q176" s="4152"/>
      <c r="R176" s="4152"/>
      <c r="S176" s="4152"/>
    </row>
    <row r="177" spans="9:19">
      <c r="I177" s="4152"/>
      <c r="J177" s="4152"/>
      <c r="K177" s="4152"/>
      <c r="L177" s="4152"/>
      <c r="M177" s="4152"/>
      <c r="N177" s="4152"/>
      <c r="O177" s="4152"/>
      <c r="P177" s="4152"/>
      <c r="Q177" s="4152"/>
      <c r="R177" s="4152"/>
      <c r="S177" s="4152"/>
    </row>
    <row r="178" spans="9:19">
      <c r="I178" s="1404"/>
      <c r="J178" s="1404"/>
      <c r="K178" s="1404"/>
      <c r="L178" s="1404"/>
      <c r="M178" s="1404"/>
      <c r="N178" s="1404"/>
      <c r="O178" s="1404"/>
      <c r="P178" s="1404"/>
      <c r="Q178" s="1404"/>
      <c r="R178" s="1404"/>
      <c r="S178" s="1404"/>
    </row>
    <row r="179" spans="9:19">
      <c r="I179" s="1404"/>
      <c r="J179" s="1404"/>
      <c r="K179" s="1404"/>
      <c r="L179" s="1404"/>
      <c r="M179" s="1404"/>
      <c r="N179" s="1404"/>
      <c r="O179" s="1404"/>
      <c r="P179" s="1404"/>
      <c r="Q179" s="1404"/>
      <c r="R179" s="1404"/>
      <c r="S179" s="1404"/>
    </row>
    <row r="180" spans="9:19">
      <c r="I180" s="1404"/>
      <c r="J180" s="1404"/>
      <c r="K180" s="1404"/>
      <c r="L180" s="1404"/>
      <c r="M180" s="1404"/>
      <c r="N180" s="1404"/>
      <c r="O180" s="1404"/>
      <c r="P180" s="1404"/>
      <c r="Q180" s="1404"/>
      <c r="R180" s="1404"/>
      <c r="S180" s="1404"/>
    </row>
    <row r="181" spans="9:19">
      <c r="I181" s="1404"/>
      <c r="J181" s="1404"/>
      <c r="K181" s="1404"/>
      <c r="L181" s="1404"/>
      <c r="M181" s="1404"/>
      <c r="N181" s="1404"/>
      <c r="O181" s="1404"/>
      <c r="P181" s="1404"/>
      <c r="Q181" s="1404"/>
      <c r="R181" s="1404"/>
      <c r="S181" s="1404"/>
    </row>
    <row r="182" spans="9:19">
      <c r="I182" s="1404"/>
      <c r="J182" s="1404"/>
      <c r="K182" s="1404"/>
      <c r="L182" s="1404"/>
      <c r="M182" s="1404"/>
      <c r="N182" s="1404"/>
      <c r="O182" s="1404"/>
      <c r="P182" s="1404"/>
      <c r="Q182" s="1404"/>
      <c r="R182" s="1404"/>
      <c r="S182" s="1404"/>
    </row>
    <row r="183" spans="9:19">
      <c r="I183" s="1404"/>
      <c r="J183" s="1404"/>
      <c r="K183" s="1404"/>
      <c r="L183" s="1404"/>
      <c r="M183" s="1404"/>
      <c r="N183" s="1404"/>
      <c r="O183" s="1404"/>
      <c r="P183" s="1404"/>
      <c r="Q183" s="1404"/>
      <c r="R183" s="1404"/>
      <c r="S183" s="1404"/>
    </row>
    <row r="184" spans="9:19">
      <c r="I184" s="1404"/>
      <c r="J184" s="1404"/>
      <c r="K184" s="1404"/>
      <c r="L184" s="1404"/>
      <c r="M184" s="1404"/>
      <c r="N184" s="1404"/>
      <c r="O184" s="1404"/>
      <c r="P184" s="1404"/>
      <c r="Q184" s="1404"/>
      <c r="R184" s="1404"/>
      <c r="S184" s="1404"/>
    </row>
    <row r="185" spans="9:19">
      <c r="I185" s="1404"/>
      <c r="J185" s="1404"/>
      <c r="K185" s="1404"/>
      <c r="L185" s="1404"/>
      <c r="M185" s="1404"/>
      <c r="N185" s="1404"/>
      <c r="O185" s="1404"/>
      <c r="P185" s="1404"/>
      <c r="Q185" s="1404"/>
      <c r="R185" s="1404"/>
      <c r="S185" s="1404"/>
    </row>
    <row r="186" spans="9:19">
      <c r="I186" s="1404"/>
      <c r="J186" s="1404"/>
      <c r="K186" s="1404"/>
      <c r="L186" s="1404"/>
      <c r="M186" s="1404"/>
      <c r="N186" s="1404"/>
      <c r="O186" s="1404"/>
      <c r="P186" s="1404"/>
      <c r="Q186" s="1404"/>
      <c r="R186" s="1404"/>
      <c r="S186" s="1404"/>
    </row>
    <row r="187" spans="9:19">
      <c r="I187" s="1404"/>
      <c r="J187" s="1404"/>
      <c r="K187" s="1404"/>
      <c r="L187" s="1404"/>
      <c r="M187" s="1404"/>
      <c r="N187" s="1404"/>
      <c r="O187" s="1404"/>
      <c r="P187" s="1404"/>
      <c r="Q187" s="1404"/>
      <c r="R187" s="1404"/>
      <c r="S187" s="1404"/>
    </row>
    <row r="188" spans="9:19">
      <c r="I188" s="1404"/>
      <c r="J188" s="1404"/>
      <c r="K188" s="1404"/>
      <c r="L188" s="1404"/>
      <c r="M188" s="1404"/>
      <c r="N188" s="1404"/>
      <c r="O188" s="1404"/>
      <c r="P188" s="1404"/>
      <c r="Q188" s="1404"/>
      <c r="R188" s="1404"/>
      <c r="S188" s="1404"/>
    </row>
  </sheetData>
  <mergeCells count="6">
    <mergeCell ref="A4:H4"/>
    <mergeCell ref="A5:H5"/>
    <mergeCell ref="A7:B10"/>
    <mergeCell ref="E7:G7"/>
    <mergeCell ref="A63:B66"/>
    <mergeCell ref="E63:G63"/>
  </mergeCells>
  <printOptions horizontalCentered="1"/>
  <pageMargins left="0" right="0" top="0.25" bottom="0.25" header="0" footer="0.25"/>
  <pageSetup paperSize="5" orientation="portrait"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46"/>
  <sheetViews>
    <sheetView showGridLines="0" showOutlineSymbols="0" workbookViewId="0">
      <selection activeCell="F25" sqref="F25"/>
    </sheetView>
  </sheetViews>
  <sheetFormatPr defaultColWidth="12.5703125" defaultRowHeight="12.75" outlineLevelRow="2" outlineLevelCol="2"/>
  <cols>
    <col min="1" max="1" width="1.85546875" style="134" customWidth="1"/>
    <col min="2" max="2" width="34.140625" style="134" customWidth="1"/>
    <col min="3" max="3" width="9.7109375" style="134" customWidth="1"/>
    <col min="4" max="8" width="10.7109375" style="134" customWidth="1"/>
    <col min="9" max="9" width="14.140625" style="134" hidden="1" customWidth="1"/>
    <col min="10" max="10" width="0" style="134" hidden="1" customWidth="1"/>
    <col min="11"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10" s="235" customFormat="1" ht="14.25" customHeight="1">
      <c r="A1" s="575" t="s">
        <v>473</v>
      </c>
      <c r="B1" s="134"/>
      <c r="C1" s="573"/>
      <c r="E1" s="270"/>
      <c r="H1" s="270"/>
      <c r="J1" s="572"/>
    </row>
    <row r="2" spans="1:10" s="235" customFormat="1" ht="14.25" customHeight="1">
      <c r="A2" s="574" t="s">
        <v>584</v>
      </c>
      <c r="B2" s="134"/>
      <c r="C2" s="573"/>
      <c r="E2" s="270"/>
      <c r="H2" s="270"/>
      <c r="J2" s="572"/>
    </row>
    <row r="3" spans="1:10" s="235" customFormat="1" ht="14.25" customHeight="1">
      <c r="A3" s="134"/>
      <c r="B3" s="134"/>
      <c r="C3" s="573"/>
      <c r="E3" s="270"/>
      <c r="G3" s="271"/>
      <c r="H3" s="270"/>
      <c r="J3" s="572"/>
    </row>
    <row r="4" spans="1:10" s="235" customFormat="1" ht="14.25" customHeight="1">
      <c r="A4" s="134"/>
      <c r="B4" s="134"/>
      <c r="C4" s="573"/>
      <c r="E4" s="270"/>
      <c r="G4" s="271"/>
      <c r="H4" s="270"/>
      <c r="J4" s="572"/>
    </row>
    <row r="5" spans="1:10" s="235" customFormat="1" ht="14.25" customHeight="1">
      <c r="A5" s="4648" t="s">
        <v>471</v>
      </c>
      <c r="B5" s="4648"/>
      <c r="C5" s="4648"/>
      <c r="D5" s="4648"/>
      <c r="E5" s="4648"/>
      <c r="F5" s="4648"/>
      <c r="G5" s="4648"/>
      <c r="H5" s="4648"/>
      <c r="J5" s="572"/>
    </row>
    <row r="6" spans="1:10" s="235" customFormat="1" ht="14.25" customHeight="1">
      <c r="A6" s="4623" t="s">
        <v>583</v>
      </c>
      <c r="B6" s="4631"/>
      <c r="C6" s="4631"/>
      <c r="D6" s="4631"/>
      <c r="E6" s="4631"/>
      <c r="F6" s="4631"/>
      <c r="G6" s="4631"/>
      <c r="H6" s="4631"/>
      <c r="J6" s="572"/>
    </row>
    <row r="7" spans="1:10" s="235" customFormat="1" ht="14.25" customHeight="1">
      <c r="A7" s="868"/>
      <c r="B7" s="868"/>
      <c r="C7" s="869"/>
      <c r="D7" s="868"/>
      <c r="E7" s="868"/>
      <c r="F7" s="868"/>
      <c r="G7" s="868"/>
      <c r="H7" s="868"/>
      <c r="J7" s="572"/>
    </row>
    <row r="8" spans="1:10" ht="14.25" customHeight="1">
      <c r="A8" s="399" t="s">
        <v>880</v>
      </c>
    </row>
    <row r="9" spans="1:10" ht="14.25" customHeight="1">
      <c r="A9" s="267"/>
      <c r="B9" s="266"/>
    </row>
    <row r="10" spans="1:10" ht="14.25" customHeight="1">
      <c r="A10" s="4624" t="s">
        <v>468</v>
      </c>
      <c r="B10" s="4625"/>
      <c r="C10" s="570" t="s">
        <v>467</v>
      </c>
      <c r="D10" s="264" t="s">
        <v>466</v>
      </c>
      <c r="E10" s="4632" t="s">
        <v>465</v>
      </c>
      <c r="F10" s="4633"/>
      <c r="G10" s="4634"/>
      <c r="H10" s="265" t="s">
        <v>464</v>
      </c>
    </row>
    <row r="11" spans="1:10" ht="14.25" customHeight="1">
      <c r="A11" s="4626"/>
      <c r="B11" s="4627"/>
      <c r="C11" s="569" t="s">
        <v>463</v>
      </c>
      <c r="D11" s="261">
        <v>2020</v>
      </c>
      <c r="E11" s="597" t="s">
        <v>462</v>
      </c>
      <c r="F11" s="597" t="s">
        <v>461</v>
      </c>
      <c r="G11" s="262" t="s">
        <v>244</v>
      </c>
      <c r="H11" s="261">
        <v>2022</v>
      </c>
    </row>
    <row r="12" spans="1:10" ht="14.25" customHeight="1">
      <c r="A12" s="4628"/>
      <c r="B12" s="4629"/>
      <c r="C12" s="567"/>
      <c r="D12" s="258" t="s">
        <v>460</v>
      </c>
      <c r="E12" s="258" t="s">
        <v>460</v>
      </c>
      <c r="F12" s="258" t="s">
        <v>459</v>
      </c>
      <c r="G12" s="259"/>
      <c r="H12" s="258" t="s">
        <v>458</v>
      </c>
    </row>
    <row r="13" spans="1:10" ht="18" customHeight="1">
      <c r="A13" s="255" t="s">
        <v>456</v>
      </c>
      <c r="B13" s="251"/>
      <c r="C13" s="160"/>
      <c r="D13" s="158"/>
      <c r="E13" s="158"/>
      <c r="F13" s="158"/>
      <c r="G13" s="157"/>
      <c r="H13" s="157"/>
      <c r="I13" s="148"/>
    </row>
    <row r="14" spans="1:10" ht="18" customHeight="1" outlineLevel="1">
      <c r="A14" s="565" t="s">
        <v>407</v>
      </c>
      <c r="B14" s="596"/>
      <c r="C14" s="365"/>
      <c r="D14" s="561">
        <f>SUM(D15:D29)</f>
        <v>441013.78</v>
      </c>
      <c r="E14" s="561">
        <f>SUM(E15:E29)</f>
        <v>157590.12</v>
      </c>
      <c r="F14" s="561">
        <f>SUM(F15:F29)</f>
        <v>418409.88</v>
      </c>
      <c r="G14" s="561">
        <f>SUM(G15:G29)</f>
        <v>576000</v>
      </c>
      <c r="H14" s="561">
        <f>SUM(H15:H29)</f>
        <v>576000</v>
      </c>
    </row>
    <row r="15" spans="1:10" s="155" customFormat="1" ht="19.899999999999999" customHeight="1" outlineLevel="1">
      <c r="A15" s="560" t="s">
        <v>678</v>
      </c>
      <c r="B15" s="162"/>
      <c r="C15" s="867" t="s">
        <v>677</v>
      </c>
      <c r="D15" s="866"/>
      <c r="E15" s="861"/>
      <c r="F15" s="861"/>
      <c r="G15" s="861"/>
      <c r="H15" s="493"/>
      <c r="I15" s="156"/>
    </row>
    <row r="16" spans="1:10" s="155" customFormat="1" ht="19.899999999999999" customHeight="1" outlineLevel="1">
      <c r="A16" s="863" t="s">
        <v>646</v>
      </c>
      <c r="B16" s="162"/>
      <c r="C16" s="587"/>
      <c r="D16" s="862">
        <f>'[2]1111'!$E$13</f>
        <v>42879</v>
      </c>
      <c r="E16" s="861">
        <f>'[3]1111'!$E$13</f>
        <v>13650</v>
      </c>
      <c r="F16" s="861">
        <f t="shared" ref="F16:F24" si="0">G16-E16</f>
        <v>71350</v>
      </c>
      <c r="G16" s="493">
        <v>85000</v>
      </c>
      <c r="H16" s="493">
        <v>85000</v>
      </c>
      <c r="I16" s="156"/>
    </row>
    <row r="17" spans="1:10" s="155" customFormat="1" ht="19.899999999999999" customHeight="1" outlineLevel="1">
      <c r="A17" s="863" t="s">
        <v>404</v>
      </c>
      <c r="B17" s="162"/>
      <c r="C17" s="587"/>
      <c r="D17" s="862">
        <f>'[2]1111'!$E$14</f>
        <v>0</v>
      </c>
      <c r="E17" s="861">
        <f>'[3]1111'!$E$14</f>
        <v>0</v>
      </c>
      <c r="F17" s="861">
        <f t="shared" si="0"/>
        <v>10000</v>
      </c>
      <c r="G17" s="493">
        <v>10000</v>
      </c>
      <c r="H17" s="493">
        <v>10000</v>
      </c>
      <c r="I17" s="156"/>
    </row>
    <row r="18" spans="1:10" s="155" customFormat="1" ht="19.899999999999999" customHeight="1" outlineLevel="1">
      <c r="A18" s="863" t="s">
        <v>402</v>
      </c>
      <c r="B18" s="587"/>
      <c r="C18" s="160"/>
      <c r="D18" s="861">
        <f>'[2]1111'!$E$15</f>
        <v>72655.33</v>
      </c>
      <c r="E18" s="861">
        <f>'[3]1111'!$E$15</f>
        <v>23499.5</v>
      </c>
      <c r="F18" s="861">
        <f t="shared" si="0"/>
        <v>72000.5</v>
      </c>
      <c r="G18" s="493">
        <v>95500</v>
      </c>
      <c r="H18" s="493">
        <v>95500</v>
      </c>
      <c r="I18" s="156"/>
    </row>
    <row r="19" spans="1:10" s="155" customFormat="1" ht="19.899999999999999" customHeight="1" outlineLevel="1">
      <c r="A19" s="863" t="s">
        <v>879</v>
      </c>
      <c r="B19" s="587"/>
      <c r="C19" s="195"/>
      <c r="D19" s="861">
        <f>'[2]1111'!$E$16</f>
        <v>0</v>
      </c>
      <c r="E19" s="861">
        <f>'[3]1111'!$E$16</f>
        <v>0</v>
      </c>
      <c r="F19" s="861">
        <f t="shared" si="0"/>
        <v>2500</v>
      </c>
      <c r="G19" s="493">
        <v>2500</v>
      </c>
      <c r="H19" s="493">
        <v>2500</v>
      </c>
      <c r="I19" s="156"/>
    </row>
    <row r="20" spans="1:10" s="155" customFormat="1" ht="19.899999999999999" customHeight="1" outlineLevel="1">
      <c r="A20" s="863" t="s">
        <v>878</v>
      </c>
      <c r="B20" s="162"/>
      <c r="C20" s="587"/>
      <c r="D20" s="862">
        <f>'[2]1111'!$E$18</f>
        <v>1075</v>
      </c>
      <c r="E20" s="861">
        <f>'[3]1111'!$E$18</f>
        <v>0</v>
      </c>
      <c r="F20" s="861">
        <f t="shared" si="0"/>
        <v>5000</v>
      </c>
      <c r="G20" s="493">
        <v>5000</v>
      </c>
      <c r="H20" s="493">
        <v>5000</v>
      </c>
      <c r="I20" s="156"/>
    </row>
    <row r="21" spans="1:10" s="155" customFormat="1" ht="19.899999999999999" customHeight="1" outlineLevel="1">
      <c r="A21" s="864" t="s">
        <v>877</v>
      </c>
      <c r="B21" s="162"/>
      <c r="C21" s="587"/>
      <c r="D21" s="862">
        <f>'[2]1111'!$E$17</f>
        <v>0</v>
      </c>
      <c r="E21" s="861">
        <f>'[3]1111'!$E$17</f>
        <v>0</v>
      </c>
      <c r="F21" s="861">
        <f t="shared" si="0"/>
        <v>25000</v>
      </c>
      <c r="G21" s="493">
        <v>25000</v>
      </c>
      <c r="H21" s="493">
        <v>25000</v>
      </c>
      <c r="I21" s="156"/>
    </row>
    <row r="22" spans="1:10" s="155" customFormat="1" ht="19.899999999999999" customHeight="1" outlineLevel="1">
      <c r="A22" s="863" t="s">
        <v>700</v>
      </c>
      <c r="B22" s="162"/>
      <c r="C22" s="587"/>
      <c r="D22" s="862">
        <f>'[2]1111'!$E$19</f>
        <v>0</v>
      </c>
      <c r="E22" s="861">
        <f>'[3]1111'!$E$19</f>
        <v>915</v>
      </c>
      <c r="F22" s="861">
        <f t="shared" si="0"/>
        <v>2085</v>
      </c>
      <c r="G22" s="493">
        <v>3000</v>
      </c>
      <c r="H22" s="493">
        <v>3000</v>
      </c>
      <c r="I22" s="156"/>
    </row>
    <row r="23" spans="1:10" s="155" customFormat="1" ht="19.899999999999999" customHeight="1" outlineLevel="1">
      <c r="A23" s="863" t="s">
        <v>699</v>
      </c>
      <c r="B23" s="162"/>
      <c r="C23" s="587"/>
      <c r="D23" s="862">
        <f>'[2]1111'!$E$20</f>
        <v>7120.68</v>
      </c>
      <c r="E23" s="861">
        <f>'[3]1111'!$E$20</f>
        <v>4165</v>
      </c>
      <c r="F23" s="861">
        <f t="shared" si="0"/>
        <v>17835</v>
      </c>
      <c r="G23" s="493">
        <v>22000</v>
      </c>
      <c r="H23" s="493">
        <v>22000</v>
      </c>
      <c r="I23" s="156"/>
    </row>
    <row r="24" spans="1:10" s="155" customFormat="1" ht="19.899999999999999" customHeight="1" outlineLevel="1">
      <c r="A24" s="863" t="s">
        <v>389</v>
      </c>
      <c r="B24" s="162"/>
      <c r="C24" s="587"/>
      <c r="D24" s="862">
        <f>'[2]1111'!$E$21</f>
        <v>316863.77</v>
      </c>
      <c r="E24" s="861">
        <f>'[3]1111'!$E$21</f>
        <v>113040.62</v>
      </c>
      <c r="F24" s="861">
        <f t="shared" si="0"/>
        <v>203759.38</v>
      </c>
      <c r="G24" s="493">
        <v>316800</v>
      </c>
      <c r="H24" s="493">
        <v>316800</v>
      </c>
      <c r="I24" s="156"/>
      <c r="J24" s="865" t="s">
        <v>876</v>
      </c>
    </row>
    <row r="25" spans="1:10" s="155" customFormat="1" ht="19.899999999999999" customHeight="1" outlineLevel="1">
      <c r="A25" s="864" t="s">
        <v>873</v>
      </c>
      <c r="B25" s="162"/>
      <c r="C25" s="587"/>
      <c r="D25" s="862"/>
      <c r="E25" s="861"/>
      <c r="F25" s="861"/>
      <c r="G25" s="493"/>
      <c r="H25" s="493"/>
      <c r="I25" s="156"/>
    </row>
    <row r="26" spans="1:10" s="155" customFormat="1" ht="19.899999999999999" customHeight="1" outlineLevel="1">
      <c r="A26" s="864"/>
      <c r="B26" s="164" t="s">
        <v>875</v>
      </c>
      <c r="C26" s="587"/>
      <c r="D26" s="862">
        <f>'[2]1111'!$E$22</f>
        <v>0</v>
      </c>
      <c r="E26" s="861">
        <f>'[3]1111'!$E$22</f>
        <v>0</v>
      </c>
      <c r="F26" s="861">
        <f>G26-E26</f>
        <v>3000</v>
      </c>
      <c r="G26" s="493">
        <v>3000</v>
      </c>
      <c r="H26" s="493">
        <v>3000</v>
      </c>
      <c r="I26" s="156"/>
      <c r="J26" s="155" t="s">
        <v>874</v>
      </c>
    </row>
    <row r="27" spans="1:10" s="155" customFormat="1" ht="19.899999999999999" customHeight="1" outlineLevel="1">
      <c r="A27" s="864" t="s">
        <v>873</v>
      </c>
      <c r="B27" s="162"/>
      <c r="C27" s="587"/>
      <c r="D27" s="862"/>
      <c r="E27" s="861"/>
      <c r="F27" s="861"/>
      <c r="G27" s="493"/>
      <c r="H27" s="493"/>
      <c r="I27" s="156"/>
    </row>
    <row r="28" spans="1:10" s="155" customFormat="1" ht="19.899999999999999" customHeight="1" outlineLevel="1">
      <c r="A28" s="864"/>
      <c r="B28" s="164" t="s">
        <v>381</v>
      </c>
      <c r="C28" s="587"/>
      <c r="D28" s="862">
        <f>'[2]1111'!$E$23</f>
        <v>0</v>
      </c>
      <c r="E28" s="861">
        <f>'[3]1111'!$E$23</f>
        <v>0</v>
      </c>
      <c r="F28" s="861">
        <f>G28-E28</f>
        <v>3800</v>
      </c>
      <c r="G28" s="493">
        <v>3800</v>
      </c>
      <c r="H28" s="493">
        <v>3800</v>
      </c>
      <c r="I28" s="156"/>
    </row>
    <row r="29" spans="1:10" ht="19.899999999999999" customHeight="1" outlineLevel="1">
      <c r="A29" s="863" t="s">
        <v>368</v>
      </c>
      <c r="B29" s="162"/>
      <c r="C29" s="587"/>
      <c r="D29" s="862">
        <f>'[2]1111'!$E$24</f>
        <v>420</v>
      </c>
      <c r="E29" s="861">
        <f>'[3]1111'!$E$24</f>
        <v>2320</v>
      </c>
      <c r="F29" s="861">
        <f>G29-E29</f>
        <v>2080</v>
      </c>
      <c r="G29" s="493">
        <v>4400</v>
      </c>
      <c r="H29" s="493">
        <v>4400</v>
      </c>
      <c r="I29" s="148"/>
    </row>
    <row r="30" spans="1:10" ht="18" customHeight="1" outlineLevel="2" thickBot="1">
      <c r="A30" s="456" t="s">
        <v>366</v>
      </c>
      <c r="B30" s="456"/>
      <c r="C30" s="146"/>
      <c r="D30" s="456">
        <f>SUM(D16:D29)</f>
        <v>441013.78</v>
      </c>
      <c r="E30" s="456">
        <f>SUM(E16:E29)</f>
        <v>157590.12</v>
      </c>
      <c r="F30" s="456">
        <f>SUM(F16:F29)</f>
        <v>418409.88</v>
      </c>
      <c r="G30" s="456">
        <f>SUM(G16:G29)</f>
        <v>576000</v>
      </c>
      <c r="H30" s="455">
        <f>SUM(H16:H29)</f>
        <v>576000</v>
      </c>
      <c r="I30" s="454" t="s">
        <v>872</v>
      </c>
    </row>
    <row r="31" spans="1:10" ht="25.15" customHeight="1" thickTop="1">
      <c r="A31" s="134" t="s">
        <v>871</v>
      </c>
      <c r="C31" s="141"/>
      <c r="E31" s="544" t="s">
        <v>870</v>
      </c>
      <c r="H31" s="454"/>
    </row>
    <row r="32" spans="1:10" ht="25.15" customHeight="1">
      <c r="C32" s="141"/>
    </row>
    <row r="33" spans="1:9" ht="18" customHeight="1">
      <c r="A33" s="860" t="s">
        <v>869</v>
      </c>
      <c r="C33" s="141"/>
      <c r="E33" s="4630" t="s">
        <v>359</v>
      </c>
      <c r="F33" s="4630"/>
      <c r="G33" s="4630"/>
      <c r="H33" s="541"/>
    </row>
    <row r="34" spans="1:9" s="135" customFormat="1">
      <c r="A34" s="859" t="s">
        <v>868</v>
      </c>
      <c r="B34" s="136"/>
      <c r="E34" s="4623" t="s">
        <v>356</v>
      </c>
      <c r="F34" s="4623"/>
      <c r="G34" s="4623"/>
      <c r="H34" s="540"/>
      <c r="I34" s="136"/>
    </row>
    <row r="35" spans="1:9" s="135" customFormat="1">
      <c r="A35" s="859" t="s">
        <v>867</v>
      </c>
      <c r="B35" s="136"/>
      <c r="D35" s="137"/>
      <c r="E35" s="137"/>
      <c r="F35" s="137"/>
      <c r="G35" s="137"/>
      <c r="H35" s="137"/>
      <c r="I35" s="136"/>
    </row>
    <row r="36" spans="1:9" s="135" customFormat="1">
      <c r="B36" s="136"/>
      <c r="D36" s="137"/>
      <c r="E36" s="137"/>
      <c r="F36" s="137"/>
      <c r="G36" s="137"/>
      <c r="H36" s="137"/>
      <c r="I36" s="136"/>
    </row>
    <row r="37" spans="1:9" s="135" customFormat="1">
      <c r="B37" s="136"/>
      <c r="D37" s="137"/>
      <c r="E37" s="137"/>
      <c r="F37" s="137"/>
      <c r="G37" s="137"/>
      <c r="H37" s="137"/>
      <c r="I37" s="136"/>
    </row>
    <row r="38" spans="1:9" s="135" customFormat="1">
      <c r="D38" s="137"/>
      <c r="E38" s="137"/>
      <c r="F38" s="137"/>
      <c r="G38" s="137"/>
      <c r="H38" s="137"/>
      <c r="I38" s="136"/>
    </row>
    <row r="39" spans="1:9" s="135" customFormat="1">
      <c r="B39" s="136"/>
      <c r="D39" s="137"/>
      <c r="E39" s="137"/>
      <c r="F39" s="137"/>
      <c r="G39" s="137"/>
      <c r="H39" s="137"/>
      <c r="I39" s="136"/>
    </row>
    <row r="40" spans="1:9" s="135" customFormat="1">
      <c r="B40" s="136"/>
      <c r="D40" s="137"/>
      <c r="E40" s="137"/>
      <c r="F40" s="137"/>
      <c r="G40" s="137"/>
      <c r="H40" s="137"/>
      <c r="I40" s="136"/>
    </row>
    <row r="41" spans="1:9" s="135" customFormat="1">
      <c r="B41" s="136"/>
      <c r="D41" s="137"/>
      <c r="E41" s="137"/>
      <c r="F41" s="137"/>
      <c r="G41" s="137"/>
      <c r="H41" s="137"/>
      <c r="I41" s="136"/>
    </row>
    <row r="42" spans="1:9" s="135" customFormat="1">
      <c r="B42" s="136"/>
      <c r="D42" s="137"/>
      <c r="E42" s="137"/>
      <c r="F42" s="137"/>
      <c r="G42" s="137"/>
      <c r="H42" s="137"/>
      <c r="I42" s="136"/>
    </row>
    <row r="43" spans="1:9" s="135" customFormat="1">
      <c r="B43" s="136"/>
      <c r="D43" s="137"/>
      <c r="E43" s="137"/>
      <c r="F43" s="137"/>
      <c r="G43" s="137"/>
      <c r="H43" s="137"/>
      <c r="I43" s="136"/>
    </row>
    <row r="44" spans="1:9" s="135" customFormat="1">
      <c r="B44" s="136"/>
      <c r="D44" s="137"/>
      <c r="E44" s="137"/>
      <c r="F44" s="137"/>
      <c r="G44" s="137"/>
      <c r="H44" s="137"/>
      <c r="I44" s="136"/>
    </row>
    <row r="45" spans="1:9" s="135" customFormat="1">
      <c r="B45" s="136"/>
      <c r="D45" s="137"/>
      <c r="E45" s="137"/>
      <c r="F45" s="137"/>
      <c r="G45" s="137"/>
      <c r="H45" s="137"/>
      <c r="I45" s="136"/>
    </row>
    <row r="46" spans="1:9" s="135" customFormat="1">
      <c r="B46" s="136"/>
      <c r="D46" s="137"/>
      <c r="E46" s="137"/>
      <c r="F46" s="137"/>
      <c r="G46" s="137"/>
      <c r="H46" s="137"/>
      <c r="I46" s="136"/>
    </row>
  </sheetData>
  <mergeCells count="6">
    <mergeCell ref="A5:H5"/>
    <mergeCell ref="A6:H6"/>
    <mergeCell ref="E10:G10"/>
    <mergeCell ref="E33:G33"/>
    <mergeCell ref="E34:G34"/>
    <mergeCell ref="A10:B12"/>
  </mergeCells>
  <pageMargins left="0.5" right="0" top="0.25" bottom="0" header="0.5" footer="0"/>
  <pageSetup paperSize="5" orientation="portrait" verticalDpi="30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80"/>
  <sheetViews>
    <sheetView workbookViewId="0">
      <pane xSplit="3" ySplit="8" topLeftCell="D57" activePane="bottomRight" state="frozen"/>
      <selection pane="topRight" activeCell="D1" sqref="D1"/>
      <selection pane="bottomLeft" activeCell="A9" sqref="A9"/>
      <selection pane="bottomRight" activeCell="F75" sqref="F75"/>
    </sheetView>
  </sheetViews>
  <sheetFormatPr defaultRowHeight="12.75"/>
  <cols>
    <col min="1" max="1" width="1.28515625" style="3853" customWidth="1"/>
    <col min="2" max="2" width="38.7109375" style="3853" customWidth="1"/>
    <col min="3" max="3" width="10.85546875" style="3853" customWidth="1"/>
    <col min="4" max="4" width="13" style="3853" customWidth="1"/>
    <col min="5" max="6" width="11.5703125" style="3853" customWidth="1"/>
    <col min="7" max="7" width="11.7109375" style="3853" customWidth="1"/>
    <col min="8" max="10" width="12" style="3853" customWidth="1"/>
    <col min="11" max="256" width="9.140625" style="3853"/>
    <col min="257" max="257" width="1.28515625" style="3853" customWidth="1"/>
    <col min="258" max="258" width="38.7109375" style="3853" customWidth="1"/>
    <col min="259" max="259" width="10.85546875" style="3853" customWidth="1"/>
    <col min="260" max="260" width="13" style="3853" customWidth="1"/>
    <col min="261" max="262" width="11.5703125" style="3853" customWidth="1"/>
    <col min="263" max="263" width="11.7109375" style="3853" customWidth="1"/>
    <col min="264" max="266" width="12" style="3853" customWidth="1"/>
    <col min="267" max="512" width="9.140625" style="3853"/>
    <col min="513" max="513" width="1.28515625" style="3853" customWidth="1"/>
    <col min="514" max="514" width="38.7109375" style="3853" customWidth="1"/>
    <col min="515" max="515" width="10.85546875" style="3853" customWidth="1"/>
    <col min="516" max="516" width="13" style="3853" customWidth="1"/>
    <col min="517" max="518" width="11.5703125" style="3853" customWidth="1"/>
    <col min="519" max="519" width="11.7109375" style="3853" customWidth="1"/>
    <col min="520" max="522" width="12" style="3853" customWidth="1"/>
    <col min="523" max="768" width="9.140625" style="3853"/>
    <col min="769" max="769" width="1.28515625" style="3853" customWidth="1"/>
    <col min="770" max="770" width="38.7109375" style="3853" customWidth="1"/>
    <col min="771" max="771" width="10.85546875" style="3853" customWidth="1"/>
    <col min="772" max="772" width="13" style="3853" customWidth="1"/>
    <col min="773" max="774" width="11.5703125" style="3853" customWidth="1"/>
    <col min="775" max="775" width="11.7109375" style="3853" customWidth="1"/>
    <col min="776" max="778" width="12" style="3853" customWidth="1"/>
    <col min="779" max="1024" width="9.140625" style="3853"/>
    <col min="1025" max="1025" width="1.28515625" style="3853" customWidth="1"/>
    <col min="1026" max="1026" width="38.7109375" style="3853" customWidth="1"/>
    <col min="1027" max="1027" width="10.85546875" style="3853" customWidth="1"/>
    <col min="1028" max="1028" width="13" style="3853" customWidth="1"/>
    <col min="1029" max="1030" width="11.5703125" style="3853" customWidth="1"/>
    <col min="1031" max="1031" width="11.7109375" style="3853" customWidth="1"/>
    <col min="1032" max="1034" width="12" style="3853" customWidth="1"/>
    <col min="1035" max="1280" width="9.140625" style="3853"/>
    <col min="1281" max="1281" width="1.28515625" style="3853" customWidth="1"/>
    <col min="1282" max="1282" width="38.7109375" style="3853" customWidth="1"/>
    <col min="1283" max="1283" width="10.85546875" style="3853" customWidth="1"/>
    <col min="1284" max="1284" width="13" style="3853" customWidth="1"/>
    <col min="1285" max="1286" width="11.5703125" style="3853" customWidth="1"/>
    <col min="1287" max="1287" width="11.7109375" style="3853" customWidth="1"/>
    <col min="1288" max="1290" width="12" style="3853" customWidth="1"/>
    <col min="1291" max="1536" width="9.140625" style="3853"/>
    <col min="1537" max="1537" width="1.28515625" style="3853" customWidth="1"/>
    <col min="1538" max="1538" width="38.7109375" style="3853" customWidth="1"/>
    <col min="1539" max="1539" width="10.85546875" style="3853" customWidth="1"/>
    <col min="1540" max="1540" width="13" style="3853" customWidth="1"/>
    <col min="1541" max="1542" width="11.5703125" style="3853" customWidth="1"/>
    <col min="1543" max="1543" width="11.7109375" style="3853" customWidth="1"/>
    <col min="1544" max="1546" width="12" style="3853" customWidth="1"/>
    <col min="1547" max="1792" width="9.140625" style="3853"/>
    <col min="1793" max="1793" width="1.28515625" style="3853" customWidth="1"/>
    <col min="1794" max="1794" width="38.7109375" style="3853" customWidth="1"/>
    <col min="1795" max="1795" width="10.85546875" style="3853" customWidth="1"/>
    <col min="1796" max="1796" width="13" style="3853" customWidth="1"/>
    <col min="1797" max="1798" width="11.5703125" style="3853" customWidth="1"/>
    <col min="1799" max="1799" width="11.7109375" style="3853" customWidth="1"/>
    <col min="1800" max="1802" width="12" style="3853" customWidth="1"/>
    <col min="1803" max="2048" width="9.140625" style="3853"/>
    <col min="2049" max="2049" width="1.28515625" style="3853" customWidth="1"/>
    <col min="2050" max="2050" width="38.7109375" style="3853" customWidth="1"/>
    <col min="2051" max="2051" width="10.85546875" style="3853" customWidth="1"/>
    <col min="2052" max="2052" width="13" style="3853" customWidth="1"/>
    <col min="2053" max="2054" width="11.5703125" style="3853" customWidth="1"/>
    <col min="2055" max="2055" width="11.7109375" style="3853" customWidth="1"/>
    <col min="2056" max="2058" width="12" style="3853" customWidth="1"/>
    <col min="2059" max="2304" width="9.140625" style="3853"/>
    <col min="2305" max="2305" width="1.28515625" style="3853" customWidth="1"/>
    <col min="2306" max="2306" width="38.7109375" style="3853" customWidth="1"/>
    <col min="2307" max="2307" width="10.85546875" style="3853" customWidth="1"/>
    <col min="2308" max="2308" width="13" style="3853" customWidth="1"/>
    <col min="2309" max="2310" width="11.5703125" style="3853" customWidth="1"/>
    <col min="2311" max="2311" width="11.7109375" style="3853" customWidth="1"/>
    <col min="2312" max="2314" width="12" style="3853" customWidth="1"/>
    <col min="2315" max="2560" width="9.140625" style="3853"/>
    <col min="2561" max="2561" width="1.28515625" style="3853" customWidth="1"/>
    <col min="2562" max="2562" width="38.7109375" style="3853" customWidth="1"/>
    <col min="2563" max="2563" width="10.85546875" style="3853" customWidth="1"/>
    <col min="2564" max="2564" width="13" style="3853" customWidth="1"/>
    <col min="2565" max="2566" width="11.5703125" style="3853" customWidth="1"/>
    <col min="2567" max="2567" width="11.7109375" style="3853" customWidth="1"/>
    <col min="2568" max="2570" width="12" style="3853" customWidth="1"/>
    <col min="2571" max="2816" width="9.140625" style="3853"/>
    <col min="2817" max="2817" width="1.28515625" style="3853" customWidth="1"/>
    <col min="2818" max="2818" width="38.7109375" style="3853" customWidth="1"/>
    <col min="2819" max="2819" width="10.85546875" style="3853" customWidth="1"/>
    <col min="2820" max="2820" width="13" style="3853" customWidth="1"/>
    <col min="2821" max="2822" width="11.5703125" style="3853" customWidth="1"/>
    <col min="2823" max="2823" width="11.7109375" style="3853" customWidth="1"/>
    <col min="2824" max="2826" width="12" style="3853" customWidth="1"/>
    <col min="2827" max="3072" width="9.140625" style="3853"/>
    <col min="3073" max="3073" width="1.28515625" style="3853" customWidth="1"/>
    <col min="3074" max="3074" width="38.7109375" style="3853" customWidth="1"/>
    <col min="3075" max="3075" width="10.85546875" style="3853" customWidth="1"/>
    <col min="3076" max="3076" width="13" style="3853" customWidth="1"/>
    <col min="3077" max="3078" width="11.5703125" style="3853" customWidth="1"/>
    <col min="3079" max="3079" width="11.7109375" style="3853" customWidth="1"/>
    <col min="3080" max="3082" width="12" style="3853" customWidth="1"/>
    <col min="3083" max="3328" width="9.140625" style="3853"/>
    <col min="3329" max="3329" width="1.28515625" style="3853" customWidth="1"/>
    <col min="3330" max="3330" width="38.7109375" style="3853" customWidth="1"/>
    <col min="3331" max="3331" width="10.85546875" style="3853" customWidth="1"/>
    <col min="3332" max="3332" width="13" style="3853" customWidth="1"/>
    <col min="3333" max="3334" width="11.5703125" style="3853" customWidth="1"/>
    <col min="3335" max="3335" width="11.7109375" style="3853" customWidth="1"/>
    <col min="3336" max="3338" width="12" style="3853" customWidth="1"/>
    <col min="3339" max="3584" width="9.140625" style="3853"/>
    <col min="3585" max="3585" width="1.28515625" style="3853" customWidth="1"/>
    <col min="3586" max="3586" width="38.7109375" style="3853" customWidth="1"/>
    <col min="3587" max="3587" width="10.85546875" style="3853" customWidth="1"/>
    <col min="3588" max="3588" width="13" style="3853" customWidth="1"/>
    <col min="3589" max="3590" width="11.5703125" style="3853" customWidth="1"/>
    <col min="3591" max="3591" width="11.7109375" style="3853" customWidth="1"/>
    <col min="3592" max="3594" width="12" style="3853" customWidth="1"/>
    <col min="3595" max="3840" width="9.140625" style="3853"/>
    <col min="3841" max="3841" width="1.28515625" style="3853" customWidth="1"/>
    <col min="3842" max="3842" width="38.7109375" style="3853" customWidth="1"/>
    <col min="3843" max="3843" width="10.85546875" style="3853" customWidth="1"/>
    <col min="3844" max="3844" width="13" style="3853" customWidth="1"/>
    <col min="3845" max="3846" width="11.5703125" style="3853" customWidth="1"/>
    <col min="3847" max="3847" width="11.7109375" style="3853" customWidth="1"/>
    <col min="3848" max="3850" width="12" style="3853" customWidth="1"/>
    <col min="3851" max="4096" width="9.140625" style="3853"/>
    <col min="4097" max="4097" width="1.28515625" style="3853" customWidth="1"/>
    <col min="4098" max="4098" width="38.7109375" style="3853" customWidth="1"/>
    <col min="4099" max="4099" width="10.85546875" style="3853" customWidth="1"/>
    <col min="4100" max="4100" width="13" style="3853" customWidth="1"/>
    <col min="4101" max="4102" width="11.5703125" style="3853" customWidth="1"/>
    <col min="4103" max="4103" width="11.7109375" style="3853" customWidth="1"/>
    <col min="4104" max="4106" width="12" style="3853" customWidth="1"/>
    <col min="4107" max="4352" width="9.140625" style="3853"/>
    <col min="4353" max="4353" width="1.28515625" style="3853" customWidth="1"/>
    <col min="4354" max="4354" width="38.7109375" style="3853" customWidth="1"/>
    <col min="4355" max="4355" width="10.85546875" style="3853" customWidth="1"/>
    <col min="4356" max="4356" width="13" style="3853" customWidth="1"/>
    <col min="4357" max="4358" width="11.5703125" style="3853" customWidth="1"/>
    <col min="4359" max="4359" width="11.7109375" style="3853" customWidth="1"/>
    <col min="4360" max="4362" width="12" style="3853" customWidth="1"/>
    <col min="4363" max="4608" width="9.140625" style="3853"/>
    <col min="4609" max="4609" width="1.28515625" style="3853" customWidth="1"/>
    <col min="4610" max="4610" width="38.7109375" style="3853" customWidth="1"/>
    <col min="4611" max="4611" width="10.85546875" style="3853" customWidth="1"/>
    <col min="4612" max="4612" width="13" style="3853" customWidth="1"/>
    <col min="4613" max="4614" width="11.5703125" style="3853" customWidth="1"/>
    <col min="4615" max="4615" width="11.7109375" style="3853" customWidth="1"/>
    <col min="4616" max="4618" width="12" style="3853" customWidth="1"/>
    <col min="4619" max="4864" width="9.140625" style="3853"/>
    <col min="4865" max="4865" width="1.28515625" style="3853" customWidth="1"/>
    <col min="4866" max="4866" width="38.7109375" style="3853" customWidth="1"/>
    <col min="4867" max="4867" width="10.85546875" style="3853" customWidth="1"/>
    <col min="4868" max="4868" width="13" style="3853" customWidth="1"/>
    <col min="4869" max="4870" width="11.5703125" style="3853" customWidth="1"/>
    <col min="4871" max="4871" width="11.7109375" style="3853" customWidth="1"/>
    <col min="4872" max="4874" width="12" style="3853" customWidth="1"/>
    <col min="4875" max="5120" width="9.140625" style="3853"/>
    <col min="5121" max="5121" width="1.28515625" style="3853" customWidth="1"/>
    <col min="5122" max="5122" width="38.7109375" style="3853" customWidth="1"/>
    <col min="5123" max="5123" width="10.85546875" style="3853" customWidth="1"/>
    <col min="5124" max="5124" width="13" style="3853" customWidth="1"/>
    <col min="5125" max="5126" width="11.5703125" style="3853" customWidth="1"/>
    <col min="5127" max="5127" width="11.7109375" style="3853" customWidth="1"/>
    <col min="5128" max="5130" width="12" style="3853" customWidth="1"/>
    <col min="5131" max="5376" width="9.140625" style="3853"/>
    <col min="5377" max="5377" width="1.28515625" style="3853" customWidth="1"/>
    <col min="5378" max="5378" width="38.7109375" style="3853" customWidth="1"/>
    <col min="5379" max="5379" width="10.85546875" style="3853" customWidth="1"/>
    <col min="5380" max="5380" width="13" style="3853" customWidth="1"/>
    <col min="5381" max="5382" width="11.5703125" style="3853" customWidth="1"/>
    <col min="5383" max="5383" width="11.7109375" style="3853" customWidth="1"/>
    <col min="5384" max="5386" width="12" style="3853" customWidth="1"/>
    <col min="5387" max="5632" width="9.140625" style="3853"/>
    <col min="5633" max="5633" width="1.28515625" style="3853" customWidth="1"/>
    <col min="5634" max="5634" width="38.7109375" style="3853" customWidth="1"/>
    <col min="5635" max="5635" width="10.85546875" style="3853" customWidth="1"/>
    <col min="5636" max="5636" width="13" style="3853" customWidth="1"/>
    <col min="5637" max="5638" width="11.5703125" style="3853" customWidth="1"/>
    <col min="5639" max="5639" width="11.7109375" style="3853" customWidth="1"/>
    <col min="5640" max="5642" width="12" style="3853" customWidth="1"/>
    <col min="5643" max="5888" width="9.140625" style="3853"/>
    <col min="5889" max="5889" width="1.28515625" style="3853" customWidth="1"/>
    <col min="5890" max="5890" width="38.7109375" style="3853" customWidth="1"/>
    <col min="5891" max="5891" width="10.85546875" style="3853" customWidth="1"/>
    <col min="5892" max="5892" width="13" style="3853" customWidth="1"/>
    <col min="5893" max="5894" width="11.5703125" style="3853" customWidth="1"/>
    <col min="5895" max="5895" width="11.7109375" style="3853" customWidth="1"/>
    <col min="5896" max="5898" width="12" style="3853" customWidth="1"/>
    <col min="5899" max="6144" width="9.140625" style="3853"/>
    <col min="6145" max="6145" width="1.28515625" style="3853" customWidth="1"/>
    <col min="6146" max="6146" width="38.7109375" style="3853" customWidth="1"/>
    <col min="6147" max="6147" width="10.85546875" style="3853" customWidth="1"/>
    <col min="6148" max="6148" width="13" style="3853" customWidth="1"/>
    <col min="6149" max="6150" width="11.5703125" style="3853" customWidth="1"/>
    <col min="6151" max="6151" width="11.7109375" style="3853" customWidth="1"/>
    <col min="6152" max="6154" width="12" style="3853" customWidth="1"/>
    <col min="6155" max="6400" width="9.140625" style="3853"/>
    <col min="6401" max="6401" width="1.28515625" style="3853" customWidth="1"/>
    <col min="6402" max="6402" width="38.7109375" style="3853" customWidth="1"/>
    <col min="6403" max="6403" width="10.85546875" style="3853" customWidth="1"/>
    <col min="6404" max="6404" width="13" style="3853" customWidth="1"/>
    <col min="6405" max="6406" width="11.5703125" style="3853" customWidth="1"/>
    <col min="6407" max="6407" width="11.7109375" style="3853" customWidth="1"/>
    <col min="6408" max="6410" width="12" style="3853" customWidth="1"/>
    <col min="6411" max="6656" width="9.140625" style="3853"/>
    <col min="6657" max="6657" width="1.28515625" style="3853" customWidth="1"/>
    <col min="6658" max="6658" width="38.7109375" style="3853" customWidth="1"/>
    <col min="6659" max="6659" width="10.85546875" style="3853" customWidth="1"/>
    <col min="6660" max="6660" width="13" style="3853" customWidth="1"/>
    <col min="6661" max="6662" width="11.5703125" style="3853" customWidth="1"/>
    <col min="6663" max="6663" width="11.7109375" style="3853" customWidth="1"/>
    <col min="6664" max="6666" width="12" style="3853" customWidth="1"/>
    <col min="6667" max="6912" width="9.140625" style="3853"/>
    <col min="6913" max="6913" width="1.28515625" style="3853" customWidth="1"/>
    <col min="6914" max="6914" width="38.7109375" style="3853" customWidth="1"/>
    <col min="6915" max="6915" width="10.85546875" style="3853" customWidth="1"/>
    <col min="6916" max="6916" width="13" style="3853" customWidth="1"/>
    <col min="6917" max="6918" width="11.5703125" style="3853" customWidth="1"/>
    <col min="6919" max="6919" width="11.7109375" style="3853" customWidth="1"/>
    <col min="6920" max="6922" width="12" style="3853" customWidth="1"/>
    <col min="6923" max="7168" width="9.140625" style="3853"/>
    <col min="7169" max="7169" width="1.28515625" style="3853" customWidth="1"/>
    <col min="7170" max="7170" width="38.7109375" style="3853" customWidth="1"/>
    <col min="7171" max="7171" width="10.85546875" style="3853" customWidth="1"/>
    <col min="7172" max="7172" width="13" style="3853" customWidth="1"/>
    <col min="7173" max="7174" width="11.5703125" style="3853" customWidth="1"/>
    <col min="7175" max="7175" width="11.7109375" style="3853" customWidth="1"/>
    <col min="7176" max="7178" width="12" style="3853" customWidth="1"/>
    <col min="7179" max="7424" width="9.140625" style="3853"/>
    <col min="7425" max="7425" width="1.28515625" style="3853" customWidth="1"/>
    <col min="7426" max="7426" width="38.7109375" style="3853" customWidth="1"/>
    <col min="7427" max="7427" width="10.85546875" style="3853" customWidth="1"/>
    <col min="7428" max="7428" width="13" style="3853" customWidth="1"/>
    <col min="7429" max="7430" width="11.5703125" style="3853" customWidth="1"/>
    <col min="7431" max="7431" width="11.7109375" style="3853" customWidth="1"/>
    <col min="7432" max="7434" width="12" style="3853" customWidth="1"/>
    <col min="7435" max="7680" width="9.140625" style="3853"/>
    <col min="7681" max="7681" width="1.28515625" style="3853" customWidth="1"/>
    <col min="7682" max="7682" width="38.7109375" style="3853" customWidth="1"/>
    <col min="7683" max="7683" width="10.85546875" style="3853" customWidth="1"/>
    <col min="7684" max="7684" width="13" style="3853" customWidth="1"/>
    <col min="7685" max="7686" width="11.5703125" style="3853" customWidth="1"/>
    <col min="7687" max="7687" width="11.7109375" style="3853" customWidth="1"/>
    <col min="7688" max="7690" width="12" style="3853" customWidth="1"/>
    <col min="7691" max="7936" width="9.140625" style="3853"/>
    <col min="7937" max="7937" width="1.28515625" style="3853" customWidth="1"/>
    <col min="7938" max="7938" width="38.7109375" style="3853" customWidth="1"/>
    <col min="7939" max="7939" width="10.85546875" style="3853" customWidth="1"/>
    <col min="7940" max="7940" width="13" style="3853" customWidth="1"/>
    <col min="7941" max="7942" width="11.5703125" style="3853" customWidth="1"/>
    <col min="7943" max="7943" width="11.7109375" style="3853" customWidth="1"/>
    <col min="7944" max="7946" width="12" style="3853" customWidth="1"/>
    <col min="7947" max="8192" width="9.140625" style="3853"/>
    <col min="8193" max="8193" width="1.28515625" style="3853" customWidth="1"/>
    <col min="8194" max="8194" width="38.7109375" style="3853" customWidth="1"/>
    <col min="8195" max="8195" width="10.85546875" style="3853" customWidth="1"/>
    <col min="8196" max="8196" width="13" style="3853" customWidth="1"/>
    <col min="8197" max="8198" width="11.5703125" style="3853" customWidth="1"/>
    <col min="8199" max="8199" width="11.7109375" style="3853" customWidth="1"/>
    <col min="8200" max="8202" width="12" style="3853" customWidth="1"/>
    <col min="8203" max="8448" width="9.140625" style="3853"/>
    <col min="8449" max="8449" width="1.28515625" style="3853" customWidth="1"/>
    <col min="8450" max="8450" width="38.7109375" style="3853" customWidth="1"/>
    <col min="8451" max="8451" width="10.85546875" style="3853" customWidth="1"/>
    <col min="8452" max="8452" width="13" style="3853" customWidth="1"/>
    <col min="8453" max="8454" width="11.5703125" style="3853" customWidth="1"/>
    <col min="8455" max="8455" width="11.7109375" style="3853" customWidth="1"/>
    <col min="8456" max="8458" width="12" style="3853" customWidth="1"/>
    <col min="8459" max="8704" width="9.140625" style="3853"/>
    <col min="8705" max="8705" width="1.28515625" style="3853" customWidth="1"/>
    <col min="8706" max="8706" width="38.7109375" style="3853" customWidth="1"/>
    <col min="8707" max="8707" width="10.85546875" style="3853" customWidth="1"/>
    <col min="8708" max="8708" width="13" style="3853" customWidth="1"/>
    <col min="8709" max="8710" width="11.5703125" style="3853" customWidth="1"/>
    <col min="8711" max="8711" width="11.7109375" style="3853" customWidth="1"/>
    <col min="8712" max="8714" width="12" style="3853" customWidth="1"/>
    <col min="8715" max="8960" width="9.140625" style="3853"/>
    <col min="8961" max="8961" width="1.28515625" style="3853" customWidth="1"/>
    <col min="8962" max="8962" width="38.7109375" style="3853" customWidth="1"/>
    <col min="8963" max="8963" width="10.85546875" style="3853" customWidth="1"/>
    <col min="8964" max="8964" width="13" style="3853" customWidth="1"/>
    <col min="8965" max="8966" width="11.5703125" style="3853" customWidth="1"/>
    <col min="8967" max="8967" width="11.7109375" style="3853" customWidth="1"/>
    <col min="8968" max="8970" width="12" style="3853" customWidth="1"/>
    <col min="8971" max="9216" width="9.140625" style="3853"/>
    <col min="9217" max="9217" width="1.28515625" style="3853" customWidth="1"/>
    <col min="9218" max="9218" width="38.7109375" style="3853" customWidth="1"/>
    <col min="9219" max="9219" width="10.85546875" style="3853" customWidth="1"/>
    <col min="9220" max="9220" width="13" style="3853" customWidth="1"/>
    <col min="9221" max="9222" width="11.5703125" style="3853" customWidth="1"/>
    <col min="9223" max="9223" width="11.7109375" style="3853" customWidth="1"/>
    <col min="9224" max="9226" width="12" style="3853" customWidth="1"/>
    <col min="9227" max="9472" width="9.140625" style="3853"/>
    <col min="9473" max="9473" width="1.28515625" style="3853" customWidth="1"/>
    <col min="9474" max="9474" width="38.7109375" style="3853" customWidth="1"/>
    <col min="9475" max="9475" width="10.85546875" style="3853" customWidth="1"/>
    <col min="9476" max="9476" width="13" style="3853" customWidth="1"/>
    <col min="9477" max="9478" width="11.5703125" style="3853" customWidth="1"/>
    <col min="9479" max="9479" width="11.7109375" style="3853" customWidth="1"/>
    <col min="9480" max="9482" width="12" style="3853" customWidth="1"/>
    <col min="9483" max="9728" width="9.140625" style="3853"/>
    <col min="9729" max="9729" width="1.28515625" style="3853" customWidth="1"/>
    <col min="9730" max="9730" width="38.7109375" style="3853" customWidth="1"/>
    <col min="9731" max="9731" width="10.85546875" style="3853" customWidth="1"/>
    <col min="9732" max="9732" width="13" style="3853" customWidth="1"/>
    <col min="9733" max="9734" width="11.5703125" style="3853" customWidth="1"/>
    <col min="9735" max="9735" width="11.7109375" style="3853" customWidth="1"/>
    <col min="9736" max="9738" width="12" style="3853" customWidth="1"/>
    <col min="9739" max="9984" width="9.140625" style="3853"/>
    <col min="9985" max="9985" width="1.28515625" style="3853" customWidth="1"/>
    <col min="9986" max="9986" width="38.7109375" style="3853" customWidth="1"/>
    <col min="9987" max="9987" width="10.85546875" style="3853" customWidth="1"/>
    <col min="9988" max="9988" width="13" style="3853" customWidth="1"/>
    <col min="9989" max="9990" width="11.5703125" style="3853" customWidth="1"/>
    <col min="9991" max="9991" width="11.7109375" style="3853" customWidth="1"/>
    <col min="9992" max="9994" width="12" style="3853" customWidth="1"/>
    <col min="9995" max="10240" width="9.140625" style="3853"/>
    <col min="10241" max="10241" width="1.28515625" style="3853" customWidth="1"/>
    <col min="10242" max="10242" width="38.7109375" style="3853" customWidth="1"/>
    <col min="10243" max="10243" width="10.85546875" style="3853" customWidth="1"/>
    <col min="10244" max="10244" width="13" style="3853" customWidth="1"/>
    <col min="10245" max="10246" width="11.5703125" style="3853" customWidth="1"/>
    <col min="10247" max="10247" width="11.7109375" style="3853" customWidth="1"/>
    <col min="10248" max="10250" width="12" style="3853" customWidth="1"/>
    <col min="10251" max="10496" width="9.140625" style="3853"/>
    <col min="10497" max="10497" width="1.28515625" style="3853" customWidth="1"/>
    <col min="10498" max="10498" width="38.7109375" style="3853" customWidth="1"/>
    <col min="10499" max="10499" width="10.85546875" style="3853" customWidth="1"/>
    <col min="10500" max="10500" width="13" style="3853" customWidth="1"/>
    <col min="10501" max="10502" width="11.5703125" style="3853" customWidth="1"/>
    <col min="10503" max="10503" width="11.7109375" style="3853" customWidth="1"/>
    <col min="10504" max="10506" width="12" style="3853" customWidth="1"/>
    <col min="10507" max="10752" width="9.140625" style="3853"/>
    <col min="10753" max="10753" width="1.28515625" style="3853" customWidth="1"/>
    <col min="10754" max="10754" width="38.7109375" style="3853" customWidth="1"/>
    <col min="10755" max="10755" width="10.85546875" style="3853" customWidth="1"/>
    <col min="10756" max="10756" width="13" style="3853" customWidth="1"/>
    <col min="10757" max="10758" width="11.5703125" style="3853" customWidth="1"/>
    <col min="10759" max="10759" width="11.7109375" style="3853" customWidth="1"/>
    <col min="10760" max="10762" width="12" style="3853" customWidth="1"/>
    <col min="10763" max="11008" width="9.140625" style="3853"/>
    <col min="11009" max="11009" width="1.28515625" style="3853" customWidth="1"/>
    <col min="11010" max="11010" width="38.7109375" style="3853" customWidth="1"/>
    <col min="11011" max="11011" width="10.85546875" style="3853" customWidth="1"/>
    <col min="11012" max="11012" width="13" style="3853" customWidth="1"/>
    <col min="11013" max="11014" width="11.5703125" style="3853" customWidth="1"/>
    <col min="11015" max="11015" width="11.7109375" style="3853" customWidth="1"/>
    <col min="11016" max="11018" width="12" style="3853" customWidth="1"/>
    <col min="11019" max="11264" width="9.140625" style="3853"/>
    <col min="11265" max="11265" width="1.28515625" style="3853" customWidth="1"/>
    <col min="11266" max="11266" width="38.7109375" style="3853" customWidth="1"/>
    <col min="11267" max="11267" width="10.85546875" style="3853" customWidth="1"/>
    <col min="11268" max="11268" width="13" style="3853" customWidth="1"/>
    <col min="11269" max="11270" width="11.5703125" style="3853" customWidth="1"/>
    <col min="11271" max="11271" width="11.7109375" style="3853" customWidth="1"/>
    <col min="11272" max="11274" width="12" style="3853" customWidth="1"/>
    <col min="11275" max="11520" width="9.140625" style="3853"/>
    <col min="11521" max="11521" width="1.28515625" style="3853" customWidth="1"/>
    <col min="11522" max="11522" width="38.7109375" style="3853" customWidth="1"/>
    <col min="11523" max="11523" width="10.85546875" style="3853" customWidth="1"/>
    <col min="11524" max="11524" width="13" style="3853" customWidth="1"/>
    <col min="11525" max="11526" width="11.5703125" style="3853" customWidth="1"/>
    <col min="11527" max="11527" width="11.7109375" style="3853" customWidth="1"/>
    <col min="11528" max="11530" width="12" style="3853" customWidth="1"/>
    <col min="11531" max="11776" width="9.140625" style="3853"/>
    <col min="11777" max="11777" width="1.28515625" style="3853" customWidth="1"/>
    <col min="11778" max="11778" width="38.7109375" style="3853" customWidth="1"/>
    <col min="11779" max="11779" width="10.85546875" style="3853" customWidth="1"/>
    <col min="11780" max="11780" width="13" style="3853" customWidth="1"/>
    <col min="11781" max="11782" width="11.5703125" style="3853" customWidth="1"/>
    <col min="11783" max="11783" width="11.7109375" style="3853" customWidth="1"/>
    <col min="11784" max="11786" width="12" style="3853" customWidth="1"/>
    <col min="11787" max="12032" width="9.140625" style="3853"/>
    <col min="12033" max="12033" width="1.28515625" style="3853" customWidth="1"/>
    <col min="12034" max="12034" width="38.7109375" style="3853" customWidth="1"/>
    <col min="12035" max="12035" width="10.85546875" style="3853" customWidth="1"/>
    <col min="12036" max="12036" width="13" style="3853" customWidth="1"/>
    <col min="12037" max="12038" width="11.5703125" style="3853" customWidth="1"/>
    <col min="12039" max="12039" width="11.7109375" style="3853" customWidth="1"/>
    <col min="12040" max="12042" width="12" style="3853" customWidth="1"/>
    <col min="12043" max="12288" width="9.140625" style="3853"/>
    <col min="12289" max="12289" width="1.28515625" style="3853" customWidth="1"/>
    <col min="12290" max="12290" width="38.7109375" style="3853" customWidth="1"/>
    <col min="12291" max="12291" width="10.85546875" style="3853" customWidth="1"/>
    <col min="12292" max="12292" width="13" style="3853" customWidth="1"/>
    <col min="12293" max="12294" width="11.5703125" style="3853" customWidth="1"/>
    <col min="12295" max="12295" width="11.7109375" style="3853" customWidth="1"/>
    <col min="12296" max="12298" width="12" style="3853" customWidth="1"/>
    <col min="12299" max="12544" width="9.140625" style="3853"/>
    <col min="12545" max="12545" width="1.28515625" style="3853" customWidth="1"/>
    <col min="12546" max="12546" width="38.7109375" style="3853" customWidth="1"/>
    <col min="12547" max="12547" width="10.85546875" style="3853" customWidth="1"/>
    <col min="12548" max="12548" width="13" style="3853" customWidth="1"/>
    <col min="12549" max="12550" width="11.5703125" style="3853" customWidth="1"/>
    <col min="12551" max="12551" width="11.7109375" style="3853" customWidth="1"/>
    <col min="12552" max="12554" width="12" style="3853" customWidth="1"/>
    <col min="12555" max="12800" width="9.140625" style="3853"/>
    <col min="12801" max="12801" width="1.28515625" style="3853" customWidth="1"/>
    <col min="12802" max="12802" width="38.7109375" style="3853" customWidth="1"/>
    <col min="12803" max="12803" width="10.85546875" style="3853" customWidth="1"/>
    <col min="12804" max="12804" width="13" style="3853" customWidth="1"/>
    <col min="12805" max="12806" width="11.5703125" style="3853" customWidth="1"/>
    <col min="12807" max="12807" width="11.7109375" style="3853" customWidth="1"/>
    <col min="12808" max="12810" width="12" style="3853" customWidth="1"/>
    <col min="12811" max="13056" width="9.140625" style="3853"/>
    <col min="13057" max="13057" width="1.28515625" style="3853" customWidth="1"/>
    <col min="13058" max="13058" width="38.7109375" style="3853" customWidth="1"/>
    <col min="13059" max="13059" width="10.85546875" style="3853" customWidth="1"/>
    <col min="13060" max="13060" width="13" style="3853" customWidth="1"/>
    <col min="13061" max="13062" width="11.5703125" style="3853" customWidth="1"/>
    <col min="13063" max="13063" width="11.7109375" style="3853" customWidth="1"/>
    <col min="13064" max="13066" width="12" style="3853" customWidth="1"/>
    <col min="13067" max="13312" width="9.140625" style="3853"/>
    <col min="13313" max="13313" width="1.28515625" style="3853" customWidth="1"/>
    <col min="13314" max="13314" width="38.7109375" style="3853" customWidth="1"/>
    <col min="13315" max="13315" width="10.85546875" style="3853" customWidth="1"/>
    <col min="13316" max="13316" width="13" style="3853" customWidth="1"/>
    <col min="13317" max="13318" width="11.5703125" style="3853" customWidth="1"/>
    <col min="13319" max="13319" width="11.7109375" style="3853" customWidth="1"/>
    <col min="13320" max="13322" width="12" style="3853" customWidth="1"/>
    <col min="13323" max="13568" width="9.140625" style="3853"/>
    <col min="13569" max="13569" width="1.28515625" style="3853" customWidth="1"/>
    <col min="13570" max="13570" width="38.7109375" style="3853" customWidth="1"/>
    <col min="13571" max="13571" width="10.85546875" style="3853" customWidth="1"/>
    <col min="13572" max="13572" width="13" style="3853" customWidth="1"/>
    <col min="13573" max="13574" width="11.5703125" style="3853" customWidth="1"/>
    <col min="13575" max="13575" width="11.7109375" style="3853" customWidth="1"/>
    <col min="13576" max="13578" width="12" style="3853" customWidth="1"/>
    <col min="13579" max="13824" width="9.140625" style="3853"/>
    <col min="13825" max="13825" width="1.28515625" style="3853" customWidth="1"/>
    <col min="13826" max="13826" width="38.7109375" style="3853" customWidth="1"/>
    <col min="13827" max="13827" width="10.85546875" style="3853" customWidth="1"/>
    <col min="13828" max="13828" width="13" style="3853" customWidth="1"/>
    <col min="13829" max="13830" width="11.5703125" style="3853" customWidth="1"/>
    <col min="13831" max="13831" width="11.7109375" style="3853" customWidth="1"/>
    <col min="13832" max="13834" width="12" style="3853" customWidth="1"/>
    <col min="13835" max="14080" width="9.140625" style="3853"/>
    <col min="14081" max="14081" width="1.28515625" style="3853" customWidth="1"/>
    <col min="14082" max="14082" width="38.7109375" style="3853" customWidth="1"/>
    <col min="14083" max="14083" width="10.85546875" style="3853" customWidth="1"/>
    <col min="14084" max="14084" width="13" style="3853" customWidth="1"/>
    <col min="14085" max="14086" width="11.5703125" style="3853" customWidth="1"/>
    <col min="14087" max="14087" width="11.7109375" style="3853" customWidth="1"/>
    <col min="14088" max="14090" width="12" style="3853" customWidth="1"/>
    <col min="14091" max="14336" width="9.140625" style="3853"/>
    <col min="14337" max="14337" width="1.28515625" style="3853" customWidth="1"/>
    <col min="14338" max="14338" width="38.7109375" style="3853" customWidth="1"/>
    <col min="14339" max="14339" width="10.85546875" style="3853" customWidth="1"/>
    <col min="14340" max="14340" width="13" style="3853" customWidth="1"/>
    <col min="14341" max="14342" width="11.5703125" style="3853" customWidth="1"/>
    <col min="14343" max="14343" width="11.7109375" style="3853" customWidth="1"/>
    <col min="14344" max="14346" width="12" style="3853" customWidth="1"/>
    <col min="14347" max="14592" width="9.140625" style="3853"/>
    <col min="14593" max="14593" width="1.28515625" style="3853" customWidth="1"/>
    <col min="14594" max="14594" width="38.7109375" style="3853" customWidth="1"/>
    <col min="14595" max="14595" width="10.85546875" style="3853" customWidth="1"/>
    <col min="14596" max="14596" width="13" style="3853" customWidth="1"/>
    <col min="14597" max="14598" width="11.5703125" style="3853" customWidth="1"/>
    <col min="14599" max="14599" width="11.7109375" style="3853" customWidth="1"/>
    <col min="14600" max="14602" width="12" style="3853" customWidth="1"/>
    <col min="14603" max="14848" width="9.140625" style="3853"/>
    <col min="14849" max="14849" width="1.28515625" style="3853" customWidth="1"/>
    <col min="14850" max="14850" width="38.7109375" style="3853" customWidth="1"/>
    <col min="14851" max="14851" width="10.85546875" style="3853" customWidth="1"/>
    <col min="14852" max="14852" width="13" style="3853" customWidth="1"/>
    <col min="14853" max="14854" width="11.5703125" style="3853" customWidth="1"/>
    <col min="14855" max="14855" width="11.7109375" style="3853" customWidth="1"/>
    <col min="14856" max="14858" width="12" style="3853" customWidth="1"/>
    <col min="14859" max="15104" width="9.140625" style="3853"/>
    <col min="15105" max="15105" width="1.28515625" style="3853" customWidth="1"/>
    <col min="15106" max="15106" width="38.7109375" style="3853" customWidth="1"/>
    <col min="15107" max="15107" width="10.85546875" style="3853" customWidth="1"/>
    <col min="15108" max="15108" width="13" style="3853" customWidth="1"/>
    <col min="15109" max="15110" width="11.5703125" style="3853" customWidth="1"/>
    <col min="15111" max="15111" width="11.7109375" style="3853" customWidth="1"/>
    <col min="15112" max="15114" width="12" style="3853" customWidth="1"/>
    <col min="15115" max="15360" width="9.140625" style="3853"/>
    <col min="15361" max="15361" width="1.28515625" style="3853" customWidth="1"/>
    <col min="15362" max="15362" width="38.7109375" style="3853" customWidth="1"/>
    <col min="15363" max="15363" width="10.85546875" style="3853" customWidth="1"/>
    <col min="15364" max="15364" width="13" style="3853" customWidth="1"/>
    <col min="15365" max="15366" width="11.5703125" style="3853" customWidth="1"/>
    <col min="15367" max="15367" width="11.7109375" style="3853" customWidth="1"/>
    <col min="15368" max="15370" width="12" style="3853" customWidth="1"/>
    <col min="15371" max="15616" width="9.140625" style="3853"/>
    <col min="15617" max="15617" width="1.28515625" style="3853" customWidth="1"/>
    <col min="15618" max="15618" width="38.7109375" style="3853" customWidth="1"/>
    <col min="15619" max="15619" width="10.85546875" style="3853" customWidth="1"/>
    <col min="15620" max="15620" width="13" style="3853" customWidth="1"/>
    <col min="15621" max="15622" width="11.5703125" style="3853" customWidth="1"/>
    <col min="15623" max="15623" width="11.7109375" style="3853" customWidth="1"/>
    <col min="15624" max="15626" width="12" style="3853" customWidth="1"/>
    <col min="15627" max="15872" width="9.140625" style="3853"/>
    <col min="15873" max="15873" width="1.28515625" style="3853" customWidth="1"/>
    <col min="15874" max="15874" width="38.7109375" style="3853" customWidth="1"/>
    <col min="15875" max="15875" width="10.85546875" style="3853" customWidth="1"/>
    <col min="15876" max="15876" width="13" style="3853" customWidth="1"/>
    <col min="15877" max="15878" width="11.5703125" style="3853" customWidth="1"/>
    <col min="15879" max="15879" width="11.7109375" style="3853" customWidth="1"/>
    <col min="15880" max="15882" width="12" style="3853" customWidth="1"/>
    <col min="15883" max="16128" width="9.140625" style="3853"/>
    <col min="16129" max="16129" width="1.28515625" style="3853" customWidth="1"/>
    <col min="16130" max="16130" width="38.7109375" style="3853" customWidth="1"/>
    <col min="16131" max="16131" width="10.85546875" style="3853" customWidth="1"/>
    <col min="16132" max="16132" width="13" style="3853" customWidth="1"/>
    <col min="16133" max="16134" width="11.5703125" style="3853" customWidth="1"/>
    <col min="16135" max="16135" width="11.7109375" style="3853" customWidth="1"/>
    <col min="16136" max="16138" width="12" style="3853" customWidth="1"/>
    <col min="16139" max="16384" width="9.140625" style="3853"/>
  </cols>
  <sheetData>
    <row r="1" spans="1:12" ht="18">
      <c r="A1" s="4981" t="s">
        <v>2193</v>
      </c>
      <c r="B1" s="4981"/>
      <c r="C1" s="4981"/>
      <c r="D1" s="4981"/>
      <c r="E1" s="4981"/>
      <c r="F1" s="4981"/>
      <c r="G1" s="4981"/>
      <c r="H1" s="4981"/>
      <c r="I1" s="4981"/>
      <c r="J1" s="4981"/>
      <c r="K1" s="4981"/>
    </row>
    <row r="2" spans="1:12" ht="20.25">
      <c r="A2" s="4982" t="s">
        <v>2809</v>
      </c>
      <c r="B2" s="4982"/>
      <c r="C2" s="4982"/>
      <c r="D2" s="4982"/>
      <c r="E2" s="4982"/>
      <c r="F2" s="4982"/>
      <c r="G2" s="4982"/>
      <c r="H2" s="4982"/>
      <c r="I2" s="4982"/>
      <c r="J2" s="4982"/>
      <c r="K2" s="4982"/>
      <c r="L2" s="4195"/>
    </row>
    <row r="3" spans="1:12" ht="20.25">
      <c r="A3" s="4982" t="s">
        <v>2191</v>
      </c>
      <c r="B3" s="4982"/>
      <c r="C3" s="4982"/>
      <c r="D3" s="4982"/>
      <c r="E3" s="4982"/>
      <c r="F3" s="4982"/>
      <c r="G3" s="4982"/>
      <c r="H3" s="4982"/>
      <c r="I3" s="4982"/>
      <c r="J3" s="4982"/>
      <c r="K3" s="4982"/>
    </row>
    <row r="4" spans="1:12" ht="20.25">
      <c r="A4" s="4983" t="s">
        <v>2059</v>
      </c>
      <c r="B4" s="4983"/>
      <c r="C4" s="4983"/>
      <c r="D4" s="4983"/>
      <c r="E4" s="4983"/>
      <c r="F4" s="4983"/>
      <c r="G4" s="4983"/>
      <c r="H4" s="4983"/>
      <c r="I4" s="4983"/>
      <c r="J4" s="4983"/>
    </row>
    <row r="5" spans="1:12" ht="18.75">
      <c r="D5" s="4984" t="s">
        <v>2189</v>
      </c>
      <c r="E5" s="4985"/>
      <c r="F5" s="4985"/>
      <c r="G5" s="4986"/>
      <c r="H5" s="3889" t="s">
        <v>2188</v>
      </c>
      <c r="I5" s="5001" t="s">
        <v>1516</v>
      </c>
      <c r="J5" s="4990" t="s">
        <v>2187</v>
      </c>
    </row>
    <row r="6" spans="1:12" ht="12" customHeight="1">
      <c r="D6" s="4993" t="s">
        <v>2182</v>
      </c>
      <c r="E6" s="3888"/>
      <c r="F6" s="3888"/>
      <c r="G6" s="4993" t="s">
        <v>244</v>
      </c>
      <c r="H6" s="3886" t="s">
        <v>2806</v>
      </c>
      <c r="I6" s="5002"/>
      <c r="J6" s="4991"/>
    </row>
    <row r="7" spans="1:12" ht="18.75" customHeight="1">
      <c r="D7" s="4994"/>
      <c r="E7" s="3885" t="s">
        <v>2185</v>
      </c>
      <c r="F7" s="3885" t="s">
        <v>3156</v>
      </c>
      <c r="G7" s="4994"/>
      <c r="H7" s="3883" t="s">
        <v>2805</v>
      </c>
      <c r="I7" s="5002"/>
      <c r="J7" s="4991"/>
    </row>
    <row r="8" spans="1:12" ht="14.25" customHeight="1">
      <c r="D8" s="4995"/>
      <c r="E8" s="3882"/>
      <c r="F8" s="3882"/>
      <c r="G8" s="4995"/>
      <c r="H8" s="3880" t="s">
        <v>2180</v>
      </c>
      <c r="I8" s="5003"/>
      <c r="J8" s="4992"/>
    </row>
    <row r="9" spans="1:12">
      <c r="A9" s="3898" t="s">
        <v>2179</v>
      </c>
      <c r="D9" s="3895"/>
      <c r="E9" s="3897"/>
      <c r="F9" s="3897"/>
      <c r="G9" s="3895"/>
      <c r="H9" s="3895"/>
      <c r="I9" s="3895"/>
      <c r="J9" s="3895"/>
    </row>
    <row r="10" spans="1:12" s="3808" customFormat="1" ht="13.5">
      <c r="A10" s="2874"/>
      <c r="B10" s="3228" t="s">
        <v>2352</v>
      </c>
      <c r="C10" s="3185" t="s">
        <v>405</v>
      </c>
      <c r="D10" s="4193">
        <f>[37]RELEASE!$E$8</f>
        <v>100000</v>
      </c>
      <c r="E10" s="2869"/>
      <c r="F10" s="2869"/>
      <c r="G10" s="3872">
        <f>SUM(D10:E10)</f>
        <v>100000</v>
      </c>
      <c r="H10" s="4192">
        <f>'[38]HOSPITAL-PAAOE- FINAL'!$H$43</f>
        <v>50000</v>
      </c>
      <c r="I10" s="4192"/>
      <c r="J10" s="4192"/>
    </row>
    <row r="11" spans="1:12" s="3808" customFormat="1" ht="13.5">
      <c r="A11" s="2874"/>
      <c r="B11" s="3228" t="s">
        <v>3139</v>
      </c>
      <c r="C11" s="3185" t="s">
        <v>3155</v>
      </c>
      <c r="D11" s="4193">
        <f>[37]RELEASE!$F$8</f>
        <v>595000</v>
      </c>
      <c r="E11" s="2869"/>
      <c r="F11" s="2869"/>
      <c r="G11" s="3872">
        <f>SUM(D11:E11)</f>
        <v>595000</v>
      </c>
      <c r="H11" s="4192">
        <f>'[38]HOSPITAL-PAAOE- FINAL'!$H$44</f>
        <v>300000</v>
      </c>
      <c r="I11" s="4192"/>
      <c r="J11" s="4192"/>
    </row>
    <row r="12" spans="1:12" s="3808" customFormat="1" ht="13.5">
      <c r="A12" s="2874"/>
      <c r="B12" s="3228" t="s">
        <v>404</v>
      </c>
      <c r="C12" s="3185" t="s">
        <v>403</v>
      </c>
      <c r="D12" s="4193">
        <f>[37]RELEASE!$G$8</f>
        <v>100000</v>
      </c>
      <c r="E12" s="2869"/>
      <c r="F12" s="2869">
        <f>[37]RELEASE!$G$12</f>
        <v>300000</v>
      </c>
      <c r="G12" s="3872">
        <f>SUM(D12:E12)</f>
        <v>100000</v>
      </c>
      <c r="H12" s="4192">
        <f>'[38]HOSPITAL-PAAOE- FINAL'!$H$45</f>
        <v>200000</v>
      </c>
      <c r="I12" s="4192"/>
      <c r="J12" s="4192"/>
    </row>
    <row r="13" spans="1:12" s="3808" customFormat="1" ht="13.5">
      <c r="A13" s="2874"/>
      <c r="B13" s="3228" t="s">
        <v>402</v>
      </c>
      <c r="C13" s="3185" t="s">
        <v>401</v>
      </c>
      <c r="D13" s="4193">
        <f>[37]RELEASE!$H$8</f>
        <v>900000</v>
      </c>
      <c r="E13" s="2869">
        <f>[37]RELEASE!$H$13</f>
        <v>100000</v>
      </c>
      <c r="F13" s="2869"/>
      <c r="G13" s="3872">
        <f>SUM(D13:E13)</f>
        <v>1000000</v>
      </c>
      <c r="H13" s="4192">
        <f>'[38]HOSPITAL-PAAOE- FINAL'!$H$46</f>
        <v>1000000</v>
      </c>
      <c r="I13" s="4192"/>
      <c r="J13" s="4192"/>
    </row>
    <row r="14" spans="1:12" s="3808" customFormat="1" ht="13.5">
      <c r="A14" s="2874"/>
      <c r="B14" s="3228" t="s">
        <v>572</v>
      </c>
      <c r="C14" s="3185"/>
      <c r="D14" s="4193"/>
      <c r="E14" s="2869"/>
      <c r="F14" s="2869"/>
      <c r="G14" s="3872"/>
      <c r="H14" s="4192"/>
      <c r="I14" s="4192"/>
      <c r="J14" s="4192"/>
    </row>
    <row r="15" spans="1:12" s="3808" customFormat="1" ht="13.5">
      <c r="A15" s="2874"/>
      <c r="B15" s="3228" t="s">
        <v>1319</v>
      </c>
      <c r="C15" s="3185" t="s">
        <v>3154</v>
      </c>
      <c r="D15" s="4193">
        <f>[37]RELEASE!$I$8</f>
        <v>250000</v>
      </c>
      <c r="E15" s="2869">
        <f>[37]RELEASE!$I$13</f>
        <v>100000</v>
      </c>
      <c r="F15" s="2869"/>
      <c r="G15" s="3872">
        <f>SUM(D15:E15)</f>
        <v>350000</v>
      </c>
      <c r="H15" s="4192">
        <f>'[38]HOSPITAL-PAAOE- FINAL'!$H$48</f>
        <v>350000</v>
      </c>
      <c r="I15" s="4192"/>
      <c r="J15" s="4192"/>
    </row>
    <row r="16" spans="1:12" s="3808" customFormat="1" ht="13.5">
      <c r="A16" s="2874"/>
      <c r="B16" s="3228" t="s">
        <v>3137</v>
      </c>
      <c r="C16" s="3185" t="s">
        <v>2052</v>
      </c>
      <c r="D16" s="4193">
        <f>[37]RELEASE!$J$8</f>
        <v>12000000</v>
      </c>
      <c r="E16" s="2869"/>
      <c r="F16" s="2869">
        <f>[37]RELEASE!$J$12</f>
        <v>-300000</v>
      </c>
      <c r="G16" s="3872">
        <f>SUM(D16:F16)</f>
        <v>11700000</v>
      </c>
      <c r="H16" s="4192">
        <f>'[38]HOSPITAL-PAAOE- FINAL'!$H$49</f>
        <v>7000000</v>
      </c>
      <c r="I16" s="4192"/>
      <c r="J16" s="4192"/>
    </row>
    <row r="17" spans="1:10" s="3808" customFormat="1" ht="13.5">
      <c r="A17" s="2874"/>
      <c r="B17" s="3228" t="s">
        <v>3136</v>
      </c>
      <c r="C17" s="3185" t="s">
        <v>1679</v>
      </c>
      <c r="D17" s="4193">
        <f>[37]RELEASE!$K$8</f>
        <v>30000000</v>
      </c>
      <c r="E17" s="2869"/>
      <c r="F17" s="2869"/>
      <c r="G17" s="3872"/>
      <c r="H17" s="4194"/>
      <c r="I17" s="4192"/>
      <c r="J17" s="4192"/>
    </row>
    <row r="18" spans="1:10" s="3808" customFormat="1" ht="13.5">
      <c r="A18" s="2874"/>
      <c r="B18" s="3228" t="s">
        <v>3135</v>
      </c>
      <c r="C18" s="3185" t="s">
        <v>2348</v>
      </c>
      <c r="D18" s="4193">
        <f>[37]RELEASE!$L$8</f>
        <v>4000000</v>
      </c>
      <c r="E18" s="2869"/>
      <c r="F18" s="2869"/>
      <c r="G18" s="3872">
        <f>SUM(D18:F18)</f>
        <v>4000000</v>
      </c>
      <c r="H18" s="4192">
        <f>'[38]HOSPITAL-PAAOE- FINAL'!$H$51</f>
        <v>4000000</v>
      </c>
      <c r="I18" s="4192"/>
      <c r="J18" s="4192"/>
    </row>
    <row r="19" spans="1:10" s="3808" customFormat="1" ht="13.5">
      <c r="A19" s="2874"/>
      <c r="B19" s="3228" t="s">
        <v>3133</v>
      </c>
      <c r="C19" s="3185" t="s">
        <v>3153</v>
      </c>
      <c r="D19" s="4193">
        <f>[37]RELEASE!$M$8</f>
        <v>14000000</v>
      </c>
      <c r="E19" s="2869"/>
      <c r="F19" s="2869"/>
      <c r="G19" s="3872">
        <f>SUM(D19:F19)</f>
        <v>14000000</v>
      </c>
      <c r="H19" s="4192">
        <f>'[38]HOSPITAL-PAAOE- FINAL'!$H$52</f>
        <v>8000000</v>
      </c>
      <c r="I19" s="4192"/>
      <c r="J19" s="4192"/>
    </row>
    <row r="20" spans="1:10" s="3808" customFormat="1" ht="13.5">
      <c r="A20" s="2874"/>
      <c r="B20" s="3228" t="s">
        <v>3131</v>
      </c>
      <c r="C20" s="3185" t="s">
        <v>3152</v>
      </c>
      <c r="D20" s="4193">
        <f>[37]RELEASE!$N$8</f>
        <v>1000000</v>
      </c>
      <c r="E20" s="2869"/>
      <c r="F20" s="2869"/>
      <c r="G20" s="3872">
        <f>SUM(D20:F20)</f>
        <v>1000000</v>
      </c>
      <c r="H20" s="4192">
        <v>1000000</v>
      </c>
      <c r="I20" s="4192"/>
      <c r="J20" s="4192"/>
    </row>
    <row r="21" spans="1:10" s="3808" customFormat="1" ht="13.5">
      <c r="A21" s="2874"/>
      <c r="B21" s="3228" t="s">
        <v>3128</v>
      </c>
      <c r="C21" s="3185" t="s">
        <v>3151</v>
      </c>
      <c r="D21" s="4193">
        <f>[37]RELEASE!$O$8</f>
        <v>250000</v>
      </c>
      <c r="E21" s="2869"/>
      <c r="F21" s="2869"/>
      <c r="G21" s="3872">
        <f>SUM(D21:F21)</f>
        <v>250000</v>
      </c>
      <c r="H21" s="4192">
        <f>'[38]HOSPITAL-PAAOE- FINAL'!$H$54</f>
        <v>50000</v>
      </c>
      <c r="I21" s="4192"/>
      <c r="J21" s="4192"/>
    </row>
    <row r="22" spans="1:10" s="3808" customFormat="1" ht="13.5">
      <c r="A22" s="2874"/>
      <c r="B22" s="3228" t="s">
        <v>3126</v>
      </c>
      <c r="C22" s="3185" t="s">
        <v>3150</v>
      </c>
      <c r="D22" s="4193">
        <f>[37]RELEASE!$P$8</f>
        <v>100000</v>
      </c>
      <c r="E22" s="2869"/>
      <c r="F22" s="2869"/>
      <c r="G22" s="3872">
        <f>SUM(D22:F22)</f>
        <v>100000</v>
      </c>
      <c r="H22" s="4192">
        <v>100000</v>
      </c>
      <c r="I22" s="4192"/>
      <c r="J22" s="4192"/>
    </row>
    <row r="23" spans="1:10" s="3808" customFormat="1" ht="13.5">
      <c r="A23" s="2874"/>
      <c r="B23" s="3228" t="s">
        <v>3122</v>
      </c>
      <c r="C23" s="3185"/>
      <c r="D23" s="4193"/>
      <c r="E23" s="2869"/>
      <c r="F23" s="2869"/>
      <c r="G23" s="3872"/>
      <c r="H23" s="4192"/>
      <c r="I23" s="4192"/>
      <c r="J23" s="4192"/>
    </row>
    <row r="24" spans="1:10" s="3808" customFormat="1" ht="13.5">
      <c r="A24" s="2874"/>
      <c r="B24" s="3663" t="s">
        <v>3124</v>
      </c>
      <c r="C24" s="3185" t="s">
        <v>3149</v>
      </c>
      <c r="D24" s="4193">
        <f>[37]RELEASE!$Q$8</f>
        <v>200000</v>
      </c>
      <c r="E24" s="2869"/>
      <c r="F24" s="2869"/>
      <c r="G24" s="3872">
        <f>SUM(D24:F24)</f>
        <v>200000</v>
      </c>
      <c r="H24" s="4192">
        <v>200000</v>
      </c>
      <c r="I24" s="4192"/>
      <c r="J24" s="4192"/>
    </row>
    <row r="25" spans="1:10" s="3808" customFormat="1" ht="13.5">
      <c r="A25" s="2874"/>
      <c r="B25" s="3228" t="s">
        <v>3122</v>
      </c>
      <c r="C25" s="3185"/>
      <c r="D25" s="4193"/>
      <c r="E25" s="2869"/>
      <c r="F25" s="2869"/>
      <c r="G25" s="3872"/>
      <c r="H25" s="4192"/>
      <c r="I25" s="4192"/>
      <c r="J25" s="4192"/>
    </row>
    <row r="26" spans="1:10" s="3808" customFormat="1" ht="13.5">
      <c r="A26" s="2874"/>
      <c r="B26" s="3663" t="s">
        <v>3121</v>
      </c>
      <c r="C26" s="3185" t="s">
        <v>3148</v>
      </c>
      <c r="D26" s="4193">
        <f>[37]RELEASE!$R$8</f>
        <v>300000</v>
      </c>
      <c r="E26" s="2869"/>
      <c r="F26" s="2869"/>
      <c r="G26" s="3872">
        <f t="shared" ref="G26:G36" si="0">SUM(D26:F26)</f>
        <v>300000</v>
      </c>
      <c r="H26" s="4192">
        <v>300000</v>
      </c>
      <c r="I26" s="4192"/>
      <c r="J26" s="4192"/>
    </row>
    <row r="27" spans="1:10" s="3808" customFormat="1" ht="13.5">
      <c r="A27" s="2874"/>
      <c r="B27" s="3228" t="s">
        <v>674</v>
      </c>
      <c r="C27" s="3185" t="s">
        <v>396</v>
      </c>
      <c r="D27" s="4193">
        <f>[37]RELEASE!$S$8</f>
        <v>2000000</v>
      </c>
      <c r="E27" s="2869"/>
      <c r="F27" s="2869"/>
      <c r="G27" s="3872">
        <f t="shared" si="0"/>
        <v>2000000</v>
      </c>
      <c r="H27" s="4192">
        <f>'[38]HOSPITAL-PAAOE- FINAL'!$H$71</f>
        <v>1000000</v>
      </c>
      <c r="I27" s="4192"/>
      <c r="J27" s="4192"/>
    </row>
    <row r="28" spans="1:10" s="3808" customFormat="1" ht="13.5">
      <c r="A28" s="2874"/>
      <c r="B28" s="3228" t="s">
        <v>878</v>
      </c>
      <c r="C28" s="3185" t="s">
        <v>2347</v>
      </c>
      <c r="D28" s="4193">
        <f>[37]RELEASE!$T$8</f>
        <v>700000</v>
      </c>
      <c r="E28" s="2869">
        <f>[37]RELEASE!$T$13</f>
        <v>100000</v>
      </c>
      <c r="F28" s="2869"/>
      <c r="G28" s="3872">
        <f t="shared" si="0"/>
        <v>800000</v>
      </c>
      <c r="H28" s="4192">
        <f>'[38]HOSPITAL-PAAOE- FINAL'!$H$72</f>
        <v>700000</v>
      </c>
      <c r="I28" s="4192"/>
      <c r="J28" s="4192"/>
    </row>
    <row r="29" spans="1:10" s="3808" customFormat="1" ht="13.5">
      <c r="A29" s="2874"/>
      <c r="B29" s="3228" t="s">
        <v>673</v>
      </c>
      <c r="C29" s="3185" t="s">
        <v>1269</v>
      </c>
      <c r="D29" s="4193">
        <f>[37]RELEASE!$U$8</f>
        <v>600000</v>
      </c>
      <c r="E29" s="2869"/>
      <c r="F29" s="2869"/>
      <c r="G29" s="3872">
        <f t="shared" si="0"/>
        <v>600000</v>
      </c>
      <c r="H29" s="4192">
        <f>'[38]HOSPITAL-PAAOE- FINAL'!$H$73</f>
        <v>300000</v>
      </c>
      <c r="I29" s="4192"/>
      <c r="J29" s="4192"/>
    </row>
    <row r="30" spans="1:10" s="3808" customFormat="1" ht="13.5">
      <c r="A30" s="2874"/>
      <c r="B30" s="3228" t="s">
        <v>1266</v>
      </c>
      <c r="C30" s="3185" t="s">
        <v>1265</v>
      </c>
      <c r="D30" s="4193">
        <f>[37]RELEASE!$V$8</f>
        <v>5500000</v>
      </c>
      <c r="E30" s="2869"/>
      <c r="F30" s="2869"/>
      <c r="G30" s="3872">
        <f t="shared" si="0"/>
        <v>5500000</v>
      </c>
      <c r="H30" s="4192">
        <f>'[38]HOSPITAL-PAAOE- FINAL'!$H$74</f>
        <v>5500000</v>
      </c>
      <c r="I30" s="4192"/>
      <c r="J30" s="4192"/>
    </row>
    <row r="31" spans="1:10" s="3808" customFormat="1" ht="13.5">
      <c r="A31" s="2874"/>
      <c r="B31" s="3228" t="s">
        <v>700</v>
      </c>
      <c r="C31" s="3185" t="s">
        <v>392</v>
      </c>
      <c r="D31" s="4193">
        <f>[37]RELEASE!$W$8</f>
        <v>10000</v>
      </c>
      <c r="E31" s="2869"/>
      <c r="F31" s="2869"/>
      <c r="G31" s="3872">
        <f t="shared" si="0"/>
        <v>10000</v>
      </c>
      <c r="H31" s="4192">
        <f>'[38]HOSPITAL-PAAOE- FINAL'!$H$75</f>
        <v>1000</v>
      </c>
      <c r="I31" s="4192"/>
      <c r="J31" s="4192"/>
    </row>
    <row r="32" spans="1:10" s="3808" customFormat="1" ht="13.5">
      <c r="A32" s="2874"/>
      <c r="B32" s="3228" t="s">
        <v>391</v>
      </c>
      <c r="C32" s="3185" t="s">
        <v>390</v>
      </c>
      <c r="D32" s="4193">
        <f>[37]RELEASE!$X$8</f>
        <v>250000</v>
      </c>
      <c r="E32" s="2869"/>
      <c r="F32" s="2869"/>
      <c r="G32" s="3872">
        <f t="shared" si="0"/>
        <v>250000</v>
      </c>
      <c r="H32" s="4192">
        <f>'[38]HOSPITAL-PAAOE- FINAL'!$H$76</f>
        <v>150000</v>
      </c>
      <c r="I32" s="4192"/>
      <c r="J32" s="4192"/>
    </row>
    <row r="33" spans="1:10" s="3808" customFormat="1" ht="13.5">
      <c r="A33" s="2874"/>
      <c r="B33" s="3228" t="s">
        <v>1264</v>
      </c>
      <c r="C33" s="3185" t="s">
        <v>1263</v>
      </c>
      <c r="D33" s="4193">
        <f>[37]RELEASE!$Y$8</f>
        <v>500000</v>
      </c>
      <c r="E33" s="2869"/>
      <c r="F33" s="2869"/>
      <c r="G33" s="3872">
        <f t="shared" si="0"/>
        <v>500000</v>
      </c>
      <c r="H33" s="4192">
        <v>500000</v>
      </c>
      <c r="I33" s="4192"/>
      <c r="J33" s="4192"/>
    </row>
    <row r="34" spans="1:10" s="3808" customFormat="1" ht="13.5">
      <c r="A34" s="2874"/>
      <c r="B34" s="3228" t="s">
        <v>1262</v>
      </c>
      <c r="C34" s="3185" t="s">
        <v>1261</v>
      </c>
      <c r="D34" s="4193">
        <f>[37]RELEASE!$Z$8</f>
        <v>764400</v>
      </c>
      <c r="E34" s="2869"/>
      <c r="F34" s="2869"/>
      <c r="G34" s="3872">
        <f t="shared" si="0"/>
        <v>764400</v>
      </c>
      <c r="H34" s="4192">
        <v>764400</v>
      </c>
      <c r="I34" s="4192"/>
      <c r="J34" s="4192"/>
    </row>
    <row r="35" spans="1:10" s="3808" customFormat="1" ht="13.5">
      <c r="A35" s="2874"/>
      <c r="B35" s="3228" t="s">
        <v>389</v>
      </c>
      <c r="C35" s="3185" t="s">
        <v>388</v>
      </c>
      <c r="D35" s="4193">
        <f>[37]RELEASE!$AA$8</f>
        <v>25631510</v>
      </c>
      <c r="E35" s="2869">
        <f>[37]RELEASE!$AA$13</f>
        <v>2416600</v>
      </c>
      <c r="F35" s="2869"/>
      <c r="G35" s="3872">
        <f t="shared" si="0"/>
        <v>28048110</v>
      </c>
      <c r="H35" s="4194">
        <v>29312530</v>
      </c>
      <c r="I35" s="4192"/>
      <c r="J35" s="4192"/>
    </row>
    <row r="36" spans="1:10" s="3808" customFormat="1" ht="13.5">
      <c r="A36" s="2874"/>
      <c r="B36" s="3228" t="s">
        <v>3118</v>
      </c>
      <c r="C36" s="3185" t="s">
        <v>1934</v>
      </c>
      <c r="D36" s="4193">
        <f>[37]RELEASE!$AB$8</f>
        <v>600000</v>
      </c>
      <c r="E36" s="2869">
        <f>[37]RELEASE!$AB$13</f>
        <v>150000</v>
      </c>
      <c r="F36" s="2869"/>
      <c r="G36" s="3872">
        <f t="shared" si="0"/>
        <v>750000</v>
      </c>
      <c r="H36" s="4192">
        <v>750000</v>
      </c>
      <c r="I36" s="4192"/>
      <c r="J36" s="4192"/>
    </row>
    <row r="37" spans="1:10" s="3808" customFormat="1" ht="13.5">
      <c r="A37" s="2874"/>
      <c r="B37" s="3228"/>
      <c r="C37" s="3185"/>
      <c r="D37" s="4193"/>
      <c r="E37" s="2869"/>
      <c r="F37" s="2869"/>
      <c r="G37" s="3872"/>
      <c r="H37" s="4192"/>
      <c r="I37" s="4192"/>
      <c r="J37" s="4192"/>
    </row>
    <row r="38" spans="1:10" s="3808" customFormat="1" ht="13.5">
      <c r="A38" s="2874"/>
      <c r="B38" s="3228" t="s">
        <v>1925</v>
      </c>
      <c r="C38" s="3185"/>
      <c r="D38" s="4193"/>
      <c r="E38" s="2869"/>
      <c r="F38" s="2869"/>
      <c r="G38" s="3872"/>
      <c r="H38" s="4192"/>
      <c r="I38" s="4192"/>
      <c r="J38" s="4192"/>
    </row>
    <row r="39" spans="1:10" s="3808" customFormat="1" ht="13.5">
      <c r="A39" s="2874"/>
      <c r="B39" s="3663" t="s">
        <v>2336</v>
      </c>
      <c r="C39" s="3185" t="s">
        <v>2335</v>
      </c>
      <c r="D39" s="4193">
        <f>[37]RELEASE!$AC$8</f>
        <v>100000</v>
      </c>
      <c r="E39" s="2869"/>
      <c r="F39" s="2869"/>
      <c r="G39" s="3872">
        <f>SUM(D39:F39)</f>
        <v>100000</v>
      </c>
      <c r="H39" s="4192">
        <f>'[38]HOSPITAL-PAAOE- FINAL'!$H$82</f>
        <v>100000</v>
      </c>
      <c r="I39" s="4192"/>
      <c r="J39" s="4192"/>
    </row>
    <row r="40" spans="1:10" s="3808" customFormat="1" ht="13.5">
      <c r="A40" s="2874"/>
      <c r="B40" s="3201" t="s">
        <v>1925</v>
      </c>
      <c r="C40" s="3185"/>
      <c r="D40" s="4193"/>
      <c r="E40" s="2869"/>
      <c r="F40" s="2869"/>
      <c r="G40" s="3872"/>
      <c r="H40" s="4192"/>
      <c r="I40" s="4192"/>
      <c r="J40" s="4192"/>
    </row>
    <row r="41" spans="1:10" s="3808" customFormat="1" ht="13.5">
      <c r="A41" s="2874"/>
      <c r="B41" s="3228" t="s">
        <v>1810</v>
      </c>
      <c r="C41" s="3185" t="s">
        <v>2334</v>
      </c>
      <c r="D41" s="4193">
        <f>[37]RELEASE!$AD$8</f>
        <v>70000</v>
      </c>
      <c r="E41" s="2869"/>
      <c r="F41" s="2869"/>
      <c r="G41" s="3872">
        <f>SUM(D41:F41)</f>
        <v>70000</v>
      </c>
      <c r="H41" s="4192">
        <f>'[38]HOSPITAL-PAAOE- FINAL'!$H$84</f>
        <v>1000</v>
      </c>
      <c r="I41" s="4192"/>
      <c r="J41" s="4192"/>
    </row>
    <row r="42" spans="1:10" s="3808" customFormat="1" ht="13.5">
      <c r="A42" s="2874"/>
      <c r="B42" s="3201" t="s">
        <v>1925</v>
      </c>
      <c r="C42" s="3185"/>
      <c r="D42" s="4193"/>
      <c r="E42" s="2869"/>
      <c r="F42" s="2869"/>
      <c r="G42" s="3872"/>
      <c r="H42" s="4192"/>
      <c r="I42" s="4192"/>
      <c r="J42" s="4192"/>
    </row>
    <row r="43" spans="1:10" s="3808" customFormat="1" ht="13.5">
      <c r="A43" s="2874"/>
      <c r="B43" s="3204" t="s">
        <v>3147</v>
      </c>
      <c r="C43" s="3185" t="s">
        <v>2330</v>
      </c>
      <c r="D43" s="4193">
        <f>[37]RELEASE!$AE$8</f>
        <v>100000</v>
      </c>
      <c r="E43" s="2869"/>
      <c r="F43" s="2869"/>
      <c r="G43" s="3872">
        <f>SUM(D43:F43)</f>
        <v>100000</v>
      </c>
      <c r="H43" s="4192">
        <v>100000</v>
      </c>
      <c r="I43" s="4192"/>
      <c r="J43" s="4192"/>
    </row>
    <row r="44" spans="1:10" s="3808" customFormat="1" ht="13.5">
      <c r="A44" s="2874"/>
      <c r="B44" s="3201" t="s">
        <v>873</v>
      </c>
      <c r="C44" s="3185"/>
      <c r="D44" s="4193"/>
      <c r="E44" s="2869"/>
      <c r="F44" s="2869"/>
      <c r="G44" s="3872"/>
      <c r="H44" s="4192"/>
      <c r="I44" s="4192"/>
      <c r="J44" s="4192"/>
    </row>
    <row r="45" spans="1:10" s="3808" customFormat="1" ht="13.5">
      <c r="A45" s="2874"/>
      <c r="B45" s="3201" t="s">
        <v>3146</v>
      </c>
      <c r="C45" s="3185" t="s">
        <v>3114</v>
      </c>
      <c r="D45" s="4193">
        <f>[37]RELEASE!$AF$8</f>
        <v>100000</v>
      </c>
      <c r="E45" s="2869"/>
      <c r="F45" s="2869"/>
      <c r="G45" s="3872">
        <f>SUM(D45:F45)</f>
        <v>100000</v>
      </c>
      <c r="H45" s="4192">
        <v>100000</v>
      </c>
      <c r="I45" s="4192"/>
      <c r="J45" s="4192"/>
    </row>
    <row r="46" spans="1:10" s="3808" customFormat="1" ht="13.5">
      <c r="A46" s="2874"/>
      <c r="B46" s="3201" t="s">
        <v>2332</v>
      </c>
      <c r="C46" s="3185"/>
      <c r="D46" s="4193"/>
      <c r="E46" s="2869"/>
      <c r="F46" s="2869"/>
      <c r="G46" s="3872"/>
      <c r="H46" s="4192"/>
      <c r="I46" s="4192"/>
      <c r="J46" s="4192"/>
    </row>
    <row r="47" spans="1:10" s="3808" customFormat="1" ht="13.5">
      <c r="A47" s="2874"/>
      <c r="B47" s="3201" t="s">
        <v>3145</v>
      </c>
      <c r="C47" s="3185" t="s">
        <v>3112</v>
      </c>
      <c r="D47" s="4193">
        <f>[37]RELEASE!$AG$8</f>
        <v>100000</v>
      </c>
      <c r="E47" s="2869"/>
      <c r="F47" s="2869"/>
      <c r="G47" s="3872">
        <f>SUM(D47:F47)</f>
        <v>100000</v>
      </c>
      <c r="H47" s="4192">
        <v>0</v>
      </c>
      <c r="I47" s="4192"/>
      <c r="J47" s="4192"/>
    </row>
    <row r="48" spans="1:10" s="3808" customFormat="1" ht="13.5">
      <c r="A48" s="2874"/>
      <c r="B48" s="3201" t="s">
        <v>1925</v>
      </c>
      <c r="C48" s="3185"/>
      <c r="D48" s="4193"/>
      <c r="E48" s="2869"/>
      <c r="F48" s="2869"/>
      <c r="G48" s="3872"/>
      <c r="H48" s="4192"/>
      <c r="I48" s="4192"/>
      <c r="J48" s="4192"/>
    </row>
    <row r="49" spans="1:10" s="3808" customFormat="1" ht="13.5">
      <c r="A49" s="2874"/>
      <c r="B49" s="3204" t="s">
        <v>3111</v>
      </c>
      <c r="C49" s="3185" t="s">
        <v>3110</v>
      </c>
      <c r="D49" s="4193">
        <f>[37]RELEASE!$AH$8</f>
        <v>100000</v>
      </c>
      <c r="E49" s="2869"/>
      <c r="F49" s="2869"/>
      <c r="G49" s="3872">
        <f>SUM(D49:F49)</f>
        <v>100000</v>
      </c>
      <c r="H49" s="4192">
        <v>100000</v>
      </c>
      <c r="I49" s="4192"/>
      <c r="J49" s="4192"/>
    </row>
    <row r="50" spans="1:10" s="3808" customFormat="1" ht="13.5">
      <c r="A50" s="2874"/>
      <c r="B50" s="3201" t="s">
        <v>3109</v>
      </c>
      <c r="C50" s="3185" t="s">
        <v>3144</v>
      </c>
      <c r="D50" s="4193">
        <f>[37]RELEASE!$AI$8</f>
        <v>100000</v>
      </c>
      <c r="E50" s="2869"/>
      <c r="F50" s="2869"/>
      <c r="G50" s="3872">
        <f>SUM(D50:F50)</f>
        <v>100000</v>
      </c>
      <c r="H50" s="4192">
        <v>100000</v>
      </c>
      <c r="I50" s="4192"/>
      <c r="J50" s="4192"/>
    </row>
    <row r="51" spans="1:10" s="3808" customFormat="1" ht="13.5">
      <c r="A51" s="2874"/>
      <c r="B51" s="3201" t="s">
        <v>2076</v>
      </c>
      <c r="C51" s="3185"/>
      <c r="D51" s="4193"/>
      <c r="E51" s="2869"/>
      <c r="F51" s="2869"/>
      <c r="G51" s="3872"/>
      <c r="H51" s="4192"/>
      <c r="I51" s="4192"/>
      <c r="J51" s="4192"/>
    </row>
    <row r="52" spans="1:10" s="3808" customFormat="1" ht="13.5">
      <c r="A52" s="2874"/>
      <c r="B52" s="3204" t="s">
        <v>2328</v>
      </c>
      <c r="C52" s="3185" t="s">
        <v>2327</v>
      </c>
      <c r="D52" s="4193">
        <f>[37]RELEASE!$AJ$8</f>
        <v>1200000</v>
      </c>
      <c r="E52" s="2869"/>
      <c r="F52" s="2869"/>
      <c r="G52" s="3872">
        <f>SUM(D52:F52)</f>
        <v>1200000</v>
      </c>
      <c r="H52" s="4192">
        <v>1200000</v>
      </c>
      <c r="I52" s="4192"/>
      <c r="J52" s="4192"/>
    </row>
    <row r="53" spans="1:10" s="3808" customFormat="1" ht="13.5">
      <c r="A53" s="2874"/>
      <c r="B53" s="3201" t="s">
        <v>2323</v>
      </c>
      <c r="C53" s="3185"/>
      <c r="D53" s="4193"/>
      <c r="E53" s="2869"/>
      <c r="F53" s="2869"/>
      <c r="G53" s="3872"/>
      <c r="H53" s="4192"/>
      <c r="I53" s="4192"/>
      <c r="J53" s="4192"/>
    </row>
    <row r="54" spans="1:10" s="3808" customFormat="1" ht="13.5">
      <c r="A54" s="2874"/>
      <c r="B54" s="3201" t="s">
        <v>2322</v>
      </c>
      <c r="C54" s="3185" t="s">
        <v>1900</v>
      </c>
      <c r="D54" s="4193">
        <f>[37]RELEASE!$AK$8</f>
        <v>210000</v>
      </c>
      <c r="E54" s="2869"/>
      <c r="F54" s="2869"/>
      <c r="G54" s="3872">
        <f>SUM(D54:F54)</f>
        <v>210000</v>
      </c>
      <c r="H54" s="4192">
        <v>210000</v>
      </c>
      <c r="I54" s="4192"/>
      <c r="J54" s="4192"/>
    </row>
    <row r="55" spans="1:10" s="3808" customFormat="1" ht="13.5">
      <c r="A55" s="2874"/>
      <c r="B55" s="3182" t="s">
        <v>2789</v>
      </c>
      <c r="C55" s="3893" t="s">
        <v>1242</v>
      </c>
      <c r="D55" s="4193">
        <f>[37]RELEASE!$AL$8</f>
        <v>75000</v>
      </c>
      <c r="E55" s="2869"/>
      <c r="F55" s="2869"/>
      <c r="G55" s="3872">
        <f>SUM(D55:F55)</f>
        <v>75000</v>
      </c>
      <c r="H55" s="4192">
        <v>75000</v>
      </c>
      <c r="I55" s="4192"/>
      <c r="J55" s="4192"/>
    </row>
    <row r="56" spans="1:10" s="3808" customFormat="1" ht="13.5">
      <c r="A56" s="2874"/>
      <c r="B56" s="3182" t="s">
        <v>370</v>
      </c>
      <c r="C56" s="3893" t="s">
        <v>369</v>
      </c>
      <c r="D56" s="4193">
        <f>[37]RELEASE!$AM$8</f>
        <v>10000</v>
      </c>
      <c r="E56" s="2869"/>
      <c r="F56" s="2869"/>
      <c r="G56" s="3872">
        <f>SUM(D56:F56)</f>
        <v>10000</v>
      </c>
      <c r="H56" s="4192">
        <v>10000</v>
      </c>
      <c r="I56" s="4192"/>
      <c r="J56" s="4192"/>
    </row>
    <row r="57" spans="1:10" s="3808" customFormat="1" ht="13.5">
      <c r="A57" s="2874"/>
      <c r="B57" s="3228" t="s">
        <v>693</v>
      </c>
      <c r="C57" s="3185" t="s">
        <v>367</v>
      </c>
      <c r="D57" s="4193">
        <f>[37]RELEASE!$AN$8</f>
        <v>795000</v>
      </c>
      <c r="E57" s="2869"/>
      <c r="F57" s="2869"/>
      <c r="G57" s="3872">
        <f>SUM(D57:F57)</f>
        <v>795000</v>
      </c>
      <c r="H57" s="4192">
        <v>795000</v>
      </c>
      <c r="I57" s="4192"/>
      <c r="J57" s="4192"/>
    </row>
    <row r="58" spans="1:10" s="3808" customFormat="1" ht="13.5">
      <c r="A58" s="2874"/>
      <c r="B58" s="3228" t="s">
        <v>3108</v>
      </c>
      <c r="C58" s="3185" t="s">
        <v>2026</v>
      </c>
      <c r="D58" s="4193">
        <f>[37]RELEASE!$AO$8</f>
        <v>700000</v>
      </c>
      <c r="E58" s="2869"/>
      <c r="F58" s="2869">
        <f>[37]RELEASE!$AO$11</f>
        <v>-500000</v>
      </c>
      <c r="G58" s="3872">
        <f>SUM(D58:F58)</f>
        <v>200000</v>
      </c>
      <c r="H58" s="4192">
        <v>700000</v>
      </c>
      <c r="I58" s="4192"/>
      <c r="J58" s="4192"/>
    </row>
    <row r="59" spans="1:10" s="3808" customFormat="1" ht="13.5">
      <c r="A59" s="2874"/>
      <c r="B59" s="3201" t="s">
        <v>693</v>
      </c>
      <c r="C59" s="3185"/>
      <c r="D59" s="4193"/>
      <c r="E59" s="2869"/>
      <c r="F59" s="2869"/>
      <c r="G59" s="3872"/>
      <c r="H59" s="4192"/>
      <c r="I59" s="4192"/>
      <c r="J59" s="4192"/>
    </row>
    <row r="60" spans="1:10" s="3808" customFormat="1" ht="13.5">
      <c r="A60" s="2874"/>
      <c r="B60" s="3204" t="s">
        <v>3107</v>
      </c>
      <c r="C60" s="3185" t="s">
        <v>2024</v>
      </c>
      <c r="D60" s="4193">
        <f>[37]RELEASE!$AP$8</f>
        <v>650000</v>
      </c>
      <c r="E60" s="2869"/>
      <c r="F60" s="2869">
        <f>[37]RELEASE!$AP$11</f>
        <v>500000</v>
      </c>
      <c r="G60" s="3872">
        <f>SUM(D60:F60)</f>
        <v>1150000</v>
      </c>
      <c r="H60" s="4192">
        <v>1150000</v>
      </c>
      <c r="I60" s="4192"/>
      <c r="J60" s="4192"/>
    </row>
    <row r="61" spans="1:10" s="3808" customFormat="1" ht="13.5">
      <c r="A61" s="2874"/>
      <c r="B61" s="3182" t="s">
        <v>2023</v>
      </c>
      <c r="C61" s="3185" t="s">
        <v>2022</v>
      </c>
      <c r="D61" s="4193">
        <f>[37]RELEASE!$AQ$9</f>
        <v>0</v>
      </c>
      <c r="E61" s="2869">
        <f>[37]RELEASE!$AQ$13</f>
        <v>100000</v>
      </c>
      <c r="F61" s="2869"/>
      <c r="G61" s="3872">
        <f>SUM(D61:F61)</f>
        <v>100000</v>
      </c>
      <c r="H61" s="4192">
        <v>450000</v>
      </c>
      <c r="I61" s="4192"/>
      <c r="J61" s="4192"/>
    </row>
    <row r="62" spans="1:10" s="3808" customFormat="1" ht="13.5">
      <c r="A62" s="2874"/>
      <c r="B62" s="3182" t="s">
        <v>3106</v>
      </c>
      <c r="C62" s="3185" t="s">
        <v>2020</v>
      </c>
      <c r="D62" s="4193">
        <f>[37]RELEASE!$AR$8</f>
        <v>2000000</v>
      </c>
      <c r="E62" s="2869"/>
      <c r="F62" s="2869"/>
      <c r="G62" s="3872">
        <f>SUM(D62:F62)</f>
        <v>2000000</v>
      </c>
      <c r="H62" s="4192">
        <v>2000000</v>
      </c>
      <c r="I62" s="4192"/>
      <c r="J62" s="4192"/>
    </row>
    <row r="63" spans="1:10" s="3867" customFormat="1">
      <c r="A63" s="2864"/>
      <c r="B63" s="2863" t="s">
        <v>244</v>
      </c>
      <c r="C63" s="4191"/>
      <c r="D63" s="4190">
        <f t="shared" ref="D63:I63" si="1">SUM(D10:D62)</f>
        <v>106660910</v>
      </c>
      <c r="E63" s="2865">
        <f t="shared" si="1"/>
        <v>2966600</v>
      </c>
      <c r="F63" s="2865">
        <f t="shared" si="1"/>
        <v>0</v>
      </c>
      <c r="G63" s="2865">
        <f t="shared" si="1"/>
        <v>79327510</v>
      </c>
      <c r="H63" s="4189">
        <f t="shared" si="1"/>
        <v>68618930</v>
      </c>
      <c r="I63" s="3868">
        <f t="shared" si="1"/>
        <v>0</v>
      </c>
      <c r="J63" s="3868"/>
    </row>
    <row r="64" spans="1:10" s="3867" customFormat="1">
      <c r="A64" s="2864"/>
      <c r="B64" s="2863"/>
      <c r="C64" s="2862"/>
      <c r="D64" s="4188"/>
      <c r="E64" s="2859"/>
      <c r="F64" s="2859"/>
      <c r="G64" s="2859"/>
      <c r="H64" s="4188"/>
      <c r="I64" s="4188"/>
      <c r="J64" s="4188"/>
    </row>
    <row r="65" spans="1:12" s="3864" customFormat="1">
      <c r="A65" s="2857"/>
      <c r="B65" s="2856"/>
      <c r="C65" s="2855"/>
      <c r="D65" s="2852"/>
      <c r="E65" s="3866"/>
      <c r="F65" s="3866"/>
      <c r="G65" s="3865"/>
      <c r="H65" s="2852"/>
      <c r="I65" s="2852"/>
      <c r="J65" s="2852"/>
    </row>
    <row r="66" spans="1:12" s="3859" customFormat="1">
      <c r="B66" s="3859" t="s">
        <v>715</v>
      </c>
      <c r="H66" s="3859" t="s">
        <v>2168</v>
      </c>
    </row>
    <row r="67" spans="1:12" s="3859" customFormat="1">
      <c r="C67" s="3863"/>
    </row>
    <row r="68" spans="1:12" s="3859" customFormat="1">
      <c r="C68" s="3863"/>
    </row>
    <row r="69" spans="1:12" s="3859" customFormat="1">
      <c r="B69" s="3861" t="s">
        <v>735</v>
      </c>
      <c r="C69" s="3861"/>
      <c r="D69" s="3861"/>
      <c r="E69" s="3861"/>
      <c r="F69" s="3861"/>
      <c r="G69" s="3861"/>
      <c r="H69" s="4997" t="s">
        <v>360</v>
      </c>
      <c r="I69" s="4997"/>
      <c r="J69" s="4997"/>
      <c r="K69" s="4997"/>
      <c r="L69" s="4997"/>
    </row>
    <row r="70" spans="1:12" s="3859" customFormat="1">
      <c r="B70" s="3860" t="s">
        <v>736</v>
      </c>
      <c r="C70" s="3860"/>
      <c r="D70" s="3860"/>
      <c r="E70" s="3860"/>
      <c r="F70" s="3860"/>
      <c r="G70" s="3860"/>
      <c r="H70" s="4996" t="s">
        <v>357</v>
      </c>
      <c r="I70" s="4996"/>
      <c r="J70" s="4996"/>
      <c r="K70" s="4996"/>
      <c r="L70" s="4996"/>
    </row>
    <row r="71" spans="1:12" s="3856" customFormat="1">
      <c r="C71" s="3858"/>
      <c r="H71" s="4996"/>
      <c r="I71" s="4996"/>
      <c r="J71" s="4996"/>
      <c r="K71" s="4996"/>
      <c r="L71" s="4996"/>
    </row>
    <row r="72" spans="1:12" s="3856" customFormat="1" ht="8.25">
      <c r="C72" s="3858"/>
    </row>
    <row r="73" spans="1:12" s="3856" customFormat="1" ht="8.25">
      <c r="C73" s="3858"/>
    </row>
    <row r="74" spans="1:12" s="3856" customFormat="1" ht="8.25">
      <c r="C74" s="3858"/>
    </row>
    <row r="75" spans="1:12" s="3856" customFormat="1" ht="8.25">
      <c r="C75" s="3858"/>
    </row>
    <row r="76" spans="1:12">
      <c r="C76" s="3855"/>
    </row>
    <row r="77" spans="1:12">
      <c r="C77" s="3855"/>
    </row>
    <row r="78" spans="1:12">
      <c r="C78" s="3855"/>
    </row>
    <row r="79" spans="1:12">
      <c r="C79" s="3855"/>
    </row>
    <row r="80" spans="1:12">
      <c r="C80" s="3855"/>
    </row>
  </sheetData>
  <mergeCells count="12">
    <mergeCell ref="A1:K1"/>
    <mergeCell ref="A2:K2"/>
    <mergeCell ref="A3:K3"/>
    <mergeCell ref="A4:J4"/>
    <mergeCell ref="D5:G5"/>
    <mergeCell ref="I5:I8"/>
    <mergeCell ref="J5:J8"/>
    <mergeCell ref="D6:D8"/>
    <mergeCell ref="G6:G8"/>
    <mergeCell ref="H69:L69"/>
    <mergeCell ref="H70:L70"/>
    <mergeCell ref="H71:L71"/>
  </mergeCells>
  <printOptions horizontalCentered="1"/>
  <pageMargins left="0" right="0" top="0.5" bottom="0.5" header="0.5" footer="0.5"/>
  <pageSetup paperSize="5" orientation="landscape" verticalDpi="0"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0000"/>
    <outlinePr summaryBelow="0"/>
  </sheetPr>
  <dimension ref="A1:ES42"/>
  <sheetViews>
    <sheetView showGridLines="0" showOutlineSymbols="0" workbookViewId="0">
      <selection activeCell="I35" sqref="I35"/>
    </sheetView>
  </sheetViews>
  <sheetFormatPr defaultColWidth="12.5703125" defaultRowHeight="15.75" outlineLevelRow="2" outlineLevelCol="2"/>
  <cols>
    <col min="1" max="1" width="1.85546875" style="1390" customWidth="1"/>
    <col min="2" max="2" width="35" style="1390" customWidth="1"/>
    <col min="3" max="3" width="11.5703125" style="3685" customWidth="1"/>
    <col min="4" max="4" width="10.140625" style="3685" customWidth="1"/>
    <col min="5" max="5" width="10" style="3685" customWidth="1"/>
    <col min="6" max="7" width="9.85546875" style="3685" customWidth="1"/>
    <col min="8" max="8" width="10.140625" style="3685" customWidth="1"/>
    <col min="9" max="9" width="14.140625" style="1390" customWidth="1"/>
    <col min="10"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9">
      <c r="A1" s="3226" t="s">
        <v>473</v>
      </c>
      <c r="B1" s="1403"/>
      <c r="C1" s="3160"/>
      <c r="E1" s="3226"/>
      <c r="G1" s="3226"/>
      <c r="H1" s="3226"/>
    </row>
    <row r="2" spans="1:9" ht="14.25" customHeight="1">
      <c r="A2" s="3221" t="s">
        <v>584</v>
      </c>
      <c r="B2" s="1403"/>
      <c r="C2" s="3160"/>
      <c r="E2" s="3221"/>
      <c r="G2" s="3221"/>
      <c r="H2" s="3221"/>
    </row>
    <row r="3" spans="1:9" ht="14.25" customHeight="1">
      <c r="A3" s="4741"/>
      <c r="B3" s="4741"/>
      <c r="C3" s="4741"/>
      <c r="D3" s="4741"/>
      <c r="E3" s="4741"/>
      <c r="F3" s="4741"/>
      <c r="G3" s="4741"/>
      <c r="H3" s="4741"/>
    </row>
    <row r="4" spans="1:9" ht="14.25" customHeight="1">
      <c r="A4" s="4210"/>
      <c r="B4" s="4210"/>
      <c r="C4" s="4210"/>
      <c r="D4" s="4210"/>
      <c r="E4" s="4210"/>
      <c r="F4" s="4210"/>
      <c r="G4" s="4210"/>
      <c r="H4" s="4210"/>
    </row>
    <row r="5" spans="1:9" ht="14.25" customHeight="1">
      <c r="A5" s="4741" t="s">
        <v>471</v>
      </c>
      <c r="B5" s="4741"/>
      <c r="C5" s="4741"/>
      <c r="D5" s="4741"/>
      <c r="E5" s="4741"/>
      <c r="F5" s="4741"/>
      <c r="G5" s="4741"/>
      <c r="H5" s="2474"/>
    </row>
    <row r="6" spans="1:9" ht="14.25" customHeight="1">
      <c r="A6" s="4742" t="s">
        <v>746</v>
      </c>
      <c r="B6" s="4742"/>
      <c r="C6" s="4742"/>
      <c r="D6" s="4742"/>
      <c r="E6" s="4742"/>
      <c r="F6" s="4742"/>
      <c r="G6" s="4742"/>
      <c r="H6" s="2836"/>
    </row>
    <row r="7" spans="1:9" ht="14.25" customHeight="1">
      <c r="A7" s="2836"/>
      <c r="B7" s="1578"/>
      <c r="C7" s="1578"/>
      <c r="D7" s="1578"/>
      <c r="E7" s="1578"/>
      <c r="F7" s="1578"/>
      <c r="G7" s="1578"/>
      <c r="H7" s="2836"/>
    </row>
    <row r="8" spans="1:9" ht="14.25" customHeight="1">
      <c r="A8" s="1578"/>
      <c r="B8" s="1578"/>
      <c r="C8" s="1578"/>
      <c r="D8" s="1578"/>
      <c r="E8" s="1578"/>
      <c r="F8" s="1578"/>
      <c r="G8" s="1578"/>
      <c r="H8" s="1578"/>
    </row>
    <row r="9" spans="1:9" ht="14.25" customHeight="1">
      <c r="A9" s="3135"/>
      <c r="B9" s="3705" t="s">
        <v>3158</v>
      </c>
      <c r="D9" s="3160"/>
      <c r="E9" s="3160"/>
      <c r="F9" s="3160"/>
      <c r="G9" s="3160"/>
      <c r="H9" s="3160"/>
    </row>
    <row r="10" spans="1:9" ht="14.25" customHeight="1">
      <c r="A10" s="4743" t="s">
        <v>468</v>
      </c>
      <c r="B10" s="4744"/>
      <c r="C10" s="3220" t="s">
        <v>467</v>
      </c>
      <c r="D10" s="3220" t="s">
        <v>466</v>
      </c>
      <c r="E10" s="4948" t="s">
        <v>465</v>
      </c>
      <c r="F10" s="4949"/>
      <c r="G10" s="4950"/>
      <c r="H10" s="3220" t="s">
        <v>2345</v>
      </c>
    </row>
    <row r="11" spans="1:9" ht="14.25" customHeight="1">
      <c r="A11" s="4745"/>
      <c r="B11" s="4746"/>
      <c r="C11" s="3219" t="s">
        <v>463</v>
      </c>
      <c r="D11" s="3218">
        <v>2020</v>
      </c>
      <c r="E11" s="3218" t="s">
        <v>2344</v>
      </c>
      <c r="F11" s="3218" t="s">
        <v>2343</v>
      </c>
      <c r="G11" s="3218"/>
      <c r="H11" s="3218" t="s">
        <v>2342</v>
      </c>
    </row>
    <row r="12" spans="1:9" ht="14.25" customHeight="1">
      <c r="A12" s="4745"/>
      <c r="B12" s="4746"/>
      <c r="C12" s="3219"/>
      <c r="D12" s="3218"/>
      <c r="E12" s="3218" t="s">
        <v>2341</v>
      </c>
      <c r="F12" s="3218" t="s">
        <v>2341</v>
      </c>
      <c r="G12" s="3218" t="s">
        <v>244</v>
      </c>
      <c r="H12" s="3218">
        <v>2022</v>
      </c>
    </row>
    <row r="13" spans="1:9" ht="14.25" customHeight="1">
      <c r="A13" s="4747"/>
      <c r="B13" s="4748"/>
      <c r="C13" s="3217"/>
      <c r="D13" s="3215" t="s">
        <v>460</v>
      </c>
      <c r="E13" s="3215" t="s">
        <v>460</v>
      </c>
      <c r="F13" s="3215" t="s">
        <v>459</v>
      </c>
      <c r="G13" s="3216"/>
      <c r="H13" s="3215" t="s">
        <v>458</v>
      </c>
    </row>
    <row r="14" spans="1:9" ht="20.100000000000001" customHeight="1">
      <c r="A14" s="1574" t="s">
        <v>456</v>
      </c>
      <c r="B14" s="1569"/>
      <c r="C14" s="4186"/>
      <c r="D14" s="4186"/>
      <c r="E14" s="4186"/>
      <c r="F14" s="3276"/>
      <c r="G14" s="3276"/>
      <c r="H14" s="3276"/>
    </row>
    <row r="15" spans="1:9" s="1395" customFormat="1" ht="20.100000000000001" customHeight="1" outlineLevel="1">
      <c r="A15" s="3699" t="s">
        <v>407</v>
      </c>
      <c r="B15" s="3845"/>
      <c r="C15" s="4209"/>
      <c r="D15" s="2598">
        <f>SUM(D16:D26)</f>
        <v>314651.95999999996</v>
      </c>
      <c r="E15" s="2598">
        <f>SUM(E16:E26)</f>
        <v>155553</v>
      </c>
      <c r="F15" s="2598">
        <f>SUM(F16:F26)</f>
        <v>350207</v>
      </c>
      <c r="G15" s="2598">
        <f>SUM(G16:G26)</f>
        <v>505760</v>
      </c>
      <c r="H15" s="2598">
        <f>SUM(H16:H26)</f>
        <v>505760</v>
      </c>
    </row>
    <row r="16" spans="1:9" s="2288" customFormat="1" ht="16.7" customHeight="1" outlineLevel="1">
      <c r="A16" s="1520" t="s">
        <v>2352</v>
      </c>
      <c r="B16" s="3842"/>
      <c r="C16" s="4208" t="s">
        <v>405</v>
      </c>
      <c r="D16" s="4207">
        <f>'[22]8753'!$F$13</f>
        <v>0</v>
      </c>
      <c r="E16" s="3127">
        <f>'[23]8753'!$F$13</f>
        <v>0</v>
      </c>
      <c r="F16" s="1532">
        <f>G16-E16</f>
        <v>50000</v>
      </c>
      <c r="G16" s="4206">
        <f>'[23]8753'!$D$13</f>
        <v>50000</v>
      </c>
      <c r="H16" s="3126">
        <f>[25]OBO!$H$12</f>
        <v>50000</v>
      </c>
      <c r="I16" s="4203"/>
    </row>
    <row r="17" spans="1:19" s="2288" customFormat="1" ht="16.7" customHeight="1" outlineLevel="1">
      <c r="A17" s="1520" t="s">
        <v>404</v>
      </c>
      <c r="B17" s="3842"/>
      <c r="C17" s="4205" t="s">
        <v>403</v>
      </c>
      <c r="D17" s="3694">
        <f>'[22]8753'!$F$14</f>
        <v>0</v>
      </c>
      <c r="E17" s="1448">
        <f>'[23]8753'!$F$14</f>
        <v>0</v>
      </c>
      <c r="F17" s="1532">
        <f>G17-E17</f>
        <v>25000</v>
      </c>
      <c r="G17" s="4204">
        <f>'[23]8753'!$D$14</f>
        <v>25000</v>
      </c>
      <c r="H17" s="1532">
        <f>[25]OBO!$H$13</f>
        <v>25000</v>
      </c>
      <c r="I17" s="4203"/>
    </row>
    <row r="18" spans="1:19" s="2248" customFormat="1" ht="16.7" customHeight="1" outlineLevel="1">
      <c r="A18" s="1527" t="s">
        <v>402</v>
      </c>
      <c r="B18" s="3842"/>
      <c r="C18" s="4201" t="s">
        <v>401</v>
      </c>
      <c r="D18" s="3702">
        <f>'[22]8753'!$F$15</f>
        <v>39795.5</v>
      </c>
      <c r="E18" s="1448">
        <f>'[23]8753'!$F$15</f>
        <v>23770</v>
      </c>
      <c r="F18" s="1532">
        <f>G18-E18</f>
        <v>51230</v>
      </c>
      <c r="G18" s="4200">
        <f>'[23]8753'!$D$15</f>
        <v>75000</v>
      </c>
      <c r="H18" s="1427">
        <f>[25]OBO!$H$14</f>
        <v>75000</v>
      </c>
      <c r="I18" s="4203"/>
    </row>
    <row r="19" spans="1:19" s="2248" customFormat="1" ht="16.7" customHeight="1" outlineLevel="1">
      <c r="A19" s="1527" t="s">
        <v>572</v>
      </c>
      <c r="B19" s="3208"/>
      <c r="C19" s="4201"/>
      <c r="D19" s="3694"/>
      <c r="E19" s="1473"/>
      <c r="F19" s="1532"/>
      <c r="G19" s="4200"/>
      <c r="H19" s="1427"/>
      <c r="I19" s="2288"/>
    </row>
    <row r="20" spans="1:19" s="2248" customFormat="1" ht="16.7" customHeight="1" outlineLevel="1">
      <c r="A20" s="1520"/>
      <c r="B20" s="3210" t="s">
        <v>571</v>
      </c>
      <c r="C20" s="4201" t="s">
        <v>2398</v>
      </c>
      <c r="D20" s="3694">
        <f>'[22]8753'!$F$16</f>
        <v>13150</v>
      </c>
      <c r="E20" s="1473">
        <f>'[23]8753'!$F$16</f>
        <v>5050</v>
      </c>
      <c r="F20" s="1532">
        <f>G20-E20</f>
        <v>17950</v>
      </c>
      <c r="G20" s="4200">
        <f>'[23]8753'!$D$16</f>
        <v>23000</v>
      </c>
      <c r="H20" s="1427">
        <f>[25]OBO!$H$16</f>
        <v>23000</v>
      </c>
      <c r="I20" s="2288"/>
    </row>
    <row r="21" spans="1:19" s="2248" customFormat="1" ht="16.7" customHeight="1" outlineLevel="1">
      <c r="A21" s="1527" t="s">
        <v>674</v>
      </c>
      <c r="B21" s="3700"/>
      <c r="C21" s="4201" t="s">
        <v>396</v>
      </c>
      <c r="D21" s="3694">
        <f>'[22]8753'!$F$17</f>
        <v>6705</v>
      </c>
      <c r="E21" s="1473">
        <f>'[23]8753'!$F$17</f>
        <v>2508</v>
      </c>
      <c r="F21" s="1532">
        <f>G21-E21</f>
        <v>27492</v>
      </c>
      <c r="G21" s="4200">
        <f>'[23]8753'!$D$17</f>
        <v>30000</v>
      </c>
      <c r="H21" s="1427">
        <f>[25]OBO!$H$17</f>
        <v>30000</v>
      </c>
      <c r="I21" s="2288"/>
    </row>
    <row r="22" spans="1:19" s="2248" customFormat="1" ht="16.7" customHeight="1" outlineLevel="1">
      <c r="A22" s="1527" t="s">
        <v>389</v>
      </c>
      <c r="B22" s="3700"/>
      <c r="C22" s="3634" t="s">
        <v>388</v>
      </c>
      <c r="D22" s="3694">
        <f>'[22]8753'!$F$18</f>
        <v>235566.46</v>
      </c>
      <c r="E22" s="1427">
        <f>'[23]8753'!$F$18</f>
        <v>104790</v>
      </c>
      <c r="F22" s="1532">
        <f>G22-E22</f>
        <v>152970</v>
      </c>
      <c r="G22" s="4200">
        <f>'[23]8753'!$D$18</f>
        <v>257760</v>
      </c>
      <c r="H22" s="3693">
        <f>[25]OBO!$H$18</f>
        <v>257760</v>
      </c>
      <c r="I22" s="2288"/>
    </row>
    <row r="23" spans="1:19" s="2248" customFormat="1" ht="16.7" customHeight="1" outlineLevel="1">
      <c r="A23" s="1527" t="s">
        <v>1925</v>
      </c>
      <c r="B23" s="3700"/>
      <c r="C23" s="4201"/>
      <c r="D23" s="3694"/>
      <c r="E23" s="1427"/>
      <c r="F23" s="1532"/>
      <c r="G23" s="4200"/>
      <c r="H23" s="1427"/>
      <c r="I23" s="2288"/>
    </row>
    <row r="24" spans="1:19" s="2248" customFormat="1" ht="16.7" customHeight="1" outlineLevel="1">
      <c r="A24" s="1520"/>
      <c r="B24" s="3839" t="s">
        <v>3157</v>
      </c>
      <c r="C24" s="4201" t="s">
        <v>2335</v>
      </c>
      <c r="D24" s="3694">
        <f>'[22]8753'!$F$19</f>
        <v>19435</v>
      </c>
      <c r="E24" s="1427">
        <f>'[23]8753'!$F$19</f>
        <v>19435</v>
      </c>
      <c r="F24" s="1532">
        <f>G24-E24</f>
        <v>5565</v>
      </c>
      <c r="G24" s="4200">
        <f>'[23]8753'!$D$19</f>
        <v>25000</v>
      </c>
      <c r="H24" s="1427">
        <f>[25]OBO!$H$20</f>
        <v>25000</v>
      </c>
      <c r="I24" s="2288"/>
    </row>
    <row r="25" spans="1:19" s="2248" customFormat="1" ht="16.7" customHeight="1" outlineLevel="1">
      <c r="A25" s="1527" t="s">
        <v>2076</v>
      </c>
      <c r="B25" s="3700"/>
      <c r="C25" s="4201"/>
      <c r="D25" s="3694"/>
      <c r="E25" s="1427"/>
      <c r="F25" s="1532"/>
      <c r="G25" s="4200"/>
      <c r="H25" s="1427"/>
      <c r="I25" s="2288"/>
    </row>
    <row r="26" spans="1:19" s="2248" customFormat="1" ht="16.7" customHeight="1" outlineLevel="1">
      <c r="A26" s="4202"/>
      <c r="B26" s="3839" t="s">
        <v>2328</v>
      </c>
      <c r="C26" s="4201" t="s">
        <v>2327</v>
      </c>
      <c r="D26" s="3694">
        <f>'[22]8753'!$F$20</f>
        <v>0</v>
      </c>
      <c r="E26" s="1427">
        <f>'[23]8753'!$F$20</f>
        <v>0</v>
      </c>
      <c r="F26" s="1532">
        <f>G26-E26</f>
        <v>20000</v>
      </c>
      <c r="G26" s="4200">
        <f>'[23]8753'!$D$20</f>
        <v>20000</v>
      </c>
      <c r="H26" s="1427">
        <f>[25]OBO!$H$22</f>
        <v>20000</v>
      </c>
      <c r="I26" s="2288"/>
    </row>
    <row r="27" spans="1:19" ht="20.100000000000001" customHeight="1" outlineLevel="2">
      <c r="A27" s="4199" t="s">
        <v>366</v>
      </c>
      <c r="B27" s="4198"/>
      <c r="C27" s="4197"/>
      <c r="D27" s="2598">
        <f>SUM(D16:D26)</f>
        <v>314651.95999999996</v>
      </c>
      <c r="E27" s="2598">
        <f>SUM(E16:E26)</f>
        <v>155553</v>
      </c>
      <c r="F27" s="2598">
        <f>SUM(F16:F26)</f>
        <v>350207</v>
      </c>
      <c r="G27" s="2598">
        <f>SUM(G16:G26)</f>
        <v>505760</v>
      </c>
      <c r="H27" s="2598">
        <f>SUM(H16:H26)</f>
        <v>505760</v>
      </c>
    </row>
    <row r="28" spans="1:19" s="4196" customFormat="1" ht="14.25" customHeight="1">
      <c r="A28" s="2864"/>
      <c r="B28" s="4152"/>
      <c r="C28" s="3165"/>
      <c r="D28" s="3165"/>
      <c r="E28" s="3166"/>
      <c r="F28" s="3165"/>
      <c r="G28" s="3390"/>
      <c r="H28" s="3390"/>
    </row>
    <row r="29" spans="1:19" s="4196" customFormat="1" ht="14.25" customHeight="1">
      <c r="A29" s="2864"/>
      <c r="B29" s="4152"/>
      <c r="C29" s="3165"/>
      <c r="D29" s="3165"/>
      <c r="E29" s="3166"/>
      <c r="F29" s="3165"/>
      <c r="G29" s="3390"/>
      <c r="H29" s="3390"/>
    </row>
    <row r="30" spans="1:19" s="3162" customFormat="1" ht="14.25" customHeight="1">
      <c r="A30" s="3175" t="s">
        <v>2312</v>
      </c>
      <c r="B30" s="3174"/>
      <c r="C30" s="3174"/>
      <c r="D30" s="3174"/>
      <c r="E30" s="3173"/>
      <c r="F30" s="3173"/>
      <c r="G30" s="3173" t="s">
        <v>2311</v>
      </c>
      <c r="H30" s="3173"/>
      <c r="I30" s="2233"/>
      <c r="J30" s="2255"/>
      <c r="K30" s="2255"/>
      <c r="L30" s="2255"/>
      <c r="M30" s="2255"/>
      <c r="N30" s="2255"/>
      <c r="O30" s="2255"/>
      <c r="P30" s="2255"/>
      <c r="Q30" s="2255"/>
      <c r="R30" s="2255"/>
      <c r="S30" s="2255"/>
    </row>
    <row r="31" spans="1:19" s="3162" customFormat="1" ht="11.25" customHeight="1">
      <c r="A31" s="3173"/>
      <c r="B31" s="3174"/>
      <c r="C31" s="3174"/>
      <c r="D31" s="3174"/>
      <c r="E31" s="3173"/>
      <c r="F31" s="3173"/>
      <c r="G31" s="3173"/>
      <c r="H31" s="3173"/>
      <c r="I31" s="2233"/>
      <c r="J31" s="2255"/>
      <c r="K31" s="2255"/>
      <c r="L31" s="2255"/>
      <c r="M31" s="2255"/>
      <c r="N31" s="2255"/>
      <c r="O31" s="2255"/>
      <c r="P31" s="2255"/>
      <c r="Q31" s="2255"/>
      <c r="R31" s="2255"/>
      <c r="S31" s="2255"/>
    </row>
    <row r="32" spans="1:19" s="3162" customFormat="1" ht="6" customHeight="1">
      <c r="A32" s="3173"/>
      <c r="B32" s="3174"/>
      <c r="C32" s="3174"/>
      <c r="D32" s="3174"/>
      <c r="E32" s="3173"/>
      <c r="F32" s="3173"/>
      <c r="G32" s="3173"/>
      <c r="H32" s="3173"/>
      <c r="I32" s="2233"/>
      <c r="J32" s="2255"/>
      <c r="K32" s="2255"/>
      <c r="L32" s="2255"/>
      <c r="M32" s="2255"/>
      <c r="N32" s="2255"/>
      <c r="O32" s="2255"/>
      <c r="P32" s="2255"/>
      <c r="Q32" s="2255"/>
      <c r="R32" s="2255"/>
      <c r="S32" s="2255"/>
    </row>
    <row r="33" spans="1:19" s="3162" customFormat="1" ht="14.25" customHeight="1">
      <c r="A33" s="3172" t="s">
        <v>2364</v>
      </c>
      <c r="B33" s="3167"/>
      <c r="C33" s="3171" t="s">
        <v>2309</v>
      </c>
      <c r="D33" s="3165"/>
      <c r="E33" s="3169"/>
      <c r="F33" s="3169"/>
      <c r="G33" s="3170" t="s">
        <v>359</v>
      </c>
      <c r="H33" s="3169"/>
      <c r="I33" s="2233"/>
      <c r="J33" s="2255"/>
      <c r="K33" s="2255"/>
      <c r="L33" s="2255"/>
      <c r="M33" s="2255"/>
      <c r="N33" s="2255"/>
      <c r="O33" s="2255"/>
      <c r="P33" s="2255"/>
      <c r="Q33" s="2255"/>
      <c r="R33" s="2255"/>
      <c r="S33" s="2255"/>
    </row>
    <row r="34" spans="1:19" s="3162" customFormat="1" ht="14.25" customHeight="1">
      <c r="A34" s="3168" t="s">
        <v>2363</v>
      </c>
      <c r="B34" s="3167"/>
      <c r="C34" s="3166" t="s">
        <v>2308</v>
      </c>
      <c r="D34" s="3165"/>
      <c r="E34" s="3163"/>
      <c r="F34" s="3163"/>
      <c r="G34" s="3164" t="s">
        <v>2307</v>
      </c>
      <c r="H34" s="3163"/>
      <c r="I34" s="2233"/>
      <c r="J34" s="2255"/>
      <c r="K34" s="2255"/>
      <c r="L34" s="2255"/>
      <c r="M34" s="2255"/>
      <c r="N34" s="2255"/>
      <c r="O34" s="2255"/>
      <c r="P34" s="2255"/>
      <c r="Q34" s="2255"/>
      <c r="R34" s="2255"/>
      <c r="S34" s="2255"/>
    </row>
    <row r="35" spans="1:19" s="1404" customFormat="1" ht="12.75">
      <c r="B35" s="2236"/>
      <c r="C35" s="3286"/>
      <c r="D35" s="3686"/>
      <c r="E35" s="3686"/>
      <c r="F35" s="3164"/>
      <c r="G35" s="3686"/>
      <c r="H35" s="3686"/>
      <c r="I35" s="2236"/>
    </row>
    <row r="36" spans="1:19" s="1404" customFormat="1" ht="12.75">
      <c r="B36" s="2236"/>
      <c r="C36" s="3286"/>
      <c r="D36" s="3686"/>
      <c r="E36" s="3686"/>
      <c r="F36" s="3686"/>
      <c r="G36" s="3686"/>
      <c r="H36" s="3686"/>
      <c r="I36" s="2236"/>
    </row>
    <row r="37" spans="1:19" s="1404" customFormat="1" ht="12.75">
      <c r="B37" s="2236"/>
      <c r="C37" s="3286"/>
      <c r="D37" s="3686"/>
      <c r="E37" s="3686"/>
      <c r="F37" s="3686"/>
      <c r="G37" s="3686"/>
      <c r="H37" s="3686"/>
      <c r="I37" s="2236"/>
    </row>
    <row r="38" spans="1:19" s="1404" customFormat="1" ht="12.75">
      <c r="B38" s="2236"/>
      <c r="C38" s="3286"/>
      <c r="D38" s="3686"/>
      <c r="E38" s="3686"/>
      <c r="F38" s="3686"/>
      <c r="G38" s="3686"/>
      <c r="H38" s="3686"/>
      <c r="I38" s="2236"/>
    </row>
    <row r="39" spans="1:19" s="1404" customFormat="1" ht="12.75">
      <c r="B39" s="2236"/>
      <c r="C39" s="3286"/>
      <c r="D39" s="3686"/>
      <c r="E39" s="3686"/>
      <c r="F39" s="3686"/>
      <c r="G39" s="3686"/>
      <c r="H39" s="3686"/>
      <c r="I39" s="2236"/>
    </row>
    <row r="40" spans="1:19" s="1404" customFormat="1" ht="12.75">
      <c r="B40" s="2236"/>
      <c r="C40" s="3286"/>
      <c r="D40" s="3686"/>
      <c r="E40" s="3686"/>
      <c r="F40" s="3686"/>
      <c r="G40" s="3686"/>
      <c r="H40" s="3686"/>
      <c r="I40" s="2236"/>
    </row>
    <row r="41" spans="1:19" s="1404" customFormat="1" ht="12.75">
      <c r="B41" s="2236"/>
      <c r="C41" s="3286"/>
      <c r="D41" s="3686"/>
      <c r="E41" s="3686"/>
      <c r="F41" s="3686"/>
      <c r="G41" s="3686"/>
      <c r="H41" s="3686"/>
      <c r="I41" s="2236"/>
    </row>
    <row r="42" spans="1:19" s="1404" customFormat="1" ht="12.75">
      <c r="B42" s="2236"/>
      <c r="C42" s="3286"/>
      <c r="D42" s="3686"/>
      <c r="E42" s="3686"/>
      <c r="F42" s="3686"/>
      <c r="G42" s="3686"/>
      <c r="H42" s="3686"/>
      <c r="I42" s="2236"/>
    </row>
  </sheetData>
  <mergeCells count="5">
    <mergeCell ref="A3:H3"/>
    <mergeCell ref="A5:G5"/>
    <mergeCell ref="A6:G6"/>
    <mergeCell ref="A10:B13"/>
    <mergeCell ref="E10:G10"/>
  </mergeCells>
  <pageMargins left="0.5" right="0" top="0" bottom="0" header="0.5" footer="0"/>
  <pageSetup paperSize="5" orientation="portrait" verticalDpi="300"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45"/>
  <sheetViews>
    <sheetView showGridLines="0" showOutlineSymbols="0" topLeftCell="A9" workbookViewId="0">
      <pane xSplit="3" ySplit="7" topLeftCell="D16" activePane="bottomRight" state="frozen"/>
      <selection activeCell="A9" sqref="A9"/>
      <selection pane="topRight" activeCell="D9" sqref="D9"/>
      <selection pane="bottomLeft" activeCell="A16" sqref="A16"/>
      <selection pane="bottomRight" activeCell="C37" sqref="C37"/>
    </sheetView>
  </sheetViews>
  <sheetFormatPr defaultColWidth="12.5703125" defaultRowHeight="12.75" outlineLevelRow="2" outlineLevelCol="2"/>
  <cols>
    <col min="1" max="1" width="1.85546875" style="4213" customWidth="1"/>
    <col min="2" max="2" width="31.42578125" style="4213" customWidth="1"/>
    <col min="3" max="3" width="11.7109375" style="4213" customWidth="1"/>
    <col min="4" max="5" width="9.85546875" style="4213" customWidth="1"/>
    <col min="6" max="6" width="10.5703125" style="4213" customWidth="1"/>
    <col min="7" max="7" width="10.42578125" style="4213" customWidth="1"/>
    <col min="8" max="8" width="11.5703125" style="4213" customWidth="1"/>
    <col min="9" max="9" width="14.140625" style="4212" customWidth="1"/>
    <col min="10" max="21" width="12.5703125" style="4212"/>
    <col min="22"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21" s="4277" customFormat="1">
      <c r="A1" s="4281" t="s">
        <v>473</v>
      </c>
      <c r="B1" s="4280"/>
      <c r="C1" s="4280"/>
      <c r="D1" s="4280"/>
      <c r="E1" s="4281"/>
      <c r="F1" s="4281"/>
      <c r="G1" s="4281"/>
      <c r="H1" s="4281"/>
      <c r="I1" s="4278"/>
      <c r="J1" s="4278"/>
      <c r="K1" s="4278"/>
      <c r="L1" s="4278"/>
      <c r="M1" s="4278"/>
      <c r="N1" s="4278"/>
      <c r="O1" s="4278"/>
      <c r="P1" s="4278"/>
      <c r="Q1" s="4278"/>
      <c r="R1" s="4278"/>
      <c r="S1" s="4278"/>
      <c r="T1" s="4278"/>
      <c r="U1" s="4278"/>
    </row>
    <row r="2" spans="1:21" s="4277" customFormat="1" ht="14.25" customHeight="1">
      <c r="A2" s="4279" t="s">
        <v>584</v>
      </c>
      <c r="B2" s="4280"/>
      <c r="C2" s="4280"/>
      <c r="D2" s="4280"/>
      <c r="E2" s="4279"/>
      <c r="F2" s="4279"/>
      <c r="G2" s="4279"/>
      <c r="H2" s="4279"/>
      <c r="I2" s="4278"/>
      <c r="J2" s="4278"/>
      <c r="K2" s="4278"/>
      <c r="L2" s="4278"/>
      <c r="M2" s="4278"/>
      <c r="N2" s="4278"/>
      <c r="O2" s="4278"/>
      <c r="P2" s="4278"/>
      <c r="Q2" s="4278"/>
      <c r="R2" s="4278"/>
      <c r="S2" s="4278"/>
      <c r="T2" s="4278"/>
      <c r="U2" s="4278"/>
    </row>
    <row r="3" spans="1:21" ht="14.25" customHeight="1">
      <c r="E3" s="4276"/>
      <c r="G3" s="4276"/>
      <c r="H3" s="4276"/>
    </row>
    <row r="4" spans="1:21" ht="14.25" customHeight="1">
      <c r="E4" s="4276"/>
      <c r="G4" s="4276"/>
      <c r="H4" s="4276"/>
    </row>
    <row r="5" spans="1:21" ht="14.25" customHeight="1">
      <c r="A5" s="5013" t="s">
        <v>471</v>
      </c>
      <c r="B5" s="5013"/>
      <c r="C5" s="5013"/>
      <c r="D5" s="5013"/>
      <c r="E5" s="5013"/>
      <c r="F5" s="5013"/>
      <c r="G5" s="5013"/>
      <c r="H5" s="5013"/>
    </row>
    <row r="6" spans="1:21" ht="14.25" customHeight="1">
      <c r="A6" s="5014" t="s">
        <v>746</v>
      </c>
      <c r="B6" s="5014"/>
      <c r="C6" s="5014"/>
      <c r="D6" s="5014"/>
      <c r="E6" s="5014"/>
      <c r="F6" s="5014"/>
      <c r="G6" s="5014"/>
      <c r="H6" s="5014"/>
    </row>
    <row r="7" spans="1:21" ht="14.25" customHeight="1">
      <c r="A7" s="4275"/>
      <c r="B7" s="4275"/>
      <c r="C7" s="4275"/>
      <c r="D7" s="4275"/>
      <c r="E7" s="4275"/>
      <c r="F7" s="4275"/>
      <c r="G7" s="4275"/>
      <c r="H7" s="4275"/>
    </row>
    <row r="8" spans="1:21" ht="14.25" customHeight="1">
      <c r="A8" s="4275"/>
      <c r="B8" s="4275"/>
      <c r="C8" s="4275"/>
      <c r="D8" s="4275"/>
      <c r="E8" s="4275"/>
      <c r="F8" s="4275"/>
      <c r="G8" s="4275"/>
      <c r="H8" s="4275"/>
    </row>
    <row r="9" spans="1:21" ht="14.25" customHeight="1">
      <c r="A9" s="4274" t="s">
        <v>3169</v>
      </c>
      <c r="B9" s="4274"/>
    </row>
    <row r="10" spans="1:21" ht="14.25" customHeight="1">
      <c r="A10" s="4273"/>
      <c r="B10" s="4273" t="s">
        <v>3168</v>
      </c>
    </row>
    <row r="11" spans="1:21" ht="14.25" customHeight="1">
      <c r="A11" s="4273"/>
      <c r="B11" s="4273"/>
    </row>
    <row r="12" spans="1:21" ht="14.25" customHeight="1">
      <c r="A12" s="5007" t="s">
        <v>468</v>
      </c>
      <c r="B12" s="5008"/>
      <c r="C12" s="4272" t="s">
        <v>467</v>
      </c>
      <c r="D12" s="4272" t="s">
        <v>466</v>
      </c>
      <c r="E12" s="5004" t="s">
        <v>465</v>
      </c>
      <c r="F12" s="5005"/>
      <c r="G12" s="5006"/>
      <c r="H12" s="4272" t="s">
        <v>2180</v>
      </c>
    </row>
    <row r="13" spans="1:21" ht="14.25" customHeight="1">
      <c r="A13" s="5009"/>
      <c r="B13" s="5010"/>
      <c r="C13" s="4271" t="s">
        <v>463</v>
      </c>
      <c r="D13" s="4270">
        <v>2020</v>
      </c>
      <c r="E13" s="4270" t="s">
        <v>2344</v>
      </c>
      <c r="F13" s="4270" t="s">
        <v>2343</v>
      </c>
      <c r="G13" s="4270"/>
      <c r="H13" s="4270" t="s">
        <v>2342</v>
      </c>
    </row>
    <row r="14" spans="1:21" ht="14.25" customHeight="1">
      <c r="A14" s="5009"/>
      <c r="B14" s="5010"/>
      <c r="C14" s="4271"/>
      <c r="D14" s="4270"/>
      <c r="E14" s="4270" t="s">
        <v>2341</v>
      </c>
      <c r="F14" s="4270" t="s">
        <v>2341</v>
      </c>
      <c r="G14" s="4270" t="s">
        <v>244</v>
      </c>
      <c r="H14" s="4270">
        <v>2022</v>
      </c>
    </row>
    <row r="15" spans="1:21" ht="14.25" customHeight="1">
      <c r="A15" s="5011"/>
      <c r="B15" s="5012"/>
      <c r="C15" s="4269"/>
      <c r="D15" s="4267" t="s">
        <v>460</v>
      </c>
      <c r="E15" s="4267" t="s">
        <v>460</v>
      </c>
      <c r="F15" s="4267" t="s">
        <v>459</v>
      </c>
      <c r="G15" s="4268"/>
      <c r="H15" s="4267" t="s">
        <v>458</v>
      </c>
    </row>
    <row r="16" spans="1:21" ht="20.100000000000001" customHeight="1">
      <c r="A16" s="4266" t="s">
        <v>456</v>
      </c>
      <c r="B16" s="4265"/>
      <c r="C16" s="4264"/>
      <c r="D16" s="4264"/>
      <c r="E16" s="4264"/>
      <c r="F16" s="4265"/>
      <c r="G16" s="4265"/>
      <c r="H16" s="4264"/>
    </row>
    <row r="17" spans="1:21" s="4212" customFormat="1" ht="20.100000000000001" customHeight="1" outlineLevel="1">
      <c r="A17" s="4263" t="s">
        <v>407</v>
      </c>
      <c r="B17" s="4262"/>
      <c r="C17" s="4261"/>
      <c r="D17" s="4260">
        <f>SUM(D18:D27)</f>
        <v>595703.74</v>
      </c>
      <c r="E17" s="4260">
        <f>SUM(E18:E27)</f>
        <v>180219.79</v>
      </c>
      <c r="F17" s="4260">
        <f>SUM(F18:F27)</f>
        <v>669780.21</v>
      </c>
      <c r="G17" s="4260">
        <f>SUM(G18:G27)</f>
        <v>850000</v>
      </c>
      <c r="H17" s="4260">
        <f>SUM(H18:H27)</f>
        <v>888000</v>
      </c>
    </row>
    <row r="18" spans="1:21" s="4240" customFormat="1" ht="18" customHeight="1" outlineLevel="1">
      <c r="A18" s="4254" t="s">
        <v>2352</v>
      </c>
      <c r="B18" s="4246"/>
      <c r="C18" s="4259" t="s">
        <v>405</v>
      </c>
      <c r="D18" s="4258">
        <f>[39]CAWA!$E$12</f>
        <v>4650.5200000000004</v>
      </c>
      <c r="E18" s="4257">
        <f>[40]CAWA!$E$12</f>
        <v>2610</v>
      </c>
      <c r="F18" s="4243">
        <f t="shared" ref="F18:F24" si="0">G18-E18</f>
        <v>7390</v>
      </c>
      <c r="G18" s="4257">
        <f>[40]CAWA!$C$12</f>
        <v>10000</v>
      </c>
      <c r="H18" s="4256">
        <f>[41]CAWA!$H$12</f>
        <v>10000</v>
      </c>
    </row>
    <row r="19" spans="1:21" s="4240" customFormat="1" ht="18" customHeight="1" outlineLevel="1">
      <c r="A19" s="4250" t="s">
        <v>404</v>
      </c>
      <c r="B19" s="4249"/>
      <c r="C19" s="4248" t="s">
        <v>403</v>
      </c>
      <c r="D19" s="4244">
        <f>[39]CAWA!$E$13</f>
        <v>0</v>
      </c>
      <c r="E19" s="4255">
        <f>[40]CAWA!$E$13</f>
        <v>0</v>
      </c>
      <c r="F19" s="4243">
        <f t="shared" si="0"/>
        <v>10000</v>
      </c>
      <c r="G19" s="4255">
        <f>[40]CAWA!$C$13</f>
        <v>10000</v>
      </c>
      <c r="H19" s="4241">
        <f>[41]CAWA!$H$13</f>
        <v>10000</v>
      </c>
    </row>
    <row r="20" spans="1:21" s="4239" customFormat="1" ht="18" customHeight="1" outlineLevel="1">
      <c r="A20" s="4247" t="s">
        <v>402</v>
      </c>
      <c r="B20" s="4246"/>
      <c r="C20" s="4248" t="s">
        <v>401</v>
      </c>
      <c r="D20" s="4244">
        <f>[39]CAWA!$E$14</f>
        <v>10900.689999999999</v>
      </c>
      <c r="E20" s="4242">
        <f>[40]CAWA!$E$14</f>
        <v>10367.299999999999</v>
      </c>
      <c r="F20" s="4243">
        <f t="shared" si="0"/>
        <v>2952.7000000000007</v>
      </c>
      <c r="G20" s="4242">
        <f>[40]CAWA!$C$14</f>
        <v>13320</v>
      </c>
      <c r="H20" s="4241">
        <f>[41]CAWA!$H$14</f>
        <v>13320</v>
      </c>
      <c r="I20" s="4240"/>
      <c r="J20" s="4240"/>
      <c r="K20" s="4240"/>
      <c r="L20" s="4240"/>
      <c r="M20" s="4240"/>
      <c r="N20" s="4240"/>
      <c r="O20" s="4240"/>
      <c r="P20" s="4240"/>
      <c r="Q20" s="4240"/>
      <c r="R20" s="4240"/>
      <c r="S20" s="4240"/>
      <c r="T20" s="4240"/>
      <c r="U20" s="4240"/>
    </row>
    <row r="21" spans="1:21" s="4239" customFormat="1" ht="18" customHeight="1" outlineLevel="1">
      <c r="A21" s="4254" t="s">
        <v>3167</v>
      </c>
      <c r="B21" s="4246"/>
      <c r="C21" s="4248" t="s">
        <v>396</v>
      </c>
      <c r="D21" s="4244">
        <f>[39]CAWA!$E$15</f>
        <v>323.06</v>
      </c>
      <c r="E21" s="4242">
        <f>[40]CAWA!$E$15</f>
        <v>1862.28</v>
      </c>
      <c r="F21" s="4243">
        <f t="shared" si="0"/>
        <v>5187.72</v>
      </c>
      <c r="G21" s="4242">
        <f>[40]CAWA!$C$15</f>
        <v>7050</v>
      </c>
      <c r="H21" s="4241">
        <f>[41]CAWA!$H$15</f>
        <v>6000</v>
      </c>
      <c r="I21" s="4240"/>
      <c r="J21" s="4240"/>
      <c r="K21" s="4240"/>
      <c r="L21" s="4240"/>
      <c r="M21" s="4240"/>
      <c r="N21" s="4240"/>
      <c r="O21" s="4240"/>
      <c r="P21" s="4240"/>
      <c r="Q21" s="4240"/>
      <c r="R21" s="4240"/>
      <c r="S21" s="4240"/>
      <c r="T21" s="4240"/>
      <c r="U21" s="4240"/>
    </row>
    <row r="22" spans="1:21" s="4239" customFormat="1" ht="18" customHeight="1" outlineLevel="1">
      <c r="A22" s="4254" t="s">
        <v>673</v>
      </c>
      <c r="B22" s="4246"/>
      <c r="C22" s="4248" t="s">
        <v>1269</v>
      </c>
      <c r="D22" s="4244">
        <f>[39]CAWA!$E$16</f>
        <v>1333</v>
      </c>
      <c r="E22" s="4242">
        <f>[40]CAWA!$E$16</f>
        <v>960</v>
      </c>
      <c r="F22" s="4243">
        <f t="shared" si="0"/>
        <v>1040</v>
      </c>
      <c r="G22" s="4242">
        <f>[40]CAWA!$C$16</f>
        <v>2000</v>
      </c>
      <c r="H22" s="4241">
        <f>[41]CAWA!$H$16</f>
        <v>2000</v>
      </c>
      <c r="I22" s="4240"/>
      <c r="J22" s="4240"/>
      <c r="K22" s="4240"/>
      <c r="L22" s="4240"/>
      <c r="M22" s="4240"/>
      <c r="N22" s="4240"/>
      <c r="O22" s="4240"/>
      <c r="P22" s="4240"/>
      <c r="Q22" s="4240"/>
      <c r="R22" s="4240"/>
      <c r="S22" s="4240"/>
      <c r="T22" s="4240"/>
      <c r="U22" s="4240"/>
    </row>
    <row r="23" spans="1:21" s="4239" customFormat="1" ht="18" customHeight="1" outlineLevel="1">
      <c r="A23" s="4252" t="s">
        <v>2038</v>
      </c>
      <c r="B23" s="4249"/>
      <c r="C23" s="4248" t="s">
        <v>390</v>
      </c>
      <c r="D23" s="4244">
        <f>[39]CAWA!$E$17</f>
        <v>7265.7199999999993</v>
      </c>
      <c r="E23" s="4242">
        <f>[40]CAWA!$E$17</f>
        <v>2642.08</v>
      </c>
      <c r="F23" s="4243">
        <f t="shared" si="0"/>
        <v>5857.92</v>
      </c>
      <c r="G23" s="4242">
        <f>[40]CAWA!$C$17</f>
        <v>8500</v>
      </c>
      <c r="H23" s="4241">
        <f>[41]CAWA!$H$17</f>
        <v>8500</v>
      </c>
      <c r="I23" s="4253" t="s">
        <v>3166</v>
      </c>
      <c r="J23" s="4240"/>
      <c r="K23" s="4240"/>
      <c r="L23" s="4240"/>
      <c r="M23" s="4240"/>
      <c r="N23" s="4240"/>
      <c r="O23" s="4240"/>
      <c r="P23" s="4240"/>
      <c r="Q23" s="4240"/>
      <c r="R23" s="4240"/>
      <c r="S23" s="4240"/>
      <c r="T23" s="4240"/>
      <c r="U23" s="4240"/>
    </row>
    <row r="24" spans="1:21" s="4239" customFormat="1" ht="18" customHeight="1" outlineLevel="1">
      <c r="A24" s="4252" t="s">
        <v>389</v>
      </c>
      <c r="B24" s="4249"/>
      <c r="C24" s="4248" t="s">
        <v>388</v>
      </c>
      <c r="D24" s="4244">
        <f>[39]CAWA!$E$18</f>
        <v>353613.75</v>
      </c>
      <c r="E24" s="4242">
        <f>[40]CAWA!$E$18</f>
        <v>159678.13</v>
      </c>
      <c r="F24" s="4243">
        <f t="shared" si="0"/>
        <v>235121.87</v>
      </c>
      <c r="G24" s="4242">
        <f>[40]CAWA!$C$18</f>
        <v>394800</v>
      </c>
      <c r="H24" s="4241">
        <v>432800</v>
      </c>
      <c r="I24" s="4251">
        <v>38000</v>
      </c>
      <c r="J24" s="4240"/>
      <c r="K24" s="4240"/>
      <c r="L24" s="4240"/>
      <c r="M24" s="4240"/>
      <c r="N24" s="4240"/>
      <c r="O24" s="4240"/>
      <c r="P24" s="4240"/>
      <c r="Q24" s="4240"/>
      <c r="R24" s="4240"/>
      <c r="S24" s="4240"/>
      <c r="T24" s="4240"/>
      <c r="U24" s="4240"/>
    </row>
    <row r="25" spans="1:21" s="4239" customFormat="1" ht="18" customHeight="1" outlineLevel="1">
      <c r="A25" s="4250" t="s">
        <v>3165</v>
      </c>
      <c r="B25" s="4249"/>
      <c r="C25" s="4248"/>
      <c r="D25" s="4244"/>
      <c r="E25" s="4242"/>
      <c r="F25" s="4243"/>
      <c r="G25" s="4242"/>
      <c r="H25" s="4241"/>
      <c r="I25" s="4240"/>
      <c r="J25" s="4240"/>
      <c r="K25" s="4240"/>
      <c r="L25" s="4240"/>
      <c r="M25" s="4240"/>
      <c r="N25" s="4240"/>
      <c r="O25" s="4240"/>
      <c r="P25" s="4240"/>
      <c r="Q25" s="4240"/>
      <c r="R25" s="4240"/>
      <c r="S25" s="4240"/>
      <c r="T25" s="4240"/>
      <c r="U25" s="4240"/>
    </row>
    <row r="26" spans="1:21" s="4239" customFormat="1" ht="18" customHeight="1" outlineLevel="1">
      <c r="A26" s="4250"/>
      <c r="B26" s="4249" t="s">
        <v>3164</v>
      </c>
      <c r="C26" s="4248" t="s">
        <v>2327</v>
      </c>
      <c r="D26" s="4244">
        <f>[39]CAWA!$E$19</f>
        <v>0</v>
      </c>
      <c r="E26" s="4242">
        <f>[40]CAWA!$E$19</f>
        <v>0</v>
      </c>
      <c r="F26" s="4243">
        <f>G26-E26</f>
        <v>2500</v>
      </c>
      <c r="G26" s="4242">
        <f>[40]CAWA!$C$19</f>
        <v>2500</v>
      </c>
      <c r="H26" s="4241">
        <f>[41]CAWA!$H$20</f>
        <v>2500</v>
      </c>
      <c r="I26" s="4240"/>
      <c r="J26" s="4240"/>
      <c r="K26" s="4240"/>
      <c r="L26" s="4240"/>
      <c r="M26" s="4240"/>
      <c r="N26" s="4240"/>
      <c r="O26" s="4240"/>
      <c r="P26" s="4240"/>
      <c r="Q26" s="4240"/>
      <c r="R26" s="4240"/>
      <c r="S26" s="4240"/>
      <c r="T26" s="4240"/>
      <c r="U26" s="4240"/>
    </row>
    <row r="27" spans="1:21" s="4239" customFormat="1" ht="18" customHeight="1" outlineLevel="1">
      <c r="A27" s="4247" t="s">
        <v>693</v>
      </c>
      <c r="B27" s="4246"/>
      <c r="C27" s="4245" t="s">
        <v>367</v>
      </c>
      <c r="D27" s="4244">
        <f>[39]CAWA!$E$20</f>
        <v>217617</v>
      </c>
      <c r="E27" s="4242">
        <f>[40]CAWA!$E$20</f>
        <v>2100</v>
      </c>
      <c r="F27" s="4243">
        <f>G27-E27</f>
        <v>399730</v>
      </c>
      <c r="G27" s="4242">
        <f>[40]CAWA!$C$20</f>
        <v>401830</v>
      </c>
      <c r="H27" s="4241">
        <f>[41]CAWA!$H$21</f>
        <v>402880</v>
      </c>
      <c r="I27" s="4240"/>
      <c r="J27" s="4240"/>
      <c r="K27" s="4240"/>
      <c r="L27" s="4240"/>
      <c r="M27" s="4240"/>
      <c r="N27" s="4240"/>
      <c r="O27" s="4240"/>
      <c r="P27" s="4240"/>
      <c r="Q27" s="4240"/>
      <c r="R27" s="4240"/>
      <c r="S27" s="4240"/>
      <c r="T27" s="4240"/>
      <c r="U27" s="4240"/>
    </row>
    <row r="28" spans="1:21" ht="20.100000000000001" customHeight="1" outlineLevel="2" thickBot="1">
      <c r="A28" s="4238" t="s">
        <v>366</v>
      </c>
      <c r="B28" s="4236"/>
      <c r="C28" s="4237"/>
      <c r="D28" s="4236">
        <f>SUM(D18:D27)</f>
        <v>595703.74</v>
      </c>
      <c r="E28" s="4236">
        <f>SUM(E18:E27)</f>
        <v>180219.79</v>
      </c>
      <c r="F28" s="4236">
        <f>SUM(F18:F27)</f>
        <v>669780.21</v>
      </c>
      <c r="G28" s="4236">
        <f>SUM(G18:G27)</f>
        <v>850000</v>
      </c>
      <c r="H28" s="4235">
        <f>SUM(H18:H27)</f>
        <v>888000</v>
      </c>
    </row>
    <row r="29" spans="1:21" ht="20.100000000000001" customHeight="1" outlineLevel="2" thickTop="1">
      <c r="A29" s="4233"/>
      <c r="B29" s="4233"/>
      <c r="C29" s="4234"/>
      <c r="D29" s="4233"/>
      <c r="E29" s="4233"/>
      <c r="F29" s="4233"/>
      <c r="G29" s="4233"/>
      <c r="H29" s="4232"/>
    </row>
    <row r="30" spans="1:21" s="4220" customFormat="1" ht="14.25" customHeight="1">
      <c r="A30" s="4225" t="s">
        <v>3163</v>
      </c>
      <c r="B30" s="4222"/>
      <c r="C30" s="4222"/>
      <c r="D30" s="4222" t="s">
        <v>363</v>
      </c>
      <c r="E30" s="4222"/>
      <c r="F30" s="4225"/>
      <c r="G30" s="4225" t="s">
        <v>2311</v>
      </c>
      <c r="H30" s="4231"/>
      <c r="I30" s="4221"/>
      <c r="J30" s="4221"/>
      <c r="K30" s="4221"/>
      <c r="L30" s="4221"/>
      <c r="M30" s="4221"/>
      <c r="N30" s="4221"/>
      <c r="O30" s="4221"/>
      <c r="P30" s="4221"/>
      <c r="Q30" s="4221"/>
      <c r="R30" s="4221"/>
      <c r="S30" s="4221"/>
      <c r="T30" s="4221"/>
      <c r="U30" s="4221"/>
    </row>
    <row r="31" spans="1:21" s="4220" customFormat="1" ht="14.25" customHeight="1">
      <c r="A31" s="4225"/>
      <c r="B31" s="4222"/>
      <c r="C31" s="4222"/>
      <c r="D31" s="4222"/>
      <c r="E31" s="4222"/>
      <c r="F31" s="4225"/>
      <c r="G31" s="4225"/>
      <c r="H31" s="4231"/>
      <c r="I31" s="4221"/>
      <c r="J31" s="4221"/>
      <c r="K31" s="4221"/>
      <c r="L31" s="4221"/>
      <c r="M31" s="4221"/>
      <c r="N31" s="4221"/>
      <c r="O31" s="4221"/>
      <c r="P31" s="4221"/>
      <c r="Q31" s="4221"/>
      <c r="R31" s="4221"/>
      <c r="S31" s="4221"/>
      <c r="T31" s="4221"/>
      <c r="U31" s="4221"/>
    </row>
    <row r="32" spans="1:21" s="4220" customFormat="1" ht="14.25" customHeight="1">
      <c r="A32" s="4225"/>
      <c r="B32" s="4222"/>
      <c r="C32" s="4222"/>
      <c r="D32" s="4222"/>
      <c r="E32" s="4222"/>
      <c r="F32" s="4225"/>
      <c r="G32" s="4225"/>
      <c r="H32" s="4222"/>
      <c r="I32" s="4221"/>
      <c r="J32" s="4221"/>
      <c r="K32" s="4221"/>
      <c r="L32" s="4221"/>
      <c r="M32" s="4221"/>
      <c r="N32" s="4221"/>
      <c r="O32" s="4221"/>
      <c r="P32" s="4221"/>
      <c r="Q32" s="4221"/>
      <c r="R32" s="4221"/>
      <c r="S32" s="4221"/>
      <c r="T32" s="4221"/>
      <c r="U32" s="4221"/>
    </row>
    <row r="33" spans="1:21" s="4220" customFormat="1" ht="14.25" customHeight="1">
      <c r="A33" s="4230" t="s">
        <v>2878</v>
      </c>
      <c r="B33" s="4226"/>
      <c r="C33" s="4229"/>
      <c r="D33" s="4228" t="s">
        <v>3162</v>
      </c>
      <c r="E33" s="4222"/>
      <c r="F33" s="4227"/>
      <c r="G33" s="4227" t="s">
        <v>359</v>
      </c>
      <c r="H33" s="4222"/>
      <c r="I33" s="4221"/>
      <c r="J33" s="4221"/>
      <c r="K33" s="4221"/>
      <c r="L33" s="4221"/>
      <c r="M33" s="4221"/>
      <c r="N33" s="4221"/>
      <c r="O33" s="4221"/>
      <c r="P33" s="4221"/>
      <c r="Q33" s="4221"/>
      <c r="R33" s="4221"/>
      <c r="S33" s="4221"/>
      <c r="T33" s="4221"/>
      <c r="U33" s="4221"/>
    </row>
    <row r="34" spans="1:21" s="4220" customFormat="1" ht="14.25" customHeight="1">
      <c r="A34" s="4222" t="s">
        <v>3161</v>
      </c>
      <c r="B34" s="4226"/>
      <c r="C34" s="4225"/>
      <c r="D34" s="4224" t="s">
        <v>3160</v>
      </c>
      <c r="E34" s="4222"/>
      <c r="F34" s="4223"/>
      <c r="G34" s="4223" t="s">
        <v>3159</v>
      </c>
      <c r="H34" s="4222"/>
      <c r="I34" s="4221"/>
      <c r="J34" s="4221"/>
      <c r="K34" s="4221"/>
      <c r="L34" s="4221"/>
      <c r="M34" s="4221"/>
      <c r="N34" s="4221"/>
      <c r="O34" s="4221"/>
      <c r="P34" s="4221"/>
      <c r="Q34" s="4221"/>
      <c r="R34" s="4221"/>
      <c r="S34" s="4221"/>
      <c r="T34" s="4221"/>
      <c r="U34" s="4221"/>
    </row>
    <row r="35" spans="1:21" s="4214" customFormat="1">
      <c r="A35" s="4218"/>
      <c r="B35" s="4219"/>
      <c r="C35" s="4218"/>
      <c r="D35" s="4217"/>
      <c r="E35" s="4217"/>
      <c r="F35" s="4217"/>
      <c r="G35" s="4217"/>
      <c r="H35" s="4217"/>
      <c r="I35" s="4216"/>
      <c r="J35" s="4215"/>
      <c r="K35" s="4215"/>
      <c r="L35" s="4215"/>
      <c r="M35" s="4215"/>
      <c r="N35" s="4215"/>
      <c r="O35" s="4215"/>
      <c r="P35" s="4215"/>
      <c r="Q35" s="4215"/>
      <c r="R35" s="4215"/>
      <c r="S35" s="4215"/>
      <c r="T35" s="4215"/>
      <c r="U35" s="4215"/>
    </row>
    <row r="36" spans="1:21" s="4214" customFormat="1">
      <c r="A36" s="4218"/>
      <c r="B36" s="4219"/>
      <c r="C36" s="4218"/>
      <c r="D36" s="4217"/>
      <c r="E36" s="4217"/>
      <c r="F36" s="4217"/>
      <c r="G36" s="4217"/>
      <c r="H36" s="4217"/>
      <c r="I36" s="4216"/>
      <c r="J36" s="4215"/>
      <c r="K36" s="4215"/>
      <c r="L36" s="4215"/>
      <c r="M36" s="4215"/>
      <c r="N36" s="4215"/>
      <c r="O36" s="4215"/>
      <c r="P36" s="4215"/>
      <c r="Q36" s="4215"/>
      <c r="R36" s="4215"/>
      <c r="S36" s="4215"/>
      <c r="T36" s="4215"/>
      <c r="U36" s="4215"/>
    </row>
    <row r="37" spans="1:21" s="4214" customFormat="1">
      <c r="A37" s="4218"/>
      <c r="B37" s="4219"/>
      <c r="C37" s="4218"/>
      <c r="D37" s="4217"/>
      <c r="E37" s="4217"/>
      <c r="F37" s="4217"/>
      <c r="G37" s="4217"/>
      <c r="H37" s="4217"/>
      <c r="I37" s="4216"/>
      <c r="J37" s="4215"/>
      <c r="K37" s="4215"/>
      <c r="L37" s="4215"/>
      <c r="M37" s="4215"/>
      <c r="N37" s="4215"/>
      <c r="O37" s="4215"/>
      <c r="P37" s="4215"/>
      <c r="Q37" s="4215"/>
      <c r="R37" s="4215"/>
      <c r="S37" s="4215"/>
      <c r="T37" s="4215"/>
      <c r="U37" s="4215"/>
    </row>
    <row r="38" spans="1:21" s="4214" customFormat="1">
      <c r="A38" s="4218"/>
      <c r="B38" s="4219"/>
      <c r="C38" s="4218"/>
      <c r="D38" s="4217"/>
      <c r="E38" s="4217"/>
      <c r="F38" s="4217"/>
      <c r="G38" s="4217"/>
      <c r="H38" s="4217"/>
      <c r="I38" s="4216"/>
      <c r="J38" s="4215"/>
      <c r="K38" s="4215"/>
      <c r="L38" s="4215"/>
      <c r="M38" s="4215"/>
      <c r="N38" s="4215"/>
      <c r="O38" s="4215"/>
      <c r="P38" s="4215"/>
      <c r="Q38" s="4215"/>
      <c r="R38" s="4215"/>
      <c r="S38" s="4215"/>
      <c r="T38" s="4215"/>
      <c r="U38" s="4215"/>
    </row>
    <row r="39" spans="1:21" s="4214" customFormat="1">
      <c r="A39" s="4218"/>
      <c r="B39" s="4219"/>
      <c r="C39" s="4218"/>
      <c r="D39" s="4217"/>
      <c r="E39" s="4217"/>
      <c r="F39" s="4217"/>
      <c r="G39" s="4217"/>
      <c r="H39" s="4217"/>
      <c r="I39" s="4216"/>
      <c r="J39" s="4215"/>
      <c r="K39" s="4215"/>
      <c r="L39" s="4215"/>
      <c r="M39" s="4215"/>
      <c r="N39" s="4215"/>
      <c r="O39" s="4215"/>
      <c r="P39" s="4215"/>
      <c r="Q39" s="4215"/>
      <c r="R39" s="4215"/>
      <c r="S39" s="4215"/>
      <c r="T39" s="4215"/>
      <c r="U39" s="4215"/>
    </row>
    <row r="40" spans="1:21" s="4214" customFormat="1">
      <c r="A40" s="4218"/>
      <c r="B40" s="4219"/>
      <c r="C40" s="4218"/>
      <c r="D40" s="4217"/>
      <c r="E40" s="4217"/>
      <c r="F40" s="4217"/>
      <c r="G40" s="4217"/>
      <c r="H40" s="4217"/>
      <c r="I40" s="4216"/>
      <c r="J40" s="4215"/>
      <c r="K40" s="4215"/>
      <c r="L40" s="4215"/>
      <c r="M40" s="4215"/>
      <c r="N40" s="4215"/>
      <c r="O40" s="4215"/>
      <c r="P40" s="4215"/>
      <c r="Q40" s="4215"/>
      <c r="R40" s="4215"/>
      <c r="S40" s="4215"/>
      <c r="T40" s="4215"/>
      <c r="U40" s="4215"/>
    </row>
    <row r="41" spans="1:21" s="4214" customFormat="1">
      <c r="A41" s="4218"/>
      <c r="B41" s="4219"/>
      <c r="C41" s="4218"/>
      <c r="D41" s="4217"/>
      <c r="E41" s="4217"/>
      <c r="F41" s="4217"/>
      <c r="G41" s="4217"/>
      <c r="H41" s="4217"/>
      <c r="I41" s="4216"/>
      <c r="J41" s="4215"/>
      <c r="K41" s="4215"/>
      <c r="L41" s="4215"/>
      <c r="M41" s="4215"/>
      <c r="N41" s="4215"/>
      <c r="O41" s="4215"/>
      <c r="P41" s="4215"/>
      <c r="Q41" s="4215"/>
      <c r="R41" s="4215"/>
      <c r="S41" s="4215"/>
      <c r="T41" s="4215"/>
      <c r="U41" s="4215"/>
    </row>
    <row r="42" spans="1:21" s="4214" customFormat="1">
      <c r="A42" s="4218"/>
      <c r="B42" s="4219"/>
      <c r="C42" s="4218"/>
      <c r="D42" s="4217"/>
      <c r="E42" s="4217"/>
      <c r="F42" s="4217"/>
      <c r="G42" s="4217"/>
      <c r="H42" s="4217"/>
      <c r="I42" s="4216"/>
      <c r="J42" s="4215"/>
      <c r="K42" s="4215"/>
      <c r="L42" s="4215"/>
      <c r="M42" s="4215"/>
      <c r="N42" s="4215"/>
      <c r="O42" s="4215"/>
      <c r="P42" s="4215"/>
      <c r="Q42" s="4215"/>
      <c r="R42" s="4215"/>
      <c r="S42" s="4215"/>
      <c r="T42" s="4215"/>
      <c r="U42" s="4215"/>
    </row>
    <row r="43" spans="1:21" s="4214" customFormat="1">
      <c r="A43" s="4218"/>
      <c r="B43" s="4219"/>
      <c r="C43" s="4218"/>
      <c r="D43" s="4217"/>
      <c r="E43" s="4217"/>
      <c r="F43" s="4217"/>
      <c r="G43" s="4217"/>
      <c r="H43" s="4217"/>
      <c r="I43" s="4216"/>
      <c r="J43" s="4215"/>
      <c r="K43" s="4215"/>
      <c r="L43" s="4215"/>
      <c r="M43" s="4215"/>
      <c r="N43" s="4215"/>
      <c r="O43" s="4215"/>
      <c r="P43" s="4215"/>
      <c r="Q43" s="4215"/>
      <c r="R43" s="4215"/>
      <c r="S43" s="4215"/>
      <c r="T43" s="4215"/>
      <c r="U43" s="4215"/>
    </row>
    <row r="44" spans="1:21" s="4214" customFormat="1">
      <c r="A44" s="4218"/>
      <c r="B44" s="4219"/>
      <c r="C44" s="4218"/>
      <c r="D44" s="4217"/>
      <c r="E44" s="4217"/>
      <c r="F44" s="4217"/>
      <c r="G44" s="4217"/>
      <c r="H44" s="4217"/>
      <c r="I44" s="4216"/>
      <c r="J44" s="4215"/>
      <c r="K44" s="4215"/>
      <c r="L44" s="4215"/>
      <c r="M44" s="4215"/>
      <c r="N44" s="4215"/>
      <c r="O44" s="4215"/>
      <c r="P44" s="4215"/>
      <c r="Q44" s="4215"/>
      <c r="R44" s="4215"/>
      <c r="S44" s="4215"/>
      <c r="T44" s="4215"/>
      <c r="U44" s="4215"/>
    </row>
    <row r="45" spans="1:21" s="4214" customFormat="1">
      <c r="A45" s="4218"/>
      <c r="B45" s="4219"/>
      <c r="C45" s="4218"/>
      <c r="D45" s="4217"/>
      <c r="E45" s="4217"/>
      <c r="F45" s="4217"/>
      <c r="G45" s="4217"/>
      <c r="H45" s="4217"/>
      <c r="I45" s="4216"/>
      <c r="J45" s="4215"/>
      <c r="K45" s="4215"/>
      <c r="L45" s="4215"/>
      <c r="M45" s="4215"/>
      <c r="N45" s="4215"/>
      <c r="O45" s="4215"/>
      <c r="P45" s="4215"/>
      <c r="Q45" s="4215"/>
      <c r="R45" s="4215"/>
      <c r="S45" s="4215"/>
      <c r="T45" s="4215"/>
      <c r="U45" s="4215"/>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45"/>
  <sheetViews>
    <sheetView showGridLines="0" showOutlineSymbols="0" topLeftCell="A4" workbookViewId="0">
      <selection activeCell="C34" sqref="C34"/>
    </sheetView>
  </sheetViews>
  <sheetFormatPr defaultColWidth="12.5703125" defaultRowHeight="12.75" outlineLevelRow="2" outlineLevelCol="2"/>
  <cols>
    <col min="1" max="1" width="1.85546875" style="4213" customWidth="1"/>
    <col min="2" max="2" width="27.140625" style="4213" customWidth="1"/>
    <col min="3" max="3" width="9.28515625" style="4213" customWidth="1"/>
    <col min="4" max="4" width="10.140625" style="4213" customWidth="1"/>
    <col min="5" max="5" width="10.7109375" style="4213" customWidth="1"/>
    <col min="6" max="6" width="11.140625" style="4213" customWidth="1"/>
    <col min="7" max="7" width="10.5703125" style="4213" customWidth="1"/>
    <col min="8" max="8" width="13.42578125" style="4213"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ht="13.5">
      <c r="A1" s="4281" t="s">
        <v>473</v>
      </c>
      <c r="E1" s="4302"/>
      <c r="G1" s="4302"/>
      <c r="H1" s="4302"/>
    </row>
    <row r="2" spans="1:8" ht="14.25" customHeight="1">
      <c r="A2" s="4279" t="s">
        <v>584</v>
      </c>
      <c r="E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275"/>
      <c r="B7" s="4275"/>
      <c r="C7" s="4275"/>
      <c r="D7" s="4275"/>
      <c r="E7" s="4275"/>
      <c r="F7" s="4275"/>
      <c r="G7" s="4275"/>
      <c r="H7" s="4275"/>
    </row>
    <row r="8" spans="1:8" ht="14.25" customHeight="1">
      <c r="A8" s="4275"/>
      <c r="B8" s="4275"/>
      <c r="C8" s="4275"/>
      <c r="D8" s="4275"/>
      <c r="E8" s="4275"/>
      <c r="F8" s="4275"/>
      <c r="G8" s="4275"/>
      <c r="H8" s="4275"/>
    </row>
    <row r="9" spans="1:8" ht="14.25" customHeight="1">
      <c r="A9" s="4274" t="s">
        <v>3169</v>
      </c>
      <c r="B9" s="4274"/>
    </row>
    <row r="10" spans="1:8" ht="14.25" customHeight="1">
      <c r="A10" s="4301"/>
      <c r="B10" s="4273" t="s">
        <v>3172</v>
      </c>
    </row>
    <row r="11" spans="1:8" ht="14.25" customHeight="1">
      <c r="A11" s="4301"/>
      <c r="B11" s="4273"/>
    </row>
    <row r="12" spans="1:8" ht="14.25" customHeight="1">
      <c r="A12" s="5007" t="s">
        <v>468</v>
      </c>
      <c r="B12" s="5008"/>
      <c r="C12" s="4272" t="s">
        <v>467</v>
      </c>
      <c r="D12" s="4272" t="s">
        <v>466</v>
      </c>
      <c r="E12" s="5004" t="s">
        <v>465</v>
      </c>
      <c r="F12" s="5005"/>
      <c r="G12" s="5006"/>
      <c r="H12" s="4272" t="s">
        <v>2180</v>
      </c>
    </row>
    <row r="13" spans="1:8" ht="14.25" customHeight="1">
      <c r="A13" s="5009"/>
      <c r="B13" s="5010"/>
      <c r="C13" s="4271" t="s">
        <v>463</v>
      </c>
      <c r="D13" s="4270">
        <v>2020</v>
      </c>
      <c r="E13" s="4270" t="s">
        <v>2344</v>
      </c>
      <c r="F13" s="4270" t="s">
        <v>2343</v>
      </c>
      <c r="G13" s="4270"/>
      <c r="H13" s="4270" t="s">
        <v>2342</v>
      </c>
    </row>
    <row r="14" spans="1:8" ht="14.25" customHeight="1">
      <c r="A14" s="5009"/>
      <c r="B14" s="5010"/>
      <c r="C14" s="4271"/>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9" s="4212" customFormat="1" ht="20.100000000000001" customHeight="1" outlineLevel="1">
      <c r="A17" s="4263" t="s">
        <v>407</v>
      </c>
      <c r="B17" s="4262"/>
      <c r="C17" s="4261"/>
      <c r="D17" s="4260">
        <f>SUM(D18:D25)</f>
        <v>759919.84</v>
      </c>
      <c r="E17" s="4260">
        <f>SUM(E18:E25)</f>
        <v>303641.95</v>
      </c>
      <c r="F17" s="4260">
        <f>SUM(F18:F25)</f>
        <v>2516358.0499999998</v>
      </c>
      <c r="G17" s="4260">
        <f>SUM(G18:G25)</f>
        <v>2820000</v>
      </c>
      <c r="H17" s="4260">
        <f>SUM(H18:H25)</f>
        <v>2500000</v>
      </c>
    </row>
    <row r="18" spans="1:9" s="4240" customFormat="1" ht="18" customHeight="1" outlineLevel="1">
      <c r="A18" s="4254" t="s">
        <v>2352</v>
      </c>
      <c r="B18" s="4246"/>
      <c r="C18" s="4259" t="s">
        <v>405</v>
      </c>
      <c r="D18" s="4258">
        <f>[39]SCCADAC!$E$12</f>
        <v>540</v>
      </c>
      <c r="E18" s="4257">
        <f>[40]SCCADAC!$E$12</f>
        <v>0</v>
      </c>
      <c r="F18" s="4243">
        <f t="shared" ref="F18:F25" si="0">G18-E18</f>
        <v>25000</v>
      </c>
      <c r="G18" s="4257">
        <f>[40]SCCADAC!$C$12</f>
        <v>25000</v>
      </c>
      <c r="H18" s="4256">
        <f>[41]SCCADAC!$H$12</f>
        <v>15000</v>
      </c>
      <c r="I18" s="4300"/>
    </row>
    <row r="19" spans="1:9" s="4240" customFormat="1" ht="18" customHeight="1" outlineLevel="1">
      <c r="A19" s="4250" t="s">
        <v>404</v>
      </c>
      <c r="B19" s="4249"/>
      <c r="C19" s="4248" t="s">
        <v>403</v>
      </c>
      <c r="D19" s="4244">
        <f>[39]SCCADAC!$E$13</f>
        <v>0</v>
      </c>
      <c r="E19" s="4255">
        <f>[40]SCCADAC!$E$13</f>
        <v>0</v>
      </c>
      <c r="F19" s="4243">
        <f t="shared" si="0"/>
        <v>965000</v>
      </c>
      <c r="G19" s="4255">
        <f>[40]SCCADAC!$C$13</f>
        <v>965000</v>
      </c>
      <c r="H19" s="4241">
        <f>[41]SCCADAC!$H$13</f>
        <v>15000</v>
      </c>
      <c r="I19" s="4300"/>
    </row>
    <row r="20" spans="1:9" s="4239" customFormat="1" ht="18" customHeight="1" outlineLevel="1">
      <c r="A20" s="4250" t="s">
        <v>3171</v>
      </c>
      <c r="B20" s="4249"/>
      <c r="C20" s="4248" t="s">
        <v>401</v>
      </c>
      <c r="D20" s="4244">
        <f>[39]SCCADAC!$E$14</f>
        <v>27447.360000000001</v>
      </c>
      <c r="E20" s="4255">
        <f>[40]SCCADAC!$E$14</f>
        <v>19110.95</v>
      </c>
      <c r="F20" s="4243">
        <f t="shared" si="0"/>
        <v>26889.05</v>
      </c>
      <c r="G20" s="4255">
        <f>[40]SCCADAC!$C$14</f>
        <v>46000</v>
      </c>
      <c r="H20" s="4241">
        <f>[41]SCCADAC!$H$14</f>
        <v>40000</v>
      </c>
      <c r="I20" s="4240"/>
    </row>
    <row r="21" spans="1:9" s="4239" customFormat="1" ht="18" customHeight="1" outlineLevel="1">
      <c r="A21" s="4250" t="s">
        <v>3167</v>
      </c>
      <c r="B21" s="4249"/>
      <c r="C21" s="4248" t="s">
        <v>396</v>
      </c>
      <c r="D21" s="4244">
        <f>[39]SCCADAC!$E$15</f>
        <v>6240</v>
      </c>
      <c r="E21" s="4255">
        <f>[40]SCCADAC!$E$15</f>
        <v>2331</v>
      </c>
      <c r="F21" s="4243">
        <f t="shared" si="0"/>
        <v>57669</v>
      </c>
      <c r="G21" s="4255">
        <f>[40]SCCADAC!$C$15</f>
        <v>60000</v>
      </c>
      <c r="H21" s="4241">
        <f>[41]SCCADAC!$H$15</f>
        <v>50000</v>
      </c>
      <c r="I21" s="4240"/>
    </row>
    <row r="22" spans="1:9" s="4239" customFormat="1" ht="18" customHeight="1" outlineLevel="1">
      <c r="A22" s="4299" t="s">
        <v>878</v>
      </c>
      <c r="B22" s="4249"/>
      <c r="C22" s="4248" t="s">
        <v>394</v>
      </c>
      <c r="D22" s="4244">
        <v>0</v>
      </c>
      <c r="E22" s="4255">
        <f>[40]SCCADAC!$E$16</f>
        <v>0</v>
      </c>
      <c r="F22" s="4243">
        <f t="shared" si="0"/>
        <v>20000</v>
      </c>
      <c r="G22" s="4255">
        <f>[40]SCCADAC!$C$16</f>
        <v>20000</v>
      </c>
      <c r="H22" s="4241">
        <v>0</v>
      </c>
      <c r="I22" s="4240"/>
    </row>
    <row r="23" spans="1:9" s="4292" customFormat="1" ht="18" customHeight="1" outlineLevel="1">
      <c r="A23" s="4298" t="s">
        <v>952</v>
      </c>
      <c r="B23" s="4297"/>
      <c r="C23" s="4296" t="s">
        <v>951</v>
      </c>
      <c r="D23" s="4295">
        <v>0</v>
      </c>
      <c r="E23" s="4294">
        <v>0</v>
      </c>
      <c r="F23" s="4243">
        <f t="shared" si="0"/>
        <v>0</v>
      </c>
      <c r="G23" s="4294">
        <f>[40]SCCADAC!$C$17</f>
        <v>0</v>
      </c>
      <c r="H23" s="4241">
        <v>0</v>
      </c>
      <c r="I23" s="4293"/>
    </row>
    <row r="24" spans="1:9" s="4239" customFormat="1" ht="18" customHeight="1" outlineLevel="1">
      <c r="A24" s="4252" t="s">
        <v>389</v>
      </c>
      <c r="B24" s="4249"/>
      <c r="C24" s="4248" t="s">
        <v>388</v>
      </c>
      <c r="D24" s="4244">
        <f>[39]SCCADAC!$E$16</f>
        <v>290092.48</v>
      </c>
      <c r="E24" s="4242">
        <f>[40]SCCADAC!$E$18</f>
        <v>199700</v>
      </c>
      <c r="F24" s="4243">
        <f t="shared" si="0"/>
        <v>673900</v>
      </c>
      <c r="G24" s="4242">
        <f>[40]SCCADAC!$C$18</f>
        <v>873600</v>
      </c>
      <c r="H24" s="4241">
        <v>492000</v>
      </c>
      <c r="I24" s="4240"/>
    </row>
    <row r="25" spans="1:9" s="4239" customFormat="1" ht="18" customHeight="1" outlineLevel="1" thickBot="1">
      <c r="A25" s="4247" t="s">
        <v>368</v>
      </c>
      <c r="B25" s="4246"/>
      <c r="C25" s="4245" t="s">
        <v>367</v>
      </c>
      <c r="D25" s="4244">
        <f>[39]SCCADAC!$E$17</f>
        <v>435600</v>
      </c>
      <c r="E25" s="4242">
        <f>[40]SCCADAC!$E$19</f>
        <v>82500</v>
      </c>
      <c r="F25" s="4243">
        <f t="shared" si="0"/>
        <v>747900</v>
      </c>
      <c r="G25" s="4242">
        <f>[40]SCCADAC!$C$19</f>
        <v>830400</v>
      </c>
      <c r="H25" s="4241">
        <v>1888000</v>
      </c>
      <c r="I25" s="4240"/>
    </row>
    <row r="26" spans="1:9" s="4286" customFormat="1" ht="18" customHeight="1" outlineLevel="1" thickBot="1">
      <c r="A26" s="4291" t="s">
        <v>775</v>
      </c>
      <c r="B26" s="4290"/>
      <c r="C26" s="4289"/>
      <c r="D26" s="4288">
        <f>D27</f>
        <v>0</v>
      </c>
      <c r="E26" s="4288">
        <f>E27</f>
        <v>0</v>
      </c>
      <c r="F26" s="4288">
        <f>F27</f>
        <v>47995</v>
      </c>
      <c r="G26" s="4288">
        <f>G27</f>
        <v>47995</v>
      </c>
      <c r="H26" s="4288">
        <f>H27</f>
        <v>0</v>
      </c>
      <c r="I26" s="4287"/>
    </row>
    <row r="27" spans="1:9" s="4239" customFormat="1" ht="18" customHeight="1" outlineLevel="1">
      <c r="A27" s="4285" t="s">
        <v>2785</v>
      </c>
      <c r="B27" s="4246"/>
      <c r="C27" s="4284" t="s">
        <v>2784</v>
      </c>
      <c r="D27" s="4244">
        <v>0</v>
      </c>
      <c r="E27" s="4242">
        <v>0</v>
      </c>
      <c r="F27" s="4243">
        <f>G27-E27</f>
        <v>47995</v>
      </c>
      <c r="G27" s="4242">
        <f>[40]SCCADAC!$C$21</f>
        <v>47995</v>
      </c>
      <c r="H27" s="4241">
        <v>0</v>
      </c>
      <c r="I27" s="4240"/>
    </row>
    <row r="28" spans="1:9" ht="20.100000000000001" customHeight="1" outlineLevel="2" thickBot="1">
      <c r="A28" s="4238" t="s">
        <v>366</v>
      </c>
      <c r="B28" s="4236"/>
      <c r="C28" s="4237"/>
      <c r="D28" s="4236">
        <f>D26+D17</f>
        <v>759919.84</v>
      </c>
      <c r="E28" s="4236">
        <f>E26+E17</f>
        <v>303641.95</v>
      </c>
      <c r="F28" s="4236">
        <f>F26+F17</f>
        <v>2564353.0499999998</v>
      </c>
      <c r="G28" s="4236">
        <f>G26+G17</f>
        <v>2867995</v>
      </c>
      <c r="H28" s="4236">
        <f>H26+H17</f>
        <v>2500000</v>
      </c>
    </row>
    <row r="29" spans="1:9" ht="20.100000000000001" customHeight="1" outlineLevel="2" thickTop="1">
      <c r="A29" s="4233"/>
      <c r="B29" s="4233"/>
      <c r="C29" s="4234"/>
      <c r="D29" s="4233"/>
      <c r="E29" s="4233"/>
      <c r="F29" s="4233"/>
      <c r="G29" s="4233"/>
      <c r="H29" s="4233"/>
    </row>
    <row r="30" spans="1:9" s="4220" customFormat="1" ht="14.25" customHeight="1">
      <c r="A30" s="4225" t="s">
        <v>3163</v>
      </c>
      <c r="B30" s="4222"/>
      <c r="C30" s="4222"/>
      <c r="D30" s="4222" t="s">
        <v>363</v>
      </c>
      <c r="E30" s="4222"/>
      <c r="F30" s="4225"/>
      <c r="G30" s="4225" t="s">
        <v>2311</v>
      </c>
      <c r="H30" s="4222"/>
    </row>
    <row r="31" spans="1:9" s="4220" customFormat="1" ht="14.25" customHeight="1">
      <c r="A31" s="4225"/>
      <c r="B31" s="4222"/>
      <c r="C31" s="4222"/>
      <c r="D31" s="4222"/>
      <c r="E31" s="4222"/>
      <c r="F31" s="4225"/>
      <c r="G31" s="4225"/>
      <c r="H31" s="4222"/>
    </row>
    <row r="32" spans="1:9" s="4220" customFormat="1" ht="14.25" customHeight="1">
      <c r="A32" s="4225"/>
      <c r="B32" s="4222"/>
      <c r="C32" s="4222"/>
      <c r="D32" s="4222"/>
      <c r="E32" s="4222"/>
      <c r="F32" s="4225"/>
      <c r="G32" s="4225"/>
      <c r="H32" s="4222"/>
    </row>
    <row r="33" spans="1:9" s="4220" customFormat="1" ht="14.25" customHeight="1">
      <c r="A33" s="4229" t="s">
        <v>1302</v>
      </c>
      <c r="B33" s="4226"/>
      <c r="C33" s="4228"/>
      <c r="D33" s="4228" t="s">
        <v>3162</v>
      </c>
      <c r="E33" s="4222"/>
      <c r="F33" s="4227"/>
      <c r="G33" s="4227" t="s">
        <v>359</v>
      </c>
      <c r="H33" s="4222"/>
    </row>
    <row r="34" spans="1:9" s="4220" customFormat="1" ht="14.25" customHeight="1">
      <c r="A34" s="4222" t="s">
        <v>3170</v>
      </c>
      <c r="B34" s="4226"/>
      <c r="C34" s="4224"/>
      <c r="D34" s="4224" t="s">
        <v>3160</v>
      </c>
      <c r="E34" s="4222"/>
      <c r="F34" s="4223"/>
      <c r="G34" s="4223" t="s">
        <v>3159</v>
      </c>
      <c r="H34" s="4222"/>
    </row>
    <row r="35" spans="1:9" s="4214" customFormat="1">
      <c r="A35" s="4283" t="s">
        <v>1303</v>
      </c>
      <c r="B35" s="4219"/>
      <c r="C35" s="4218"/>
      <c r="D35" s="4217"/>
      <c r="E35" s="4217"/>
      <c r="F35" s="4217"/>
      <c r="G35" s="4217"/>
      <c r="H35" s="4217"/>
      <c r="I35" s="4282"/>
    </row>
    <row r="36" spans="1:9" s="4214" customFormat="1">
      <c r="A36" s="4283"/>
      <c r="B36" s="4219"/>
      <c r="C36" s="4218"/>
      <c r="D36" s="4217"/>
      <c r="E36" s="4217"/>
      <c r="F36" s="4217"/>
      <c r="G36" s="4217"/>
      <c r="H36" s="4217"/>
      <c r="I36" s="4282"/>
    </row>
    <row r="37" spans="1:9" s="4214" customFormat="1">
      <c r="A37" s="4218"/>
      <c r="B37" s="4219"/>
      <c r="C37" s="4218"/>
      <c r="D37" s="4217"/>
      <c r="E37" s="4217"/>
      <c r="F37" s="4217"/>
      <c r="G37" s="4217"/>
      <c r="H37" s="4217"/>
      <c r="I37" s="4282"/>
    </row>
    <row r="38" spans="1:9" s="4214" customFormat="1">
      <c r="A38" s="4218"/>
      <c r="B38" s="4219"/>
      <c r="C38" s="4218"/>
      <c r="D38" s="4217"/>
      <c r="E38" s="4217"/>
      <c r="F38" s="4217"/>
      <c r="G38" s="4217"/>
      <c r="H38" s="4217"/>
      <c r="I38" s="4282"/>
    </row>
    <row r="39" spans="1:9" s="4214" customFormat="1">
      <c r="A39" s="4218"/>
      <c r="B39" s="4219"/>
      <c r="C39" s="4218"/>
      <c r="D39" s="4217"/>
      <c r="E39" s="4217"/>
      <c r="F39" s="4217"/>
      <c r="G39" s="4217"/>
      <c r="H39" s="4217"/>
      <c r="I39" s="4282"/>
    </row>
    <row r="40" spans="1:9" s="4214" customFormat="1">
      <c r="A40" s="4218"/>
      <c r="B40" s="4219"/>
      <c r="C40" s="4218"/>
      <c r="D40" s="4217"/>
      <c r="E40" s="4217"/>
      <c r="F40" s="4217"/>
      <c r="G40" s="4217"/>
      <c r="H40" s="4217"/>
      <c r="I40" s="4282"/>
    </row>
    <row r="41" spans="1:9" s="4214" customFormat="1">
      <c r="A41" s="4218"/>
      <c r="B41" s="4219"/>
      <c r="C41" s="4218"/>
      <c r="D41" s="4217"/>
      <c r="E41" s="4217"/>
      <c r="F41" s="4217"/>
      <c r="G41" s="4217"/>
      <c r="H41" s="4217"/>
      <c r="I41" s="4282"/>
    </row>
    <row r="42" spans="1:9" s="4214" customFormat="1">
      <c r="A42" s="4218"/>
      <c r="B42" s="4219"/>
      <c r="C42" s="4218"/>
      <c r="D42" s="4217"/>
      <c r="E42" s="4217"/>
      <c r="F42" s="4217"/>
      <c r="G42" s="4217"/>
      <c r="H42" s="4217"/>
      <c r="I42" s="4282"/>
    </row>
    <row r="43" spans="1:9" s="4214" customFormat="1">
      <c r="A43" s="4218"/>
      <c r="B43" s="4219"/>
      <c r="C43" s="4218"/>
      <c r="D43" s="4217"/>
      <c r="E43" s="4217"/>
      <c r="F43" s="4217"/>
      <c r="G43" s="4217"/>
      <c r="H43" s="4217"/>
      <c r="I43" s="4282"/>
    </row>
    <row r="44" spans="1:9" s="4214" customFormat="1">
      <c r="A44" s="4218"/>
      <c r="B44" s="4219"/>
      <c r="C44" s="4218"/>
      <c r="D44" s="4217"/>
      <c r="E44" s="4217"/>
      <c r="F44" s="4217"/>
      <c r="G44" s="4217"/>
      <c r="H44" s="4217"/>
      <c r="I44" s="4282"/>
    </row>
    <row r="45" spans="1:9" s="4214" customFormat="1">
      <c r="A45" s="4218"/>
      <c r="B45" s="4219"/>
      <c r="C45" s="4218"/>
      <c r="D45" s="4217"/>
      <c r="E45" s="4217"/>
      <c r="F45" s="4217"/>
      <c r="G45" s="4217"/>
      <c r="H45" s="4217"/>
      <c r="I45" s="4282"/>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47"/>
  <sheetViews>
    <sheetView showGridLines="0" showOutlineSymbols="0" topLeftCell="A6" workbookViewId="0">
      <selection activeCell="C33" sqref="C33"/>
    </sheetView>
  </sheetViews>
  <sheetFormatPr defaultColWidth="12.5703125" defaultRowHeight="12.75" outlineLevelRow="2" outlineLevelCol="2"/>
  <cols>
    <col min="1" max="1" width="1.85546875" style="4213" customWidth="1"/>
    <col min="2" max="2" width="27.7109375" style="4213" customWidth="1"/>
    <col min="3" max="3" width="10.7109375" style="4213" customWidth="1"/>
    <col min="4" max="4" width="9.140625" style="4213" customWidth="1"/>
    <col min="5" max="5" width="10.7109375" style="4213" customWidth="1"/>
    <col min="6" max="6" width="11.42578125" style="4213" customWidth="1"/>
    <col min="7" max="7" width="10.7109375" style="4213" customWidth="1"/>
    <col min="8" max="8" width="13.5703125" style="4213"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ht="13.5">
      <c r="A1" s="4281" t="s">
        <v>473</v>
      </c>
      <c r="E1" s="4302"/>
      <c r="G1" s="4302"/>
      <c r="H1" s="4302"/>
    </row>
    <row r="2" spans="1:8" ht="14.25" customHeight="1">
      <c r="A2" s="4279" t="s">
        <v>584</v>
      </c>
      <c r="E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3176</v>
      </c>
      <c r="B10" s="4273"/>
    </row>
    <row r="11" spans="1:8" ht="14.25" customHeight="1">
      <c r="A11" s="4273"/>
      <c r="B11" s="4273"/>
    </row>
    <row r="12" spans="1:8" ht="14.25" customHeight="1">
      <c r="A12" s="5007" t="s">
        <v>468</v>
      </c>
      <c r="B12" s="5008"/>
      <c r="C12" s="4272" t="s">
        <v>467</v>
      </c>
      <c r="D12" s="4272" t="s">
        <v>466</v>
      </c>
      <c r="E12" s="5004" t="s">
        <v>465</v>
      </c>
      <c r="F12" s="5005"/>
      <c r="G12" s="5006"/>
      <c r="H12" s="4272" t="s">
        <v>2180</v>
      </c>
    </row>
    <row r="13" spans="1:8" ht="14.25" customHeight="1">
      <c r="A13" s="5009"/>
      <c r="B13" s="5010"/>
      <c r="C13" s="4271" t="s">
        <v>463</v>
      </c>
      <c r="D13" s="4270">
        <v>2020</v>
      </c>
      <c r="E13" s="4270" t="s">
        <v>2344</v>
      </c>
      <c r="F13" s="4270" t="s">
        <v>2343</v>
      </c>
      <c r="G13" s="4270"/>
      <c r="H13" s="4270" t="s">
        <v>2342</v>
      </c>
    </row>
    <row r="14" spans="1:8" ht="14.25" customHeight="1">
      <c r="A14" s="5009"/>
      <c r="B14" s="5010"/>
      <c r="C14" s="4271"/>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9" s="4212" customFormat="1" ht="20.100000000000001" customHeight="1" outlineLevel="1">
      <c r="A17" s="4263" t="s">
        <v>407</v>
      </c>
      <c r="B17" s="4262"/>
      <c r="C17" s="4261"/>
      <c r="D17" s="4260">
        <f>SUM(D18:D27)</f>
        <v>584253.04</v>
      </c>
      <c r="E17" s="4260">
        <f>SUM(E18:E27)</f>
        <v>315860.46999999997</v>
      </c>
      <c r="F17" s="4260">
        <f>SUM(F18:F27)</f>
        <v>384139.53</v>
      </c>
      <c r="G17" s="4260">
        <f>SUM(G18:G27)</f>
        <v>700000</v>
      </c>
      <c r="H17" s="4260">
        <f>SUM(H18:H27)</f>
        <v>700000</v>
      </c>
    </row>
    <row r="18" spans="1:9" s="4240" customFormat="1" ht="18" customHeight="1" outlineLevel="1">
      <c r="A18" s="4254" t="s">
        <v>2352</v>
      </c>
      <c r="B18" s="4246"/>
      <c r="C18" s="4259" t="s">
        <v>405</v>
      </c>
      <c r="D18" s="4258">
        <f>[39]SCCCYA!$E$12</f>
        <v>443</v>
      </c>
      <c r="E18" s="4257">
        <f>[40]SCCCYA!$E$12</f>
        <v>0</v>
      </c>
      <c r="F18" s="4243">
        <f t="shared" ref="F18:F27" si="0">G18-E18</f>
        <v>1000</v>
      </c>
      <c r="G18" s="4257">
        <f>[40]SCCCYA!$C$12</f>
        <v>1000</v>
      </c>
      <c r="H18" s="4256">
        <f>[41]SCCYA!$H$12</f>
        <v>5000</v>
      </c>
      <c r="I18" s="4300"/>
    </row>
    <row r="19" spans="1:9" s="4240" customFormat="1" ht="18" customHeight="1" outlineLevel="1">
      <c r="A19" s="4250" t="s">
        <v>404</v>
      </c>
      <c r="B19" s="4249"/>
      <c r="C19" s="4248" t="s">
        <v>403</v>
      </c>
      <c r="D19" s="4244">
        <f>[39]SCCCYA!$E$13</f>
        <v>11341.5</v>
      </c>
      <c r="E19" s="4255">
        <f>[40]SCCCYA!$E$13</f>
        <v>18600</v>
      </c>
      <c r="F19" s="4243">
        <f t="shared" si="0"/>
        <v>10220</v>
      </c>
      <c r="G19" s="4255">
        <f>[40]SCCCYA!$C$13</f>
        <v>28820</v>
      </c>
      <c r="H19" s="4241">
        <f>[41]SCCYA!$H$13</f>
        <v>78800</v>
      </c>
      <c r="I19" s="4300"/>
    </row>
    <row r="20" spans="1:9" s="4239" customFormat="1" ht="18" customHeight="1" outlineLevel="1">
      <c r="A20" s="4247" t="s">
        <v>402</v>
      </c>
      <c r="B20" s="4246"/>
      <c r="C20" s="4248" t="s">
        <v>401</v>
      </c>
      <c r="D20" s="4244">
        <f>[39]SCCCYA!$E$14</f>
        <v>13326.1</v>
      </c>
      <c r="E20" s="4255">
        <f>[40]SCCCYA!$E$14</f>
        <v>41143</v>
      </c>
      <c r="F20" s="4243">
        <f t="shared" si="0"/>
        <v>2337</v>
      </c>
      <c r="G20" s="4255">
        <f>[40]SCCCYA!$C$14</f>
        <v>43480</v>
      </c>
      <c r="H20" s="4241">
        <f>[41]SCCYA!$H$14</f>
        <v>20000</v>
      </c>
      <c r="I20" s="4240"/>
    </row>
    <row r="21" spans="1:9" s="4239" customFormat="1" ht="18" customHeight="1" outlineLevel="1">
      <c r="A21" s="4250" t="s">
        <v>674</v>
      </c>
      <c r="B21" s="4249"/>
      <c r="C21" s="4308" t="s">
        <v>396</v>
      </c>
      <c r="D21" s="4244">
        <f>[39]SCCCYA!$E$15</f>
        <v>1570.26</v>
      </c>
      <c r="E21" s="4255">
        <f>[40]SCCCYA!$E$15</f>
        <v>0</v>
      </c>
      <c r="F21" s="4243">
        <f t="shared" si="0"/>
        <v>20000</v>
      </c>
      <c r="G21" s="4255">
        <f>[40]SCCCYA!$C$15</f>
        <v>20000</v>
      </c>
      <c r="H21" s="4241">
        <f>[41]SCCYA!$H$15</f>
        <v>10000</v>
      </c>
      <c r="I21" s="4240"/>
    </row>
    <row r="22" spans="1:9" s="4239" customFormat="1" ht="18" customHeight="1" outlineLevel="1">
      <c r="A22" s="4307" t="s">
        <v>3175</v>
      </c>
      <c r="B22" s="4249"/>
      <c r="C22" s="4248" t="s">
        <v>394</v>
      </c>
      <c r="D22" s="4244">
        <f>[39]SCCCYA!$E$16</f>
        <v>17076.349999999999</v>
      </c>
      <c r="E22" s="4255">
        <v>0</v>
      </c>
      <c r="F22" s="4243">
        <f t="shared" si="0"/>
        <v>0</v>
      </c>
      <c r="G22" s="4255">
        <v>0</v>
      </c>
      <c r="H22" s="4241">
        <v>0</v>
      </c>
      <c r="I22" s="4240"/>
    </row>
    <row r="23" spans="1:9" s="4239" customFormat="1" ht="18" customHeight="1" outlineLevel="1">
      <c r="A23" s="4254" t="s">
        <v>673</v>
      </c>
      <c r="B23" s="4246"/>
      <c r="C23" s="4248" t="s">
        <v>1269</v>
      </c>
      <c r="D23" s="4244">
        <f>[39]SCCCYA!$E$17</f>
        <v>8037.2000000000007</v>
      </c>
      <c r="E23" s="4255">
        <f>[40]SCCCYA!$E$16</f>
        <v>8010.8499999999949</v>
      </c>
      <c r="F23" s="4243">
        <f t="shared" si="0"/>
        <v>4989.1500000000051</v>
      </c>
      <c r="G23" s="4255">
        <f>[40]SCCCYA!$C$16</f>
        <v>13000</v>
      </c>
      <c r="H23" s="4241">
        <f>[41]SCCYA!$H$16</f>
        <v>5000</v>
      </c>
      <c r="I23" s="4240"/>
    </row>
    <row r="24" spans="1:9" s="4239" customFormat="1" ht="18" customHeight="1" outlineLevel="1">
      <c r="A24" s="4254" t="s">
        <v>1266</v>
      </c>
      <c r="B24" s="4246"/>
      <c r="C24" s="4248" t="s">
        <v>1265</v>
      </c>
      <c r="D24" s="4244">
        <f>[39]SCCCYA!$E$18</f>
        <v>43708.63</v>
      </c>
      <c r="E24" s="4255">
        <f>[40]SCCCYA!$E$17</f>
        <v>12673.98</v>
      </c>
      <c r="F24" s="4243">
        <f t="shared" si="0"/>
        <v>14326.02</v>
      </c>
      <c r="G24" s="4255">
        <f>[40]SCCCYA!$C$17</f>
        <v>27000</v>
      </c>
      <c r="H24" s="4241">
        <f>[41]SCCYA!$H$17</f>
        <v>27000</v>
      </c>
      <c r="I24" s="4240"/>
    </row>
    <row r="25" spans="1:9" s="4239" customFormat="1" ht="18" customHeight="1" outlineLevel="1">
      <c r="A25" s="4252" t="s">
        <v>699</v>
      </c>
      <c r="B25" s="4249"/>
      <c r="C25" s="4248" t="s">
        <v>390</v>
      </c>
      <c r="D25" s="4244">
        <f>[39]SCCCYA!$E$19</f>
        <v>0</v>
      </c>
      <c r="E25" s="4255">
        <f>[40]SCCCYA!$E$18</f>
        <v>12832.640000000014</v>
      </c>
      <c r="F25" s="4243">
        <f t="shared" si="0"/>
        <v>22167.359999999986</v>
      </c>
      <c r="G25" s="4255">
        <f>[40]SCCCYA!$C$18</f>
        <v>35000</v>
      </c>
      <c r="H25" s="4241">
        <f>[41]SCCYA!$H$18</f>
        <v>39000</v>
      </c>
      <c r="I25" s="4240"/>
    </row>
    <row r="26" spans="1:9" s="4239" customFormat="1" ht="18" customHeight="1" outlineLevel="1">
      <c r="A26" s="4252" t="s">
        <v>389</v>
      </c>
      <c r="B26" s="4249"/>
      <c r="C26" s="4248" t="s">
        <v>388</v>
      </c>
      <c r="D26" s="4244">
        <f>[39]SCCCYA!$E$20</f>
        <v>473450</v>
      </c>
      <c r="E26" s="4242">
        <f>[40]SCCCYA!$E$19</f>
        <v>213600</v>
      </c>
      <c r="F26" s="4243">
        <f t="shared" si="0"/>
        <v>261600</v>
      </c>
      <c r="G26" s="4242">
        <f>[40]SCCCYA!$C$19</f>
        <v>475200</v>
      </c>
      <c r="H26" s="4241">
        <f>[41]SCCYA!$H$19</f>
        <v>475200</v>
      </c>
      <c r="I26" s="4240"/>
    </row>
    <row r="27" spans="1:9" s="4239" customFormat="1" ht="18" customHeight="1" outlineLevel="1" thickBot="1">
      <c r="A27" s="4247" t="s">
        <v>693</v>
      </c>
      <c r="B27" s="4246"/>
      <c r="C27" s="4248" t="s">
        <v>367</v>
      </c>
      <c r="D27" s="4244">
        <f>[39]SCCCYA!$E$21</f>
        <v>15300</v>
      </c>
      <c r="E27" s="4242">
        <f>[40]SCCCYA!$E$20</f>
        <v>9000</v>
      </c>
      <c r="F27" s="4243">
        <f t="shared" si="0"/>
        <v>47500</v>
      </c>
      <c r="G27" s="4242">
        <f>[40]SCCCYA!$C$20</f>
        <v>56500</v>
      </c>
      <c r="H27" s="4241">
        <f>[41]SCCYA!$H$20</f>
        <v>40000</v>
      </c>
      <c r="I27" s="4240"/>
    </row>
    <row r="28" spans="1:9" s="4286" customFormat="1" ht="18" customHeight="1" outlineLevel="1" thickBot="1">
      <c r="A28" s="4291" t="s">
        <v>775</v>
      </c>
      <c r="B28" s="4290"/>
      <c r="C28" s="4289"/>
      <c r="D28" s="4306">
        <f>D29</f>
        <v>53750</v>
      </c>
      <c r="E28" s="4306">
        <f>E29</f>
        <v>0</v>
      </c>
      <c r="F28" s="4306">
        <f>F29</f>
        <v>60000</v>
      </c>
      <c r="G28" s="4306">
        <f>G29</f>
        <v>60000</v>
      </c>
      <c r="H28" s="4305">
        <f>H29</f>
        <v>0</v>
      </c>
      <c r="I28" s="4287"/>
    </row>
    <row r="29" spans="1:9" s="4239" customFormat="1" ht="18" customHeight="1" outlineLevel="1">
      <c r="A29" s="4285" t="s">
        <v>2785</v>
      </c>
      <c r="B29" s="4246"/>
      <c r="C29" s="4284" t="s">
        <v>2784</v>
      </c>
      <c r="D29" s="4244">
        <f>[39]SCCCYA!$E$23</f>
        <v>53750</v>
      </c>
      <c r="E29" s="4242">
        <v>0</v>
      </c>
      <c r="F29" s="4243">
        <f>G29-E29</f>
        <v>60000</v>
      </c>
      <c r="G29" s="4242">
        <f>[40]SCCCYA!$C$22</f>
        <v>60000</v>
      </c>
      <c r="H29" s="4241">
        <v>0</v>
      </c>
      <c r="I29" s="4240"/>
    </row>
    <row r="30" spans="1:9" ht="20.100000000000001" customHeight="1" outlineLevel="2" thickBot="1">
      <c r="A30" s="4238" t="s">
        <v>366</v>
      </c>
      <c r="B30" s="4236"/>
      <c r="C30" s="4237"/>
      <c r="D30" s="4236">
        <f>D28+D17</f>
        <v>638003.04</v>
      </c>
      <c r="E30" s="4236">
        <f>E28+E17</f>
        <v>315860.46999999997</v>
      </c>
      <c r="F30" s="4236">
        <f>F28+F17</f>
        <v>444139.53</v>
      </c>
      <c r="G30" s="4236">
        <f>G28+G17</f>
        <v>760000</v>
      </c>
      <c r="H30" s="4236">
        <f>H28+H17</f>
        <v>700000</v>
      </c>
    </row>
    <row r="31" spans="1:9" ht="20.100000000000001" customHeight="1" outlineLevel="2" thickTop="1">
      <c r="A31" s="4233"/>
      <c r="B31" s="4233"/>
      <c r="C31" s="4234"/>
      <c r="D31" s="4233"/>
      <c r="E31" s="4233"/>
      <c r="F31" s="4233"/>
      <c r="G31" s="4233"/>
      <c r="H31" s="4233"/>
    </row>
    <row r="32" spans="1:9" s="4220" customFormat="1" ht="14.25" customHeight="1">
      <c r="A32" s="4225" t="s">
        <v>3163</v>
      </c>
      <c r="B32" s="4222"/>
      <c r="C32" s="4222"/>
      <c r="D32" s="4222" t="s">
        <v>363</v>
      </c>
      <c r="E32" s="4222"/>
      <c r="F32" s="4225"/>
      <c r="G32" s="4225" t="s">
        <v>2311</v>
      </c>
      <c r="H32" s="4222"/>
    </row>
    <row r="33" spans="1:9" s="4220" customFormat="1" ht="14.25" customHeight="1">
      <c r="A33" s="4225"/>
      <c r="B33" s="4222"/>
      <c r="C33" s="4222"/>
      <c r="D33" s="4222"/>
      <c r="E33" s="4222"/>
      <c r="F33" s="4225"/>
      <c r="G33" s="4225"/>
      <c r="H33" s="4222"/>
    </row>
    <row r="34" spans="1:9" s="4220" customFormat="1" ht="14.25" customHeight="1">
      <c r="A34" s="4225"/>
      <c r="B34" s="4222"/>
      <c r="C34" s="4222"/>
      <c r="D34" s="4222"/>
      <c r="E34" s="4222"/>
      <c r="F34" s="4225"/>
      <c r="G34" s="4225"/>
      <c r="H34" s="4222"/>
    </row>
    <row r="35" spans="1:9" s="4220" customFormat="1" ht="14.25" customHeight="1">
      <c r="A35" s="4304"/>
      <c r="B35" s="4304" t="s">
        <v>3174</v>
      </c>
      <c r="C35" s="4229"/>
      <c r="D35" s="4228" t="s">
        <v>3162</v>
      </c>
      <c r="E35" s="4222"/>
      <c r="F35" s="4227"/>
      <c r="G35" s="4227" t="s">
        <v>359</v>
      </c>
      <c r="H35" s="4222"/>
    </row>
    <row r="36" spans="1:9" s="4220" customFormat="1" ht="14.25" customHeight="1">
      <c r="A36" s="4303"/>
      <c r="B36" s="4303" t="s">
        <v>3173</v>
      </c>
      <c r="C36" s="4225"/>
      <c r="D36" s="4224" t="s">
        <v>3160</v>
      </c>
      <c r="E36" s="4222"/>
      <c r="F36" s="4223"/>
      <c r="G36" s="4223" t="s">
        <v>3159</v>
      </c>
      <c r="H36" s="4222"/>
    </row>
    <row r="37" spans="1:9" s="4214" customFormat="1">
      <c r="A37" s="4218"/>
      <c r="B37" s="4219"/>
      <c r="C37" s="4218"/>
      <c r="D37" s="4217"/>
      <c r="E37" s="4217"/>
      <c r="F37" s="4217"/>
      <c r="G37" s="4217"/>
      <c r="H37" s="4217"/>
      <c r="I37" s="4282"/>
    </row>
    <row r="38" spans="1:9" s="4214" customFormat="1">
      <c r="A38" s="4218"/>
      <c r="B38" s="4219"/>
      <c r="C38" s="4218"/>
      <c r="D38" s="4217"/>
      <c r="E38" s="4217"/>
      <c r="F38" s="4217"/>
      <c r="G38" s="4217"/>
      <c r="H38" s="4217"/>
      <c r="I38" s="4282"/>
    </row>
    <row r="39" spans="1:9" s="4214" customFormat="1">
      <c r="A39" s="4218"/>
      <c r="B39" s="4219"/>
      <c r="C39" s="4218"/>
      <c r="D39" s="4217"/>
      <c r="E39" s="4217"/>
      <c r="F39" s="4217"/>
      <c r="G39" s="4217"/>
      <c r="H39" s="4217"/>
      <c r="I39" s="4282"/>
    </row>
    <row r="40" spans="1:9" s="4214" customFormat="1">
      <c r="A40" s="4218"/>
      <c r="B40" s="4219"/>
      <c r="C40" s="4218"/>
      <c r="D40" s="4217"/>
      <c r="E40" s="4217"/>
      <c r="F40" s="4217"/>
      <c r="G40" s="4217"/>
      <c r="H40" s="4217"/>
      <c r="I40" s="4282"/>
    </row>
    <row r="41" spans="1:9" s="4214" customFormat="1">
      <c r="A41" s="4218"/>
      <c r="B41" s="4219"/>
      <c r="C41" s="4218"/>
      <c r="D41" s="4217"/>
      <c r="E41" s="4217"/>
      <c r="F41" s="4217"/>
      <c r="G41" s="4217"/>
      <c r="H41" s="4217"/>
      <c r="I41" s="4282"/>
    </row>
    <row r="42" spans="1:9" s="4214" customFormat="1">
      <c r="A42" s="4218"/>
      <c r="B42" s="4219"/>
      <c r="C42" s="4218"/>
      <c r="D42" s="4217"/>
      <c r="E42" s="4217"/>
      <c r="F42" s="4217"/>
      <c r="G42" s="4217"/>
      <c r="H42" s="4217"/>
      <c r="I42" s="4282"/>
    </row>
    <row r="43" spans="1:9" s="4214" customFormat="1">
      <c r="A43" s="4218"/>
      <c r="B43" s="4219"/>
      <c r="C43" s="4218"/>
      <c r="D43" s="4217"/>
      <c r="E43" s="4217"/>
      <c r="F43" s="4217"/>
      <c r="G43" s="4217"/>
      <c r="H43" s="4217"/>
      <c r="I43" s="4282"/>
    </row>
    <row r="44" spans="1:9" s="4214" customFormat="1">
      <c r="A44" s="4218"/>
      <c r="B44" s="4219"/>
      <c r="C44" s="4218"/>
      <c r="D44" s="4217"/>
      <c r="E44" s="4217"/>
      <c r="F44" s="4217"/>
      <c r="G44" s="4217"/>
      <c r="H44" s="4217"/>
      <c r="I44" s="4282"/>
    </row>
    <row r="45" spans="1:9" s="4214" customFormat="1">
      <c r="A45" s="4218"/>
      <c r="B45" s="4219"/>
      <c r="C45" s="4218"/>
      <c r="D45" s="4217"/>
      <c r="E45" s="4217"/>
      <c r="F45" s="4217"/>
      <c r="G45" s="4217"/>
      <c r="H45" s="4217"/>
      <c r="I45" s="4282"/>
    </row>
    <row r="46" spans="1:9" s="4214" customFormat="1">
      <c r="A46" s="4218"/>
      <c r="B46" s="4219"/>
      <c r="C46" s="4218"/>
      <c r="D46" s="4217"/>
      <c r="E46" s="4217"/>
      <c r="F46" s="4217"/>
      <c r="G46" s="4217"/>
      <c r="H46" s="4217"/>
      <c r="I46" s="4282"/>
    </row>
    <row r="47" spans="1:9" s="4214" customFormat="1">
      <c r="A47" s="4218"/>
      <c r="B47" s="4219"/>
      <c r="C47" s="4218"/>
      <c r="D47" s="4217"/>
      <c r="E47" s="4217"/>
      <c r="F47" s="4217"/>
      <c r="G47" s="4217"/>
      <c r="H47" s="4217"/>
      <c r="I47" s="4282"/>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O343"/>
  <sheetViews>
    <sheetView showGridLines="0" showOutlineSymbols="0" topLeftCell="A13" workbookViewId="0">
      <selection activeCell="A40" sqref="A40"/>
    </sheetView>
  </sheetViews>
  <sheetFormatPr defaultColWidth="12.5703125" defaultRowHeight="12.75" outlineLevelRow="2" outlineLevelCol="2"/>
  <cols>
    <col min="1" max="1" width="1.85546875" style="4213" customWidth="1"/>
    <col min="2" max="2" width="33.7109375" style="4213" customWidth="1"/>
    <col min="3" max="3" width="11.5703125" style="4213" customWidth="1"/>
    <col min="4" max="8" width="10.28515625" style="4213" customWidth="1"/>
    <col min="9" max="44" width="12.5703125" style="4211"/>
    <col min="45" max="49" width="12.5703125" style="4211" outlineLevel="1"/>
    <col min="50" max="55" width="12.5703125" style="4211" outlineLevel="2"/>
    <col min="56" max="58" width="12.5703125" style="4211" outlineLevel="1"/>
    <col min="59" max="78" width="12.5703125" style="4211"/>
    <col min="79" max="82" width="12.5703125" style="4211" outlineLevel="1"/>
    <col min="83" max="130" width="12.5703125" style="4211"/>
    <col min="131" max="136" width="12.5703125" style="4211" outlineLevel="1"/>
    <col min="137" max="142" width="12.5703125" style="4211" outlineLevel="2"/>
    <col min="143" max="145" width="12.5703125" style="4211" outlineLevel="1"/>
    <col min="146"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3181</v>
      </c>
      <c r="B10" s="4273"/>
    </row>
    <row r="11" spans="1:8" ht="14.25" customHeight="1">
      <c r="A11" s="4273"/>
      <c r="B11" s="4273"/>
    </row>
    <row r="12" spans="1:8" ht="14.25" customHeight="1">
      <c r="A12" s="5007" t="s">
        <v>468</v>
      </c>
      <c r="B12" s="5008"/>
      <c r="C12" s="4272" t="s">
        <v>467</v>
      </c>
      <c r="D12" s="4272" t="s">
        <v>466</v>
      </c>
      <c r="E12" s="5004" t="s">
        <v>465</v>
      </c>
      <c r="F12" s="5005"/>
      <c r="G12" s="5006"/>
      <c r="H12" s="4272" t="s">
        <v>2180</v>
      </c>
    </row>
    <row r="13" spans="1:8" ht="14.25" customHeight="1">
      <c r="A13" s="5009"/>
      <c r="B13" s="5010"/>
      <c r="C13" s="4271" t="s">
        <v>463</v>
      </c>
      <c r="D13" s="4270">
        <v>2020</v>
      </c>
      <c r="E13" s="4270" t="s">
        <v>2344</v>
      </c>
      <c r="F13" s="4270" t="s">
        <v>2343</v>
      </c>
      <c r="G13" s="4270"/>
      <c r="H13" s="4270" t="s">
        <v>2342</v>
      </c>
    </row>
    <row r="14" spans="1:8" ht="14.25" customHeight="1">
      <c r="A14" s="5009"/>
      <c r="B14" s="5010"/>
      <c r="C14" s="4271"/>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9" s="4212" customFormat="1" ht="20.100000000000001" customHeight="1" outlineLevel="1">
      <c r="A17" s="4263" t="s">
        <v>407</v>
      </c>
      <c r="B17" s="4262"/>
      <c r="C17" s="4261"/>
      <c r="D17" s="4260">
        <f>SUM(D18:D31)</f>
        <v>6064995.7200000007</v>
      </c>
      <c r="E17" s="4260">
        <f>SUM(E18:E31)</f>
        <v>1458445.65</v>
      </c>
      <c r="F17" s="4260">
        <f>SUM(F18:F31)</f>
        <v>6972603.8600000003</v>
      </c>
      <c r="G17" s="4260">
        <f>SUM(G18:G31)</f>
        <v>8452000</v>
      </c>
      <c r="H17" s="4260">
        <f>SUM(H18:H31)</f>
        <v>6400000</v>
      </c>
      <c r="I17" s="4320"/>
    </row>
    <row r="18" spans="1:9" s="4240" customFormat="1" ht="18" customHeight="1" outlineLevel="1">
      <c r="A18" s="4254" t="s">
        <v>2352</v>
      </c>
      <c r="B18" s="4246"/>
      <c r="C18" s="4259" t="s">
        <v>405</v>
      </c>
      <c r="D18" s="4258">
        <f>[39]PESO!$E$12</f>
        <v>25878</v>
      </c>
      <c r="E18" s="4257">
        <f>[40]PESO!$E$12</f>
        <v>23990</v>
      </c>
      <c r="F18" s="4243">
        <f t="shared" ref="F18:F24" si="0">G18-E18</f>
        <v>76010</v>
      </c>
      <c r="G18" s="4257">
        <f>[40]PESO!$C$12</f>
        <v>100000</v>
      </c>
      <c r="H18" s="4319">
        <f>[41]PESO!$H$12</f>
        <v>100000</v>
      </c>
      <c r="I18" s="4300"/>
    </row>
    <row r="19" spans="1:9" s="4240" customFormat="1" ht="18" customHeight="1" outlineLevel="1">
      <c r="A19" s="4250" t="s">
        <v>404</v>
      </c>
      <c r="B19" s="4249"/>
      <c r="C19" s="4248" t="s">
        <v>403</v>
      </c>
      <c r="D19" s="4244">
        <f>[39]PESO!$E$13</f>
        <v>2610965</v>
      </c>
      <c r="E19" s="4255">
        <f>[40]PESO!$E$13</f>
        <v>402525</v>
      </c>
      <c r="F19" s="4243">
        <f t="shared" si="0"/>
        <v>3069475</v>
      </c>
      <c r="G19" s="4255">
        <f>[40]PESO!$C$13</f>
        <v>3472000</v>
      </c>
      <c r="H19" s="4318">
        <f>[41]PESO!$H$13</f>
        <v>2500000</v>
      </c>
      <c r="I19" s="4300"/>
    </row>
    <row r="20" spans="1:9" s="4239" customFormat="1" ht="18" customHeight="1" outlineLevel="1">
      <c r="A20" s="4247" t="s">
        <v>402</v>
      </c>
      <c r="B20" s="4246"/>
      <c r="C20" s="4248" t="s">
        <v>401</v>
      </c>
      <c r="D20" s="4244">
        <f>[39]PESO!$E$14</f>
        <v>70217.95</v>
      </c>
      <c r="E20" s="4255">
        <f>[40]PESO!$E$14</f>
        <v>43109.5</v>
      </c>
      <c r="F20" s="4243">
        <f t="shared" si="0"/>
        <v>56890.5</v>
      </c>
      <c r="G20" s="4255">
        <f>[40]PESO!$C$14</f>
        <v>100000</v>
      </c>
      <c r="H20" s="4318">
        <f>[41]PESO!$H$14</f>
        <v>100000</v>
      </c>
      <c r="I20" s="4300"/>
    </row>
    <row r="21" spans="1:9" s="4239" customFormat="1" ht="18" customHeight="1" outlineLevel="1">
      <c r="A21" s="4250" t="s">
        <v>674</v>
      </c>
      <c r="B21" s="4249"/>
      <c r="C21" s="4248" t="s">
        <v>396</v>
      </c>
      <c r="D21" s="4244">
        <f>[39]PESO!$E$15</f>
        <v>29586.730000000003</v>
      </c>
      <c r="E21" s="4255">
        <f>[40]PESO!$E$15</f>
        <v>8393.86</v>
      </c>
      <c r="F21" s="4243">
        <f t="shared" si="0"/>
        <v>61606.14</v>
      </c>
      <c r="G21" s="4255">
        <f>[40]PESO!$C$15</f>
        <v>70000</v>
      </c>
      <c r="H21" s="4318">
        <f>[41]PESO!$H$15</f>
        <v>50000</v>
      </c>
      <c r="I21" s="4300"/>
    </row>
    <row r="22" spans="1:9" s="4239" customFormat="1" ht="18" customHeight="1" outlineLevel="1">
      <c r="A22" s="4252" t="s">
        <v>878</v>
      </c>
      <c r="B22" s="4249"/>
      <c r="C22" s="4248" t="s">
        <v>394</v>
      </c>
      <c r="D22" s="4244">
        <f>[39]PESO!$E$16</f>
        <v>95522.3</v>
      </c>
      <c r="E22" s="4255">
        <f>[40]PESO!$E$16</f>
        <v>40800</v>
      </c>
      <c r="F22" s="4243">
        <f t="shared" si="0"/>
        <v>159200</v>
      </c>
      <c r="G22" s="4255">
        <f>[40]PESO!$C$16</f>
        <v>200000</v>
      </c>
      <c r="H22" s="4318">
        <f>[41]PESO!$H$16</f>
        <v>300000</v>
      </c>
      <c r="I22" s="4300"/>
    </row>
    <row r="23" spans="1:9" s="4239" customFormat="1" ht="18" customHeight="1" outlineLevel="1">
      <c r="A23" s="4250" t="s">
        <v>673</v>
      </c>
      <c r="B23" s="4249"/>
      <c r="C23" s="4248" t="s">
        <v>1269</v>
      </c>
      <c r="D23" s="4244">
        <f>[39]PESO!$E$17</f>
        <v>4469.1000000000004</v>
      </c>
      <c r="E23" s="4255">
        <f>[40]PESO!$E$17</f>
        <v>1720.9</v>
      </c>
      <c r="F23" s="4243">
        <f t="shared" si="0"/>
        <v>8279.1</v>
      </c>
      <c r="G23" s="4255">
        <f>[40]PESO!$C$17</f>
        <v>10000</v>
      </c>
      <c r="H23" s="4318">
        <f>[41]PESO!$H$17</f>
        <v>10000</v>
      </c>
      <c r="I23" s="4300"/>
    </row>
    <row r="24" spans="1:9" s="4239" customFormat="1" ht="18" customHeight="1" outlineLevel="1">
      <c r="A24" s="4252" t="s">
        <v>699</v>
      </c>
      <c r="B24" s="4249"/>
      <c r="C24" s="4248" t="s">
        <v>390</v>
      </c>
      <c r="D24" s="4244">
        <f>[39]PESO!$E$19</f>
        <v>28854.240000000005</v>
      </c>
      <c r="E24" s="4255">
        <f>[40]PESO!$E$18</f>
        <v>2581.88</v>
      </c>
      <c r="F24" s="4243">
        <f t="shared" si="0"/>
        <v>17418.12</v>
      </c>
      <c r="G24" s="4255">
        <f>[40]PESO!$C$18</f>
        <v>20000</v>
      </c>
      <c r="H24" s="4318">
        <f>[41]PESO!$H$18</f>
        <v>20000</v>
      </c>
      <c r="I24" s="4300"/>
    </row>
    <row r="25" spans="1:9" s="4239" customFormat="1" ht="18" customHeight="1" outlineLevel="1">
      <c r="A25" s="4250" t="s">
        <v>1264</v>
      </c>
      <c r="B25" s="4249"/>
      <c r="C25" s="4248" t="s">
        <v>1263</v>
      </c>
      <c r="D25" s="4244">
        <v>0</v>
      </c>
      <c r="E25" s="4255">
        <f>[40]PESO!$E$19</f>
        <v>9049.51</v>
      </c>
      <c r="F25" s="4243">
        <v>0</v>
      </c>
      <c r="G25" s="4255">
        <f>[40]PESO!$C$19</f>
        <v>30000</v>
      </c>
      <c r="H25" s="4318">
        <f>[41]PESO!$H$19</f>
        <v>30000</v>
      </c>
      <c r="I25" s="4300"/>
    </row>
    <row r="26" spans="1:9" s="4239" customFormat="1" ht="18" customHeight="1" outlineLevel="1">
      <c r="A26" s="4250" t="s">
        <v>389</v>
      </c>
      <c r="B26" s="4249"/>
      <c r="C26" s="4248" t="s">
        <v>388</v>
      </c>
      <c r="D26" s="4244">
        <f>[39]PESO!$E$20</f>
        <v>3014068</v>
      </c>
      <c r="E26" s="4242">
        <f>[40]PESO!$E$20</f>
        <v>878775</v>
      </c>
      <c r="F26" s="4243">
        <f>G26-E26</f>
        <v>3006225</v>
      </c>
      <c r="G26" s="4255">
        <f>[40]PESO!$C$20</f>
        <v>3885000</v>
      </c>
      <c r="H26" s="4318">
        <f>[41]PESO!$H$20</f>
        <v>2985000</v>
      </c>
      <c r="I26" s="4300"/>
    </row>
    <row r="27" spans="1:9" s="4239" customFormat="1" ht="18" customHeight="1" outlineLevel="1">
      <c r="A27" s="4250" t="s">
        <v>3180</v>
      </c>
      <c r="B27" s="4249"/>
      <c r="C27" s="4248"/>
      <c r="D27" s="4244"/>
      <c r="E27" s="4242"/>
      <c r="F27" s="4243"/>
      <c r="G27" s="4242"/>
      <c r="H27" s="4318"/>
      <c r="I27" s="4300"/>
    </row>
    <row r="28" spans="1:9" s="4239" customFormat="1" ht="18" customHeight="1" outlineLevel="1">
      <c r="A28" s="4250"/>
      <c r="B28" s="4249" t="s">
        <v>2336</v>
      </c>
      <c r="C28" s="4248" t="s">
        <v>2335</v>
      </c>
      <c r="D28" s="4244">
        <f>[39]PESO!$E$21</f>
        <v>76599</v>
      </c>
      <c r="E28" s="4242">
        <f>[40]PESO!$E$21</f>
        <v>0</v>
      </c>
      <c r="F28" s="4243">
        <f>G28-E28</f>
        <v>110000</v>
      </c>
      <c r="G28" s="4242">
        <f>[40]PESO!$C$21</f>
        <v>110000</v>
      </c>
      <c r="H28" s="4318">
        <f>[41]PESO!$H$22</f>
        <v>30000</v>
      </c>
    </row>
    <row r="29" spans="1:9" s="4239" customFormat="1" ht="18" customHeight="1" outlineLevel="1">
      <c r="A29" s="4250" t="s">
        <v>566</v>
      </c>
      <c r="B29" s="4249"/>
      <c r="C29" s="4248"/>
      <c r="D29" s="4244"/>
      <c r="E29" s="4242"/>
      <c r="F29" s="4243"/>
      <c r="G29" s="4242"/>
      <c r="H29" s="4318"/>
    </row>
    <row r="30" spans="1:9" s="4239" customFormat="1" ht="18" customHeight="1" outlineLevel="1">
      <c r="A30" s="4250"/>
      <c r="B30" s="4249" t="s">
        <v>2370</v>
      </c>
      <c r="C30" s="4248" t="s">
        <v>2327</v>
      </c>
      <c r="D30" s="4244">
        <f>[39]PESO!$E$22</f>
        <v>6210</v>
      </c>
      <c r="E30" s="4242">
        <f>[40]PESO!$E$22</f>
        <v>0</v>
      </c>
      <c r="F30" s="4243">
        <f>G30-E30</f>
        <v>5000</v>
      </c>
      <c r="G30" s="4242">
        <f>[40]PESO!$C$22</f>
        <v>5000</v>
      </c>
      <c r="H30" s="4315">
        <f>[41]PESO!$H$24</f>
        <v>5000</v>
      </c>
    </row>
    <row r="31" spans="1:9" s="4239" customFormat="1" ht="18" customHeight="1" outlineLevel="1">
      <c r="A31" s="4247" t="s">
        <v>693</v>
      </c>
      <c r="B31" s="4246"/>
      <c r="C31" s="4245" t="s">
        <v>367</v>
      </c>
      <c r="D31" s="4244">
        <f>[39]PESO!$E$24</f>
        <v>102625.4</v>
      </c>
      <c r="E31" s="4242">
        <f>[40]PESO!$E$23</f>
        <v>47500</v>
      </c>
      <c r="F31" s="4243">
        <f>G31-E31</f>
        <v>402500</v>
      </c>
      <c r="G31" s="4242">
        <f>[40]PESO!$C$23</f>
        <v>450000</v>
      </c>
      <c r="H31" s="4315">
        <f>[41]PESO!$H$25</f>
        <v>270000</v>
      </c>
    </row>
    <row r="32" spans="1:9" s="4239" customFormat="1" ht="18" customHeight="1" outlineLevel="1">
      <c r="A32" s="4263" t="s">
        <v>775</v>
      </c>
      <c r="B32" s="4262"/>
      <c r="C32" s="4261"/>
      <c r="D32" s="4260">
        <f>SUM(D33:D33)</f>
        <v>0</v>
      </c>
      <c r="E32" s="4260">
        <f>SUM(E33:E33)</f>
        <v>0</v>
      </c>
      <c r="F32" s="4260">
        <f>SUM(F33:F33)</f>
        <v>70000</v>
      </c>
      <c r="G32" s="4260">
        <f>SUM(G33:G33)</f>
        <v>70000</v>
      </c>
      <c r="H32" s="4317">
        <f>SUM(H33:H33)</f>
        <v>0</v>
      </c>
    </row>
    <row r="33" spans="1:8" s="4239" customFormat="1" ht="18" customHeight="1" outlineLevel="1">
      <c r="A33" s="4316" t="s">
        <v>3179</v>
      </c>
      <c r="B33" s="4246"/>
      <c r="C33" s="4284"/>
      <c r="D33" s="4244">
        <f>[42]PESO!$E$26</f>
        <v>0</v>
      </c>
      <c r="E33" s="4242">
        <f>[43]PESO!$E$26</f>
        <v>0</v>
      </c>
      <c r="F33" s="4243">
        <f>G33-E33</f>
        <v>70000</v>
      </c>
      <c r="G33" s="4242">
        <f>[40]PESO!$C$25</f>
        <v>70000</v>
      </c>
      <c r="H33" s="4315">
        <v>0</v>
      </c>
    </row>
    <row r="34" spans="1:8" ht="20.100000000000001" customHeight="1" outlineLevel="2" thickBot="1">
      <c r="A34" s="4314" t="s">
        <v>366</v>
      </c>
      <c r="B34" s="4236"/>
      <c r="C34" s="4237"/>
      <c r="D34" s="4236">
        <f>D32+D17</f>
        <v>6064995.7200000007</v>
      </c>
      <c r="E34" s="4236">
        <f>E32+E17</f>
        <v>1458445.65</v>
      </c>
      <c r="F34" s="4236">
        <f>F32+F17</f>
        <v>7042603.8600000003</v>
      </c>
      <c r="G34" s="4236">
        <f>G32+G17</f>
        <v>8522000</v>
      </c>
      <c r="H34" s="4235">
        <f>H32+H17</f>
        <v>6400000</v>
      </c>
    </row>
    <row r="35" spans="1:8" ht="20.100000000000001" customHeight="1" outlineLevel="2" thickTop="1">
      <c r="A35" s="4233"/>
      <c r="B35" s="4233"/>
      <c r="C35" s="4234"/>
      <c r="D35" s="4233"/>
      <c r="E35" s="4233"/>
      <c r="F35" s="4233"/>
      <c r="G35" s="4233"/>
      <c r="H35" s="4233"/>
    </row>
    <row r="36" spans="1:8" s="4220" customFormat="1" ht="14.25" customHeight="1">
      <c r="A36" s="4225" t="s">
        <v>3163</v>
      </c>
      <c r="B36" s="4225"/>
      <c r="C36" s="4222" t="s">
        <v>363</v>
      </c>
      <c r="D36" s="4222"/>
      <c r="E36" s="4225"/>
      <c r="F36" s="4225" t="s">
        <v>2311</v>
      </c>
      <c r="G36" s="4222"/>
      <c r="H36" s="4222"/>
    </row>
    <row r="37" spans="1:8" s="4220" customFormat="1" ht="14.25" customHeight="1">
      <c r="A37" s="4225"/>
      <c r="B37" s="4225"/>
      <c r="C37" s="4222"/>
      <c r="D37" s="4222"/>
      <c r="E37" s="4225"/>
      <c r="F37" s="4225"/>
      <c r="G37" s="4222"/>
      <c r="H37" s="4222"/>
    </row>
    <row r="38" spans="1:8" s="4220" customFormat="1" ht="14.25" customHeight="1">
      <c r="A38" s="4225"/>
      <c r="B38" s="4225"/>
      <c r="C38" s="4222"/>
      <c r="D38" s="4222"/>
      <c r="E38" s="4225"/>
      <c r="F38" s="4225"/>
      <c r="G38" s="4222"/>
      <c r="H38" s="4222"/>
    </row>
    <row r="39" spans="1:8" s="4220" customFormat="1" ht="14.25" customHeight="1">
      <c r="A39" s="4229" t="s">
        <v>3178</v>
      </c>
      <c r="B39" s="4227"/>
      <c r="C39" s="4228" t="s">
        <v>3162</v>
      </c>
      <c r="D39" s="4222"/>
      <c r="E39" s="4227"/>
      <c r="F39" s="4227" t="s">
        <v>359</v>
      </c>
      <c r="G39" s="4222"/>
      <c r="H39" s="4222"/>
    </row>
    <row r="40" spans="1:8" s="4220" customFormat="1" ht="14.25" customHeight="1">
      <c r="A40" s="4222" t="s">
        <v>3177</v>
      </c>
      <c r="B40" s="4225"/>
      <c r="C40" s="4224" t="s">
        <v>3160</v>
      </c>
      <c r="D40" s="4222"/>
      <c r="E40" s="4223"/>
      <c r="F40" s="4223" t="s">
        <v>3159</v>
      </c>
      <c r="G40" s="4222"/>
      <c r="H40" s="4222"/>
    </row>
    <row r="41" spans="1:8" s="4214" customFormat="1">
      <c r="A41" s="4218"/>
      <c r="B41" s="4218"/>
      <c r="C41" s="4218"/>
      <c r="D41" s="4217"/>
      <c r="E41" s="4217"/>
      <c r="F41" s="4217"/>
      <c r="G41" s="4217"/>
      <c r="H41" s="4217"/>
    </row>
    <row r="42" spans="1:8" s="4215" customFormat="1">
      <c r="A42" s="4312"/>
      <c r="B42" s="4313"/>
      <c r="C42" s="4312"/>
      <c r="D42" s="4311"/>
      <c r="E42" s="4311"/>
      <c r="F42" s="4311"/>
      <c r="G42" s="4311"/>
      <c r="H42" s="4311"/>
    </row>
    <row r="43" spans="1:8" s="4215" customFormat="1">
      <c r="A43" s="4312"/>
      <c r="B43" s="4313"/>
      <c r="C43" s="4312"/>
      <c r="D43" s="4311"/>
      <c r="E43" s="4311"/>
      <c r="F43" s="4311"/>
      <c r="G43" s="4311"/>
      <c r="H43" s="4311"/>
    </row>
    <row r="44" spans="1:8" s="4215" customFormat="1">
      <c r="A44" s="4312"/>
      <c r="B44" s="4313"/>
      <c r="C44" s="4312"/>
      <c r="D44" s="4311"/>
      <c r="E44" s="4311"/>
      <c r="F44" s="4311"/>
      <c r="G44" s="4311"/>
      <c r="H44" s="4311"/>
    </row>
    <row r="45" spans="1:8" s="4215" customFormat="1">
      <c r="A45" s="4312"/>
      <c r="B45" s="4313"/>
      <c r="C45" s="4312"/>
      <c r="D45" s="4311"/>
      <c r="E45" s="4311"/>
      <c r="F45" s="4311"/>
      <c r="G45" s="4311"/>
      <c r="H45" s="4311"/>
    </row>
    <row r="46" spans="1:8" s="4215" customFormat="1">
      <c r="A46" s="4312"/>
      <c r="B46" s="4313"/>
      <c r="C46" s="4312"/>
      <c r="D46" s="4311"/>
      <c r="E46" s="4311"/>
      <c r="F46" s="4311"/>
      <c r="G46" s="4311"/>
      <c r="H46" s="4311"/>
    </row>
    <row r="47" spans="1:8" s="4215" customFormat="1">
      <c r="A47" s="4312"/>
      <c r="B47" s="4313"/>
      <c r="C47" s="4312"/>
      <c r="D47" s="4311"/>
      <c r="E47" s="4311"/>
      <c r="F47" s="4311"/>
      <c r="G47" s="4311"/>
      <c r="H47" s="4311"/>
    </row>
    <row r="48" spans="1:8" s="4215" customFormat="1">
      <c r="A48" s="4312"/>
      <c r="B48" s="4313"/>
      <c r="C48" s="4312"/>
      <c r="D48" s="4311"/>
      <c r="E48" s="4311"/>
      <c r="F48" s="4311"/>
      <c r="G48" s="4311"/>
      <c r="H48" s="4311"/>
    </row>
    <row r="49" spans="1:8" s="4215" customFormat="1">
      <c r="A49" s="4312"/>
      <c r="B49" s="4313"/>
      <c r="C49" s="4312"/>
      <c r="D49" s="4311"/>
      <c r="E49" s="4311"/>
      <c r="F49" s="4311"/>
      <c r="G49" s="4311"/>
      <c r="H49" s="4311"/>
    </row>
    <row r="50" spans="1:8" s="4215" customFormat="1">
      <c r="A50" s="4312"/>
      <c r="B50" s="4313"/>
      <c r="C50" s="4312"/>
      <c r="D50" s="4311"/>
      <c r="E50" s="4311"/>
      <c r="F50" s="4311"/>
      <c r="G50" s="4311"/>
      <c r="H50" s="4311"/>
    </row>
    <row r="51" spans="1:8" s="4215" customFormat="1">
      <c r="A51" s="4312"/>
      <c r="B51" s="4313"/>
      <c r="C51" s="4312"/>
      <c r="D51" s="4311"/>
      <c r="E51" s="4311"/>
      <c r="F51" s="4311"/>
      <c r="G51" s="4311"/>
      <c r="H51" s="4311"/>
    </row>
    <row r="52" spans="1:8" s="4212" customFormat="1">
      <c r="A52" s="4310"/>
      <c r="B52" s="4310"/>
      <c r="C52" s="4310"/>
      <c r="D52" s="4310"/>
      <c r="E52" s="4310"/>
      <c r="F52" s="4310"/>
      <c r="G52" s="4310"/>
      <c r="H52" s="4310"/>
    </row>
    <row r="53" spans="1:8" s="4212" customFormat="1">
      <c r="A53" s="4310"/>
      <c r="B53" s="4310"/>
      <c r="C53" s="4310"/>
      <c r="D53" s="4310"/>
      <c r="E53" s="4310"/>
      <c r="F53" s="4310"/>
      <c r="G53" s="4310"/>
      <c r="H53" s="4310"/>
    </row>
    <row r="54" spans="1:8" s="4212" customFormat="1">
      <c r="A54" s="4310"/>
      <c r="B54" s="4310"/>
      <c r="C54" s="4310"/>
      <c r="D54" s="4310"/>
      <c r="E54" s="4310"/>
      <c r="F54" s="4310"/>
      <c r="G54" s="4310"/>
      <c r="H54" s="4310"/>
    </row>
    <row r="55" spans="1:8" s="4212" customFormat="1">
      <c r="A55" s="4310"/>
      <c r="B55" s="4310"/>
      <c r="C55" s="4310"/>
      <c r="D55" s="4310"/>
      <c r="E55" s="4310"/>
      <c r="F55" s="4310"/>
      <c r="G55" s="4310"/>
      <c r="H55" s="4310"/>
    </row>
    <row r="56" spans="1:8" s="4212" customFormat="1">
      <c r="A56" s="4310"/>
      <c r="B56" s="4310"/>
      <c r="C56" s="4310"/>
      <c r="D56" s="4310"/>
      <c r="E56" s="4310"/>
      <c r="F56" s="4310"/>
      <c r="G56" s="4310"/>
      <c r="H56" s="4310"/>
    </row>
    <row r="57" spans="1:8" s="4212" customFormat="1">
      <c r="A57" s="4310"/>
      <c r="B57" s="4310"/>
      <c r="C57" s="4310"/>
      <c r="D57" s="4310"/>
      <c r="E57" s="4310"/>
      <c r="F57" s="4310"/>
      <c r="G57" s="4310"/>
      <c r="H57" s="4310"/>
    </row>
    <row r="58" spans="1:8" s="4212" customFormat="1">
      <c r="A58" s="4310"/>
      <c r="B58" s="4310"/>
      <c r="C58" s="4310"/>
      <c r="D58" s="4310"/>
      <c r="E58" s="4310"/>
      <c r="F58" s="4310"/>
      <c r="G58" s="4310"/>
      <c r="H58" s="4310"/>
    </row>
    <row r="59" spans="1:8" s="4212" customFormat="1">
      <c r="A59" s="4310"/>
      <c r="B59" s="4310"/>
      <c r="C59" s="4310"/>
      <c r="D59" s="4310"/>
      <c r="E59" s="4310"/>
      <c r="F59" s="4310"/>
      <c r="G59" s="4310"/>
      <c r="H59" s="4310"/>
    </row>
    <row r="60" spans="1:8" s="4212" customFormat="1">
      <c r="A60" s="4310"/>
      <c r="B60" s="4310"/>
      <c r="C60" s="4310"/>
      <c r="D60" s="4310"/>
      <c r="E60" s="4310"/>
      <c r="F60" s="4310"/>
      <c r="G60" s="4310"/>
      <c r="H60" s="4310"/>
    </row>
    <row r="61" spans="1:8" s="4212" customFormat="1">
      <c r="A61" s="4310"/>
      <c r="B61" s="4310"/>
      <c r="C61" s="4310"/>
      <c r="D61" s="4310"/>
      <c r="E61" s="4310"/>
      <c r="F61" s="4310"/>
      <c r="G61" s="4310"/>
      <c r="H61" s="4310"/>
    </row>
    <row r="62" spans="1:8" s="4212" customFormat="1">
      <c r="A62" s="4310"/>
      <c r="B62" s="4310"/>
      <c r="C62" s="4310"/>
      <c r="D62" s="4310"/>
      <c r="E62" s="4310"/>
      <c r="F62" s="4310"/>
      <c r="G62" s="4310"/>
      <c r="H62" s="4310"/>
    </row>
    <row r="63" spans="1:8" s="4212" customFormat="1">
      <c r="A63" s="4310"/>
      <c r="B63" s="4310"/>
      <c r="C63" s="4310"/>
      <c r="D63" s="4310"/>
      <c r="E63" s="4310"/>
      <c r="F63" s="4310"/>
      <c r="G63" s="4310"/>
      <c r="H63" s="4310"/>
    </row>
    <row r="64" spans="1:8" s="4212" customFormat="1">
      <c r="A64" s="4310"/>
      <c r="B64" s="4310"/>
      <c r="C64" s="4310"/>
      <c r="D64" s="4310"/>
      <c r="E64" s="4310"/>
      <c r="F64" s="4310"/>
      <c r="G64" s="4310"/>
      <c r="H64" s="4310"/>
    </row>
    <row r="65" spans="1:8" s="4212" customFormat="1">
      <c r="A65" s="4310"/>
      <c r="B65" s="4310"/>
      <c r="C65" s="4310"/>
      <c r="D65" s="4310"/>
      <c r="E65" s="4310"/>
      <c r="F65" s="4310"/>
      <c r="G65" s="4310"/>
      <c r="H65" s="4310"/>
    </row>
    <row r="66" spans="1:8" s="4212" customFormat="1">
      <c r="A66" s="4310"/>
      <c r="B66" s="4310"/>
      <c r="C66" s="4310"/>
      <c r="D66" s="4310"/>
      <c r="E66" s="4310"/>
      <c r="F66" s="4310"/>
      <c r="G66" s="4310"/>
      <c r="H66" s="4310"/>
    </row>
    <row r="67" spans="1:8" s="4212" customFormat="1">
      <c r="A67" s="4310"/>
      <c r="B67" s="4310"/>
      <c r="C67" s="4310"/>
      <c r="D67" s="4310"/>
      <c r="E67" s="4310"/>
      <c r="F67" s="4310"/>
      <c r="G67" s="4310"/>
      <c r="H67" s="4310"/>
    </row>
    <row r="68" spans="1:8" s="4212" customFormat="1">
      <c r="A68" s="4310"/>
      <c r="B68" s="4310"/>
      <c r="C68" s="4310"/>
      <c r="D68" s="4310"/>
      <c r="E68" s="4310"/>
      <c r="F68" s="4310"/>
      <c r="G68" s="4310"/>
      <c r="H68" s="4310"/>
    </row>
    <row r="69" spans="1:8" s="4212" customFormat="1">
      <c r="A69" s="4310"/>
      <c r="B69" s="4310"/>
      <c r="C69" s="4310"/>
      <c r="D69" s="4310"/>
      <c r="E69" s="4310"/>
      <c r="F69" s="4310"/>
      <c r="G69" s="4310"/>
      <c r="H69" s="4310"/>
    </row>
    <row r="70" spans="1:8" s="4212" customFormat="1">
      <c r="A70" s="4310"/>
      <c r="B70" s="4310"/>
      <c r="C70" s="4310"/>
      <c r="D70" s="4310"/>
      <c r="E70" s="4310"/>
      <c r="F70" s="4310"/>
      <c r="G70" s="4310"/>
      <c r="H70" s="4310"/>
    </row>
    <row r="71" spans="1:8" s="4212" customFormat="1">
      <c r="A71" s="4310"/>
      <c r="B71" s="4310"/>
      <c r="C71" s="4310"/>
      <c r="D71" s="4310"/>
      <c r="E71" s="4310"/>
      <c r="F71" s="4310"/>
      <c r="G71" s="4310"/>
      <c r="H71" s="4310"/>
    </row>
    <row r="72" spans="1:8" s="4212" customFormat="1">
      <c r="A72" s="4310"/>
      <c r="B72" s="4310"/>
      <c r="C72" s="4310"/>
      <c r="D72" s="4310"/>
      <c r="E72" s="4310"/>
      <c r="F72" s="4310"/>
      <c r="G72" s="4310"/>
      <c r="H72" s="4310"/>
    </row>
    <row r="73" spans="1:8" s="4212" customFormat="1">
      <c r="A73" s="4310"/>
      <c r="B73" s="4310"/>
      <c r="C73" s="4310"/>
      <c r="D73" s="4310"/>
      <c r="E73" s="4310"/>
      <c r="F73" s="4310"/>
      <c r="G73" s="4310"/>
      <c r="H73" s="4310"/>
    </row>
    <row r="74" spans="1:8" s="4212" customFormat="1">
      <c r="A74" s="4310"/>
      <c r="B74" s="4310"/>
      <c r="C74" s="4310"/>
      <c r="D74" s="4310"/>
      <c r="E74" s="4310"/>
      <c r="F74" s="4310"/>
      <c r="G74" s="4310"/>
      <c r="H74" s="4310"/>
    </row>
    <row r="75" spans="1:8" s="4212" customFormat="1">
      <c r="A75" s="4310"/>
      <c r="B75" s="4310"/>
      <c r="C75" s="4310"/>
      <c r="D75" s="4310"/>
      <c r="E75" s="4310"/>
      <c r="F75" s="4310"/>
      <c r="G75" s="4310"/>
      <c r="H75" s="4310"/>
    </row>
    <row r="76" spans="1:8" s="4212" customFormat="1">
      <c r="A76" s="4310"/>
      <c r="B76" s="4310"/>
      <c r="C76" s="4310"/>
      <c r="D76" s="4310"/>
      <c r="E76" s="4310"/>
      <c r="F76" s="4310"/>
      <c r="G76" s="4310"/>
      <c r="H76" s="4310"/>
    </row>
    <row r="77" spans="1:8" s="4212" customFormat="1">
      <c r="A77" s="4310"/>
      <c r="B77" s="4310"/>
      <c r="C77" s="4310"/>
      <c r="D77" s="4310"/>
      <c r="E77" s="4310"/>
      <c r="F77" s="4310"/>
      <c r="G77" s="4310"/>
      <c r="H77" s="4310"/>
    </row>
    <row r="78" spans="1:8" s="4212" customFormat="1">
      <c r="A78" s="4310"/>
      <c r="B78" s="4310"/>
      <c r="C78" s="4310"/>
      <c r="D78" s="4310"/>
      <c r="E78" s="4310"/>
      <c r="F78" s="4310"/>
      <c r="G78" s="4310"/>
      <c r="H78" s="4310"/>
    </row>
    <row r="79" spans="1:8" s="4212" customFormat="1">
      <c r="A79" s="4310"/>
      <c r="B79" s="4310"/>
      <c r="C79" s="4310"/>
      <c r="D79" s="4310"/>
      <c r="E79" s="4310"/>
      <c r="F79" s="4310"/>
      <c r="G79" s="4310"/>
      <c r="H79" s="4310"/>
    </row>
    <row r="80" spans="1:8" s="4212" customFormat="1">
      <c r="A80" s="4310"/>
      <c r="B80" s="4310"/>
      <c r="C80" s="4310"/>
      <c r="D80" s="4310"/>
      <c r="E80" s="4310"/>
      <c r="F80" s="4310"/>
      <c r="G80" s="4310"/>
      <c r="H80" s="4310"/>
    </row>
    <row r="81" spans="1:8" s="4212" customFormat="1">
      <c r="A81" s="4310"/>
      <c r="B81" s="4310"/>
      <c r="C81" s="4310"/>
      <c r="D81" s="4310"/>
      <c r="E81" s="4310"/>
      <c r="F81" s="4310"/>
      <c r="G81" s="4310"/>
      <c r="H81" s="4310"/>
    </row>
    <row r="82" spans="1:8" s="4212" customFormat="1">
      <c r="A82" s="4310"/>
      <c r="B82" s="4310"/>
      <c r="C82" s="4310"/>
      <c r="D82" s="4310"/>
      <c r="E82" s="4310"/>
      <c r="F82" s="4310"/>
      <c r="G82" s="4310"/>
      <c r="H82" s="4310"/>
    </row>
    <row r="83" spans="1:8" s="4212" customFormat="1">
      <c r="A83" s="4310"/>
      <c r="B83" s="4310"/>
      <c r="C83" s="4310"/>
      <c r="D83" s="4310"/>
      <c r="E83" s="4310"/>
      <c r="F83" s="4310"/>
      <c r="G83" s="4310"/>
      <c r="H83" s="4310"/>
    </row>
    <row r="84" spans="1:8" s="4212" customFormat="1">
      <c r="A84" s="4310"/>
      <c r="B84" s="4310"/>
      <c r="C84" s="4310"/>
      <c r="D84" s="4310"/>
      <c r="E84" s="4310"/>
      <c r="F84" s="4310"/>
      <c r="G84" s="4310"/>
      <c r="H84" s="4310"/>
    </row>
    <row r="85" spans="1:8" s="4212" customFormat="1">
      <c r="A85" s="4310"/>
      <c r="B85" s="4310"/>
      <c r="C85" s="4310"/>
      <c r="D85" s="4310"/>
      <c r="E85" s="4310"/>
      <c r="F85" s="4310"/>
      <c r="G85" s="4310"/>
      <c r="H85" s="4310"/>
    </row>
    <row r="86" spans="1:8" s="4212" customFormat="1">
      <c r="A86" s="4310"/>
      <c r="B86" s="4310"/>
      <c r="C86" s="4310"/>
      <c r="D86" s="4310"/>
      <c r="E86" s="4310"/>
      <c r="F86" s="4310"/>
      <c r="G86" s="4310"/>
      <c r="H86" s="4310"/>
    </row>
    <row r="87" spans="1:8" s="4212" customFormat="1">
      <c r="A87" s="4310"/>
      <c r="B87" s="4310"/>
      <c r="C87" s="4310"/>
      <c r="D87" s="4310"/>
      <c r="E87" s="4310"/>
      <c r="F87" s="4310"/>
      <c r="G87" s="4310"/>
      <c r="H87" s="4310"/>
    </row>
    <row r="88" spans="1:8" s="4212" customFormat="1">
      <c r="A88" s="4310"/>
      <c r="B88" s="4310"/>
      <c r="C88" s="4310"/>
      <c r="D88" s="4310"/>
      <c r="E88" s="4310"/>
      <c r="F88" s="4310"/>
      <c r="G88" s="4310"/>
      <c r="H88" s="4310"/>
    </row>
    <row r="89" spans="1:8" s="4212" customFormat="1">
      <c r="A89" s="4310"/>
      <c r="B89" s="4310"/>
      <c r="C89" s="4310"/>
      <c r="D89" s="4310"/>
      <c r="E89" s="4310"/>
      <c r="F89" s="4310"/>
      <c r="G89" s="4310"/>
      <c r="H89" s="4310"/>
    </row>
    <row r="90" spans="1:8" s="4212" customFormat="1">
      <c r="A90" s="4310"/>
      <c r="B90" s="4310"/>
      <c r="C90" s="4310"/>
      <c r="D90" s="4310"/>
      <c r="E90" s="4310"/>
      <c r="F90" s="4310"/>
      <c r="G90" s="4310"/>
      <c r="H90" s="4310"/>
    </row>
    <row r="91" spans="1:8" s="4212" customFormat="1">
      <c r="A91" s="4310"/>
      <c r="B91" s="4310"/>
      <c r="C91" s="4310"/>
      <c r="D91" s="4310"/>
      <c r="E91" s="4310"/>
      <c r="F91" s="4310"/>
      <c r="G91" s="4310"/>
      <c r="H91" s="4310"/>
    </row>
    <row r="92" spans="1:8" s="4212" customFormat="1">
      <c r="A92" s="4310"/>
      <c r="B92" s="4310"/>
      <c r="C92" s="4310"/>
      <c r="D92" s="4310"/>
      <c r="E92" s="4310"/>
      <c r="F92" s="4310"/>
      <c r="G92" s="4310"/>
      <c r="H92" s="4310"/>
    </row>
    <row r="93" spans="1:8" s="4212" customFormat="1">
      <c r="A93" s="4310"/>
      <c r="B93" s="4310"/>
      <c r="C93" s="4310"/>
      <c r="D93" s="4310"/>
      <c r="E93" s="4310"/>
      <c r="F93" s="4310"/>
      <c r="G93" s="4310"/>
      <c r="H93" s="4310"/>
    </row>
    <row r="94" spans="1:8" s="4212" customFormat="1">
      <c r="A94" s="4310"/>
      <c r="B94" s="4310"/>
      <c r="C94" s="4310"/>
      <c r="D94" s="4310"/>
      <c r="E94" s="4310"/>
      <c r="F94" s="4310"/>
      <c r="G94" s="4310"/>
      <c r="H94" s="4310"/>
    </row>
    <row r="95" spans="1:8" s="4212" customFormat="1">
      <c r="A95" s="4310"/>
      <c r="B95" s="4310"/>
      <c r="C95" s="4310"/>
      <c r="D95" s="4310"/>
      <c r="E95" s="4310"/>
      <c r="F95" s="4310"/>
      <c r="G95" s="4310"/>
      <c r="H95" s="4310"/>
    </row>
    <row r="96" spans="1:8" s="4212" customFormat="1">
      <c r="A96" s="4310"/>
      <c r="B96" s="4310"/>
      <c r="C96" s="4310"/>
      <c r="D96" s="4310"/>
      <c r="E96" s="4310"/>
      <c r="F96" s="4310"/>
      <c r="G96" s="4310"/>
      <c r="H96" s="4310"/>
    </row>
    <row r="97" spans="1:8" s="4212" customFormat="1">
      <c r="A97" s="4310"/>
      <c r="B97" s="4310"/>
      <c r="C97" s="4310"/>
      <c r="D97" s="4310"/>
      <c r="E97" s="4310"/>
      <c r="F97" s="4310"/>
      <c r="G97" s="4310"/>
      <c r="H97" s="4310"/>
    </row>
    <row r="98" spans="1:8" s="4212" customFormat="1">
      <c r="A98" s="4310"/>
      <c r="B98" s="4310"/>
      <c r="C98" s="4310"/>
      <c r="D98" s="4310"/>
      <c r="E98" s="4310"/>
      <c r="F98" s="4310"/>
      <c r="G98" s="4310"/>
      <c r="H98" s="4310"/>
    </row>
    <row r="99" spans="1:8" s="4212" customFormat="1">
      <c r="A99" s="4310"/>
      <c r="B99" s="4310"/>
      <c r="C99" s="4310"/>
      <c r="D99" s="4310"/>
      <c r="E99" s="4310"/>
      <c r="F99" s="4310"/>
      <c r="G99" s="4310"/>
      <c r="H99" s="4310"/>
    </row>
    <row r="100" spans="1:8" s="4212" customFormat="1">
      <c r="A100" s="4310"/>
      <c r="B100" s="4310"/>
      <c r="C100" s="4310"/>
      <c r="D100" s="4310"/>
      <c r="E100" s="4310"/>
      <c r="F100" s="4310"/>
      <c r="G100" s="4310"/>
      <c r="H100" s="4310"/>
    </row>
    <row r="101" spans="1:8" s="4212" customFormat="1">
      <c r="A101" s="4310"/>
      <c r="B101" s="4310"/>
      <c r="C101" s="4310"/>
      <c r="D101" s="4310"/>
      <c r="E101" s="4310"/>
      <c r="F101" s="4310"/>
      <c r="G101" s="4310"/>
      <c r="H101" s="4310"/>
    </row>
    <row r="102" spans="1:8" s="4212" customFormat="1">
      <c r="A102" s="4310"/>
      <c r="B102" s="4310"/>
      <c r="C102" s="4310"/>
      <c r="D102" s="4310"/>
      <c r="E102" s="4310"/>
      <c r="F102" s="4310"/>
      <c r="G102" s="4310"/>
      <c r="H102" s="4310"/>
    </row>
    <row r="103" spans="1:8" s="4212" customFormat="1">
      <c r="A103" s="4310"/>
      <c r="B103" s="4310"/>
      <c r="C103" s="4310"/>
      <c r="D103" s="4310"/>
      <c r="E103" s="4310"/>
      <c r="F103" s="4310"/>
      <c r="G103" s="4310"/>
      <c r="H103" s="4310"/>
    </row>
    <row r="104" spans="1:8" s="4212" customFormat="1">
      <c r="A104" s="4310"/>
      <c r="B104" s="4310"/>
      <c r="C104" s="4310"/>
      <c r="D104" s="4310"/>
      <c r="E104" s="4310"/>
      <c r="F104" s="4310"/>
      <c r="G104" s="4310"/>
      <c r="H104" s="4310"/>
    </row>
    <row r="105" spans="1:8" s="4212" customFormat="1">
      <c r="A105" s="4310"/>
      <c r="B105" s="4310"/>
      <c r="C105" s="4310"/>
      <c r="D105" s="4310"/>
      <c r="E105" s="4310"/>
      <c r="F105" s="4310"/>
      <c r="G105" s="4310"/>
      <c r="H105" s="4310"/>
    </row>
    <row r="106" spans="1:8" s="4212" customFormat="1">
      <c r="A106" s="4310"/>
      <c r="B106" s="4310"/>
      <c r="C106" s="4310"/>
      <c r="D106" s="4310"/>
      <c r="E106" s="4310"/>
      <c r="F106" s="4310"/>
      <c r="G106" s="4310"/>
      <c r="H106" s="4310"/>
    </row>
    <row r="107" spans="1:8" s="4212" customFormat="1">
      <c r="A107" s="4310"/>
      <c r="B107" s="4310"/>
      <c r="C107" s="4310"/>
      <c r="D107" s="4310"/>
      <c r="E107" s="4310"/>
      <c r="F107" s="4310"/>
      <c r="G107" s="4310"/>
      <c r="H107" s="4310"/>
    </row>
    <row r="108" spans="1:8" s="4212" customFormat="1">
      <c r="A108" s="4310"/>
      <c r="B108" s="4310"/>
      <c r="C108" s="4310"/>
      <c r="D108" s="4310"/>
      <c r="E108" s="4310"/>
      <c r="F108" s="4310"/>
      <c r="G108" s="4310"/>
      <c r="H108" s="4310"/>
    </row>
    <row r="109" spans="1:8" s="4212" customFormat="1">
      <c r="A109" s="4310"/>
      <c r="B109" s="4310"/>
      <c r="C109" s="4310"/>
      <c r="D109" s="4310"/>
      <c r="E109" s="4310"/>
      <c r="F109" s="4310"/>
      <c r="G109" s="4310"/>
      <c r="H109" s="4310"/>
    </row>
    <row r="110" spans="1:8" s="4212" customFormat="1">
      <c r="A110" s="4310"/>
      <c r="B110" s="4310"/>
      <c r="C110" s="4310"/>
      <c r="D110" s="4310"/>
      <c r="E110" s="4310"/>
      <c r="F110" s="4310"/>
      <c r="G110" s="4310"/>
      <c r="H110" s="4310"/>
    </row>
    <row r="111" spans="1:8" s="4212" customFormat="1">
      <c r="A111" s="4310"/>
      <c r="B111" s="4310"/>
      <c r="C111" s="4310"/>
      <c r="D111" s="4310"/>
      <c r="E111" s="4310"/>
      <c r="F111" s="4310"/>
      <c r="G111" s="4310"/>
      <c r="H111" s="4310"/>
    </row>
    <row r="112" spans="1:8" s="4212" customFormat="1">
      <c r="A112" s="4310"/>
      <c r="B112" s="4310"/>
      <c r="C112" s="4310"/>
      <c r="D112" s="4310"/>
      <c r="E112" s="4310"/>
      <c r="F112" s="4310"/>
      <c r="G112" s="4310"/>
      <c r="H112" s="4310"/>
    </row>
    <row r="113" spans="1:8" s="4212" customFormat="1">
      <c r="A113" s="4310"/>
      <c r="B113" s="4310"/>
      <c r="C113" s="4310"/>
      <c r="D113" s="4310"/>
      <c r="E113" s="4310"/>
      <c r="F113" s="4310"/>
      <c r="G113" s="4310"/>
      <c r="H113" s="4310"/>
    </row>
    <row r="114" spans="1:8" s="4212" customFormat="1">
      <c r="A114" s="4310"/>
      <c r="B114" s="4310"/>
      <c r="C114" s="4310"/>
      <c r="D114" s="4310"/>
      <c r="E114" s="4310"/>
      <c r="F114" s="4310"/>
      <c r="G114" s="4310"/>
      <c r="H114" s="4310"/>
    </row>
    <row r="115" spans="1:8" s="4212" customFormat="1">
      <c r="A115" s="4310"/>
      <c r="B115" s="4310"/>
      <c r="C115" s="4310"/>
      <c r="D115" s="4310"/>
      <c r="E115" s="4310"/>
      <c r="F115" s="4310"/>
      <c r="G115" s="4310"/>
      <c r="H115" s="4310"/>
    </row>
    <row r="116" spans="1:8" s="4212" customFormat="1">
      <c r="A116" s="4310"/>
      <c r="B116" s="4310"/>
      <c r="C116" s="4310"/>
      <c r="D116" s="4310"/>
      <c r="E116" s="4310"/>
      <c r="F116" s="4310"/>
      <c r="G116" s="4310"/>
      <c r="H116" s="4310"/>
    </row>
    <row r="117" spans="1:8" s="4212" customFormat="1">
      <c r="A117" s="4310"/>
      <c r="B117" s="4310"/>
      <c r="C117" s="4310"/>
      <c r="D117" s="4310"/>
      <c r="E117" s="4310"/>
      <c r="F117" s="4310"/>
      <c r="G117" s="4310"/>
      <c r="H117" s="4310"/>
    </row>
    <row r="118" spans="1:8" s="4212" customFormat="1">
      <c r="A118" s="4310"/>
      <c r="B118" s="4310"/>
      <c r="C118" s="4310"/>
      <c r="D118" s="4310"/>
      <c r="E118" s="4310"/>
      <c r="F118" s="4310"/>
      <c r="G118" s="4310"/>
      <c r="H118" s="4310"/>
    </row>
    <row r="119" spans="1:8" s="4212" customFormat="1">
      <c r="A119" s="4310"/>
      <c r="B119" s="4310"/>
      <c r="C119" s="4310"/>
      <c r="D119" s="4310"/>
      <c r="E119" s="4310"/>
      <c r="F119" s="4310"/>
      <c r="G119" s="4310"/>
      <c r="H119" s="4310"/>
    </row>
    <row r="120" spans="1:8" s="4212" customFormat="1">
      <c r="A120" s="4310"/>
      <c r="B120" s="4310"/>
      <c r="C120" s="4310"/>
      <c r="D120" s="4310"/>
      <c r="E120" s="4310"/>
      <c r="F120" s="4310"/>
      <c r="G120" s="4310"/>
      <c r="H120" s="4310"/>
    </row>
    <row r="121" spans="1:8" s="4212" customFormat="1">
      <c r="A121" s="4310"/>
      <c r="B121" s="4310"/>
      <c r="C121" s="4310"/>
      <c r="D121" s="4310"/>
      <c r="E121" s="4310"/>
      <c r="F121" s="4310"/>
      <c r="G121" s="4310"/>
      <c r="H121" s="4310"/>
    </row>
    <row r="122" spans="1:8" s="4212" customFormat="1">
      <c r="A122" s="4310"/>
      <c r="B122" s="4310"/>
      <c r="C122" s="4310"/>
      <c r="D122" s="4310"/>
      <c r="E122" s="4310"/>
      <c r="F122" s="4310"/>
      <c r="G122" s="4310"/>
      <c r="H122" s="4310"/>
    </row>
    <row r="123" spans="1:8" s="4212" customFormat="1">
      <c r="A123" s="4310"/>
      <c r="B123" s="4310"/>
      <c r="C123" s="4310"/>
      <c r="D123" s="4310"/>
      <c r="E123" s="4310"/>
      <c r="F123" s="4310"/>
      <c r="G123" s="4310"/>
      <c r="H123" s="4310"/>
    </row>
    <row r="124" spans="1:8" s="4212" customFormat="1">
      <c r="A124" s="4310"/>
      <c r="B124" s="4310"/>
      <c r="C124" s="4310"/>
      <c r="D124" s="4310"/>
      <c r="E124" s="4310"/>
      <c r="F124" s="4310"/>
      <c r="G124" s="4310"/>
      <c r="H124" s="4310"/>
    </row>
    <row r="125" spans="1:8" s="4212" customFormat="1">
      <c r="A125" s="4310"/>
      <c r="B125" s="4310"/>
      <c r="C125" s="4310"/>
      <c r="D125" s="4310"/>
      <c r="E125" s="4310"/>
      <c r="F125" s="4310"/>
      <c r="G125" s="4310"/>
      <c r="H125" s="4310"/>
    </row>
    <row r="126" spans="1:8" s="4212" customFormat="1">
      <c r="A126" s="4310"/>
      <c r="B126" s="4310"/>
      <c r="C126" s="4310"/>
      <c r="D126" s="4310"/>
      <c r="E126" s="4310"/>
      <c r="F126" s="4310"/>
      <c r="G126" s="4310"/>
      <c r="H126" s="4310"/>
    </row>
    <row r="127" spans="1:8" s="4212" customFormat="1">
      <c r="A127" s="4310"/>
      <c r="B127" s="4310"/>
      <c r="C127" s="4310"/>
      <c r="D127" s="4310"/>
      <c r="E127" s="4310"/>
      <c r="F127" s="4310"/>
      <c r="G127" s="4310"/>
      <c r="H127" s="4310"/>
    </row>
    <row r="128" spans="1:8" s="4212" customFormat="1">
      <c r="A128" s="4310"/>
      <c r="B128" s="4310"/>
      <c r="C128" s="4310"/>
      <c r="D128" s="4310"/>
      <c r="E128" s="4310"/>
      <c r="F128" s="4310"/>
      <c r="G128" s="4310"/>
      <c r="H128" s="4310"/>
    </row>
    <row r="129" spans="1:8" s="4212" customFormat="1">
      <c r="A129" s="4310"/>
      <c r="B129" s="4310"/>
      <c r="C129" s="4310"/>
      <c r="D129" s="4310"/>
      <c r="E129" s="4310"/>
      <c r="F129" s="4310"/>
      <c r="G129" s="4310"/>
      <c r="H129" s="4310"/>
    </row>
    <row r="130" spans="1:8" s="4212" customFormat="1">
      <c r="A130" s="4310"/>
      <c r="B130" s="4310"/>
      <c r="C130" s="4310"/>
      <c r="D130" s="4310"/>
      <c r="E130" s="4310"/>
      <c r="F130" s="4310"/>
      <c r="G130" s="4310"/>
      <c r="H130" s="4310"/>
    </row>
    <row r="131" spans="1:8" s="4212" customFormat="1">
      <c r="A131" s="4310"/>
      <c r="B131" s="4310"/>
      <c r="C131" s="4310"/>
      <c r="D131" s="4310"/>
      <c r="E131" s="4310"/>
      <c r="F131" s="4310"/>
      <c r="G131" s="4310"/>
      <c r="H131" s="4310"/>
    </row>
    <row r="132" spans="1:8" s="4212" customFormat="1">
      <c r="A132" s="4310"/>
      <c r="B132" s="4310"/>
      <c r="C132" s="4310"/>
      <c r="D132" s="4310"/>
      <c r="E132" s="4310"/>
      <c r="F132" s="4310"/>
      <c r="G132" s="4310"/>
      <c r="H132" s="4310"/>
    </row>
    <row r="133" spans="1:8" s="4212" customFormat="1">
      <c r="A133" s="4310"/>
      <c r="B133" s="4310"/>
      <c r="C133" s="4310"/>
      <c r="D133" s="4310"/>
      <c r="E133" s="4310"/>
      <c r="F133" s="4310"/>
      <c r="G133" s="4310"/>
      <c r="H133" s="4310"/>
    </row>
    <row r="134" spans="1:8" s="4212" customFormat="1">
      <c r="A134" s="4310"/>
      <c r="B134" s="4310"/>
      <c r="C134" s="4310"/>
      <c r="D134" s="4310"/>
      <c r="E134" s="4310"/>
      <c r="F134" s="4310"/>
      <c r="G134" s="4310"/>
      <c r="H134" s="4310"/>
    </row>
    <row r="135" spans="1:8" s="4212" customFormat="1">
      <c r="A135" s="4310"/>
      <c r="B135" s="4310"/>
      <c r="C135" s="4310"/>
      <c r="D135" s="4310"/>
      <c r="E135" s="4310"/>
      <c r="F135" s="4310"/>
      <c r="G135" s="4310"/>
      <c r="H135" s="4310"/>
    </row>
    <row r="136" spans="1:8" s="4212" customFormat="1">
      <c r="A136" s="4310"/>
      <c r="B136" s="4310"/>
      <c r="C136" s="4310"/>
      <c r="D136" s="4310"/>
      <c r="E136" s="4310"/>
      <c r="F136" s="4310"/>
      <c r="G136" s="4310"/>
      <c r="H136" s="4310"/>
    </row>
    <row r="137" spans="1:8" s="4212" customFormat="1">
      <c r="A137" s="4310"/>
      <c r="B137" s="4310"/>
      <c r="C137" s="4310"/>
      <c r="D137" s="4310"/>
      <c r="E137" s="4310"/>
      <c r="F137" s="4310"/>
      <c r="G137" s="4310"/>
      <c r="H137" s="4310"/>
    </row>
    <row r="138" spans="1:8" s="4212" customFormat="1">
      <c r="A138" s="4310"/>
      <c r="B138" s="4310"/>
      <c r="C138" s="4310"/>
      <c r="D138" s="4310"/>
      <c r="E138" s="4310"/>
      <c r="F138" s="4310"/>
      <c r="G138" s="4310"/>
      <c r="H138" s="4310"/>
    </row>
    <row r="139" spans="1:8" s="4212" customFormat="1">
      <c r="A139" s="4310"/>
      <c r="B139" s="4310"/>
      <c r="C139" s="4310"/>
      <c r="D139" s="4310"/>
      <c r="E139" s="4310"/>
      <c r="F139" s="4310"/>
      <c r="G139" s="4310"/>
      <c r="H139" s="4310"/>
    </row>
    <row r="140" spans="1:8" s="4212" customFormat="1">
      <c r="A140" s="4310"/>
      <c r="B140" s="4310"/>
      <c r="C140" s="4310"/>
      <c r="D140" s="4310"/>
      <c r="E140" s="4310"/>
      <c r="F140" s="4310"/>
      <c r="G140" s="4310"/>
      <c r="H140" s="4310"/>
    </row>
    <row r="141" spans="1:8" s="4212" customFormat="1">
      <c r="A141" s="4310"/>
      <c r="B141" s="4310"/>
      <c r="C141" s="4310"/>
      <c r="D141" s="4310"/>
      <c r="E141" s="4310"/>
      <c r="F141" s="4310"/>
      <c r="G141" s="4310"/>
      <c r="H141" s="4310"/>
    </row>
    <row r="142" spans="1:8" s="4212" customFormat="1">
      <c r="A142" s="4310"/>
      <c r="B142" s="4310"/>
      <c r="C142" s="4310"/>
      <c r="D142" s="4310"/>
      <c r="E142" s="4310"/>
      <c r="F142" s="4310"/>
      <c r="G142" s="4310"/>
      <c r="H142" s="4310"/>
    </row>
    <row r="143" spans="1:8" s="4212" customFormat="1">
      <c r="A143" s="4310"/>
      <c r="B143" s="4310"/>
      <c r="C143" s="4310"/>
      <c r="D143" s="4310"/>
      <c r="E143" s="4310"/>
      <c r="F143" s="4310"/>
      <c r="G143" s="4310"/>
      <c r="H143" s="4310"/>
    </row>
    <row r="144" spans="1:8" s="4212" customFormat="1">
      <c r="A144" s="4310"/>
      <c r="B144" s="4310"/>
      <c r="C144" s="4310"/>
      <c r="D144" s="4310"/>
      <c r="E144" s="4310"/>
      <c r="F144" s="4310"/>
      <c r="G144" s="4310"/>
      <c r="H144" s="4310"/>
    </row>
    <row r="145" spans="1:8" s="4212" customFormat="1">
      <c r="A145" s="4310"/>
      <c r="B145" s="4310"/>
      <c r="C145" s="4310"/>
      <c r="D145" s="4310"/>
      <c r="E145" s="4310"/>
      <c r="F145" s="4310"/>
      <c r="G145" s="4310"/>
      <c r="H145" s="4310"/>
    </row>
    <row r="146" spans="1:8" s="4212" customFormat="1">
      <c r="A146" s="4310"/>
      <c r="B146" s="4310"/>
      <c r="C146" s="4310"/>
      <c r="D146" s="4310"/>
      <c r="E146" s="4310"/>
      <c r="F146" s="4310"/>
      <c r="G146" s="4310"/>
      <c r="H146" s="4310"/>
    </row>
    <row r="147" spans="1:8" s="4212" customFormat="1">
      <c r="A147" s="4310"/>
      <c r="B147" s="4310"/>
      <c r="C147" s="4310"/>
      <c r="D147" s="4310"/>
      <c r="E147" s="4310"/>
      <c r="F147" s="4310"/>
      <c r="G147" s="4310"/>
      <c r="H147" s="4310"/>
    </row>
    <row r="148" spans="1:8" s="4212" customFormat="1">
      <c r="A148" s="4310"/>
      <c r="B148" s="4310"/>
      <c r="C148" s="4310"/>
      <c r="D148" s="4310"/>
      <c r="E148" s="4310"/>
      <c r="F148" s="4310"/>
      <c r="G148" s="4310"/>
      <c r="H148" s="4310"/>
    </row>
    <row r="149" spans="1:8" s="4212" customFormat="1">
      <c r="A149" s="4310"/>
      <c r="B149" s="4310"/>
      <c r="C149" s="4310"/>
      <c r="D149" s="4310"/>
      <c r="E149" s="4310"/>
      <c r="F149" s="4310"/>
      <c r="G149" s="4310"/>
      <c r="H149" s="4310"/>
    </row>
    <row r="150" spans="1:8" s="4212" customFormat="1">
      <c r="A150" s="4310"/>
      <c r="B150" s="4310"/>
      <c r="C150" s="4310"/>
      <c r="D150" s="4310"/>
      <c r="E150" s="4310"/>
      <c r="F150" s="4310"/>
      <c r="G150" s="4310"/>
      <c r="H150" s="4310"/>
    </row>
    <row r="151" spans="1:8" s="4212" customFormat="1">
      <c r="A151" s="4310"/>
      <c r="B151" s="4310"/>
      <c r="C151" s="4310"/>
      <c r="D151" s="4310"/>
      <c r="E151" s="4310"/>
      <c r="F151" s="4310"/>
      <c r="G151" s="4310"/>
      <c r="H151" s="4310"/>
    </row>
    <row r="152" spans="1:8" s="4212" customFormat="1">
      <c r="A152" s="4310"/>
      <c r="B152" s="4310"/>
      <c r="C152" s="4310"/>
      <c r="D152" s="4310"/>
      <c r="E152" s="4310"/>
      <c r="F152" s="4310"/>
      <c r="G152" s="4310"/>
      <c r="H152" s="4310"/>
    </row>
    <row r="153" spans="1:8" s="4212" customFormat="1">
      <c r="A153" s="4310"/>
      <c r="B153" s="4310"/>
      <c r="C153" s="4310"/>
      <c r="D153" s="4310"/>
      <c r="E153" s="4310"/>
      <c r="F153" s="4310"/>
      <c r="G153" s="4310"/>
      <c r="H153" s="4310"/>
    </row>
    <row r="154" spans="1:8" s="4212" customFormat="1">
      <c r="A154" s="4310"/>
      <c r="B154" s="4310"/>
      <c r="C154" s="4310"/>
      <c r="D154" s="4310"/>
      <c r="E154" s="4310"/>
      <c r="F154" s="4310"/>
      <c r="G154" s="4310"/>
      <c r="H154" s="4310"/>
    </row>
    <row r="155" spans="1:8" s="4212" customFormat="1">
      <c r="A155" s="4310"/>
      <c r="B155" s="4310"/>
      <c r="C155" s="4310"/>
      <c r="D155" s="4310"/>
      <c r="E155" s="4310"/>
      <c r="F155" s="4310"/>
      <c r="G155" s="4310"/>
      <c r="H155" s="4310"/>
    </row>
    <row r="156" spans="1:8" s="4212" customFormat="1">
      <c r="A156" s="4310"/>
      <c r="B156" s="4310"/>
      <c r="C156" s="4310"/>
      <c r="D156" s="4310"/>
      <c r="E156" s="4310"/>
      <c r="F156" s="4310"/>
      <c r="G156" s="4310"/>
      <c r="H156" s="4310"/>
    </row>
    <row r="157" spans="1:8" s="4212" customFormat="1">
      <c r="A157" s="4310"/>
      <c r="B157" s="4310"/>
      <c r="C157" s="4310"/>
      <c r="D157" s="4310"/>
      <c r="E157" s="4310"/>
      <c r="F157" s="4310"/>
      <c r="G157" s="4310"/>
      <c r="H157" s="4310"/>
    </row>
    <row r="158" spans="1:8" s="4212" customFormat="1">
      <c r="A158" s="4310"/>
      <c r="B158" s="4310"/>
      <c r="C158" s="4310"/>
      <c r="D158" s="4310"/>
      <c r="E158" s="4310"/>
      <c r="F158" s="4310"/>
      <c r="G158" s="4310"/>
      <c r="H158" s="4310"/>
    </row>
    <row r="159" spans="1:8" s="4212" customFormat="1">
      <c r="A159" s="4310"/>
      <c r="B159" s="4310"/>
      <c r="C159" s="4310"/>
      <c r="D159" s="4310"/>
      <c r="E159" s="4310"/>
      <c r="F159" s="4310"/>
      <c r="G159" s="4310"/>
      <c r="H159" s="4310"/>
    </row>
    <row r="160" spans="1:8" s="4212" customFormat="1">
      <c r="A160" s="4310"/>
      <c r="B160" s="4310"/>
      <c r="C160" s="4310"/>
      <c r="D160" s="4310"/>
      <c r="E160" s="4310"/>
      <c r="F160" s="4310"/>
      <c r="G160" s="4310"/>
      <c r="H160" s="4310"/>
    </row>
    <row r="161" spans="1:8" s="4212" customFormat="1">
      <c r="A161" s="4310"/>
      <c r="B161" s="4310"/>
      <c r="C161" s="4310"/>
      <c r="D161" s="4310"/>
      <c r="E161" s="4310"/>
      <c r="F161" s="4310"/>
      <c r="G161" s="4310"/>
      <c r="H161" s="4310"/>
    </row>
    <row r="162" spans="1:8" s="4212" customFormat="1">
      <c r="A162" s="4310"/>
      <c r="B162" s="4310"/>
      <c r="C162" s="4310"/>
      <c r="D162" s="4310"/>
      <c r="E162" s="4310"/>
      <c r="F162" s="4310"/>
      <c r="G162" s="4310"/>
      <c r="H162" s="4310"/>
    </row>
    <row r="163" spans="1:8" s="4212" customFormat="1">
      <c r="A163" s="4310"/>
      <c r="B163" s="4310"/>
      <c r="C163" s="4310"/>
      <c r="D163" s="4310"/>
      <c r="E163" s="4310"/>
      <c r="F163" s="4310"/>
      <c r="G163" s="4310"/>
      <c r="H163" s="4310"/>
    </row>
    <row r="164" spans="1:8" s="4212" customFormat="1">
      <c r="A164" s="4310"/>
      <c r="B164" s="4310"/>
      <c r="C164" s="4310"/>
      <c r="D164" s="4310"/>
      <c r="E164" s="4310"/>
      <c r="F164" s="4310"/>
      <c r="G164" s="4310"/>
      <c r="H164" s="4310"/>
    </row>
    <row r="165" spans="1:8" s="4212" customFormat="1">
      <c r="A165" s="4310"/>
      <c r="B165" s="4310"/>
      <c r="C165" s="4310"/>
      <c r="D165" s="4310"/>
      <c r="E165" s="4310"/>
      <c r="F165" s="4310"/>
      <c r="G165" s="4310"/>
      <c r="H165" s="4310"/>
    </row>
    <row r="166" spans="1:8" s="4212" customFormat="1">
      <c r="A166" s="4310"/>
      <c r="B166" s="4310"/>
      <c r="C166" s="4310"/>
      <c r="D166" s="4310"/>
      <c r="E166" s="4310"/>
      <c r="F166" s="4310"/>
      <c r="G166" s="4310"/>
      <c r="H166" s="4310"/>
    </row>
    <row r="167" spans="1:8" s="4212" customFormat="1">
      <c r="A167" s="4310"/>
      <c r="B167" s="4310"/>
      <c r="C167" s="4310"/>
      <c r="D167" s="4310"/>
      <c r="E167" s="4310"/>
      <c r="F167" s="4310"/>
      <c r="G167" s="4310"/>
      <c r="H167" s="4310"/>
    </row>
    <row r="168" spans="1:8" s="4212" customFormat="1">
      <c r="A168" s="4310"/>
      <c r="B168" s="4310"/>
      <c r="C168" s="4310"/>
      <c r="D168" s="4310"/>
      <c r="E168" s="4310"/>
      <c r="F168" s="4310"/>
      <c r="G168" s="4310"/>
      <c r="H168" s="4310"/>
    </row>
    <row r="169" spans="1:8" s="4212" customFormat="1">
      <c r="A169" s="4310"/>
      <c r="B169" s="4310"/>
      <c r="C169" s="4310"/>
      <c r="D169" s="4310"/>
      <c r="E169" s="4310"/>
      <c r="F169" s="4310"/>
      <c r="G169" s="4310"/>
      <c r="H169" s="4310"/>
    </row>
    <row r="170" spans="1:8" s="4212" customFormat="1">
      <c r="A170" s="4310"/>
      <c r="B170" s="4310"/>
      <c r="C170" s="4310"/>
      <c r="D170" s="4310"/>
      <c r="E170" s="4310"/>
      <c r="F170" s="4310"/>
      <c r="G170" s="4310"/>
      <c r="H170" s="4310"/>
    </row>
    <row r="171" spans="1:8" s="4212" customFormat="1">
      <c r="A171" s="4310"/>
      <c r="B171" s="4310"/>
      <c r="C171" s="4310"/>
      <c r="D171" s="4310"/>
      <c r="E171" s="4310"/>
      <c r="F171" s="4310"/>
      <c r="G171" s="4310"/>
      <c r="H171" s="4310"/>
    </row>
    <row r="172" spans="1:8" s="4212" customFormat="1">
      <c r="A172" s="4310"/>
      <c r="B172" s="4310"/>
      <c r="C172" s="4310"/>
      <c r="D172" s="4310"/>
      <c r="E172" s="4310"/>
      <c r="F172" s="4310"/>
      <c r="G172" s="4310"/>
      <c r="H172" s="4310"/>
    </row>
    <row r="173" spans="1:8" s="4212" customFormat="1">
      <c r="A173" s="4310"/>
      <c r="B173" s="4310"/>
      <c r="C173" s="4310"/>
      <c r="D173" s="4310"/>
      <c r="E173" s="4310"/>
      <c r="F173" s="4310"/>
      <c r="G173" s="4310"/>
      <c r="H173" s="4310"/>
    </row>
    <row r="174" spans="1:8" s="4212" customFormat="1">
      <c r="A174" s="4310"/>
      <c r="B174" s="4310"/>
      <c r="C174" s="4310"/>
      <c r="D174" s="4310"/>
      <c r="E174" s="4310"/>
      <c r="F174" s="4310"/>
      <c r="G174" s="4310"/>
      <c r="H174" s="4310"/>
    </row>
    <row r="175" spans="1:8" s="4212" customFormat="1">
      <c r="A175" s="4310"/>
      <c r="B175" s="4310"/>
      <c r="C175" s="4310"/>
      <c r="D175" s="4310"/>
      <c r="E175" s="4310"/>
      <c r="F175" s="4310"/>
      <c r="G175" s="4310"/>
      <c r="H175" s="4310"/>
    </row>
    <row r="176" spans="1:8" s="4212" customFormat="1">
      <c r="A176" s="4310"/>
      <c r="B176" s="4310"/>
      <c r="C176" s="4310"/>
      <c r="D176" s="4310"/>
      <c r="E176" s="4310"/>
      <c r="F176" s="4310"/>
      <c r="G176" s="4310"/>
      <c r="H176" s="4310"/>
    </row>
    <row r="177" spans="1:8" s="4212" customFormat="1">
      <c r="A177" s="4310"/>
      <c r="B177" s="4310"/>
      <c r="C177" s="4310"/>
      <c r="D177" s="4310"/>
      <c r="E177" s="4310"/>
      <c r="F177" s="4310"/>
      <c r="G177" s="4310"/>
      <c r="H177" s="4310"/>
    </row>
    <row r="178" spans="1:8" s="4212" customFormat="1">
      <c r="A178" s="4310"/>
      <c r="B178" s="4310"/>
      <c r="C178" s="4310"/>
      <c r="D178" s="4310"/>
      <c r="E178" s="4310"/>
      <c r="F178" s="4310"/>
      <c r="G178" s="4310"/>
      <c r="H178" s="4310"/>
    </row>
    <row r="179" spans="1:8" s="4212" customFormat="1">
      <c r="A179" s="4310"/>
      <c r="B179" s="4310"/>
      <c r="C179" s="4310"/>
      <c r="D179" s="4310"/>
      <c r="E179" s="4310"/>
      <c r="F179" s="4310"/>
      <c r="G179" s="4310"/>
      <c r="H179" s="4310"/>
    </row>
    <row r="180" spans="1:8" s="4212" customFormat="1">
      <c r="A180" s="4310"/>
      <c r="B180" s="4310"/>
      <c r="C180" s="4310"/>
      <c r="D180" s="4310"/>
      <c r="E180" s="4310"/>
      <c r="F180" s="4310"/>
      <c r="G180" s="4310"/>
      <c r="H180" s="4310"/>
    </row>
    <row r="181" spans="1:8" s="4212" customFormat="1">
      <c r="A181" s="4310"/>
      <c r="B181" s="4310"/>
      <c r="C181" s="4310"/>
      <c r="D181" s="4310"/>
      <c r="E181" s="4310"/>
      <c r="F181" s="4310"/>
      <c r="G181" s="4310"/>
      <c r="H181" s="4310"/>
    </row>
    <row r="182" spans="1:8" s="4212" customFormat="1">
      <c r="A182" s="4310"/>
      <c r="B182" s="4310"/>
      <c r="C182" s="4310"/>
      <c r="D182" s="4310"/>
      <c r="E182" s="4310"/>
      <c r="F182" s="4310"/>
      <c r="G182" s="4310"/>
      <c r="H182" s="4310"/>
    </row>
    <row r="183" spans="1:8" s="4212" customFormat="1">
      <c r="A183" s="4310"/>
      <c r="B183" s="4310"/>
      <c r="C183" s="4310"/>
      <c r="D183" s="4310"/>
      <c r="E183" s="4310"/>
      <c r="F183" s="4310"/>
      <c r="G183" s="4310"/>
      <c r="H183" s="4310"/>
    </row>
    <row r="184" spans="1:8" s="4212" customFormat="1">
      <c r="A184" s="4310"/>
      <c r="B184" s="4310"/>
      <c r="C184" s="4310"/>
      <c r="D184" s="4310"/>
      <c r="E184" s="4310"/>
      <c r="F184" s="4310"/>
      <c r="G184" s="4310"/>
      <c r="H184" s="4310"/>
    </row>
    <row r="185" spans="1:8" s="4212" customFormat="1">
      <c r="A185" s="4310"/>
      <c r="B185" s="4310"/>
      <c r="C185" s="4310"/>
      <c r="D185" s="4310"/>
      <c r="E185" s="4310"/>
      <c r="F185" s="4310"/>
      <c r="G185" s="4310"/>
      <c r="H185" s="4310"/>
    </row>
    <row r="186" spans="1:8" s="4212" customFormat="1">
      <c r="A186" s="4310"/>
      <c r="B186" s="4310"/>
      <c r="C186" s="4310"/>
      <c r="D186" s="4310"/>
      <c r="E186" s="4310"/>
      <c r="F186" s="4310"/>
      <c r="G186" s="4310"/>
      <c r="H186" s="4310"/>
    </row>
    <row r="187" spans="1:8" s="4212" customFormat="1">
      <c r="A187" s="4310"/>
      <c r="B187" s="4310"/>
      <c r="C187" s="4310"/>
      <c r="D187" s="4310"/>
      <c r="E187" s="4310"/>
      <c r="F187" s="4310"/>
      <c r="G187" s="4310"/>
      <c r="H187" s="4310"/>
    </row>
    <row r="188" spans="1:8" s="4212" customFormat="1">
      <c r="A188" s="4310"/>
      <c r="B188" s="4310"/>
      <c r="C188" s="4310"/>
      <c r="D188" s="4310"/>
      <c r="E188" s="4310"/>
      <c r="F188" s="4310"/>
      <c r="G188" s="4310"/>
      <c r="H188" s="4310"/>
    </row>
    <row r="189" spans="1:8" s="4212" customFormat="1">
      <c r="A189" s="4310"/>
      <c r="B189" s="4310"/>
      <c r="C189" s="4310"/>
      <c r="D189" s="4310"/>
      <c r="E189" s="4310"/>
      <c r="F189" s="4310"/>
      <c r="G189" s="4310"/>
      <c r="H189" s="4310"/>
    </row>
    <row r="190" spans="1:8" s="4212" customFormat="1">
      <c r="A190" s="4310"/>
      <c r="B190" s="4310"/>
      <c r="C190" s="4310"/>
      <c r="D190" s="4310"/>
      <c r="E190" s="4310"/>
      <c r="F190" s="4310"/>
      <c r="G190" s="4310"/>
      <c r="H190" s="4310"/>
    </row>
    <row r="191" spans="1:8" s="4212" customFormat="1">
      <c r="A191" s="4310"/>
      <c r="B191" s="4310"/>
      <c r="C191" s="4310"/>
      <c r="D191" s="4310"/>
      <c r="E191" s="4310"/>
      <c r="F191" s="4310"/>
      <c r="G191" s="4310"/>
      <c r="H191" s="4310"/>
    </row>
    <row r="192" spans="1:8" s="4212" customFormat="1">
      <c r="A192" s="4310"/>
      <c r="B192" s="4310"/>
      <c r="C192" s="4310"/>
      <c r="D192" s="4310"/>
      <c r="E192" s="4310"/>
      <c r="F192" s="4310"/>
      <c r="G192" s="4310"/>
      <c r="H192" s="4310"/>
    </row>
    <row r="193" spans="1:8" s="4212" customFormat="1">
      <c r="A193" s="4310"/>
      <c r="B193" s="4310"/>
      <c r="C193" s="4310"/>
      <c r="D193" s="4310"/>
      <c r="E193" s="4310"/>
      <c r="F193" s="4310"/>
      <c r="G193" s="4310"/>
      <c r="H193" s="4310"/>
    </row>
    <row r="194" spans="1:8" s="4212" customFormat="1">
      <c r="A194" s="4310"/>
      <c r="B194" s="4310"/>
      <c r="C194" s="4310"/>
      <c r="D194" s="4310"/>
      <c r="E194" s="4310"/>
      <c r="F194" s="4310"/>
      <c r="G194" s="4310"/>
      <c r="H194" s="4310"/>
    </row>
    <row r="195" spans="1:8" s="4212" customFormat="1">
      <c r="A195" s="4310"/>
      <c r="B195" s="4310"/>
      <c r="C195" s="4310"/>
      <c r="D195" s="4310"/>
      <c r="E195" s="4310"/>
      <c r="F195" s="4310"/>
      <c r="G195" s="4310"/>
      <c r="H195" s="4310"/>
    </row>
    <row r="196" spans="1:8" s="4212" customFormat="1">
      <c r="A196" s="4310"/>
      <c r="B196" s="4310"/>
      <c r="C196" s="4310"/>
      <c r="D196" s="4310"/>
      <c r="E196" s="4310"/>
      <c r="F196" s="4310"/>
      <c r="G196" s="4310"/>
      <c r="H196" s="4310"/>
    </row>
    <row r="197" spans="1:8" s="4212" customFormat="1">
      <c r="A197" s="4310"/>
      <c r="B197" s="4310"/>
      <c r="C197" s="4310"/>
      <c r="D197" s="4310"/>
      <c r="E197" s="4310"/>
      <c r="F197" s="4310"/>
      <c r="G197" s="4310"/>
      <c r="H197" s="4310"/>
    </row>
    <row r="198" spans="1:8" s="4212" customFormat="1">
      <c r="A198" s="4310"/>
      <c r="B198" s="4310"/>
      <c r="C198" s="4310"/>
      <c r="D198" s="4310"/>
      <c r="E198" s="4310"/>
      <c r="F198" s="4310"/>
      <c r="G198" s="4310"/>
      <c r="H198" s="4310"/>
    </row>
    <row r="199" spans="1:8" s="4212" customFormat="1">
      <c r="A199" s="4310"/>
      <c r="B199" s="4310"/>
      <c r="C199" s="4310"/>
      <c r="D199" s="4310"/>
      <c r="E199" s="4310"/>
      <c r="F199" s="4310"/>
      <c r="G199" s="4310"/>
      <c r="H199" s="4310"/>
    </row>
    <row r="200" spans="1:8" s="4212" customFormat="1">
      <c r="A200" s="4310"/>
      <c r="B200" s="4310"/>
      <c r="C200" s="4310"/>
      <c r="D200" s="4310"/>
      <c r="E200" s="4310"/>
      <c r="F200" s="4310"/>
      <c r="G200" s="4310"/>
      <c r="H200" s="4310"/>
    </row>
    <row r="201" spans="1:8" s="4212" customFormat="1">
      <c r="A201" s="4310"/>
      <c r="B201" s="4310"/>
      <c r="C201" s="4310"/>
      <c r="D201" s="4310"/>
      <c r="E201" s="4310"/>
      <c r="F201" s="4310"/>
      <c r="G201" s="4310"/>
      <c r="H201" s="4310"/>
    </row>
    <row r="202" spans="1:8" s="4212" customFormat="1">
      <c r="A202" s="4310"/>
      <c r="B202" s="4310"/>
      <c r="C202" s="4310"/>
      <c r="D202" s="4310"/>
      <c r="E202" s="4310"/>
      <c r="F202" s="4310"/>
      <c r="G202" s="4310"/>
      <c r="H202" s="4310"/>
    </row>
    <row r="203" spans="1:8" s="4212" customFormat="1">
      <c r="A203" s="4310"/>
      <c r="B203" s="4310"/>
      <c r="C203" s="4310"/>
      <c r="D203" s="4310"/>
      <c r="E203" s="4310"/>
      <c r="F203" s="4310"/>
      <c r="G203" s="4310"/>
      <c r="H203" s="4310"/>
    </row>
    <row r="204" spans="1:8" s="4212" customFormat="1">
      <c r="A204" s="4310"/>
      <c r="B204" s="4310"/>
      <c r="C204" s="4310"/>
      <c r="D204" s="4310"/>
      <c r="E204" s="4310"/>
      <c r="F204" s="4310"/>
      <c r="G204" s="4310"/>
      <c r="H204" s="4310"/>
    </row>
    <row r="205" spans="1:8" s="4212" customFormat="1">
      <c r="A205" s="4310"/>
      <c r="B205" s="4310"/>
      <c r="C205" s="4310"/>
      <c r="D205" s="4310"/>
      <c r="E205" s="4310"/>
      <c r="F205" s="4310"/>
      <c r="G205" s="4310"/>
      <c r="H205" s="4310"/>
    </row>
    <row r="206" spans="1:8" s="4212" customFormat="1">
      <c r="A206" s="4310"/>
      <c r="B206" s="4310"/>
      <c r="C206" s="4310"/>
      <c r="D206" s="4310"/>
      <c r="E206" s="4310"/>
      <c r="F206" s="4310"/>
      <c r="G206" s="4310"/>
      <c r="H206" s="4310"/>
    </row>
    <row r="207" spans="1:8" s="4212" customFormat="1">
      <c r="A207" s="4310"/>
      <c r="B207" s="4310"/>
      <c r="C207" s="4310"/>
      <c r="D207" s="4310"/>
      <c r="E207" s="4310"/>
      <c r="F207" s="4310"/>
      <c r="G207" s="4310"/>
      <c r="H207" s="4310"/>
    </row>
    <row r="208" spans="1:8" s="4212" customFormat="1">
      <c r="A208" s="4310"/>
      <c r="B208" s="4310"/>
      <c r="C208" s="4310"/>
      <c r="D208" s="4310"/>
      <c r="E208" s="4310"/>
      <c r="F208" s="4310"/>
      <c r="G208" s="4310"/>
      <c r="H208" s="4310"/>
    </row>
    <row r="209" spans="1:8" s="4212" customFormat="1">
      <c r="A209" s="4310"/>
      <c r="B209" s="4310"/>
      <c r="C209" s="4310"/>
      <c r="D209" s="4310"/>
      <c r="E209" s="4310"/>
      <c r="F209" s="4310"/>
      <c r="G209" s="4310"/>
      <c r="H209" s="4310"/>
    </row>
    <row r="210" spans="1:8" s="4212" customFormat="1">
      <c r="A210" s="4310"/>
      <c r="B210" s="4310"/>
      <c r="C210" s="4310"/>
      <c r="D210" s="4310"/>
      <c r="E210" s="4310"/>
      <c r="F210" s="4310"/>
      <c r="G210" s="4310"/>
      <c r="H210" s="4310"/>
    </row>
    <row r="211" spans="1:8" s="4212" customFormat="1">
      <c r="A211" s="4310"/>
      <c r="B211" s="4310"/>
      <c r="C211" s="4310"/>
      <c r="D211" s="4310"/>
      <c r="E211" s="4310"/>
      <c r="F211" s="4310"/>
      <c r="G211" s="4310"/>
      <c r="H211" s="4310"/>
    </row>
    <row r="212" spans="1:8" s="4212" customFormat="1">
      <c r="A212" s="4310"/>
      <c r="B212" s="4310"/>
      <c r="C212" s="4310"/>
      <c r="D212" s="4310"/>
      <c r="E212" s="4310"/>
      <c r="F212" s="4310"/>
      <c r="G212" s="4310"/>
      <c r="H212" s="4310"/>
    </row>
    <row r="213" spans="1:8" s="4212" customFormat="1">
      <c r="A213" s="4310"/>
      <c r="B213" s="4310"/>
      <c r="C213" s="4310"/>
      <c r="D213" s="4310"/>
      <c r="E213" s="4310"/>
      <c r="F213" s="4310"/>
      <c r="G213" s="4310"/>
      <c r="H213" s="4310"/>
    </row>
    <row r="214" spans="1:8" s="4212" customFormat="1">
      <c r="A214" s="4310"/>
      <c r="B214" s="4310"/>
      <c r="C214" s="4310"/>
      <c r="D214" s="4310"/>
      <c r="E214" s="4310"/>
      <c r="F214" s="4310"/>
      <c r="G214" s="4310"/>
      <c r="H214" s="4310"/>
    </row>
    <row r="215" spans="1:8" s="4212" customFormat="1">
      <c r="A215" s="4310"/>
      <c r="B215" s="4310"/>
      <c r="C215" s="4310"/>
      <c r="D215" s="4310"/>
      <c r="E215" s="4310"/>
      <c r="F215" s="4310"/>
      <c r="G215" s="4310"/>
      <c r="H215" s="4310"/>
    </row>
    <row r="216" spans="1:8" s="4212" customFormat="1">
      <c r="A216" s="4310"/>
      <c r="B216" s="4310"/>
      <c r="C216" s="4310"/>
      <c r="D216" s="4310"/>
      <c r="E216" s="4310"/>
      <c r="F216" s="4310"/>
      <c r="G216" s="4310"/>
      <c r="H216" s="4310"/>
    </row>
    <row r="217" spans="1:8" s="4212" customFormat="1">
      <c r="A217" s="4310"/>
      <c r="B217" s="4310"/>
      <c r="C217" s="4310"/>
      <c r="D217" s="4310"/>
      <c r="E217" s="4310"/>
      <c r="F217" s="4310"/>
      <c r="G217" s="4310"/>
      <c r="H217" s="4310"/>
    </row>
    <row r="218" spans="1:8" s="4212" customFormat="1">
      <c r="A218" s="4310"/>
      <c r="B218" s="4310"/>
      <c r="C218" s="4310"/>
      <c r="D218" s="4310"/>
      <c r="E218" s="4310"/>
      <c r="F218" s="4310"/>
      <c r="G218" s="4310"/>
      <c r="H218" s="4310"/>
    </row>
    <row r="219" spans="1:8" s="4212" customFormat="1">
      <c r="A219" s="4310"/>
      <c r="B219" s="4310"/>
      <c r="C219" s="4310"/>
      <c r="D219" s="4310"/>
      <c r="E219" s="4310"/>
      <c r="F219" s="4310"/>
      <c r="G219" s="4310"/>
      <c r="H219" s="4310"/>
    </row>
    <row r="220" spans="1:8" s="4212" customFormat="1">
      <c r="A220" s="4310"/>
      <c r="B220" s="4310"/>
      <c r="C220" s="4310"/>
      <c r="D220" s="4310"/>
      <c r="E220" s="4310"/>
      <c r="F220" s="4310"/>
      <c r="G220" s="4310"/>
      <c r="H220" s="4310"/>
    </row>
    <row r="221" spans="1:8" s="4212" customFormat="1">
      <c r="A221" s="4310"/>
      <c r="B221" s="4310"/>
      <c r="C221" s="4310"/>
      <c r="D221" s="4310"/>
      <c r="E221" s="4310"/>
      <c r="F221" s="4310"/>
      <c r="G221" s="4310"/>
      <c r="H221" s="4310"/>
    </row>
    <row r="222" spans="1:8" s="4212" customFormat="1">
      <c r="A222" s="4310"/>
      <c r="B222" s="4310"/>
      <c r="C222" s="4310"/>
      <c r="D222" s="4310"/>
      <c r="E222" s="4310"/>
      <c r="F222" s="4310"/>
      <c r="G222" s="4310"/>
      <c r="H222" s="4310"/>
    </row>
    <row r="223" spans="1:8" s="4212" customFormat="1">
      <c r="A223" s="4310"/>
      <c r="B223" s="4310"/>
      <c r="C223" s="4310"/>
      <c r="D223" s="4310"/>
      <c r="E223" s="4310"/>
      <c r="F223" s="4310"/>
      <c r="G223" s="4310"/>
      <c r="H223" s="4310"/>
    </row>
    <row r="224" spans="1:8" s="4212" customFormat="1">
      <c r="A224" s="4310"/>
      <c r="B224" s="4310"/>
      <c r="C224" s="4310"/>
      <c r="D224" s="4310"/>
      <c r="E224" s="4310"/>
      <c r="F224" s="4310"/>
      <c r="G224" s="4310"/>
      <c r="H224" s="4310"/>
    </row>
    <row r="225" spans="1:8" s="4212" customFormat="1">
      <c r="A225" s="4310"/>
      <c r="B225" s="4310"/>
      <c r="C225" s="4310"/>
      <c r="D225" s="4310"/>
      <c r="E225" s="4310"/>
      <c r="F225" s="4310"/>
      <c r="G225" s="4310"/>
      <c r="H225" s="4310"/>
    </row>
    <row r="226" spans="1:8" s="4212" customFormat="1">
      <c r="A226" s="4310"/>
      <c r="B226" s="4310"/>
      <c r="C226" s="4310"/>
      <c r="D226" s="4310"/>
      <c r="E226" s="4310"/>
      <c r="F226" s="4310"/>
      <c r="G226" s="4310"/>
      <c r="H226" s="4310"/>
    </row>
    <row r="227" spans="1:8" s="4212" customFormat="1">
      <c r="A227" s="4310"/>
      <c r="B227" s="4310"/>
      <c r="C227" s="4310"/>
      <c r="D227" s="4310"/>
      <c r="E227" s="4310"/>
      <c r="F227" s="4310"/>
      <c r="G227" s="4310"/>
      <c r="H227" s="4310"/>
    </row>
    <row r="228" spans="1:8" s="4212" customFormat="1">
      <c r="A228" s="4310"/>
      <c r="B228" s="4310"/>
      <c r="C228" s="4310"/>
      <c r="D228" s="4310"/>
      <c r="E228" s="4310"/>
      <c r="F228" s="4310"/>
      <c r="G228" s="4310"/>
      <c r="H228" s="4310"/>
    </row>
    <row r="229" spans="1:8" s="4212" customFormat="1">
      <c r="A229" s="4310"/>
      <c r="B229" s="4310"/>
      <c r="C229" s="4310"/>
      <c r="D229" s="4310"/>
      <c r="E229" s="4310"/>
      <c r="F229" s="4310"/>
      <c r="G229" s="4310"/>
      <c r="H229" s="4310"/>
    </row>
    <row r="230" spans="1:8" s="4212" customFormat="1">
      <c r="A230" s="4310"/>
      <c r="B230" s="4310"/>
      <c r="C230" s="4310"/>
      <c r="D230" s="4310"/>
      <c r="E230" s="4310"/>
      <c r="F230" s="4310"/>
      <c r="G230" s="4310"/>
      <c r="H230" s="4310"/>
    </row>
    <row r="231" spans="1:8" s="4212" customFormat="1">
      <c r="A231" s="4310"/>
      <c r="B231" s="4310"/>
      <c r="C231" s="4310"/>
      <c r="D231" s="4310"/>
      <c r="E231" s="4310"/>
      <c r="F231" s="4310"/>
      <c r="G231" s="4310"/>
      <c r="H231" s="4310"/>
    </row>
    <row r="232" spans="1:8" s="4212" customFormat="1">
      <c r="A232" s="4310"/>
      <c r="B232" s="4310"/>
      <c r="C232" s="4310"/>
      <c r="D232" s="4310"/>
      <c r="E232" s="4310"/>
      <c r="F232" s="4310"/>
      <c r="G232" s="4310"/>
      <c r="H232" s="4310"/>
    </row>
    <row r="233" spans="1:8" s="4212" customFormat="1">
      <c r="A233" s="4310"/>
      <c r="B233" s="4310"/>
      <c r="C233" s="4310"/>
      <c r="D233" s="4310"/>
      <c r="E233" s="4310"/>
      <c r="F233" s="4310"/>
      <c r="G233" s="4310"/>
      <c r="H233" s="4310"/>
    </row>
    <row r="234" spans="1:8" s="4212" customFormat="1">
      <c r="A234" s="4310"/>
      <c r="B234" s="4310"/>
      <c r="C234" s="4310"/>
      <c r="D234" s="4310"/>
      <c r="E234" s="4310"/>
      <c r="F234" s="4310"/>
      <c r="G234" s="4310"/>
      <c r="H234" s="4310"/>
    </row>
    <row r="235" spans="1:8" s="4212" customFormat="1">
      <c r="A235" s="4310"/>
      <c r="B235" s="4310"/>
      <c r="C235" s="4310"/>
      <c r="D235" s="4310"/>
      <c r="E235" s="4310"/>
      <c r="F235" s="4310"/>
      <c r="G235" s="4310"/>
      <c r="H235" s="4310"/>
    </row>
    <row r="236" spans="1:8" s="4212" customFormat="1">
      <c r="A236" s="4310"/>
      <c r="B236" s="4310"/>
      <c r="C236" s="4310"/>
      <c r="D236" s="4310"/>
      <c r="E236" s="4310"/>
      <c r="F236" s="4310"/>
      <c r="G236" s="4310"/>
      <c r="H236" s="4310"/>
    </row>
    <row r="237" spans="1:8" s="4212" customFormat="1">
      <c r="A237" s="4310"/>
      <c r="B237" s="4310"/>
      <c r="C237" s="4310"/>
      <c r="D237" s="4310"/>
      <c r="E237" s="4310"/>
      <c r="F237" s="4310"/>
      <c r="G237" s="4310"/>
      <c r="H237" s="4310"/>
    </row>
    <row r="238" spans="1:8" s="4212" customFormat="1">
      <c r="A238" s="4310"/>
      <c r="B238" s="4310"/>
      <c r="C238" s="4310"/>
      <c r="D238" s="4310"/>
      <c r="E238" s="4310"/>
      <c r="F238" s="4310"/>
      <c r="G238" s="4310"/>
      <c r="H238" s="4310"/>
    </row>
    <row r="239" spans="1:8" s="4212" customFormat="1">
      <c r="A239" s="4310"/>
      <c r="B239" s="4310"/>
      <c r="C239" s="4310"/>
      <c r="D239" s="4310"/>
      <c r="E239" s="4310"/>
      <c r="F239" s="4310"/>
      <c r="G239" s="4310"/>
      <c r="H239" s="4310"/>
    </row>
    <row r="240" spans="1:8" s="4212" customFormat="1">
      <c r="A240" s="4310"/>
      <c r="B240" s="4310"/>
      <c r="C240" s="4310"/>
      <c r="D240" s="4310"/>
      <c r="E240" s="4310"/>
      <c r="F240" s="4310"/>
      <c r="G240" s="4310"/>
      <c r="H240" s="4310"/>
    </row>
    <row r="241" spans="1:8" s="4212" customFormat="1">
      <c r="A241" s="4310"/>
      <c r="B241" s="4310"/>
      <c r="C241" s="4310"/>
      <c r="D241" s="4310"/>
      <c r="E241" s="4310"/>
      <c r="F241" s="4310"/>
      <c r="G241" s="4310"/>
      <c r="H241" s="4310"/>
    </row>
    <row r="242" spans="1:8" s="4212" customFormat="1">
      <c r="A242" s="4310"/>
      <c r="B242" s="4310"/>
      <c r="C242" s="4310"/>
      <c r="D242" s="4310"/>
      <c r="E242" s="4310"/>
      <c r="F242" s="4310"/>
      <c r="G242" s="4310"/>
      <c r="H242" s="4310"/>
    </row>
    <row r="243" spans="1:8" s="4212" customFormat="1">
      <c r="A243" s="4310"/>
      <c r="B243" s="4310"/>
      <c r="C243" s="4310"/>
      <c r="D243" s="4310"/>
      <c r="E243" s="4310"/>
      <c r="F243" s="4310"/>
      <c r="G243" s="4310"/>
      <c r="H243" s="4310"/>
    </row>
    <row r="244" spans="1:8" s="4212" customFormat="1">
      <c r="A244" s="4310"/>
      <c r="B244" s="4310"/>
      <c r="C244" s="4310"/>
      <c r="D244" s="4310"/>
      <c r="E244" s="4310"/>
      <c r="F244" s="4310"/>
      <c r="G244" s="4310"/>
      <c r="H244" s="4310"/>
    </row>
    <row r="245" spans="1:8" s="4212" customFormat="1">
      <c r="A245" s="4310"/>
      <c r="B245" s="4310"/>
      <c r="C245" s="4310"/>
      <c r="D245" s="4310"/>
      <c r="E245" s="4310"/>
      <c r="F245" s="4310"/>
      <c r="G245" s="4310"/>
      <c r="H245" s="4310"/>
    </row>
    <row r="246" spans="1:8" s="4212" customFormat="1">
      <c r="A246" s="4310"/>
      <c r="B246" s="4310"/>
      <c r="C246" s="4310"/>
      <c r="D246" s="4310"/>
      <c r="E246" s="4310"/>
      <c r="F246" s="4310"/>
      <c r="G246" s="4310"/>
      <c r="H246" s="4310"/>
    </row>
    <row r="247" spans="1:8" s="4212" customFormat="1">
      <c r="A247" s="4310"/>
      <c r="B247" s="4310"/>
      <c r="C247" s="4310"/>
      <c r="D247" s="4310"/>
      <c r="E247" s="4310"/>
      <c r="F247" s="4310"/>
      <c r="G247" s="4310"/>
      <c r="H247" s="4310"/>
    </row>
    <row r="248" spans="1:8" s="4212" customFormat="1">
      <c r="A248" s="4310"/>
      <c r="B248" s="4310"/>
      <c r="C248" s="4310"/>
      <c r="D248" s="4310"/>
      <c r="E248" s="4310"/>
      <c r="F248" s="4310"/>
      <c r="G248" s="4310"/>
      <c r="H248" s="4310"/>
    </row>
    <row r="249" spans="1:8" s="4212" customFormat="1">
      <c r="A249" s="4310"/>
      <c r="B249" s="4310"/>
      <c r="C249" s="4310"/>
      <c r="D249" s="4310"/>
      <c r="E249" s="4310"/>
      <c r="F249" s="4310"/>
      <c r="G249" s="4310"/>
      <c r="H249" s="4310"/>
    </row>
    <row r="250" spans="1:8" s="4212" customFormat="1">
      <c r="A250" s="4310"/>
      <c r="B250" s="4310"/>
      <c r="C250" s="4310"/>
      <c r="D250" s="4310"/>
      <c r="E250" s="4310"/>
      <c r="F250" s="4310"/>
      <c r="G250" s="4310"/>
      <c r="H250" s="4310"/>
    </row>
    <row r="251" spans="1:8" s="4212" customFormat="1">
      <c r="A251" s="4310"/>
      <c r="B251" s="4310"/>
      <c r="C251" s="4310"/>
      <c r="D251" s="4310"/>
      <c r="E251" s="4310"/>
      <c r="F251" s="4310"/>
      <c r="G251" s="4310"/>
      <c r="H251" s="4310"/>
    </row>
    <row r="252" spans="1:8" s="4212" customFormat="1">
      <c r="A252" s="4310"/>
      <c r="B252" s="4310"/>
      <c r="C252" s="4310"/>
      <c r="D252" s="4310"/>
      <c r="E252" s="4310"/>
      <c r="F252" s="4310"/>
      <c r="G252" s="4310"/>
      <c r="H252" s="4310"/>
    </row>
    <row r="253" spans="1:8" s="4212" customFormat="1">
      <c r="A253" s="4310"/>
      <c r="B253" s="4310"/>
      <c r="C253" s="4310"/>
      <c r="D253" s="4310"/>
      <c r="E253" s="4310"/>
      <c r="F253" s="4310"/>
      <c r="G253" s="4310"/>
      <c r="H253" s="4310"/>
    </row>
    <row r="254" spans="1:8" s="4212" customFormat="1">
      <c r="A254" s="4310"/>
      <c r="B254" s="4310"/>
      <c r="C254" s="4310"/>
      <c r="D254" s="4310"/>
      <c r="E254" s="4310"/>
      <c r="F254" s="4310"/>
      <c r="G254" s="4310"/>
      <c r="H254" s="4310"/>
    </row>
    <row r="255" spans="1:8" s="4212" customFormat="1">
      <c r="A255" s="4310"/>
      <c r="B255" s="4310"/>
      <c r="C255" s="4310"/>
      <c r="D255" s="4310"/>
      <c r="E255" s="4310"/>
      <c r="F255" s="4310"/>
      <c r="G255" s="4310"/>
      <c r="H255" s="4310"/>
    </row>
    <row r="256" spans="1:8" s="4212" customFormat="1">
      <c r="A256" s="4310"/>
      <c r="B256" s="4310"/>
      <c r="C256" s="4310"/>
      <c r="D256" s="4310"/>
      <c r="E256" s="4310"/>
      <c r="F256" s="4310"/>
      <c r="G256" s="4310"/>
      <c r="H256" s="4310"/>
    </row>
    <row r="257" spans="1:8" s="4212" customFormat="1">
      <c r="A257" s="4310"/>
      <c r="B257" s="4310"/>
      <c r="C257" s="4310"/>
      <c r="D257" s="4310"/>
      <c r="E257" s="4310"/>
      <c r="F257" s="4310"/>
      <c r="G257" s="4310"/>
      <c r="H257" s="4310"/>
    </row>
    <row r="258" spans="1:8" s="4212" customFormat="1">
      <c r="A258" s="4310"/>
      <c r="B258" s="4310"/>
      <c r="C258" s="4310"/>
      <c r="D258" s="4310"/>
      <c r="E258" s="4310"/>
      <c r="F258" s="4310"/>
      <c r="G258" s="4310"/>
      <c r="H258" s="4310"/>
    </row>
    <row r="259" spans="1:8" s="4212" customFormat="1">
      <c r="A259" s="4310"/>
      <c r="B259" s="4310"/>
      <c r="C259" s="4310"/>
      <c r="D259" s="4310"/>
      <c r="E259" s="4310"/>
      <c r="F259" s="4310"/>
      <c r="G259" s="4310"/>
      <c r="H259" s="4310"/>
    </row>
    <row r="260" spans="1:8" s="4212" customFormat="1">
      <c r="A260" s="4310"/>
      <c r="B260" s="4310"/>
      <c r="C260" s="4310"/>
      <c r="D260" s="4310"/>
      <c r="E260" s="4310"/>
      <c r="F260" s="4310"/>
      <c r="G260" s="4310"/>
      <c r="H260" s="4310"/>
    </row>
    <row r="261" spans="1:8" s="4212" customFormat="1">
      <c r="A261" s="4310"/>
      <c r="B261" s="4310"/>
      <c r="C261" s="4310"/>
      <c r="D261" s="4310"/>
      <c r="E261" s="4310"/>
      <c r="F261" s="4310"/>
      <c r="G261" s="4310"/>
      <c r="H261" s="4310"/>
    </row>
    <row r="262" spans="1:8" s="4212" customFormat="1">
      <c r="A262" s="4310"/>
      <c r="B262" s="4310"/>
      <c r="C262" s="4310"/>
      <c r="D262" s="4310"/>
      <c r="E262" s="4310"/>
      <c r="F262" s="4310"/>
      <c r="G262" s="4310"/>
      <c r="H262" s="4310"/>
    </row>
    <row r="263" spans="1:8" s="4212" customFormat="1">
      <c r="A263" s="4310"/>
      <c r="B263" s="4310"/>
      <c r="C263" s="4310"/>
      <c r="D263" s="4310"/>
      <c r="E263" s="4310"/>
      <c r="F263" s="4310"/>
      <c r="G263" s="4310"/>
      <c r="H263" s="4310"/>
    </row>
    <row r="264" spans="1:8" s="4212" customFormat="1">
      <c r="A264" s="4310"/>
      <c r="B264" s="4310"/>
      <c r="C264" s="4310"/>
      <c r="D264" s="4310"/>
      <c r="E264" s="4310"/>
      <c r="F264" s="4310"/>
      <c r="G264" s="4310"/>
      <c r="H264" s="4310"/>
    </row>
    <row r="265" spans="1:8" s="4212" customFormat="1">
      <c r="A265" s="4310"/>
      <c r="B265" s="4310"/>
      <c r="C265" s="4310"/>
      <c r="D265" s="4310"/>
      <c r="E265" s="4310"/>
      <c r="F265" s="4310"/>
      <c r="G265" s="4310"/>
      <c r="H265" s="4310"/>
    </row>
    <row r="266" spans="1:8" s="4212" customFormat="1">
      <c r="A266" s="4310"/>
      <c r="B266" s="4310"/>
      <c r="C266" s="4310"/>
      <c r="D266" s="4310"/>
      <c r="E266" s="4310"/>
      <c r="F266" s="4310"/>
      <c r="G266" s="4310"/>
      <c r="H266" s="4310"/>
    </row>
    <row r="267" spans="1:8" s="4212" customFormat="1">
      <c r="A267" s="4310"/>
      <c r="B267" s="4310"/>
      <c r="C267" s="4310"/>
      <c r="D267" s="4310"/>
      <c r="E267" s="4310"/>
      <c r="F267" s="4310"/>
      <c r="G267" s="4310"/>
      <c r="H267" s="4310"/>
    </row>
    <row r="268" spans="1:8" s="4212" customFormat="1">
      <c r="A268" s="4310"/>
      <c r="B268" s="4310"/>
      <c r="C268" s="4310"/>
      <c r="D268" s="4310"/>
      <c r="E268" s="4310"/>
      <c r="F268" s="4310"/>
      <c r="G268" s="4310"/>
      <c r="H268" s="4310"/>
    </row>
    <row r="269" spans="1:8" s="4212" customFormat="1">
      <c r="A269" s="4310"/>
      <c r="B269" s="4310"/>
      <c r="C269" s="4310"/>
      <c r="D269" s="4310"/>
      <c r="E269" s="4310"/>
      <c r="F269" s="4310"/>
      <c r="G269" s="4310"/>
      <c r="H269" s="4310"/>
    </row>
    <row r="270" spans="1:8" s="4212" customFormat="1">
      <c r="A270" s="4310"/>
      <c r="B270" s="4310"/>
      <c r="C270" s="4310"/>
      <c r="D270" s="4310"/>
      <c r="E270" s="4310"/>
      <c r="F270" s="4310"/>
      <c r="G270" s="4310"/>
      <c r="H270" s="4310"/>
    </row>
    <row r="271" spans="1:8" s="4212" customFormat="1">
      <c r="A271" s="4310"/>
      <c r="B271" s="4310"/>
      <c r="C271" s="4310"/>
      <c r="D271" s="4310"/>
      <c r="E271" s="4310"/>
      <c r="F271" s="4310"/>
      <c r="G271" s="4310"/>
      <c r="H271" s="4310"/>
    </row>
    <row r="272" spans="1:8" s="4212" customFormat="1">
      <c r="A272" s="4310"/>
      <c r="B272" s="4310"/>
      <c r="C272" s="4310"/>
      <c r="D272" s="4310"/>
      <c r="E272" s="4310"/>
      <c r="F272" s="4310"/>
      <c r="G272" s="4310"/>
      <c r="H272" s="4310"/>
    </row>
    <row r="273" spans="1:8" s="4212" customFormat="1">
      <c r="A273" s="4310"/>
      <c r="B273" s="4310"/>
      <c r="C273" s="4310"/>
      <c r="D273" s="4310"/>
      <c r="E273" s="4310"/>
      <c r="F273" s="4310"/>
      <c r="G273" s="4310"/>
      <c r="H273" s="4310"/>
    </row>
    <row r="274" spans="1:8" s="4212" customFormat="1">
      <c r="A274" s="4310"/>
      <c r="B274" s="4310"/>
      <c r="C274" s="4310"/>
      <c r="D274" s="4310"/>
      <c r="E274" s="4310"/>
      <c r="F274" s="4310"/>
      <c r="G274" s="4310"/>
      <c r="H274" s="4310"/>
    </row>
    <row r="275" spans="1:8" s="4212" customFormat="1">
      <c r="A275" s="4310"/>
      <c r="B275" s="4310"/>
      <c r="C275" s="4310"/>
      <c r="D275" s="4310"/>
      <c r="E275" s="4310"/>
      <c r="F275" s="4310"/>
      <c r="G275" s="4310"/>
      <c r="H275" s="4310"/>
    </row>
    <row r="276" spans="1:8" s="4212" customFormat="1">
      <c r="A276" s="4310"/>
      <c r="B276" s="4310"/>
      <c r="C276" s="4310"/>
      <c r="D276" s="4310"/>
      <c r="E276" s="4310"/>
      <c r="F276" s="4310"/>
      <c r="G276" s="4310"/>
      <c r="H276" s="4310"/>
    </row>
    <row r="277" spans="1:8" s="4212" customFormat="1">
      <c r="A277" s="4310"/>
      <c r="B277" s="4310"/>
      <c r="C277" s="4310"/>
      <c r="D277" s="4310"/>
      <c r="E277" s="4310"/>
      <c r="F277" s="4310"/>
      <c r="G277" s="4310"/>
      <c r="H277" s="4310"/>
    </row>
    <row r="278" spans="1:8" s="4212" customFormat="1">
      <c r="A278" s="4310"/>
      <c r="B278" s="4310"/>
      <c r="C278" s="4310"/>
      <c r="D278" s="4310"/>
      <c r="E278" s="4310"/>
      <c r="F278" s="4310"/>
      <c r="G278" s="4310"/>
      <c r="H278" s="4310"/>
    </row>
    <row r="279" spans="1:8" s="4212" customFormat="1">
      <c r="A279" s="4310"/>
      <c r="B279" s="4310"/>
      <c r="C279" s="4310"/>
      <c r="D279" s="4310"/>
      <c r="E279" s="4310"/>
      <c r="F279" s="4310"/>
      <c r="G279" s="4310"/>
      <c r="H279" s="4310"/>
    </row>
    <row r="280" spans="1:8" s="4212" customFormat="1">
      <c r="A280" s="4310"/>
      <c r="B280" s="4310"/>
      <c r="C280" s="4310"/>
      <c r="D280" s="4310"/>
      <c r="E280" s="4310"/>
      <c r="F280" s="4310"/>
      <c r="G280" s="4310"/>
      <c r="H280" s="4310"/>
    </row>
    <row r="281" spans="1:8" s="4212" customFormat="1">
      <c r="A281" s="4310"/>
      <c r="B281" s="4310"/>
      <c r="C281" s="4310"/>
      <c r="D281" s="4310"/>
      <c r="E281" s="4310"/>
      <c r="F281" s="4310"/>
      <c r="G281" s="4310"/>
      <c r="H281" s="4310"/>
    </row>
    <row r="282" spans="1:8" s="4212" customFormat="1">
      <c r="A282" s="4310"/>
      <c r="B282" s="4310"/>
      <c r="C282" s="4310"/>
      <c r="D282" s="4310"/>
      <c r="E282" s="4310"/>
      <c r="F282" s="4310"/>
      <c r="G282" s="4310"/>
      <c r="H282" s="4310"/>
    </row>
    <row r="283" spans="1:8" s="4212" customFormat="1">
      <c r="A283" s="4310"/>
      <c r="B283" s="4310"/>
      <c r="C283" s="4310"/>
      <c r="D283" s="4310"/>
      <c r="E283" s="4310"/>
      <c r="F283" s="4310"/>
      <c r="G283" s="4310"/>
      <c r="H283" s="4310"/>
    </row>
    <row r="284" spans="1:8" s="4212" customFormat="1">
      <c r="A284" s="4310"/>
      <c r="B284" s="4310"/>
      <c r="C284" s="4310"/>
      <c r="D284" s="4310"/>
      <c r="E284" s="4310"/>
      <c r="F284" s="4310"/>
      <c r="G284" s="4310"/>
      <c r="H284" s="4310"/>
    </row>
    <row r="285" spans="1:8" s="4212" customFormat="1">
      <c r="A285" s="4310"/>
      <c r="B285" s="4310"/>
      <c r="C285" s="4310"/>
      <c r="D285" s="4310"/>
      <c r="E285" s="4310"/>
      <c r="F285" s="4310"/>
      <c r="G285" s="4310"/>
      <c r="H285" s="4310"/>
    </row>
    <row r="286" spans="1:8" s="4212" customFormat="1">
      <c r="A286" s="4310"/>
      <c r="B286" s="4310"/>
      <c r="C286" s="4310"/>
      <c r="D286" s="4310"/>
      <c r="E286" s="4310"/>
      <c r="F286" s="4310"/>
      <c r="G286" s="4310"/>
      <c r="H286" s="4310"/>
    </row>
    <row r="287" spans="1:8" s="4212" customFormat="1">
      <c r="A287" s="4310"/>
      <c r="B287" s="4310"/>
      <c r="C287" s="4310"/>
      <c r="D287" s="4310"/>
      <c r="E287" s="4310"/>
      <c r="F287" s="4310"/>
      <c r="G287" s="4310"/>
      <c r="H287" s="4310"/>
    </row>
    <row r="288" spans="1:8" s="4212" customFormat="1">
      <c r="A288" s="4310"/>
      <c r="B288" s="4310"/>
      <c r="C288" s="4310"/>
      <c r="D288" s="4310"/>
      <c r="E288" s="4310"/>
      <c r="F288" s="4310"/>
      <c r="G288" s="4310"/>
      <c r="H288" s="4310"/>
    </row>
    <row r="289" spans="1:8" s="4212" customFormat="1">
      <c r="A289" s="4310"/>
      <c r="B289" s="4310"/>
      <c r="C289" s="4310"/>
      <c r="D289" s="4310"/>
      <c r="E289" s="4310"/>
      <c r="F289" s="4310"/>
      <c r="G289" s="4310"/>
      <c r="H289" s="4310"/>
    </row>
    <row r="290" spans="1:8" s="4212" customFormat="1">
      <c r="A290" s="4310"/>
      <c r="B290" s="4310"/>
      <c r="C290" s="4310"/>
      <c r="D290" s="4310"/>
      <c r="E290" s="4310"/>
      <c r="F290" s="4310"/>
      <c r="G290" s="4310"/>
      <c r="H290" s="4310"/>
    </row>
    <row r="291" spans="1:8" s="4212" customFormat="1">
      <c r="A291" s="4310"/>
      <c r="B291" s="4310"/>
      <c r="C291" s="4310"/>
      <c r="D291" s="4310"/>
      <c r="E291" s="4310"/>
      <c r="F291" s="4310"/>
      <c r="G291" s="4310"/>
      <c r="H291" s="4310"/>
    </row>
    <row r="292" spans="1:8" s="4212" customFormat="1">
      <c r="A292" s="4310"/>
      <c r="B292" s="4310"/>
      <c r="C292" s="4310"/>
      <c r="D292" s="4310"/>
      <c r="E292" s="4310"/>
      <c r="F292" s="4310"/>
      <c r="G292" s="4310"/>
      <c r="H292" s="4310"/>
    </row>
    <row r="293" spans="1:8" s="4212" customFormat="1">
      <c r="A293" s="4310"/>
      <c r="B293" s="4310"/>
      <c r="C293" s="4310"/>
      <c r="D293" s="4310"/>
      <c r="E293" s="4310"/>
      <c r="F293" s="4310"/>
      <c r="G293" s="4310"/>
      <c r="H293" s="4310"/>
    </row>
    <row r="294" spans="1:8" s="4212" customFormat="1">
      <c r="A294" s="4310"/>
      <c r="B294" s="4310"/>
      <c r="C294" s="4310"/>
      <c r="D294" s="4310"/>
      <c r="E294" s="4310"/>
      <c r="F294" s="4310"/>
      <c r="G294" s="4310"/>
      <c r="H294" s="4310"/>
    </row>
    <row r="295" spans="1:8" s="4212" customFormat="1">
      <c r="A295" s="4310"/>
      <c r="B295" s="4310"/>
      <c r="C295" s="4310"/>
      <c r="D295" s="4310"/>
      <c r="E295" s="4310"/>
      <c r="F295" s="4310"/>
      <c r="G295" s="4310"/>
      <c r="H295" s="4310"/>
    </row>
    <row r="296" spans="1:8" s="4212" customFormat="1">
      <c r="A296" s="4310"/>
      <c r="B296" s="4310"/>
      <c r="C296" s="4310"/>
      <c r="D296" s="4310"/>
      <c r="E296" s="4310"/>
      <c r="F296" s="4310"/>
      <c r="G296" s="4310"/>
      <c r="H296" s="4310"/>
    </row>
    <row r="297" spans="1:8" s="4212" customFormat="1">
      <c r="A297" s="4310"/>
      <c r="B297" s="4310"/>
      <c r="C297" s="4310"/>
      <c r="D297" s="4310"/>
      <c r="E297" s="4310"/>
      <c r="F297" s="4310"/>
      <c r="G297" s="4310"/>
      <c r="H297" s="4310"/>
    </row>
    <row r="298" spans="1:8" s="4212" customFormat="1">
      <c r="A298" s="4310"/>
      <c r="B298" s="4310"/>
      <c r="C298" s="4310"/>
      <c r="D298" s="4310"/>
      <c r="E298" s="4310"/>
      <c r="F298" s="4310"/>
      <c r="G298" s="4310"/>
      <c r="H298" s="4310"/>
    </row>
    <row r="299" spans="1:8" s="4212" customFormat="1">
      <c r="A299" s="4310"/>
      <c r="B299" s="4310"/>
      <c r="C299" s="4310"/>
      <c r="D299" s="4310"/>
      <c r="E299" s="4310"/>
      <c r="F299" s="4310"/>
      <c r="G299" s="4310"/>
      <c r="H299" s="4310"/>
    </row>
    <row r="300" spans="1:8" s="4212" customFormat="1">
      <c r="A300" s="4310"/>
      <c r="B300" s="4310"/>
      <c r="C300" s="4310"/>
      <c r="D300" s="4310"/>
      <c r="E300" s="4310"/>
      <c r="F300" s="4310"/>
      <c r="G300" s="4310"/>
      <c r="H300" s="4310"/>
    </row>
    <row r="301" spans="1:8" s="4212" customFormat="1">
      <c r="A301" s="4310"/>
      <c r="B301" s="4310"/>
      <c r="C301" s="4310"/>
      <c r="D301" s="4310"/>
      <c r="E301" s="4310"/>
      <c r="F301" s="4310"/>
      <c r="G301" s="4310"/>
      <c r="H301" s="4310"/>
    </row>
    <row r="302" spans="1:8" s="4212" customFormat="1">
      <c r="A302" s="4310"/>
      <c r="B302" s="4310"/>
      <c r="C302" s="4310"/>
      <c r="D302" s="4310"/>
      <c r="E302" s="4310"/>
      <c r="F302" s="4310"/>
      <c r="G302" s="4310"/>
      <c r="H302" s="4310"/>
    </row>
    <row r="303" spans="1:8" s="4212" customFormat="1">
      <c r="A303" s="4310"/>
      <c r="B303" s="4310"/>
      <c r="C303" s="4310"/>
      <c r="D303" s="4310"/>
      <c r="E303" s="4310"/>
      <c r="F303" s="4310"/>
      <c r="G303" s="4310"/>
      <c r="H303" s="4310"/>
    </row>
    <row r="304" spans="1:8" s="4212" customFormat="1">
      <c r="A304" s="4310"/>
      <c r="B304" s="4310"/>
      <c r="C304" s="4310"/>
      <c r="D304" s="4310"/>
      <c r="E304" s="4310"/>
      <c r="F304" s="4310"/>
      <c r="G304" s="4310"/>
      <c r="H304" s="4310"/>
    </row>
    <row r="305" spans="1:8" s="4212" customFormat="1">
      <c r="A305" s="4310"/>
      <c r="B305" s="4310"/>
      <c r="C305" s="4310"/>
      <c r="D305" s="4310"/>
      <c r="E305" s="4310"/>
      <c r="F305" s="4310"/>
      <c r="G305" s="4310"/>
      <c r="H305" s="4310"/>
    </row>
    <row r="306" spans="1:8" s="4212" customFormat="1">
      <c r="A306" s="4310"/>
      <c r="B306" s="4310"/>
      <c r="C306" s="4310"/>
      <c r="D306" s="4310"/>
      <c r="E306" s="4310"/>
      <c r="F306" s="4310"/>
      <c r="G306" s="4310"/>
      <c r="H306" s="4310"/>
    </row>
    <row r="307" spans="1:8" s="4212" customFormat="1">
      <c r="A307" s="4310"/>
      <c r="B307" s="4310"/>
      <c r="C307" s="4310"/>
      <c r="D307" s="4310"/>
      <c r="E307" s="4310"/>
      <c r="F307" s="4310"/>
      <c r="G307" s="4310"/>
      <c r="H307" s="4310"/>
    </row>
    <row r="308" spans="1:8" s="4212" customFormat="1">
      <c r="A308" s="4310"/>
      <c r="B308" s="4310"/>
      <c r="C308" s="4310"/>
      <c r="D308" s="4310"/>
      <c r="E308" s="4310"/>
      <c r="F308" s="4310"/>
      <c r="G308" s="4310"/>
      <c r="H308" s="4310"/>
    </row>
    <row r="309" spans="1:8" s="4212" customFormat="1">
      <c r="A309" s="4310"/>
      <c r="B309" s="4310"/>
      <c r="C309" s="4310"/>
      <c r="D309" s="4310"/>
      <c r="E309" s="4310"/>
      <c r="F309" s="4310"/>
      <c r="G309" s="4310"/>
      <c r="H309" s="4310"/>
    </row>
    <row r="310" spans="1:8" s="4212" customFormat="1">
      <c r="A310" s="4310"/>
      <c r="B310" s="4310"/>
      <c r="C310" s="4310"/>
      <c r="D310" s="4310"/>
      <c r="E310" s="4310"/>
      <c r="F310" s="4310"/>
      <c r="G310" s="4310"/>
      <c r="H310" s="4310"/>
    </row>
    <row r="311" spans="1:8" s="4212" customFormat="1">
      <c r="A311" s="4310"/>
      <c r="B311" s="4310"/>
      <c r="C311" s="4310"/>
      <c r="D311" s="4310"/>
      <c r="E311" s="4310"/>
      <c r="F311" s="4310"/>
      <c r="G311" s="4310"/>
      <c r="H311" s="4310"/>
    </row>
    <row r="312" spans="1:8" s="4212" customFormat="1">
      <c r="A312" s="4310"/>
      <c r="B312" s="4310"/>
      <c r="C312" s="4310"/>
      <c r="D312" s="4310"/>
      <c r="E312" s="4310"/>
      <c r="F312" s="4310"/>
      <c r="G312" s="4310"/>
      <c r="H312" s="4310"/>
    </row>
    <row r="313" spans="1:8" s="4212" customFormat="1">
      <c r="A313" s="4310"/>
      <c r="B313" s="4310"/>
      <c r="C313" s="4310"/>
      <c r="D313" s="4310"/>
      <c r="E313" s="4310"/>
      <c r="F313" s="4310"/>
      <c r="G313" s="4310"/>
      <c r="H313" s="4310"/>
    </row>
    <row r="314" spans="1:8" s="4212" customFormat="1">
      <c r="A314" s="4310"/>
      <c r="B314" s="4310"/>
      <c r="C314" s="4310"/>
      <c r="D314" s="4310"/>
      <c r="E314" s="4310"/>
      <c r="F314" s="4310"/>
      <c r="G314" s="4310"/>
      <c r="H314" s="4310"/>
    </row>
    <row r="315" spans="1:8" s="4212" customFormat="1">
      <c r="A315" s="4310"/>
      <c r="B315" s="4310"/>
      <c r="C315" s="4310"/>
      <c r="D315" s="4310"/>
      <c r="E315" s="4310"/>
      <c r="F315" s="4310"/>
      <c r="G315" s="4310"/>
      <c r="H315" s="4310"/>
    </row>
    <row r="316" spans="1:8" s="4212" customFormat="1">
      <c r="A316" s="4310"/>
      <c r="B316" s="4310"/>
      <c r="C316" s="4310"/>
      <c r="D316" s="4310"/>
      <c r="E316" s="4310"/>
      <c r="F316" s="4310"/>
      <c r="G316" s="4310"/>
      <c r="H316" s="4310"/>
    </row>
    <row r="317" spans="1:8" s="4212" customFormat="1">
      <c r="A317" s="4310"/>
      <c r="B317" s="4310"/>
      <c r="C317" s="4310"/>
      <c r="D317" s="4310"/>
      <c r="E317" s="4310"/>
      <c r="F317" s="4310"/>
      <c r="G317" s="4310"/>
      <c r="H317" s="4310"/>
    </row>
    <row r="318" spans="1:8" s="4212" customFormat="1">
      <c r="A318" s="4310"/>
      <c r="B318" s="4310"/>
      <c r="C318" s="4310"/>
      <c r="D318" s="4310"/>
      <c r="E318" s="4310"/>
      <c r="F318" s="4310"/>
      <c r="G318" s="4310"/>
      <c r="H318" s="4310"/>
    </row>
    <row r="319" spans="1:8" s="4212" customFormat="1">
      <c r="A319" s="4310"/>
      <c r="B319" s="4310"/>
      <c r="C319" s="4310"/>
      <c r="D319" s="4310"/>
      <c r="E319" s="4310"/>
      <c r="F319" s="4310"/>
      <c r="G319" s="4310"/>
      <c r="H319" s="4310"/>
    </row>
    <row r="320" spans="1:8" s="4212" customFormat="1">
      <c r="A320" s="4310"/>
      <c r="B320" s="4310"/>
      <c r="C320" s="4310"/>
      <c r="D320" s="4310"/>
      <c r="E320" s="4310"/>
      <c r="F320" s="4310"/>
      <c r="G320" s="4310"/>
      <c r="H320" s="4310"/>
    </row>
    <row r="321" spans="1:8" s="4212" customFormat="1">
      <c r="A321" s="4310"/>
      <c r="B321" s="4310"/>
      <c r="C321" s="4310"/>
      <c r="D321" s="4310"/>
      <c r="E321" s="4310"/>
      <c r="F321" s="4310"/>
      <c r="G321" s="4310"/>
      <c r="H321" s="4310"/>
    </row>
    <row r="322" spans="1:8" s="4212" customFormat="1">
      <c r="A322" s="4310"/>
      <c r="B322" s="4310"/>
      <c r="C322" s="4310"/>
      <c r="D322" s="4310"/>
      <c r="E322" s="4310"/>
      <c r="F322" s="4310"/>
      <c r="G322" s="4310"/>
      <c r="H322" s="4310"/>
    </row>
    <row r="323" spans="1:8" s="4212" customFormat="1">
      <c r="A323" s="4310"/>
      <c r="B323" s="4310"/>
      <c r="C323" s="4310"/>
      <c r="D323" s="4310"/>
      <c r="E323" s="4310"/>
      <c r="F323" s="4310"/>
      <c r="G323" s="4310"/>
      <c r="H323" s="4310"/>
    </row>
    <row r="324" spans="1:8" s="4212" customFormat="1">
      <c r="A324" s="4310"/>
      <c r="B324" s="4310"/>
      <c r="C324" s="4310"/>
      <c r="D324" s="4310"/>
      <c r="E324" s="4310"/>
      <c r="F324" s="4310"/>
      <c r="G324" s="4310"/>
      <c r="H324" s="4310"/>
    </row>
    <row r="325" spans="1:8" s="4212" customFormat="1">
      <c r="A325" s="4310"/>
      <c r="B325" s="4310"/>
      <c r="C325" s="4310"/>
      <c r="D325" s="4310"/>
      <c r="E325" s="4310"/>
      <c r="F325" s="4310"/>
      <c r="G325" s="4310"/>
      <c r="H325" s="4310"/>
    </row>
    <row r="326" spans="1:8" s="4212" customFormat="1">
      <c r="A326" s="4310"/>
      <c r="B326" s="4310"/>
      <c r="C326" s="4310"/>
      <c r="D326" s="4310"/>
      <c r="E326" s="4310"/>
      <c r="F326" s="4310"/>
      <c r="G326" s="4310"/>
      <c r="H326" s="4310"/>
    </row>
    <row r="327" spans="1:8" s="4212" customFormat="1">
      <c r="A327" s="4310"/>
      <c r="B327" s="4310"/>
      <c r="C327" s="4310"/>
      <c r="D327" s="4310"/>
      <c r="E327" s="4310"/>
      <c r="F327" s="4310"/>
      <c r="G327" s="4310"/>
      <c r="H327" s="4310"/>
    </row>
    <row r="328" spans="1:8" s="4212" customFormat="1">
      <c r="A328" s="4310"/>
      <c r="B328" s="4310"/>
      <c r="C328" s="4310"/>
      <c r="D328" s="4310"/>
      <c r="E328" s="4310"/>
      <c r="F328" s="4310"/>
      <c r="G328" s="4310"/>
      <c r="H328" s="4310"/>
    </row>
    <row r="329" spans="1:8" s="4212" customFormat="1">
      <c r="A329" s="4310"/>
      <c r="B329" s="4310"/>
      <c r="C329" s="4310"/>
      <c r="D329" s="4310"/>
      <c r="E329" s="4310"/>
      <c r="F329" s="4310"/>
      <c r="G329" s="4310"/>
      <c r="H329" s="4310"/>
    </row>
    <row r="330" spans="1:8" s="4212" customFormat="1">
      <c r="A330" s="4310"/>
      <c r="B330" s="4310"/>
      <c r="C330" s="4310"/>
      <c r="D330" s="4310"/>
      <c r="E330" s="4310"/>
      <c r="F330" s="4310"/>
      <c r="G330" s="4310"/>
      <c r="H330" s="4310"/>
    </row>
    <row r="331" spans="1:8" s="4212" customFormat="1">
      <c r="A331" s="4310"/>
      <c r="B331" s="4310"/>
      <c r="C331" s="4310"/>
      <c r="D331" s="4310"/>
      <c r="E331" s="4310"/>
      <c r="F331" s="4310"/>
      <c r="G331" s="4310"/>
      <c r="H331" s="4310"/>
    </row>
    <row r="332" spans="1:8" s="4212" customFormat="1">
      <c r="A332" s="4310"/>
      <c r="B332" s="4310"/>
      <c r="C332" s="4310"/>
      <c r="D332" s="4310"/>
      <c r="E332" s="4310"/>
      <c r="F332" s="4310"/>
      <c r="G332" s="4310"/>
      <c r="H332" s="4310"/>
    </row>
    <row r="333" spans="1:8" s="4212" customFormat="1">
      <c r="A333" s="4310"/>
      <c r="B333" s="4310"/>
      <c r="C333" s="4310"/>
      <c r="D333" s="4310"/>
      <c r="E333" s="4310"/>
      <c r="F333" s="4310"/>
      <c r="G333" s="4310"/>
      <c r="H333" s="4310"/>
    </row>
    <row r="334" spans="1:8" s="4212" customFormat="1">
      <c r="A334" s="4310"/>
      <c r="B334" s="4310"/>
      <c r="C334" s="4310"/>
      <c r="D334" s="4310"/>
      <c r="E334" s="4310"/>
      <c r="F334" s="4310"/>
      <c r="G334" s="4310"/>
      <c r="H334" s="4310"/>
    </row>
    <row r="335" spans="1:8" s="4212" customFormat="1">
      <c r="A335" s="4310"/>
      <c r="B335" s="4310"/>
      <c r="C335" s="4310"/>
      <c r="D335" s="4310"/>
      <c r="E335" s="4310"/>
      <c r="F335" s="4310"/>
      <c r="G335" s="4310"/>
      <c r="H335" s="4310"/>
    </row>
    <row r="336" spans="1:8" s="4212" customFormat="1">
      <c r="A336" s="4310"/>
      <c r="B336" s="4310"/>
      <c r="C336" s="4310"/>
      <c r="D336" s="4310"/>
      <c r="E336" s="4310"/>
      <c r="F336" s="4310"/>
      <c r="G336" s="4310"/>
      <c r="H336" s="4310"/>
    </row>
    <row r="337" spans="1:8" s="4212" customFormat="1">
      <c r="A337" s="4310"/>
      <c r="B337" s="4310"/>
      <c r="C337" s="4310"/>
      <c r="D337" s="4310"/>
      <c r="E337" s="4310"/>
      <c r="F337" s="4310"/>
      <c r="G337" s="4310"/>
      <c r="H337" s="4310"/>
    </row>
    <row r="338" spans="1:8" s="4212" customFormat="1">
      <c r="A338" s="4310"/>
      <c r="B338" s="4310"/>
      <c r="C338" s="4310"/>
      <c r="D338" s="4310"/>
      <c r="E338" s="4310"/>
      <c r="F338" s="4310"/>
      <c r="G338" s="4310"/>
      <c r="H338" s="4310"/>
    </row>
    <row r="339" spans="1:8" s="4212" customFormat="1">
      <c r="A339" s="4310"/>
      <c r="B339" s="4310"/>
      <c r="C339" s="4310"/>
      <c r="D339" s="4310"/>
      <c r="E339" s="4310"/>
      <c r="F339" s="4310"/>
      <c r="G339" s="4310"/>
      <c r="H339" s="4310"/>
    </row>
    <row r="340" spans="1:8" s="4212" customFormat="1">
      <c r="A340" s="4310"/>
      <c r="B340" s="4310"/>
      <c r="C340" s="4310"/>
      <c r="D340" s="4310"/>
      <c r="E340" s="4310"/>
      <c r="F340" s="4310"/>
      <c r="G340" s="4310"/>
      <c r="H340" s="4310"/>
    </row>
    <row r="341" spans="1:8" s="4212" customFormat="1">
      <c r="A341" s="4310"/>
      <c r="B341" s="4310"/>
      <c r="C341" s="4310"/>
      <c r="D341" s="4310"/>
      <c r="E341" s="4310"/>
      <c r="F341" s="4310"/>
      <c r="G341" s="4310"/>
      <c r="H341" s="4310"/>
    </row>
    <row r="342" spans="1:8" s="4212" customFormat="1">
      <c r="A342" s="4310"/>
      <c r="B342" s="4310"/>
      <c r="C342" s="4310"/>
      <c r="D342" s="4310"/>
      <c r="E342" s="4310"/>
      <c r="F342" s="4310"/>
      <c r="G342" s="4310"/>
      <c r="H342" s="4310"/>
    </row>
    <row r="343" spans="1:8" s="4212" customFormat="1">
      <c r="A343" s="4310"/>
      <c r="B343" s="4310"/>
      <c r="C343" s="4310"/>
      <c r="D343" s="4310"/>
      <c r="E343" s="4310"/>
      <c r="F343" s="4310"/>
      <c r="G343" s="4310"/>
      <c r="H343" s="4310"/>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45"/>
  <sheetViews>
    <sheetView showGridLines="0" showOutlineSymbols="0" topLeftCell="A6" workbookViewId="0">
      <selection activeCell="F32" sqref="F32"/>
    </sheetView>
  </sheetViews>
  <sheetFormatPr defaultColWidth="12.5703125" defaultRowHeight="12.75" outlineLevelRow="2" outlineLevelCol="2"/>
  <cols>
    <col min="1" max="1" width="1.85546875" style="4213" customWidth="1"/>
    <col min="2" max="2" width="27.42578125" style="4213" customWidth="1"/>
    <col min="3" max="3" width="9.5703125" style="4213" customWidth="1"/>
    <col min="4" max="4" width="10.5703125" style="4213" customWidth="1"/>
    <col min="5" max="8" width="11.5703125" style="4213"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275"/>
      <c r="B7" s="4275"/>
      <c r="C7" s="4275"/>
      <c r="D7" s="4275"/>
      <c r="E7" s="4275"/>
      <c r="F7" s="4275"/>
      <c r="G7" s="4275"/>
      <c r="H7" s="4275"/>
    </row>
    <row r="8" spans="1:8" ht="14.25" customHeight="1">
      <c r="A8" s="4275"/>
      <c r="B8" s="4275"/>
      <c r="C8" s="4275"/>
      <c r="D8" s="4275"/>
      <c r="E8" s="4275"/>
      <c r="F8" s="4275"/>
      <c r="G8" s="4275"/>
      <c r="H8" s="4275"/>
    </row>
    <row r="9" spans="1:8" ht="14.25" customHeight="1">
      <c r="A9" s="4274" t="s">
        <v>3169</v>
      </c>
      <c r="B9" s="4274"/>
    </row>
    <row r="10" spans="1:8" ht="14.25" customHeight="1">
      <c r="A10" s="4273" t="s">
        <v>3184</v>
      </c>
      <c r="B10" s="4273"/>
    </row>
    <row r="11" spans="1:8" ht="14.25" customHeight="1">
      <c r="A11" s="4273"/>
      <c r="B11" s="4273"/>
    </row>
    <row r="12" spans="1:8" ht="14.25" customHeight="1">
      <c r="A12" s="5007" t="s">
        <v>468</v>
      </c>
      <c r="B12" s="5008"/>
      <c r="C12" s="4272" t="s">
        <v>467</v>
      </c>
      <c r="D12" s="4272" t="s">
        <v>466</v>
      </c>
      <c r="E12" s="5004" t="s">
        <v>465</v>
      </c>
      <c r="F12" s="5005"/>
      <c r="G12" s="5006"/>
      <c r="H12" s="4272" t="s">
        <v>2180</v>
      </c>
    </row>
    <row r="13" spans="1:8" ht="14.25" customHeight="1">
      <c r="A13" s="5009"/>
      <c r="B13" s="5010"/>
      <c r="C13" s="4271" t="s">
        <v>463</v>
      </c>
      <c r="D13" s="4270">
        <v>2020</v>
      </c>
      <c r="E13" s="4270" t="s">
        <v>2344</v>
      </c>
      <c r="F13" s="4270" t="s">
        <v>2343</v>
      </c>
      <c r="G13" s="4270"/>
      <c r="H13" s="4270" t="s">
        <v>2342</v>
      </c>
    </row>
    <row r="14" spans="1:8" ht="14.25" customHeight="1">
      <c r="A14" s="5009"/>
      <c r="B14" s="5010"/>
      <c r="C14" s="4271"/>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9" s="4212" customFormat="1" ht="20.100000000000001" customHeight="1" outlineLevel="1">
      <c r="A17" s="4263" t="s">
        <v>407</v>
      </c>
      <c r="B17" s="4262"/>
      <c r="C17" s="4261"/>
      <c r="D17" s="4260">
        <f>SUM(D18:D27)</f>
        <v>3125893.9400000004</v>
      </c>
      <c r="E17" s="4260">
        <f>SUM(E18:E27)</f>
        <v>1145098.55</v>
      </c>
      <c r="F17" s="4260">
        <f>SUM(F18:F27)</f>
        <v>5849901.4500000002</v>
      </c>
      <c r="G17" s="4260">
        <f>SUM(G18:G27)</f>
        <v>7025000</v>
      </c>
      <c r="H17" s="4260">
        <f>SUM(H18:H27)</f>
        <v>4145580</v>
      </c>
    </row>
    <row r="18" spans="1:9" s="4240" customFormat="1" ht="18" customHeight="1" outlineLevel="1">
      <c r="A18" s="4254" t="s">
        <v>2352</v>
      </c>
      <c r="B18" s="4246"/>
      <c r="C18" s="4259" t="s">
        <v>405</v>
      </c>
      <c r="D18" s="4258">
        <f>[39]SPORTS!$E$12</f>
        <v>24323</v>
      </c>
      <c r="E18" s="4257">
        <f>[40]SPORTS!$E$12</f>
        <v>1230</v>
      </c>
      <c r="F18" s="4243">
        <f t="shared" ref="F18:F23" si="0">G18-E18</f>
        <v>191970</v>
      </c>
      <c r="G18" s="4257">
        <f>[40]SPORTS!$C$12</f>
        <v>193200</v>
      </c>
      <c r="H18" s="4256">
        <v>93200</v>
      </c>
      <c r="I18" s="4300"/>
    </row>
    <row r="19" spans="1:9" s="4239" customFormat="1" ht="18" customHeight="1" outlineLevel="1">
      <c r="A19" s="4247" t="s">
        <v>402</v>
      </c>
      <c r="B19" s="4246"/>
      <c r="C19" s="4248" t="s">
        <v>401</v>
      </c>
      <c r="D19" s="4244">
        <f>[39]SPORTS!$E$13</f>
        <v>29511.42</v>
      </c>
      <c r="E19" s="4255">
        <f>[40]SPORTS!$E$13</f>
        <v>32255.949999999997</v>
      </c>
      <c r="F19" s="4243">
        <f t="shared" si="0"/>
        <v>33584.050000000003</v>
      </c>
      <c r="G19" s="4255">
        <f>[40]SPORTS!$C$13</f>
        <v>65840</v>
      </c>
      <c r="H19" s="4241">
        <v>35840</v>
      </c>
      <c r="I19" s="4240"/>
    </row>
    <row r="20" spans="1:9" s="4239" customFormat="1" ht="18" customHeight="1" outlineLevel="1">
      <c r="A20" s="4250" t="s">
        <v>674</v>
      </c>
      <c r="B20" s="4249"/>
      <c r="C20" s="4248" t="s">
        <v>396</v>
      </c>
      <c r="D20" s="4244">
        <f>[39]SPORTS!$E$14</f>
        <v>17275.099999999999</v>
      </c>
      <c r="E20" s="4255">
        <f>[40]SPORTS!$E$14</f>
        <v>0</v>
      </c>
      <c r="F20" s="4243">
        <f t="shared" si="0"/>
        <v>213200</v>
      </c>
      <c r="G20" s="4255">
        <f>[40]SPORTS!$C$14</f>
        <v>213200</v>
      </c>
      <c r="H20" s="4241">
        <v>133200</v>
      </c>
      <c r="I20" s="4240"/>
    </row>
    <row r="21" spans="1:9" s="4239" customFormat="1" ht="18" customHeight="1" outlineLevel="1">
      <c r="A21" s="4252" t="s">
        <v>878</v>
      </c>
      <c r="B21" s="4249"/>
      <c r="C21" s="4248" t="s">
        <v>394</v>
      </c>
      <c r="D21" s="4244">
        <f>[39]SPORTS!$E$15</f>
        <v>306229</v>
      </c>
      <c r="E21" s="4255">
        <f>[40]SPORTS!$E$15</f>
        <v>190510</v>
      </c>
      <c r="F21" s="4243">
        <f t="shared" si="0"/>
        <v>420840</v>
      </c>
      <c r="G21" s="4255">
        <f>[40]SPORTS!$C$15</f>
        <v>611350</v>
      </c>
      <c r="H21" s="4241">
        <v>392000</v>
      </c>
      <c r="I21" s="4240"/>
    </row>
    <row r="22" spans="1:9" s="4239" customFormat="1" ht="18" customHeight="1" outlineLevel="1">
      <c r="A22" s="4254" t="s">
        <v>673</v>
      </c>
      <c r="B22" s="4246"/>
      <c r="C22" s="4248" t="s">
        <v>1269</v>
      </c>
      <c r="D22" s="4244">
        <f>[39]SPORTS!$E$16</f>
        <v>600</v>
      </c>
      <c r="E22" s="4255">
        <f>[40]SPORTS!$E$16</f>
        <v>600</v>
      </c>
      <c r="F22" s="4243">
        <f t="shared" si="0"/>
        <v>1400</v>
      </c>
      <c r="G22" s="4255">
        <f>[40]SPORTS!$C$16</f>
        <v>2000</v>
      </c>
      <c r="H22" s="4241">
        <v>2000</v>
      </c>
      <c r="I22" s="4240"/>
    </row>
    <row r="23" spans="1:9" s="4239" customFormat="1" ht="18" customHeight="1" outlineLevel="1">
      <c r="A23" s="4252" t="s">
        <v>699</v>
      </c>
      <c r="B23" s="4249"/>
      <c r="C23" s="4248" t="s">
        <v>390</v>
      </c>
      <c r="D23" s="4244">
        <f>[39]SPORTS!$E$17</f>
        <v>7265.7199999999993</v>
      </c>
      <c r="E23" s="4255">
        <f>[40]SPORTS!$E$17</f>
        <v>3302.6</v>
      </c>
      <c r="F23" s="4243">
        <f t="shared" si="0"/>
        <v>4697.3999999999996</v>
      </c>
      <c r="G23" s="4255">
        <f>[40]SPORTS!$C$17</f>
        <v>8000</v>
      </c>
      <c r="H23" s="4241">
        <f>[44]SPORTS!$G$18</f>
        <v>8000</v>
      </c>
      <c r="I23" s="4240"/>
    </row>
    <row r="24" spans="1:9" s="4239" customFormat="1" ht="18" customHeight="1" outlineLevel="1">
      <c r="A24" s="4252" t="s">
        <v>1264</v>
      </c>
      <c r="B24" s="4249"/>
      <c r="C24" s="4248" t="s">
        <v>1263</v>
      </c>
      <c r="D24" s="4244">
        <v>0</v>
      </c>
      <c r="E24" s="4255">
        <f>[40]SPORTS!$E$18</f>
        <v>0</v>
      </c>
      <c r="F24" s="4243">
        <v>0</v>
      </c>
      <c r="G24" s="4255">
        <f>[40]SPORTS!$C$18</f>
        <v>30000</v>
      </c>
      <c r="H24" s="4241">
        <v>30000</v>
      </c>
      <c r="I24" s="4240"/>
    </row>
    <row r="25" spans="1:9" s="4239" customFormat="1" ht="18" customHeight="1" outlineLevel="1">
      <c r="A25" s="4252" t="s">
        <v>1961</v>
      </c>
      <c r="B25" s="4249"/>
      <c r="C25" s="4248" t="s">
        <v>1960</v>
      </c>
      <c r="D25" s="4244">
        <f>[39]SPORTS!$E$18</f>
        <v>209900</v>
      </c>
      <c r="E25" s="4255">
        <f>[40]SPORTS!$E$19</f>
        <v>49300</v>
      </c>
      <c r="F25" s="4243">
        <f>G25-E25</f>
        <v>551940</v>
      </c>
      <c r="G25" s="4255">
        <f>[40]SPORTS!$C$19</f>
        <v>601240</v>
      </c>
      <c r="H25" s="4241">
        <v>351240</v>
      </c>
      <c r="I25" s="4240"/>
    </row>
    <row r="26" spans="1:9" s="4239" customFormat="1" ht="18" customHeight="1" outlineLevel="1">
      <c r="A26" s="4252" t="s">
        <v>389</v>
      </c>
      <c r="B26" s="4249"/>
      <c r="C26" s="4248" t="s">
        <v>388</v>
      </c>
      <c r="D26" s="4244">
        <f>[39]SPORTS!$E$19</f>
        <v>1066200</v>
      </c>
      <c r="E26" s="4242">
        <f>[40]SPORTS!$E$20</f>
        <v>666900</v>
      </c>
      <c r="F26" s="4243">
        <f>G26-E26</f>
        <v>813000</v>
      </c>
      <c r="G26" s="4242">
        <f>[40]SPORTS!$C$20</f>
        <v>1479900</v>
      </c>
      <c r="H26" s="4241">
        <v>1681200</v>
      </c>
      <c r="I26" s="4240">
        <v>156000</v>
      </c>
    </row>
    <row r="27" spans="1:9" s="4239" customFormat="1" ht="18" customHeight="1" outlineLevel="1">
      <c r="A27" s="4247" t="s">
        <v>693</v>
      </c>
      <c r="B27" s="4246"/>
      <c r="C27" s="4245" t="s">
        <v>367</v>
      </c>
      <c r="D27" s="4244">
        <f>[39]SPORTS!$E$20</f>
        <v>1464589.7000000002</v>
      </c>
      <c r="E27" s="4242">
        <f>[40]SPORTS!$E$21</f>
        <v>201000</v>
      </c>
      <c r="F27" s="4243">
        <f>G27-E27</f>
        <v>3619270</v>
      </c>
      <c r="G27" s="4242">
        <f>[40]SPORTS!$C$21</f>
        <v>3820270</v>
      </c>
      <c r="H27" s="4241">
        <v>1418900</v>
      </c>
      <c r="I27" s="4240"/>
    </row>
    <row r="28" spans="1:9" ht="20.100000000000001" customHeight="1" outlineLevel="2" thickBot="1">
      <c r="A28" s="4238" t="s">
        <v>366</v>
      </c>
      <c r="B28" s="4236"/>
      <c r="C28" s="4237"/>
      <c r="D28" s="4236">
        <f>SUM(D18:D27)</f>
        <v>3125893.9400000004</v>
      </c>
      <c r="E28" s="4236">
        <f>SUM(E18:E27)</f>
        <v>1145098.55</v>
      </c>
      <c r="F28" s="4236">
        <f>SUM(F18:F27)</f>
        <v>5849901.4500000002</v>
      </c>
      <c r="G28" s="4236">
        <f>SUM(G18:G27)</f>
        <v>7025000</v>
      </c>
      <c r="H28" s="4235">
        <f>SUM(H18:H27)</f>
        <v>4145580</v>
      </c>
    </row>
    <row r="29" spans="1:9" ht="20.100000000000001" customHeight="1" outlineLevel="2" thickTop="1">
      <c r="A29" s="4233"/>
      <c r="B29" s="4233"/>
      <c r="C29" s="4234"/>
      <c r="D29" s="4233"/>
      <c r="E29" s="4233"/>
      <c r="F29" s="4233"/>
      <c r="G29" s="4233"/>
      <c r="H29" s="4233"/>
    </row>
    <row r="30" spans="1:9" s="4220" customFormat="1" ht="14.25" customHeight="1">
      <c r="A30" s="4225" t="s">
        <v>3163</v>
      </c>
      <c r="B30" s="4222"/>
      <c r="C30" s="4222"/>
      <c r="D30" s="4222" t="s">
        <v>363</v>
      </c>
      <c r="E30" s="4222"/>
      <c r="F30" s="4225"/>
      <c r="G30" s="4225" t="s">
        <v>2311</v>
      </c>
      <c r="H30" s="4222"/>
      <c r="I30" s="4231"/>
    </row>
    <row r="31" spans="1:9" s="4220" customFormat="1" ht="14.25" customHeight="1">
      <c r="A31" s="4225"/>
      <c r="B31" s="4222"/>
      <c r="C31" s="4222"/>
      <c r="D31" s="4222"/>
      <c r="E31" s="4222"/>
      <c r="F31" s="4225"/>
      <c r="G31" s="4225"/>
      <c r="H31" s="4222"/>
      <c r="I31" s="4231"/>
    </row>
    <row r="32" spans="1:9" s="4220" customFormat="1" ht="14.25" customHeight="1">
      <c r="A32" s="4225"/>
      <c r="B32" s="4222"/>
      <c r="C32" s="4222"/>
      <c r="D32" s="4222"/>
      <c r="E32" s="4222"/>
      <c r="F32" s="4225"/>
      <c r="G32" s="4225"/>
      <c r="H32" s="4222"/>
      <c r="I32" s="4231"/>
    </row>
    <row r="33" spans="1:9" s="4220" customFormat="1" ht="14.25" customHeight="1">
      <c r="A33" s="4229" t="s">
        <v>2671</v>
      </c>
      <c r="B33" s="4226"/>
      <c r="C33" s="4229"/>
      <c r="D33" s="4228" t="s">
        <v>3162</v>
      </c>
      <c r="E33" s="4222"/>
      <c r="F33" s="4227"/>
      <c r="G33" s="4227" t="s">
        <v>359</v>
      </c>
      <c r="H33" s="4222"/>
      <c r="I33" s="4231"/>
    </row>
    <row r="34" spans="1:9" s="4220" customFormat="1" ht="14.25" customHeight="1">
      <c r="A34" s="4222" t="s">
        <v>3183</v>
      </c>
      <c r="B34" s="4226"/>
      <c r="C34" s="4225"/>
      <c r="D34" s="4224" t="s">
        <v>3160</v>
      </c>
      <c r="E34" s="4222"/>
      <c r="F34" s="4223"/>
      <c r="G34" s="4223" t="s">
        <v>3159</v>
      </c>
      <c r="H34" s="4222"/>
      <c r="I34" s="4231"/>
    </row>
    <row r="35" spans="1:9" s="4214" customFormat="1">
      <c r="A35" s="4218" t="s">
        <v>3182</v>
      </c>
      <c r="B35" s="4219"/>
      <c r="C35" s="4218"/>
      <c r="D35" s="4322"/>
      <c r="E35" s="4322"/>
      <c r="F35" s="4322"/>
      <c r="G35" s="4322"/>
      <c r="H35" s="4322"/>
      <c r="I35" s="4321"/>
    </row>
    <row r="36" spans="1:9" s="4214" customFormat="1">
      <c r="A36" s="4218"/>
      <c r="B36" s="4219"/>
      <c r="C36" s="4218"/>
      <c r="D36" s="4217"/>
      <c r="E36" s="4217"/>
      <c r="F36" s="4217"/>
      <c r="G36" s="4217"/>
      <c r="H36" s="4217"/>
      <c r="I36" s="4282"/>
    </row>
    <row r="37" spans="1:9" s="4214" customFormat="1">
      <c r="A37" s="4218"/>
      <c r="B37" s="4219"/>
      <c r="C37" s="4218"/>
      <c r="D37" s="4217"/>
      <c r="E37" s="4217"/>
      <c r="F37" s="4217"/>
      <c r="G37" s="4217"/>
      <c r="H37" s="4217"/>
      <c r="I37" s="4282"/>
    </row>
    <row r="38" spans="1:9" s="4214" customFormat="1">
      <c r="A38" s="4218"/>
      <c r="B38" s="4219"/>
      <c r="C38" s="4218"/>
      <c r="D38" s="4217"/>
      <c r="E38" s="4217"/>
      <c r="F38" s="4217"/>
      <c r="G38" s="4217"/>
      <c r="H38" s="4217"/>
      <c r="I38" s="4282"/>
    </row>
    <row r="39" spans="1:9" s="4214" customFormat="1">
      <c r="A39" s="4218"/>
      <c r="B39" s="4219"/>
      <c r="C39" s="4218"/>
      <c r="D39" s="4217"/>
      <c r="E39" s="4217"/>
      <c r="F39" s="4217"/>
      <c r="G39" s="4217"/>
      <c r="H39" s="4217"/>
      <c r="I39" s="4282"/>
    </row>
    <row r="40" spans="1:9" s="4214" customFormat="1">
      <c r="A40" s="4218"/>
      <c r="B40" s="4219"/>
      <c r="C40" s="4218"/>
      <c r="D40" s="4217"/>
      <c r="E40" s="4217"/>
      <c r="F40" s="4217"/>
      <c r="G40" s="4217"/>
      <c r="H40" s="4217"/>
      <c r="I40" s="4282"/>
    </row>
    <row r="41" spans="1:9" s="4214" customFormat="1">
      <c r="A41" s="4218"/>
      <c r="B41" s="4219"/>
      <c r="C41" s="4218"/>
      <c r="D41" s="4217"/>
      <c r="E41" s="4217"/>
      <c r="F41" s="4217"/>
      <c r="G41" s="4217"/>
      <c r="H41" s="4217"/>
      <c r="I41" s="4282"/>
    </row>
    <row r="42" spans="1:9" s="4214" customFormat="1">
      <c r="A42" s="4218"/>
      <c r="B42" s="4219"/>
      <c r="C42" s="4218"/>
      <c r="D42" s="4217"/>
      <c r="E42" s="4217"/>
      <c r="F42" s="4217"/>
      <c r="G42" s="4217"/>
      <c r="H42" s="4217"/>
      <c r="I42" s="4282"/>
    </row>
    <row r="43" spans="1:9" s="4214" customFormat="1">
      <c r="A43" s="4218"/>
      <c r="B43" s="4219"/>
      <c r="C43" s="4218"/>
      <c r="D43" s="4217"/>
      <c r="E43" s="4217"/>
      <c r="F43" s="4217"/>
      <c r="G43" s="4217"/>
      <c r="H43" s="4217"/>
      <c r="I43" s="4282"/>
    </row>
    <row r="44" spans="1:9" s="4214" customFormat="1">
      <c r="A44" s="4218"/>
      <c r="B44" s="4219"/>
      <c r="C44" s="4218"/>
      <c r="D44" s="4217"/>
      <c r="E44" s="4217"/>
      <c r="F44" s="4217"/>
      <c r="G44" s="4217"/>
      <c r="H44" s="4217"/>
      <c r="I44" s="4282"/>
    </row>
    <row r="45" spans="1:9" s="4214" customFormat="1">
      <c r="A45" s="4218"/>
      <c r="B45" s="4219"/>
      <c r="C45" s="4218"/>
      <c r="D45" s="4217"/>
      <c r="E45" s="4217"/>
      <c r="F45" s="4217"/>
      <c r="G45" s="4217"/>
      <c r="H45" s="4217"/>
      <c r="I45" s="4282"/>
    </row>
  </sheetData>
  <mergeCells count="4">
    <mergeCell ref="A5:H5"/>
    <mergeCell ref="A6:H6"/>
    <mergeCell ref="A12:B15"/>
    <mergeCell ref="E12:G12"/>
  </mergeCells>
  <pageMargins left="0.5" right="0" top="0" bottom="0" header="0.25" footer="0"/>
  <pageSetup paperSize="5" orientation="portrait" verticalDpi="300"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N40"/>
  <sheetViews>
    <sheetView showGridLines="0" showOutlineSymbols="0" topLeftCell="A4" workbookViewId="0">
      <selection activeCell="J24" sqref="J24"/>
    </sheetView>
  </sheetViews>
  <sheetFormatPr defaultColWidth="12.5703125" defaultRowHeight="12.75" outlineLevelRow="2" outlineLevelCol="2"/>
  <cols>
    <col min="1" max="1" width="1.85546875" style="4213" customWidth="1"/>
    <col min="2" max="2" width="33.7109375" style="4213" customWidth="1"/>
    <col min="3" max="3" width="11.7109375" style="4213" customWidth="1"/>
    <col min="4" max="4" width="11" style="4213" customWidth="1"/>
    <col min="5" max="5" width="10.7109375" style="4213" customWidth="1"/>
    <col min="6" max="6" width="11.140625" style="4213" customWidth="1"/>
    <col min="7" max="7" width="10.28515625" style="4213" customWidth="1"/>
    <col min="8" max="8" width="10.5703125" style="4213" customWidth="1"/>
    <col min="9" max="25" width="12.5703125" style="4211"/>
    <col min="26" max="29" width="12.5703125" style="4211" outlineLevel="1"/>
    <col min="30" max="77" width="12.5703125" style="4211"/>
    <col min="78" max="83" width="12.5703125" style="4211" outlineLevel="1"/>
    <col min="84" max="89" width="12.5703125" style="4211" outlineLevel="2"/>
    <col min="90" max="92" width="12.5703125" style="4211" outlineLevel="1"/>
    <col min="93"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3192</v>
      </c>
      <c r="B10" s="4273"/>
    </row>
    <row r="11" spans="1:8" ht="14.25" customHeight="1">
      <c r="A11" s="4273"/>
      <c r="B11" s="4273"/>
    </row>
    <row r="12" spans="1:8" ht="14.25" customHeight="1">
      <c r="A12" s="5007" t="s">
        <v>468</v>
      </c>
      <c r="B12" s="5008"/>
      <c r="C12" s="4272" t="s">
        <v>467</v>
      </c>
      <c r="D12" s="4272" t="s">
        <v>466</v>
      </c>
      <c r="E12" s="5004" t="s">
        <v>465</v>
      </c>
      <c r="F12" s="5005"/>
      <c r="G12" s="5006"/>
      <c r="H12" s="4272" t="s">
        <v>2180</v>
      </c>
    </row>
    <row r="13" spans="1:8" ht="14.25" customHeight="1">
      <c r="A13" s="5009"/>
      <c r="B13" s="5010"/>
      <c r="C13" s="4271" t="s">
        <v>463</v>
      </c>
      <c r="D13" s="4270">
        <v>2020</v>
      </c>
      <c r="E13" s="4270" t="s">
        <v>2344</v>
      </c>
      <c r="F13" s="4270" t="s">
        <v>2343</v>
      </c>
      <c r="G13" s="4270"/>
      <c r="H13" s="4270" t="s">
        <v>2342</v>
      </c>
    </row>
    <row r="14" spans="1:8" ht="14.25" customHeight="1">
      <c r="A14" s="5009"/>
      <c r="B14" s="5010"/>
      <c r="C14" s="4271"/>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10" s="4212" customFormat="1" ht="20.100000000000001" customHeight="1" outlineLevel="1">
      <c r="A17" s="4263" t="s">
        <v>407</v>
      </c>
      <c r="B17" s="4262"/>
      <c r="C17" s="4261"/>
      <c r="D17" s="4260">
        <f>SUM(D18:D32)</f>
        <v>2942272.83</v>
      </c>
      <c r="E17" s="4260">
        <f>SUM(E18:E32)</f>
        <v>1178793.82</v>
      </c>
      <c r="F17" s="4260">
        <f>SUM(F18:F32)</f>
        <v>2341206.1800000002</v>
      </c>
      <c r="G17" s="4260">
        <f>SUM(G18:G32)</f>
        <v>3520000</v>
      </c>
      <c r="H17" s="4260">
        <f>SUM(H18:H32)</f>
        <v>3743600</v>
      </c>
    </row>
    <row r="18" spans="1:10" s="4240" customFormat="1" ht="18" customHeight="1" outlineLevel="1">
      <c r="A18" s="4254" t="s">
        <v>2352</v>
      </c>
      <c r="B18" s="4246"/>
      <c r="C18" s="4259" t="s">
        <v>405</v>
      </c>
      <c r="D18" s="4258">
        <f>[39]TOURISM!$E$12</f>
        <v>162720</v>
      </c>
      <c r="E18" s="4257">
        <f>[40]TOURISM!$E$12</f>
        <v>7820</v>
      </c>
      <c r="F18" s="4243">
        <f t="shared" ref="F18:F27" si="0">G18-E18</f>
        <v>142180</v>
      </c>
      <c r="G18" s="4257">
        <f>[40]TOURISM!$C$12</f>
        <v>150000</v>
      </c>
      <c r="H18" s="4329">
        <f>'[41]TOURISM DEV.'!$H$12</f>
        <v>150000</v>
      </c>
    </row>
    <row r="19" spans="1:10" s="4239" customFormat="1" ht="18" customHeight="1" outlineLevel="1">
      <c r="A19" s="4254" t="s">
        <v>704</v>
      </c>
      <c r="B19" s="4246"/>
      <c r="C19" s="4248" t="s">
        <v>403</v>
      </c>
      <c r="D19" s="4258">
        <f>[39]TOURISM!$E$13</f>
        <v>0</v>
      </c>
      <c r="E19" s="4328">
        <f>[40]TOURISM!$E$13</f>
        <v>0</v>
      </c>
      <c r="F19" s="4243">
        <f t="shared" si="0"/>
        <v>100000</v>
      </c>
      <c r="G19" s="4255">
        <f>[40]TOURISM!$C$13</f>
        <v>100000</v>
      </c>
      <c r="H19" s="4243">
        <f>'[41]TOURISM DEV.'!$H$13</f>
        <v>50000</v>
      </c>
    </row>
    <row r="20" spans="1:10" s="4239" customFormat="1" ht="18" customHeight="1" outlineLevel="1">
      <c r="A20" s="4247" t="s">
        <v>402</v>
      </c>
      <c r="B20" s="4246"/>
      <c r="C20" s="4248" t="s">
        <v>401</v>
      </c>
      <c r="D20" s="4244">
        <f>[39]TOURISM!$E$14</f>
        <v>16766.7</v>
      </c>
      <c r="E20" s="4255">
        <f>[40]TOURISM!$E$14</f>
        <v>12089</v>
      </c>
      <c r="F20" s="4243">
        <f t="shared" si="0"/>
        <v>17911</v>
      </c>
      <c r="G20" s="4255">
        <f>[40]TOURISM!$C$14</f>
        <v>30000</v>
      </c>
      <c r="H20" s="4243">
        <f>'[41]TOURISM DEV.'!$H$14</f>
        <v>30000</v>
      </c>
    </row>
    <row r="21" spans="1:10" s="4239" customFormat="1" ht="18" customHeight="1" outlineLevel="1">
      <c r="A21" s="4250" t="s">
        <v>674</v>
      </c>
      <c r="B21" s="4249"/>
      <c r="C21" s="4248" t="s">
        <v>396</v>
      </c>
      <c r="D21" s="4244">
        <f>[39]TOURISM!$E$15</f>
        <v>82494.13</v>
      </c>
      <c r="E21" s="4255">
        <f>[40]TOURISM!$E$15</f>
        <v>7641.55</v>
      </c>
      <c r="F21" s="4243">
        <f t="shared" si="0"/>
        <v>196858.45</v>
      </c>
      <c r="G21" s="4255">
        <f>[40]TOURISM!$C$15</f>
        <v>204500</v>
      </c>
      <c r="H21" s="4243">
        <f>'[41]TOURISM DEV.'!$H$15</f>
        <v>204500</v>
      </c>
    </row>
    <row r="22" spans="1:10" s="4239" customFormat="1" ht="18" customHeight="1" outlineLevel="1">
      <c r="A22" s="4252" t="s">
        <v>878</v>
      </c>
      <c r="B22" s="4249"/>
      <c r="C22" s="4248" t="s">
        <v>394</v>
      </c>
      <c r="D22" s="4244">
        <f>[39]TOURISM!$E$16</f>
        <v>0</v>
      </c>
      <c r="E22" s="4255">
        <f>[40]TOURISM!$E$16</f>
        <v>0</v>
      </c>
      <c r="F22" s="4243">
        <f t="shared" si="0"/>
        <v>50000</v>
      </c>
      <c r="G22" s="4255">
        <f>[40]TOURISM!$C$16</f>
        <v>50000</v>
      </c>
      <c r="H22" s="4243">
        <f>'[41]TOURISM DEV.'!$H$16</f>
        <v>50000</v>
      </c>
    </row>
    <row r="23" spans="1:10" s="4239" customFormat="1" ht="18" customHeight="1" outlineLevel="1">
      <c r="A23" s="4250" t="s">
        <v>1266</v>
      </c>
      <c r="B23" s="4249"/>
      <c r="C23" s="4248" t="s">
        <v>1265</v>
      </c>
      <c r="D23" s="4244">
        <f>[39]TOURISM!$E$17</f>
        <v>2400</v>
      </c>
      <c r="E23" s="4242">
        <f>[40]TOURISM!$E$17</f>
        <v>0</v>
      </c>
      <c r="F23" s="4243">
        <f t="shared" si="0"/>
        <v>2400</v>
      </c>
      <c r="G23" s="4242">
        <f>[40]TOURISM!$C$17</f>
        <v>2400</v>
      </c>
      <c r="H23" s="4243">
        <f>'[41]TOURISM DEV.'!$H$17</f>
        <v>2400</v>
      </c>
    </row>
    <row r="24" spans="1:10" s="4239" customFormat="1" ht="18" customHeight="1" outlineLevel="1">
      <c r="A24" s="4252" t="s">
        <v>2038</v>
      </c>
      <c r="B24" s="4249"/>
      <c r="C24" s="4248" t="s">
        <v>390</v>
      </c>
      <c r="D24" s="4244">
        <f>[39]TOURISM!$E$18</f>
        <v>12519.36</v>
      </c>
      <c r="E24" s="4255">
        <f>[40]TOURISM!$E$18</f>
        <v>3633.28</v>
      </c>
      <c r="F24" s="4243">
        <f t="shared" si="0"/>
        <v>26366.720000000001</v>
      </c>
      <c r="G24" s="4255">
        <f>[40]TOURISM!$C$18</f>
        <v>30000</v>
      </c>
      <c r="H24" s="4243">
        <f>'[41]TOURISM DEV.'!$H$18</f>
        <v>30000</v>
      </c>
    </row>
    <row r="25" spans="1:10" s="4239" customFormat="1" ht="18" customHeight="1" outlineLevel="1">
      <c r="A25" s="4250" t="s">
        <v>3191</v>
      </c>
      <c r="B25" s="4249"/>
      <c r="C25" s="4248" t="s">
        <v>1962</v>
      </c>
      <c r="D25" s="4244">
        <f>[39]TOURISM!$E$19</f>
        <v>24000</v>
      </c>
      <c r="E25" s="4242">
        <f>[40]TOURISM!$E$19</f>
        <v>12000</v>
      </c>
      <c r="F25" s="4243">
        <f t="shared" si="0"/>
        <v>12000</v>
      </c>
      <c r="G25" s="4242">
        <f>[40]TOURISM!$C$19</f>
        <v>24000</v>
      </c>
      <c r="H25" s="4243">
        <f>'[41]TOURISM DEV.'!$H$19</f>
        <v>24000</v>
      </c>
      <c r="I25" s="4327" t="s">
        <v>3190</v>
      </c>
      <c r="J25" s="4327" t="s">
        <v>3189</v>
      </c>
    </row>
    <row r="26" spans="1:10" s="4239" customFormat="1" ht="18" customHeight="1" outlineLevel="1">
      <c r="A26" s="4250" t="s">
        <v>389</v>
      </c>
      <c r="B26" s="4249"/>
      <c r="C26" s="4248" t="s">
        <v>388</v>
      </c>
      <c r="D26" s="4244">
        <f>[39]TOURISM!$E$20</f>
        <v>1777728.1400000001</v>
      </c>
      <c r="E26" s="4242">
        <f>[40]TOURISM!$E$20</f>
        <v>1013404.99</v>
      </c>
      <c r="F26" s="4243">
        <f t="shared" si="0"/>
        <v>914715.01</v>
      </c>
      <c r="G26" s="4242">
        <f>[40]TOURISM!$C$20</f>
        <v>1928120</v>
      </c>
      <c r="H26" s="4241">
        <v>1971720</v>
      </c>
      <c r="I26" s="4326">
        <v>243000</v>
      </c>
      <c r="J26" s="4241">
        <v>1980720</v>
      </c>
    </row>
    <row r="27" spans="1:10" s="4239" customFormat="1" ht="18" customHeight="1" outlineLevel="1">
      <c r="A27" s="4250" t="s">
        <v>952</v>
      </c>
      <c r="B27" s="4249"/>
      <c r="C27" s="4248" t="s">
        <v>3188</v>
      </c>
      <c r="D27" s="4244">
        <v>0</v>
      </c>
      <c r="E27" s="4242">
        <v>0</v>
      </c>
      <c r="F27" s="4243">
        <f t="shared" si="0"/>
        <v>120000</v>
      </c>
      <c r="G27" s="4242">
        <f>[40]TOURISM!$C$21</f>
        <v>120000</v>
      </c>
      <c r="H27" s="4241">
        <v>300000</v>
      </c>
      <c r="J27" s="4325"/>
    </row>
    <row r="28" spans="1:10" s="4239" customFormat="1" ht="18" customHeight="1" outlineLevel="1">
      <c r="A28" s="4250" t="s">
        <v>3180</v>
      </c>
      <c r="B28" s="4249"/>
      <c r="C28" s="4248"/>
      <c r="D28" s="4244"/>
      <c r="E28" s="4242"/>
      <c r="F28" s="4243"/>
      <c r="G28" s="4242"/>
      <c r="H28" s="4243"/>
    </row>
    <row r="29" spans="1:10" s="4239" customFormat="1" ht="18" customHeight="1" outlineLevel="1">
      <c r="A29" s="4250"/>
      <c r="B29" s="4324" t="s">
        <v>2336</v>
      </c>
      <c r="C29" s="4248" t="s">
        <v>2335</v>
      </c>
      <c r="D29" s="4244">
        <f>[39]TOURISM!$E$21</f>
        <v>38000</v>
      </c>
      <c r="E29" s="4242">
        <f>[40]TOURISM!$E$22</f>
        <v>0</v>
      </c>
      <c r="F29" s="4243">
        <f>G29-E29</f>
        <v>40000</v>
      </c>
      <c r="G29" s="4242">
        <f>[40]TOURISM!$C$22</f>
        <v>40000</v>
      </c>
      <c r="H29" s="4243">
        <f>'[41]TOURISM DEV.'!$H$23</f>
        <v>40000</v>
      </c>
    </row>
    <row r="30" spans="1:10" s="4239" customFormat="1" ht="18" customHeight="1" outlineLevel="1">
      <c r="A30" s="4250" t="s">
        <v>566</v>
      </c>
      <c r="B30" s="4249"/>
      <c r="C30" s="4248"/>
      <c r="D30" s="4244"/>
      <c r="E30" s="4242"/>
      <c r="F30" s="4243"/>
      <c r="G30" s="4242"/>
      <c r="H30" s="4243"/>
    </row>
    <row r="31" spans="1:10" s="4239" customFormat="1" ht="18" customHeight="1" outlineLevel="1">
      <c r="A31" s="4250"/>
      <c r="B31" s="4249" t="s">
        <v>2370</v>
      </c>
      <c r="C31" s="4248" t="s">
        <v>2327</v>
      </c>
      <c r="D31" s="4244">
        <f>[39]TOURISM!$E$22</f>
        <v>0</v>
      </c>
      <c r="E31" s="4242">
        <f>[40]TOURISM!$E$23</f>
        <v>0</v>
      </c>
      <c r="F31" s="4243">
        <f>G31-E31</f>
        <v>10000</v>
      </c>
      <c r="G31" s="4242">
        <f>[40]TOURISM!$C$23</f>
        <v>10000</v>
      </c>
      <c r="H31" s="4243">
        <f>'[41]TOURISM DEV.'!$H$25</f>
        <v>10000</v>
      </c>
    </row>
    <row r="32" spans="1:10" s="4239" customFormat="1" ht="18" customHeight="1" outlineLevel="1">
      <c r="A32" s="4247" t="s">
        <v>693</v>
      </c>
      <c r="B32" s="4246"/>
      <c r="C32" s="4245" t="s">
        <v>367</v>
      </c>
      <c r="D32" s="4244">
        <f>[39]TOURISM!$E$23</f>
        <v>825644.5</v>
      </c>
      <c r="E32" s="4242">
        <f>[40]TOURISM!$E$24</f>
        <v>122205</v>
      </c>
      <c r="F32" s="4243">
        <f>G32-E32</f>
        <v>708775</v>
      </c>
      <c r="G32" s="4242">
        <f>[40]TOURISM!$C$24</f>
        <v>830980</v>
      </c>
      <c r="H32" s="4243">
        <f>'[41]TOURISM DEV.'!$H$26</f>
        <v>880980</v>
      </c>
    </row>
    <row r="33" spans="1:8" ht="20.100000000000001" customHeight="1" outlineLevel="2" thickBot="1">
      <c r="A33" s="4238" t="s">
        <v>366</v>
      </c>
      <c r="B33" s="4236"/>
      <c r="C33" s="4237"/>
      <c r="D33" s="4236">
        <f>SUM(D18:D32)</f>
        <v>2942272.83</v>
      </c>
      <c r="E33" s="4236">
        <f>SUM(E18:E32)</f>
        <v>1178793.82</v>
      </c>
      <c r="F33" s="4236">
        <f>SUM(F18:F32)</f>
        <v>2341206.1800000002</v>
      </c>
      <c r="G33" s="4236">
        <f>SUM(G18:G32)</f>
        <v>3520000</v>
      </c>
      <c r="H33" s="4235">
        <f>SUM(H18:H32)</f>
        <v>3743600</v>
      </c>
    </row>
    <row r="34" spans="1:8" ht="20.100000000000001" customHeight="1" outlineLevel="2" thickTop="1">
      <c r="A34" s="4233"/>
      <c r="B34" s="4233"/>
      <c r="C34" s="4234"/>
      <c r="D34" s="4233"/>
      <c r="E34" s="4233"/>
      <c r="F34" s="4233"/>
      <c r="G34" s="4233"/>
      <c r="H34" s="4233"/>
    </row>
    <row r="35" spans="1:8" s="4220" customFormat="1" ht="14.25" customHeight="1">
      <c r="A35" s="4225" t="s">
        <v>3163</v>
      </c>
      <c r="B35" s="4225"/>
      <c r="C35" s="4222" t="s">
        <v>363</v>
      </c>
      <c r="D35" s="4222"/>
      <c r="E35" s="4225"/>
      <c r="F35" s="4225" t="s">
        <v>2311</v>
      </c>
      <c r="G35" s="4222"/>
      <c r="H35" s="4222"/>
    </row>
    <row r="36" spans="1:8" s="4220" customFormat="1" ht="14.25" customHeight="1">
      <c r="A36" s="4225"/>
      <c r="B36" s="4225"/>
      <c r="C36" s="4222"/>
      <c r="D36" s="4222"/>
      <c r="E36" s="4225"/>
      <c r="F36" s="4225"/>
      <c r="G36" s="4222"/>
      <c r="H36" s="4222"/>
    </row>
    <row r="37" spans="1:8" s="4220" customFormat="1" ht="14.25" customHeight="1">
      <c r="A37" s="4225"/>
      <c r="B37" s="4225"/>
      <c r="C37" s="4222"/>
      <c r="D37" s="4222"/>
      <c r="E37" s="4225"/>
      <c r="F37" s="4225"/>
      <c r="G37" s="4222"/>
      <c r="H37" s="4222"/>
    </row>
    <row r="38" spans="1:8" s="4220" customFormat="1" ht="14.25" customHeight="1">
      <c r="A38" s="4229" t="s">
        <v>3187</v>
      </c>
      <c r="B38" s="4227"/>
      <c r="C38" s="4228" t="s">
        <v>3162</v>
      </c>
      <c r="D38" s="4222"/>
      <c r="E38" s="4227"/>
      <c r="F38" s="4227" t="s">
        <v>359</v>
      </c>
      <c r="G38" s="4222"/>
      <c r="H38" s="4222"/>
    </row>
    <row r="39" spans="1:8" s="4220" customFormat="1" ht="14.25" customHeight="1">
      <c r="A39" s="4222" t="s">
        <v>3186</v>
      </c>
      <c r="B39" s="4323"/>
      <c r="C39" s="4224" t="s">
        <v>3160</v>
      </c>
      <c r="D39" s="4222"/>
      <c r="E39" s="4223"/>
      <c r="F39" s="4223" t="s">
        <v>3159</v>
      </c>
      <c r="G39" s="4222"/>
      <c r="H39" s="4222"/>
    </row>
    <row r="40" spans="1:8" s="4214" customFormat="1">
      <c r="A40" s="4283" t="s">
        <v>3185</v>
      </c>
      <c r="B40" s="4219"/>
      <c r="C40" s="4218"/>
      <c r="D40" s="4217"/>
      <c r="E40" s="4217"/>
      <c r="F40" s="4217"/>
      <c r="G40" s="4217"/>
      <c r="H40" s="4217"/>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J42"/>
  <sheetViews>
    <sheetView showGridLines="0" showOutlineSymbols="0" workbookViewId="0">
      <selection activeCell="I22" sqref="I22"/>
    </sheetView>
  </sheetViews>
  <sheetFormatPr defaultColWidth="12.5703125" defaultRowHeight="13.5" outlineLevelRow="2" outlineLevelCol="2"/>
  <cols>
    <col min="1" max="1" width="1.85546875" style="4213" customWidth="1"/>
    <col min="2" max="2" width="38.140625" style="4213" customWidth="1"/>
    <col min="3" max="3" width="12.42578125" style="4213" customWidth="1"/>
    <col min="4" max="4" width="9.5703125" style="4213" customWidth="1"/>
    <col min="5" max="5" width="9.28515625" style="4330" customWidth="1"/>
    <col min="6" max="6" width="10" style="4330" customWidth="1"/>
    <col min="7" max="8" width="9.7109375" style="4330" customWidth="1"/>
    <col min="9" max="39" width="12.5703125" style="4211"/>
    <col min="40" max="44" width="12.5703125" style="4211" outlineLevel="1"/>
    <col min="45" max="50" width="12.5703125" style="4211" outlineLevel="2"/>
    <col min="51" max="53" width="12.5703125" style="4211" outlineLevel="1"/>
    <col min="54" max="73" width="12.5703125" style="4211"/>
    <col min="74" max="77" width="12.5703125" style="4211" outlineLevel="1"/>
    <col min="78" max="125" width="12.5703125" style="4211"/>
    <col min="126" max="131" width="12.5703125" style="4211" outlineLevel="1"/>
    <col min="132" max="137" width="12.5703125" style="4211" outlineLevel="2"/>
    <col min="138" max="140" width="12.5703125" style="4211" outlineLevel="1"/>
    <col min="141" max="16384" width="12.5703125" style="4211"/>
  </cols>
  <sheetData>
    <row r="1" spans="1:8">
      <c r="A1" s="4281" t="s">
        <v>473</v>
      </c>
      <c r="E1" s="4347"/>
      <c r="F1" s="4347"/>
      <c r="G1" s="4347"/>
      <c r="H1" s="4347"/>
    </row>
    <row r="2" spans="1:8" ht="14.25" customHeight="1">
      <c r="A2" s="4279" t="s">
        <v>584</v>
      </c>
      <c r="E2" s="4346"/>
      <c r="F2" s="4346"/>
      <c r="G2" s="4346"/>
      <c r="H2" s="4346"/>
    </row>
    <row r="3" spans="1:8" ht="14.25" customHeight="1">
      <c r="E3" s="4346"/>
      <c r="G3" s="4346"/>
      <c r="H3" s="4346"/>
    </row>
    <row r="4" spans="1:8" ht="14.25" customHeight="1">
      <c r="E4" s="4346"/>
      <c r="G4" s="4346"/>
      <c r="H4" s="434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45"/>
      <c r="F7" s="4345"/>
      <c r="G7" s="4345"/>
      <c r="H7" s="4345"/>
    </row>
    <row r="8" spans="1:8" ht="14.25" customHeight="1">
      <c r="A8" s="4309"/>
      <c r="B8" s="4309"/>
      <c r="C8" s="4309"/>
      <c r="D8" s="4309"/>
      <c r="E8" s="4345"/>
      <c r="F8" s="4345"/>
      <c r="G8" s="4345"/>
      <c r="H8" s="4345"/>
    </row>
    <row r="9" spans="1:8" ht="14.25" customHeight="1">
      <c r="A9" s="4274" t="s">
        <v>3169</v>
      </c>
      <c r="B9" s="4274"/>
    </row>
    <row r="10" spans="1:8" ht="14.25" customHeight="1">
      <c r="A10" s="4273" t="s">
        <v>3195</v>
      </c>
      <c r="B10" s="4273"/>
    </row>
    <row r="11" spans="1:8" ht="14.25" customHeight="1">
      <c r="A11" s="4273"/>
      <c r="B11" s="4273"/>
    </row>
    <row r="12" spans="1:8" ht="14.25" customHeight="1">
      <c r="A12" s="5007" t="s">
        <v>468</v>
      </c>
      <c r="B12" s="5008"/>
      <c r="C12" s="4272" t="s">
        <v>467</v>
      </c>
      <c r="D12" s="4272" t="s">
        <v>466</v>
      </c>
      <c r="E12" s="5004" t="s">
        <v>465</v>
      </c>
      <c r="F12" s="5005"/>
      <c r="G12" s="5006"/>
      <c r="H12" s="4272" t="s">
        <v>2180</v>
      </c>
    </row>
    <row r="13" spans="1:8" ht="14.25" customHeight="1">
      <c r="A13" s="5009"/>
      <c r="B13" s="5010"/>
      <c r="C13" s="4271" t="s">
        <v>463</v>
      </c>
      <c r="D13" s="4270">
        <v>2020</v>
      </c>
      <c r="E13" s="4270" t="s">
        <v>2344</v>
      </c>
      <c r="F13" s="4270" t="s">
        <v>2343</v>
      </c>
      <c r="G13" s="4270"/>
      <c r="H13" s="4270" t="s">
        <v>2342</v>
      </c>
    </row>
    <row r="14" spans="1:8" ht="14.25" customHeight="1">
      <c r="A14" s="5009"/>
      <c r="B14" s="5010"/>
      <c r="C14" s="4271"/>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343"/>
      <c r="F16" s="4344"/>
      <c r="G16" s="4344"/>
      <c r="H16" s="4343"/>
    </row>
    <row r="17" spans="1:8" s="4212" customFormat="1" ht="20.100000000000001" customHeight="1" outlineLevel="1">
      <c r="A17" s="4263" t="s">
        <v>407</v>
      </c>
      <c r="B17" s="4262"/>
      <c r="C17" s="4261"/>
      <c r="D17" s="4342">
        <f>SUM(D18:D24)</f>
        <v>1425711.79</v>
      </c>
      <c r="E17" s="4342">
        <f>SUM(E18:E24)</f>
        <v>874773.75</v>
      </c>
      <c r="F17" s="4342">
        <f>SUM(F18:F24)</f>
        <v>1205226.25</v>
      </c>
      <c r="G17" s="4342">
        <f>SUM(G18:G24)</f>
        <v>2080000</v>
      </c>
      <c r="H17" s="4342">
        <f>SUM(H18:H24)</f>
        <v>2080000</v>
      </c>
    </row>
    <row r="18" spans="1:8" s="4240" customFormat="1" ht="18" customHeight="1" outlineLevel="1">
      <c r="A18" s="4254" t="s">
        <v>2352</v>
      </c>
      <c r="B18" s="4246"/>
      <c r="C18" s="4259" t="s">
        <v>405</v>
      </c>
      <c r="D18" s="4244">
        <f>'[39]SCHOLARSHIP FOR STUDENTS'!$E$12</f>
        <v>6216</v>
      </c>
      <c r="E18" s="4339">
        <f>'[40]SCHOLARSHIP FOR STUDENTS'!$E$12</f>
        <v>5980</v>
      </c>
      <c r="F18" s="4338">
        <f>G18-E18</f>
        <v>24020</v>
      </c>
      <c r="G18" s="4339">
        <f>'[40]SCHOLARSHIP FOR STUDENTS'!$C$12</f>
        <v>30000</v>
      </c>
      <c r="H18" s="4336">
        <f>'[41]SCHOLARSHIP PROG - student'!$I$12</f>
        <v>30000</v>
      </c>
    </row>
    <row r="19" spans="1:8" s="4240" customFormat="1" ht="18" customHeight="1" outlineLevel="1">
      <c r="A19" s="4247" t="s">
        <v>1983</v>
      </c>
      <c r="B19" s="4247"/>
      <c r="C19" s="4248" t="s">
        <v>1982</v>
      </c>
      <c r="D19" s="4341">
        <f>'[39]SCHOLARSHIP FOR STUDENTS'!$E$13</f>
        <v>1266087.67</v>
      </c>
      <c r="E19" s="4337">
        <f>'[40]SCHOLARSHIP FOR STUDENTS'!$E$13</f>
        <v>798150</v>
      </c>
      <c r="F19" s="4340">
        <f>G19-E19</f>
        <v>1061850</v>
      </c>
      <c r="G19" s="4337">
        <f>'[40]SCHOLARSHIP FOR STUDENTS'!$C$13</f>
        <v>1860000</v>
      </c>
      <c r="H19" s="4336">
        <v>1860000</v>
      </c>
    </row>
    <row r="20" spans="1:8" s="4239" customFormat="1" ht="18" customHeight="1" outlineLevel="1">
      <c r="A20" s="4247" t="s">
        <v>3194</v>
      </c>
      <c r="B20" s="4246"/>
      <c r="C20" s="4248" t="s">
        <v>2398</v>
      </c>
      <c r="D20" s="4244">
        <f>'[39]SCHOLARSHIP FOR STUDENTS'!$E$14</f>
        <v>0</v>
      </c>
      <c r="E20" s="4339">
        <f>'[40]SCHOLARSHIP FOR STUDENTS'!$E$14</f>
        <v>0</v>
      </c>
      <c r="F20" s="4338">
        <f>G20-E20</f>
        <v>5000</v>
      </c>
      <c r="G20" s="4339">
        <f>'[40]SCHOLARSHIP FOR STUDENTS'!$C$14</f>
        <v>5000</v>
      </c>
      <c r="H20" s="4336">
        <f>'[41]SCHOLARSHIP PROG - student'!$I$15</f>
        <v>5000</v>
      </c>
    </row>
    <row r="21" spans="1:8" s="4239" customFormat="1" ht="18" customHeight="1" outlineLevel="1">
      <c r="A21" s="4250" t="s">
        <v>389</v>
      </c>
      <c r="B21" s="4249"/>
      <c r="C21" s="4248" t="s">
        <v>388</v>
      </c>
      <c r="D21" s="4244">
        <f>'[39]SCHOLARSHIP FOR STUDENTS'!$E$15</f>
        <v>153408.12</v>
      </c>
      <c r="E21" s="4337">
        <f>'[40]SCHOLARSHIP FOR STUDENTS'!$E$15</f>
        <v>70643.75</v>
      </c>
      <c r="F21" s="4338">
        <f>G21-E21</f>
        <v>87756.25</v>
      </c>
      <c r="G21" s="4337">
        <f>'[40]SCHOLARSHIP FOR STUDENTS'!$C$15</f>
        <v>158400</v>
      </c>
      <c r="H21" s="4336">
        <f>'[41]SCHOLARSHIP PROG - student'!$I$16</f>
        <v>158400</v>
      </c>
    </row>
    <row r="22" spans="1:8" s="4239" customFormat="1" ht="18" customHeight="1" outlineLevel="1">
      <c r="A22" s="4250" t="s">
        <v>3180</v>
      </c>
      <c r="B22" s="4249"/>
      <c r="C22" s="4248"/>
      <c r="D22" s="4244"/>
      <c r="E22" s="4337"/>
      <c r="F22" s="4338"/>
      <c r="G22" s="4337"/>
      <c r="H22" s="4336"/>
    </row>
    <row r="23" spans="1:8" s="4239" customFormat="1" ht="18" customHeight="1" outlineLevel="1">
      <c r="A23" s="4250"/>
      <c r="B23" s="4249" t="s">
        <v>2336</v>
      </c>
      <c r="C23" s="4248" t="s">
        <v>2335</v>
      </c>
      <c r="D23" s="4244">
        <v>0</v>
      </c>
      <c r="E23" s="4337">
        <v>0</v>
      </c>
      <c r="F23" s="4338">
        <f>G23-E23</f>
        <v>20000</v>
      </c>
      <c r="G23" s="4337">
        <f>'[40]SCHOLARSHIP FOR STUDENTS'!$C$16</f>
        <v>20000</v>
      </c>
      <c r="H23" s="4336">
        <f>'[41]SCHOLARSHIP PROG - student'!$I$18</f>
        <v>20000</v>
      </c>
    </row>
    <row r="24" spans="1:8" s="4239" customFormat="1" ht="18" customHeight="1" outlineLevel="1">
      <c r="A24" s="4247" t="s">
        <v>693</v>
      </c>
      <c r="B24" s="4246"/>
      <c r="C24" s="4245" t="s">
        <v>367</v>
      </c>
      <c r="D24" s="4244">
        <v>0</v>
      </c>
      <c r="E24" s="4337">
        <v>0</v>
      </c>
      <c r="F24" s="4338">
        <f>G24-E24</f>
        <v>6600</v>
      </c>
      <c r="G24" s="4337">
        <f>'[40]SCHOLARSHIP FOR STUDENTS'!$C$17</f>
        <v>6600</v>
      </c>
      <c r="H24" s="4336">
        <v>6600</v>
      </c>
    </row>
    <row r="25" spans="1:8" ht="20.100000000000001" customHeight="1" outlineLevel="2" thickBot="1">
      <c r="A25" s="4238" t="s">
        <v>366</v>
      </c>
      <c r="B25" s="4236"/>
      <c r="C25" s="4237"/>
      <c r="D25" s="4335">
        <f>SUM(D18:D24)</f>
        <v>1425711.79</v>
      </c>
      <c r="E25" s="4335">
        <f>SUM(E18:E24)</f>
        <v>874773.75</v>
      </c>
      <c r="F25" s="4335">
        <f>SUM(F18:F24)</f>
        <v>1205226.25</v>
      </c>
      <c r="G25" s="4335">
        <f>SUM(G18:G24)</f>
        <v>2080000</v>
      </c>
      <c r="H25" s="4334">
        <f>SUM(H18:H24)</f>
        <v>2080000</v>
      </c>
    </row>
    <row r="26" spans="1:8" ht="20.100000000000001" customHeight="1" outlineLevel="2" thickTop="1">
      <c r="A26" s="4233"/>
      <c r="B26" s="4233"/>
      <c r="C26" s="4234"/>
      <c r="D26" s="4233"/>
      <c r="E26" s="4333"/>
      <c r="F26" s="4333"/>
      <c r="G26" s="4333"/>
      <c r="H26" s="4333"/>
    </row>
    <row r="27" spans="1:8" s="4220" customFormat="1" ht="14.25" customHeight="1">
      <c r="A27" s="4225" t="s">
        <v>3163</v>
      </c>
      <c r="B27" s="4222"/>
      <c r="C27" s="4222" t="s">
        <v>363</v>
      </c>
      <c r="D27" s="4222"/>
      <c r="E27" s="4225"/>
      <c r="F27" s="4225" t="s">
        <v>2311</v>
      </c>
      <c r="G27" s="4222"/>
      <c r="H27" s="4332"/>
    </row>
    <row r="28" spans="1:8" s="4220" customFormat="1" ht="14.25" customHeight="1">
      <c r="A28" s="4225"/>
      <c r="B28" s="4222"/>
      <c r="C28" s="4222"/>
      <c r="D28" s="4222"/>
      <c r="E28" s="4225"/>
      <c r="F28" s="4225"/>
      <c r="G28" s="4222"/>
      <c r="H28" s="4332"/>
    </row>
    <row r="29" spans="1:8" s="4220" customFormat="1" ht="14.25" customHeight="1">
      <c r="A29" s="4225"/>
      <c r="B29" s="4222"/>
      <c r="C29" s="4222"/>
      <c r="D29" s="4222"/>
      <c r="E29" s="4225"/>
      <c r="F29" s="4225"/>
      <c r="G29" s="4222"/>
      <c r="H29" s="4332"/>
    </row>
    <row r="30" spans="1:8" s="4220" customFormat="1" ht="14.25" customHeight="1">
      <c r="A30" s="4229" t="s">
        <v>3193</v>
      </c>
      <c r="B30" s="4226"/>
      <c r="C30" s="4228" t="s">
        <v>3162</v>
      </c>
      <c r="D30" s="4222"/>
      <c r="E30" s="4227"/>
      <c r="F30" s="4227" t="s">
        <v>359</v>
      </c>
      <c r="G30" s="4222"/>
      <c r="H30" s="4332"/>
    </row>
    <row r="31" spans="1:8" s="4220" customFormat="1" ht="14.25" customHeight="1">
      <c r="A31" s="4222" t="s">
        <v>2613</v>
      </c>
      <c r="B31" s="4226"/>
      <c r="C31" s="4224" t="s">
        <v>3160</v>
      </c>
      <c r="D31" s="4222"/>
      <c r="E31" s="4223"/>
      <c r="F31" s="4223" t="s">
        <v>3159</v>
      </c>
      <c r="G31" s="4222"/>
      <c r="H31" s="4332"/>
    </row>
    <row r="32" spans="1:8" s="4214" customFormat="1">
      <c r="A32" s="4218"/>
      <c r="B32" s="4219"/>
      <c r="C32" s="4218"/>
      <c r="D32" s="4217"/>
      <c r="E32" s="4331"/>
      <c r="F32" s="4331"/>
      <c r="G32" s="4331"/>
      <c r="H32" s="4331"/>
    </row>
    <row r="33" spans="1:8" s="4214" customFormat="1">
      <c r="A33" s="4218"/>
      <c r="B33" s="4219"/>
      <c r="C33" s="4218"/>
      <c r="D33" s="4217"/>
      <c r="E33" s="4331"/>
      <c r="F33" s="4331"/>
      <c r="G33" s="4331"/>
      <c r="H33" s="4331"/>
    </row>
    <row r="34" spans="1:8" s="4214" customFormat="1">
      <c r="A34" s="4218"/>
      <c r="B34" s="4219"/>
      <c r="C34" s="4218"/>
      <c r="D34" s="4217"/>
      <c r="E34" s="4331"/>
      <c r="F34" s="4331"/>
      <c r="G34" s="4331"/>
      <c r="H34" s="4331"/>
    </row>
    <row r="35" spans="1:8" s="4214" customFormat="1">
      <c r="A35" s="4218"/>
      <c r="B35" s="4219"/>
      <c r="C35" s="4218"/>
      <c r="D35" s="4217"/>
      <c r="E35" s="4331"/>
      <c r="F35" s="4331"/>
      <c r="G35" s="4331"/>
      <c r="H35" s="4331"/>
    </row>
    <row r="36" spans="1:8" s="4214" customFormat="1">
      <c r="A36" s="4218"/>
      <c r="B36" s="4219"/>
      <c r="C36" s="4218"/>
      <c r="D36" s="4217"/>
      <c r="E36" s="4331"/>
      <c r="F36" s="4331"/>
      <c r="G36" s="4331"/>
      <c r="H36" s="4331"/>
    </row>
    <row r="37" spans="1:8" s="4214" customFormat="1">
      <c r="A37" s="4218"/>
      <c r="B37" s="4219"/>
      <c r="C37" s="4218"/>
      <c r="D37" s="4217"/>
      <c r="E37" s="4331"/>
      <c r="F37" s="4331"/>
      <c r="G37" s="4331"/>
      <c r="H37" s="4331"/>
    </row>
    <row r="38" spans="1:8" s="4214" customFormat="1">
      <c r="A38" s="4218"/>
      <c r="B38" s="4219"/>
      <c r="C38" s="4218"/>
      <c r="D38" s="4217"/>
      <c r="E38" s="4331"/>
      <c r="F38" s="4331"/>
      <c r="G38" s="4331"/>
      <c r="H38" s="4331"/>
    </row>
    <row r="39" spans="1:8" s="4214" customFormat="1">
      <c r="A39" s="4218"/>
      <c r="B39" s="4219"/>
      <c r="C39" s="4218"/>
      <c r="D39" s="4217"/>
      <c r="E39" s="4331"/>
      <c r="F39" s="4331"/>
      <c r="G39" s="4331"/>
      <c r="H39" s="4331"/>
    </row>
    <row r="40" spans="1:8" s="4214" customFormat="1">
      <c r="A40" s="4218"/>
      <c r="B40" s="4219"/>
      <c r="C40" s="4218"/>
      <c r="D40" s="4217"/>
      <c r="E40" s="4331"/>
      <c r="F40" s="4331"/>
      <c r="G40" s="4331"/>
      <c r="H40" s="4331"/>
    </row>
    <row r="41" spans="1:8" s="4214" customFormat="1">
      <c r="A41" s="4218"/>
      <c r="B41" s="4219"/>
      <c r="C41" s="4218"/>
      <c r="D41" s="4217"/>
      <c r="E41" s="4331"/>
      <c r="F41" s="4331"/>
      <c r="G41" s="4331"/>
      <c r="H41" s="4331"/>
    </row>
    <row r="42" spans="1:8" s="4214" customFormat="1">
      <c r="A42" s="4218"/>
      <c r="B42" s="4219"/>
      <c r="C42" s="4218"/>
      <c r="D42" s="4217"/>
      <c r="E42" s="4331"/>
      <c r="F42" s="4331"/>
      <c r="G42" s="4331"/>
      <c r="H42" s="4331"/>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36"/>
  <sheetViews>
    <sheetView showGridLines="0" showOutlineSymbols="0" workbookViewId="0">
      <selection activeCell="I38" sqref="I38"/>
    </sheetView>
  </sheetViews>
  <sheetFormatPr defaultColWidth="12.5703125" defaultRowHeight="13.5" outlineLevelRow="2" outlineLevelCol="2"/>
  <cols>
    <col min="1" max="1" width="1.85546875" style="4213" customWidth="1"/>
    <col min="2" max="2" width="38.5703125" style="4213" customWidth="1"/>
    <col min="3" max="3" width="12.42578125" style="4213" customWidth="1"/>
    <col min="4" max="4" width="8.7109375" style="4213" customWidth="1"/>
    <col min="5" max="5" width="8.7109375" style="4330" customWidth="1"/>
    <col min="6" max="6" width="9.28515625" style="4330" customWidth="1"/>
    <col min="7" max="7" width="8.5703125" style="4330" customWidth="1"/>
    <col min="8" max="8" width="9.85546875" style="4330"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c r="A1" s="4281" t="s">
        <v>473</v>
      </c>
      <c r="E1" s="4347"/>
      <c r="G1" s="4347"/>
      <c r="H1" s="4347"/>
    </row>
    <row r="2" spans="1:8" ht="14.25" customHeight="1">
      <c r="A2" s="4279" t="s">
        <v>584</v>
      </c>
      <c r="E2" s="4346"/>
      <c r="G2" s="4346"/>
      <c r="H2" s="4346"/>
    </row>
    <row r="3" spans="1:8" ht="14.25" customHeight="1">
      <c r="E3" s="4346"/>
      <c r="G3" s="4346"/>
      <c r="H3" s="4346"/>
    </row>
    <row r="4" spans="1:8" ht="14.25" customHeight="1">
      <c r="E4" s="4346"/>
      <c r="G4" s="4346"/>
      <c r="H4" s="434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45"/>
      <c r="F7" s="4345"/>
      <c r="G7" s="4345"/>
      <c r="H7" s="4345"/>
    </row>
    <row r="8" spans="1:8" ht="14.25" customHeight="1">
      <c r="A8" s="4309"/>
      <c r="B8" s="4309"/>
      <c r="C8" s="4309"/>
      <c r="D8" s="4309"/>
      <c r="E8" s="4345"/>
      <c r="F8" s="4345"/>
      <c r="G8" s="4345"/>
      <c r="H8" s="4345"/>
    </row>
    <row r="9" spans="1:8" ht="14.25" customHeight="1">
      <c r="A9" s="4274" t="s">
        <v>3169</v>
      </c>
      <c r="B9" s="4274"/>
    </row>
    <row r="10" spans="1:8" ht="14.25" customHeight="1">
      <c r="A10" s="4273" t="s">
        <v>3196</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343"/>
      <c r="F16" s="4344"/>
      <c r="G16" s="4344"/>
      <c r="H16" s="4343"/>
    </row>
    <row r="17" spans="1:9" s="4212" customFormat="1" ht="20.100000000000001" customHeight="1" outlineLevel="1">
      <c r="A17" s="4263" t="s">
        <v>407</v>
      </c>
      <c r="B17" s="4262"/>
      <c r="C17" s="4261"/>
      <c r="D17" s="4342">
        <f>SUM(D18:D18)</f>
        <v>182200.66999999998</v>
      </c>
      <c r="E17" s="4342">
        <f>SUM(E18:E18)</f>
        <v>157000</v>
      </c>
      <c r="F17" s="4342">
        <f>SUM(F18:F18)</f>
        <v>363000</v>
      </c>
      <c r="G17" s="4342">
        <f>SUM(G18:G18)</f>
        <v>520000</v>
      </c>
      <c r="H17" s="4342">
        <f>SUM(H18:H18)</f>
        <v>520000</v>
      </c>
    </row>
    <row r="18" spans="1:9" s="4240" customFormat="1" ht="18" customHeight="1" outlineLevel="1">
      <c r="A18" s="4254" t="s">
        <v>1983</v>
      </c>
      <c r="B18" s="4246"/>
      <c r="C18" s="4259" t="s">
        <v>1982</v>
      </c>
      <c r="D18" s="4350">
        <f>'[39]SCHOLARSHIP FOR TEACHERS'!$E$12</f>
        <v>182200.66999999998</v>
      </c>
      <c r="E18" s="4349">
        <f>'[40]SCHOLARSHIP FOR TEACHERS'!$E$12</f>
        <v>157000</v>
      </c>
      <c r="F18" s="4338">
        <f>G18-E18</f>
        <v>363000</v>
      </c>
      <c r="G18" s="4349">
        <f>'[40]SCHOLARSHIP FOR TEACHERS'!$C$12</f>
        <v>520000</v>
      </c>
      <c r="H18" s="4348">
        <v>520000</v>
      </c>
      <c r="I18" s="4300"/>
    </row>
    <row r="19" spans="1:9" ht="20.100000000000001" customHeight="1" outlineLevel="2" thickBot="1">
      <c r="A19" s="4238" t="s">
        <v>366</v>
      </c>
      <c r="B19" s="4236"/>
      <c r="C19" s="4237"/>
      <c r="D19" s="4335">
        <f>SUM(D18:D18)</f>
        <v>182200.66999999998</v>
      </c>
      <c r="E19" s="4335">
        <f>SUM(E18:E18)</f>
        <v>157000</v>
      </c>
      <c r="F19" s="4335">
        <f>SUM(F18:F18)</f>
        <v>363000</v>
      </c>
      <c r="G19" s="4335">
        <f>SUM(G18:G18)</f>
        <v>520000</v>
      </c>
      <c r="H19" s="4334">
        <f>SUM(H18:H18)</f>
        <v>520000</v>
      </c>
    </row>
    <row r="20" spans="1:9" ht="20.100000000000001" customHeight="1" outlineLevel="2" thickTop="1">
      <c r="A20" s="4233"/>
      <c r="B20" s="4233"/>
      <c r="C20" s="4234"/>
      <c r="D20" s="4233"/>
      <c r="E20" s="4333"/>
      <c r="F20" s="4333"/>
      <c r="G20" s="4333"/>
      <c r="H20" s="4333"/>
    </row>
    <row r="21" spans="1:9" s="4220" customFormat="1" ht="14.25" customHeight="1">
      <c r="A21" s="4225" t="s">
        <v>3163</v>
      </c>
      <c r="B21" s="4222"/>
      <c r="C21" s="4222" t="s">
        <v>363</v>
      </c>
      <c r="D21" s="4222"/>
      <c r="E21" s="4225"/>
      <c r="F21" s="4225" t="s">
        <v>2311</v>
      </c>
      <c r="G21" s="4222"/>
      <c r="H21" s="4332"/>
    </row>
    <row r="22" spans="1:9" s="4220" customFormat="1" ht="14.25" customHeight="1">
      <c r="A22" s="4225"/>
      <c r="B22" s="4222"/>
      <c r="C22" s="4222"/>
      <c r="D22" s="4222"/>
      <c r="E22" s="4225"/>
      <c r="F22" s="4225"/>
      <c r="G22" s="4222"/>
      <c r="H22" s="4332"/>
    </row>
    <row r="23" spans="1:9" s="4220" customFormat="1" ht="14.25" customHeight="1">
      <c r="A23" s="4225"/>
      <c r="B23" s="4222"/>
      <c r="C23" s="4222"/>
      <c r="D23" s="4222"/>
      <c r="E23" s="4225"/>
      <c r="F23" s="4225"/>
      <c r="G23" s="4222"/>
      <c r="H23" s="4332"/>
    </row>
    <row r="24" spans="1:9" s="4220" customFormat="1" ht="14.25" customHeight="1">
      <c r="A24" s="4229" t="s">
        <v>3193</v>
      </c>
      <c r="B24" s="4226"/>
      <c r="C24" s="4228" t="s">
        <v>3162</v>
      </c>
      <c r="D24" s="4222"/>
      <c r="E24" s="4227"/>
      <c r="F24" s="4227" t="s">
        <v>359</v>
      </c>
      <c r="G24" s="4222"/>
      <c r="H24" s="4332"/>
    </row>
    <row r="25" spans="1:9" s="4220" customFormat="1" ht="14.25" customHeight="1">
      <c r="A25" s="4222" t="s">
        <v>2613</v>
      </c>
      <c r="B25" s="4226"/>
      <c r="C25" s="4224" t="s">
        <v>3160</v>
      </c>
      <c r="D25" s="4222"/>
      <c r="E25" s="4223"/>
      <c r="F25" s="4223" t="s">
        <v>3159</v>
      </c>
      <c r="G25" s="4222"/>
      <c r="H25" s="4332"/>
    </row>
    <row r="26" spans="1:9" s="4214" customFormat="1">
      <c r="A26" s="4218"/>
      <c r="B26" s="4219"/>
      <c r="C26" s="4218"/>
      <c r="D26" s="4217"/>
      <c r="E26" s="4331"/>
      <c r="F26" s="4331"/>
      <c r="G26" s="4331"/>
      <c r="H26" s="4331"/>
      <c r="I26" s="4282"/>
    </row>
    <row r="27" spans="1:9" s="4214" customFormat="1">
      <c r="A27" s="4218"/>
      <c r="B27" s="4219"/>
      <c r="C27" s="4218"/>
      <c r="D27" s="4217"/>
      <c r="E27" s="4331"/>
      <c r="F27" s="4331"/>
      <c r="G27" s="4331"/>
      <c r="H27" s="4331"/>
      <c r="I27" s="4282"/>
    </row>
    <row r="28" spans="1:9" s="4214" customFormat="1">
      <c r="A28" s="4218"/>
      <c r="B28" s="4219"/>
      <c r="C28" s="4218"/>
      <c r="D28" s="4217"/>
      <c r="E28" s="4331"/>
      <c r="F28" s="4331"/>
      <c r="G28" s="4331"/>
      <c r="H28" s="4331"/>
      <c r="I28" s="4282"/>
    </row>
    <row r="29" spans="1:9" s="4214" customFormat="1">
      <c r="A29" s="4218"/>
      <c r="B29" s="4219"/>
      <c r="C29" s="4218"/>
      <c r="D29" s="4217"/>
      <c r="E29" s="4331"/>
      <c r="F29" s="4331"/>
      <c r="G29" s="4331"/>
      <c r="H29" s="4331"/>
      <c r="I29" s="4282"/>
    </row>
    <row r="30" spans="1:9" s="4214" customFormat="1">
      <c r="A30" s="4218"/>
      <c r="B30" s="4219"/>
      <c r="C30" s="4218"/>
      <c r="D30" s="4217"/>
      <c r="E30" s="4331"/>
      <c r="F30" s="4331"/>
      <c r="G30" s="4331"/>
      <c r="H30" s="4331"/>
      <c r="I30" s="4282"/>
    </row>
    <row r="31" spans="1:9" s="4214" customFormat="1">
      <c r="A31" s="4218"/>
      <c r="B31" s="4219"/>
      <c r="C31" s="4218"/>
      <c r="D31" s="4217"/>
      <c r="E31" s="4331"/>
      <c r="F31" s="4331"/>
      <c r="G31" s="4331"/>
      <c r="H31" s="4331"/>
      <c r="I31" s="4282"/>
    </row>
    <row r="32" spans="1:9" s="4214" customFormat="1">
      <c r="A32" s="4218"/>
      <c r="B32" s="4219"/>
      <c r="C32" s="4218"/>
      <c r="D32" s="4217"/>
      <c r="E32" s="4331"/>
      <c r="F32" s="4331"/>
      <c r="G32" s="4331"/>
      <c r="H32" s="4331"/>
      <c r="I32" s="4282"/>
    </row>
    <row r="33" spans="1:9" s="4214" customFormat="1">
      <c r="A33" s="4218"/>
      <c r="B33" s="4219"/>
      <c r="C33" s="4218"/>
      <c r="D33" s="4217"/>
      <c r="E33" s="4331"/>
      <c r="F33" s="4331"/>
      <c r="G33" s="4331"/>
      <c r="H33" s="4331"/>
      <c r="I33" s="4282"/>
    </row>
    <row r="34" spans="1:9" s="4214" customFormat="1">
      <c r="A34" s="4218"/>
      <c r="B34" s="4219"/>
      <c r="C34" s="4218"/>
      <c r="D34" s="4217"/>
      <c r="E34" s="4331"/>
      <c r="F34" s="4331"/>
      <c r="G34" s="4331"/>
      <c r="H34" s="4331"/>
      <c r="I34" s="4282"/>
    </row>
    <row r="35" spans="1:9" s="4214" customFormat="1">
      <c r="A35" s="4218"/>
      <c r="B35" s="4219"/>
      <c r="C35" s="4218"/>
      <c r="D35" s="4217"/>
      <c r="E35" s="4331"/>
      <c r="F35" s="4331"/>
      <c r="G35" s="4331"/>
      <c r="H35" s="4331"/>
      <c r="I35" s="4282"/>
    </row>
    <row r="36" spans="1:9" s="4214" customFormat="1">
      <c r="A36" s="4218"/>
      <c r="B36" s="4219"/>
      <c r="C36" s="4218"/>
      <c r="D36" s="4217"/>
      <c r="E36" s="4331"/>
      <c r="F36" s="4331"/>
      <c r="G36" s="4331"/>
      <c r="H36" s="4331"/>
      <c r="I36" s="4282"/>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M339"/>
  <sheetViews>
    <sheetView showGridLines="0" showOutlineSymbols="0" topLeftCell="A37" zoomScaleNormal="100" workbookViewId="0">
      <selection activeCell="D338" sqref="D338"/>
    </sheetView>
  </sheetViews>
  <sheetFormatPr defaultColWidth="12.5703125" defaultRowHeight="12.75" outlineLevelRow="2" outlineLevelCol="2"/>
  <cols>
    <col min="1" max="1" width="6.28515625" style="1" customWidth="1"/>
    <col min="2" max="2" width="5.85546875" style="1" customWidth="1"/>
    <col min="3" max="3" width="28.85546875" style="1" customWidth="1"/>
    <col min="4" max="4" width="30" style="1" customWidth="1"/>
    <col min="5" max="5" width="10.7109375" style="1" customWidth="1"/>
    <col min="6" max="6" width="15.7109375" style="1" customWidth="1" outlineLevel="1"/>
    <col min="7" max="7" width="6.42578125" style="1" customWidth="1" outlineLevel="1"/>
    <col min="8" max="8" width="15.7109375" style="1" customWidth="1" outlineLevel="1"/>
    <col min="9" max="9" width="14.28515625" style="1" customWidth="1" outlineLevel="1"/>
    <col min="10" max="10" width="5.85546875" style="3" hidden="1" customWidth="1" outlineLevel="1"/>
    <col min="11" max="11" width="13" style="3" hidden="1" customWidth="1" outlineLevel="1"/>
    <col min="12" max="12" width="9.28515625" style="1" hidden="1" customWidth="1" outlineLevel="1"/>
    <col min="13" max="13" width="11.140625" style="1" hidden="1" customWidth="1"/>
    <col min="14" max="14" width="2.140625" style="1" hidden="1" customWidth="1"/>
    <col min="15" max="15" width="9.42578125" style="1" hidden="1" customWidth="1"/>
    <col min="16" max="16" width="0" style="1" hidden="1" customWidth="1"/>
    <col min="17" max="17" width="4.28515625" style="1" hidden="1" customWidth="1"/>
    <col min="18" max="18" width="10.42578125" style="1" hidden="1" customWidth="1"/>
    <col min="19" max="29" width="0" style="1" hidden="1" customWidth="1"/>
    <col min="30" max="104" width="12.5703125" style="1"/>
    <col min="105" max="108" width="12.5703125" style="1" outlineLevel="1"/>
    <col min="109" max="114" width="12.5703125" style="1" outlineLevel="2"/>
    <col min="115" max="117" width="12.5703125" style="1" outlineLevel="1"/>
    <col min="118" max="16384" width="12.5703125" style="1"/>
  </cols>
  <sheetData>
    <row r="1" spans="1:18">
      <c r="H1" s="133" t="s">
        <v>355</v>
      </c>
    </row>
    <row r="2" spans="1:18" ht="12.75" customHeight="1">
      <c r="H2" s="132" t="s">
        <v>625</v>
      </c>
    </row>
    <row r="3" spans="1:18" ht="13.15" customHeight="1">
      <c r="A3" s="4615" t="s">
        <v>353</v>
      </c>
      <c r="B3" s="4615"/>
      <c r="C3" s="4615"/>
      <c r="D3" s="4615"/>
      <c r="E3" s="4615"/>
      <c r="F3" s="4615"/>
      <c r="G3" s="4615"/>
      <c r="H3" s="4615"/>
      <c r="I3" s="4615"/>
      <c r="J3" s="131"/>
      <c r="K3" s="131"/>
      <c r="L3" s="335"/>
    </row>
    <row r="4" spans="1:18" s="3" customFormat="1" ht="16.899999999999999" customHeight="1">
      <c r="A4" s="4616" t="s">
        <v>352</v>
      </c>
      <c r="B4" s="4616"/>
      <c r="C4" s="4616"/>
      <c r="D4" s="4616"/>
      <c r="E4" s="4616"/>
      <c r="F4" s="4616"/>
      <c r="G4" s="4616"/>
      <c r="H4" s="4616"/>
      <c r="I4" s="4616"/>
      <c r="J4" s="130"/>
      <c r="K4" s="130"/>
      <c r="L4" s="130"/>
    </row>
    <row r="5" spans="1:18" ht="13.5" customHeight="1">
      <c r="A5" s="4617" t="s">
        <v>351</v>
      </c>
      <c r="B5" s="4617"/>
      <c r="C5" s="4617"/>
      <c r="D5" s="4617"/>
      <c r="E5" s="4617"/>
      <c r="F5" s="4617"/>
      <c r="G5" s="4617"/>
      <c r="H5" s="4617"/>
      <c r="I5" s="4617"/>
      <c r="J5" s="129"/>
      <c r="K5" s="129"/>
      <c r="L5" s="334"/>
    </row>
    <row r="6" spans="1:18" ht="13.5" customHeight="1">
      <c r="A6" s="934"/>
      <c r="B6" s="934"/>
      <c r="C6" s="934"/>
      <c r="D6" s="934"/>
      <c r="E6" s="934"/>
      <c r="F6" s="934"/>
      <c r="G6" s="934"/>
      <c r="H6" s="934"/>
      <c r="I6" s="934"/>
      <c r="J6" s="129"/>
      <c r="K6" s="129"/>
      <c r="L6" s="334"/>
    </row>
    <row r="7" spans="1:18" ht="13.9" customHeight="1">
      <c r="A7" s="332" t="s">
        <v>624</v>
      </c>
      <c r="B7" s="430" t="s">
        <v>943</v>
      </c>
      <c r="D7" s="279"/>
      <c r="L7" s="332"/>
    </row>
    <row r="8" spans="1:18" ht="13.9" customHeight="1">
      <c r="A8" s="332"/>
      <c r="B8" s="430"/>
      <c r="D8" s="279"/>
      <c r="G8" s="4618"/>
      <c r="H8" s="4618"/>
      <c r="I8" s="332"/>
      <c r="J8" s="4618" t="s">
        <v>457</v>
      </c>
      <c r="K8" s="4618"/>
      <c r="L8" s="332"/>
    </row>
    <row r="9" spans="1:18" ht="12" customHeight="1">
      <c r="A9" s="123"/>
      <c r="B9" s="125"/>
      <c r="C9" s="124"/>
      <c r="D9" s="123"/>
      <c r="E9" s="4619" t="s">
        <v>348</v>
      </c>
      <c r="F9" s="4620"/>
      <c r="G9" s="4619" t="s">
        <v>347</v>
      </c>
      <c r="H9" s="4620"/>
      <c r="I9" s="115"/>
      <c r="J9" s="4607" t="s">
        <v>347</v>
      </c>
      <c r="K9" s="4608"/>
      <c r="L9" s="331"/>
    </row>
    <row r="10" spans="1:18" ht="12" customHeight="1">
      <c r="A10" s="122"/>
      <c r="B10" s="121"/>
      <c r="C10" s="120"/>
      <c r="D10" s="119"/>
      <c r="E10" s="4604" t="s">
        <v>346</v>
      </c>
      <c r="F10" s="4605"/>
      <c r="G10" s="4604" t="s">
        <v>345</v>
      </c>
      <c r="H10" s="4605"/>
      <c r="I10" s="114"/>
      <c r="J10" s="4609" t="s">
        <v>345</v>
      </c>
      <c r="K10" s="4610"/>
      <c r="L10" s="331"/>
    </row>
    <row r="11" spans="1:18" ht="12" customHeight="1">
      <c r="A11" s="122"/>
      <c r="B11" s="121"/>
      <c r="C11" s="120"/>
      <c r="D11" s="119"/>
      <c r="E11" s="4604" t="s">
        <v>344</v>
      </c>
      <c r="F11" s="4605"/>
      <c r="G11" s="4604" t="s">
        <v>344</v>
      </c>
      <c r="H11" s="4605"/>
      <c r="I11" s="114"/>
      <c r="J11" s="4609" t="s">
        <v>344</v>
      </c>
      <c r="K11" s="4610"/>
      <c r="L11" s="4703"/>
      <c r="M11" s="4703"/>
    </row>
    <row r="12" spans="1:18" ht="12" customHeight="1">
      <c r="A12" s="4604" t="s">
        <v>343</v>
      </c>
      <c r="B12" s="4605"/>
      <c r="C12" s="114" t="s">
        <v>342</v>
      </c>
      <c r="D12" s="112" t="s">
        <v>341</v>
      </c>
      <c r="E12" s="113" t="s">
        <v>339</v>
      </c>
      <c r="F12" s="118"/>
      <c r="G12" s="113" t="s">
        <v>339</v>
      </c>
      <c r="H12" s="118"/>
      <c r="I12" s="114" t="s">
        <v>340</v>
      </c>
      <c r="J12" s="110" t="s">
        <v>339</v>
      </c>
      <c r="K12" s="117"/>
      <c r="L12" s="4612" t="s">
        <v>338</v>
      </c>
      <c r="M12" s="4613"/>
      <c r="O12" s="4612" t="s">
        <v>338</v>
      </c>
      <c r="P12" s="4613"/>
    </row>
    <row r="13" spans="1:18" ht="12" customHeight="1">
      <c r="A13" s="116" t="s">
        <v>337</v>
      </c>
      <c r="B13" s="115" t="s">
        <v>336</v>
      </c>
      <c r="C13" s="114"/>
      <c r="D13" s="112"/>
      <c r="E13" s="113" t="s">
        <v>334</v>
      </c>
      <c r="F13" s="112" t="s">
        <v>333</v>
      </c>
      <c r="G13" s="113" t="s">
        <v>334</v>
      </c>
      <c r="H13" s="112" t="s">
        <v>333</v>
      </c>
      <c r="I13" s="111" t="s">
        <v>335</v>
      </c>
      <c r="J13" s="110" t="s">
        <v>334</v>
      </c>
      <c r="K13" s="109" t="s">
        <v>333</v>
      </c>
      <c r="L13" s="4611" t="s">
        <v>942</v>
      </c>
      <c r="M13" s="4611"/>
      <c r="O13" s="4611" t="s">
        <v>941</v>
      </c>
      <c r="P13" s="4611"/>
    </row>
    <row r="14" spans="1:18" s="99" customFormat="1" ht="12" customHeight="1">
      <c r="A14" s="107" t="s">
        <v>331</v>
      </c>
      <c r="B14" s="106" t="s">
        <v>330</v>
      </c>
      <c r="C14" s="106" t="s">
        <v>329</v>
      </c>
      <c r="D14" s="105" t="s">
        <v>328</v>
      </c>
      <c r="E14" s="105" t="s">
        <v>327</v>
      </c>
      <c r="F14" s="106" t="s">
        <v>326</v>
      </c>
      <c r="G14" s="105" t="s">
        <v>324</v>
      </c>
      <c r="H14" s="329" t="s">
        <v>323</v>
      </c>
      <c r="I14" s="105" t="s">
        <v>325</v>
      </c>
      <c r="J14" s="104" t="s">
        <v>324</v>
      </c>
      <c r="K14" s="328" t="s">
        <v>323</v>
      </c>
      <c r="L14" s="101" t="s">
        <v>322</v>
      </c>
      <c r="M14" s="100" t="s">
        <v>321</v>
      </c>
      <c r="O14" s="101" t="s">
        <v>322</v>
      </c>
      <c r="P14" s="100" t="s">
        <v>321</v>
      </c>
    </row>
    <row r="15" spans="1:18" ht="12" customHeight="1" outlineLevel="1">
      <c r="A15" s="293" t="s">
        <v>320</v>
      </c>
      <c r="B15" s="293" t="s">
        <v>320</v>
      </c>
      <c r="C15" s="892" t="s">
        <v>940</v>
      </c>
      <c r="D15" s="926" t="s">
        <v>939</v>
      </c>
      <c r="E15" s="933" t="s">
        <v>47</v>
      </c>
      <c r="F15" s="322">
        <f>IF(E15="ABOLISHED",0, (VLOOKUP(E15,$A$72:$C310,2,FALSE)*12))</f>
        <v>1127304</v>
      </c>
      <c r="G15" s="933" t="s">
        <v>46</v>
      </c>
      <c r="H15" s="322">
        <f>IF(G15="ABOLISHED",0, (VLOOKUP(G15,$A$72:$C310,2,FALSE)*12))</f>
        <v>1145700</v>
      </c>
      <c r="I15" s="890">
        <f>SUM(H15-F15)</f>
        <v>18396</v>
      </c>
      <c r="J15" s="933" t="s">
        <v>46</v>
      </c>
      <c r="K15" s="322">
        <f>IF(J15="ABOLISHED",0, (VLOOKUP(J15,$A$72:$C310,3,FALSE)*12))</f>
        <v>1145700</v>
      </c>
      <c r="L15" s="1">
        <f>SUM(H15/12)</f>
        <v>95475</v>
      </c>
      <c r="M15" s="18">
        <f>IF(L15&gt;=80000,1600,SUM(L15*4%)/2)</f>
        <v>1600</v>
      </c>
      <c r="O15" s="1">
        <f>K15/12</f>
        <v>95475</v>
      </c>
      <c r="P15" s="18">
        <f>IF(O15&gt;=80000,1600,SUM(O15*4%)/2)</f>
        <v>1600</v>
      </c>
      <c r="R15" s="1">
        <f>SUM(O15-L15)</f>
        <v>0</v>
      </c>
    </row>
    <row r="16" spans="1:18" ht="12" customHeight="1" outlineLevel="1">
      <c r="A16" s="932"/>
      <c r="B16" s="932"/>
      <c r="C16" s="892" t="s">
        <v>938</v>
      </c>
      <c r="D16" s="926"/>
      <c r="E16" s="899"/>
      <c r="F16" s="67"/>
      <c r="G16" s="899"/>
      <c r="H16" s="67"/>
      <c r="I16" s="890"/>
      <c r="J16" s="899"/>
      <c r="K16" s="67"/>
      <c r="M16" s="18"/>
      <c r="P16" s="18"/>
    </row>
    <row r="17" spans="1:18" s="3" customFormat="1" ht="12" customHeight="1" outlineLevel="2">
      <c r="A17" s="931"/>
      <c r="B17" s="931"/>
      <c r="C17" s="928" t="s">
        <v>937</v>
      </c>
      <c r="D17" s="901"/>
      <c r="E17" s="899"/>
      <c r="F17" s="67"/>
      <c r="G17" s="899"/>
      <c r="H17" s="67"/>
      <c r="I17" s="890"/>
      <c r="J17" s="899"/>
      <c r="K17" s="67"/>
      <c r="M17" s="18"/>
      <c r="P17" s="18"/>
    </row>
    <row r="18" spans="1:18" s="921" customFormat="1" ht="12" customHeight="1" outlineLevel="2">
      <c r="A18" s="293" t="s">
        <v>314</v>
      </c>
      <c r="B18" s="293" t="s">
        <v>314</v>
      </c>
      <c r="C18" s="892" t="s">
        <v>936</v>
      </c>
      <c r="D18" s="926" t="s">
        <v>245</v>
      </c>
      <c r="E18" s="930" t="s">
        <v>71</v>
      </c>
      <c r="F18" s="67">
        <f>IF(E18="ABOLISHED",0, (VLOOKUP(E18,$A$72:$C312,2,FALSE)*12))</f>
        <v>779928</v>
      </c>
      <c r="G18" s="929" t="s">
        <v>252</v>
      </c>
      <c r="H18" s="67"/>
      <c r="I18" s="890">
        <f>SUM(H18-F18)</f>
        <v>-779928</v>
      </c>
      <c r="J18" s="929" t="s">
        <v>252</v>
      </c>
      <c r="K18" s="67">
        <f>IF(J18="ABOLISHED",0, (VLOOKUP(J18,$A$72:$C312,3,FALSE)*12))</f>
        <v>0</v>
      </c>
      <c r="L18" s="1">
        <f>SUM(H18/12)</f>
        <v>0</v>
      </c>
      <c r="M18" s="18">
        <f>IF(L18&gt;=80000,1600,SUM(L18*4%)/2)</f>
        <v>0</v>
      </c>
      <c r="O18" s="1">
        <f>K18/12</f>
        <v>0</v>
      </c>
      <c r="P18" s="18">
        <f>IF(O18&gt;=80000,1600,SUM(O18*4%)/2)</f>
        <v>0</v>
      </c>
      <c r="R18" s="1">
        <f>SUM(O18-L18)</f>
        <v>0</v>
      </c>
    </row>
    <row r="19" spans="1:18" s="3" customFormat="1" ht="12" customHeight="1" outlineLevel="2">
      <c r="A19" s="293"/>
      <c r="B19" s="293"/>
      <c r="C19" s="928" t="s">
        <v>935</v>
      </c>
      <c r="D19" s="926"/>
      <c r="E19" s="915"/>
      <c r="F19" s="67"/>
      <c r="G19" s="915"/>
      <c r="H19" s="67"/>
      <c r="I19" s="890"/>
      <c r="J19" s="915"/>
      <c r="K19" s="67"/>
      <c r="L19" s="1"/>
      <c r="M19" s="18"/>
      <c r="O19" s="1"/>
      <c r="P19" s="18"/>
      <c r="R19" s="1"/>
    </row>
    <row r="20" spans="1:18" s="3" customFormat="1" ht="12" customHeight="1" outlineLevel="2">
      <c r="A20" s="293" t="s">
        <v>304</v>
      </c>
      <c r="B20" s="293" t="s">
        <v>311</v>
      </c>
      <c r="C20" s="892" t="s">
        <v>934</v>
      </c>
      <c r="D20" s="926" t="s">
        <v>933</v>
      </c>
      <c r="E20" s="915" t="s">
        <v>125</v>
      </c>
      <c r="F20" s="67">
        <f>IF(E20="ABOLISHED",0, (VLOOKUP(E20,$A$72:$C317,2,FALSE)*12))</f>
        <v>391428</v>
      </c>
      <c r="G20" s="915" t="s">
        <v>125</v>
      </c>
      <c r="H20" s="67">
        <f>IF(G20="ABOLISHED",0, (VLOOKUP(G20,$A$72:$C317,2,FALSE)*12))</f>
        <v>391428</v>
      </c>
      <c r="I20" s="890">
        <f>SUM(H20-F20)</f>
        <v>0</v>
      </c>
      <c r="J20" s="915" t="s">
        <v>125</v>
      </c>
      <c r="K20" s="67">
        <f>IF(J20="ABOLISHED",0, (VLOOKUP(J20,$A$72:$C317,3,FALSE)*12))</f>
        <v>391428</v>
      </c>
      <c r="L20" s="1">
        <f>SUM(H20/12)</f>
        <v>32619</v>
      </c>
      <c r="M20" s="18">
        <f>IF(L20&gt;=80000,1600,SUM(L20*4%)/2)</f>
        <v>652.38</v>
      </c>
      <c r="O20" s="1">
        <f>K20/12</f>
        <v>32619</v>
      </c>
      <c r="P20" s="18">
        <f>IF(O20&gt;=80000,1600,SUM(O20*4%)/2)</f>
        <v>652.38</v>
      </c>
      <c r="R20" s="1">
        <f>SUM(O20-L20)</f>
        <v>0</v>
      </c>
    </row>
    <row r="21" spans="1:18" s="921" customFormat="1" ht="12" customHeight="1" outlineLevel="2">
      <c r="A21" s="293"/>
      <c r="B21" s="293"/>
      <c r="C21" s="928" t="s">
        <v>932</v>
      </c>
      <c r="D21" s="926"/>
      <c r="E21" s="915"/>
      <c r="F21" s="67"/>
      <c r="G21" s="915"/>
      <c r="H21" s="67"/>
      <c r="I21" s="890"/>
      <c r="J21" s="915"/>
      <c r="K21" s="67"/>
      <c r="L21" s="1"/>
      <c r="M21" s="18"/>
      <c r="O21" s="1"/>
      <c r="P21" s="18"/>
      <c r="R21" s="1"/>
    </row>
    <row r="22" spans="1:18" s="921" customFormat="1" ht="12" customHeight="1" outlineLevel="2">
      <c r="A22" s="927" t="s">
        <v>307</v>
      </c>
      <c r="B22" s="293" t="s">
        <v>307</v>
      </c>
      <c r="C22" s="892" t="s">
        <v>931</v>
      </c>
      <c r="D22" s="926" t="s">
        <v>930</v>
      </c>
      <c r="E22" s="899" t="s">
        <v>158</v>
      </c>
      <c r="F22" s="67">
        <f>IF(E22="ABOLISHED",0, (VLOOKUP(E22,$A$72:$C315,2,FALSE)*12))</f>
        <v>275436</v>
      </c>
      <c r="G22" s="899" t="s">
        <v>158</v>
      </c>
      <c r="H22" s="67">
        <f>IF(G22="ABOLISHED",0, (VLOOKUP(G22,$A$72:$C315,2,FALSE)*12))</f>
        <v>275436</v>
      </c>
      <c r="I22" s="890">
        <f>SUM(H22-F22)</f>
        <v>0</v>
      </c>
      <c r="J22" s="899" t="s">
        <v>158</v>
      </c>
      <c r="K22" s="67">
        <f>IF(J22="ABOLISHED",0, (VLOOKUP(J22,$A$72:$C315,3,FALSE)*12))</f>
        <v>275436</v>
      </c>
      <c r="L22" s="1">
        <f>SUM(H22/12)</f>
        <v>22953</v>
      </c>
      <c r="M22" s="18">
        <f>IF(L22&gt;=80000,1600,SUM(L22*4%)/2)</f>
        <v>459.06</v>
      </c>
      <c r="O22" s="1">
        <f>K22/12</f>
        <v>22953</v>
      </c>
      <c r="P22" s="18">
        <f>IF(O22&gt;=80000,1600,SUM(O22*4%)/2)</f>
        <v>459.06</v>
      </c>
      <c r="R22" s="1">
        <f>SUM(O22-L22)</f>
        <v>0</v>
      </c>
    </row>
    <row r="23" spans="1:18" s="3" customFormat="1" ht="12" customHeight="1" outlineLevel="2">
      <c r="A23" s="84"/>
      <c r="B23" s="84"/>
      <c r="C23" s="925" t="s">
        <v>929</v>
      </c>
      <c r="D23" s="924"/>
      <c r="E23" s="922"/>
      <c r="F23" s="74" t="s">
        <v>256</v>
      </c>
      <c r="G23" s="922"/>
      <c r="H23" s="74" t="s">
        <v>256</v>
      </c>
      <c r="I23" s="923"/>
      <c r="J23" s="922"/>
      <c r="K23" s="74"/>
      <c r="M23" s="2"/>
      <c r="P23" s="2"/>
    </row>
    <row r="24" spans="1:18" s="3" customFormat="1" ht="12" customHeight="1" outlineLevel="2">
      <c r="A24" s="84"/>
      <c r="B24" s="84"/>
      <c r="C24" s="920" t="s">
        <v>928</v>
      </c>
      <c r="D24" s="924"/>
      <c r="E24" s="922"/>
      <c r="F24" s="74" t="s">
        <v>256</v>
      </c>
      <c r="G24" s="922"/>
      <c r="H24" s="74" t="s">
        <v>256</v>
      </c>
      <c r="I24" s="923"/>
      <c r="J24" s="922"/>
      <c r="K24" s="74"/>
      <c r="M24" s="2"/>
      <c r="P24" s="2"/>
    </row>
    <row r="25" spans="1:18" s="921" customFormat="1" ht="12" customHeight="1" outlineLevel="2">
      <c r="A25" s="65" t="s">
        <v>286</v>
      </c>
      <c r="B25" s="65" t="s">
        <v>304</v>
      </c>
      <c r="C25" s="907" t="s">
        <v>927</v>
      </c>
      <c r="D25" s="906" t="s">
        <v>926</v>
      </c>
      <c r="E25" s="297" t="s">
        <v>70</v>
      </c>
      <c r="F25" s="74">
        <f>IF(E25="ABOLISHED",0, (VLOOKUP(E25,$A$72:$C330,2,FALSE)*12))</f>
        <v>792084</v>
      </c>
      <c r="G25" s="297" t="s">
        <v>70</v>
      </c>
      <c r="H25" s="74">
        <f>IF(G25="ABOLISHED",0, (VLOOKUP(G25,$A$72:$C330,2,FALSE)*12))</f>
        <v>792084</v>
      </c>
      <c r="I25" s="904">
        <f>SUM(H25-F25)</f>
        <v>0</v>
      </c>
      <c r="J25" s="297" t="s">
        <v>70</v>
      </c>
      <c r="K25" s="74">
        <f>IF(J25="ABOLISHED",0, (VLOOKUP(J25,$A$72:$C330,3,FALSE)*12))</f>
        <v>792084</v>
      </c>
      <c r="L25" s="3">
        <f>SUM(H25/12)</f>
        <v>66007</v>
      </c>
      <c r="M25" s="18">
        <f>IF(L25&gt;=80000,1600,SUM(L25*4%)/2)</f>
        <v>1320.14</v>
      </c>
      <c r="O25" s="3">
        <f>K25/12</f>
        <v>66007</v>
      </c>
      <c r="P25" s="18">
        <f>IF(O25&gt;=80000,1600,SUM(O25*4%)/2)</f>
        <v>1320.14</v>
      </c>
      <c r="R25" s="3">
        <f>SUM(O25-L25)</f>
        <v>0</v>
      </c>
    </row>
    <row r="26" spans="1:18" s="3" customFormat="1" ht="12" customHeight="1" outlineLevel="2">
      <c r="A26" s="65" t="s">
        <v>283</v>
      </c>
      <c r="B26" s="65" t="s">
        <v>308</v>
      </c>
      <c r="C26" s="919" t="s">
        <v>925</v>
      </c>
      <c r="D26" s="918" t="s">
        <v>924</v>
      </c>
      <c r="E26" s="297" t="s">
        <v>215</v>
      </c>
      <c r="F26" s="74">
        <f>IF(E26="ABOLISHED",0, (VLOOKUP(E26,$A$72:$C331,2,FALSE)*12))</f>
        <v>164160</v>
      </c>
      <c r="G26" s="297" t="s">
        <v>214</v>
      </c>
      <c r="H26" s="74">
        <f>IF(G26="ABOLISHED",0, (VLOOKUP(G26,$A$72:$C331,2,FALSE)*12))</f>
        <v>165420</v>
      </c>
      <c r="I26" s="904">
        <f>SUM(H26-F26)</f>
        <v>1260</v>
      </c>
      <c r="J26" s="297" t="s">
        <v>214</v>
      </c>
      <c r="K26" s="74">
        <f>IF(J26="ABOLISHED",0, (VLOOKUP(J26,$A$72:$C331,3,FALSE)*12))</f>
        <v>165420</v>
      </c>
      <c r="L26" s="3">
        <f>SUM(H26/12)</f>
        <v>13785</v>
      </c>
      <c r="M26" s="18">
        <f>IF(L26&gt;=80000,1600,SUM(L26*4%)/2)</f>
        <v>275.7</v>
      </c>
      <c r="O26" s="3">
        <f>K26/12</f>
        <v>13785</v>
      </c>
      <c r="P26" s="18">
        <f>IF(O26&gt;=80000,1600,SUM(O26*4%)/2)</f>
        <v>275.7</v>
      </c>
      <c r="R26" s="3">
        <f>SUM(O26-L26)</f>
        <v>0</v>
      </c>
    </row>
    <row r="27" spans="1:18" s="3" customFormat="1" ht="12" customHeight="1" outlineLevel="2">
      <c r="A27" s="65"/>
      <c r="B27" s="65"/>
      <c r="C27" s="920" t="s">
        <v>923</v>
      </c>
      <c r="D27" s="918"/>
      <c r="E27" s="297"/>
      <c r="F27" s="74" t="s">
        <v>256</v>
      </c>
      <c r="G27" s="297"/>
      <c r="H27" s="74" t="s">
        <v>256</v>
      </c>
      <c r="I27" s="904"/>
      <c r="J27" s="297"/>
      <c r="K27" s="74"/>
      <c r="M27" s="2"/>
      <c r="P27" s="2"/>
    </row>
    <row r="28" spans="1:18" s="3" customFormat="1" ht="12" customHeight="1" outlineLevel="2">
      <c r="A28" s="65" t="s">
        <v>278</v>
      </c>
      <c r="B28" s="65" t="s">
        <v>294</v>
      </c>
      <c r="C28" s="919" t="s">
        <v>884</v>
      </c>
      <c r="D28" s="918" t="s">
        <v>245</v>
      </c>
      <c r="E28" s="297" t="s">
        <v>231</v>
      </c>
      <c r="F28" s="74">
        <f>IF(E28="ABOLISHED",0, (VLOOKUP(E28,$A$72:$C334,2,FALSE)*12))</f>
        <v>145812</v>
      </c>
      <c r="G28" s="297" t="s">
        <v>231</v>
      </c>
      <c r="H28" s="74">
        <f>IF(G28="ABOLISHED",0, (VLOOKUP(G28,$A$72:$C334,2,FALSE)*12))</f>
        <v>145812</v>
      </c>
      <c r="I28" s="904">
        <f>SUM(H28-F28)</f>
        <v>0</v>
      </c>
      <c r="J28" s="297" t="s">
        <v>231</v>
      </c>
      <c r="K28" s="74">
        <f>IF(J28="ABOLISHED",0, (VLOOKUP(J28,$A$72:$C334,3,FALSE)*12))</f>
        <v>145812</v>
      </c>
      <c r="L28" s="3">
        <f>SUM(H28/12)</f>
        <v>12151</v>
      </c>
      <c r="M28" s="18">
        <f>IF(L28&gt;=80000,1600,SUM(L28*4%)/2)</f>
        <v>243.02</v>
      </c>
      <c r="O28" s="3">
        <f>K28/12</f>
        <v>12151</v>
      </c>
      <c r="P28" s="18">
        <f>IF(O28&gt;=80000,1600,SUM(O28*4%)/2)</f>
        <v>243.02</v>
      </c>
      <c r="R28" s="3">
        <f>SUM(O28-L28)</f>
        <v>0</v>
      </c>
    </row>
    <row r="29" spans="1:18" s="3" customFormat="1" ht="12" customHeight="1" outlineLevel="2">
      <c r="A29" s="293"/>
      <c r="B29" s="293"/>
      <c r="C29" s="917" t="s">
        <v>922</v>
      </c>
      <c r="D29" s="891"/>
      <c r="E29" s="297"/>
      <c r="F29" s="67"/>
      <c r="G29" s="297"/>
      <c r="H29" s="67"/>
      <c r="I29" s="890"/>
      <c r="J29" s="297"/>
      <c r="K29" s="67"/>
      <c r="L29" s="1"/>
      <c r="M29" s="18"/>
      <c r="O29" s="1"/>
      <c r="P29" s="18"/>
      <c r="R29" s="1"/>
    </row>
    <row r="30" spans="1:18" s="3" customFormat="1" ht="12" customHeight="1" outlineLevel="2">
      <c r="A30" s="893"/>
      <c r="B30" s="293" t="s">
        <v>301</v>
      </c>
      <c r="C30" s="892" t="s">
        <v>921</v>
      </c>
      <c r="D30" s="894" t="s">
        <v>920</v>
      </c>
      <c r="E30" s="889" t="s">
        <v>127</v>
      </c>
      <c r="F30" s="67">
        <f>IF(E30="ABOLISHED",0, (VLOOKUP(E30,$A$72:$C334,2,FALSE)*12))</f>
        <v>382752</v>
      </c>
      <c r="G30" s="889" t="s">
        <v>127</v>
      </c>
      <c r="H30" s="67">
        <f>IF(G30="ABOLISHED",0, (VLOOKUP(G30,$A$72:$C334,2,FALSE)*12))</f>
        <v>382752</v>
      </c>
      <c r="I30" s="890">
        <f>SUM(H30-F30)</f>
        <v>0</v>
      </c>
      <c r="J30" s="889" t="s">
        <v>127</v>
      </c>
      <c r="K30" s="67">
        <f>IF(J30="ABOLISHED",0, (VLOOKUP(J30,$A$72:$C334,3,FALSE)*12))</f>
        <v>382752</v>
      </c>
      <c r="L30" s="1">
        <f>SUM(H30/12)</f>
        <v>31896</v>
      </c>
      <c r="M30" s="18">
        <f>IF(L30&gt;=80000,1600,SUM(L30*4%)/2)</f>
        <v>637.91999999999996</v>
      </c>
      <c r="O30" s="1">
        <f>K30/12</f>
        <v>31896</v>
      </c>
      <c r="P30" s="18">
        <f>IF(O30&gt;=80000,1600,SUM(O30*4%)/2)</f>
        <v>637.91999999999996</v>
      </c>
      <c r="R30" s="1">
        <f>SUM(O30-L30)</f>
        <v>0</v>
      </c>
    </row>
    <row r="31" spans="1:18" s="3" customFormat="1" ht="12" customHeight="1" outlineLevel="2">
      <c r="A31" s="893"/>
      <c r="B31" s="293" t="s">
        <v>297</v>
      </c>
      <c r="C31" s="892" t="s">
        <v>913</v>
      </c>
      <c r="D31" s="894" t="s">
        <v>919</v>
      </c>
      <c r="E31" s="889" t="s">
        <v>151</v>
      </c>
      <c r="F31" s="67">
        <f>IF(E31="ABOLISHED",0, (VLOOKUP(E31,$A$72:$C335,2,FALSE)*12))</f>
        <v>296988</v>
      </c>
      <c r="G31" s="889" t="s">
        <v>151</v>
      </c>
      <c r="H31" s="67">
        <f>IF(G31="ABOLISHED",0, (VLOOKUP(G31,$A$72:$C335,2,FALSE)*12))</f>
        <v>296988</v>
      </c>
      <c r="I31" s="890">
        <f>SUM(H31-F31)</f>
        <v>0</v>
      </c>
      <c r="J31" s="889" t="s">
        <v>151</v>
      </c>
      <c r="K31" s="67">
        <f>IF(J31="ABOLISHED",0, (VLOOKUP(J31,$A$72:$C335,3,FALSE)*12))</f>
        <v>296988</v>
      </c>
      <c r="L31" s="1">
        <f>SUM(H31/12)</f>
        <v>24749</v>
      </c>
      <c r="M31" s="18">
        <f>IF(L31&gt;=80000,1600,SUM(L31*4%)/2)</f>
        <v>494.98</v>
      </c>
      <c r="O31" s="1">
        <f>K31/12</f>
        <v>24749</v>
      </c>
      <c r="P31" s="18">
        <f>IF(O31&gt;=80000,1600,SUM(O31*4%)/2)</f>
        <v>494.98</v>
      </c>
      <c r="R31" s="1">
        <f>SUM(O31-L31)</f>
        <v>0</v>
      </c>
    </row>
    <row r="32" spans="1:18" s="3" customFormat="1" ht="12" customHeight="1" outlineLevel="2">
      <c r="A32" s="307"/>
      <c r="B32" s="307"/>
      <c r="C32" s="917" t="s">
        <v>918</v>
      </c>
      <c r="D32" s="901"/>
      <c r="E32" s="915"/>
      <c r="F32" s="67" t="s">
        <v>256</v>
      </c>
      <c r="G32" s="915"/>
      <c r="H32" s="67" t="s">
        <v>256</v>
      </c>
      <c r="I32" s="916"/>
      <c r="J32" s="915"/>
      <c r="K32" s="67"/>
      <c r="L32" s="1"/>
      <c r="M32" s="18"/>
      <c r="O32" s="1"/>
      <c r="P32" s="18"/>
      <c r="R32" s="1"/>
    </row>
    <row r="33" spans="1:18" s="3" customFormat="1" ht="12" customHeight="1" outlineLevel="2">
      <c r="A33" s="293" t="s">
        <v>275</v>
      </c>
      <c r="B33" s="293" t="s">
        <v>290</v>
      </c>
      <c r="C33" s="900" t="s">
        <v>917</v>
      </c>
      <c r="D33" s="894" t="s">
        <v>245</v>
      </c>
      <c r="E33" s="889" t="s">
        <v>159</v>
      </c>
      <c r="F33" s="67">
        <f>IF(E33="ABOLISHED",0, (VLOOKUP(E33,$A$72:$C336,2,FALSE)*12))</f>
        <v>272196</v>
      </c>
      <c r="G33" s="889" t="s">
        <v>159</v>
      </c>
      <c r="H33" s="67">
        <f>IF(G33="ABOLISHED",0, (VLOOKUP(G33,$A$72:$C336,2,FALSE)*12))</f>
        <v>272196</v>
      </c>
      <c r="I33" s="890">
        <f>SUM(H33-F33)</f>
        <v>0</v>
      </c>
      <c r="J33" s="889" t="s">
        <v>159</v>
      </c>
      <c r="K33" s="67">
        <f>IF(J33="ABOLISHED",0, (VLOOKUP(J33,$A$72:$C336,3,FALSE)*12))</f>
        <v>272196</v>
      </c>
      <c r="L33" s="1">
        <f>SUM(H33/12)</f>
        <v>22683</v>
      </c>
      <c r="M33" s="18">
        <f>IF(L33&gt;=80000,1600,SUM(L33*4%)/2)</f>
        <v>453.66</v>
      </c>
      <c r="O33" s="1">
        <f>K33/12</f>
        <v>22683</v>
      </c>
      <c r="P33" s="18">
        <f>IF(O33&gt;=80000,1600,SUM(O33*4%)/2)</f>
        <v>453.66</v>
      </c>
      <c r="R33" s="1">
        <f>SUM(O33-L33)</f>
        <v>0</v>
      </c>
    </row>
    <row r="34" spans="1:18" s="3" customFormat="1" ht="12" customHeight="1" outlineLevel="2">
      <c r="A34" s="293">
        <v>16</v>
      </c>
      <c r="B34" s="293" t="s">
        <v>286</v>
      </c>
      <c r="C34" s="914" t="s">
        <v>884</v>
      </c>
      <c r="D34" s="891" t="s">
        <v>916</v>
      </c>
      <c r="E34" s="297" t="s">
        <v>231</v>
      </c>
      <c r="F34" s="67">
        <f>IF(E34="ABOLISHED",0, (VLOOKUP(E34,$A$72:$C337,2,FALSE)*12))</f>
        <v>145812</v>
      </c>
      <c r="G34" s="297" t="s">
        <v>230</v>
      </c>
      <c r="H34" s="67">
        <f>IF(G34="ABOLISHED",0, (VLOOKUP(G34,$A$72:$C337,2,FALSE)*12))</f>
        <v>146928</v>
      </c>
      <c r="I34" s="890">
        <f>SUM(H34-F34)</f>
        <v>1116</v>
      </c>
      <c r="J34" s="297" t="s">
        <v>230</v>
      </c>
      <c r="K34" s="67">
        <f>IF(J34="ABOLISHED",0, (VLOOKUP(J34,$A$72:$C337,3,FALSE)*12))</f>
        <v>146928</v>
      </c>
      <c r="L34" s="1">
        <f>SUM(H34/12)</f>
        <v>12244</v>
      </c>
      <c r="M34" s="18">
        <f>IF(L34&gt;=80000,1600,SUM(L34*4%)/2)</f>
        <v>244.88</v>
      </c>
      <c r="O34" s="1">
        <f>K34/12</f>
        <v>12244</v>
      </c>
      <c r="P34" s="18">
        <f>IF(O34&gt;=80000,1600,SUM(O34*4%)/2)</f>
        <v>244.88</v>
      </c>
      <c r="R34" s="1">
        <f>SUM(O34-L34)</f>
        <v>0</v>
      </c>
    </row>
    <row r="35" spans="1:18" s="3" customFormat="1" ht="12" customHeight="1" outlineLevel="2">
      <c r="A35" s="307"/>
      <c r="B35" s="307"/>
      <c r="C35" s="895" t="s">
        <v>915</v>
      </c>
      <c r="D35" s="894"/>
      <c r="E35" s="899"/>
      <c r="F35" s="67"/>
      <c r="G35" s="899"/>
      <c r="H35" s="67"/>
      <c r="I35" s="890"/>
      <c r="J35" s="899"/>
      <c r="K35" s="67"/>
      <c r="L35" s="1"/>
      <c r="M35" s="18"/>
      <c r="O35" s="1"/>
      <c r="P35" s="18"/>
      <c r="R35" s="1"/>
    </row>
    <row r="36" spans="1:18" s="3" customFormat="1" ht="12" customHeight="1" outlineLevel="2">
      <c r="A36" s="307"/>
      <c r="B36" s="307"/>
      <c r="C36" s="895" t="s">
        <v>914</v>
      </c>
      <c r="D36" s="894"/>
      <c r="E36" s="899"/>
      <c r="F36" s="67"/>
      <c r="G36" s="899"/>
      <c r="H36" s="67"/>
      <c r="I36" s="890"/>
      <c r="J36" s="899"/>
      <c r="K36" s="67"/>
      <c r="L36" s="1"/>
      <c r="M36" s="18"/>
      <c r="O36" s="1"/>
      <c r="P36" s="18"/>
      <c r="R36" s="1"/>
    </row>
    <row r="37" spans="1:18" s="3" customFormat="1" ht="12" customHeight="1" outlineLevel="2">
      <c r="A37" s="293" t="s">
        <v>308</v>
      </c>
      <c r="B37" s="293" t="s">
        <v>283</v>
      </c>
      <c r="C37" s="896" t="s">
        <v>913</v>
      </c>
      <c r="D37" s="894" t="s">
        <v>245</v>
      </c>
      <c r="E37" s="903"/>
      <c r="F37" s="67">
        <v>0</v>
      </c>
      <c r="G37" s="903" t="s">
        <v>151</v>
      </c>
      <c r="H37" s="67">
        <f>IF(G37="ABOLISHED",0, (VLOOKUP(G37,$A$72:$C321,2,FALSE)*12))</f>
        <v>296988</v>
      </c>
      <c r="I37" s="890">
        <f>SUM(H37-F37)</f>
        <v>296988</v>
      </c>
      <c r="J37" s="903" t="s">
        <v>151</v>
      </c>
      <c r="K37" s="67">
        <f>IF(J37="ABOLISHED",0, (VLOOKUP(J37,$A$72:$C321,3,FALSE)*12))</f>
        <v>296988</v>
      </c>
      <c r="L37" s="1">
        <f>SUM(H37/12)</f>
        <v>24749</v>
      </c>
      <c r="M37" s="18">
        <f>IF(L37&gt;=80000,1600,SUM(L37*4%)/2)</f>
        <v>494.98</v>
      </c>
      <c r="O37" s="1">
        <f>K37/12</f>
        <v>24749</v>
      </c>
      <c r="P37" s="18">
        <f>IF(O37&gt;=80000,1600,SUM(O37*4%)/2)</f>
        <v>494.98</v>
      </c>
      <c r="R37" s="1">
        <f>SUM(O37-L37)</f>
        <v>0</v>
      </c>
    </row>
    <row r="38" spans="1:18" s="3" customFormat="1" ht="12" customHeight="1" outlineLevel="2">
      <c r="A38" s="293" t="s">
        <v>308</v>
      </c>
      <c r="B38" s="293" t="s">
        <v>283</v>
      </c>
      <c r="C38" s="896" t="s">
        <v>912</v>
      </c>
      <c r="D38" s="894" t="s">
        <v>911</v>
      </c>
      <c r="E38" s="903" t="s">
        <v>183</v>
      </c>
      <c r="F38" s="67">
        <f>IF(E38="ABOLISHED",0, (VLOOKUP(E38,$A$72:$C322,2,FALSE)*12))</f>
        <v>208056</v>
      </c>
      <c r="G38" s="903" t="s">
        <v>182</v>
      </c>
      <c r="H38" s="67">
        <f>IF(G38="ABOLISHED",0, (VLOOKUP(G38,$A$72:$C322,2,FALSE)*12))</f>
        <v>209952</v>
      </c>
      <c r="I38" s="890">
        <f>SUM(H38-F38)</f>
        <v>1896</v>
      </c>
      <c r="J38" s="903" t="s">
        <v>182</v>
      </c>
      <c r="K38" s="67">
        <f>IF(J38="ABOLISHED",0, (VLOOKUP(J38,$A$72:$C322,3,FALSE)*12))</f>
        <v>209952</v>
      </c>
      <c r="L38" s="1">
        <f>SUM(H38/12)</f>
        <v>17496</v>
      </c>
      <c r="M38" s="18">
        <f>IF(L38&gt;=80000,1600,SUM(L38*4%)/2)</f>
        <v>349.92</v>
      </c>
      <c r="O38" s="1">
        <f>K38/12</f>
        <v>17496</v>
      </c>
      <c r="P38" s="18">
        <f>IF(O38&gt;=80000,1600,SUM(O38*4%)/2)</f>
        <v>349.92</v>
      </c>
      <c r="R38" s="1">
        <f>SUM(O38-L38)</f>
        <v>0</v>
      </c>
    </row>
    <row r="39" spans="1:18" s="3" customFormat="1" ht="12" customHeight="1" outlineLevel="2">
      <c r="A39" s="293" t="s">
        <v>301</v>
      </c>
      <c r="B39" s="293" t="s">
        <v>280</v>
      </c>
      <c r="C39" s="892" t="s">
        <v>884</v>
      </c>
      <c r="D39" s="894" t="s">
        <v>910</v>
      </c>
      <c r="E39" s="903" t="s">
        <v>230</v>
      </c>
      <c r="F39" s="67">
        <f>IF(E39="ABOLISHED",0, (VLOOKUP(E39,$A$72:$C323,2,FALSE)*12))</f>
        <v>146928</v>
      </c>
      <c r="G39" s="903" t="s">
        <v>229</v>
      </c>
      <c r="H39" s="67">
        <f>IF(G39="ABOLISHED",0, (VLOOKUP(G39,$A$72:$C323,2,FALSE)*12))</f>
        <v>148056</v>
      </c>
      <c r="I39" s="890">
        <f>SUM(H39-F39)</f>
        <v>1128</v>
      </c>
      <c r="J39" s="903" t="s">
        <v>229</v>
      </c>
      <c r="K39" s="67">
        <f>IF(J39="ABOLISHED",0, (VLOOKUP(J39,$A$72:$C323,3,FALSE)*12))</f>
        <v>148056</v>
      </c>
      <c r="L39" s="1">
        <f>SUM(H39/12)</f>
        <v>12338</v>
      </c>
      <c r="M39" s="18">
        <f>IF(L39&gt;=80000,1600,SUM(L39*4%)/2)</f>
        <v>246.76000000000002</v>
      </c>
      <c r="O39" s="1">
        <f>K39/12</f>
        <v>12338</v>
      </c>
      <c r="P39" s="18">
        <f>IF(O39&gt;=80000,1600,SUM(O39*4%)/2)</f>
        <v>246.76000000000002</v>
      </c>
      <c r="R39" s="1">
        <f>SUM(O39-L39)</f>
        <v>0</v>
      </c>
    </row>
    <row r="40" spans="1:18" s="3" customFormat="1" ht="12" customHeight="1" outlineLevel="2">
      <c r="A40" s="293"/>
      <c r="B40" s="293"/>
      <c r="C40" s="895" t="s">
        <v>909</v>
      </c>
      <c r="D40" s="891"/>
      <c r="E40" s="297"/>
      <c r="F40" s="67" t="s">
        <v>256</v>
      </c>
      <c r="G40" s="297"/>
      <c r="H40" s="67" t="s">
        <v>256</v>
      </c>
      <c r="I40" s="890"/>
      <c r="J40" s="297"/>
      <c r="K40" s="67"/>
      <c r="L40" s="1"/>
      <c r="M40" s="18"/>
      <c r="O40" s="1"/>
      <c r="P40" s="18"/>
      <c r="R40" s="1"/>
    </row>
    <row r="41" spans="1:18" s="3" customFormat="1" ht="12" customHeight="1" outlineLevel="2">
      <c r="A41" s="65" t="s">
        <v>290</v>
      </c>
      <c r="B41" s="293" t="s">
        <v>278</v>
      </c>
      <c r="C41" s="908" t="s">
        <v>908</v>
      </c>
      <c r="D41" s="906" t="s">
        <v>907</v>
      </c>
      <c r="E41" s="903" t="s">
        <v>215</v>
      </c>
      <c r="F41" s="74">
        <f>IF(E41="ABOLISHED",0, (VLOOKUP(E41,$A$72:$C326,2,FALSE)*12))</f>
        <v>164160</v>
      </c>
      <c r="G41" s="903" t="s">
        <v>214</v>
      </c>
      <c r="H41" s="74">
        <f>IF(G41="ABOLISHED",0, (VLOOKUP(G41,$A$72:$C326,2,FALSE)*12))</f>
        <v>165420</v>
      </c>
      <c r="I41" s="904">
        <f>SUM(H41-F41)</f>
        <v>1260</v>
      </c>
      <c r="J41" s="903" t="s">
        <v>214</v>
      </c>
      <c r="K41" s="74">
        <f>IF(J41="ABOLISHED",0, (VLOOKUP(J41,$A$72:$C326,3,FALSE)*12))</f>
        <v>165420</v>
      </c>
      <c r="L41" s="3">
        <f>SUM(H41/12)</f>
        <v>13785</v>
      </c>
      <c r="M41" s="18">
        <f>IF(L41&gt;=80000,1600,SUM(L41*4%)/2)</f>
        <v>275.7</v>
      </c>
      <c r="O41" s="3">
        <f>K41/12</f>
        <v>13785</v>
      </c>
      <c r="P41" s="18">
        <f>IF(O41&gt;=80000,1600,SUM(O41*4%)/2)</f>
        <v>275.7</v>
      </c>
      <c r="R41" s="3">
        <f>SUM(O41-L41)</f>
        <v>0</v>
      </c>
    </row>
    <row r="42" spans="1:18" s="3" customFormat="1" ht="12" customHeight="1" outlineLevel="2">
      <c r="A42" s="65"/>
      <c r="B42" s="293"/>
      <c r="C42" s="907"/>
      <c r="D42" s="906"/>
      <c r="E42" s="903"/>
      <c r="F42" s="74"/>
      <c r="G42" s="903"/>
      <c r="H42" s="74"/>
      <c r="I42" s="904"/>
      <c r="J42" s="903"/>
      <c r="K42" s="74"/>
      <c r="M42" s="18"/>
      <c r="P42" s="18"/>
    </row>
    <row r="43" spans="1:18" s="3" customFormat="1" ht="12" customHeight="1" outlineLevel="2">
      <c r="A43" s="913"/>
      <c r="B43" s="913"/>
      <c r="C43" s="912" t="s">
        <v>906</v>
      </c>
      <c r="D43" s="912"/>
      <c r="E43" s="909"/>
      <c r="F43" s="911"/>
      <c r="G43" s="909"/>
      <c r="H43" s="71"/>
      <c r="I43" s="910"/>
      <c r="J43" s="909"/>
      <c r="K43" s="74"/>
      <c r="M43" s="18"/>
      <c r="P43" s="18"/>
    </row>
    <row r="44" spans="1:18" s="3" customFormat="1" ht="12" customHeight="1" outlineLevel="2">
      <c r="A44" s="65"/>
      <c r="B44" s="293" t="s">
        <v>275</v>
      </c>
      <c r="C44" s="908" t="s">
        <v>904</v>
      </c>
      <c r="D44" s="906"/>
      <c r="E44" s="903"/>
      <c r="F44" s="74"/>
      <c r="G44" s="903"/>
      <c r="H44" s="74"/>
      <c r="I44" s="904"/>
      <c r="J44" s="903"/>
      <c r="K44" s="74"/>
      <c r="M44" s="18"/>
      <c r="P44" s="18"/>
    </row>
    <row r="45" spans="1:18" s="3" customFormat="1" ht="12" customHeight="1" outlineLevel="2">
      <c r="A45" s="65" t="s">
        <v>482</v>
      </c>
      <c r="B45" s="293"/>
      <c r="C45" s="908" t="s">
        <v>905</v>
      </c>
      <c r="D45" s="906" t="s">
        <v>245</v>
      </c>
      <c r="E45" s="903"/>
      <c r="F45" s="74">
        <v>0</v>
      </c>
      <c r="G45" s="903" t="s">
        <v>143</v>
      </c>
      <c r="H45" s="74">
        <f>IF(G45="ABOLISHED",0, (VLOOKUP(G45,$A$72:$C331,2,FALSE)*12))</f>
        <v>322344</v>
      </c>
      <c r="I45" s="904">
        <f>SUM(H45-F45)</f>
        <v>322344</v>
      </c>
      <c r="J45" s="903" t="s">
        <v>143</v>
      </c>
      <c r="K45" s="74">
        <f>IF(J45="ABOLISHED",0, (VLOOKUP(J45,$A$72:$C331,2,FALSE)*12))</f>
        <v>322344</v>
      </c>
      <c r="L45" s="3">
        <f>SUM(H45/12)</f>
        <v>26862</v>
      </c>
      <c r="M45" s="18">
        <f>IF(L45&gt;=80000,1600,SUM(L45*4%)/2)</f>
        <v>537.24</v>
      </c>
      <c r="O45" s="3">
        <f>K45/12</f>
        <v>26862</v>
      </c>
      <c r="P45" s="18">
        <f>IF(O45&gt;=80000,1600,SUM(O45*4%)/2)</f>
        <v>537.24</v>
      </c>
      <c r="R45" s="3">
        <f>SUM(O45-L45)</f>
        <v>0</v>
      </c>
    </row>
    <row r="46" spans="1:18" s="3" customFormat="1" ht="12" customHeight="1" outlineLevel="2">
      <c r="A46" s="65"/>
      <c r="B46" s="293" t="s">
        <v>272</v>
      </c>
      <c r="C46" s="908" t="s">
        <v>904</v>
      </c>
      <c r="D46" s="906"/>
      <c r="E46" s="903"/>
      <c r="F46" s="74"/>
      <c r="G46" s="903"/>
      <c r="H46" s="74"/>
      <c r="I46" s="904"/>
      <c r="J46" s="903"/>
      <c r="K46" s="74"/>
      <c r="M46" s="18"/>
      <c r="P46" s="18"/>
    </row>
    <row r="47" spans="1:18" s="3" customFormat="1" ht="12" customHeight="1" outlineLevel="2">
      <c r="A47" s="65"/>
      <c r="B47" s="293"/>
      <c r="C47" s="908" t="s">
        <v>903</v>
      </c>
      <c r="D47" s="906" t="s">
        <v>902</v>
      </c>
      <c r="E47" s="903"/>
      <c r="F47" s="74">
        <v>0</v>
      </c>
      <c r="G47" s="903" t="s">
        <v>158</v>
      </c>
      <c r="H47" s="74">
        <f>IF(G47="ABOLISHED",0, (VLOOKUP(G47,$A$72:$C334,2,FALSE)*12))</f>
        <v>275436</v>
      </c>
      <c r="I47" s="904">
        <f>SUM(H47-F47)</f>
        <v>275436</v>
      </c>
      <c r="J47" s="903" t="s">
        <v>158</v>
      </c>
      <c r="K47" s="74">
        <f>IF(J47="ABOLISHED",0, (VLOOKUP(J47,$A$72:$C334,2,FALSE)*12))</f>
        <v>275436</v>
      </c>
      <c r="L47" s="3">
        <f>SUM(H47/12)</f>
        <v>22953</v>
      </c>
      <c r="M47" s="18">
        <f>IF(L47&gt;=80000,1600,SUM(L47*4%)/2)</f>
        <v>459.06</v>
      </c>
      <c r="O47" s="3">
        <f>K47/12</f>
        <v>22953</v>
      </c>
      <c r="P47" s="18">
        <f>IF(O47&gt;=80000,1600,SUM(O47*4%)/2)</f>
        <v>459.06</v>
      </c>
      <c r="R47" s="3">
        <f>SUM(O47-L47)</f>
        <v>0</v>
      </c>
    </row>
    <row r="48" spans="1:18" s="3" customFormat="1" ht="12" customHeight="1" outlineLevel="2">
      <c r="A48" s="65" t="s">
        <v>901</v>
      </c>
      <c r="B48" s="293" t="s">
        <v>268</v>
      </c>
      <c r="C48" s="908" t="s">
        <v>603</v>
      </c>
      <c r="D48" s="906" t="s">
        <v>245</v>
      </c>
      <c r="E48" s="903"/>
      <c r="F48" s="74">
        <v>0</v>
      </c>
      <c r="G48" s="903" t="s">
        <v>223</v>
      </c>
      <c r="H48" s="74">
        <f>IF(G48="ABOLISHED",0, (VLOOKUP(G48,$A$72:$C336,2,FALSE)*12))</f>
        <v>154716</v>
      </c>
      <c r="I48" s="904">
        <f>SUM(H48-F48)</f>
        <v>154716</v>
      </c>
      <c r="J48" s="903" t="s">
        <v>223</v>
      </c>
      <c r="K48" s="74">
        <f>IF(J48="ABOLISHED",0, (VLOOKUP(J48,$A$72:$C336,2,FALSE)*12))</f>
        <v>154716</v>
      </c>
      <c r="L48" s="3">
        <f>SUM(H48/12)</f>
        <v>12893</v>
      </c>
      <c r="M48" s="18">
        <f>IF(L48&gt;=80000,1600,SUM(L48*4%)/2)</f>
        <v>257.86</v>
      </c>
      <c r="O48" s="3">
        <f>K48/12</f>
        <v>12893</v>
      </c>
      <c r="P48" s="18">
        <f>IF(O48&gt;=80000,1600,SUM(O48*4%)/2)</f>
        <v>257.86</v>
      </c>
      <c r="R48" s="3">
        <f>SUM(O48-L48)</f>
        <v>0</v>
      </c>
    </row>
    <row r="49" spans="1:18" s="3" customFormat="1" ht="12" customHeight="1" outlineLevel="2">
      <c r="A49" s="65" t="s">
        <v>900</v>
      </c>
      <c r="B49" s="293" t="s">
        <v>265</v>
      </c>
      <c r="C49" s="908" t="s">
        <v>897</v>
      </c>
      <c r="D49" s="906" t="s">
        <v>899</v>
      </c>
      <c r="E49" s="903"/>
      <c r="F49" s="74">
        <v>0</v>
      </c>
      <c r="G49" s="903" t="s">
        <v>230</v>
      </c>
      <c r="H49" s="74">
        <f>IF(G49="ABOLISHED",0, (VLOOKUP(G49,$A$72:$C337,2,FALSE)*12))</f>
        <v>146928</v>
      </c>
      <c r="I49" s="904">
        <f>SUM(H49-F49)</f>
        <v>146928</v>
      </c>
      <c r="J49" s="903" t="s">
        <v>230</v>
      </c>
      <c r="K49" s="74">
        <f>IF(J49="ABOLISHED",0, (VLOOKUP(J49,$A$72:$C337,2,FALSE)*12))</f>
        <v>146928</v>
      </c>
      <c r="L49" s="3">
        <f>SUM(H49/12)</f>
        <v>12244</v>
      </c>
      <c r="M49" s="18">
        <f>IF(L49&gt;=80000,1600,SUM(L49*4%)/2)</f>
        <v>244.88</v>
      </c>
      <c r="O49" s="3">
        <f>K49/12</f>
        <v>12244</v>
      </c>
      <c r="P49" s="18">
        <f>IF(O49&gt;=80000,1600,SUM(O49*4%)/2)</f>
        <v>244.88</v>
      </c>
      <c r="R49" s="3">
        <f>SUM(O49-L49)</f>
        <v>0</v>
      </c>
    </row>
    <row r="50" spans="1:18" s="3" customFormat="1" ht="12" customHeight="1" outlineLevel="2">
      <c r="A50" s="65" t="s">
        <v>898</v>
      </c>
      <c r="B50" s="293" t="s">
        <v>262</v>
      </c>
      <c r="C50" s="908" t="s">
        <v>897</v>
      </c>
      <c r="D50" s="906" t="s">
        <v>896</v>
      </c>
      <c r="E50" s="903"/>
      <c r="F50" s="74">
        <v>0</v>
      </c>
      <c r="G50" s="903" t="s">
        <v>230</v>
      </c>
      <c r="H50" s="74">
        <f>IF(G50="ABOLISHED",0, (VLOOKUP(G50,$A$72:$C338,2,FALSE)*12))</f>
        <v>146928</v>
      </c>
      <c r="I50" s="904">
        <f>SUM(H50-F50)</f>
        <v>146928</v>
      </c>
      <c r="J50" s="903" t="s">
        <v>230</v>
      </c>
      <c r="K50" s="74">
        <f>IF(J50="ABOLISHED",0, (VLOOKUP(J50,$A$72:$C338,2,FALSE)*12))</f>
        <v>146928</v>
      </c>
      <c r="L50" s="3">
        <f>SUM(H50/12)</f>
        <v>12244</v>
      </c>
      <c r="M50" s="18">
        <f>IF(L50&gt;=80000,1600,SUM(L50*4%)/2)</f>
        <v>244.88</v>
      </c>
      <c r="O50" s="3">
        <f>K50/12</f>
        <v>12244</v>
      </c>
      <c r="P50" s="18">
        <f>IF(O50&gt;=80000,1600,SUM(O50*4%)/2)</f>
        <v>244.88</v>
      </c>
      <c r="R50" s="3">
        <f>SUM(O50-L50)</f>
        <v>0</v>
      </c>
    </row>
    <row r="51" spans="1:18" s="3" customFormat="1" ht="12" customHeight="1" outlineLevel="2">
      <c r="A51" s="65" t="s">
        <v>895</v>
      </c>
      <c r="B51" s="293" t="s">
        <v>260</v>
      </c>
      <c r="C51" s="908" t="s">
        <v>894</v>
      </c>
      <c r="D51" s="906" t="s">
        <v>245</v>
      </c>
      <c r="E51" s="903"/>
      <c r="F51" s="74">
        <v>0</v>
      </c>
      <c r="G51" s="903" t="s">
        <v>231</v>
      </c>
      <c r="H51" s="74">
        <f>IF(G51="ABOLISHED",0, (VLOOKUP(G51,$A$72:$C339,2,FALSE)*12))</f>
        <v>145812</v>
      </c>
      <c r="I51" s="904">
        <f>SUM(H51-F51)</f>
        <v>145812</v>
      </c>
      <c r="J51" s="903" t="s">
        <v>231</v>
      </c>
      <c r="K51" s="74">
        <f>IF(J51="ABOLISHED",0, (VLOOKUP(J51,$A$72:$C339,2,FALSE)*12))</f>
        <v>145812</v>
      </c>
      <c r="L51" s="3">
        <f>SUM(H51/12)</f>
        <v>12151</v>
      </c>
      <c r="M51" s="18">
        <f>IF(L51&gt;=80000,1600,SUM(L51*4%)/2)</f>
        <v>243.02</v>
      </c>
      <c r="O51" s="3">
        <f>K51/12</f>
        <v>12151</v>
      </c>
      <c r="P51" s="18">
        <f>IF(O51&gt;=80000,1600,SUM(O51*4%)/2)</f>
        <v>243.02</v>
      </c>
      <c r="R51" s="3">
        <f>SUM(O51-L51)</f>
        <v>0</v>
      </c>
    </row>
    <row r="52" spans="1:18" s="3" customFormat="1" ht="12" customHeight="1" outlineLevel="2">
      <c r="A52" s="65"/>
      <c r="B52" s="293"/>
      <c r="C52" s="907"/>
      <c r="D52" s="906"/>
      <c r="E52" s="903"/>
      <c r="F52" s="74"/>
      <c r="G52" s="903"/>
      <c r="H52" s="74"/>
      <c r="I52" s="904"/>
      <c r="J52" s="903"/>
      <c r="K52" s="74"/>
      <c r="M52" s="18"/>
      <c r="P52" s="18"/>
    </row>
    <row r="53" spans="1:18" s="3" customFormat="1" ht="12" customHeight="1" outlineLevel="2">
      <c r="A53" s="307"/>
      <c r="B53" s="307"/>
      <c r="C53" s="895" t="s">
        <v>893</v>
      </c>
      <c r="D53" s="901"/>
      <c r="E53" s="899"/>
      <c r="F53" s="67" t="s">
        <v>256</v>
      </c>
      <c r="G53" s="899"/>
      <c r="H53" s="67" t="s">
        <v>256</v>
      </c>
      <c r="I53" s="890"/>
      <c r="J53" s="899"/>
      <c r="K53" s="67"/>
      <c r="L53" s="1"/>
      <c r="M53" s="18"/>
      <c r="O53" s="1"/>
      <c r="P53" s="18"/>
      <c r="R53" s="1"/>
    </row>
    <row r="54" spans="1:18" s="3" customFormat="1" ht="12" customHeight="1" outlineLevel="2">
      <c r="A54" s="902"/>
      <c r="B54" s="902" t="s">
        <v>254</v>
      </c>
      <c r="C54" s="905" t="s">
        <v>892</v>
      </c>
      <c r="D54" s="894" t="s">
        <v>245</v>
      </c>
      <c r="E54" s="889"/>
      <c r="F54" s="67"/>
      <c r="G54" s="903" t="s">
        <v>103</v>
      </c>
      <c r="H54" s="74">
        <f>IF(G54="ABOLISHED",0, (VLOOKUP(G54,$A$72:$C344,2,FALSE)*12))</f>
        <v>497964</v>
      </c>
      <c r="I54" s="904">
        <f>SUM(H54-F54)</f>
        <v>497964</v>
      </c>
      <c r="J54" s="903" t="s">
        <v>103</v>
      </c>
      <c r="K54" s="74">
        <f>IF(J54="ABOLISHED",0, (VLOOKUP(J54,$A$72:$C344,2,FALSE)*12))</f>
        <v>497964</v>
      </c>
      <c r="L54" s="1">
        <f>SUM(H54/12)</f>
        <v>41497</v>
      </c>
      <c r="M54" s="18">
        <f>IF(L54&gt;=80000,1600,SUM(L54*4%)/2)</f>
        <v>829.94</v>
      </c>
      <c r="O54" s="1">
        <f>K54/12</f>
        <v>41497</v>
      </c>
      <c r="P54" s="18">
        <f>IF(O54&gt;=80000,1600,SUM(O54*4%)/2)</f>
        <v>829.94</v>
      </c>
      <c r="R54" s="1">
        <f>SUM(O54-L54)</f>
        <v>0</v>
      </c>
    </row>
    <row r="55" spans="1:18" s="3" customFormat="1" ht="12" customHeight="1" outlineLevel="2">
      <c r="A55" s="902"/>
      <c r="B55" s="902"/>
      <c r="C55" s="895" t="s">
        <v>891</v>
      </c>
      <c r="D55" s="894"/>
      <c r="E55" s="889"/>
      <c r="F55" s="67"/>
      <c r="G55" s="903"/>
      <c r="H55" s="74"/>
      <c r="I55" s="904"/>
      <c r="J55" s="903"/>
      <c r="K55" s="74"/>
      <c r="L55" s="1"/>
      <c r="M55" s="18"/>
      <c r="O55" s="1"/>
      <c r="P55" s="18"/>
      <c r="R55" s="1"/>
    </row>
    <row r="56" spans="1:18" s="3" customFormat="1" ht="12" customHeight="1" outlineLevel="2">
      <c r="A56" s="902"/>
      <c r="B56" s="902" t="s">
        <v>255</v>
      </c>
      <c r="C56" s="900" t="s">
        <v>890</v>
      </c>
      <c r="D56" s="901"/>
      <c r="E56" s="899"/>
      <c r="F56" s="67" t="s">
        <v>256</v>
      </c>
      <c r="G56" s="899"/>
      <c r="H56" s="67" t="s">
        <v>256</v>
      </c>
      <c r="I56" s="890"/>
      <c r="J56" s="899"/>
      <c r="K56" s="67"/>
      <c r="L56" s="1"/>
      <c r="M56" s="18"/>
      <c r="O56" s="1"/>
      <c r="P56" s="18"/>
      <c r="R56" s="1"/>
    </row>
    <row r="57" spans="1:18" s="3" customFormat="1" ht="12" customHeight="1" outlineLevel="2">
      <c r="A57" s="293" t="s">
        <v>268</v>
      </c>
      <c r="B57" s="293"/>
      <c r="C57" s="900" t="s">
        <v>889</v>
      </c>
      <c r="D57" s="891" t="s">
        <v>245</v>
      </c>
      <c r="E57" s="899" t="s">
        <v>159</v>
      </c>
      <c r="F57" s="67">
        <f>IF(E57="ABOLISHED",0, (VLOOKUP(E57,$A$72:$C341,2,FALSE)*12))</f>
        <v>272196</v>
      </c>
      <c r="G57" s="898" t="s">
        <v>252</v>
      </c>
      <c r="H57" s="67">
        <f>IF(G57="ABOLISHED",0, (VLOOKUP(G57,$A$72:$C341,2,FALSE)*12))</f>
        <v>0</v>
      </c>
      <c r="I57" s="890">
        <f>SUM(H57-F57)</f>
        <v>-272196</v>
      </c>
      <c r="J57" s="898" t="s">
        <v>252</v>
      </c>
      <c r="K57" s="67">
        <f>IF(J57="ABOLISHED",0, (VLOOKUP(J57,$A$72:$C341,3,FALSE)*12))</f>
        <v>0</v>
      </c>
      <c r="L57" s="1">
        <f>SUM(H57/12)</f>
        <v>0</v>
      </c>
      <c r="M57" s="18">
        <f>IF(L57&gt;=80000,1600,SUM(L57*4%)/2)</f>
        <v>0</v>
      </c>
      <c r="O57" s="1">
        <f>K57/12</f>
        <v>0</v>
      </c>
      <c r="P57" s="18">
        <f>IF(O57&gt;=80000,1600,SUM(O57*4%)/2)</f>
        <v>0</v>
      </c>
      <c r="R57" s="1">
        <f>SUM(O57-L57)</f>
        <v>0</v>
      </c>
    </row>
    <row r="58" spans="1:18" s="3" customFormat="1" ht="12" customHeight="1" outlineLevel="2">
      <c r="A58" s="897" t="s">
        <v>262</v>
      </c>
      <c r="B58" s="897" t="s">
        <v>250</v>
      </c>
      <c r="C58" s="896" t="s">
        <v>888</v>
      </c>
      <c r="D58" s="894" t="s">
        <v>887</v>
      </c>
      <c r="E58" s="889" t="s">
        <v>190</v>
      </c>
      <c r="F58" s="67">
        <f>IF(E58="ABOLISHED",0, (VLOOKUP(E58,$A$72:$C344,2,FALSE)*12))</f>
        <v>197340</v>
      </c>
      <c r="G58" s="889" t="s">
        <v>190</v>
      </c>
      <c r="H58" s="67">
        <f>IF(G58="ABOLISHED",0, (VLOOKUP(G58,$A$72:$C344,2,FALSE)*12))</f>
        <v>197340</v>
      </c>
      <c r="I58" s="890">
        <f>SUM(H58-F58)</f>
        <v>0</v>
      </c>
      <c r="J58" s="889" t="s">
        <v>190</v>
      </c>
      <c r="K58" s="67">
        <f>IF(J58="ABOLISHED",0, (VLOOKUP(J58,$A$72:$C344,3,FALSE)*12))</f>
        <v>197340</v>
      </c>
      <c r="L58" s="1">
        <f>SUM(H58/12)</f>
        <v>16445</v>
      </c>
      <c r="M58" s="18">
        <f>IF(L58&gt;=80000,1600,SUM(L58*4%)/2)</f>
        <v>328.90000000000003</v>
      </c>
      <c r="O58" s="1">
        <f>K58/12</f>
        <v>16445</v>
      </c>
      <c r="P58" s="18">
        <f>IF(O58&gt;=80000,1600,SUM(O58*4%)/2)</f>
        <v>328.90000000000003</v>
      </c>
      <c r="R58" s="1">
        <f>SUM(O58-L58)</f>
        <v>0</v>
      </c>
    </row>
    <row r="59" spans="1:18" s="3" customFormat="1" ht="12" customHeight="1" outlineLevel="2">
      <c r="A59" s="893"/>
      <c r="B59" s="293" t="s">
        <v>247</v>
      </c>
      <c r="C59" s="892" t="s">
        <v>886</v>
      </c>
      <c r="D59" s="894" t="s">
        <v>885</v>
      </c>
      <c r="E59" s="889" t="s">
        <v>215</v>
      </c>
      <c r="F59" s="67">
        <f>IF(E59="ABOLISHED",0, (VLOOKUP(E59,$A$72:$C344,2,FALSE)*12))</f>
        <v>164160</v>
      </c>
      <c r="G59" s="889" t="s">
        <v>215</v>
      </c>
      <c r="H59" s="67">
        <f>IF(G59="ABOLISHED",0, (VLOOKUP(G59,$A$72:$C344,2,FALSE)*12))</f>
        <v>164160</v>
      </c>
      <c r="I59" s="890">
        <f>SUM(H59-F59)</f>
        <v>0</v>
      </c>
      <c r="J59" s="889" t="s">
        <v>215</v>
      </c>
      <c r="K59" s="67">
        <f>IF(J59="ABOLISHED",0, (VLOOKUP(J59,$A$72:$C344,3,FALSE)*12))</f>
        <v>164160</v>
      </c>
      <c r="L59" s="1">
        <f>SUM(H59/12)</f>
        <v>13680</v>
      </c>
      <c r="M59" s="18">
        <f>IF(L59&gt;=80000,1600,SUM(L59*4%)/2)</f>
        <v>273.60000000000002</v>
      </c>
      <c r="N59" s="2"/>
      <c r="O59" s="18">
        <f>K59/12</f>
        <v>13680</v>
      </c>
      <c r="P59" s="18">
        <f>IF(O59&gt;=80000,1600,SUM(O59*4%)/2)</f>
        <v>273.60000000000002</v>
      </c>
      <c r="R59" s="1">
        <f>SUM(O59-L59)</f>
        <v>0</v>
      </c>
    </row>
    <row r="60" spans="1:18" s="3" customFormat="1" ht="12" customHeight="1" outlineLevel="2">
      <c r="A60" s="293" t="s">
        <v>260</v>
      </c>
      <c r="B60" s="293" t="s">
        <v>302</v>
      </c>
      <c r="C60" s="896" t="s">
        <v>884</v>
      </c>
      <c r="D60" s="894" t="s">
        <v>245</v>
      </c>
      <c r="E60" s="889" t="s">
        <v>231</v>
      </c>
      <c r="F60" s="67">
        <f>IF(E60="ABOLISHED",0, (VLOOKUP(E60,$A$72:$C345,2,FALSE)*12))</f>
        <v>145812</v>
      </c>
      <c r="G60" s="889" t="s">
        <v>231</v>
      </c>
      <c r="H60" s="67">
        <f>IF(G60="ABOLISHED",0, (VLOOKUP(G60,$A$72:$C345,2,FALSE)*12))</f>
        <v>145812</v>
      </c>
      <c r="I60" s="890">
        <f>SUM(H60-F60)</f>
        <v>0</v>
      </c>
      <c r="J60" s="889" t="s">
        <v>231</v>
      </c>
      <c r="K60" s="67">
        <f>IF(J60="ABOLISHED",0, (VLOOKUP(J60,$A$72:$C345,3,FALSE)*12))</f>
        <v>145812</v>
      </c>
      <c r="L60" s="1">
        <f>SUM(H60/12)</f>
        <v>12151</v>
      </c>
      <c r="M60" s="18">
        <f>IF(L60&gt;=80000,1600,SUM(L60*4%)/2)</f>
        <v>243.02</v>
      </c>
      <c r="O60" s="1">
        <f>K60/12</f>
        <v>12151</v>
      </c>
      <c r="P60" s="18">
        <f>IF(O60&gt;=80000,1600,SUM(O60*4%)/2)</f>
        <v>243.02</v>
      </c>
      <c r="R60" s="1">
        <f>SUM(O60-L60)</f>
        <v>0</v>
      </c>
    </row>
    <row r="61" spans="1:18" s="3" customFormat="1" ht="12" customHeight="1" outlineLevel="2">
      <c r="A61" s="293"/>
      <c r="B61" s="293"/>
      <c r="C61" s="895" t="s">
        <v>883</v>
      </c>
      <c r="D61" s="894"/>
      <c r="E61" s="889"/>
      <c r="F61" s="67" t="s">
        <v>256</v>
      </c>
      <c r="G61" s="889"/>
      <c r="H61" s="67" t="s">
        <v>256</v>
      </c>
      <c r="I61" s="890"/>
      <c r="J61" s="889"/>
      <c r="K61" s="67" t="s">
        <v>256</v>
      </c>
      <c r="L61" s="1"/>
      <c r="M61" s="18"/>
      <c r="O61" s="1"/>
      <c r="P61" s="18"/>
      <c r="R61" s="1"/>
    </row>
    <row r="62" spans="1:18" s="3" customFormat="1" ht="12" customHeight="1" outlineLevel="2">
      <c r="A62" s="893"/>
      <c r="B62" s="293" t="s">
        <v>507</v>
      </c>
      <c r="C62" s="892" t="s">
        <v>590</v>
      </c>
      <c r="D62" s="891" t="s">
        <v>882</v>
      </c>
      <c r="E62" s="889" t="s">
        <v>215</v>
      </c>
      <c r="F62" s="59">
        <f>IF(E62="ABOLISHED",0, (VLOOKUP(E62,$A$72:$C344,2,FALSE)*12))</f>
        <v>164160</v>
      </c>
      <c r="G62" s="889" t="s">
        <v>214</v>
      </c>
      <c r="H62" s="59">
        <f>IF(G62="ABOLISHED",0, (VLOOKUP(G62,$A$72:$C344,2,FALSE)*12))</f>
        <v>165420</v>
      </c>
      <c r="I62" s="890">
        <f>SUM(H62-F62)</f>
        <v>1260</v>
      </c>
      <c r="J62" s="889" t="s">
        <v>214</v>
      </c>
      <c r="K62" s="59">
        <f>IF(J62="ABOLISHED",0, (VLOOKUP(J62,$A$72:$C344,3,FALSE)*12))</f>
        <v>165420</v>
      </c>
      <c r="L62" s="1">
        <f>SUM(H62/12)</f>
        <v>13785</v>
      </c>
      <c r="M62" s="888">
        <f>IF(L62&gt;=80000,1600,SUM(L62*4%)/2)</f>
        <v>275.7</v>
      </c>
      <c r="O62" s="1">
        <f>K62/12</f>
        <v>13785</v>
      </c>
      <c r="P62" s="888">
        <f>IF(O62&gt;=80000,1600,SUM(O62*4%)/2)</f>
        <v>275.7</v>
      </c>
      <c r="R62" s="1">
        <f>SUM(O62-L62)</f>
        <v>0</v>
      </c>
    </row>
    <row r="63" spans="1:18" ht="12" customHeight="1">
      <c r="A63" s="406"/>
      <c r="B63" s="55">
        <v>26</v>
      </c>
      <c r="C63" s="54"/>
      <c r="D63" s="53" t="s">
        <v>244</v>
      </c>
      <c r="E63" s="887"/>
      <c r="F63" s="287">
        <f>SUM(F15:F62)</f>
        <v>6236712</v>
      </c>
      <c r="G63" s="51"/>
      <c r="H63" s="50">
        <f>SUM(H15:H62)</f>
        <v>7198020</v>
      </c>
      <c r="I63" s="54">
        <f>SUM(I15:I62)</f>
        <v>961308</v>
      </c>
      <c r="J63" s="49"/>
      <c r="K63" s="50">
        <f>SUM(K15:K62)</f>
        <v>7198020</v>
      </c>
      <c r="L63" s="42"/>
      <c r="M63" s="886">
        <f>SUM(M15:M62)</f>
        <v>11687.200000000003</v>
      </c>
      <c r="O63" s="42"/>
      <c r="P63" s="886">
        <f>SUM(P15:P62)</f>
        <v>11687.200000000003</v>
      </c>
    </row>
    <row r="64" spans="1:18" ht="12" hidden="1" customHeight="1">
      <c r="A64" s="46"/>
      <c r="B64" s="46"/>
      <c r="C64" s="39"/>
      <c r="D64" s="45"/>
      <c r="E64" s="45"/>
      <c r="F64" s="44"/>
      <c r="G64" s="18"/>
      <c r="H64" s="403" t="s">
        <v>881</v>
      </c>
      <c r="I64" s="39"/>
      <c r="J64" s="2"/>
      <c r="K64" s="40"/>
      <c r="L64" s="42"/>
      <c r="M64" s="18">
        <v>12</v>
      </c>
      <c r="O64" s="42"/>
      <c r="P64" s="18">
        <v>12</v>
      </c>
    </row>
    <row r="65" spans="1:18" ht="14.25" hidden="1" customHeight="1" thickBot="1">
      <c r="E65" s="279"/>
      <c r="M65" s="30">
        <f>ROUNDUP(SUM(M63*M64),0)</f>
        <v>140247</v>
      </c>
      <c r="P65" s="30">
        <f>ROUNDUP(SUM(P63*P64),0)</f>
        <v>140247</v>
      </c>
      <c r="R65" s="275">
        <f>SUM(R15:R63)</f>
        <v>0</v>
      </c>
    </row>
    <row r="66" spans="1:18" ht="14.25" hidden="1" customHeight="1" thickTop="1">
      <c r="E66" s="279"/>
    </row>
    <row r="67" spans="1:18" ht="14.25" hidden="1" customHeight="1">
      <c r="E67" s="279"/>
    </row>
    <row r="68" spans="1:18" ht="14.25" hidden="1" customHeight="1">
      <c r="A68" s="4636"/>
      <c r="B68" s="4636"/>
      <c r="C68" s="273"/>
      <c r="D68" s="3"/>
      <c r="E68" s="885"/>
      <c r="F68" s="884"/>
      <c r="G68" s="2"/>
    </row>
    <row r="69" spans="1:18" ht="15.75" hidden="1">
      <c r="A69" s="4637" t="s">
        <v>585</v>
      </c>
      <c r="B69" s="4638"/>
      <c r="C69" s="26"/>
      <c r="D69" s="3"/>
      <c r="E69" s="304"/>
      <c r="F69" s="883"/>
      <c r="G69" s="2"/>
    </row>
    <row r="70" spans="1:18" ht="15" hidden="1">
      <c r="A70" s="882" t="s">
        <v>242</v>
      </c>
      <c r="B70" s="24" t="s">
        <v>241</v>
      </c>
      <c r="C70" s="881" t="s">
        <v>240</v>
      </c>
      <c r="D70" s="880"/>
      <c r="E70" s="2"/>
      <c r="F70" s="2"/>
      <c r="G70" s="2"/>
    </row>
    <row r="71" spans="1:18" hidden="1">
      <c r="A71" s="879" t="s">
        <v>239</v>
      </c>
      <c r="B71" s="22">
        <v>11432</v>
      </c>
      <c r="C71" s="22">
        <v>11432</v>
      </c>
      <c r="D71" s="8"/>
      <c r="E71" s="876"/>
      <c r="F71" s="875"/>
      <c r="G71" s="870"/>
      <c r="H71" s="14"/>
      <c r="I71" s="14"/>
      <c r="J71" s="13"/>
      <c r="K71" s="13"/>
      <c r="L71" s="14"/>
    </row>
    <row r="72" spans="1:18" hidden="1">
      <c r="A72" s="873" t="s">
        <v>238</v>
      </c>
      <c r="B72" s="22">
        <v>11527</v>
      </c>
      <c r="C72" s="22">
        <v>11527</v>
      </c>
      <c r="D72" s="8"/>
      <c r="E72" s="876"/>
      <c r="F72" s="875"/>
      <c r="G72" s="870"/>
      <c r="H72" s="14"/>
      <c r="I72" s="14"/>
      <c r="J72" s="13"/>
      <c r="K72" s="13"/>
      <c r="L72" s="14"/>
    </row>
    <row r="73" spans="1:18" hidden="1">
      <c r="A73" s="879" t="s">
        <v>237</v>
      </c>
      <c r="B73" s="22">
        <v>11624</v>
      </c>
      <c r="C73" s="22">
        <v>11624</v>
      </c>
      <c r="D73" s="8"/>
      <c r="E73" s="876"/>
      <c r="F73" s="2"/>
      <c r="G73" s="870"/>
    </row>
    <row r="74" spans="1:18" hidden="1">
      <c r="A74" s="873" t="s">
        <v>236</v>
      </c>
      <c r="B74" s="22">
        <v>11722</v>
      </c>
      <c r="C74" s="22">
        <v>11722</v>
      </c>
      <c r="D74" s="8"/>
      <c r="E74" s="876"/>
      <c r="F74" s="875"/>
      <c r="G74" s="870"/>
      <c r="H74" s="14"/>
    </row>
    <row r="75" spans="1:18" hidden="1">
      <c r="A75" s="879" t="s">
        <v>235</v>
      </c>
      <c r="B75" s="22">
        <v>11820</v>
      </c>
      <c r="C75" s="22">
        <v>11820</v>
      </c>
      <c r="D75" s="8"/>
      <c r="E75" s="876"/>
      <c r="F75" s="875"/>
      <c r="G75" s="870"/>
      <c r="H75" s="14"/>
      <c r="I75" s="14"/>
      <c r="J75" s="13"/>
      <c r="K75" s="13"/>
      <c r="L75" s="14"/>
    </row>
    <row r="76" spans="1:18" hidden="1">
      <c r="A76" s="873" t="s">
        <v>234</v>
      </c>
      <c r="B76" s="22">
        <v>11918</v>
      </c>
      <c r="C76" s="22">
        <v>11918</v>
      </c>
      <c r="D76" s="8"/>
      <c r="E76" s="876"/>
      <c r="F76" s="875"/>
      <c r="G76" s="870"/>
      <c r="H76" s="14"/>
    </row>
    <row r="77" spans="1:18" hidden="1">
      <c r="A77" s="879" t="s">
        <v>233</v>
      </c>
      <c r="B77" s="22">
        <v>12018</v>
      </c>
      <c r="C77" s="22">
        <v>12018</v>
      </c>
      <c r="D77" s="8"/>
      <c r="E77" s="876"/>
      <c r="F77" s="875"/>
      <c r="G77" s="870"/>
      <c r="H77" s="14"/>
    </row>
    <row r="78" spans="1:18" hidden="1">
      <c r="A78" s="873" t="s">
        <v>232</v>
      </c>
      <c r="B78" s="22">
        <v>12118</v>
      </c>
      <c r="C78" s="22">
        <v>12118</v>
      </c>
      <c r="D78" s="8"/>
      <c r="E78" s="876"/>
      <c r="F78" s="875"/>
      <c r="G78" s="870"/>
      <c r="H78" s="14"/>
      <c r="I78" s="14"/>
      <c r="J78" s="13"/>
      <c r="K78" s="13"/>
      <c r="L78" s="14"/>
    </row>
    <row r="79" spans="1:18" hidden="1">
      <c r="A79" s="878" t="s">
        <v>231</v>
      </c>
      <c r="B79" s="9">
        <v>12151</v>
      </c>
      <c r="C79" s="9">
        <v>12151</v>
      </c>
      <c r="D79" s="8"/>
      <c r="E79" s="877"/>
      <c r="F79" s="875"/>
      <c r="G79" s="870"/>
      <c r="H79" s="14"/>
    </row>
    <row r="80" spans="1:18" hidden="1">
      <c r="A80" s="872" t="s">
        <v>230</v>
      </c>
      <c r="B80" s="9">
        <v>12244</v>
      </c>
      <c r="C80" s="9">
        <v>12244</v>
      </c>
      <c r="D80" s="8"/>
      <c r="E80" s="877"/>
      <c r="F80" s="875"/>
      <c r="G80" s="870"/>
      <c r="H80" s="14"/>
      <c r="I80" s="14"/>
      <c r="J80" s="13"/>
      <c r="K80" s="13"/>
      <c r="L80" s="14"/>
    </row>
    <row r="81" spans="1:12" hidden="1">
      <c r="A81" s="878" t="s">
        <v>229</v>
      </c>
      <c r="B81" s="9">
        <v>12338</v>
      </c>
      <c r="C81" s="9">
        <v>12338</v>
      </c>
      <c r="D81" s="8"/>
      <c r="E81" s="877"/>
      <c r="F81" s="875"/>
      <c r="G81" s="870"/>
    </row>
    <row r="82" spans="1:12" hidden="1">
      <c r="A82" s="872" t="s">
        <v>228</v>
      </c>
      <c r="B82" s="9">
        <v>12433</v>
      </c>
      <c r="C82" s="9">
        <v>12433</v>
      </c>
      <c r="D82" s="8"/>
      <c r="E82" s="877"/>
      <c r="F82" s="875"/>
      <c r="G82" s="870"/>
      <c r="H82" s="14"/>
    </row>
    <row r="83" spans="1:12" hidden="1">
      <c r="A83" s="878" t="s">
        <v>227</v>
      </c>
      <c r="B83" s="9">
        <v>12528</v>
      </c>
      <c r="C83" s="9">
        <v>12528</v>
      </c>
      <c r="D83" s="8"/>
      <c r="E83" s="877"/>
      <c r="F83" s="875"/>
      <c r="G83" s="870"/>
      <c r="H83" s="14"/>
      <c r="I83" s="14"/>
      <c r="J83" s="13"/>
      <c r="K83" s="13"/>
      <c r="L83" s="14"/>
    </row>
    <row r="84" spans="1:12" hidden="1">
      <c r="A84" s="872" t="s">
        <v>226</v>
      </c>
      <c r="B84" s="9">
        <v>12624</v>
      </c>
      <c r="C84" s="9">
        <v>12624</v>
      </c>
      <c r="D84" s="8"/>
      <c r="E84" s="877"/>
      <c r="F84" s="875"/>
      <c r="G84" s="870"/>
      <c r="H84" s="14"/>
      <c r="I84" s="14"/>
      <c r="J84" s="13"/>
      <c r="K84" s="13"/>
      <c r="L84" s="14"/>
    </row>
    <row r="85" spans="1:12" hidden="1">
      <c r="A85" s="878" t="s">
        <v>225</v>
      </c>
      <c r="B85" s="9">
        <v>12721</v>
      </c>
      <c r="C85" s="9">
        <v>12721</v>
      </c>
      <c r="D85" s="8"/>
      <c r="E85" s="877"/>
      <c r="F85" s="875"/>
      <c r="G85" s="870"/>
      <c r="H85" s="14"/>
      <c r="I85" s="14"/>
      <c r="J85" s="13"/>
      <c r="K85" s="13"/>
      <c r="L85" s="14"/>
    </row>
    <row r="86" spans="1:12" hidden="1">
      <c r="A86" s="872" t="s">
        <v>224</v>
      </c>
      <c r="B86" s="9">
        <v>12818</v>
      </c>
      <c r="C86" s="9">
        <v>12818</v>
      </c>
      <c r="D86" s="8"/>
      <c r="E86" s="877"/>
      <c r="F86" s="875"/>
      <c r="G86" s="870"/>
      <c r="H86" s="14"/>
    </row>
    <row r="87" spans="1:12" hidden="1">
      <c r="A87" s="879" t="s">
        <v>223</v>
      </c>
      <c r="B87" s="11">
        <v>12893</v>
      </c>
      <c r="C87" s="11">
        <v>12893</v>
      </c>
      <c r="D87" s="8"/>
      <c r="E87" s="876"/>
      <c r="F87" s="875"/>
      <c r="G87" s="870"/>
      <c r="H87" s="14"/>
    </row>
    <row r="88" spans="1:12" hidden="1">
      <c r="A88" s="873" t="s">
        <v>222</v>
      </c>
      <c r="B88" s="11">
        <v>12993</v>
      </c>
      <c r="C88" s="11">
        <v>12993</v>
      </c>
      <c r="D88" s="8"/>
      <c r="E88" s="876"/>
      <c r="F88" s="875"/>
      <c r="G88" s="870"/>
      <c r="H88" s="14"/>
      <c r="I88" s="14"/>
      <c r="J88" s="13"/>
      <c r="K88" s="13"/>
      <c r="L88" s="14"/>
    </row>
    <row r="89" spans="1:12" hidden="1">
      <c r="A89" s="879" t="s">
        <v>221</v>
      </c>
      <c r="B89" s="11">
        <v>13092</v>
      </c>
      <c r="C89" s="11">
        <v>13092</v>
      </c>
      <c r="D89" s="8"/>
      <c r="E89" s="876"/>
      <c r="F89" s="875"/>
      <c r="G89" s="870"/>
      <c r="H89" s="14"/>
      <c r="I89" s="14"/>
      <c r="J89" s="13"/>
      <c r="K89" s="13"/>
      <c r="L89" s="14"/>
    </row>
    <row r="90" spans="1:12" hidden="1">
      <c r="A90" s="873" t="s">
        <v>220</v>
      </c>
      <c r="B90" s="11">
        <v>13194</v>
      </c>
      <c r="C90" s="11">
        <v>13194</v>
      </c>
      <c r="D90" s="8"/>
      <c r="E90" s="876"/>
      <c r="F90" s="875"/>
      <c r="G90" s="870"/>
      <c r="H90" s="14"/>
    </row>
    <row r="91" spans="1:12" hidden="1">
      <c r="A91" s="879" t="s">
        <v>219</v>
      </c>
      <c r="B91" s="11">
        <v>13295</v>
      </c>
      <c r="C91" s="11">
        <v>13295</v>
      </c>
      <c r="D91" s="8"/>
      <c r="E91" s="876"/>
      <c r="F91" s="875"/>
      <c r="G91" s="870"/>
      <c r="H91" s="14"/>
      <c r="I91" s="14"/>
      <c r="J91" s="13"/>
      <c r="K91" s="13"/>
      <c r="L91" s="14"/>
    </row>
    <row r="92" spans="1:12" hidden="1">
      <c r="A92" s="873" t="s">
        <v>218</v>
      </c>
      <c r="B92" s="11">
        <v>13396</v>
      </c>
      <c r="C92" s="11">
        <v>13396</v>
      </c>
      <c r="D92" s="8"/>
      <c r="E92" s="876"/>
      <c r="F92" s="875"/>
      <c r="G92" s="870"/>
      <c r="H92" s="14"/>
    </row>
    <row r="93" spans="1:12" hidden="1">
      <c r="A93" s="879" t="s">
        <v>217</v>
      </c>
      <c r="B93" s="11">
        <v>13500</v>
      </c>
      <c r="C93" s="11">
        <v>13500</v>
      </c>
      <c r="D93" s="8"/>
      <c r="E93" s="876"/>
      <c r="F93" s="875"/>
      <c r="G93" s="870"/>
      <c r="H93" s="14"/>
    </row>
    <row r="94" spans="1:12" hidden="1">
      <c r="A94" s="873" t="s">
        <v>216</v>
      </c>
      <c r="B94" s="11">
        <v>13603</v>
      </c>
      <c r="C94" s="11">
        <v>13603</v>
      </c>
      <c r="D94" s="8"/>
      <c r="E94" s="876"/>
      <c r="F94" s="875"/>
      <c r="G94" s="870"/>
      <c r="H94" s="14"/>
      <c r="I94" s="14"/>
      <c r="J94" s="13"/>
      <c r="K94" s="13"/>
      <c r="L94" s="14"/>
    </row>
    <row r="95" spans="1:12" hidden="1">
      <c r="A95" s="878" t="s">
        <v>215</v>
      </c>
      <c r="B95" s="9">
        <v>13680</v>
      </c>
      <c r="C95" s="9">
        <v>13680</v>
      </c>
      <c r="D95" s="8"/>
      <c r="E95" s="876"/>
      <c r="F95" s="875"/>
      <c r="G95" s="870"/>
    </row>
    <row r="96" spans="1:12" hidden="1">
      <c r="A96" s="872" t="s">
        <v>214</v>
      </c>
      <c r="B96" s="9">
        <v>13785</v>
      </c>
      <c r="C96" s="9">
        <v>13785</v>
      </c>
      <c r="D96" s="8"/>
      <c r="E96" s="876"/>
      <c r="F96" s="875"/>
      <c r="G96" s="870"/>
    </row>
    <row r="97" spans="1:12" hidden="1">
      <c r="A97" s="878" t="s">
        <v>213</v>
      </c>
      <c r="B97" s="9">
        <v>13891</v>
      </c>
      <c r="C97" s="9">
        <v>13891</v>
      </c>
      <c r="D97" s="8"/>
      <c r="E97" s="876"/>
      <c r="F97" s="875"/>
      <c r="G97" s="870"/>
    </row>
    <row r="98" spans="1:12" hidden="1">
      <c r="A98" s="872" t="s">
        <v>212</v>
      </c>
      <c r="B98" s="9">
        <v>13998</v>
      </c>
      <c r="C98" s="9">
        <v>13998</v>
      </c>
      <c r="D98" s="8"/>
      <c r="E98" s="876"/>
      <c r="F98" s="875"/>
      <c r="G98" s="870"/>
    </row>
    <row r="99" spans="1:12" hidden="1">
      <c r="A99" s="878" t="s">
        <v>211</v>
      </c>
      <c r="B99" s="9">
        <v>14106</v>
      </c>
      <c r="C99" s="9">
        <v>14106</v>
      </c>
      <c r="D99" s="8"/>
      <c r="E99" s="876"/>
      <c r="F99" s="875"/>
      <c r="G99" s="870"/>
    </row>
    <row r="100" spans="1:12" hidden="1">
      <c r="A100" s="872" t="s">
        <v>210</v>
      </c>
      <c r="B100" s="9">
        <v>14213</v>
      </c>
      <c r="C100" s="9">
        <v>14213</v>
      </c>
      <c r="D100" s="8"/>
      <c r="E100" s="876"/>
      <c r="F100" s="875"/>
      <c r="G100" s="870"/>
    </row>
    <row r="101" spans="1:12" hidden="1">
      <c r="A101" s="878" t="s">
        <v>209</v>
      </c>
      <c r="B101" s="9">
        <v>14323</v>
      </c>
      <c r="C101" s="9">
        <v>14323</v>
      </c>
      <c r="D101" s="8"/>
      <c r="E101" s="876"/>
      <c r="F101" s="875"/>
      <c r="G101" s="870"/>
    </row>
    <row r="102" spans="1:12" hidden="1">
      <c r="A102" s="872" t="s">
        <v>208</v>
      </c>
      <c r="B102" s="9">
        <v>14432</v>
      </c>
      <c r="C102" s="9">
        <v>14432</v>
      </c>
      <c r="D102" s="8"/>
      <c r="E102" s="876"/>
      <c r="F102" s="875"/>
      <c r="G102" s="870"/>
    </row>
    <row r="103" spans="1:12" hidden="1">
      <c r="A103" s="873" t="s">
        <v>207</v>
      </c>
      <c r="B103" s="11">
        <v>14511</v>
      </c>
      <c r="C103" s="11">
        <v>14511</v>
      </c>
      <c r="D103" s="8"/>
      <c r="E103" s="876"/>
      <c r="F103" s="875"/>
      <c r="G103" s="870"/>
      <c r="H103" s="14"/>
      <c r="I103" s="14"/>
      <c r="J103" s="13"/>
      <c r="K103" s="13"/>
      <c r="L103" s="14"/>
    </row>
    <row r="104" spans="1:12" hidden="1">
      <c r="A104" s="873" t="s">
        <v>206</v>
      </c>
      <c r="B104" s="11">
        <v>14623</v>
      </c>
      <c r="C104" s="11">
        <v>14623</v>
      </c>
      <c r="D104" s="8"/>
      <c r="E104" s="876"/>
      <c r="F104" s="875"/>
      <c r="G104" s="870"/>
      <c r="H104" s="14"/>
    </row>
    <row r="105" spans="1:12" hidden="1">
      <c r="A105" s="873" t="s">
        <v>205</v>
      </c>
      <c r="B105" s="11">
        <v>14735</v>
      </c>
      <c r="C105" s="11">
        <v>14735</v>
      </c>
      <c r="D105" s="8"/>
      <c r="E105" s="876"/>
      <c r="F105" s="875"/>
      <c r="G105" s="870"/>
      <c r="H105" s="14"/>
    </row>
    <row r="106" spans="1:12" hidden="1">
      <c r="A106" s="873" t="s">
        <v>204</v>
      </c>
      <c r="B106" s="11">
        <v>14849</v>
      </c>
      <c r="C106" s="11">
        <v>14849</v>
      </c>
      <c r="D106" s="8"/>
      <c r="E106" s="876"/>
      <c r="F106" s="875"/>
      <c r="G106" s="870"/>
      <c r="H106" s="14"/>
    </row>
    <row r="107" spans="1:12" hidden="1">
      <c r="A107" s="873" t="s">
        <v>203</v>
      </c>
      <c r="B107" s="11">
        <v>14963</v>
      </c>
      <c r="C107" s="11">
        <v>14963</v>
      </c>
      <c r="D107" s="8"/>
      <c r="E107" s="876"/>
      <c r="F107" s="875"/>
      <c r="G107" s="870"/>
      <c r="H107" s="14"/>
    </row>
    <row r="108" spans="1:12" hidden="1">
      <c r="A108" s="873" t="s">
        <v>202</v>
      </c>
      <c r="B108" s="11">
        <v>15077</v>
      </c>
      <c r="C108" s="11">
        <v>15077</v>
      </c>
      <c r="D108" s="8"/>
      <c r="E108" s="876"/>
      <c r="F108" s="875"/>
      <c r="G108" s="870"/>
      <c r="H108" s="14"/>
      <c r="I108" s="14"/>
      <c r="J108" s="13"/>
      <c r="K108" s="13"/>
      <c r="L108" s="14"/>
    </row>
    <row r="109" spans="1:12" hidden="1">
      <c r="A109" s="873" t="s">
        <v>201</v>
      </c>
      <c r="B109" s="11">
        <v>15193</v>
      </c>
      <c r="C109" s="11">
        <v>15193</v>
      </c>
      <c r="D109" s="8"/>
      <c r="E109" s="876"/>
      <c r="F109" s="875"/>
      <c r="G109" s="870"/>
      <c r="H109" s="14"/>
      <c r="I109" s="14"/>
      <c r="J109" s="13"/>
      <c r="K109" s="13"/>
      <c r="L109" s="14"/>
    </row>
    <row r="110" spans="1:12" hidden="1">
      <c r="A110" s="873" t="s">
        <v>200</v>
      </c>
      <c r="B110" s="11">
        <v>15309</v>
      </c>
      <c r="C110" s="11">
        <v>15309</v>
      </c>
      <c r="D110" s="8"/>
      <c r="E110" s="876"/>
      <c r="F110" s="875"/>
      <c r="G110" s="870"/>
      <c r="H110" s="14"/>
    </row>
    <row r="111" spans="1:12" hidden="1">
      <c r="A111" s="872" t="s">
        <v>199</v>
      </c>
      <c r="B111" s="9">
        <v>15390</v>
      </c>
      <c r="C111" s="9">
        <v>15390</v>
      </c>
      <c r="D111" s="8"/>
      <c r="E111" s="876"/>
      <c r="F111" s="875"/>
      <c r="G111" s="870"/>
      <c r="H111" s="14"/>
      <c r="I111" s="14"/>
      <c r="J111" s="13"/>
      <c r="K111" s="13"/>
      <c r="L111" s="14"/>
    </row>
    <row r="112" spans="1:12" hidden="1">
      <c r="A112" s="872" t="s">
        <v>198</v>
      </c>
      <c r="B112" s="9">
        <v>15509</v>
      </c>
      <c r="C112" s="9">
        <v>15509</v>
      </c>
      <c r="D112" s="8"/>
      <c r="E112" s="876"/>
      <c r="F112" s="875"/>
      <c r="G112" s="870"/>
      <c r="H112" s="14"/>
      <c r="I112" s="14"/>
      <c r="J112" s="13"/>
      <c r="K112" s="13"/>
      <c r="L112" s="14"/>
    </row>
    <row r="113" spans="1:12" hidden="1">
      <c r="A113" s="872" t="s">
        <v>197</v>
      </c>
      <c r="B113" s="9">
        <v>15628</v>
      </c>
      <c r="C113" s="9">
        <v>15628</v>
      </c>
      <c r="D113" s="8"/>
      <c r="E113" s="876"/>
      <c r="F113" s="875"/>
      <c r="G113" s="870"/>
      <c r="H113" s="14"/>
      <c r="I113" s="14"/>
      <c r="J113" s="13"/>
      <c r="K113" s="13"/>
      <c r="L113" s="14"/>
    </row>
    <row r="114" spans="1:12" hidden="1">
      <c r="A114" s="872" t="s">
        <v>196</v>
      </c>
      <c r="B114" s="9">
        <v>15748</v>
      </c>
      <c r="C114" s="9">
        <v>15748</v>
      </c>
      <c r="D114" s="8"/>
      <c r="E114" s="876"/>
      <c r="F114" s="875"/>
      <c r="G114" s="870"/>
      <c r="H114" s="14"/>
      <c r="I114" s="14"/>
      <c r="J114" s="13"/>
      <c r="K114" s="13"/>
      <c r="L114" s="14"/>
    </row>
    <row r="115" spans="1:12" hidden="1">
      <c r="A115" s="872" t="s">
        <v>195</v>
      </c>
      <c r="B115" s="9">
        <v>15869</v>
      </c>
      <c r="C115" s="9">
        <v>15869</v>
      </c>
      <c r="D115" s="8"/>
      <c r="E115" s="876"/>
      <c r="F115" s="875"/>
      <c r="G115" s="870"/>
      <c r="H115" s="14"/>
      <c r="I115" s="14"/>
      <c r="J115" s="13"/>
      <c r="K115" s="13"/>
      <c r="L115" s="14"/>
    </row>
    <row r="116" spans="1:12" hidden="1">
      <c r="A116" s="872" t="s">
        <v>194</v>
      </c>
      <c r="B116" s="9">
        <v>15990</v>
      </c>
      <c r="C116" s="9">
        <v>15990</v>
      </c>
      <c r="D116" s="8"/>
      <c r="E116" s="876"/>
      <c r="F116" s="875"/>
      <c r="G116" s="870"/>
      <c r="H116" s="14"/>
    </row>
    <row r="117" spans="1:12" hidden="1">
      <c r="A117" s="872" t="s">
        <v>193</v>
      </c>
      <c r="B117" s="9">
        <v>16114</v>
      </c>
      <c r="C117" s="9">
        <v>16114</v>
      </c>
      <c r="D117" s="8"/>
      <c r="E117" s="876"/>
      <c r="F117" s="875"/>
      <c r="G117" s="870"/>
      <c r="H117" s="14"/>
      <c r="I117" s="14"/>
      <c r="J117" s="13"/>
      <c r="K117" s="13"/>
      <c r="L117" s="14"/>
    </row>
    <row r="118" spans="1:12" hidden="1">
      <c r="A118" s="872" t="s">
        <v>192</v>
      </c>
      <c r="B118" s="9">
        <v>16237</v>
      </c>
      <c r="C118" s="9">
        <v>16237</v>
      </c>
      <c r="D118" s="8"/>
      <c r="E118" s="876"/>
      <c r="F118" s="875"/>
      <c r="G118" s="870"/>
      <c r="H118" s="14"/>
      <c r="I118" s="14"/>
      <c r="J118" s="13"/>
      <c r="K118" s="13"/>
      <c r="L118" s="14"/>
    </row>
    <row r="119" spans="1:12" hidden="1">
      <c r="A119" s="873" t="s">
        <v>191</v>
      </c>
      <c r="B119" s="11">
        <v>16320</v>
      </c>
      <c r="C119" s="11">
        <v>16320</v>
      </c>
      <c r="D119" s="8"/>
      <c r="E119" s="876"/>
      <c r="F119" s="875"/>
      <c r="G119" s="870"/>
      <c r="H119" s="14"/>
    </row>
    <row r="120" spans="1:12" hidden="1">
      <c r="A120" s="873" t="s">
        <v>190</v>
      </c>
      <c r="B120" s="11">
        <v>16445</v>
      </c>
      <c r="C120" s="11">
        <v>16445</v>
      </c>
      <c r="D120" s="8"/>
      <c r="E120" s="876"/>
      <c r="F120" s="875"/>
      <c r="G120" s="870"/>
      <c r="H120" s="14"/>
      <c r="I120" s="14"/>
      <c r="J120" s="13"/>
      <c r="K120" s="13"/>
      <c r="L120" s="14"/>
    </row>
    <row r="121" spans="1:12" hidden="1">
      <c r="A121" s="873" t="s">
        <v>189</v>
      </c>
      <c r="B121" s="11">
        <v>16572</v>
      </c>
      <c r="C121" s="11">
        <v>16572</v>
      </c>
      <c r="D121" s="8"/>
      <c r="E121" s="876"/>
      <c r="F121" s="875"/>
      <c r="G121" s="870"/>
      <c r="H121" s="14"/>
      <c r="I121" s="14"/>
      <c r="J121" s="13"/>
      <c r="K121" s="13"/>
      <c r="L121" s="14"/>
    </row>
    <row r="122" spans="1:12" hidden="1">
      <c r="A122" s="873" t="s">
        <v>188</v>
      </c>
      <c r="B122" s="11">
        <v>16699</v>
      </c>
      <c r="C122" s="11">
        <v>16699</v>
      </c>
      <c r="D122" s="8"/>
      <c r="E122" s="876"/>
      <c r="F122" s="875"/>
      <c r="G122" s="870"/>
      <c r="H122" s="14"/>
      <c r="I122" s="14"/>
      <c r="J122" s="13"/>
      <c r="K122" s="13"/>
      <c r="L122" s="14"/>
    </row>
    <row r="123" spans="1:12" hidden="1">
      <c r="A123" s="873" t="s">
        <v>187</v>
      </c>
      <c r="B123" s="11">
        <v>16827</v>
      </c>
      <c r="C123" s="11">
        <v>16827</v>
      </c>
      <c r="D123" s="8"/>
      <c r="E123" s="876"/>
      <c r="F123" s="875"/>
      <c r="G123" s="870"/>
      <c r="H123" s="14"/>
      <c r="I123" s="14"/>
      <c r="J123" s="13"/>
      <c r="K123" s="13"/>
      <c r="L123" s="14"/>
    </row>
    <row r="124" spans="1:12" hidden="1">
      <c r="A124" s="873" t="s">
        <v>186</v>
      </c>
      <c r="B124" s="11">
        <v>16957</v>
      </c>
      <c r="C124" s="11">
        <v>16957</v>
      </c>
      <c r="D124" s="8"/>
      <c r="E124" s="876"/>
      <c r="F124" s="875"/>
      <c r="G124" s="870"/>
      <c r="H124" s="14"/>
    </row>
    <row r="125" spans="1:12" hidden="1">
      <c r="A125" s="873" t="s">
        <v>185</v>
      </c>
      <c r="B125" s="11">
        <v>17086</v>
      </c>
      <c r="C125" s="11">
        <v>17086</v>
      </c>
      <c r="D125" s="8"/>
      <c r="E125" s="876"/>
      <c r="F125" s="875"/>
      <c r="G125" s="870"/>
      <c r="H125" s="14"/>
      <c r="I125" s="14"/>
      <c r="J125" s="13"/>
      <c r="K125" s="13"/>
      <c r="L125" s="14"/>
    </row>
    <row r="126" spans="1:12" hidden="1">
      <c r="A126" s="873" t="s">
        <v>184</v>
      </c>
      <c r="B126" s="11">
        <v>17218</v>
      </c>
      <c r="C126" s="11">
        <v>17218</v>
      </c>
      <c r="D126" s="8"/>
      <c r="E126" s="876"/>
      <c r="F126" s="875"/>
      <c r="G126" s="870"/>
      <c r="H126" s="14"/>
    </row>
    <row r="127" spans="1:12" hidden="1">
      <c r="A127" s="872" t="s">
        <v>183</v>
      </c>
      <c r="B127" s="9">
        <v>17338</v>
      </c>
      <c r="C127" s="9">
        <v>17338</v>
      </c>
      <c r="D127" s="8"/>
      <c r="E127" s="877"/>
      <c r="F127" s="875"/>
      <c r="G127" s="870"/>
      <c r="H127" s="14"/>
      <c r="I127" s="14"/>
      <c r="J127" s="13"/>
      <c r="K127" s="13"/>
      <c r="L127" s="14"/>
    </row>
    <row r="128" spans="1:12" hidden="1">
      <c r="A128" s="872" t="s">
        <v>182</v>
      </c>
      <c r="B128" s="9">
        <v>17496</v>
      </c>
      <c r="C128" s="9">
        <v>17496</v>
      </c>
      <c r="D128" s="8"/>
      <c r="E128" s="877"/>
      <c r="F128" s="875"/>
      <c r="G128" s="870"/>
      <c r="H128" s="14"/>
      <c r="I128" s="14"/>
      <c r="J128" s="13"/>
      <c r="K128" s="13"/>
      <c r="L128" s="14"/>
    </row>
    <row r="129" spans="1:12" hidden="1">
      <c r="A129" s="872" t="s">
        <v>181</v>
      </c>
      <c r="B129" s="9">
        <v>17654</v>
      </c>
      <c r="C129" s="9">
        <v>17654</v>
      </c>
      <c r="D129" s="8"/>
      <c r="E129" s="877"/>
      <c r="F129" s="875"/>
      <c r="G129" s="870"/>
      <c r="H129" s="14"/>
      <c r="I129" s="14"/>
      <c r="J129" s="13"/>
      <c r="K129" s="13"/>
      <c r="L129" s="14"/>
    </row>
    <row r="130" spans="1:12" hidden="1">
      <c r="A130" s="872" t="s">
        <v>180</v>
      </c>
      <c r="B130" s="9">
        <v>17813</v>
      </c>
      <c r="C130" s="9">
        <v>17813</v>
      </c>
      <c r="D130" s="8"/>
      <c r="E130" s="877"/>
      <c r="F130" s="875"/>
      <c r="G130" s="870"/>
      <c r="H130" s="14"/>
      <c r="I130" s="14"/>
      <c r="J130" s="13"/>
      <c r="K130" s="13"/>
      <c r="L130" s="14"/>
    </row>
    <row r="131" spans="1:12" hidden="1">
      <c r="A131" s="872" t="s">
        <v>179</v>
      </c>
      <c r="B131" s="9">
        <v>17974</v>
      </c>
      <c r="C131" s="9">
        <v>17974</v>
      </c>
      <c r="D131" s="8"/>
      <c r="E131" s="877"/>
      <c r="F131" s="875"/>
      <c r="G131" s="870"/>
      <c r="H131" s="14"/>
      <c r="I131" s="14"/>
      <c r="J131" s="13"/>
      <c r="K131" s="13"/>
      <c r="L131" s="14"/>
    </row>
    <row r="132" spans="1:12" hidden="1">
      <c r="A132" s="872" t="s">
        <v>178</v>
      </c>
      <c r="B132" s="9">
        <v>18136</v>
      </c>
      <c r="C132" s="9">
        <v>18136</v>
      </c>
      <c r="D132" s="8"/>
      <c r="E132" s="877"/>
      <c r="F132" s="875"/>
      <c r="G132" s="870"/>
      <c r="H132" s="14"/>
      <c r="I132" s="14"/>
      <c r="J132" s="13"/>
      <c r="K132" s="13"/>
      <c r="L132" s="14"/>
    </row>
    <row r="133" spans="1:12" hidden="1">
      <c r="A133" s="872" t="s">
        <v>177</v>
      </c>
      <c r="B133" s="9">
        <v>18301</v>
      </c>
      <c r="C133" s="9">
        <v>18301</v>
      </c>
      <c r="D133" s="8"/>
      <c r="E133" s="877"/>
      <c r="F133" s="875"/>
      <c r="G133" s="870"/>
      <c r="H133" s="14"/>
      <c r="I133" s="14"/>
      <c r="J133" s="13"/>
      <c r="K133" s="13"/>
      <c r="L133" s="14"/>
    </row>
    <row r="134" spans="1:12" hidden="1">
      <c r="A134" s="872" t="s">
        <v>176</v>
      </c>
      <c r="B134" s="9">
        <v>18466</v>
      </c>
      <c r="C134" s="9">
        <v>18466</v>
      </c>
      <c r="D134" s="8"/>
      <c r="E134" s="877"/>
      <c r="F134" s="875"/>
      <c r="G134" s="870"/>
      <c r="H134" s="14"/>
      <c r="I134" s="14"/>
      <c r="J134" s="13"/>
      <c r="K134" s="13"/>
      <c r="L134" s="14"/>
    </row>
    <row r="135" spans="1:12" hidden="1">
      <c r="A135" s="873" t="s">
        <v>175</v>
      </c>
      <c r="B135" s="11">
        <v>18613</v>
      </c>
      <c r="C135" s="11">
        <v>18613</v>
      </c>
      <c r="D135" s="8"/>
      <c r="E135" s="877"/>
      <c r="F135" s="875"/>
      <c r="G135" s="870"/>
    </row>
    <row r="136" spans="1:12" hidden="1">
      <c r="A136" s="873" t="s">
        <v>174</v>
      </c>
      <c r="B136" s="11">
        <v>18769</v>
      </c>
      <c r="C136" s="11">
        <v>18769</v>
      </c>
      <c r="D136" s="8"/>
      <c r="E136" s="877"/>
      <c r="F136" s="875"/>
      <c r="G136" s="870"/>
      <c r="H136" s="14"/>
    </row>
    <row r="137" spans="1:12" hidden="1">
      <c r="A137" s="873" t="s">
        <v>173</v>
      </c>
      <c r="B137" s="11">
        <v>18926</v>
      </c>
      <c r="C137" s="11">
        <v>18926</v>
      </c>
      <c r="D137" s="8"/>
      <c r="E137" s="877"/>
      <c r="F137" s="875"/>
      <c r="G137" s="870"/>
      <c r="H137" s="14"/>
    </row>
    <row r="138" spans="1:12" hidden="1">
      <c r="A138" s="873" t="s">
        <v>172</v>
      </c>
      <c r="B138" s="11">
        <v>19085</v>
      </c>
      <c r="C138" s="11">
        <v>19085</v>
      </c>
      <c r="D138" s="8"/>
      <c r="E138" s="877"/>
      <c r="F138" s="875"/>
      <c r="G138" s="870"/>
      <c r="H138" s="14"/>
    </row>
    <row r="139" spans="1:12" hidden="1">
      <c r="A139" s="873" t="s">
        <v>171</v>
      </c>
      <c r="B139" s="11">
        <v>19244</v>
      </c>
      <c r="C139" s="11">
        <v>19244</v>
      </c>
      <c r="D139" s="8"/>
      <c r="E139" s="877"/>
      <c r="F139" s="875"/>
      <c r="G139" s="870"/>
      <c r="H139" s="14"/>
      <c r="I139" s="14"/>
      <c r="J139" s="13"/>
      <c r="K139" s="13"/>
      <c r="L139" s="14"/>
    </row>
    <row r="140" spans="1:12" hidden="1">
      <c r="A140" s="873" t="s">
        <v>170</v>
      </c>
      <c r="B140" s="11">
        <v>19405</v>
      </c>
      <c r="C140" s="11">
        <v>19405</v>
      </c>
      <c r="D140" s="8"/>
      <c r="E140" s="877"/>
      <c r="F140" s="875"/>
      <c r="G140" s="870"/>
      <c r="H140" s="14"/>
      <c r="I140" s="14"/>
      <c r="J140" s="13"/>
      <c r="K140" s="13"/>
      <c r="L140" s="14"/>
    </row>
    <row r="141" spans="1:12" hidden="1">
      <c r="A141" s="873" t="s">
        <v>169</v>
      </c>
      <c r="B141" s="11">
        <v>19567</v>
      </c>
      <c r="C141" s="11">
        <v>19567</v>
      </c>
      <c r="D141" s="8"/>
      <c r="E141" s="877"/>
      <c r="F141" s="875"/>
      <c r="G141" s="870"/>
      <c r="H141" s="14"/>
      <c r="I141" s="14"/>
      <c r="J141" s="13"/>
      <c r="K141" s="13"/>
      <c r="L141" s="14"/>
    </row>
    <row r="142" spans="1:12" hidden="1">
      <c r="A142" s="873" t="s">
        <v>168</v>
      </c>
      <c r="B142" s="11">
        <v>19731</v>
      </c>
      <c r="C142" s="11">
        <v>19731</v>
      </c>
      <c r="D142" s="8"/>
      <c r="E142" s="877"/>
      <c r="F142" s="875"/>
      <c r="G142" s="870"/>
      <c r="H142" s="14"/>
      <c r="I142" s="14"/>
      <c r="J142" s="13"/>
      <c r="K142" s="13"/>
      <c r="L142" s="14"/>
    </row>
    <row r="143" spans="1:12" hidden="1">
      <c r="A143" s="872" t="s">
        <v>167</v>
      </c>
      <c r="B143" s="9">
        <v>20145</v>
      </c>
      <c r="C143" s="9">
        <v>20145</v>
      </c>
      <c r="D143" s="8"/>
      <c r="E143" s="876"/>
      <c r="F143" s="875"/>
      <c r="G143" s="870"/>
    </row>
    <row r="144" spans="1:12" hidden="1">
      <c r="A144" s="872" t="s">
        <v>166</v>
      </c>
      <c r="B144" s="9">
        <v>20313</v>
      </c>
      <c r="C144" s="9">
        <v>20313</v>
      </c>
      <c r="D144" s="8"/>
      <c r="E144" s="876"/>
      <c r="F144" s="875"/>
      <c r="G144" s="870"/>
    </row>
    <row r="145" spans="1:12" hidden="1">
      <c r="A145" s="872" t="s">
        <v>165</v>
      </c>
      <c r="B145" s="9">
        <v>20483</v>
      </c>
      <c r="C145" s="9">
        <v>20483</v>
      </c>
      <c r="D145" s="8"/>
      <c r="E145" s="876"/>
      <c r="F145" s="875"/>
      <c r="G145" s="870"/>
      <c r="H145" s="14"/>
    </row>
    <row r="146" spans="1:12" hidden="1">
      <c r="A146" s="872" t="s">
        <v>164</v>
      </c>
      <c r="B146" s="9">
        <v>20654</v>
      </c>
      <c r="C146" s="9">
        <v>20654</v>
      </c>
      <c r="D146" s="8"/>
      <c r="E146" s="876"/>
      <c r="F146" s="875"/>
      <c r="G146" s="870"/>
      <c r="H146" s="14"/>
    </row>
    <row r="147" spans="1:12" hidden="1">
      <c r="A147" s="872" t="s">
        <v>163</v>
      </c>
      <c r="B147" s="9">
        <v>20827</v>
      </c>
      <c r="C147" s="9">
        <v>20827</v>
      </c>
      <c r="D147" s="8"/>
      <c r="E147" s="876"/>
      <c r="F147" s="875"/>
      <c r="G147" s="870"/>
      <c r="H147" s="14"/>
    </row>
    <row r="148" spans="1:12" hidden="1">
      <c r="A148" s="872" t="s">
        <v>162</v>
      </c>
      <c r="B148" s="9">
        <v>21001</v>
      </c>
      <c r="C148" s="9">
        <v>21001</v>
      </c>
      <c r="D148" s="8"/>
      <c r="E148" s="876"/>
      <c r="F148" s="875"/>
      <c r="G148" s="870"/>
      <c r="H148" s="14"/>
      <c r="I148" s="14"/>
      <c r="J148" s="13"/>
      <c r="K148" s="13"/>
      <c r="L148" s="14"/>
    </row>
    <row r="149" spans="1:12" hidden="1">
      <c r="A149" s="872" t="s">
        <v>161</v>
      </c>
      <c r="B149" s="9">
        <v>21176</v>
      </c>
      <c r="C149" s="9">
        <v>21176</v>
      </c>
      <c r="D149" s="8"/>
      <c r="E149" s="876"/>
      <c r="F149" s="875"/>
      <c r="G149" s="870"/>
      <c r="H149" s="17"/>
      <c r="I149" s="14"/>
      <c r="J149" s="13"/>
      <c r="K149" s="13"/>
      <c r="L149" s="14"/>
    </row>
    <row r="150" spans="1:12" hidden="1">
      <c r="A150" s="872" t="s">
        <v>160</v>
      </c>
      <c r="B150" s="9">
        <v>21353</v>
      </c>
      <c r="C150" s="9">
        <v>21353</v>
      </c>
      <c r="D150" s="8"/>
      <c r="E150" s="876"/>
      <c r="F150" s="875"/>
      <c r="G150" s="870"/>
      <c r="H150" s="18"/>
    </row>
    <row r="151" spans="1:12" hidden="1">
      <c r="A151" s="873" t="s">
        <v>159</v>
      </c>
      <c r="B151" s="11">
        <v>22683</v>
      </c>
      <c r="C151" s="11">
        <v>22683</v>
      </c>
      <c r="D151" s="8"/>
      <c r="E151" s="876"/>
      <c r="F151" s="875"/>
      <c r="G151" s="870"/>
      <c r="H151" s="17"/>
      <c r="I151" s="14"/>
      <c r="J151" s="13"/>
      <c r="K151" s="13"/>
      <c r="L151" s="14"/>
    </row>
    <row r="152" spans="1:12" hidden="1">
      <c r="A152" s="873" t="s">
        <v>158</v>
      </c>
      <c r="B152" s="11">
        <v>22953</v>
      </c>
      <c r="C152" s="11">
        <v>22953</v>
      </c>
      <c r="D152" s="8"/>
      <c r="E152" s="2"/>
      <c r="F152" s="871"/>
      <c r="G152" s="870"/>
    </row>
    <row r="153" spans="1:12" hidden="1">
      <c r="A153" s="873" t="s">
        <v>157</v>
      </c>
      <c r="B153" s="11">
        <v>23228</v>
      </c>
      <c r="C153" s="11">
        <v>23228</v>
      </c>
      <c r="D153" s="8"/>
      <c r="E153" s="2"/>
      <c r="F153" s="871"/>
      <c r="G153" s="870"/>
    </row>
    <row r="154" spans="1:12" hidden="1">
      <c r="A154" s="873" t="s">
        <v>156</v>
      </c>
      <c r="B154" s="11">
        <v>23505</v>
      </c>
      <c r="C154" s="11">
        <v>23505</v>
      </c>
      <c r="D154" s="8"/>
      <c r="E154" s="2"/>
      <c r="F154" s="871"/>
      <c r="G154" s="870"/>
    </row>
    <row r="155" spans="1:12" hidden="1">
      <c r="A155" s="873" t="s">
        <v>155</v>
      </c>
      <c r="B155" s="11">
        <v>23786</v>
      </c>
      <c r="C155" s="11">
        <v>23786</v>
      </c>
      <c r="D155" s="8"/>
      <c r="E155" s="2"/>
      <c r="F155" s="871"/>
      <c r="G155" s="870"/>
    </row>
    <row r="156" spans="1:12" hidden="1">
      <c r="A156" s="873" t="s">
        <v>154</v>
      </c>
      <c r="B156" s="11">
        <v>24072</v>
      </c>
      <c r="C156" s="11">
        <v>24072</v>
      </c>
      <c r="D156" s="8"/>
      <c r="E156" s="2"/>
      <c r="F156" s="871"/>
      <c r="G156" s="870"/>
    </row>
    <row r="157" spans="1:12" hidden="1">
      <c r="A157" s="873" t="s">
        <v>153</v>
      </c>
      <c r="B157" s="11">
        <v>24361</v>
      </c>
      <c r="C157" s="11">
        <v>24361</v>
      </c>
      <c r="D157" s="8"/>
      <c r="E157" s="2"/>
      <c r="F157" s="871"/>
      <c r="G157" s="870"/>
    </row>
    <row r="158" spans="1:12" hidden="1">
      <c r="A158" s="873" t="s">
        <v>152</v>
      </c>
      <c r="B158" s="11">
        <v>24654</v>
      </c>
      <c r="C158" s="11">
        <v>24654</v>
      </c>
      <c r="D158" s="8"/>
      <c r="E158" s="2"/>
      <c r="F158" s="871"/>
      <c r="G158" s="870"/>
    </row>
    <row r="159" spans="1:12" hidden="1">
      <c r="A159" s="872" t="s">
        <v>151</v>
      </c>
      <c r="B159" s="9">
        <v>24749</v>
      </c>
      <c r="C159" s="9">
        <v>24749</v>
      </c>
      <c r="D159" s="8"/>
      <c r="E159" s="2"/>
      <c r="F159" s="871"/>
      <c r="G159" s="870"/>
    </row>
    <row r="160" spans="1:12" hidden="1">
      <c r="A160" s="872" t="s">
        <v>150</v>
      </c>
      <c r="B160" s="9">
        <v>25019</v>
      </c>
      <c r="C160" s="9">
        <v>25019</v>
      </c>
      <c r="D160" s="8"/>
      <c r="E160" s="2"/>
      <c r="F160" s="871"/>
      <c r="G160" s="870"/>
    </row>
    <row r="161" spans="1:12" hidden="1">
      <c r="A161" s="872" t="s">
        <v>149</v>
      </c>
      <c r="B161" s="9">
        <v>25293</v>
      </c>
      <c r="C161" s="9">
        <v>25293</v>
      </c>
      <c r="D161" s="8"/>
      <c r="E161" s="2"/>
      <c r="F161" s="874"/>
      <c r="G161" s="870"/>
      <c r="H161" s="14"/>
      <c r="I161" s="14"/>
      <c r="J161" s="13"/>
      <c r="K161" s="13"/>
      <c r="L161" s="14"/>
    </row>
    <row r="162" spans="1:12" hidden="1">
      <c r="A162" s="872" t="s">
        <v>148</v>
      </c>
      <c r="B162" s="9">
        <v>25569</v>
      </c>
      <c r="C162" s="9">
        <v>25569</v>
      </c>
      <c r="D162" s="8"/>
      <c r="E162" s="2"/>
      <c r="F162" s="874"/>
      <c r="G162" s="870"/>
      <c r="H162" s="14"/>
      <c r="I162" s="14"/>
      <c r="J162" s="13"/>
      <c r="K162" s="13"/>
      <c r="L162" s="14"/>
    </row>
    <row r="163" spans="1:12" hidden="1">
      <c r="A163" s="872" t="s">
        <v>147</v>
      </c>
      <c r="B163" s="9">
        <v>25850</v>
      </c>
      <c r="C163" s="9">
        <v>25850</v>
      </c>
      <c r="D163" s="8"/>
      <c r="E163" s="2"/>
      <c r="F163" s="874"/>
      <c r="G163" s="870"/>
      <c r="H163" s="14"/>
      <c r="I163" s="14"/>
      <c r="J163" s="13"/>
      <c r="K163" s="13"/>
      <c r="L163" s="14"/>
    </row>
    <row r="164" spans="1:12" hidden="1">
      <c r="A164" s="872" t="s">
        <v>146</v>
      </c>
      <c r="B164" s="9">
        <v>26134</v>
      </c>
      <c r="C164" s="9">
        <v>26134</v>
      </c>
      <c r="D164" s="8"/>
      <c r="E164" s="2"/>
      <c r="F164" s="874"/>
      <c r="G164" s="870"/>
      <c r="H164" s="14"/>
      <c r="I164" s="14"/>
      <c r="J164" s="13"/>
      <c r="K164" s="13"/>
      <c r="L164" s="14"/>
    </row>
    <row r="165" spans="1:12" hidden="1">
      <c r="A165" s="872" t="s">
        <v>145</v>
      </c>
      <c r="B165" s="9">
        <v>26420</v>
      </c>
      <c r="C165" s="9">
        <v>26420</v>
      </c>
      <c r="D165" s="8"/>
      <c r="E165" s="2"/>
      <c r="F165" s="874"/>
      <c r="G165" s="870"/>
      <c r="H165" s="14"/>
      <c r="I165" s="14"/>
      <c r="J165" s="13"/>
      <c r="K165" s="13"/>
      <c r="L165" s="14"/>
    </row>
    <row r="166" spans="1:12" hidden="1">
      <c r="A166" s="872" t="s">
        <v>144</v>
      </c>
      <c r="B166" s="9">
        <v>26711</v>
      </c>
      <c r="C166" s="9">
        <v>26711</v>
      </c>
      <c r="D166" s="8"/>
      <c r="E166" s="2"/>
      <c r="F166" s="874"/>
      <c r="G166" s="870"/>
      <c r="H166" s="14"/>
      <c r="I166" s="14"/>
      <c r="J166" s="13"/>
      <c r="K166" s="13"/>
      <c r="L166" s="14"/>
    </row>
    <row r="167" spans="1:12" hidden="1">
      <c r="A167" s="873" t="s">
        <v>143</v>
      </c>
      <c r="B167" s="11">
        <v>26862</v>
      </c>
      <c r="C167" s="11">
        <v>26862</v>
      </c>
      <c r="D167" s="8"/>
      <c r="E167" s="2"/>
      <c r="F167" s="871"/>
      <c r="G167" s="870"/>
    </row>
    <row r="168" spans="1:12" hidden="1">
      <c r="A168" s="873" t="s">
        <v>142</v>
      </c>
      <c r="B168" s="11">
        <v>27160</v>
      </c>
      <c r="C168" s="11">
        <v>27160</v>
      </c>
      <c r="D168" s="8"/>
      <c r="E168" s="2"/>
      <c r="F168" s="871"/>
      <c r="G168" s="870"/>
    </row>
    <row r="169" spans="1:12" hidden="1">
      <c r="A169" s="873" t="s">
        <v>141</v>
      </c>
      <c r="B169" s="11">
        <v>27460</v>
      </c>
      <c r="C169" s="11">
        <v>27460</v>
      </c>
      <c r="D169" s="8"/>
      <c r="E169" s="2"/>
      <c r="F169" s="871"/>
      <c r="G169" s="870"/>
    </row>
    <row r="170" spans="1:12" hidden="1">
      <c r="A170" s="873" t="s">
        <v>140</v>
      </c>
      <c r="B170" s="11">
        <v>27764</v>
      </c>
      <c r="C170" s="11">
        <v>27764</v>
      </c>
      <c r="D170" s="8"/>
      <c r="E170" s="2"/>
      <c r="F170" s="871"/>
      <c r="G170" s="870"/>
    </row>
    <row r="171" spans="1:12" hidden="1">
      <c r="A171" s="873" t="s">
        <v>139</v>
      </c>
      <c r="B171" s="11">
        <v>28073</v>
      </c>
      <c r="C171" s="11">
        <v>28073</v>
      </c>
      <c r="D171" s="8"/>
      <c r="E171" s="2"/>
      <c r="F171" s="871"/>
      <c r="G171" s="870"/>
    </row>
    <row r="172" spans="1:12" hidden="1">
      <c r="A172" s="873" t="s">
        <v>138</v>
      </c>
      <c r="B172" s="11">
        <v>28384</v>
      </c>
      <c r="C172" s="11">
        <v>28384</v>
      </c>
      <c r="D172" s="8"/>
      <c r="E172" s="2"/>
      <c r="F172" s="871"/>
      <c r="G172" s="870"/>
    </row>
    <row r="173" spans="1:12" hidden="1">
      <c r="A173" s="873" t="s">
        <v>137</v>
      </c>
      <c r="B173" s="11">
        <v>28700</v>
      </c>
      <c r="C173" s="11">
        <v>28700</v>
      </c>
      <c r="D173" s="8"/>
      <c r="E173" s="2"/>
      <c r="F173" s="871"/>
      <c r="G173" s="870"/>
    </row>
    <row r="174" spans="1:12" hidden="1">
      <c r="A174" s="873" t="s">
        <v>136</v>
      </c>
      <c r="B174" s="11">
        <v>29020</v>
      </c>
      <c r="C174" s="11">
        <v>29020</v>
      </c>
      <c r="D174" s="8"/>
      <c r="E174" s="2"/>
      <c r="F174" s="871"/>
      <c r="G174" s="870"/>
    </row>
    <row r="175" spans="1:12" hidden="1">
      <c r="A175" s="872" t="s">
        <v>135</v>
      </c>
      <c r="B175" s="9">
        <v>29259</v>
      </c>
      <c r="C175" s="9">
        <v>29259</v>
      </c>
      <c r="D175" s="8"/>
      <c r="E175" s="2"/>
      <c r="F175" s="871"/>
      <c r="G175" s="870"/>
    </row>
    <row r="176" spans="1:12" hidden="1">
      <c r="A176" s="872" t="s">
        <v>134</v>
      </c>
      <c r="B176" s="9">
        <v>29586</v>
      </c>
      <c r="C176" s="9">
        <v>29586</v>
      </c>
      <c r="D176" s="8"/>
      <c r="E176" s="2"/>
      <c r="F176" s="871"/>
      <c r="G176" s="870"/>
    </row>
    <row r="177" spans="1:7" hidden="1">
      <c r="A177" s="872" t="s">
        <v>133</v>
      </c>
      <c r="B177" s="9">
        <v>29916</v>
      </c>
      <c r="C177" s="9">
        <v>29916</v>
      </c>
      <c r="D177" s="8"/>
      <c r="E177" s="2"/>
      <c r="F177" s="871"/>
      <c r="G177" s="870"/>
    </row>
    <row r="178" spans="1:7" hidden="1">
      <c r="A178" s="872" t="s">
        <v>132</v>
      </c>
      <c r="B178" s="9">
        <v>30252</v>
      </c>
      <c r="C178" s="9">
        <v>30252</v>
      </c>
      <c r="D178" s="8"/>
      <c r="E178" s="2"/>
      <c r="F178" s="871"/>
      <c r="G178" s="870"/>
    </row>
    <row r="179" spans="1:7" hidden="1">
      <c r="A179" s="872" t="s">
        <v>131</v>
      </c>
      <c r="B179" s="9">
        <v>30590</v>
      </c>
      <c r="C179" s="9">
        <v>30590</v>
      </c>
      <c r="D179" s="8"/>
      <c r="E179" s="2"/>
      <c r="F179" s="871"/>
      <c r="G179" s="870"/>
    </row>
    <row r="180" spans="1:7" hidden="1">
      <c r="A180" s="872" t="s">
        <v>130</v>
      </c>
      <c r="B180" s="9">
        <v>30933</v>
      </c>
      <c r="C180" s="9">
        <v>30933</v>
      </c>
      <c r="D180" s="8"/>
      <c r="E180" s="2"/>
      <c r="F180" s="871"/>
      <c r="G180" s="870"/>
    </row>
    <row r="181" spans="1:7" hidden="1">
      <c r="A181" s="872" t="s">
        <v>129</v>
      </c>
      <c r="B181" s="9">
        <v>31281</v>
      </c>
      <c r="C181" s="9">
        <v>31281</v>
      </c>
      <c r="D181" s="8"/>
      <c r="E181" s="2"/>
      <c r="F181" s="871"/>
      <c r="G181" s="870"/>
    </row>
    <row r="182" spans="1:7" hidden="1">
      <c r="A182" s="872" t="s">
        <v>128</v>
      </c>
      <c r="B182" s="9">
        <v>31632</v>
      </c>
      <c r="C182" s="9">
        <v>31632</v>
      </c>
      <c r="D182" s="8"/>
      <c r="E182" s="2"/>
      <c r="F182" s="871"/>
      <c r="G182" s="870"/>
    </row>
    <row r="183" spans="1:7" hidden="1">
      <c r="A183" s="873" t="s">
        <v>127</v>
      </c>
      <c r="B183" s="11">
        <v>31896</v>
      </c>
      <c r="C183" s="11">
        <v>31896</v>
      </c>
      <c r="D183" s="8"/>
      <c r="E183" s="2"/>
      <c r="F183" s="871"/>
      <c r="G183" s="870"/>
    </row>
    <row r="184" spans="1:7" hidden="1">
      <c r="A184" s="873" t="s">
        <v>126</v>
      </c>
      <c r="B184" s="11">
        <v>32255</v>
      </c>
      <c r="C184" s="11">
        <v>32255</v>
      </c>
      <c r="D184" s="8"/>
      <c r="E184" s="2"/>
      <c r="F184" s="871"/>
      <c r="G184" s="870"/>
    </row>
    <row r="185" spans="1:7" hidden="1">
      <c r="A185" s="873" t="s">
        <v>125</v>
      </c>
      <c r="B185" s="11">
        <v>32619</v>
      </c>
      <c r="C185" s="11">
        <v>32619</v>
      </c>
      <c r="D185" s="8"/>
      <c r="E185" s="2"/>
      <c r="F185" s="871"/>
      <c r="G185" s="870"/>
    </row>
    <row r="186" spans="1:7" hidden="1">
      <c r="A186" s="873" t="s">
        <v>124</v>
      </c>
      <c r="B186" s="11">
        <v>32988</v>
      </c>
      <c r="C186" s="11">
        <v>32988</v>
      </c>
      <c r="D186" s="8"/>
      <c r="E186" s="2"/>
      <c r="F186" s="871"/>
      <c r="G186" s="870"/>
    </row>
    <row r="187" spans="1:7" hidden="1">
      <c r="A187" s="873" t="s">
        <v>123</v>
      </c>
      <c r="B187" s="11">
        <v>33360</v>
      </c>
      <c r="C187" s="11">
        <v>33360</v>
      </c>
      <c r="D187" s="8"/>
      <c r="E187" s="2"/>
      <c r="F187" s="871"/>
      <c r="G187" s="870"/>
    </row>
    <row r="188" spans="1:7" hidden="1">
      <c r="A188" s="873" t="s">
        <v>122</v>
      </c>
      <c r="B188" s="11">
        <v>33737</v>
      </c>
      <c r="C188" s="11">
        <v>33737</v>
      </c>
      <c r="D188" s="8"/>
      <c r="E188" s="2"/>
      <c r="F188" s="871"/>
      <c r="G188" s="870"/>
    </row>
    <row r="189" spans="1:7" hidden="1">
      <c r="A189" s="873" t="s">
        <v>121</v>
      </c>
      <c r="B189" s="11">
        <v>34119</v>
      </c>
      <c r="C189" s="11">
        <v>34119</v>
      </c>
      <c r="D189" s="8"/>
      <c r="E189" s="2"/>
      <c r="F189" s="871"/>
      <c r="G189" s="870"/>
    </row>
    <row r="190" spans="1:7" hidden="1">
      <c r="A190" s="873" t="s">
        <v>120</v>
      </c>
      <c r="B190" s="11">
        <v>34507</v>
      </c>
      <c r="C190" s="11">
        <v>34507</v>
      </c>
      <c r="D190" s="8"/>
      <c r="E190" s="2"/>
      <c r="F190" s="871"/>
      <c r="G190" s="870"/>
    </row>
    <row r="191" spans="1:7" hidden="1">
      <c r="A191" s="872" t="s">
        <v>119</v>
      </c>
      <c r="B191" s="9">
        <v>34797</v>
      </c>
      <c r="C191" s="9">
        <v>34797</v>
      </c>
      <c r="D191" s="8"/>
      <c r="E191" s="2"/>
      <c r="F191" s="871"/>
      <c r="G191" s="870"/>
    </row>
    <row r="192" spans="1:7" hidden="1">
      <c r="A192" s="872" t="s">
        <v>118</v>
      </c>
      <c r="B192" s="9">
        <v>35192</v>
      </c>
      <c r="C192" s="9">
        <v>35192</v>
      </c>
      <c r="D192" s="8"/>
      <c r="E192" s="2"/>
      <c r="F192" s="871"/>
      <c r="G192" s="870"/>
    </row>
    <row r="193" spans="1:7" hidden="1">
      <c r="A193" s="872" t="s">
        <v>117</v>
      </c>
      <c r="B193" s="9">
        <v>35592</v>
      </c>
      <c r="C193" s="9">
        <v>35592</v>
      </c>
      <c r="D193" s="8"/>
      <c r="E193" s="2"/>
      <c r="F193" s="871"/>
      <c r="G193" s="870"/>
    </row>
    <row r="194" spans="1:7" hidden="1">
      <c r="A194" s="872" t="s">
        <v>116</v>
      </c>
      <c r="B194" s="9">
        <v>35996</v>
      </c>
      <c r="C194" s="9">
        <v>35996</v>
      </c>
      <c r="D194" s="8"/>
      <c r="E194" s="2"/>
      <c r="F194" s="871"/>
      <c r="G194" s="870"/>
    </row>
    <row r="195" spans="1:7" hidden="1">
      <c r="A195" s="872" t="s">
        <v>115</v>
      </c>
      <c r="B195" s="9">
        <v>36407</v>
      </c>
      <c r="C195" s="9">
        <v>36407</v>
      </c>
      <c r="D195" s="8"/>
      <c r="E195" s="2"/>
      <c r="F195" s="871"/>
      <c r="G195" s="870"/>
    </row>
    <row r="196" spans="1:7" hidden="1">
      <c r="A196" s="872" t="s">
        <v>114</v>
      </c>
      <c r="B196" s="9">
        <v>36822</v>
      </c>
      <c r="C196" s="9">
        <v>36822</v>
      </c>
      <c r="D196" s="8"/>
      <c r="E196" s="2"/>
      <c r="F196" s="871"/>
      <c r="G196" s="870"/>
    </row>
    <row r="197" spans="1:7" hidden="1">
      <c r="A197" s="872" t="s">
        <v>113</v>
      </c>
      <c r="B197" s="9">
        <v>37243</v>
      </c>
      <c r="C197" s="9">
        <v>37243</v>
      </c>
      <c r="D197" s="8"/>
      <c r="E197" s="2"/>
      <c r="F197" s="871"/>
      <c r="G197" s="870"/>
    </row>
    <row r="198" spans="1:7" hidden="1">
      <c r="A198" s="872" t="s">
        <v>112</v>
      </c>
      <c r="B198" s="9">
        <v>37668</v>
      </c>
      <c r="C198" s="9">
        <v>37668</v>
      </c>
      <c r="D198" s="8"/>
      <c r="E198" s="2"/>
      <c r="F198" s="871"/>
      <c r="G198" s="870"/>
    </row>
    <row r="199" spans="1:7" hidden="1">
      <c r="A199" s="873" t="s">
        <v>111</v>
      </c>
      <c r="B199" s="11">
        <v>37987</v>
      </c>
      <c r="C199" s="11">
        <v>37987</v>
      </c>
      <c r="D199" s="8"/>
      <c r="E199" s="2"/>
      <c r="F199" s="871"/>
      <c r="G199" s="870"/>
    </row>
    <row r="200" spans="1:7" hidden="1">
      <c r="A200" s="873" t="s">
        <v>110</v>
      </c>
      <c r="B200" s="11">
        <v>38422</v>
      </c>
      <c r="C200" s="11">
        <v>38422</v>
      </c>
      <c r="D200" s="8"/>
      <c r="E200" s="2"/>
      <c r="F200" s="871"/>
      <c r="G200" s="870"/>
    </row>
    <row r="201" spans="1:7" hidden="1">
      <c r="A201" s="873" t="s">
        <v>109</v>
      </c>
      <c r="B201" s="11">
        <v>38862</v>
      </c>
      <c r="C201" s="11">
        <v>38862</v>
      </c>
      <c r="D201" s="8"/>
      <c r="E201" s="2"/>
      <c r="F201" s="871"/>
      <c r="G201" s="870"/>
    </row>
    <row r="202" spans="1:7" hidden="1">
      <c r="A202" s="873" t="s">
        <v>108</v>
      </c>
      <c r="B202" s="11">
        <v>39307</v>
      </c>
      <c r="C202" s="11">
        <v>39307</v>
      </c>
      <c r="D202" s="8"/>
      <c r="E202" s="2"/>
      <c r="F202" s="871"/>
      <c r="G202" s="870"/>
    </row>
    <row r="203" spans="1:7" hidden="1">
      <c r="A203" s="873" t="s">
        <v>107</v>
      </c>
      <c r="B203" s="11">
        <v>39758</v>
      </c>
      <c r="C203" s="11">
        <v>39758</v>
      </c>
      <c r="D203" s="8"/>
      <c r="E203" s="2"/>
      <c r="F203" s="871"/>
      <c r="G203" s="870"/>
    </row>
    <row r="204" spans="1:7" hidden="1">
      <c r="A204" s="873" t="s">
        <v>106</v>
      </c>
      <c r="B204" s="11">
        <v>40215</v>
      </c>
      <c r="C204" s="11">
        <v>40215</v>
      </c>
      <c r="D204" s="8"/>
      <c r="E204" s="2"/>
      <c r="F204" s="871"/>
      <c r="G204" s="870"/>
    </row>
    <row r="205" spans="1:7" hidden="1">
      <c r="A205" s="873" t="s">
        <v>105</v>
      </c>
      <c r="B205" s="11">
        <v>40677</v>
      </c>
      <c r="C205" s="11">
        <v>40677</v>
      </c>
      <c r="D205" s="8"/>
      <c r="E205" s="2"/>
      <c r="F205" s="871"/>
      <c r="G205" s="870"/>
    </row>
    <row r="206" spans="1:7" hidden="1">
      <c r="A206" s="873" t="s">
        <v>104</v>
      </c>
      <c r="B206" s="11">
        <v>41145</v>
      </c>
      <c r="C206" s="11">
        <v>41145</v>
      </c>
      <c r="D206" s="8"/>
      <c r="E206" s="2"/>
      <c r="F206" s="871"/>
      <c r="G206" s="870"/>
    </row>
    <row r="207" spans="1:7" hidden="1">
      <c r="A207" s="872" t="s">
        <v>103</v>
      </c>
      <c r="B207" s="9">
        <v>41497</v>
      </c>
      <c r="C207" s="9">
        <v>41497</v>
      </c>
      <c r="D207" s="8"/>
      <c r="E207" s="2"/>
      <c r="F207" s="871"/>
      <c r="G207" s="870"/>
    </row>
    <row r="208" spans="1:7" hidden="1">
      <c r="A208" s="872" t="s">
        <v>102</v>
      </c>
      <c r="B208" s="9">
        <v>41975</v>
      </c>
      <c r="C208" s="9">
        <v>41975</v>
      </c>
      <c r="D208" s="8"/>
      <c r="E208" s="2"/>
      <c r="F208" s="871"/>
      <c r="G208" s="870"/>
    </row>
    <row r="209" spans="1:7" hidden="1">
      <c r="A209" s="872" t="s">
        <v>101</v>
      </c>
      <c r="B209" s="9">
        <v>42459</v>
      </c>
      <c r="C209" s="9">
        <v>42459</v>
      </c>
      <c r="D209" s="8"/>
      <c r="E209" s="2"/>
      <c r="F209" s="871"/>
      <c r="G209" s="870"/>
    </row>
    <row r="210" spans="1:7" hidden="1">
      <c r="A210" s="872" t="s">
        <v>100</v>
      </c>
      <c r="B210" s="9">
        <v>42949</v>
      </c>
      <c r="C210" s="9">
        <v>42949</v>
      </c>
      <c r="D210" s="8"/>
      <c r="E210" s="2"/>
      <c r="F210" s="871"/>
      <c r="G210" s="870"/>
    </row>
    <row r="211" spans="1:7" hidden="1">
      <c r="A211" s="872" t="s">
        <v>99</v>
      </c>
      <c r="B211" s="9">
        <v>43445</v>
      </c>
      <c r="C211" s="9">
        <v>43445</v>
      </c>
      <c r="D211" s="8"/>
      <c r="E211" s="2"/>
      <c r="F211" s="871"/>
      <c r="G211" s="870"/>
    </row>
    <row r="212" spans="1:7" hidden="1">
      <c r="A212" s="872" t="s">
        <v>98</v>
      </c>
      <c r="B212" s="9">
        <v>43948</v>
      </c>
      <c r="C212" s="9">
        <v>43948</v>
      </c>
      <c r="D212" s="8"/>
      <c r="E212" s="2"/>
      <c r="F212" s="871"/>
      <c r="G212" s="870"/>
    </row>
    <row r="213" spans="1:7" hidden="1">
      <c r="A213" s="872" t="s">
        <v>97</v>
      </c>
      <c r="B213" s="9">
        <v>44456</v>
      </c>
      <c r="C213" s="9">
        <v>44456</v>
      </c>
      <c r="D213" s="8"/>
      <c r="E213" s="2"/>
      <c r="F213" s="871"/>
      <c r="G213" s="870"/>
    </row>
    <row r="214" spans="1:7" hidden="1">
      <c r="A214" s="872" t="s">
        <v>96</v>
      </c>
      <c r="B214" s="9">
        <v>44971</v>
      </c>
      <c r="C214" s="9">
        <v>44971</v>
      </c>
      <c r="D214" s="8"/>
      <c r="E214" s="2"/>
      <c r="F214" s="871"/>
      <c r="G214" s="870"/>
    </row>
    <row r="215" spans="1:7" hidden="1">
      <c r="A215" s="873" t="s">
        <v>95</v>
      </c>
      <c r="B215" s="11">
        <v>45897</v>
      </c>
      <c r="C215" s="11">
        <v>45897</v>
      </c>
      <c r="D215" s="8"/>
      <c r="E215" s="2"/>
      <c r="F215" s="871"/>
      <c r="G215" s="870"/>
    </row>
    <row r="216" spans="1:7" hidden="1">
      <c r="A216" s="873" t="s">
        <v>94</v>
      </c>
      <c r="B216" s="11">
        <v>46599</v>
      </c>
      <c r="C216" s="11">
        <v>46599</v>
      </c>
      <c r="D216" s="8"/>
      <c r="E216" s="2"/>
      <c r="F216" s="871"/>
      <c r="G216" s="870"/>
    </row>
    <row r="217" spans="1:7" hidden="1">
      <c r="A217" s="873" t="s">
        <v>93</v>
      </c>
      <c r="B217" s="11">
        <v>47313</v>
      </c>
      <c r="C217" s="11">
        <v>47313</v>
      </c>
      <c r="D217" s="8"/>
      <c r="E217" s="2"/>
      <c r="F217" s="871"/>
      <c r="G217" s="870"/>
    </row>
    <row r="218" spans="1:7" hidden="1">
      <c r="A218" s="873" t="s">
        <v>92</v>
      </c>
      <c r="B218" s="11">
        <v>48038</v>
      </c>
      <c r="C218" s="11">
        <v>48038</v>
      </c>
      <c r="D218" s="8"/>
      <c r="E218" s="2"/>
      <c r="F218" s="871"/>
      <c r="G218" s="870"/>
    </row>
    <row r="219" spans="1:7" hidden="1">
      <c r="A219" s="873" t="s">
        <v>91</v>
      </c>
      <c r="B219" s="11">
        <v>48775</v>
      </c>
      <c r="C219" s="11">
        <v>48775</v>
      </c>
      <c r="D219" s="8"/>
      <c r="E219" s="2"/>
      <c r="F219" s="871"/>
      <c r="G219" s="870"/>
    </row>
    <row r="220" spans="1:7" hidden="1">
      <c r="A220" s="873" t="s">
        <v>90</v>
      </c>
      <c r="B220" s="11">
        <v>49524</v>
      </c>
      <c r="C220" s="11">
        <v>49524</v>
      </c>
      <c r="D220" s="8"/>
      <c r="E220" s="2"/>
      <c r="F220" s="871"/>
      <c r="G220" s="870"/>
    </row>
    <row r="221" spans="1:7" hidden="1">
      <c r="A221" s="873" t="s">
        <v>89</v>
      </c>
      <c r="B221" s="11">
        <v>50285</v>
      </c>
      <c r="C221" s="11">
        <v>50285</v>
      </c>
      <c r="D221" s="8"/>
      <c r="E221" s="2"/>
      <c r="F221" s="871"/>
      <c r="G221" s="870"/>
    </row>
    <row r="222" spans="1:7" hidden="1">
      <c r="A222" s="873" t="s">
        <v>88</v>
      </c>
      <c r="B222" s="11">
        <v>51059</v>
      </c>
      <c r="C222" s="11">
        <v>51059</v>
      </c>
      <c r="D222" s="8"/>
      <c r="E222" s="2"/>
      <c r="F222" s="871"/>
      <c r="G222" s="870"/>
    </row>
    <row r="223" spans="1:7" hidden="1">
      <c r="A223" s="872" t="s">
        <v>87</v>
      </c>
      <c r="B223" s="9">
        <v>51538</v>
      </c>
      <c r="C223" s="9">
        <v>51538</v>
      </c>
      <c r="D223" s="8"/>
      <c r="E223" s="2"/>
      <c r="F223" s="871"/>
      <c r="G223" s="870"/>
    </row>
    <row r="224" spans="1:7" hidden="1">
      <c r="A224" s="872" t="s">
        <v>86</v>
      </c>
      <c r="B224" s="9">
        <v>52331</v>
      </c>
      <c r="C224" s="9">
        <v>52331</v>
      </c>
      <c r="D224" s="8"/>
      <c r="E224" s="2"/>
      <c r="F224" s="871"/>
      <c r="G224" s="870"/>
    </row>
    <row r="225" spans="1:7" hidden="1">
      <c r="A225" s="872" t="s">
        <v>85</v>
      </c>
      <c r="B225" s="9">
        <v>53137</v>
      </c>
      <c r="C225" s="9">
        <v>53137</v>
      </c>
      <c r="D225" s="8"/>
      <c r="E225" s="2"/>
      <c r="F225" s="871"/>
      <c r="G225" s="870"/>
    </row>
    <row r="226" spans="1:7" hidden="1">
      <c r="A226" s="872" t="s">
        <v>84</v>
      </c>
      <c r="B226" s="9">
        <v>53956</v>
      </c>
      <c r="C226" s="9">
        <v>53956</v>
      </c>
      <c r="D226" s="8"/>
      <c r="E226" s="2"/>
      <c r="F226" s="871"/>
      <c r="G226" s="870"/>
    </row>
    <row r="227" spans="1:7" hidden="1">
      <c r="A227" s="872" t="s">
        <v>83</v>
      </c>
      <c r="B227" s="9">
        <v>54789</v>
      </c>
      <c r="C227" s="9">
        <v>54789</v>
      </c>
      <c r="D227" s="8"/>
      <c r="E227" s="2"/>
      <c r="F227" s="871"/>
      <c r="G227" s="870"/>
    </row>
    <row r="228" spans="1:7" hidden="1">
      <c r="A228" s="872" t="s">
        <v>82</v>
      </c>
      <c r="B228" s="9">
        <v>55636</v>
      </c>
      <c r="C228" s="9">
        <v>55636</v>
      </c>
      <c r="D228" s="8"/>
      <c r="E228" s="2"/>
      <c r="F228" s="871"/>
      <c r="G228" s="870"/>
    </row>
    <row r="229" spans="1:7" hidden="1">
      <c r="A229" s="872" t="s">
        <v>81</v>
      </c>
      <c r="B229" s="9">
        <v>56496</v>
      </c>
      <c r="C229" s="9">
        <v>56496</v>
      </c>
      <c r="D229" s="8"/>
      <c r="E229" s="2"/>
      <c r="F229" s="871"/>
      <c r="G229" s="870"/>
    </row>
    <row r="230" spans="1:7" hidden="1">
      <c r="A230" s="872" t="s">
        <v>80</v>
      </c>
      <c r="B230" s="9">
        <v>57370</v>
      </c>
      <c r="C230" s="9">
        <v>57370</v>
      </c>
      <c r="D230" s="8"/>
      <c r="E230" s="2"/>
      <c r="F230" s="871"/>
      <c r="G230" s="870"/>
    </row>
    <row r="231" spans="1:7" hidden="1">
      <c r="A231" s="873" t="s">
        <v>79</v>
      </c>
      <c r="B231" s="11">
        <v>57856</v>
      </c>
      <c r="C231" s="11">
        <v>57856</v>
      </c>
      <c r="D231" s="8"/>
      <c r="E231" s="2"/>
      <c r="F231" s="871"/>
      <c r="G231" s="870"/>
    </row>
    <row r="232" spans="1:7" hidden="1">
      <c r="A232" s="873" t="s">
        <v>78</v>
      </c>
      <c r="B232" s="11">
        <v>58752</v>
      </c>
      <c r="C232" s="11">
        <v>58752</v>
      </c>
      <c r="D232" s="8"/>
      <c r="E232" s="2"/>
      <c r="F232" s="871"/>
      <c r="G232" s="870"/>
    </row>
    <row r="233" spans="1:7" hidden="1">
      <c r="A233" s="873" t="s">
        <v>77</v>
      </c>
      <c r="B233" s="11">
        <v>59663</v>
      </c>
      <c r="C233" s="11">
        <v>59663</v>
      </c>
      <c r="D233" s="8"/>
      <c r="E233" s="2"/>
      <c r="F233" s="871"/>
      <c r="G233" s="870"/>
    </row>
    <row r="234" spans="1:7" hidden="1">
      <c r="A234" s="873" t="s">
        <v>76</v>
      </c>
      <c r="B234" s="11">
        <v>60588</v>
      </c>
      <c r="C234" s="11">
        <v>60588</v>
      </c>
      <c r="D234" s="8"/>
      <c r="E234" s="2"/>
      <c r="F234" s="871"/>
      <c r="G234" s="870"/>
    </row>
    <row r="235" spans="1:7" hidden="1">
      <c r="A235" s="873" t="s">
        <v>75</v>
      </c>
      <c r="B235" s="11">
        <v>61530</v>
      </c>
      <c r="C235" s="11">
        <v>61530</v>
      </c>
      <c r="D235" s="8"/>
      <c r="E235" s="2"/>
      <c r="F235" s="871"/>
      <c r="G235" s="870"/>
    </row>
    <row r="236" spans="1:7" hidden="1">
      <c r="A236" s="873" t="s">
        <v>74</v>
      </c>
      <c r="B236" s="11">
        <v>62485</v>
      </c>
      <c r="C236" s="11">
        <v>62485</v>
      </c>
      <c r="D236" s="8"/>
      <c r="E236" s="2"/>
      <c r="F236" s="871"/>
      <c r="G236" s="870"/>
    </row>
    <row r="237" spans="1:7" hidden="1">
      <c r="A237" s="873" t="s">
        <v>73</v>
      </c>
      <c r="B237" s="11">
        <v>63457</v>
      </c>
      <c r="C237" s="11">
        <v>63457</v>
      </c>
      <c r="D237" s="8"/>
      <c r="E237" s="2"/>
      <c r="F237" s="871"/>
      <c r="G237" s="870"/>
    </row>
    <row r="238" spans="1:7" hidden="1">
      <c r="A238" s="873" t="s">
        <v>72</v>
      </c>
      <c r="B238" s="11">
        <v>64445</v>
      </c>
      <c r="C238" s="11">
        <v>64445</v>
      </c>
      <c r="D238" s="8"/>
      <c r="E238" s="2"/>
      <c r="F238" s="871"/>
      <c r="G238" s="870"/>
    </row>
    <row r="239" spans="1:7" hidden="1">
      <c r="A239" s="872" t="s">
        <v>71</v>
      </c>
      <c r="B239" s="9">
        <v>64994</v>
      </c>
      <c r="C239" s="9">
        <v>64994</v>
      </c>
      <c r="D239" s="8"/>
      <c r="E239" s="2"/>
      <c r="F239" s="871"/>
      <c r="G239" s="870"/>
    </row>
    <row r="240" spans="1:7" hidden="1">
      <c r="A240" s="872" t="s">
        <v>70</v>
      </c>
      <c r="B240" s="9">
        <v>66007</v>
      </c>
      <c r="C240" s="9">
        <v>66007</v>
      </c>
      <c r="D240" s="8"/>
      <c r="E240" s="2"/>
      <c r="F240" s="871"/>
      <c r="G240" s="870"/>
    </row>
    <row r="241" spans="1:7" hidden="1">
      <c r="A241" s="872" t="s">
        <v>69</v>
      </c>
      <c r="B241" s="9">
        <v>67037</v>
      </c>
      <c r="C241" s="9">
        <v>67037</v>
      </c>
      <c r="D241" s="8"/>
      <c r="E241" s="2"/>
      <c r="F241" s="871"/>
      <c r="G241" s="870"/>
    </row>
    <row r="242" spans="1:7" hidden="1">
      <c r="A242" s="872" t="s">
        <v>68</v>
      </c>
      <c r="B242" s="9">
        <v>68083</v>
      </c>
      <c r="C242" s="9">
        <v>68083</v>
      </c>
      <c r="D242" s="8"/>
      <c r="E242" s="2"/>
      <c r="F242" s="871"/>
      <c r="G242" s="870"/>
    </row>
    <row r="243" spans="1:7" hidden="1">
      <c r="A243" s="872" t="s">
        <v>67</v>
      </c>
      <c r="B243" s="9">
        <v>69146</v>
      </c>
      <c r="C243" s="9">
        <v>69146</v>
      </c>
      <c r="D243" s="8"/>
      <c r="E243" s="2"/>
      <c r="F243" s="871"/>
      <c r="G243" s="870"/>
    </row>
    <row r="244" spans="1:7" hidden="1">
      <c r="A244" s="872" t="s">
        <v>66</v>
      </c>
      <c r="B244" s="9">
        <v>70227</v>
      </c>
      <c r="C244" s="9">
        <v>70227</v>
      </c>
      <c r="D244" s="8"/>
      <c r="E244" s="2"/>
      <c r="F244" s="871"/>
      <c r="G244" s="870"/>
    </row>
    <row r="245" spans="1:7" hidden="1">
      <c r="A245" s="872" t="s">
        <v>65</v>
      </c>
      <c r="B245" s="9">
        <v>71325</v>
      </c>
      <c r="C245" s="9">
        <v>71325</v>
      </c>
      <c r="D245" s="8"/>
      <c r="E245" s="2"/>
      <c r="F245" s="871"/>
      <c r="G245" s="870"/>
    </row>
    <row r="246" spans="1:7" hidden="1">
      <c r="A246" s="872" t="s">
        <v>64</v>
      </c>
      <c r="B246" s="9">
        <v>72440</v>
      </c>
      <c r="C246" s="9">
        <v>72440</v>
      </c>
      <c r="D246" s="8"/>
      <c r="E246" s="2"/>
      <c r="F246" s="871"/>
      <c r="G246" s="870"/>
    </row>
    <row r="247" spans="1:7" hidden="1">
      <c r="A247" s="873" t="s">
        <v>63</v>
      </c>
      <c r="B247" s="11">
        <v>73062</v>
      </c>
      <c r="C247" s="11">
        <v>73062</v>
      </c>
      <c r="D247" s="8"/>
      <c r="E247" s="2"/>
      <c r="F247" s="871"/>
      <c r="G247" s="870"/>
    </row>
    <row r="248" spans="1:7" hidden="1">
      <c r="A248" s="873" t="s">
        <v>62</v>
      </c>
      <c r="B248" s="11">
        <v>74205</v>
      </c>
      <c r="C248" s="11">
        <v>74205</v>
      </c>
      <c r="D248" s="8"/>
      <c r="E248" s="2"/>
      <c r="F248" s="871"/>
      <c r="G248" s="870"/>
    </row>
    <row r="249" spans="1:7" hidden="1">
      <c r="A249" s="873" t="s">
        <v>61</v>
      </c>
      <c r="B249" s="11">
        <v>75369</v>
      </c>
      <c r="C249" s="11">
        <v>75369</v>
      </c>
      <c r="D249" s="8"/>
      <c r="E249" s="2"/>
      <c r="F249" s="871"/>
      <c r="G249" s="870"/>
    </row>
    <row r="250" spans="1:7" hidden="1">
      <c r="A250" s="873" t="s">
        <v>60</v>
      </c>
      <c r="B250" s="11">
        <v>76554</v>
      </c>
      <c r="C250" s="11">
        <v>76554</v>
      </c>
      <c r="D250" s="8"/>
      <c r="E250" s="2"/>
      <c r="F250" s="871"/>
      <c r="G250" s="870"/>
    </row>
    <row r="251" spans="1:7" hidden="1">
      <c r="A251" s="873" t="s">
        <v>59</v>
      </c>
      <c r="B251" s="11">
        <v>77804</v>
      </c>
      <c r="C251" s="11">
        <v>77804</v>
      </c>
      <c r="D251" s="8"/>
      <c r="E251" s="2"/>
      <c r="F251" s="871"/>
      <c r="G251" s="870"/>
    </row>
    <row r="252" spans="1:7" hidden="1">
      <c r="A252" s="873" t="s">
        <v>58</v>
      </c>
      <c r="B252" s="11">
        <v>79073</v>
      </c>
      <c r="C252" s="11">
        <v>79073</v>
      </c>
      <c r="D252" s="8"/>
      <c r="E252" s="2"/>
      <c r="F252" s="871"/>
      <c r="G252" s="870"/>
    </row>
    <row r="253" spans="1:7" hidden="1">
      <c r="A253" s="873" t="s">
        <v>57</v>
      </c>
      <c r="B253" s="11">
        <v>80364</v>
      </c>
      <c r="C253" s="11">
        <v>80364</v>
      </c>
      <c r="D253" s="8"/>
      <c r="E253" s="2"/>
      <c r="F253" s="871"/>
      <c r="G253" s="870"/>
    </row>
    <row r="254" spans="1:7" hidden="1">
      <c r="A254" s="873" t="s">
        <v>56</v>
      </c>
      <c r="B254" s="11">
        <v>81676</v>
      </c>
      <c r="C254" s="11">
        <v>81676</v>
      </c>
      <c r="D254" s="8"/>
      <c r="E254" s="2"/>
      <c r="F254" s="871"/>
      <c r="G254" s="870"/>
    </row>
    <row r="255" spans="1:7" hidden="1">
      <c r="A255" s="872" t="s">
        <v>55</v>
      </c>
      <c r="B255" s="9">
        <v>82405</v>
      </c>
      <c r="C255" s="9">
        <v>82405</v>
      </c>
      <c r="D255" s="8"/>
      <c r="E255" s="2"/>
      <c r="F255" s="871"/>
      <c r="G255" s="870"/>
    </row>
    <row r="256" spans="1:7" hidden="1">
      <c r="A256" s="872" t="s">
        <v>54</v>
      </c>
      <c r="B256" s="9">
        <v>83750</v>
      </c>
      <c r="C256" s="9">
        <v>83750</v>
      </c>
      <c r="D256" s="8"/>
      <c r="E256" s="2"/>
      <c r="F256" s="871"/>
      <c r="G256" s="870"/>
    </row>
    <row r="257" spans="1:12" hidden="1">
      <c r="A257" s="872" t="s">
        <v>53</v>
      </c>
      <c r="B257" s="9">
        <v>85117</v>
      </c>
      <c r="C257" s="9">
        <v>85117</v>
      </c>
      <c r="D257" s="8"/>
      <c r="E257" s="2"/>
      <c r="F257" s="871"/>
      <c r="G257" s="870"/>
    </row>
    <row r="258" spans="1:12" hidden="1">
      <c r="A258" s="872" t="s">
        <v>52</v>
      </c>
      <c r="B258" s="9">
        <v>86506</v>
      </c>
      <c r="C258" s="9">
        <v>86506</v>
      </c>
      <c r="D258" s="8"/>
      <c r="E258" s="2"/>
      <c r="F258" s="871"/>
      <c r="G258" s="870"/>
    </row>
    <row r="259" spans="1:12" hidden="1">
      <c r="A259" s="872" t="s">
        <v>51</v>
      </c>
      <c r="B259" s="9">
        <v>87918</v>
      </c>
      <c r="C259" s="9">
        <v>87918</v>
      </c>
      <c r="D259" s="8"/>
      <c r="E259" s="2"/>
      <c r="F259" s="871"/>
      <c r="G259" s="870"/>
    </row>
    <row r="260" spans="1:12" hidden="1">
      <c r="A260" s="872" t="s">
        <v>50</v>
      </c>
      <c r="B260" s="9">
        <v>89354</v>
      </c>
      <c r="C260" s="9">
        <v>89354</v>
      </c>
      <c r="D260" s="8"/>
      <c r="E260" s="2"/>
      <c r="F260" s="871"/>
      <c r="G260" s="870"/>
    </row>
    <row r="261" spans="1:12" hidden="1">
      <c r="A261" s="872" t="s">
        <v>49</v>
      </c>
      <c r="B261" s="9">
        <v>90812</v>
      </c>
      <c r="C261" s="9">
        <v>90812</v>
      </c>
      <c r="D261" s="8"/>
      <c r="E261" s="2"/>
      <c r="F261" s="871"/>
      <c r="G261" s="870"/>
    </row>
    <row r="262" spans="1:12" hidden="1">
      <c r="A262" s="872" t="s">
        <v>48</v>
      </c>
      <c r="B262" s="9">
        <v>92294</v>
      </c>
      <c r="C262" s="9">
        <v>92294</v>
      </c>
      <c r="D262" s="8"/>
      <c r="E262" s="2"/>
      <c r="F262" s="871"/>
      <c r="G262" s="870"/>
    </row>
    <row r="263" spans="1:12" hidden="1">
      <c r="A263" s="873" t="s">
        <v>47</v>
      </c>
      <c r="B263" s="11">
        <v>93942</v>
      </c>
      <c r="C263" s="11">
        <v>93942</v>
      </c>
      <c r="D263" s="8"/>
      <c r="E263" s="2"/>
      <c r="F263" s="871"/>
      <c r="G263" s="870"/>
    </row>
    <row r="264" spans="1:12" hidden="1">
      <c r="A264" s="873" t="s">
        <v>46</v>
      </c>
      <c r="B264" s="11">
        <v>95475</v>
      </c>
      <c r="C264" s="11">
        <v>95475</v>
      </c>
      <c r="D264" s="8"/>
      <c r="E264" s="2"/>
      <c r="F264" s="871"/>
      <c r="G264" s="870"/>
    </row>
    <row r="265" spans="1:12" hidden="1">
      <c r="A265" s="873" t="s">
        <v>45</v>
      </c>
      <c r="B265" s="11">
        <v>97033</v>
      </c>
      <c r="C265" s="11">
        <v>97033</v>
      </c>
      <c r="D265" s="8"/>
      <c r="E265" s="2"/>
      <c r="F265" s="871"/>
      <c r="G265" s="870"/>
    </row>
    <row r="266" spans="1:12" hidden="1">
      <c r="A266" s="873" t="s">
        <v>44</v>
      </c>
      <c r="B266" s="11">
        <v>98618</v>
      </c>
      <c r="C266" s="11">
        <v>98618</v>
      </c>
      <c r="D266" s="8"/>
      <c r="E266" s="2"/>
      <c r="F266" s="871"/>
      <c r="G266" s="870"/>
    </row>
    <row r="267" spans="1:12" hidden="1">
      <c r="A267" s="873" t="s">
        <v>43</v>
      </c>
      <c r="B267" s="11">
        <v>100227</v>
      </c>
      <c r="C267" s="11">
        <v>100227</v>
      </c>
      <c r="D267" s="8"/>
      <c r="E267" s="2"/>
      <c r="F267" s="871"/>
      <c r="G267" s="870"/>
    </row>
    <row r="268" spans="1:12" hidden="1">
      <c r="A268" s="873" t="s">
        <v>42</v>
      </c>
      <c r="B268" s="11">
        <v>101863</v>
      </c>
      <c r="C268" s="11">
        <v>101863</v>
      </c>
      <c r="D268" s="8"/>
      <c r="E268" s="2"/>
      <c r="F268" s="871"/>
      <c r="G268" s="870"/>
    </row>
    <row r="269" spans="1:12" hidden="1">
      <c r="A269" s="873" t="s">
        <v>41</v>
      </c>
      <c r="B269" s="11">
        <v>103525</v>
      </c>
      <c r="C269" s="11">
        <v>103525</v>
      </c>
      <c r="D269" s="8"/>
      <c r="E269" s="2"/>
      <c r="F269" s="871"/>
      <c r="G269" s="870"/>
    </row>
    <row r="270" spans="1:12" hidden="1">
      <c r="A270" s="873" t="s">
        <v>40</v>
      </c>
      <c r="B270" s="11">
        <v>105215</v>
      </c>
      <c r="C270" s="11">
        <v>105215</v>
      </c>
      <c r="D270" s="8"/>
      <c r="E270" s="2"/>
      <c r="F270" s="871"/>
      <c r="G270" s="870"/>
    </row>
    <row r="271" spans="1:12" hidden="1">
      <c r="A271" s="872" t="s">
        <v>39</v>
      </c>
      <c r="B271" s="9">
        <v>106155</v>
      </c>
      <c r="C271" s="9">
        <v>106155</v>
      </c>
      <c r="D271" s="8"/>
      <c r="E271" s="2"/>
      <c r="F271" s="874"/>
      <c r="G271" s="870"/>
      <c r="H271" s="14"/>
      <c r="I271" s="14"/>
      <c r="J271" s="13"/>
      <c r="K271" s="13"/>
      <c r="L271" s="14"/>
    </row>
    <row r="272" spans="1:12" hidden="1">
      <c r="A272" s="872" t="s">
        <v>38</v>
      </c>
      <c r="B272" s="9">
        <v>107887</v>
      </c>
      <c r="C272" s="9">
        <v>107887</v>
      </c>
      <c r="D272" s="8"/>
      <c r="E272" s="2"/>
      <c r="F272" s="874"/>
      <c r="G272" s="870"/>
      <c r="H272" s="14"/>
      <c r="I272" s="14"/>
      <c r="J272" s="13"/>
      <c r="K272" s="13"/>
      <c r="L272" s="14"/>
    </row>
    <row r="273" spans="1:7" hidden="1">
      <c r="A273" s="872" t="s">
        <v>37</v>
      </c>
      <c r="B273" s="9">
        <v>109648</v>
      </c>
      <c r="C273" s="9">
        <v>109648</v>
      </c>
      <c r="D273" s="8"/>
      <c r="E273" s="2"/>
      <c r="F273" s="871"/>
      <c r="G273" s="870"/>
    </row>
    <row r="274" spans="1:7" hidden="1">
      <c r="A274" s="872" t="s">
        <v>36</v>
      </c>
      <c r="B274" s="9">
        <v>111438</v>
      </c>
      <c r="C274" s="9">
        <v>111438</v>
      </c>
      <c r="D274" s="8"/>
      <c r="E274" s="2"/>
      <c r="F274" s="871"/>
      <c r="G274" s="870"/>
    </row>
    <row r="275" spans="1:7" hidden="1">
      <c r="A275" s="872" t="s">
        <v>35</v>
      </c>
      <c r="B275" s="9">
        <v>113256</v>
      </c>
      <c r="C275" s="9">
        <v>113256</v>
      </c>
      <c r="D275" s="8"/>
      <c r="E275" s="2"/>
      <c r="F275" s="871"/>
      <c r="G275" s="870"/>
    </row>
    <row r="276" spans="1:7" hidden="1">
      <c r="A276" s="872" t="s">
        <v>34</v>
      </c>
      <c r="B276" s="9">
        <v>115105</v>
      </c>
      <c r="C276" s="9">
        <v>115105</v>
      </c>
      <c r="D276" s="8"/>
      <c r="E276" s="2"/>
      <c r="F276" s="871"/>
      <c r="G276" s="870"/>
    </row>
    <row r="277" spans="1:7" hidden="1">
      <c r="A277" s="872" t="s">
        <v>33</v>
      </c>
      <c r="B277" s="9">
        <v>116983</v>
      </c>
      <c r="C277" s="9">
        <v>116983</v>
      </c>
      <c r="D277" s="8"/>
      <c r="E277" s="2"/>
      <c r="F277" s="871"/>
      <c r="G277" s="870"/>
    </row>
    <row r="278" spans="1:7" hidden="1">
      <c r="A278" s="872" t="s">
        <v>32</v>
      </c>
      <c r="B278" s="9">
        <v>118893</v>
      </c>
      <c r="C278" s="9">
        <v>118893</v>
      </c>
      <c r="D278" s="8"/>
      <c r="E278" s="2"/>
      <c r="F278" s="871"/>
      <c r="G278" s="870"/>
    </row>
    <row r="279" spans="1:7" hidden="1">
      <c r="A279" s="873" t="s">
        <v>31</v>
      </c>
      <c r="B279" s="11">
        <v>119954</v>
      </c>
      <c r="C279" s="11">
        <v>119954</v>
      </c>
      <c r="D279" s="8"/>
      <c r="E279" s="2"/>
      <c r="F279" s="871"/>
      <c r="G279" s="870"/>
    </row>
    <row r="280" spans="1:7" hidden="1">
      <c r="A280" s="873" t="s">
        <v>30</v>
      </c>
      <c r="B280" s="11">
        <v>121913</v>
      </c>
      <c r="C280" s="11">
        <v>121913</v>
      </c>
      <c r="D280" s="8"/>
      <c r="E280" s="2"/>
      <c r="F280" s="871"/>
      <c r="G280" s="870"/>
    </row>
    <row r="281" spans="1:7" hidden="1">
      <c r="A281" s="873" t="s">
        <v>29</v>
      </c>
      <c r="B281" s="11">
        <v>123902</v>
      </c>
      <c r="C281" s="11">
        <v>123902</v>
      </c>
      <c r="D281" s="8"/>
      <c r="E281" s="2"/>
      <c r="F281" s="871"/>
      <c r="G281" s="870"/>
    </row>
    <row r="282" spans="1:7" hidden="1">
      <c r="A282" s="873" t="s">
        <v>28</v>
      </c>
      <c r="B282" s="11">
        <v>125924</v>
      </c>
      <c r="C282" s="11">
        <v>125924</v>
      </c>
      <c r="D282" s="8"/>
      <c r="E282" s="2"/>
      <c r="F282" s="871"/>
      <c r="G282" s="870"/>
    </row>
    <row r="283" spans="1:7" hidden="1">
      <c r="A283" s="873" t="s">
        <v>27</v>
      </c>
      <c r="B283" s="11">
        <v>127979</v>
      </c>
      <c r="C283" s="11">
        <v>127979</v>
      </c>
      <c r="D283" s="8"/>
      <c r="E283" s="2"/>
      <c r="F283" s="871"/>
      <c r="G283" s="870"/>
    </row>
    <row r="284" spans="1:7" hidden="1">
      <c r="A284" s="873" t="s">
        <v>26</v>
      </c>
      <c r="B284" s="11">
        <v>130068</v>
      </c>
      <c r="C284" s="11">
        <v>130068</v>
      </c>
      <c r="D284" s="8"/>
      <c r="E284" s="2"/>
      <c r="F284" s="871"/>
      <c r="G284" s="870"/>
    </row>
    <row r="285" spans="1:7" hidden="1">
      <c r="A285" s="873" t="s">
        <v>25</v>
      </c>
      <c r="B285" s="11">
        <v>132192</v>
      </c>
      <c r="C285" s="11">
        <v>132192</v>
      </c>
      <c r="D285" s="8"/>
      <c r="E285" s="2"/>
      <c r="F285" s="871"/>
      <c r="G285" s="870"/>
    </row>
    <row r="286" spans="1:7" hidden="1">
      <c r="A286" s="873" t="s">
        <v>24</v>
      </c>
      <c r="B286" s="11">
        <v>134349</v>
      </c>
      <c r="C286" s="11">
        <v>134349</v>
      </c>
      <c r="D286" s="8"/>
      <c r="E286" s="2"/>
      <c r="F286" s="871"/>
      <c r="G286" s="870"/>
    </row>
    <row r="287" spans="1:7" hidden="1">
      <c r="A287" s="872" t="s">
        <v>23</v>
      </c>
      <c r="B287" s="9">
        <v>135549</v>
      </c>
      <c r="C287" s="9">
        <v>135549</v>
      </c>
      <c r="D287" s="8"/>
      <c r="E287" s="2"/>
      <c r="F287" s="871"/>
      <c r="G287" s="870"/>
    </row>
    <row r="288" spans="1:7" hidden="1">
      <c r="A288" s="872" t="s">
        <v>22</v>
      </c>
      <c r="B288" s="9">
        <v>137760</v>
      </c>
      <c r="C288" s="9">
        <v>137760</v>
      </c>
      <c r="D288" s="8"/>
      <c r="E288" s="2"/>
      <c r="F288" s="871"/>
      <c r="G288" s="870"/>
    </row>
    <row r="289" spans="1:7" hidden="1">
      <c r="A289" s="872" t="s">
        <v>21</v>
      </c>
      <c r="B289" s="9">
        <v>140009</v>
      </c>
      <c r="C289" s="9">
        <v>140009</v>
      </c>
      <c r="D289" s="8"/>
      <c r="E289" s="2"/>
      <c r="F289" s="871"/>
      <c r="G289" s="870"/>
    </row>
    <row r="290" spans="1:7" hidden="1">
      <c r="A290" s="872" t="s">
        <v>20</v>
      </c>
      <c r="B290" s="9">
        <v>142295</v>
      </c>
      <c r="C290" s="9">
        <v>142295</v>
      </c>
      <c r="D290" s="8"/>
      <c r="E290" s="2"/>
      <c r="F290" s="871"/>
      <c r="G290" s="870"/>
    </row>
    <row r="291" spans="1:7" hidden="1">
      <c r="A291" s="872" t="s">
        <v>19</v>
      </c>
      <c r="B291" s="9">
        <v>144617</v>
      </c>
      <c r="C291" s="9">
        <v>144617</v>
      </c>
      <c r="D291" s="8"/>
      <c r="E291" s="2"/>
      <c r="F291" s="871"/>
      <c r="G291" s="870"/>
    </row>
    <row r="292" spans="1:7" hidden="1">
      <c r="A292" s="872" t="s">
        <v>18</v>
      </c>
      <c r="B292" s="9">
        <v>146978</v>
      </c>
      <c r="C292" s="9">
        <v>146978</v>
      </c>
      <c r="D292" s="8"/>
      <c r="E292" s="2"/>
      <c r="F292" s="871"/>
      <c r="G292" s="870"/>
    </row>
    <row r="293" spans="1:7" hidden="1">
      <c r="A293" s="872" t="s">
        <v>17</v>
      </c>
      <c r="B293" s="9">
        <v>149377</v>
      </c>
      <c r="C293" s="9">
        <v>149377</v>
      </c>
      <c r="D293" s="8"/>
      <c r="E293" s="2"/>
      <c r="F293" s="871"/>
      <c r="G293" s="870"/>
    </row>
    <row r="294" spans="1:7" hidden="1">
      <c r="A294" s="872" t="s">
        <v>16</v>
      </c>
      <c r="B294" s="9">
        <v>151814</v>
      </c>
      <c r="C294" s="9">
        <v>151814</v>
      </c>
      <c r="D294" s="8"/>
      <c r="E294" s="2"/>
      <c r="F294" s="871"/>
      <c r="G294" s="870"/>
    </row>
    <row r="295" spans="1:7" hidden="1">
      <c r="A295" s="873" t="s">
        <v>15</v>
      </c>
      <c r="B295" s="11">
        <v>153169</v>
      </c>
      <c r="C295" s="11">
        <v>153169</v>
      </c>
      <c r="D295" s="8"/>
      <c r="E295" s="2"/>
      <c r="F295" s="871"/>
      <c r="G295" s="870"/>
    </row>
    <row r="296" spans="1:7" hidden="1">
      <c r="A296" s="873" t="s">
        <v>14</v>
      </c>
      <c r="B296" s="11">
        <v>155670</v>
      </c>
      <c r="C296" s="11">
        <v>155670</v>
      </c>
      <c r="D296" s="8"/>
      <c r="E296" s="2"/>
      <c r="F296" s="871"/>
      <c r="G296" s="870"/>
    </row>
    <row r="297" spans="1:7" hidden="1">
      <c r="A297" s="873" t="s">
        <v>13</v>
      </c>
      <c r="B297" s="11">
        <v>158210</v>
      </c>
      <c r="C297" s="11">
        <v>158210</v>
      </c>
      <c r="D297" s="8"/>
      <c r="E297" s="2"/>
      <c r="F297" s="871"/>
      <c r="G297" s="870"/>
    </row>
    <row r="298" spans="1:7" hidden="1">
      <c r="A298" s="873" t="s">
        <v>12</v>
      </c>
      <c r="B298" s="11">
        <v>160793</v>
      </c>
      <c r="C298" s="11">
        <v>160793</v>
      </c>
      <c r="D298" s="8"/>
      <c r="E298" s="2"/>
      <c r="F298" s="871"/>
      <c r="G298" s="870"/>
    </row>
    <row r="299" spans="1:7" hidden="1">
      <c r="A299" s="873" t="s">
        <v>11</v>
      </c>
      <c r="B299" s="11">
        <v>163417</v>
      </c>
      <c r="C299" s="11">
        <v>163417</v>
      </c>
      <c r="D299" s="8"/>
      <c r="E299" s="2"/>
      <c r="F299" s="871"/>
      <c r="G299" s="870"/>
    </row>
    <row r="300" spans="1:7" hidden="1">
      <c r="A300" s="873" t="s">
        <v>10</v>
      </c>
      <c r="B300" s="11">
        <v>166085</v>
      </c>
      <c r="C300" s="11">
        <v>166085</v>
      </c>
      <c r="D300" s="8"/>
      <c r="E300" s="2"/>
      <c r="F300" s="871"/>
      <c r="G300" s="870"/>
    </row>
    <row r="301" spans="1:7" hidden="1">
      <c r="A301" s="873" t="s">
        <v>9</v>
      </c>
      <c r="B301" s="11">
        <v>168795</v>
      </c>
      <c r="C301" s="11">
        <v>168795</v>
      </c>
      <c r="D301" s="8"/>
      <c r="E301" s="2"/>
      <c r="F301" s="871"/>
      <c r="G301" s="870"/>
    </row>
    <row r="302" spans="1:7" hidden="1">
      <c r="A302" s="873" t="s">
        <v>8</v>
      </c>
      <c r="B302" s="11">
        <v>171550</v>
      </c>
      <c r="C302" s="11">
        <v>171550</v>
      </c>
      <c r="D302" s="8"/>
      <c r="E302" s="2"/>
      <c r="F302" s="871"/>
      <c r="G302" s="870"/>
    </row>
    <row r="303" spans="1:7" hidden="1">
      <c r="A303" s="872" t="s">
        <v>7</v>
      </c>
      <c r="B303" s="9">
        <v>173081</v>
      </c>
      <c r="C303" s="9">
        <v>173081</v>
      </c>
      <c r="D303" s="8"/>
      <c r="E303" s="2"/>
      <c r="F303" s="871"/>
      <c r="G303" s="870"/>
    </row>
    <row r="304" spans="1:7" hidden="1">
      <c r="A304" s="872" t="s">
        <v>6</v>
      </c>
      <c r="B304" s="9">
        <v>175905</v>
      </c>
      <c r="C304" s="9">
        <v>175905</v>
      </c>
      <c r="D304" s="8"/>
      <c r="E304" s="2"/>
      <c r="F304" s="871"/>
      <c r="G304" s="870"/>
    </row>
    <row r="305" spans="1:7" hidden="1">
      <c r="A305" s="872" t="s">
        <v>5</v>
      </c>
      <c r="B305" s="9">
        <v>178778</v>
      </c>
      <c r="C305" s="9">
        <v>178778</v>
      </c>
      <c r="D305" s="8"/>
      <c r="E305" s="2"/>
      <c r="F305" s="871"/>
      <c r="G305" s="870"/>
    </row>
    <row r="306" spans="1:7" hidden="1">
      <c r="A306" s="872" t="s">
        <v>4</v>
      </c>
      <c r="B306" s="9">
        <v>181696</v>
      </c>
      <c r="C306" s="9">
        <v>181696</v>
      </c>
      <c r="D306" s="8"/>
      <c r="E306" s="2"/>
      <c r="F306" s="871"/>
      <c r="G306" s="870"/>
    </row>
    <row r="307" spans="1:7" hidden="1">
      <c r="A307" s="872" t="s">
        <v>3</v>
      </c>
      <c r="B307" s="9">
        <v>184661</v>
      </c>
      <c r="C307" s="9">
        <v>184661</v>
      </c>
      <c r="D307" s="8"/>
      <c r="E307" s="2"/>
      <c r="F307" s="871"/>
      <c r="G307" s="870"/>
    </row>
    <row r="308" spans="1:7" hidden="1">
      <c r="A308" s="872" t="s">
        <v>2</v>
      </c>
      <c r="B308" s="9">
        <v>187675</v>
      </c>
      <c r="C308" s="9">
        <v>187675</v>
      </c>
      <c r="D308" s="8"/>
      <c r="E308" s="2"/>
      <c r="F308" s="871"/>
      <c r="G308" s="870"/>
    </row>
    <row r="309" spans="1:7" hidden="1">
      <c r="A309" s="872" t="s">
        <v>1</v>
      </c>
      <c r="B309" s="9">
        <v>190738</v>
      </c>
      <c r="C309" s="9">
        <v>190738</v>
      </c>
      <c r="D309" s="8"/>
      <c r="E309" s="2"/>
      <c r="F309" s="871"/>
      <c r="G309" s="870"/>
    </row>
    <row r="310" spans="1:7" hidden="1">
      <c r="A310" s="872" t="s">
        <v>0</v>
      </c>
      <c r="B310" s="9">
        <v>193851</v>
      </c>
      <c r="C310" s="9">
        <v>193851</v>
      </c>
      <c r="D310" s="8"/>
      <c r="E310" s="2"/>
      <c r="F310" s="871"/>
      <c r="G310" s="870"/>
    </row>
    <row r="311" spans="1:7" s="3" customFormat="1" ht="15" hidden="1">
      <c r="A311" s="7"/>
      <c r="B311" s="6"/>
      <c r="E311" s="2"/>
      <c r="F311" s="2"/>
      <c r="G311" s="2"/>
    </row>
    <row r="312" spans="1:7" s="3" customFormat="1" ht="15" hidden="1">
      <c r="A312" s="7"/>
      <c r="B312" s="6"/>
      <c r="E312" s="2"/>
      <c r="F312" s="2"/>
      <c r="G312" s="2"/>
    </row>
    <row r="313" spans="1:7" s="3" customFormat="1" ht="15" hidden="1">
      <c r="A313" s="7"/>
      <c r="B313" s="6"/>
      <c r="E313" s="2"/>
      <c r="F313" s="2"/>
      <c r="G313" s="2"/>
    </row>
    <row r="314" spans="1:7" s="3" customFormat="1" ht="15" hidden="1">
      <c r="A314" s="7"/>
      <c r="B314" s="6"/>
      <c r="E314" s="2"/>
      <c r="F314" s="2"/>
      <c r="G314" s="2"/>
    </row>
    <row r="315" spans="1:7" s="3" customFormat="1" ht="15" hidden="1">
      <c r="A315" s="7"/>
      <c r="B315" s="6"/>
      <c r="E315" s="2"/>
      <c r="F315" s="2"/>
      <c r="G315" s="2"/>
    </row>
    <row r="316" spans="1:7" s="3" customFormat="1" ht="15" hidden="1">
      <c r="A316" s="7"/>
      <c r="B316" s="6"/>
      <c r="E316" s="2"/>
      <c r="F316" s="2"/>
      <c r="G316" s="2"/>
    </row>
    <row r="317" spans="1:7" s="3" customFormat="1" ht="15" hidden="1">
      <c r="A317" s="7"/>
      <c r="B317" s="6"/>
      <c r="E317" s="2"/>
      <c r="F317" s="2"/>
      <c r="G317" s="2"/>
    </row>
    <row r="318" spans="1:7" s="3" customFormat="1" ht="15" hidden="1">
      <c r="A318" s="7"/>
      <c r="B318" s="6"/>
      <c r="E318" s="2"/>
      <c r="F318" s="2"/>
      <c r="G318" s="2"/>
    </row>
    <row r="319" spans="1:7" s="3" customFormat="1" ht="15" hidden="1">
      <c r="A319" s="7"/>
      <c r="B319" s="6"/>
      <c r="E319" s="2"/>
      <c r="F319" s="2"/>
      <c r="G319" s="2"/>
    </row>
    <row r="320" spans="1:7" s="3" customFormat="1" ht="15" hidden="1">
      <c r="A320" s="7"/>
      <c r="B320" s="6"/>
      <c r="E320" s="2"/>
      <c r="F320" s="2"/>
      <c r="G320" s="2"/>
    </row>
    <row r="321" spans="1:7" s="3" customFormat="1" ht="15" hidden="1">
      <c r="A321" s="7"/>
      <c r="B321" s="6"/>
      <c r="E321" s="2"/>
      <c r="F321" s="2"/>
      <c r="G321" s="2"/>
    </row>
    <row r="322" spans="1:7" s="3" customFormat="1" ht="15" hidden="1">
      <c r="A322" s="7"/>
      <c r="B322" s="6"/>
      <c r="E322" s="2"/>
      <c r="F322" s="2"/>
      <c r="G322" s="2"/>
    </row>
    <row r="323" spans="1:7" s="3" customFormat="1" ht="15" hidden="1">
      <c r="A323" s="7"/>
      <c r="B323" s="6"/>
      <c r="E323" s="2"/>
      <c r="F323" s="2"/>
      <c r="G323" s="2"/>
    </row>
    <row r="324" spans="1:7" s="3" customFormat="1" ht="15" hidden="1">
      <c r="A324" s="7"/>
      <c r="B324" s="6"/>
      <c r="E324" s="2"/>
      <c r="F324" s="2"/>
      <c r="G324" s="2"/>
    </row>
    <row r="325" spans="1:7" s="3" customFormat="1" ht="15" hidden="1">
      <c r="A325" s="7"/>
      <c r="B325" s="6"/>
      <c r="E325" s="2"/>
      <c r="F325" s="2"/>
      <c r="G325" s="2"/>
    </row>
    <row r="326" spans="1:7" s="3" customFormat="1" ht="15" hidden="1">
      <c r="A326" s="7"/>
      <c r="B326" s="6"/>
      <c r="E326" s="2"/>
      <c r="F326" s="2"/>
      <c r="G326" s="2"/>
    </row>
    <row r="327" spans="1:7" s="3" customFormat="1" ht="15" hidden="1">
      <c r="A327" s="7"/>
      <c r="B327" s="6"/>
      <c r="E327" s="2"/>
      <c r="F327" s="2"/>
      <c r="G327" s="2"/>
    </row>
    <row r="328" spans="1:7" s="3" customFormat="1" ht="15" hidden="1">
      <c r="A328" s="7"/>
      <c r="B328" s="6"/>
      <c r="E328" s="2"/>
      <c r="F328" s="2"/>
      <c r="G328" s="2"/>
    </row>
    <row r="329" spans="1:7" s="3" customFormat="1" ht="15" hidden="1">
      <c r="A329" s="7"/>
      <c r="B329" s="6"/>
      <c r="E329" s="2"/>
      <c r="F329" s="2"/>
      <c r="G329" s="2"/>
    </row>
    <row r="330" spans="1:7" s="3" customFormat="1" ht="15" hidden="1">
      <c r="A330" s="7"/>
      <c r="B330" s="6"/>
      <c r="E330" s="2"/>
      <c r="F330" s="2"/>
      <c r="G330" s="2"/>
    </row>
    <row r="331" spans="1:7" s="3" customFormat="1" ht="15" hidden="1">
      <c r="A331" s="7"/>
      <c r="B331" s="6"/>
      <c r="E331" s="2"/>
      <c r="F331" s="2"/>
      <c r="G331" s="2"/>
    </row>
    <row r="332" spans="1:7" s="3" customFormat="1" ht="15" hidden="1">
      <c r="A332" s="7"/>
      <c r="B332" s="6"/>
      <c r="E332" s="2"/>
      <c r="F332" s="2"/>
      <c r="G332" s="2"/>
    </row>
    <row r="333" spans="1:7" s="3" customFormat="1" ht="15" hidden="1">
      <c r="A333" s="7"/>
      <c r="B333" s="6"/>
      <c r="E333" s="2"/>
      <c r="F333" s="2"/>
      <c r="G333" s="2"/>
    </row>
    <row r="334" spans="1:7" s="3" customFormat="1" ht="15" hidden="1">
      <c r="A334" s="7"/>
      <c r="B334" s="6"/>
    </row>
    <row r="335" spans="1:7" s="3" customFormat="1" ht="15" hidden="1">
      <c r="A335" s="7"/>
      <c r="B335" s="6"/>
    </row>
    <row r="336" spans="1:7" s="3" customFormat="1" ht="15">
      <c r="A336" s="7"/>
      <c r="B336" s="6"/>
    </row>
    <row r="337" spans="1:2" s="3" customFormat="1" ht="15">
      <c r="A337" s="7"/>
      <c r="B337" s="6"/>
    </row>
    <row r="338" spans="1:2" s="3" customFormat="1" ht="15">
      <c r="A338" s="7"/>
      <c r="B338" s="6"/>
    </row>
    <row r="339" spans="1:2" s="3" customFormat="1" ht="15">
      <c r="A339" s="7"/>
      <c r="B339" s="6"/>
    </row>
  </sheetData>
  <mergeCells count="22">
    <mergeCell ref="A68:B68"/>
    <mergeCell ref="A69:B69"/>
    <mergeCell ref="E11:F11"/>
    <mergeCell ref="G11:H11"/>
    <mergeCell ref="J11:K11"/>
    <mergeCell ref="A12:B12"/>
    <mergeCell ref="O13:P13"/>
    <mergeCell ref="E9:F9"/>
    <mergeCell ref="G9:H9"/>
    <mergeCell ref="J9:K9"/>
    <mergeCell ref="E10:F10"/>
    <mergeCell ref="G10:H10"/>
    <mergeCell ref="J10:K10"/>
    <mergeCell ref="L13:M13"/>
    <mergeCell ref="O12:P12"/>
    <mergeCell ref="L11:M11"/>
    <mergeCell ref="L12:M12"/>
    <mergeCell ref="A3:I3"/>
    <mergeCell ref="A4:I4"/>
    <mergeCell ref="A5:I5"/>
    <mergeCell ref="G8:H8"/>
    <mergeCell ref="J8:K8"/>
  </mergeCells>
  <printOptions horizontalCentered="1"/>
  <pageMargins left="0" right="0" top="0" bottom="0" header="0.5" footer="0.5"/>
  <pageSetup paperSize="5" orientation="landscape" verticalDpi="72"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36"/>
  <sheetViews>
    <sheetView showGridLines="0" showOutlineSymbols="0" workbookViewId="0">
      <selection activeCell="H30" sqref="H30"/>
    </sheetView>
  </sheetViews>
  <sheetFormatPr defaultColWidth="12.5703125" defaultRowHeight="13.5" outlineLevelRow="2" outlineLevelCol="2"/>
  <cols>
    <col min="1" max="1" width="1.85546875" style="4213" customWidth="1"/>
    <col min="2" max="2" width="38.5703125" style="4213" customWidth="1"/>
    <col min="3" max="3" width="12.42578125" style="4213" customWidth="1"/>
    <col min="4" max="4" width="8.7109375" style="4213" customWidth="1"/>
    <col min="5" max="5" width="8.7109375" style="4330" customWidth="1"/>
    <col min="6" max="6" width="9.28515625" style="4330" customWidth="1"/>
    <col min="7" max="7" width="8.5703125" style="4330" customWidth="1"/>
    <col min="8" max="8" width="9.85546875" style="4330"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c r="A1" s="4281" t="s">
        <v>473</v>
      </c>
      <c r="E1" s="4347"/>
      <c r="G1" s="4347"/>
      <c r="H1" s="4347"/>
    </row>
    <row r="2" spans="1:8" ht="14.25" customHeight="1">
      <c r="A2" s="4279" t="s">
        <v>584</v>
      </c>
      <c r="E2" s="4346"/>
      <c r="G2" s="4346"/>
      <c r="H2" s="4346"/>
    </row>
    <row r="3" spans="1:8" ht="14.25" customHeight="1">
      <c r="E3" s="4346"/>
      <c r="G3" s="4346"/>
      <c r="H3" s="4346"/>
    </row>
    <row r="4" spans="1:8" ht="14.25" customHeight="1">
      <c r="E4" s="4346"/>
      <c r="G4" s="4346"/>
      <c r="H4" s="434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45"/>
      <c r="F7" s="4345"/>
      <c r="G7" s="4345"/>
      <c r="H7" s="4345"/>
    </row>
    <row r="8" spans="1:8" ht="14.25" customHeight="1">
      <c r="A8" s="4309"/>
      <c r="B8" s="4309"/>
      <c r="C8" s="4309"/>
      <c r="D8" s="4309"/>
      <c r="E8" s="4345"/>
      <c r="F8" s="4345"/>
      <c r="G8" s="4345"/>
      <c r="H8" s="4345"/>
    </row>
    <row r="9" spans="1:8" ht="14.25" customHeight="1">
      <c r="A9" s="4274" t="s">
        <v>3169</v>
      </c>
      <c r="B9" s="4274"/>
    </row>
    <row r="10" spans="1:8" ht="14.25" customHeight="1">
      <c r="A10" s="4273" t="s">
        <v>3197</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343"/>
      <c r="F16" s="4344"/>
      <c r="G16" s="4344"/>
      <c r="H16" s="4343"/>
    </row>
    <row r="17" spans="1:9" s="4212" customFormat="1" ht="20.100000000000001" customHeight="1" outlineLevel="1">
      <c r="A17" s="4263" t="s">
        <v>407</v>
      </c>
      <c r="B17" s="4262"/>
      <c r="C17" s="4261"/>
      <c r="D17" s="4342">
        <f>SUM(D18:D18)</f>
        <v>0</v>
      </c>
      <c r="E17" s="4342">
        <f>SUM(E18:E18)</f>
        <v>0</v>
      </c>
      <c r="F17" s="4342">
        <f>SUM(F18:F18)</f>
        <v>0</v>
      </c>
      <c r="G17" s="4342">
        <f>SUM(G18:G18)</f>
        <v>0</v>
      </c>
      <c r="H17" s="4342">
        <f>SUM(H18:H18)</f>
        <v>400000</v>
      </c>
    </row>
    <row r="18" spans="1:9" s="4240" customFormat="1" ht="18" customHeight="1" outlineLevel="1">
      <c r="A18" s="4254" t="s">
        <v>1983</v>
      </c>
      <c r="B18" s="4246"/>
      <c r="C18" s="4259" t="s">
        <v>1982</v>
      </c>
      <c r="D18" s="4350">
        <v>0</v>
      </c>
      <c r="E18" s="4349">
        <v>0</v>
      </c>
      <c r="F18" s="4338">
        <v>0</v>
      </c>
      <c r="G18" s="4349">
        <v>0</v>
      </c>
      <c r="H18" s="4348">
        <v>400000</v>
      </c>
      <c r="I18" s="4300"/>
    </row>
    <row r="19" spans="1:9" ht="20.100000000000001" customHeight="1" outlineLevel="2" thickBot="1">
      <c r="A19" s="4238" t="s">
        <v>366</v>
      </c>
      <c r="B19" s="4236"/>
      <c r="C19" s="4237"/>
      <c r="D19" s="4335">
        <f>SUM(D18:D18)</f>
        <v>0</v>
      </c>
      <c r="E19" s="4335">
        <f>SUM(E18:E18)</f>
        <v>0</v>
      </c>
      <c r="F19" s="4335">
        <f>SUM(F18:F18)</f>
        <v>0</v>
      </c>
      <c r="G19" s="4335">
        <f>SUM(G18:G18)</f>
        <v>0</v>
      </c>
      <c r="H19" s="4334">
        <f>SUM(H18:H18)</f>
        <v>400000</v>
      </c>
    </row>
    <row r="20" spans="1:9" ht="20.100000000000001" customHeight="1" outlineLevel="2" thickTop="1">
      <c r="A20" s="4233"/>
      <c r="B20" s="4233"/>
      <c r="C20" s="4234"/>
      <c r="D20" s="4233"/>
      <c r="E20" s="4333"/>
      <c r="F20" s="4333"/>
      <c r="G20" s="4333"/>
      <c r="H20" s="4333"/>
    </row>
    <row r="21" spans="1:9" s="4220" customFormat="1" ht="14.25" customHeight="1">
      <c r="A21" s="4225" t="s">
        <v>3163</v>
      </c>
      <c r="B21" s="4222"/>
      <c r="C21" s="4222" t="s">
        <v>363</v>
      </c>
      <c r="D21" s="4222"/>
      <c r="E21" s="4225"/>
      <c r="F21" s="4225" t="s">
        <v>2311</v>
      </c>
      <c r="G21" s="4222"/>
      <c r="H21" s="4332"/>
    </row>
    <row r="22" spans="1:9" s="4220" customFormat="1" ht="14.25" customHeight="1">
      <c r="A22" s="4225"/>
      <c r="B22" s="4222"/>
      <c r="C22" s="4222"/>
      <c r="D22" s="4222"/>
      <c r="E22" s="4225"/>
      <c r="F22" s="4225"/>
      <c r="G22" s="4222"/>
      <c r="H22" s="4332"/>
    </row>
    <row r="23" spans="1:9" s="4220" customFormat="1" ht="14.25" customHeight="1">
      <c r="A23" s="4225"/>
      <c r="B23" s="4222"/>
      <c r="C23" s="4222"/>
      <c r="D23" s="4222"/>
      <c r="E23" s="4225"/>
      <c r="F23" s="4225"/>
      <c r="G23" s="4222"/>
      <c r="H23" s="4332"/>
    </row>
    <row r="24" spans="1:9" s="4220" customFormat="1" ht="14.25" customHeight="1">
      <c r="A24" s="4229" t="s">
        <v>3193</v>
      </c>
      <c r="B24" s="4226"/>
      <c r="C24" s="4228" t="s">
        <v>3162</v>
      </c>
      <c r="D24" s="4222"/>
      <c r="E24" s="4227"/>
      <c r="F24" s="4227" t="s">
        <v>359</v>
      </c>
      <c r="G24" s="4222"/>
      <c r="H24" s="4332"/>
    </row>
    <row r="25" spans="1:9" s="4220" customFormat="1" ht="14.25" customHeight="1">
      <c r="A25" s="4222" t="s">
        <v>2613</v>
      </c>
      <c r="B25" s="4226"/>
      <c r="C25" s="4224" t="s">
        <v>3160</v>
      </c>
      <c r="D25" s="4222"/>
      <c r="E25" s="4223"/>
      <c r="F25" s="4223" t="s">
        <v>3159</v>
      </c>
      <c r="G25" s="4222"/>
      <c r="H25" s="4332"/>
    </row>
    <row r="26" spans="1:9" s="4214" customFormat="1">
      <c r="A26" s="4218"/>
      <c r="B26" s="4219"/>
      <c r="C26" s="4218"/>
      <c r="D26" s="4217"/>
      <c r="E26" s="4331"/>
      <c r="F26" s="4331"/>
      <c r="G26" s="4331"/>
      <c r="H26" s="4331"/>
      <c r="I26" s="4282"/>
    </row>
    <row r="27" spans="1:9" s="4214" customFormat="1">
      <c r="A27" s="4218"/>
      <c r="B27" s="4219"/>
      <c r="C27" s="4218"/>
      <c r="D27" s="4217"/>
      <c r="E27" s="4331"/>
      <c r="F27" s="4331"/>
      <c r="G27" s="4331"/>
      <c r="H27" s="4331"/>
      <c r="I27" s="4282"/>
    </row>
    <row r="28" spans="1:9" s="4214" customFormat="1">
      <c r="A28" s="4218"/>
      <c r="B28" s="4219"/>
      <c r="C28" s="4218"/>
      <c r="D28" s="4217"/>
      <c r="E28" s="4331"/>
      <c r="F28" s="4331"/>
      <c r="G28" s="4331"/>
      <c r="H28" s="4331"/>
      <c r="I28" s="4282"/>
    </row>
    <row r="29" spans="1:9" s="4214" customFormat="1">
      <c r="A29" s="4218"/>
      <c r="B29" s="4219"/>
      <c r="C29" s="4218"/>
      <c r="D29" s="4217"/>
      <c r="E29" s="4331"/>
      <c r="F29" s="4331"/>
      <c r="G29" s="4331"/>
      <c r="H29" s="4331"/>
      <c r="I29" s="4282"/>
    </row>
    <row r="30" spans="1:9" s="4214" customFormat="1">
      <c r="A30" s="4218"/>
      <c r="B30" s="4219"/>
      <c r="C30" s="4218"/>
      <c r="D30" s="4217"/>
      <c r="E30" s="4331"/>
      <c r="F30" s="4331"/>
      <c r="G30" s="4331"/>
      <c r="H30" s="4331"/>
      <c r="I30" s="4282"/>
    </row>
    <row r="31" spans="1:9" s="4214" customFormat="1">
      <c r="A31" s="4218"/>
      <c r="B31" s="4219"/>
      <c r="C31" s="4218"/>
      <c r="D31" s="4217"/>
      <c r="E31" s="4331"/>
      <c r="F31" s="4331"/>
      <c r="G31" s="4331"/>
      <c r="H31" s="4331"/>
      <c r="I31" s="4282"/>
    </row>
    <row r="32" spans="1:9" s="4214" customFormat="1">
      <c r="A32" s="4218"/>
      <c r="B32" s="4219"/>
      <c r="C32" s="4218"/>
      <c r="D32" s="4217"/>
      <c r="E32" s="4331"/>
      <c r="F32" s="4331"/>
      <c r="G32" s="4331"/>
      <c r="H32" s="4331"/>
      <c r="I32" s="4282"/>
    </row>
    <row r="33" spans="1:9" s="4214" customFormat="1">
      <c r="A33" s="4218"/>
      <c r="B33" s="4219"/>
      <c r="C33" s="4218"/>
      <c r="D33" s="4217"/>
      <c r="E33" s="4331"/>
      <c r="F33" s="4331"/>
      <c r="G33" s="4331"/>
      <c r="H33" s="4331"/>
      <c r="I33" s="4282"/>
    </row>
    <row r="34" spans="1:9" s="4214" customFormat="1">
      <c r="A34" s="4218"/>
      <c r="B34" s="4219"/>
      <c r="C34" s="4218"/>
      <c r="D34" s="4217"/>
      <c r="E34" s="4331"/>
      <c r="F34" s="4331"/>
      <c r="G34" s="4331"/>
      <c r="H34" s="4331"/>
      <c r="I34" s="4282"/>
    </row>
    <row r="35" spans="1:9" s="4214" customFormat="1">
      <c r="A35" s="4218"/>
      <c r="B35" s="4219"/>
      <c r="C35" s="4218"/>
      <c r="D35" s="4217"/>
      <c r="E35" s="4331"/>
      <c r="F35" s="4331"/>
      <c r="G35" s="4331"/>
      <c r="H35" s="4331"/>
      <c r="I35" s="4282"/>
    </row>
    <row r="36" spans="1:9" s="4214" customFormat="1">
      <c r="A36" s="4218"/>
      <c r="B36" s="4219"/>
      <c r="C36" s="4218"/>
      <c r="D36" s="4217"/>
      <c r="E36" s="4331"/>
      <c r="F36" s="4331"/>
      <c r="G36" s="4331"/>
      <c r="H36" s="4331"/>
      <c r="I36" s="4282"/>
    </row>
  </sheetData>
  <mergeCells count="4">
    <mergeCell ref="A5:H5"/>
    <mergeCell ref="A6:H6"/>
    <mergeCell ref="A12:B15"/>
    <mergeCell ref="E12:G12"/>
  </mergeCells>
  <pageMargins left="0.5" right="0" top="0" bottom="0" header="0.25" footer="0"/>
  <pageSetup paperSize="5" orientation="portrait" verticalDpi="300"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F43"/>
  <sheetViews>
    <sheetView showGridLines="0" showOutlineSymbols="0" workbookViewId="0">
      <selection activeCell="B32" sqref="B32"/>
    </sheetView>
  </sheetViews>
  <sheetFormatPr defaultColWidth="12.5703125" defaultRowHeight="12.75" outlineLevelRow="2" outlineLevelCol="2"/>
  <cols>
    <col min="1" max="1" width="1.85546875" style="4213" customWidth="1"/>
    <col min="2" max="2" width="34" style="4213" customWidth="1"/>
    <col min="3" max="3" width="11.5703125" style="4213" customWidth="1"/>
    <col min="4" max="4" width="9.85546875" style="4213" customWidth="1"/>
    <col min="5" max="8" width="10.85546875" style="4213" customWidth="1"/>
    <col min="9" max="35" width="12.5703125" style="4211"/>
    <col min="36" max="40" width="12.5703125" style="4211" outlineLevel="1"/>
    <col min="41" max="46" width="12.5703125" style="4211" outlineLevel="2"/>
    <col min="47" max="49" width="12.5703125" style="4211" outlineLevel="1"/>
    <col min="50" max="69" width="12.5703125" style="4211"/>
    <col min="70" max="73" width="12.5703125" style="4211" outlineLevel="1"/>
    <col min="74" max="121" width="12.5703125" style="4211"/>
    <col min="122" max="127" width="12.5703125" style="4211" outlineLevel="1"/>
    <col min="128" max="133" width="12.5703125" style="4211" outlineLevel="2"/>
    <col min="134" max="136" width="12.5703125" style="4211" outlineLevel="1"/>
    <col min="137"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3199</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8" s="4212" customFormat="1" ht="20.100000000000001" customHeight="1" outlineLevel="1">
      <c r="A17" s="4263" t="s">
        <v>407</v>
      </c>
      <c r="B17" s="4262"/>
      <c r="C17" s="4261"/>
      <c r="D17" s="4260">
        <f>SUM(D18:D25)</f>
        <v>156716.79</v>
      </c>
      <c r="E17" s="4260">
        <f>SUM(E18:E25)</f>
        <v>89261.05</v>
      </c>
      <c r="F17" s="4260">
        <f>SUM(F18:F25)</f>
        <v>910738.95</v>
      </c>
      <c r="G17" s="4260">
        <f>SUM(G18:G25)</f>
        <v>1000000</v>
      </c>
      <c r="H17" s="4260">
        <f>SUM(H18:H25)</f>
        <v>0</v>
      </c>
    </row>
    <row r="18" spans="1:8" s="4240" customFormat="1" ht="18" customHeight="1" outlineLevel="1">
      <c r="A18" s="4254" t="s">
        <v>2352</v>
      </c>
      <c r="B18" s="4246"/>
      <c r="C18" s="4259" t="s">
        <v>405</v>
      </c>
      <c r="D18" s="4258">
        <f>[39]SCIHA!$E$12</f>
        <v>11430</v>
      </c>
      <c r="E18" s="4257">
        <v>0</v>
      </c>
      <c r="F18" s="4243">
        <f>G18-E18</f>
        <v>20000</v>
      </c>
      <c r="G18" s="4257">
        <f>[40]SCIHA!$C$12</f>
        <v>20000</v>
      </c>
      <c r="H18" s="4329">
        <v>0</v>
      </c>
    </row>
    <row r="19" spans="1:8" s="4240" customFormat="1" ht="18" customHeight="1" outlineLevel="1">
      <c r="A19" s="4250" t="s">
        <v>404</v>
      </c>
      <c r="B19" s="4249"/>
      <c r="C19" s="4248" t="s">
        <v>403</v>
      </c>
      <c r="D19" s="4244">
        <f>[39]SCIHA!$E$13</f>
        <v>0</v>
      </c>
      <c r="E19" s="4255">
        <f>[40]SCIHA!$E$13</f>
        <v>0</v>
      </c>
      <c r="F19" s="4243">
        <f>G19-E19</f>
        <v>10000</v>
      </c>
      <c r="G19" s="4255">
        <f>[40]SCIHA!$C$13</f>
        <v>10000</v>
      </c>
      <c r="H19" s="4243">
        <v>0</v>
      </c>
    </row>
    <row r="20" spans="1:8" s="4239" customFormat="1" ht="18" customHeight="1" outlineLevel="1">
      <c r="A20" s="4247" t="s">
        <v>402</v>
      </c>
      <c r="B20" s="4246"/>
      <c r="C20" s="4248" t="s">
        <v>401</v>
      </c>
      <c r="D20" s="4244">
        <f>[39]SCIHA!$E$14</f>
        <v>17211.82</v>
      </c>
      <c r="E20" s="4255">
        <f>[40]SCIHA!$E$14</f>
        <v>10548.55</v>
      </c>
      <c r="F20" s="4243">
        <f>G20-E20</f>
        <v>9451.4500000000007</v>
      </c>
      <c r="G20" s="4255">
        <f>[40]SCIHA!$C$14</f>
        <v>20000</v>
      </c>
      <c r="H20" s="4243">
        <v>0</v>
      </c>
    </row>
    <row r="21" spans="1:8" s="4239" customFormat="1" ht="18" customHeight="1" outlineLevel="1">
      <c r="A21" s="4250" t="s">
        <v>674</v>
      </c>
      <c r="B21" s="4249"/>
      <c r="C21" s="4248" t="s">
        <v>396</v>
      </c>
      <c r="D21" s="4244">
        <f>[39]SCIHA!$E$15</f>
        <v>10935</v>
      </c>
      <c r="E21" s="4255">
        <f>[40]SCIHA!$E$15</f>
        <v>0</v>
      </c>
      <c r="F21" s="4243">
        <f>G21-E21</f>
        <v>30000</v>
      </c>
      <c r="G21" s="4255">
        <f>[40]SCIHA!$C$15</f>
        <v>30000</v>
      </c>
      <c r="H21" s="4243">
        <v>0</v>
      </c>
    </row>
    <row r="22" spans="1:8" s="4239" customFormat="1" ht="18" customHeight="1" outlineLevel="1">
      <c r="A22" s="4250" t="s">
        <v>389</v>
      </c>
      <c r="B22" s="4249"/>
      <c r="C22" s="4248" t="s">
        <v>388</v>
      </c>
      <c r="D22" s="4244">
        <f>[39]SCIHA!$E$16</f>
        <v>105484.97</v>
      </c>
      <c r="E22" s="4242">
        <f>[40]SCIHA!$E$16</f>
        <v>51712.5</v>
      </c>
      <c r="F22" s="4243">
        <f>G22-E22</f>
        <v>185887.5</v>
      </c>
      <c r="G22" s="4242">
        <f>[40]SCIHA!$C$16</f>
        <v>237600</v>
      </c>
      <c r="H22" s="4243">
        <v>0</v>
      </c>
    </row>
    <row r="23" spans="1:8" s="4239" customFormat="1" ht="18" customHeight="1" outlineLevel="1">
      <c r="A23" s="4250" t="s">
        <v>566</v>
      </c>
      <c r="B23" s="4249"/>
      <c r="C23" s="4248"/>
      <c r="D23" s="4244"/>
      <c r="E23" s="4242"/>
      <c r="F23" s="4243"/>
      <c r="G23" s="4242"/>
      <c r="H23" s="4243"/>
    </row>
    <row r="24" spans="1:8" s="4239" customFormat="1" ht="18" customHeight="1" outlineLevel="1">
      <c r="A24" s="4250"/>
      <c r="B24" s="4249" t="s">
        <v>2328</v>
      </c>
      <c r="C24" s="4248" t="s">
        <v>2327</v>
      </c>
      <c r="D24" s="4244">
        <f>[39]SCIHA!$E$17</f>
        <v>4905</v>
      </c>
      <c r="E24" s="4242">
        <f>[40]SCIHA!$E$17</f>
        <v>0</v>
      </c>
      <c r="F24" s="4243">
        <f>G24-E24</f>
        <v>10000</v>
      </c>
      <c r="G24" s="4242">
        <f>[40]SCIHA!$C$17</f>
        <v>10000</v>
      </c>
      <c r="H24" s="4243">
        <v>0</v>
      </c>
    </row>
    <row r="25" spans="1:8" s="4239" customFormat="1" ht="18" customHeight="1" outlineLevel="1">
      <c r="A25" s="4247" t="s">
        <v>693</v>
      </c>
      <c r="B25" s="4246"/>
      <c r="C25" s="4245" t="s">
        <v>367</v>
      </c>
      <c r="D25" s="4244">
        <f>[39]SCIHA!$E$18</f>
        <v>6750</v>
      </c>
      <c r="E25" s="4242">
        <f>[40]SCIHA!$E$18</f>
        <v>27000</v>
      </c>
      <c r="F25" s="4243">
        <f>G25-E25</f>
        <v>645400</v>
      </c>
      <c r="G25" s="4242">
        <f>[40]SCIHA!$C$18</f>
        <v>672400</v>
      </c>
      <c r="H25" s="4243">
        <v>0</v>
      </c>
    </row>
    <row r="26" spans="1:8" ht="20.100000000000001" customHeight="1" outlineLevel="2" thickBot="1">
      <c r="A26" s="4238" t="s">
        <v>366</v>
      </c>
      <c r="B26" s="4236"/>
      <c r="C26" s="4237"/>
      <c r="D26" s="4236">
        <f>SUM(D18:D25)</f>
        <v>156716.79</v>
      </c>
      <c r="E26" s="4236">
        <f>SUM(E18:E25)</f>
        <v>89261.05</v>
      </c>
      <c r="F26" s="4236">
        <f>SUM(F18:F25)</f>
        <v>910738.95</v>
      </c>
      <c r="G26" s="4236">
        <f>SUM(G18:G25)</f>
        <v>1000000</v>
      </c>
      <c r="H26" s="4236">
        <f>SUM(H18:H25)</f>
        <v>0</v>
      </c>
    </row>
    <row r="27" spans="1:8" ht="20.100000000000001" customHeight="1" outlineLevel="2" thickTop="1">
      <c r="A27" s="4233"/>
      <c r="B27" s="4233"/>
      <c r="C27" s="4234"/>
      <c r="D27" s="4233"/>
      <c r="E27" s="4233"/>
      <c r="F27" s="4233"/>
      <c r="G27" s="4233"/>
      <c r="H27" s="4232"/>
    </row>
    <row r="28" spans="1:8" s="4220" customFormat="1" ht="14.25" customHeight="1">
      <c r="A28" s="4225" t="s">
        <v>3163</v>
      </c>
      <c r="B28" s="4222"/>
      <c r="C28" s="4222" t="s">
        <v>363</v>
      </c>
      <c r="D28" s="4222"/>
      <c r="E28" s="4225"/>
      <c r="F28" s="4225" t="s">
        <v>2311</v>
      </c>
      <c r="G28" s="4222"/>
      <c r="H28" s="4222"/>
    </row>
    <row r="29" spans="1:8" s="4220" customFormat="1" ht="14.25" customHeight="1">
      <c r="A29" s="4225"/>
      <c r="B29" s="4222"/>
      <c r="C29" s="4222"/>
      <c r="D29" s="4222"/>
      <c r="E29" s="4225"/>
      <c r="F29" s="4225"/>
      <c r="G29" s="4222"/>
      <c r="H29" s="4222"/>
    </row>
    <row r="30" spans="1:8" s="4220" customFormat="1" ht="14.25" customHeight="1">
      <c r="A30" s="4225"/>
      <c r="B30" s="4222"/>
      <c r="C30" s="4222"/>
      <c r="D30" s="4222"/>
      <c r="E30" s="4225"/>
      <c r="F30" s="4225"/>
      <c r="G30" s="4222"/>
      <c r="H30" s="4222"/>
    </row>
    <row r="31" spans="1:8" s="4220" customFormat="1" ht="14.25" customHeight="1">
      <c r="A31" s="4229" t="s">
        <v>902</v>
      </c>
      <c r="B31" s="4226"/>
      <c r="C31" s="4228" t="s">
        <v>3162</v>
      </c>
      <c r="D31" s="4222"/>
      <c r="E31" s="4227"/>
      <c r="F31" s="4227" t="s">
        <v>359</v>
      </c>
      <c r="G31" s="4222"/>
      <c r="H31" s="4222"/>
    </row>
    <row r="32" spans="1:8" s="4220" customFormat="1" ht="14.25" customHeight="1">
      <c r="A32" s="4222" t="s">
        <v>3198</v>
      </c>
      <c r="B32" s="4226"/>
      <c r="C32" s="4224" t="s">
        <v>3160</v>
      </c>
      <c r="D32" s="4222"/>
      <c r="E32" s="4223"/>
      <c r="F32" s="4223" t="s">
        <v>3159</v>
      </c>
      <c r="G32" s="4222"/>
      <c r="H32" s="4222"/>
    </row>
    <row r="33" spans="1:8" s="4214" customFormat="1">
      <c r="A33" s="4218"/>
      <c r="B33" s="4219"/>
      <c r="C33" s="4218"/>
      <c r="D33" s="4217"/>
      <c r="E33" s="4217"/>
      <c r="F33" s="4217"/>
      <c r="G33" s="4217"/>
      <c r="H33" s="4217"/>
    </row>
    <row r="34" spans="1:8" s="4214" customFormat="1">
      <c r="A34" s="4218"/>
      <c r="B34" s="4219"/>
      <c r="C34" s="4218"/>
      <c r="D34" s="4217"/>
      <c r="E34" s="4217"/>
      <c r="F34" s="4217"/>
      <c r="G34" s="4217"/>
      <c r="H34" s="4217"/>
    </row>
    <row r="35" spans="1:8" s="4214" customFormat="1">
      <c r="A35" s="4218"/>
      <c r="B35" s="4219"/>
      <c r="C35" s="4218"/>
      <c r="D35" s="4217"/>
      <c r="E35" s="4217"/>
      <c r="F35" s="4217"/>
      <c r="G35" s="4217"/>
      <c r="H35" s="4217"/>
    </row>
    <row r="36" spans="1:8" s="4214" customFormat="1">
      <c r="A36" s="4218"/>
      <c r="B36" s="4219"/>
      <c r="C36" s="4218"/>
      <c r="D36" s="4217"/>
      <c r="E36" s="4217"/>
      <c r="F36" s="4217"/>
      <c r="G36" s="4217"/>
      <c r="H36" s="4217"/>
    </row>
    <row r="37" spans="1:8" s="4214" customFormat="1">
      <c r="A37" s="4218"/>
      <c r="B37" s="4219"/>
      <c r="C37" s="4218"/>
      <c r="D37" s="4217"/>
      <c r="E37" s="4217"/>
      <c r="F37" s="4217"/>
      <c r="G37" s="4217"/>
      <c r="H37" s="4217"/>
    </row>
    <row r="38" spans="1:8" s="4214" customFormat="1">
      <c r="A38" s="4218"/>
      <c r="B38" s="4219"/>
      <c r="C38" s="4218"/>
      <c r="D38" s="4217"/>
      <c r="E38" s="4217"/>
      <c r="F38" s="4217"/>
      <c r="G38" s="4217"/>
      <c r="H38" s="4217"/>
    </row>
    <row r="39" spans="1:8" s="4214" customFormat="1">
      <c r="A39" s="4218"/>
      <c r="B39" s="4219"/>
      <c r="C39" s="4218"/>
      <c r="D39" s="4217"/>
      <c r="E39" s="4217"/>
      <c r="F39" s="4217"/>
      <c r="G39" s="4217"/>
      <c r="H39" s="4217"/>
    </row>
    <row r="40" spans="1:8" s="4214" customFormat="1">
      <c r="A40" s="4218"/>
      <c r="B40" s="4219"/>
      <c r="C40" s="4218"/>
      <c r="D40" s="4217"/>
      <c r="E40" s="4217"/>
      <c r="F40" s="4217"/>
      <c r="G40" s="4217"/>
      <c r="H40" s="4217"/>
    </row>
    <row r="41" spans="1:8" s="4214" customFormat="1">
      <c r="A41" s="4218"/>
      <c r="B41" s="4219"/>
      <c r="C41" s="4218"/>
      <c r="D41" s="4217"/>
      <c r="E41" s="4217"/>
      <c r="F41" s="4217"/>
      <c r="G41" s="4217"/>
      <c r="H41" s="4217"/>
    </row>
    <row r="42" spans="1:8" s="4214" customFormat="1">
      <c r="A42" s="4218"/>
      <c r="B42" s="4219"/>
      <c r="C42" s="4218"/>
      <c r="D42" s="4217"/>
      <c r="E42" s="4217"/>
      <c r="F42" s="4217"/>
      <c r="G42" s="4217"/>
      <c r="H42" s="4217"/>
    </row>
    <row r="43" spans="1:8" s="4214" customFormat="1">
      <c r="A43" s="4218"/>
      <c r="B43" s="4219"/>
      <c r="C43" s="4218"/>
      <c r="D43" s="4217"/>
      <c r="E43" s="4217"/>
      <c r="F43" s="4217"/>
      <c r="G43" s="4217"/>
      <c r="H43" s="4217"/>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45"/>
  <sheetViews>
    <sheetView showGridLines="0" showOutlineSymbols="0" workbookViewId="0">
      <selection activeCell="C31" sqref="C31"/>
    </sheetView>
  </sheetViews>
  <sheetFormatPr defaultColWidth="12.5703125" defaultRowHeight="12.75" outlineLevelRow="2" outlineLevelCol="2"/>
  <cols>
    <col min="1" max="1" width="1.85546875" style="4213" customWidth="1"/>
    <col min="2" max="2" width="34.140625" style="4213" customWidth="1"/>
    <col min="3" max="3" width="11.5703125" style="4213" customWidth="1"/>
    <col min="4" max="4" width="9.140625" style="4213" customWidth="1"/>
    <col min="5" max="5" width="9" style="4213" customWidth="1"/>
    <col min="6" max="6" width="9.5703125" style="4213" customWidth="1"/>
    <col min="7" max="7" width="10.28515625" style="4213" customWidth="1"/>
    <col min="8" max="8" width="10.140625" style="4213"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3202</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9" s="4212" customFormat="1" ht="20.100000000000001" customHeight="1" outlineLevel="1">
      <c r="A17" s="4360" t="s">
        <v>407</v>
      </c>
      <c r="B17" s="4359"/>
      <c r="C17" s="4261"/>
      <c r="D17" s="4260">
        <f>SUM(D18:D25)</f>
        <v>604402.48</v>
      </c>
      <c r="E17" s="4260">
        <f>SUM(E18:E25)</f>
        <v>248269.47999999998</v>
      </c>
      <c r="F17" s="4260">
        <f>SUM(F18:F25)</f>
        <v>651730.52</v>
      </c>
      <c r="G17" s="4260">
        <f>SUM(G18:G25)</f>
        <v>900000</v>
      </c>
      <c r="H17" s="4260">
        <f>SUM(H18:H25)</f>
        <v>900000</v>
      </c>
    </row>
    <row r="18" spans="1:9" s="4292" customFormat="1" ht="18" customHeight="1" outlineLevel="1">
      <c r="A18" s="4358" t="s">
        <v>402</v>
      </c>
      <c r="B18" s="4356"/>
      <c r="C18" s="4296" t="s">
        <v>401</v>
      </c>
      <c r="D18" s="4295">
        <f>[39]PIO!$E$12</f>
        <v>5300</v>
      </c>
      <c r="E18" s="4315">
        <f>[40]PIO!$E$12</f>
        <v>5812</v>
      </c>
      <c r="F18" s="4241">
        <f>G18-E18</f>
        <v>14188</v>
      </c>
      <c r="G18" s="4315">
        <f>[40]PIO!$C$12</f>
        <v>20000</v>
      </c>
      <c r="H18" s="4241">
        <f>[41]PIO!$G$12</f>
        <v>20000</v>
      </c>
      <c r="I18" s="4293"/>
    </row>
    <row r="19" spans="1:9" s="4292" customFormat="1" ht="18" customHeight="1" outlineLevel="1">
      <c r="A19" s="4357" t="s">
        <v>674</v>
      </c>
      <c r="B19" s="4356"/>
      <c r="C19" s="4355" t="s">
        <v>396</v>
      </c>
      <c r="D19" s="4295">
        <f>[39]PIO!$E$13</f>
        <v>5950</v>
      </c>
      <c r="E19" s="4315">
        <f>[40]PIO!$E$13</f>
        <v>4485</v>
      </c>
      <c r="F19" s="4241">
        <f>G19-E19</f>
        <v>25515</v>
      </c>
      <c r="G19" s="4315">
        <f>[40]PIO!$C$13</f>
        <v>30000</v>
      </c>
      <c r="H19" s="4241">
        <f>[41]PIO!$G$13</f>
        <v>30000</v>
      </c>
      <c r="I19" s="4293"/>
    </row>
    <row r="20" spans="1:9" s="4239" customFormat="1" ht="18" customHeight="1" outlineLevel="1">
      <c r="A20" s="4252" t="s">
        <v>878</v>
      </c>
      <c r="B20" s="4249"/>
      <c r="C20" s="4248" t="s">
        <v>394</v>
      </c>
      <c r="D20" s="4244">
        <f>[39]PIO!$E$14</f>
        <v>308000</v>
      </c>
      <c r="E20" s="4255">
        <f>[40]PIO!$E$14</f>
        <v>89540</v>
      </c>
      <c r="F20" s="4243">
        <f>G20-E20</f>
        <v>310460</v>
      </c>
      <c r="G20" s="4255">
        <f>[40]PIO!$C$14</f>
        <v>400000</v>
      </c>
      <c r="H20" s="4241">
        <f>[41]PIO!$G$14</f>
        <v>400000</v>
      </c>
      <c r="I20" s="4240"/>
    </row>
    <row r="21" spans="1:9" s="4239" customFormat="1" ht="18" customHeight="1" outlineLevel="1">
      <c r="A21" s="4250" t="s">
        <v>3201</v>
      </c>
      <c r="B21" s="4249"/>
      <c r="C21" s="4248" t="s">
        <v>1265</v>
      </c>
      <c r="D21" s="4244">
        <f>[39]PIO!$E$15</f>
        <v>212700</v>
      </c>
      <c r="E21" s="4255">
        <f>[40]PIO!$E$15</f>
        <v>56500</v>
      </c>
      <c r="F21" s="4243">
        <f>G21-E21</f>
        <v>167900</v>
      </c>
      <c r="G21" s="4255">
        <f>[40]PIO!$C$15</f>
        <v>224400</v>
      </c>
      <c r="H21" s="4241">
        <f>[41]PIO!$G$15</f>
        <v>224400</v>
      </c>
      <c r="I21" s="4240"/>
    </row>
    <row r="22" spans="1:9" s="4239" customFormat="1" ht="18" customHeight="1" outlineLevel="1">
      <c r="A22" s="4250" t="s">
        <v>389</v>
      </c>
      <c r="B22" s="4249"/>
      <c r="C22" s="4248" t="s">
        <v>388</v>
      </c>
      <c r="D22" s="4244">
        <f>[39]PIO!$E$16</f>
        <v>51587.479999999996</v>
      </c>
      <c r="E22" s="4242">
        <f>[40]PIO!$E$16</f>
        <v>72587.48</v>
      </c>
      <c r="F22" s="4243">
        <f>G22-E22</f>
        <v>93012.52</v>
      </c>
      <c r="G22" s="4242">
        <f>[40]PIO!$C$16</f>
        <v>165600</v>
      </c>
      <c r="H22" s="4241">
        <f>[41]PIO!$G$16</f>
        <v>165600</v>
      </c>
      <c r="I22" s="4240"/>
    </row>
    <row r="23" spans="1:9" s="4239" customFormat="1" ht="18" customHeight="1" outlineLevel="1">
      <c r="A23" s="4250" t="s">
        <v>566</v>
      </c>
      <c r="B23" s="4249"/>
      <c r="C23" s="4248"/>
      <c r="D23" s="4244"/>
      <c r="E23" s="4242"/>
      <c r="F23" s="4243"/>
      <c r="G23" s="4242"/>
      <c r="H23" s="4241"/>
      <c r="I23" s="4240"/>
    </row>
    <row r="24" spans="1:9" s="4239" customFormat="1" ht="18" customHeight="1" outlineLevel="1">
      <c r="A24" s="4250"/>
      <c r="B24" s="4249" t="s">
        <v>2328</v>
      </c>
      <c r="C24" s="4248" t="s">
        <v>2327</v>
      </c>
      <c r="D24" s="4244">
        <f>[39]PIO!$E$17</f>
        <v>0</v>
      </c>
      <c r="E24" s="4242">
        <f>[40]PIO!$E$17</f>
        <v>0</v>
      </c>
      <c r="F24" s="4243">
        <f>G24-E24</f>
        <v>30000</v>
      </c>
      <c r="G24" s="4242">
        <f>[40]PIO!$C$17</f>
        <v>30000</v>
      </c>
      <c r="H24" s="4241">
        <f>[41]PIO!$G$18</f>
        <v>30000</v>
      </c>
      <c r="I24" s="4240"/>
    </row>
    <row r="25" spans="1:9" s="4239" customFormat="1" ht="18" customHeight="1" outlineLevel="1" thickBot="1">
      <c r="A25" s="4247" t="s">
        <v>693</v>
      </c>
      <c r="B25" s="4246"/>
      <c r="C25" s="4245" t="s">
        <v>367</v>
      </c>
      <c r="D25" s="4244">
        <f>[39]PIO!$E$18</f>
        <v>20865</v>
      </c>
      <c r="E25" s="4242">
        <f>[40]PIO!$E$18</f>
        <v>19345</v>
      </c>
      <c r="F25" s="4243">
        <f>G25-E25</f>
        <v>10655</v>
      </c>
      <c r="G25" s="4242">
        <f>[40]PIO!$C$18</f>
        <v>30000</v>
      </c>
      <c r="H25" s="4241">
        <f>[41]PIO!$G$19</f>
        <v>30000</v>
      </c>
      <c r="I25" s="4240"/>
    </row>
    <row r="26" spans="1:9" s="4239" customFormat="1" ht="18" customHeight="1" outlineLevel="1" thickBot="1">
      <c r="A26" s="4291" t="s">
        <v>775</v>
      </c>
      <c r="B26" s="4290"/>
      <c r="C26" s="4289"/>
      <c r="D26" s="4306">
        <v>0</v>
      </c>
      <c r="E26" s="4288">
        <v>0</v>
      </c>
      <c r="F26" s="4354">
        <v>0</v>
      </c>
      <c r="G26" s="4288">
        <f>G27</f>
        <v>0</v>
      </c>
      <c r="H26" s="4353">
        <f>H27</f>
        <v>0</v>
      </c>
      <c r="I26" s="4240"/>
    </row>
    <row r="27" spans="1:9" s="4239" customFormat="1" ht="18" customHeight="1" outlineLevel="1">
      <c r="A27" s="4285" t="s">
        <v>2785</v>
      </c>
      <c r="B27" s="4246"/>
      <c r="C27" s="4284" t="s">
        <v>2784</v>
      </c>
      <c r="D27" s="4244">
        <v>0</v>
      </c>
      <c r="E27" s="4242">
        <v>0</v>
      </c>
      <c r="F27" s="4243">
        <v>0</v>
      </c>
      <c r="G27" s="4242">
        <v>0</v>
      </c>
      <c r="H27" s="4241">
        <v>0</v>
      </c>
      <c r="I27" s="4240"/>
    </row>
    <row r="28" spans="1:9" ht="20.100000000000001" customHeight="1" outlineLevel="2" thickBot="1">
      <c r="A28" s="4238" t="s">
        <v>366</v>
      </c>
      <c r="B28" s="4236"/>
      <c r="C28" s="4237"/>
      <c r="D28" s="4236">
        <f>D26+D17</f>
        <v>604402.48</v>
      </c>
      <c r="E28" s="4236">
        <f>E26+E17</f>
        <v>248269.47999999998</v>
      </c>
      <c r="F28" s="4236">
        <f>F26+F17</f>
        <v>651730.52</v>
      </c>
      <c r="G28" s="4236">
        <f>G26+G17</f>
        <v>900000</v>
      </c>
      <c r="H28" s="4235">
        <f>H26+H17</f>
        <v>900000</v>
      </c>
    </row>
    <row r="29" spans="1:9" ht="20.100000000000001" customHeight="1" outlineLevel="2" thickTop="1">
      <c r="A29" s="4233"/>
      <c r="B29" s="4233"/>
      <c r="C29" s="4234"/>
      <c r="D29" s="4233"/>
      <c r="E29" s="4233"/>
      <c r="F29" s="4233"/>
      <c r="G29" s="4233"/>
      <c r="H29" s="4233"/>
    </row>
    <row r="30" spans="1:9" s="4220" customFormat="1" ht="14.25" customHeight="1">
      <c r="A30" s="4225" t="s">
        <v>3163</v>
      </c>
      <c r="B30" s="4225"/>
      <c r="C30" s="4222" t="s">
        <v>363</v>
      </c>
      <c r="D30" s="4222"/>
      <c r="E30" s="4225"/>
      <c r="F30" s="4225" t="s">
        <v>2311</v>
      </c>
      <c r="G30" s="4222"/>
      <c r="H30" s="4222"/>
    </row>
    <row r="31" spans="1:9" s="4220" customFormat="1" ht="14.25" customHeight="1">
      <c r="A31" s="4225"/>
      <c r="B31" s="4225"/>
      <c r="C31" s="4222"/>
      <c r="D31" s="4222"/>
      <c r="E31" s="4225"/>
      <c r="F31" s="4225"/>
      <c r="G31" s="4222"/>
      <c r="H31" s="4222"/>
    </row>
    <row r="32" spans="1:9" s="4220" customFormat="1" ht="14.25" customHeight="1">
      <c r="A32" s="4225"/>
      <c r="B32" s="4225"/>
      <c r="C32" s="4222"/>
      <c r="D32" s="4222"/>
      <c r="E32" s="4225"/>
      <c r="F32" s="4225"/>
      <c r="G32" s="4222"/>
      <c r="H32" s="4222"/>
    </row>
    <row r="33" spans="1:9" s="4220" customFormat="1" ht="14.25" customHeight="1">
      <c r="A33" s="4352"/>
      <c r="B33" s="4352" t="s">
        <v>312</v>
      </c>
      <c r="C33" s="4228" t="s">
        <v>3162</v>
      </c>
      <c r="D33" s="4222"/>
      <c r="E33" s="4227"/>
      <c r="F33" s="4227" t="s">
        <v>359</v>
      </c>
      <c r="G33" s="4222"/>
      <c r="H33" s="4222"/>
    </row>
    <row r="34" spans="1:9" s="4220" customFormat="1" ht="14.25" customHeight="1">
      <c r="A34" s="4351"/>
      <c r="B34" s="4351" t="s">
        <v>3200</v>
      </c>
      <c r="C34" s="4224" t="s">
        <v>3160</v>
      </c>
      <c r="D34" s="4222"/>
      <c r="E34" s="4223"/>
      <c r="F34" s="4223" t="s">
        <v>3159</v>
      </c>
      <c r="G34" s="4222"/>
      <c r="H34" s="4222"/>
    </row>
    <row r="35" spans="1:9" s="4214" customFormat="1">
      <c r="A35" s="4218"/>
      <c r="B35" s="4219"/>
      <c r="C35" s="4218"/>
      <c r="D35" s="4217"/>
      <c r="E35" s="4217"/>
      <c r="F35" s="4217"/>
      <c r="G35" s="4217"/>
      <c r="H35" s="4217"/>
      <c r="I35" s="4282"/>
    </row>
    <row r="36" spans="1:9" s="4214" customFormat="1">
      <c r="A36" s="4218"/>
      <c r="B36" s="4219"/>
      <c r="C36" s="4218"/>
      <c r="D36" s="4217"/>
      <c r="E36" s="4217"/>
      <c r="F36" s="4217"/>
      <c r="G36" s="4217"/>
      <c r="H36" s="4217"/>
      <c r="I36" s="4282"/>
    </row>
    <row r="37" spans="1:9" s="4214" customFormat="1">
      <c r="A37" s="4218"/>
      <c r="B37" s="4219"/>
      <c r="C37" s="4218"/>
      <c r="D37" s="4217"/>
      <c r="E37" s="4217"/>
      <c r="F37" s="4217"/>
      <c r="G37" s="4217"/>
      <c r="H37" s="4217"/>
      <c r="I37" s="4282"/>
    </row>
    <row r="38" spans="1:9" s="4214" customFormat="1">
      <c r="A38" s="4218"/>
      <c r="B38" s="4321"/>
      <c r="C38" s="4218"/>
      <c r="D38" s="4217"/>
      <c r="E38" s="4217"/>
      <c r="F38" s="4217"/>
      <c r="G38" s="4217"/>
      <c r="H38" s="4217"/>
      <c r="I38" s="4282"/>
    </row>
    <row r="39" spans="1:9" s="4214" customFormat="1">
      <c r="A39" s="4218"/>
      <c r="B39" s="4219"/>
      <c r="C39" s="4218"/>
      <c r="D39" s="4217"/>
      <c r="E39" s="4217"/>
      <c r="F39" s="4217"/>
      <c r="G39" s="4217"/>
      <c r="H39" s="4217"/>
      <c r="I39" s="4282"/>
    </row>
    <row r="40" spans="1:9" s="4214" customFormat="1">
      <c r="A40" s="4218"/>
      <c r="B40" s="4219"/>
      <c r="C40" s="4218"/>
      <c r="D40" s="4217"/>
      <c r="E40" s="4217"/>
      <c r="F40" s="4217"/>
      <c r="G40" s="4217"/>
      <c r="H40" s="4217"/>
      <c r="I40" s="4282"/>
    </row>
    <row r="41" spans="1:9" s="4214" customFormat="1">
      <c r="A41" s="4218"/>
      <c r="B41" s="4219"/>
      <c r="C41" s="4218"/>
      <c r="D41" s="4217"/>
      <c r="E41" s="4217"/>
      <c r="F41" s="4217"/>
      <c r="G41" s="4217"/>
      <c r="H41" s="4217"/>
      <c r="I41" s="4282"/>
    </row>
    <row r="42" spans="1:9" s="4214" customFormat="1">
      <c r="A42" s="4218"/>
      <c r="B42" s="4219"/>
      <c r="C42" s="4218"/>
      <c r="D42" s="4217"/>
      <c r="E42" s="4217"/>
      <c r="F42" s="4217"/>
      <c r="G42" s="4217"/>
      <c r="H42" s="4217"/>
      <c r="I42" s="4282"/>
    </row>
    <row r="43" spans="1:9" s="4214" customFormat="1">
      <c r="A43" s="4218"/>
      <c r="B43" s="4219"/>
      <c r="C43" s="4218"/>
      <c r="D43" s="4217"/>
      <c r="E43" s="4217"/>
      <c r="F43" s="4217"/>
      <c r="G43" s="4217"/>
      <c r="H43" s="4217"/>
      <c r="I43" s="4282"/>
    </row>
    <row r="44" spans="1:9" s="4214" customFormat="1">
      <c r="A44" s="4218"/>
      <c r="B44" s="4219"/>
      <c r="C44" s="4218"/>
      <c r="D44" s="4217"/>
      <c r="E44" s="4217"/>
      <c r="F44" s="4217"/>
      <c r="G44" s="4217"/>
      <c r="H44" s="4217"/>
      <c r="I44" s="4282"/>
    </row>
    <row r="45" spans="1:9" s="4214" customFormat="1">
      <c r="A45" s="4218"/>
      <c r="B45" s="4219"/>
      <c r="C45" s="4218"/>
      <c r="D45" s="4217"/>
      <c r="E45" s="4217"/>
      <c r="F45" s="4217"/>
      <c r="G45" s="4217"/>
      <c r="H45" s="4217"/>
      <c r="I45" s="4282"/>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49"/>
  <sheetViews>
    <sheetView showGridLines="0" showOutlineSymbols="0" workbookViewId="0">
      <selection activeCell="G29" sqref="G29"/>
    </sheetView>
  </sheetViews>
  <sheetFormatPr defaultColWidth="12.5703125" defaultRowHeight="12.75" outlineLevelRow="2" outlineLevelCol="2"/>
  <cols>
    <col min="1" max="1" width="1.85546875" style="4213" customWidth="1"/>
    <col min="2" max="2" width="33.85546875" style="4213" customWidth="1"/>
    <col min="3" max="3" width="12" style="4213" customWidth="1"/>
    <col min="4" max="4" width="10.5703125" style="4213" customWidth="1"/>
    <col min="5" max="5" width="10.42578125" style="4213" customWidth="1"/>
    <col min="6" max="6" width="10.28515625" style="4213" customWidth="1"/>
    <col min="7" max="7" width="11" style="4213" customWidth="1"/>
    <col min="8" max="8" width="10.28515625" style="4213"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275"/>
      <c r="B7" s="4275"/>
      <c r="C7" s="4275"/>
      <c r="D7" s="4275"/>
      <c r="E7" s="4275"/>
      <c r="F7" s="4275"/>
      <c r="G7" s="4275"/>
      <c r="H7" s="4275"/>
    </row>
    <row r="8" spans="1:8" ht="14.25" customHeight="1">
      <c r="A8" s="4275"/>
      <c r="B8" s="4275"/>
      <c r="C8" s="4275"/>
      <c r="D8" s="4275"/>
      <c r="E8" s="4275"/>
      <c r="F8" s="4275"/>
      <c r="G8" s="4275"/>
      <c r="H8" s="4275"/>
    </row>
    <row r="9" spans="1:8" ht="14.25" customHeight="1">
      <c r="A9" s="4274" t="s">
        <v>3169</v>
      </c>
      <c r="B9" s="4274"/>
    </row>
    <row r="10" spans="1:8" ht="14.25" customHeight="1">
      <c r="A10" s="4273" t="s">
        <v>3206</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9" s="4212" customFormat="1" ht="20.100000000000001" customHeight="1" outlineLevel="1">
      <c r="A17" s="4263" t="s">
        <v>407</v>
      </c>
      <c r="B17" s="4262"/>
      <c r="C17" s="4261"/>
      <c r="D17" s="4260">
        <f>SUM(D18:D31)</f>
        <v>4521240.1500000004</v>
      </c>
      <c r="E17" s="4260">
        <f>SUM(E18:E31)</f>
        <v>1883997.1230000001</v>
      </c>
      <c r="F17" s="4260">
        <f>SUM(F18:F31)</f>
        <v>3461002.8770000003</v>
      </c>
      <c r="G17" s="4260">
        <f>SUM(G18:G31)</f>
        <v>5345000</v>
      </c>
      <c r="H17" s="4260">
        <f>SUM(H18:H31)</f>
        <v>5220000</v>
      </c>
    </row>
    <row r="18" spans="1:9" s="4240" customFormat="1" ht="18" customHeight="1" outlineLevel="1">
      <c r="A18" s="4254" t="s">
        <v>2352</v>
      </c>
      <c r="B18" s="4246"/>
      <c r="C18" s="4259" t="s">
        <v>405</v>
      </c>
      <c r="D18" s="4258">
        <f>[39]CLDO!$E$12</f>
        <v>62014</v>
      </c>
      <c r="E18" s="4257">
        <f>[40]CLDO!$E$12</f>
        <v>42494</v>
      </c>
      <c r="F18" s="4243">
        <f t="shared" ref="F18:F25" si="0">G18-E18</f>
        <v>57506</v>
      </c>
      <c r="G18" s="4257">
        <f>[40]CLDO!$C$12</f>
        <v>100000</v>
      </c>
      <c r="H18" s="4256">
        <f>[41]CLDO!$H$12</f>
        <v>100000</v>
      </c>
      <c r="I18" s="4300"/>
    </row>
    <row r="19" spans="1:9" s="4240" customFormat="1" ht="18" customHeight="1" outlineLevel="1">
      <c r="A19" s="4250" t="s">
        <v>404</v>
      </c>
      <c r="B19" s="4249"/>
      <c r="C19" s="4248" t="s">
        <v>403</v>
      </c>
      <c r="D19" s="4244">
        <f>[39]CLDO!$E$13</f>
        <v>50069</v>
      </c>
      <c r="E19" s="4255">
        <f>[40]CLDO!$E$13</f>
        <v>0</v>
      </c>
      <c r="F19" s="4243">
        <f t="shared" si="0"/>
        <v>250000</v>
      </c>
      <c r="G19" s="4255">
        <f>[40]CLDO!$C$13</f>
        <v>250000</v>
      </c>
      <c r="H19" s="4241">
        <v>125000</v>
      </c>
      <c r="I19" s="4300"/>
    </row>
    <row r="20" spans="1:9" s="4239" customFormat="1" ht="18" customHeight="1" outlineLevel="1">
      <c r="A20" s="4247" t="s">
        <v>402</v>
      </c>
      <c r="B20" s="4246"/>
      <c r="C20" s="4248" t="s">
        <v>401</v>
      </c>
      <c r="D20" s="4244">
        <f>[39]CLDO!$E$14</f>
        <v>112223.75</v>
      </c>
      <c r="E20" s="4255">
        <f>[40]CLDO!$E$14</f>
        <v>61647.1</v>
      </c>
      <c r="F20" s="4243">
        <f t="shared" si="0"/>
        <v>88352.9</v>
      </c>
      <c r="G20" s="4255">
        <f>[40]CLDO!$C$14</f>
        <v>150000</v>
      </c>
      <c r="H20" s="4241">
        <f>[41]CLDO!$H$14</f>
        <v>150000</v>
      </c>
      <c r="I20" s="4240"/>
    </row>
    <row r="21" spans="1:9" s="4239" customFormat="1" ht="18" customHeight="1" outlineLevel="1">
      <c r="A21" s="4250" t="s">
        <v>674</v>
      </c>
      <c r="B21" s="4249"/>
      <c r="C21" s="4248" t="s">
        <v>396</v>
      </c>
      <c r="D21" s="4244">
        <f>[39]CLDO!$E$15</f>
        <v>114332.63</v>
      </c>
      <c r="E21" s="4255">
        <f>[40]CLDO!$E$15</f>
        <v>40869.160000000003</v>
      </c>
      <c r="F21" s="4243">
        <f t="shared" si="0"/>
        <v>336130.83999999997</v>
      </c>
      <c r="G21" s="4255">
        <f>[40]CLDO!$C$15</f>
        <v>377000</v>
      </c>
      <c r="H21" s="4241">
        <f>[41]CLDO!$H$15</f>
        <v>377000</v>
      </c>
      <c r="I21" s="4240"/>
    </row>
    <row r="22" spans="1:9" s="4239" customFormat="1" ht="18" customHeight="1" outlineLevel="1">
      <c r="A22" s="4250" t="s">
        <v>673</v>
      </c>
      <c r="B22" s="4249"/>
      <c r="C22" s="4248" t="s">
        <v>1269</v>
      </c>
      <c r="D22" s="4244">
        <f>[39]CLDO!$E$16</f>
        <v>1519.1999999999998</v>
      </c>
      <c r="E22" s="4255">
        <f>[40]CLDO!$E$16</f>
        <v>600</v>
      </c>
      <c r="F22" s="4243">
        <f t="shared" si="0"/>
        <v>9400</v>
      </c>
      <c r="G22" s="4255">
        <f>[40]CLDO!$C$16</f>
        <v>10000</v>
      </c>
      <c r="H22" s="4241">
        <f>[41]CLDO!$H$16</f>
        <v>10000</v>
      </c>
      <c r="I22" s="4240"/>
    </row>
    <row r="23" spans="1:9" s="4239" customFormat="1" ht="18" customHeight="1" outlineLevel="1">
      <c r="A23" s="4250" t="s">
        <v>1266</v>
      </c>
      <c r="B23" s="4249"/>
      <c r="C23" s="4248" t="s">
        <v>1265</v>
      </c>
      <c r="D23" s="4244">
        <f>[39]CLDO!$E$17</f>
        <v>224678.72999999998</v>
      </c>
      <c r="E23" s="4255">
        <f>[40]CLDO!$E$17</f>
        <v>126024.273</v>
      </c>
      <c r="F23" s="4243">
        <f t="shared" si="0"/>
        <v>173975.72700000001</v>
      </c>
      <c r="G23" s="4255">
        <f>[40]CLDO!$C$17</f>
        <v>300000</v>
      </c>
      <c r="H23" s="4241">
        <f>[41]CLDO!$H$17</f>
        <v>300000</v>
      </c>
      <c r="I23" s="4240"/>
    </row>
    <row r="24" spans="1:9" s="4239" customFormat="1" ht="18" customHeight="1" outlineLevel="1">
      <c r="A24" s="4252" t="s">
        <v>699</v>
      </c>
      <c r="B24" s="4249"/>
      <c r="C24" s="4248" t="s">
        <v>390</v>
      </c>
      <c r="D24" s="4244">
        <f>[39]CLDO!$E$18</f>
        <v>29774.510000000002</v>
      </c>
      <c r="E24" s="4255">
        <f>[40]CLDO!$E$18</f>
        <v>12983</v>
      </c>
      <c r="F24" s="4243">
        <f t="shared" si="0"/>
        <v>17017</v>
      </c>
      <c r="G24" s="4255">
        <f>[40]CLDO!$C$18</f>
        <v>30000</v>
      </c>
      <c r="H24" s="4318">
        <f>[41]CLDO!$H$18</f>
        <v>30000</v>
      </c>
      <c r="I24" s="4253" t="s">
        <v>3190</v>
      </c>
    </row>
    <row r="25" spans="1:9" s="4239" customFormat="1" ht="18" customHeight="1" outlineLevel="1">
      <c r="A25" s="4250" t="s">
        <v>389</v>
      </c>
      <c r="B25" s="4249"/>
      <c r="C25" s="4248" t="s">
        <v>388</v>
      </c>
      <c r="D25" s="4244">
        <f>[39]CLDO!$E$19</f>
        <v>3599971.83</v>
      </c>
      <c r="E25" s="4242">
        <f>[40]CLDO!$E$19</f>
        <v>1469250</v>
      </c>
      <c r="F25" s="4243">
        <f t="shared" si="0"/>
        <v>2173750</v>
      </c>
      <c r="G25" s="4242">
        <f>[40]CLDO!$C$19</f>
        <v>3643000</v>
      </c>
      <c r="H25" s="4241">
        <f>[41]CLDO!$H$19</f>
        <v>3643000</v>
      </c>
      <c r="I25" s="4251">
        <v>222000</v>
      </c>
    </row>
    <row r="26" spans="1:9" s="4239" customFormat="1" ht="18" customHeight="1" outlineLevel="1">
      <c r="A26" s="4250" t="s">
        <v>3180</v>
      </c>
      <c r="B26" s="4249"/>
      <c r="C26" s="4248"/>
      <c r="D26" s="4244"/>
      <c r="E26" s="4242"/>
      <c r="F26" s="4243"/>
      <c r="G26" s="4242"/>
      <c r="H26" s="4241"/>
      <c r="I26" s="4240"/>
    </row>
    <row r="27" spans="1:9" s="4239" customFormat="1" ht="18" customHeight="1" outlineLevel="1">
      <c r="A27" s="4250"/>
      <c r="B27" s="4249" t="s">
        <v>2336</v>
      </c>
      <c r="C27" s="4248" t="s">
        <v>2335</v>
      </c>
      <c r="D27" s="4244">
        <f>[39]CLDO!$E$20</f>
        <v>73280</v>
      </c>
      <c r="E27" s="4242">
        <f>[40]CLDO!$E$20</f>
        <v>1950</v>
      </c>
      <c r="F27" s="4243">
        <f>G27-E27</f>
        <v>128050</v>
      </c>
      <c r="G27" s="4242">
        <f>[40]CLDO!$C$20</f>
        <v>130000</v>
      </c>
      <c r="H27" s="4241">
        <f>[41]CLDO!$H$21</f>
        <v>130000</v>
      </c>
      <c r="I27" s="4240"/>
    </row>
    <row r="28" spans="1:9" s="4239" customFormat="1" ht="18" customHeight="1" outlineLevel="1">
      <c r="A28" s="4250" t="s">
        <v>566</v>
      </c>
      <c r="B28" s="4249"/>
      <c r="C28" s="4248"/>
      <c r="D28" s="4244"/>
      <c r="E28" s="4242"/>
      <c r="F28" s="4243"/>
      <c r="G28" s="4242"/>
      <c r="H28" s="4241"/>
      <c r="I28" s="4240"/>
    </row>
    <row r="29" spans="1:9" s="4239" customFormat="1" ht="18" customHeight="1" outlineLevel="1">
      <c r="A29" s="4250"/>
      <c r="B29" s="4249" t="s">
        <v>2370</v>
      </c>
      <c r="C29" s="4248" t="s">
        <v>2327</v>
      </c>
      <c r="D29" s="4244">
        <f>[39]CLDO!$E$21</f>
        <v>113520</v>
      </c>
      <c r="E29" s="4242">
        <f>[40]CLDO!$E$21</f>
        <v>22415</v>
      </c>
      <c r="F29" s="4243">
        <f>G29-E29</f>
        <v>177585</v>
      </c>
      <c r="G29" s="4242">
        <f>[40]CLDO!$C$21</f>
        <v>200000</v>
      </c>
      <c r="H29" s="4241">
        <f>[41]CLDO!$H$23</f>
        <v>200000</v>
      </c>
      <c r="I29" s="4240"/>
    </row>
    <row r="30" spans="1:9" s="4239" customFormat="1" ht="18" customHeight="1" outlineLevel="1">
      <c r="A30" s="4250" t="s">
        <v>370</v>
      </c>
      <c r="B30" s="4249"/>
      <c r="C30" s="4248" t="s">
        <v>369</v>
      </c>
      <c r="D30" s="4244">
        <f>[39]CLDO!$E$22</f>
        <v>1500</v>
      </c>
      <c r="E30" s="4242">
        <f>[40]CLDO!$E$22</f>
        <v>0</v>
      </c>
      <c r="F30" s="4243">
        <f>G30-E30</f>
        <v>5000</v>
      </c>
      <c r="G30" s="4242">
        <f>[40]CLDO!$C$22</f>
        <v>5000</v>
      </c>
      <c r="H30" s="4241">
        <f>[41]CLDO!$H$24</f>
        <v>5000</v>
      </c>
      <c r="I30" s="4240"/>
    </row>
    <row r="31" spans="1:9" s="4239" customFormat="1" ht="18" customHeight="1" outlineLevel="1">
      <c r="A31" s="4247" t="s">
        <v>3205</v>
      </c>
      <c r="B31" s="4246"/>
      <c r="C31" s="4245" t="s">
        <v>367</v>
      </c>
      <c r="D31" s="4244">
        <f>[39]CLDO!$E$23</f>
        <v>138356.5</v>
      </c>
      <c r="E31" s="4242">
        <f>[40]CLDO!$E$23</f>
        <v>105764.59</v>
      </c>
      <c r="F31" s="4243">
        <f>G31-E31</f>
        <v>44235.41</v>
      </c>
      <c r="G31" s="4242">
        <f>[40]CLDO!$C$23</f>
        <v>150000</v>
      </c>
      <c r="H31" s="4241">
        <f>[41]CLDO!$H$25</f>
        <v>150000</v>
      </c>
      <c r="I31" s="4240"/>
    </row>
    <row r="32" spans="1:9" ht="20.100000000000001" customHeight="1" outlineLevel="2" thickBot="1">
      <c r="A32" s="4314" t="s">
        <v>366</v>
      </c>
      <c r="B32" s="4236"/>
      <c r="C32" s="4237"/>
      <c r="D32" s="4236">
        <f>D17</f>
        <v>4521240.1500000004</v>
      </c>
      <c r="E32" s="4236">
        <f>E17</f>
        <v>1883997.1230000001</v>
      </c>
      <c r="F32" s="4236">
        <f>F17</f>
        <v>3461002.8770000003</v>
      </c>
      <c r="G32" s="4236">
        <f>G17</f>
        <v>5345000</v>
      </c>
      <c r="H32" s="4236">
        <f>H17</f>
        <v>5220000</v>
      </c>
    </row>
    <row r="33" spans="1:9" ht="20.100000000000001" customHeight="1" outlineLevel="2" thickTop="1">
      <c r="A33" s="4233"/>
      <c r="B33" s="4233"/>
      <c r="C33" s="4234"/>
      <c r="D33" s="4233"/>
      <c r="E33" s="4233"/>
      <c r="F33" s="4233"/>
      <c r="G33" s="4233"/>
      <c r="H33" s="4361"/>
    </row>
    <row r="34" spans="1:9" s="4220" customFormat="1" ht="14.25" customHeight="1">
      <c r="A34" s="4225" t="s">
        <v>3163</v>
      </c>
      <c r="B34" s="4222"/>
      <c r="C34" s="4222" t="s">
        <v>363</v>
      </c>
      <c r="D34" s="4222"/>
      <c r="E34" s="4225"/>
      <c r="F34" s="4225" t="s">
        <v>2311</v>
      </c>
      <c r="G34" s="4222"/>
      <c r="H34" s="4222"/>
    </row>
    <row r="35" spans="1:9" s="4220" customFormat="1" ht="14.25" customHeight="1">
      <c r="A35" s="4225"/>
      <c r="B35" s="4222"/>
      <c r="C35" s="4222"/>
      <c r="D35" s="4222"/>
      <c r="E35" s="4225"/>
      <c r="F35" s="4225"/>
      <c r="G35" s="4222"/>
      <c r="H35" s="4222"/>
    </row>
    <row r="36" spans="1:9" s="4220" customFormat="1" ht="14.25" customHeight="1">
      <c r="A36" s="4225"/>
      <c r="B36" s="4222"/>
      <c r="C36" s="4222"/>
      <c r="D36" s="4222"/>
      <c r="E36" s="4225"/>
      <c r="F36" s="4225"/>
      <c r="G36" s="4222"/>
      <c r="H36" s="4222"/>
    </row>
    <row r="37" spans="1:9" s="4220" customFormat="1" ht="14.25" customHeight="1">
      <c r="A37" s="4229" t="s">
        <v>3204</v>
      </c>
      <c r="B37" s="4226"/>
      <c r="C37" s="4228" t="s">
        <v>3162</v>
      </c>
      <c r="D37" s="4222"/>
      <c r="E37" s="4227"/>
      <c r="F37" s="4227" t="s">
        <v>359</v>
      </c>
      <c r="G37" s="4222"/>
      <c r="H37" s="4222"/>
    </row>
    <row r="38" spans="1:9" s="4220" customFormat="1" ht="14.25" customHeight="1">
      <c r="A38" s="4222" t="s">
        <v>3203</v>
      </c>
      <c r="B38" s="4226"/>
      <c r="C38" s="4224" t="s">
        <v>3160</v>
      </c>
      <c r="D38" s="4222"/>
      <c r="E38" s="4223"/>
      <c r="F38" s="4223" t="s">
        <v>3159</v>
      </c>
      <c r="G38" s="4222"/>
      <c r="H38" s="4222"/>
    </row>
    <row r="39" spans="1:9" s="4214" customFormat="1">
      <c r="A39" s="4218"/>
      <c r="B39" s="4219"/>
      <c r="C39" s="4218"/>
      <c r="D39" s="4217"/>
      <c r="E39" s="4217"/>
      <c r="F39" s="4217"/>
      <c r="G39" s="4217"/>
      <c r="H39" s="4217"/>
      <c r="I39" s="4282"/>
    </row>
    <row r="40" spans="1:9" s="4214" customFormat="1">
      <c r="A40" s="4218"/>
      <c r="B40" s="4219"/>
      <c r="C40" s="4218"/>
      <c r="D40" s="4217"/>
      <c r="E40" s="4217"/>
      <c r="F40" s="4217"/>
      <c r="G40" s="4217"/>
      <c r="H40" s="4217"/>
      <c r="I40" s="4282"/>
    </row>
    <row r="41" spans="1:9" s="4214" customFormat="1">
      <c r="A41" s="4218"/>
      <c r="B41" s="4219"/>
      <c r="C41" s="4218"/>
      <c r="D41" s="4217"/>
      <c r="E41" s="4217"/>
      <c r="F41" s="4217"/>
      <c r="G41" s="4217"/>
      <c r="H41" s="4217"/>
      <c r="I41" s="4282"/>
    </row>
    <row r="42" spans="1:9" s="4214" customFormat="1">
      <c r="A42" s="4218"/>
      <c r="B42" s="4219"/>
      <c r="C42" s="4218"/>
      <c r="D42" s="4217"/>
      <c r="E42" s="4217"/>
      <c r="F42" s="4217"/>
      <c r="G42" s="4217"/>
      <c r="H42" s="4217"/>
      <c r="I42" s="4282"/>
    </row>
    <row r="43" spans="1:9" s="4214" customFormat="1">
      <c r="A43" s="4218"/>
      <c r="B43" s="4219"/>
      <c r="C43" s="4218"/>
      <c r="D43" s="4217"/>
      <c r="E43" s="4217"/>
      <c r="F43" s="4217"/>
      <c r="G43" s="4217"/>
      <c r="H43" s="4217"/>
      <c r="I43" s="4282"/>
    </row>
    <row r="44" spans="1:9" s="4214" customFormat="1">
      <c r="A44" s="4218"/>
      <c r="B44" s="4219"/>
      <c r="C44" s="4218"/>
      <c r="D44" s="4217"/>
      <c r="E44" s="4217"/>
      <c r="F44" s="4217"/>
      <c r="G44" s="4217"/>
      <c r="H44" s="4217"/>
      <c r="I44" s="4282"/>
    </row>
    <row r="45" spans="1:9" s="4214" customFormat="1">
      <c r="A45" s="4218"/>
      <c r="B45" s="4219"/>
      <c r="C45" s="4218"/>
      <c r="D45" s="4217"/>
      <c r="E45" s="4217"/>
      <c r="F45" s="4217"/>
      <c r="G45" s="4217"/>
      <c r="H45" s="4217"/>
      <c r="I45" s="4282"/>
    </row>
    <row r="46" spans="1:9" s="4214" customFormat="1">
      <c r="A46" s="4218"/>
      <c r="B46" s="4219"/>
      <c r="C46" s="4218"/>
      <c r="D46" s="4217"/>
      <c r="E46" s="4217"/>
      <c r="F46" s="4217"/>
      <c r="G46" s="4217"/>
      <c r="H46" s="4217"/>
      <c r="I46" s="4282"/>
    </row>
    <row r="47" spans="1:9" s="4214" customFormat="1">
      <c r="A47" s="4218"/>
      <c r="B47" s="4219"/>
      <c r="C47" s="4218"/>
      <c r="D47" s="4217"/>
      <c r="E47" s="4217"/>
      <c r="F47" s="4217"/>
      <c r="G47" s="4217"/>
      <c r="H47" s="4217"/>
      <c r="I47" s="4282"/>
    </row>
    <row r="48" spans="1:9" s="4214" customFormat="1">
      <c r="A48" s="4218"/>
      <c r="B48" s="4219"/>
      <c r="C48" s="4218"/>
      <c r="D48" s="4217"/>
      <c r="E48" s="4217"/>
      <c r="F48" s="4217"/>
      <c r="G48" s="4217"/>
      <c r="H48" s="4217"/>
      <c r="I48" s="4282"/>
    </row>
    <row r="49" spans="1:9" s="4214" customFormat="1">
      <c r="A49" s="4218"/>
      <c r="B49" s="4219"/>
      <c r="C49" s="4218"/>
      <c r="D49" s="4217"/>
      <c r="E49" s="4217"/>
      <c r="F49" s="4217"/>
      <c r="G49" s="4217"/>
      <c r="H49" s="4217"/>
      <c r="I49" s="4282"/>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J44"/>
  <sheetViews>
    <sheetView showGridLines="0" showOutlineSymbols="0" workbookViewId="0">
      <selection activeCell="A33" sqref="A33"/>
    </sheetView>
  </sheetViews>
  <sheetFormatPr defaultColWidth="12.5703125" defaultRowHeight="12.75" outlineLevelRow="2" outlineLevelCol="2"/>
  <cols>
    <col min="1" max="1" width="1.85546875" style="4213" customWidth="1"/>
    <col min="2" max="2" width="31.5703125" style="4213" customWidth="1"/>
    <col min="3" max="3" width="11.5703125" style="4213" customWidth="1"/>
    <col min="4" max="4" width="11.140625" style="4213" customWidth="1"/>
    <col min="5" max="5" width="10.28515625" style="4213" customWidth="1"/>
    <col min="6" max="6" width="11.140625" style="4213" customWidth="1"/>
    <col min="7" max="7" width="12" style="4213" customWidth="1"/>
    <col min="8" max="8" width="10.28515625" style="4213" customWidth="1"/>
    <col min="9" max="39" width="12.5703125" style="4211"/>
    <col min="40" max="44" width="12.5703125" style="4211" outlineLevel="1"/>
    <col min="45" max="50" width="12.5703125" style="4211" outlineLevel="2"/>
    <col min="51" max="53" width="12.5703125" style="4211" outlineLevel="1"/>
    <col min="54" max="73" width="12.5703125" style="4211"/>
    <col min="74" max="77" width="12.5703125" style="4211" outlineLevel="1"/>
    <col min="78" max="125" width="12.5703125" style="4211"/>
    <col min="126" max="131" width="12.5703125" style="4211" outlineLevel="1"/>
    <col min="132" max="137" width="12.5703125" style="4211" outlineLevel="2"/>
    <col min="138" max="140" width="12.5703125" style="4211" outlineLevel="1"/>
    <col min="141"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3210</v>
      </c>
      <c r="B9" s="4274"/>
    </row>
    <row r="10" spans="1:8" ht="14.25" customHeight="1">
      <c r="A10" s="4273" t="s">
        <v>3209</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8" s="4212" customFormat="1" ht="20.100000000000001" customHeight="1" outlineLevel="1">
      <c r="A17" s="4263" t="s">
        <v>407</v>
      </c>
      <c r="B17" s="4262"/>
      <c r="C17" s="4261"/>
      <c r="D17" s="4342">
        <f>SUM(D18:D26)</f>
        <v>326773.43</v>
      </c>
      <c r="E17" s="4260">
        <f>SUM(E18:E26)</f>
        <v>249364.55</v>
      </c>
      <c r="F17" s="4260">
        <f>SUM(F18:F26)</f>
        <v>350635.45</v>
      </c>
      <c r="G17" s="4260">
        <f>SUM(G18:G26)</f>
        <v>600000</v>
      </c>
      <c r="H17" s="4260">
        <f>SUM(H18:H26)</f>
        <v>600000</v>
      </c>
    </row>
    <row r="18" spans="1:8" s="4240" customFormat="1" ht="18" customHeight="1" outlineLevel="1">
      <c r="A18" s="4254" t="s">
        <v>2352</v>
      </c>
      <c r="B18" s="4246"/>
      <c r="C18" s="4259" t="s">
        <v>405</v>
      </c>
      <c r="D18" s="4350">
        <f>'[39]ABC FEDERATION FUND'!$E$11</f>
        <v>0</v>
      </c>
      <c r="E18" s="4257">
        <f>'[40]ABC FEDERATION FUND'!$E$11</f>
        <v>1230</v>
      </c>
      <c r="F18" s="4243">
        <f t="shared" ref="F18:F23" si="0">G18-E18</f>
        <v>32770</v>
      </c>
      <c r="G18" s="4257">
        <f>'[40]ABC FEDERATION FUND'!$C$11</f>
        <v>34000</v>
      </c>
      <c r="H18" s="4256">
        <f>'[41]abc federation'!$H$12</f>
        <v>34000</v>
      </c>
    </row>
    <row r="19" spans="1:8" s="4239" customFormat="1" ht="18" customHeight="1" outlineLevel="1">
      <c r="A19" s="4250" t="s">
        <v>404</v>
      </c>
      <c r="B19" s="4249"/>
      <c r="C19" s="4248" t="s">
        <v>403</v>
      </c>
      <c r="D19" s="4341">
        <f>'[39]ABC FEDERATION FUND'!$E$12</f>
        <v>0</v>
      </c>
      <c r="E19" s="4255">
        <f>'[40]ABC FEDERATION FUND'!$E$12</f>
        <v>0</v>
      </c>
      <c r="F19" s="4243">
        <f t="shared" si="0"/>
        <v>56500</v>
      </c>
      <c r="G19" s="4255">
        <f>'[40]ABC FEDERATION FUND'!$C$12</f>
        <v>56500</v>
      </c>
      <c r="H19" s="4241">
        <f>'[41]abc federation'!$H$13</f>
        <v>56500</v>
      </c>
    </row>
    <row r="20" spans="1:8" s="4239" customFormat="1" ht="18" customHeight="1" outlineLevel="1">
      <c r="A20" s="4247" t="s">
        <v>402</v>
      </c>
      <c r="B20" s="4246"/>
      <c r="C20" s="4248" t="s">
        <v>401</v>
      </c>
      <c r="D20" s="4341">
        <f>'[39]ABC FEDERATION FUND'!$E$13</f>
        <v>6498.4699999999993</v>
      </c>
      <c r="E20" s="4255">
        <f>'[40]ABC FEDERATION FUND'!$E$13</f>
        <v>4270.1499999999996</v>
      </c>
      <c r="F20" s="4243">
        <f t="shared" si="0"/>
        <v>2229.8500000000004</v>
      </c>
      <c r="G20" s="4255">
        <f>'[40]ABC FEDERATION FUND'!$C$13</f>
        <v>6500</v>
      </c>
      <c r="H20" s="4241">
        <f>'[41]abc federation'!$H$14</f>
        <v>6500</v>
      </c>
    </row>
    <row r="21" spans="1:8" s="4239" customFormat="1" ht="18" customHeight="1" outlineLevel="1">
      <c r="A21" s="4247" t="s">
        <v>879</v>
      </c>
      <c r="B21" s="4246"/>
      <c r="C21" s="4248" t="s">
        <v>2398</v>
      </c>
      <c r="D21" s="4341">
        <f>'[39]ABC FEDERATION FUND'!$E$14</f>
        <v>0</v>
      </c>
      <c r="E21" s="4255">
        <f>'[40]ABC FEDERATION FUND'!$E$14</f>
        <v>0</v>
      </c>
      <c r="F21" s="4243">
        <f t="shared" si="0"/>
        <v>6000</v>
      </c>
      <c r="G21" s="4255">
        <f>'[40]ABC FEDERATION FUND'!$C$14</f>
        <v>6000</v>
      </c>
      <c r="H21" s="4241">
        <f>'[41]abc federation'!$H$16</f>
        <v>6000</v>
      </c>
    </row>
    <row r="22" spans="1:8" s="4239" customFormat="1" ht="18" customHeight="1" outlineLevel="1">
      <c r="A22" s="4250" t="s">
        <v>674</v>
      </c>
      <c r="B22" s="4249"/>
      <c r="C22" s="4248" t="s">
        <v>396</v>
      </c>
      <c r="D22" s="4341">
        <f>'[39]ABC FEDERATION FUND'!$E$15</f>
        <v>41874.959999999999</v>
      </c>
      <c r="E22" s="4255">
        <f>'[40]ABC FEDERATION FUND'!$E$15</f>
        <v>2864.4</v>
      </c>
      <c r="F22" s="4243">
        <f t="shared" si="0"/>
        <v>78135.600000000006</v>
      </c>
      <c r="G22" s="4255">
        <f>'[40]ABC FEDERATION FUND'!$C$15</f>
        <v>81000</v>
      </c>
      <c r="H22" s="4241">
        <f>'[41]abc federation'!$H$17</f>
        <v>81000</v>
      </c>
    </row>
    <row r="23" spans="1:8" s="4239" customFormat="1" ht="18" customHeight="1" outlineLevel="1">
      <c r="A23" s="4250" t="s">
        <v>389</v>
      </c>
      <c r="B23" s="4249"/>
      <c r="C23" s="4248" t="s">
        <v>388</v>
      </c>
      <c r="D23" s="4341">
        <f>'[39]ABC FEDERATION FUND'!$E$16</f>
        <v>158400</v>
      </c>
      <c r="E23" s="4242">
        <f>'[40]ABC FEDERATION FUND'!$E$16</f>
        <v>121800</v>
      </c>
      <c r="F23" s="4243">
        <f t="shared" si="0"/>
        <v>130200</v>
      </c>
      <c r="G23" s="4242">
        <f>'[40]ABC FEDERATION FUND'!$C$16</f>
        <v>252000</v>
      </c>
      <c r="H23" s="4241">
        <f>'[41]abc federation'!$H$18</f>
        <v>252000</v>
      </c>
    </row>
    <row r="24" spans="1:8" s="4239" customFormat="1" ht="18" customHeight="1" outlineLevel="1">
      <c r="A24" s="4250" t="s">
        <v>566</v>
      </c>
      <c r="B24" s="4249"/>
      <c r="C24" s="4248"/>
      <c r="D24" s="4341"/>
      <c r="E24" s="4242"/>
      <c r="F24" s="4243"/>
      <c r="G24" s="4242"/>
      <c r="H24" s="4241"/>
    </row>
    <row r="25" spans="1:8" s="4239" customFormat="1" ht="18" customHeight="1" outlineLevel="1">
      <c r="A25" s="4250"/>
      <c r="B25" s="4249" t="s">
        <v>2370</v>
      </c>
      <c r="C25" s="4248" t="s">
        <v>2327</v>
      </c>
      <c r="D25" s="4341">
        <f>'[39]ABC FEDERATION FUND'!$E$17</f>
        <v>0</v>
      </c>
      <c r="E25" s="4242">
        <f>'[40]ABC FEDERATION FUND'!$E$17</f>
        <v>0</v>
      </c>
      <c r="F25" s="4243">
        <f>G25-E25</f>
        <v>44800</v>
      </c>
      <c r="G25" s="4242">
        <f>'[40]ABC FEDERATION FUND'!$C$17</f>
        <v>44800</v>
      </c>
      <c r="H25" s="4241">
        <f>'[41]abc federation'!$H$20</f>
        <v>44800</v>
      </c>
    </row>
    <row r="26" spans="1:8" s="4239" customFormat="1" ht="18" customHeight="1" outlineLevel="1">
      <c r="A26" s="4247" t="s">
        <v>693</v>
      </c>
      <c r="B26" s="4246"/>
      <c r="C26" s="4245" t="s">
        <v>367</v>
      </c>
      <c r="D26" s="4341">
        <f>'[39]ABC FEDERATION FUND'!$E$18</f>
        <v>120000</v>
      </c>
      <c r="E26" s="4242">
        <f>'[40]ABC FEDERATION FUND'!$E$18</f>
        <v>119200</v>
      </c>
      <c r="F26" s="4243">
        <f>G26-E26</f>
        <v>0</v>
      </c>
      <c r="G26" s="4242">
        <f>'[40]ABC FEDERATION FUND'!$C$18</f>
        <v>119200</v>
      </c>
      <c r="H26" s="4241">
        <f>'[41]abc federation'!$H$21</f>
        <v>119200</v>
      </c>
    </row>
    <row r="27" spans="1:8" ht="20.100000000000001" customHeight="1" outlineLevel="2" thickBot="1">
      <c r="A27" s="4238" t="s">
        <v>366</v>
      </c>
      <c r="B27" s="4236"/>
      <c r="C27" s="4362"/>
      <c r="D27" s="4235">
        <f>D17</f>
        <v>326773.43</v>
      </c>
      <c r="E27" s="4235">
        <f>E17</f>
        <v>249364.55</v>
      </c>
      <c r="F27" s="4235">
        <f>F17</f>
        <v>350635.45</v>
      </c>
      <c r="G27" s="4235">
        <f>G17</f>
        <v>600000</v>
      </c>
      <c r="H27" s="4235">
        <f>H17</f>
        <v>600000</v>
      </c>
    </row>
    <row r="28" spans="1:8" ht="20.100000000000001" customHeight="1" outlineLevel="2" thickTop="1">
      <c r="A28" s="4233"/>
      <c r="B28" s="4233"/>
      <c r="C28" s="4234"/>
      <c r="D28" s="4233"/>
      <c r="E28" s="4233"/>
      <c r="F28" s="4233"/>
      <c r="G28" s="4233"/>
      <c r="H28" s="4232"/>
    </row>
    <row r="29" spans="1:8" s="4220" customFormat="1" ht="14.25" customHeight="1">
      <c r="A29" s="4225" t="s">
        <v>3163</v>
      </c>
      <c r="B29" s="4222"/>
      <c r="C29" s="4222" t="s">
        <v>363</v>
      </c>
      <c r="D29" s="4222"/>
      <c r="E29" s="4225"/>
      <c r="F29" s="4225" t="s">
        <v>2311</v>
      </c>
      <c r="G29" s="4222"/>
      <c r="H29" s="4222"/>
    </row>
    <row r="30" spans="1:8" s="4220" customFormat="1" ht="14.25" customHeight="1">
      <c r="A30" s="4225"/>
      <c r="B30" s="4222"/>
      <c r="C30" s="4222"/>
      <c r="D30" s="4222"/>
      <c r="E30" s="4225"/>
      <c r="F30" s="4225"/>
      <c r="G30" s="4222"/>
      <c r="H30" s="4222"/>
    </row>
    <row r="31" spans="1:8" s="4220" customFormat="1" ht="14.25" customHeight="1">
      <c r="A31" s="4225"/>
      <c r="B31" s="4222"/>
      <c r="C31" s="4222"/>
      <c r="D31" s="4222"/>
      <c r="E31" s="4225"/>
      <c r="F31" s="4225"/>
      <c r="G31" s="4222"/>
      <c r="H31" s="4222"/>
    </row>
    <row r="32" spans="1:8" s="4220" customFormat="1" ht="14.25" customHeight="1">
      <c r="A32" s="4229" t="s">
        <v>3208</v>
      </c>
      <c r="B32" s="4226"/>
      <c r="C32" s="4228" t="s">
        <v>3162</v>
      </c>
      <c r="D32" s="4222"/>
      <c r="E32" s="4227"/>
      <c r="F32" s="4227" t="s">
        <v>359</v>
      </c>
      <c r="G32" s="4222"/>
      <c r="H32" s="4222"/>
    </row>
    <row r="33" spans="1:8" s="4220" customFormat="1" ht="14.25" customHeight="1">
      <c r="A33" s="4222" t="s">
        <v>3207</v>
      </c>
      <c r="B33" s="4226"/>
      <c r="C33" s="4224" t="s">
        <v>3160</v>
      </c>
      <c r="D33" s="4222"/>
      <c r="E33" s="4223"/>
      <c r="F33" s="4223" t="s">
        <v>3159</v>
      </c>
      <c r="G33" s="4222"/>
      <c r="H33" s="4222"/>
    </row>
    <row r="34" spans="1:8" s="4214" customFormat="1">
      <c r="A34" s="4218"/>
      <c r="B34" s="4219"/>
      <c r="C34" s="4218"/>
      <c r="D34" s="4217"/>
      <c r="E34" s="4217"/>
      <c r="F34" s="4217"/>
      <c r="G34" s="4217"/>
      <c r="H34" s="4217"/>
    </row>
    <row r="35" spans="1:8" s="4214" customFormat="1">
      <c r="A35" s="4218"/>
      <c r="B35" s="4219"/>
      <c r="C35" s="4218"/>
      <c r="D35" s="4217"/>
      <c r="E35" s="4217"/>
      <c r="F35" s="4217"/>
      <c r="G35" s="4217"/>
      <c r="H35" s="4217"/>
    </row>
    <row r="36" spans="1:8" s="4214" customFormat="1">
      <c r="A36" s="4218"/>
      <c r="B36" s="4219"/>
      <c r="C36" s="4218"/>
      <c r="D36" s="4217"/>
      <c r="E36" s="4217"/>
      <c r="F36" s="4217"/>
      <c r="G36" s="4217"/>
      <c r="H36" s="4217"/>
    </row>
    <row r="37" spans="1:8" s="4214" customFormat="1">
      <c r="A37" s="4218"/>
      <c r="B37" s="4219"/>
      <c r="C37" s="4218"/>
      <c r="D37" s="4217"/>
      <c r="E37" s="4217"/>
      <c r="F37" s="4217"/>
      <c r="G37" s="4217"/>
      <c r="H37" s="4217"/>
    </row>
    <row r="38" spans="1:8" s="4214" customFormat="1">
      <c r="A38" s="4218"/>
      <c r="B38" s="4219"/>
      <c r="C38" s="4218"/>
      <c r="D38" s="4217"/>
      <c r="E38" s="4217"/>
      <c r="F38" s="4217"/>
      <c r="G38" s="4217"/>
      <c r="H38" s="4217"/>
    </row>
    <row r="39" spans="1:8" s="4214" customFormat="1">
      <c r="A39" s="4218"/>
      <c r="B39" s="4219"/>
      <c r="C39" s="4218"/>
      <c r="D39" s="4217"/>
      <c r="E39" s="4217"/>
      <c r="F39" s="4217"/>
      <c r="G39" s="4217"/>
      <c r="H39" s="4217"/>
    </row>
    <row r="40" spans="1:8" s="4214" customFormat="1">
      <c r="A40" s="4218"/>
      <c r="B40" s="4219"/>
      <c r="C40" s="4218"/>
      <c r="D40" s="4217"/>
      <c r="E40" s="4217"/>
      <c r="F40" s="4217"/>
      <c r="G40" s="4217"/>
      <c r="H40" s="4217"/>
    </row>
    <row r="41" spans="1:8" s="4214" customFormat="1">
      <c r="A41" s="4218"/>
      <c r="B41" s="4219"/>
      <c r="C41" s="4218"/>
      <c r="D41" s="4217"/>
      <c r="E41" s="4217"/>
      <c r="F41" s="4217"/>
      <c r="G41" s="4217"/>
      <c r="H41" s="4217"/>
    </row>
    <row r="42" spans="1:8" s="4214" customFormat="1">
      <c r="A42" s="4218"/>
      <c r="B42" s="4219"/>
      <c r="C42" s="4218"/>
      <c r="D42" s="4217"/>
      <c r="E42" s="4217"/>
      <c r="F42" s="4217"/>
      <c r="G42" s="4217"/>
      <c r="H42" s="4217"/>
    </row>
    <row r="43" spans="1:8" s="4214" customFormat="1">
      <c r="A43" s="4218"/>
      <c r="B43" s="4219"/>
      <c r="C43" s="4218"/>
      <c r="D43" s="4217"/>
      <c r="E43" s="4217"/>
      <c r="F43" s="4217"/>
      <c r="G43" s="4217"/>
      <c r="H43" s="4217"/>
    </row>
    <row r="44" spans="1:8" s="4214" customFormat="1">
      <c r="A44" s="4218"/>
      <c r="B44" s="4219"/>
      <c r="C44" s="4218"/>
      <c r="D44" s="4217"/>
      <c r="E44" s="4217"/>
      <c r="F44" s="4217"/>
      <c r="G44" s="4217"/>
      <c r="H44" s="4217"/>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M38"/>
  <sheetViews>
    <sheetView showGridLines="0" showOutlineSymbols="0" workbookViewId="0">
      <selection activeCell="J40" sqref="J40"/>
    </sheetView>
  </sheetViews>
  <sheetFormatPr defaultColWidth="12.5703125" defaultRowHeight="12.75" outlineLevelRow="2" outlineLevelCol="2"/>
  <cols>
    <col min="1" max="1" width="1.85546875" style="4213" customWidth="1"/>
    <col min="2" max="2" width="28.28515625" style="4213" customWidth="1"/>
    <col min="3" max="4" width="10.85546875" style="4213" customWidth="1"/>
    <col min="5" max="8" width="12.140625" style="4213" customWidth="1"/>
    <col min="9" max="42" width="12.5703125" style="4211"/>
    <col min="43" max="47" width="12.5703125" style="4211" outlineLevel="1"/>
    <col min="48" max="53" width="12.5703125" style="4211" outlineLevel="2"/>
    <col min="54" max="56" width="12.5703125" style="4211" outlineLevel="1"/>
    <col min="57" max="76" width="12.5703125" style="4211"/>
    <col min="77" max="80" width="12.5703125" style="4211" outlineLevel="1"/>
    <col min="81" max="128" width="12.5703125" style="4211"/>
    <col min="129" max="134" width="12.5703125" style="4211" outlineLevel="1"/>
    <col min="135" max="140" width="12.5703125" style="4211" outlineLevel="2"/>
    <col min="141" max="143" width="12.5703125" style="4211" outlineLevel="1"/>
    <col min="144"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3213</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8" s="4212" customFormat="1" ht="20.100000000000001" customHeight="1" outlineLevel="1">
      <c r="A17" s="4263" t="s">
        <v>407</v>
      </c>
      <c r="B17" s="4262"/>
      <c r="C17" s="4261"/>
      <c r="D17" s="4260">
        <f>SUM(D18:D20)</f>
        <v>2419998.2000000002</v>
      </c>
      <c r="E17" s="4260">
        <f>SUM(E18:E20)</f>
        <v>778000</v>
      </c>
      <c r="F17" s="4260">
        <f>SUM(F18:F20)</f>
        <v>2500000</v>
      </c>
      <c r="G17" s="4260">
        <f>SUM(G18:G20)</f>
        <v>3278000</v>
      </c>
      <c r="H17" s="4317">
        <f>SUM(H18:H20)</f>
        <v>3278000</v>
      </c>
    </row>
    <row r="18" spans="1:8" s="4240" customFormat="1" ht="18" customHeight="1" outlineLevel="1">
      <c r="A18" s="4254" t="s">
        <v>1961</v>
      </c>
      <c r="B18" s="4246"/>
      <c r="C18" s="4259" t="s">
        <v>1960</v>
      </c>
      <c r="D18" s="4258">
        <f>'[39]ABC FEDERATION - TANOD'!$E$11</f>
        <v>0</v>
      </c>
      <c r="E18" s="4364">
        <f>'[40]ABC FEDERATION - TANOD'!$E$11</f>
        <v>0</v>
      </c>
      <c r="F18" s="4243">
        <f>G18-E18</f>
        <v>500000</v>
      </c>
      <c r="G18" s="4257">
        <f>'[29]ABC FEDERATION - TANOD'!$C$11</f>
        <v>500000</v>
      </c>
      <c r="H18" s="4256">
        <v>500000</v>
      </c>
    </row>
    <row r="19" spans="1:8" s="4240" customFormat="1" ht="18" customHeight="1" outlineLevel="1">
      <c r="A19" s="4254" t="s">
        <v>2113</v>
      </c>
      <c r="B19" s="4246"/>
      <c r="C19" s="4248" t="s">
        <v>1898</v>
      </c>
      <c r="D19" s="4258">
        <f>'[39]ABC FEDERATION - TANOD'!$E$12</f>
        <v>58018.2</v>
      </c>
      <c r="E19" s="4328">
        <f>'[40]ABC FEDERATION - TANOD'!$E$12</f>
        <v>0</v>
      </c>
      <c r="F19" s="4243">
        <f>G19-E19</f>
        <v>150000</v>
      </c>
      <c r="G19" s="4255">
        <f>'[29]ABC FEDERATION - TANOD'!$C$12</f>
        <v>150000</v>
      </c>
      <c r="H19" s="4241">
        <v>150000</v>
      </c>
    </row>
    <row r="20" spans="1:8" s="4239" customFormat="1" ht="18" customHeight="1" outlineLevel="1">
      <c r="A20" s="4247" t="s">
        <v>693</v>
      </c>
      <c r="B20" s="4246"/>
      <c r="C20" s="4245" t="s">
        <v>367</v>
      </c>
      <c r="D20" s="4258">
        <f>'[39]ABC FEDERATION - TANOD'!$E$13</f>
        <v>2361980</v>
      </c>
      <c r="E20" s="4363">
        <f>'[40]ABC FEDERATION - TANOD'!$E$13</f>
        <v>778000</v>
      </c>
      <c r="F20" s="4243">
        <f>G20-E20</f>
        <v>1850000</v>
      </c>
      <c r="G20" s="4242">
        <f>'[29]ABC FEDERATION - TANOD'!$C$13</f>
        <v>2628000</v>
      </c>
      <c r="H20" s="4241">
        <v>2628000</v>
      </c>
    </row>
    <row r="21" spans="1:8" ht="20.100000000000001" customHeight="1" outlineLevel="2" thickBot="1">
      <c r="A21" s="4238" t="s">
        <v>366</v>
      </c>
      <c r="B21" s="4236"/>
      <c r="C21" s="4237"/>
      <c r="D21" s="4236">
        <f>SUM(D18:D20)</f>
        <v>2419998.2000000002</v>
      </c>
      <c r="E21" s="4236">
        <f>SUM(E18:E20)</f>
        <v>778000</v>
      </c>
      <c r="F21" s="4236">
        <f>SUM(F18:F20)</f>
        <v>2500000</v>
      </c>
      <c r="G21" s="4236">
        <f>SUM(G18:G20)</f>
        <v>3278000</v>
      </c>
      <c r="H21" s="4235">
        <f>SUM(H18:H20)</f>
        <v>3278000</v>
      </c>
    </row>
    <row r="22" spans="1:8" ht="20.100000000000001" customHeight="1" outlineLevel="2" thickTop="1">
      <c r="A22" s="4233"/>
      <c r="B22" s="4233"/>
      <c r="C22" s="4234"/>
      <c r="D22" s="4233"/>
      <c r="E22" s="4233"/>
      <c r="F22" s="4233"/>
      <c r="G22" s="4233"/>
      <c r="H22" s="4233"/>
    </row>
    <row r="23" spans="1:8" s="4220" customFormat="1" ht="14.25" customHeight="1">
      <c r="A23" s="4225" t="s">
        <v>3163</v>
      </c>
      <c r="B23" s="4222"/>
      <c r="C23" s="4222"/>
      <c r="D23" s="4222" t="s">
        <v>363</v>
      </c>
      <c r="E23" s="4222"/>
      <c r="F23" s="4225"/>
      <c r="G23" s="4225" t="s">
        <v>2311</v>
      </c>
      <c r="H23" s="4222"/>
    </row>
    <row r="24" spans="1:8" s="4220" customFormat="1" ht="14.25" customHeight="1">
      <c r="A24" s="4225"/>
      <c r="B24" s="4222"/>
      <c r="C24" s="4222"/>
      <c r="D24" s="4222"/>
      <c r="E24" s="4222"/>
      <c r="F24" s="4225"/>
      <c r="G24" s="4225"/>
      <c r="H24" s="4222"/>
    </row>
    <row r="25" spans="1:8" s="4220" customFormat="1" ht="14.25" customHeight="1">
      <c r="A25" s="4225"/>
      <c r="B25" s="4222"/>
      <c r="C25" s="4222"/>
      <c r="D25" s="4222"/>
      <c r="E25" s="4222"/>
      <c r="F25" s="4225"/>
      <c r="G25" s="4225"/>
      <c r="H25" s="4222"/>
    </row>
    <row r="26" spans="1:8" s="4220" customFormat="1" ht="14.25" customHeight="1">
      <c r="A26" s="4229" t="s">
        <v>3212</v>
      </c>
      <c r="B26" s="4226"/>
      <c r="C26" s="4229"/>
      <c r="D26" s="4228" t="s">
        <v>3162</v>
      </c>
      <c r="E26" s="4222"/>
      <c r="F26" s="4227"/>
      <c r="G26" s="4227" t="s">
        <v>359</v>
      </c>
      <c r="H26" s="4222"/>
    </row>
    <row r="27" spans="1:8" s="4220" customFormat="1" ht="14.25" customHeight="1">
      <c r="A27" s="4222" t="s">
        <v>3211</v>
      </c>
      <c r="B27" s="4226"/>
      <c r="C27" s="4225"/>
      <c r="D27" s="4224" t="s">
        <v>3160</v>
      </c>
      <c r="E27" s="4222"/>
      <c r="F27" s="4223"/>
      <c r="G27" s="4223" t="s">
        <v>3159</v>
      </c>
      <c r="H27" s="4222"/>
    </row>
    <row r="28" spans="1:8" s="4214" customFormat="1">
      <c r="A28" s="4218"/>
      <c r="B28" s="4219"/>
      <c r="C28" s="4218"/>
      <c r="D28" s="4217"/>
      <c r="E28" s="4217"/>
      <c r="F28" s="4217"/>
      <c r="G28" s="4217"/>
      <c r="H28" s="4217"/>
    </row>
    <row r="29" spans="1:8" s="4214" customFormat="1">
      <c r="A29" s="4218"/>
      <c r="B29" s="4219"/>
      <c r="C29" s="4218"/>
      <c r="D29" s="4217"/>
      <c r="E29" s="4217"/>
      <c r="F29" s="4217"/>
      <c r="G29" s="4217"/>
      <c r="H29" s="4217"/>
    </row>
    <row r="30" spans="1:8" s="4214" customFormat="1">
      <c r="A30" s="4218"/>
      <c r="B30" s="4219"/>
      <c r="C30" s="4218"/>
      <c r="D30" s="4217"/>
      <c r="E30" s="4217"/>
      <c r="F30" s="4217"/>
      <c r="G30" s="4217"/>
      <c r="H30" s="4217"/>
    </row>
    <row r="31" spans="1:8" s="4214" customFormat="1">
      <c r="A31" s="4218"/>
      <c r="B31" s="4219"/>
      <c r="C31" s="4218"/>
      <c r="D31" s="4217"/>
      <c r="E31" s="4217"/>
      <c r="F31" s="4217"/>
      <c r="G31" s="4217"/>
      <c r="H31" s="4217"/>
    </row>
    <row r="32" spans="1:8" s="4214" customFormat="1">
      <c r="A32" s="4218"/>
      <c r="B32" s="4219"/>
      <c r="C32" s="4218"/>
      <c r="D32" s="4217"/>
      <c r="E32" s="4217"/>
      <c r="F32" s="4217"/>
      <c r="G32" s="4217"/>
      <c r="H32" s="4217"/>
    </row>
    <row r="33" spans="1:8" s="4214" customFormat="1">
      <c r="A33" s="4218"/>
      <c r="B33" s="4219"/>
      <c r="C33" s="4218"/>
      <c r="D33" s="4217"/>
      <c r="E33" s="4217"/>
      <c r="F33" s="4217"/>
      <c r="G33" s="4217"/>
      <c r="H33" s="4217"/>
    </row>
    <row r="34" spans="1:8" s="4214" customFormat="1">
      <c r="A34" s="4218"/>
      <c r="B34" s="4219"/>
      <c r="C34" s="4218"/>
      <c r="D34" s="4217"/>
      <c r="E34" s="4217"/>
      <c r="F34" s="4217"/>
      <c r="G34" s="4217"/>
      <c r="H34" s="4217"/>
    </row>
    <row r="35" spans="1:8" s="4214" customFormat="1">
      <c r="A35" s="4218"/>
      <c r="B35" s="4219"/>
      <c r="C35" s="4218"/>
      <c r="D35" s="4217"/>
      <c r="E35" s="4217"/>
      <c r="F35" s="4217"/>
      <c r="G35" s="4217"/>
      <c r="H35" s="4217"/>
    </row>
    <row r="36" spans="1:8" s="4214" customFormat="1">
      <c r="A36" s="4218"/>
      <c r="B36" s="4219"/>
      <c r="C36" s="4218"/>
      <c r="D36" s="4217"/>
      <c r="E36" s="4217"/>
      <c r="F36" s="4217"/>
      <c r="G36" s="4217"/>
      <c r="H36" s="4217"/>
    </row>
    <row r="37" spans="1:8" s="4214" customFormat="1">
      <c r="A37" s="4218"/>
      <c r="B37" s="4219"/>
      <c r="C37" s="4218"/>
      <c r="D37" s="4217"/>
      <c r="E37" s="4217"/>
      <c r="F37" s="4217"/>
      <c r="G37" s="4217"/>
      <c r="H37" s="4217"/>
    </row>
    <row r="38" spans="1:8" s="4214" customFormat="1">
      <c r="A38" s="4218"/>
      <c r="B38" s="4219"/>
      <c r="C38" s="4218"/>
      <c r="D38" s="4217"/>
      <c r="E38" s="4217"/>
      <c r="F38" s="4217"/>
      <c r="G38" s="4217"/>
      <c r="H38" s="4217"/>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37"/>
  <sheetViews>
    <sheetView showGridLines="0" showOutlineSymbols="0" workbookViewId="0">
      <selection activeCell="I27" sqref="I27"/>
    </sheetView>
  </sheetViews>
  <sheetFormatPr defaultColWidth="12.5703125" defaultRowHeight="12.75" outlineLevelRow="2" outlineLevelCol="2"/>
  <cols>
    <col min="1" max="1" width="1.85546875" style="4213" customWidth="1"/>
    <col min="2" max="2" width="27.28515625" style="4213" customWidth="1"/>
    <col min="3" max="3" width="10" style="4213" customWidth="1"/>
    <col min="4" max="4" width="9.140625" style="4213" customWidth="1"/>
    <col min="5" max="8" width="12.42578125" style="4213"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3214</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366" t="s">
        <v>456</v>
      </c>
      <c r="B16" s="4265"/>
      <c r="C16" s="4264"/>
      <c r="D16" s="4264"/>
      <c r="E16" s="4264"/>
      <c r="F16" s="4265"/>
      <c r="G16" s="4265"/>
      <c r="H16" s="4264"/>
    </row>
    <row r="17" spans="1:9" s="4212" customFormat="1" ht="20.100000000000001" customHeight="1" outlineLevel="1">
      <c r="A17" s="4263" t="s">
        <v>407</v>
      </c>
      <c r="B17" s="4359"/>
      <c r="C17" s="4261"/>
      <c r="D17" s="4260">
        <f>SUM(D18:D19)</f>
        <v>621300</v>
      </c>
      <c r="E17" s="4260">
        <f>SUM(E18:E19)</f>
        <v>305400</v>
      </c>
      <c r="F17" s="4260">
        <f>SUM(F18:F19)</f>
        <v>694600</v>
      </c>
      <c r="G17" s="4260">
        <f>SUM(G18:G19)</f>
        <v>1000000</v>
      </c>
      <c r="H17" s="4260">
        <f>SUM(H18:H19)</f>
        <v>1000000</v>
      </c>
    </row>
    <row r="18" spans="1:9" s="4239" customFormat="1" ht="18" customHeight="1" outlineLevel="1">
      <c r="A18" s="4250" t="s">
        <v>404</v>
      </c>
      <c r="B18" s="4365"/>
      <c r="C18" s="4248" t="s">
        <v>403</v>
      </c>
      <c r="D18" s="4244">
        <f>'[39]ABC FEDERATION - KB'!$E$12</f>
        <v>0</v>
      </c>
      <c r="E18" s="4255">
        <f>'[40]ABC FEDERATION - KB'!$E$12</f>
        <v>0</v>
      </c>
      <c r="F18" s="4243">
        <f>G18-E18</f>
        <v>222400</v>
      </c>
      <c r="G18" s="4255">
        <f>'[40]ABC FEDERATION - KB'!$C$12</f>
        <v>222400</v>
      </c>
      <c r="H18" s="4241">
        <v>222400</v>
      </c>
      <c r="I18" s="4240"/>
    </row>
    <row r="19" spans="1:9" s="4239" customFormat="1" ht="18" customHeight="1" outlineLevel="1">
      <c r="A19" s="4247" t="s">
        <v>693</v>
      </c>
      <c r="B19" s="4246"/>
      <c r="C19" s="4245" t="s">
        <v>367</v>
      </c>
      <c r="D19" s="4244">
        <f>'[39]ABC FEDERATION - KB'!$E$13</f>
        <v>621300</v>
      </c>
      <c r="E19" s="4242">
        <f>'[40]ABC FEDERATION - KB'!$E$13</f>
        <v>305400</v>
      </c>
      <c r="F19" s="4243">
        <f>G19-E19</f>
        <v>472200</v>
      </c>
      <c r="G19" s="4242">
        <f>'[29]ABC FEDERATION - KB'!$C$13</f>
        <v>777600</v>
      </c>
      <c r="H19" s="4241">
        <v>777600</v>
      </c>
      <c r="I19" s="4240"/>
    </row>
    <row r="20" spans="1:9" ht="20.100000000000001" customHeight="1" outlineLevel="2" thickBot="1">
      <c r="A20" s="4238" t="s">
        <v>366</v>
      </c>
      <c r="B20" s="4236"/>
      <c r="C20" s="4237"/>
      <c r="D20" s="4236">
        <f>SUM(D18:D19)</f>
        <v>621300</v>
      </c>
      <c r="E20" s="4236">
        <f>SUM(E18:E19)</f>
        <v>305400</v>
      </c>
      <c r="F20" s="4236">
        <f>SUM(F18:F19)</f>
        <v>694600</v>
      </c>
      <c r="G20" s="4236">
        <f>SUM(G18:G19)</f>
        <v>1000000</v>
      </c>
      <c r="H20" s="4236">
        <f>SUM(H18:H19)</f>
        <v>1000000</v>
      </c>
    </row>
    <row r="21" spans="1:9" ht="20.100000000000001" customHeight="1" outlineLevel="2" thickTop="1">
      <c r="A21" s="4233"/>
      <c r="B21" s="4233"/>
      <c r="C21" s="4234"/>
      <c r="D21" s="4233"/>
      <c r="E21" s="4233"/>
      <c r="F21" s="4233"/>
      <c r="G21" s="4233"/>
      <c r="H21" s="4233"/>
    </row>
    <row r="22" spans="1:9" s="4220" customFormat="1" ht="14.25" customHeight="1">
      <c r="A22" s="4225" t="s">
        <v>3163</v>
      </c>
      <c r="B22" s="4222"/>
      <c r="C22" s="4222"/>
      <c r="D22" s="4222" t="s">
        <v>363</v>
      </c>
      <c r="E22" s="4222"/>
      <c r="F22" s="4225"/>
      <c r="G22" s="4225" t="s">
        <v>2311</v>
      </c>
      <c r="H22" s="4222"/>
    </row>
    <row r="23" spans="1:9" s="4220" customFormat="1" ht="14.25" customHeight="1">
      <c r="A23" s="4225"/>
      <c r="B23" s="4222"/>
      <c r="C23" s="4222"/>
      <c r="D23" s="4222"/>
      <c r="E23" s="4222"/>
      <c r="F23" s="4225"/>
      <c r="G23" s="4225"/>
      <c r="H23" s="4222"/>
    </row>
    <row r="24" spans="1:9" s="4220" customFormat="1" ht="14.25" customHeight="1">
      <c r="A24" s="4225"/>
      <c r="B24" s="4222"/>
      <c r="C24" s="4222"/>
      <c r="D24" s="4222"/>
      <c r="E24" s="4222"/>
      <c r="F24" s="4225"/>
      <c r="G24" s="4225"/>
      <c r="H24" s="4222"/>
    </row>
    <row r="25" spans="1:9" s="4220" customFormat="1" ht="14.25" customHeight="1">
      <c r="A25" s="4229" t="s">
        <v>3212</v>
      </c>
      <c r="B25" s="4226"/>
      <c r="C25" s="4229"/>
      <c r="D25" s="4228" t="s">
        <v>3162</v>
      </c>
      <c r="E25" s="4222"/>
      <c r="F25" s="4227"/>
      <c r="G25" s="4227" t="s">
        <v>359</v>
      </c>
      <c r="H25" s="4222"/>
    </row>
    <row r="26" spans="1:9" s="4220" customFormat="1" ht="14.25" customHeight="1">
      <c r="A26" s="4222" t="s">
        <v>3211</v>
      </c>
      <c r="B26" s="4226"/>
      <c r="C26" s="4225"/>
      <c r="D26" s="4224" t="s">
        <v>3160</v>
      </c>
      <c r="E26" s="4222"/>
      <c r="F26" s="4223"/>
      <c r="G26" s="4223" t="s">
        <v>3159</v>
      </c>
      <c r="H26" s="4222"/>
    </row>
    <row r="27" spans="1:9" s="4214" customFormat="1">
      <c r="A27" s="4218"/>
      <c r="B27" s="4219"/>
      <c r="C27" s="4218"/>
      <c r="D27" s="4217"/>
      <c r="E27" s="4217"/>
      <c r="F27" s="4217"/>
      <c r="G27" s="4217"/>
      <c r="H27" s="4217"/>
      <c r="I27" s="4282"/>
    </row>
    <row r="28" spans="1:9" s="4214" customFormat="1">
      <c r="A28" s="4218"/>
      <c r="B28" s="4219"/>
      <c r="C28" s="4218"/>
      <c r="D28" s="4217"/>
      <c r="E28" s="4217"/>
      <c r="F28" s="4217"/>
      <c r="G28" s="4217"/>
      <c r="H28" s="4217"/>
      <c r="I28" s="4282"/>
    </row>
    <row r="29" spans="1:9" s="4214" customFormat="1">
      <c r="A29" s="4218"/>
      <c r="B29" s="4219"/>
      <c r="C29" s="4218"/>
      <c r="D29" s="4217"/>
      <c r="E29" s="4217"/>
      <c r="F29" s="4217"/>
      <c r="G29" s="4217"/>
      <c r="H29" s="4217"/>
      <c r="I29" s="4282"/>
    </row>
    <row r="30" spans="1:9" s="4214" customFormat="1">
      <c r="A30" s="4218"/>
      <c r="B30" s="4219"/>
      <c r="C30" s="4218"/>
      <c r="D30" s="4217"/>
      <c r="E30" s="4217"/>
      <c r="F30" s="4217"/>
      <c r="G30" s="4217"/>
      <c r="H30" s="4217"/>
      <c r="I30" s="4282"/>
    </row>
    <row r="31" spans="1:9" s="4214" customFormat="1">
      <c r="A31" s="4218"/>
      <c r="B31" s="4219"/>
      <c r="C31" s="4218"/>
      <c r="D31" s="4217"/>
      <c r="E31" s="4217"/>
      <c r="F31" s="4217"/>
      <c r="G31" s="4217"/>
      <c r="H31" s="4217"/>
      <c r="I31" s="4282"/>
    </row>
    <row r="32" spans="1:9" s="4214" customFormat="1">
      <c r="A32" s="4218"/>
      <c r="B32" s="4219"/>
      <c r="C32" s="4218"/>
      <c r="D32" s="4217"/>
      <c r="E32" s="4217"/>
      <c r="F32" s="4217"/>
      <c r="G32" s="4217"/>
      <c r="H32" s="4217"/>
      <c r="I32" s="4282"/>
    </row>
    <row r="33" spans="1:9" s="4214" customFormat="1">
      <c r="A33" s="4218"/>
      <c r="B33" s="4219"/>
      <c r="C33" s="4218"/>
      <c r="D33" s="4217"/>
      <c r="E33" s="4217"/>
      <c r="F33" s="4217"/>
      <c r="G33" s="4217"/>
      <c r="H33" s="4217"/>
      <c r="I33" s="4282"/>
    </row>
    <row r="34" spans="1:9" s="4214" customFormat="1">
      <c r="A34" s="4218"/>
      <c r="B34" s="4219"/>
      <c r="C34" s="4218"/>
      <c r="D34" s="4217"/>
      <c r="E34" s="4217"/>
      <c r="F34" s="4217"/>
      <c r="G34" s="4217"/>
      <c r="H34" s="4217"/>
      <c r="I34" s="4282"/>
    </row>
    <row r="35" spans="1:9" s="4214" customFormat="1">
      <c r="A35" s="4218"/>
      <c r="B35" s="4219"/>
      <c r="C35" s="4218"/>
      <c r="D35" s="4217"/>
      <c r="E35" s="4217"/>
      <c r="F35" s="4217"/>
      <c r="G35" s="4217"/>
      <c r="H35" s="4217"/>
      <c r="I35" s="4282"/>
    </row>
    <row r="36" spans="1:9" s="4214" customFormat="1">
      <c r="A36" s="4218"/>
      <c r="B36" s="4219"/>
      <c r="C36" s="4218"/>
      <c r="D36" s="4217"/>
      <c r="E36" s="4217"/>
      <c r="F36" s="4217"/>
      <c r="G36" s="4217"/>
      <c r="H36" s="4217"/>
      <c r="I36" s="4282"/>
    </row>
    <row r="37" spans="1:9" s="4214" customFormat="1">
      <c r="A37" s="4218"/>
      <c r="B37" s="4219"/>
      <c r="C37" s="4218"/>
      <c r="D37" s="4217"/>
      <c r="E37" s="4217"/>
      <c r="F37" s="4217"/>
      <c r="G37" s="4217"/>
      <c r="H37" s="4217"/>
      <c r="I37" s="4282"/>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49"/>
  <sheetViews>
    <sheetView showGridLines="0" showOutlineSymbols="0" topLeftCell="A13" workbookViewId="0">
      <selection activeCell="I37" sqref="I37"/>
    </sheetView>
  </sheetViews>
  <sheetFormatPr defaultColWidth="12.5703125" defaultRowHeight="13.5" outlineLevelRow="2" outlineLevelCol="2"/>
  <cols>
    <col min="1" max="1" width="1.85546875" style="4213" customWidth="1"/>
    <col min="2" max="2" width="41.7109375" style="4213" customWidth="1"/>
    <col min="3" max="3" width="11.5703125" style="4213" customWidth="1"/>
    <col min="4" max="4" width="9.5703125" style="4213" customWidth="1"/>
    <col min="5" max="7" width="9" style="4330" customWidth="1"/>
    <col min="8" max="8" width="9.42578125" style="4330"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c r="A1" s="4281" t="s">
        <v>473</v>
      </c>
      <c r="E1" s="4347"/>
      <c r="F1" s="4347"/>
      <c r="G1" s="4347"/>
      <c r="H1" s="4347"/>
    </row>
    <row r="2" spans="1:8" ht="14.25" customHeight="1">
      <c r="A2" s="4279" t="s">
        <v>584</v>
      </c>
      <c r="E2" s="4346"/>
      <c r="F2" s="4346"/>
      <c r="G2" s="4346"/>
      <c r="H2" s="4346"/>
    </row>
    <row r="3" spans="1:8" ht="14.25" customHeight="1">
      <c r="E3" s="4346"/>
      <c r="G3" s="4346"/>
      <c r="H3" s="4346"/>
    </row>
    <row r="4" spans="1:8" ht="14.25" customHeight="1">
      <c r="E4" s="4346"/>
      <c r="G4" s="4346"/>
      <c r="H4" s="434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45"/>
      <c r="F7" s="4345"/>
      <c r="G7" s="4345"/>
      <c r="H7" s="4345"/>
    </row>
    <row r="8" spans="1:8" ht="14.25" customHeight="1">
      <c r="A8" s="4309"/>
      <c r="B8" s="4309"/>
      <c r="C8" s="4309"/>
      <c r="D8" s="4309"/>
      <c r="E8" s="4345"/>
      <c r="F8" s="4345"/>
      <c r="G8" s="4345"/>
      <c r="H8" s="4345"/>
    </row>
    <row r="9" spans="1:8" ht="14.25" customHeight="1">
      <c r="A9" s="4274" t="s">
        <v>3169</v>
      </c>
      <c r="B9" s="4274"/>
    </row>
    <row r="10" spans="1:8" ht="14.25" customHeight="1">
      <c r="A10" s="4273" t="s">
        <v>3224</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343"/>
      <c r="F16" s="4344"/>
      <c r="G16" s="4344"/>
      <c r="H16" s="4343"/>
    </row>
    <row r="17" spans="1:10" s="4212" customFormat="1" ht="20.100000000000001" customHeight="1" outlineLevel="1">
      <c r="A17" s="4263" t="s">
        <v>407</v>
      </c>
      <c r="B17" s="4359"/>
      <c r="C17" s="4261"/>
      <c r="D17" s="4342">
        <f>SUM(D18:D31)</f>
        <v>1197687.3500000001</v>
      </c>
      <c r="E17" s="4342">
        <f>SUM(E18:E31)</f>
        <v>566043.23</v>
      </c>
      <c r="F17" s="4342">
        <f>SUM(F18:F31)</f>
        <v>1269956.77</v>
      </c>
      <c r="G17" s="4342">
        <f>SUM(G18:G31)</f>
        <v>1836000</v>
      </c>
      <c r="H17" s="4342">
        <f>SUM(H18:H31)</f>
        <v>1914000</v>
      </c>
    </row>
    <row r="18" spans="1:10" s="4239" customFormat="1" ht="18" customHeight="1" outlineLevel="1">
      <c r="A18" s="4247" t="s">
        <v>402</v>
      </c>
      <c r="B18" s="4368"/>
      <c r="C18" s="4248" t="s">
        <v>401</v>
      </c>
      <c r="D18" s="4341">
        <f>[39]ALGERS!$E$12</f>
        <v>16707.07</v>
      </c>
      <c r="E18" s="4339">
        <f>[40]ALGERS!$E$12</f>
        <v>11445.7</v>
      </c>
      <c r="F18" s="4338">
        <f t="shared" ref="F18:F27" si="0">G18-E18</f>
        <v>13554.3</v>
      </c>
      <c r="G18" s="4339">
        <f>[45]ALGERS!$C$12</f>
        <v>25000</v>
      </c>
      <c r="H18" s="4338">
        <v>25000</v>
      </c>
      <c r="I18" s="4240"/>
    </row>
    <row r="19" spans="1:10" s="4239" customFormat="1" ht="18" customHeight="1" outlineLevel="1">
      <c r="A19" s="4250" t="s">
        <v>674</v>
      </c>
      <c r="B19" s="4365"/>
      <c r="C19" s="4248" t="s">
        <v>396</v>
      </c>
      <c r="D19" s="4341">
        <f>[39]ALGERS!$E$13</f>
        <v>19200</v>
      </c>
      <c r="E19" s="4339">
        <f>[40]ALGERS!$E$13</f>
        <v>4700</v>
      </c>
      <c r="F19" s="4338">
        <f t="shared" si="0"/>
        <v>40300</v>
      </c>
      <c r="G19" s="4339">
        <f>[45]ALGERS!$C$13</f>
        <v>45000</v>
      </c>
      <c r="H19" s="4338">
        <v>45000</v>
      </c>
      <c r="I19" s="4240"/>
    </row>
    <row r="20" spans="1:10" s="4239" customFormat="1" ht="18" customHeight="1" outlineLevel="1">
      <c r="A20" s="4252" t="s">
        <v>878</v>
      </c>
      <c r="B20" s="4249"/>
      <c r="C20" s="4248" t="s">
        <v>394</v>
      </c>
      <c r="D20" s="4341">
        <f>[39]ALGERS!$E$14</f>
        <v>32342.86</v>
      </c>
      <c r="E20" s="4339">
        <f>[40]ALGERS!$E$14</f>
        <v>18104.599999999999</v>
      </c>
      <c r="F20" s="4338">
        <f t="shared" si="0"/>
        <v>19895.400000000001</v>
      </c>
      <c r="G20" s="4339">
        <f>[45]ALGERS!$C$14</f>
        <v>38000</v>
      </c>
      <c r="H20" s="4338">
        <v>38000</v>
      </c>
      <c r="I20" s="4240"/>
    </row>
    <row r="21" spans="1:10" s="4239" customFormat="1" ht="18" customHeight="1" outlineLevel="1">
      <c r="A21" s="4250" t="s">
        <v>673</v>
      </c>
      <c r="B21" s="4249"/>
      <c r="C21" s="4248" t="s">
        <v>1269</v>
      </c>
      <c r="D21" s="4341">
        <f>[39]ALGERS!$E$15</f>
        <v>41144.85</v>
      </c>
      <c r="E21" s="4339">
        <f>[40]ALGERS!$E$15</f>
        <v>15345.7</v>
      </c>
      <c r="F21" s="4338">
        <f t="shared" si="0"/>
        <v>44654.3</v>
      </c>
      <c r="G21" s="4339">
        <f>[45]ALGERS!$C$15</f>
        <v>60000</v>
      </c>
      <c r="H21" s="4338">
        <v>60000</v>
      </c>
      <c r="I21" s="4240"/>
    </row>
    <row r="22" spans="1:10" s="4239" customFormat="1" ht="18" customHeight="1" outlineLevel="1">
      <c r="A22" s="4250" t="s">
        <v>1266</v>
      </c>
      <c r="B22" s="4249"/>
      <c r="C22" s="4248" t="s">
        <v>1265</v>
      </c>
      <c r="D22" s="4341">
        <f>[39]ALGERS!$E$16</f>
        <v>167967.97</v>
      </c>
      <c r="E22" s="4339">
        <f>[40]ALGERS!$E$16</f>
        <v>69458.23</v>
      </c>
      <c r="F22" s="4338">
        <f t="shared" si="0"/>
        <v>360541.77</v>
      </c>
      <c r="G22" s="4339">
        <f>[45]ALGERS!$C$16</f>
        <v>430000</v>
      </c>
      <c r="H22" s="4338">
        <v>430000</v>
      </c>
      <c r="I22" s="4240"/>
    </row>
    <row r="23" spans="1:10" s="4239" customFormat="1" ht="18" customHeight="1" outlineLevel="1">
      <c r="A23" s="4250" t="s">
        <v>700</v>
      </c>
      <c r="B23" s="4249"/>
      <c r="C23" s="4248" t="s">
        <v>392</v>
      </c>
      <c r="D23" s="4341">
        <f>[39]ALGERS!$E$17</f>
        <v>0</v>
      </c>
      <c r="E23" s="4339">
        <f>[40]ALGERS!$E$17</f>
        <v>0</v>
      </c>
      <c r="F23" s="4338">
        <f t="shared" si="0"/>
        <v>1000</v>
      </c>
      <c r="G23" s="4339">
        <f>[45]ALGERS!$C$17</f>
        <v>1000</v>
      </c>
      <c r="H23" s="4338">
        <v>1000</v>
      </c>
      <c r="I23" s="4240"/>
    </row>
    <row r="24" spans="1:10" s="4239" customFormat="1" ht="18" customHeight="1" outlineLevel="1">
      <c r="A24" s="4252" t="s">
        <v>2038</v>
      </c>
      <c r="B24" s="4249"/>
      <c r="C24" s="4248" t="s">
        <v>390</v>
      </c>
      <c r="D24" s="4341">
        <f>[39]ALGERS!$E$18</f>
        <v>7929.5999999999995</v>
      </c>
      <c r="E24" s="4339">
        <f>[40]ALGERS!$E$18</f>
        <v>3304</v>
      </c>
      <c r="F24" s="4338">
        <f t="shared" si="0"/>
        <v>28696</v>
      </c>
      <c r="G24" s="4339">
        <f>[45]ALGERS!$C$18</f>
        <v>32000</v>
      </c>
      <c r="H24" s="4338">
        <v>32000</v>
      </c>
      <c r="I24" s="4240"/>
    </row>
    <row r="25" spans="1:10" s="4239" customFormat="1" ht="18" customHeight="1" outlineLevel="1">
      <c r="A25" s="4250" t="s">
        <v>3201</v>
      </c>
      <c r="B25" s="4249"/>
      <c r="C25" s="4248" t="s">
        <v>1962</v>
      </c>
      <c r="D25" s="4341">
        <f>[39]ALGERS!$E$19</f>
        <v>4700</v>
      </c>
      <c r="E25" s="4339">
        <f>[40]ALGERS!$E$19</f>
        <v>2820</v>
      </c>
      <c r="F25" s="4338">
        <f t="shared" si="0"/>
        <v>3180</v>
      </c>
      <c r="G25" s="4339">
        <f>[45]ALGERS!$C$19</f>
        <v>6000</v>
      </c>
      <c r="H25" s="4338">
        <v>6000</v>
      </c>
      <c r="I25" s="4253" t="s">
        <v>3223</v>
      </c>
      <c r="J25" s="4327" t="s">
        <v>3222</v>
      </c>
    </row>
    <row r="26" spans="1:10" s="4239" customFormat="1" ht="18" customHeight="1" outlineLevel="1">
      <c r="A26" s="4250" t="s">
        <v>389</v>
      </c>
      <c r="B26" s="4249"/>
      <c r="C26" s="4248" t="s">
        <v>388</v>
      </c>
      <c r="D26" s="4341">
        <f>[39]ALGERS!$E$20</f>
        <v>907695</v>
      </c>
      <c r="E26" s="4337">
        <f>[40]ALGERS!$E$20</f>
        <v>440865</v>
      </c>
      <c r="F26" s="4338">
        <f t="shared" si="0"/>
        <v>695135</v>
      </c>
      <c r="G26" s="4337">
        <f>[40]ALGERS!$C$20</f>
        <v>1136000</v>
      </c>
      <c r="H26" s="4336">
        <v>1214000</v>
      </c>
      <c r="I26" s="4251">
        <v>78000</v>
      </c>
      <c r="J26" s="4326">
        <v>78000</v>
      </c>
    </row>
    <row r="27" spans="1:10" s="4239" customFormat="1" ht="18" customHeight="1" outlineLevel="1">
      <c r="A27" s="4250" t="s">
        <v>3221</v>
      </c>
      <c r="B27" s="4249"/>
      <c r="C27" s="4248" t="s">
        <v>1934</v>
      </c>
      <c r="D27" s="4341">
        <v>0</v>
      </c>
      <c r="E27" s="4337">
        <f>[40]ALGERS!$E$21</f>
        <v>0</v>
      </c>
      <c r="F27" s="4338">
        <f t="shared" si="0"/>
        <v>10000</v>
      </c>
      <c r="G27" s="4337">
        <f>[45]ALGERS!$C$21</f>
        <v>10000</v>
      </c>
      <c r="H27" s="4338">
        <v>10000</v>
      </c>
      <c r="I27" s="4240"/>
    </row>
    <row r="28" spans="1:10" s="4239" customFormat="1" ht="18" customHeight="1" outlineLevel="1">
      <c r="A28" s="4250" t="s">
        <v>3180</v>
      </c>
      <c r="B28" s="4249"/>
      <c r="C28" s="4248"/>
      <c r="D28" s="4341"/>
      <c r="E28" s="4337"/>
      <c r="F28" s="4338"/>
      <c r="G28" s="4337"/>
      <c r="H28" s="4338"/>
      <c r="I28" s="4240"/>
    </row>
    <row r="29" spans="1:10" s="4239" customFormat="1" ht="18" customHeight="1" outlineLevel="1">
      <c r="A29" s="4250"/>
      <c r="B29" s="4249" t="s">
        <v>2336</v>
      </c>
      <c r="C29" s="4248" t="s">
        <v>2335</v>
      </c>
      <c r="D29" s="4341">
        <f>[39]ALGERS!$E$21</f>
        <v>0</v>
      </c>
      <c r="E29" s="4337">
        <f>[40]ALGERS!$E$22</f>
        <v>0</v>
      </c>
      <c r="F29" s="4338">
        <f>G29-E29</f>
        <v>10000</v>
      </c>
      <c r="G29" s="4337">
        <f>[45]ALGERS!$C$22</f>
        <v>10000</v>
      </c>
      <c r="H29" s="4338">
        <v>10000</v>
      </c>
      <c r="I29" s="4240"/>
    </row>
    <row r="30" spans="1:10" s="4239" customFormat="1" ht="18" customHeight="1" outlineLevel="1">
      <c r="A30" s="4250" t="s">
        <v>3220</v>
      </c>
      <c r="B30" s="4249"/>
      <c r="C30" s="4248" t="s">
        <v>1902</v>
      </c>
      <c r="D30" s="4341">
        <f>[39]ALGERS!$E$22</f>
        <v>0</v>
      </c>
      <c r="E30" s="4337">
        <f>[40]ALGERS!$E$23</f>
        <v>0</v>
      </c>
      <c r="F30" s="4338">
        <f>G30-E30</f>
        <v>10000</v>
      </c>
      <c r="G30" s="4337">
        <f>[45]ALGERS!$C$23</f>
        <v>10000</v>
      </c>
      <c r="H30" s="4338">
        <v>10000</v>
      </c>
      <c r="I30" s="4240"/>
    </row>
    <row r="31" spans="1:10" s="4239" customFormat="1" ht="18" customHeight="1" outlineLevel="1">
      <c r="A31" s="4250" t="s">
        <v>3219</v>
      </c>
      <c r="B31" s="4249"/>
      <c r="C31" s="4248" t="s">
        <v>1900</v>
      </c>
      <c r="D31" s="4341">
        <f>[39]ALGERS!$E$23</f>
        <v>0</v>
      </c>
      <c r="E31" s="4337">
        <f>[40]ALGERS!$E$24</f>
        <v>0</v>
      </c>
      <c r="F31" s="4338">
        <f>G31-E31</f>
        <v>33000</v>
      </c>
      <c r="G31" s="4337">
        <f>[45]ALGERS!$C$24</f>
        <v>33000</v>
      </c>
      <c r="H31" s="4338">
        <v>33000</v>
      </c>
      <c r="I31" s="4240"/>
    </row>
    <row r="32" spans="1:10" ht="20.100000000000001" customHeight="1" outlineLevel="2" thickBot="1">
      <c r="A32" s="4238" t="s">
        <v>366</v>
      </c>
      <c r="B32" s="4236"/>
      <c r="C32" s="4237"/>
      <c r="D32" s="4335">
        <f>SUM(D18:D31)</f>
        <v>1197687.3500000001</v>
      </c>
      <c r="E32" s="4335">
        <f>SUM(E18:E31)</f>
        <v>566043.23</v>
      </c>
      <c r="F32" s="4335">
        <f>SUM(F18:F31)</f>
        <v>1269956.77</v>
      </c>
      <c r="G32" s="4335">
        <f>SUM(G18:G31)</f>
        <v>1836000</v>
      </c>
      <c r="H32" s="4335">
        <f>SUM(H18:H31)</f>
        <v>1914000</v>
      </c>
      <c r="I32" s="4367"/>
    </row>
    <row r="33" spans="1:9" ht="20.100000000000001" customHeight="1" outlineLevel="2" thickTop="1">
      <c r="A33" s="4233"/>
      <c r="B33" s="4233"/>
      <c r="C33" s="4234"/>
      <c r="D33" s="4233"/>
      <c r="E33" s="4333"/>
      <c r="F33" s="4333"/>
      <c r="G33" s="4333"/>
      <c r="H33" s="4333"/>
    </row>
    <row r="34" spans="1:9" s="4220" customFormat="1" ht="14.25" customHeight="1">
      <c r="A34" s="4225"/>
      <c r="B34" s="4225" t="s">
        <v>3218</v>
      </c>
      <c r="C34" s="4222" t="s">
        <v>363</v>
      </c>
      <c r="D34" s="4222"/>
      <c r="E34" s="4225"/>
      <c r="F34" s="4225" t="s">
        <v>2311</v>
      </c>
      <c r="G34" s="4222"/>
      <c r="H34" s="4332"/>
    </row>
    <row r="35" spans="1:9" s="4220" customFormat="1" ht="14.25" customHeight="1">
      <c r="A35" s="4225"/>
      <c r="B35" s="4222"/>
      <c r="C35" s="4222"/>
      <c r="D35" s="4222"/>
      <c r="E35" s="4225"/>
      <c r="F35" s="4225"/>
      <c r="G35" s="4222"/>
      <c r="H35" s="4332"/>
    </row>
    <row r="36" spans="1:9" s="4220" customFormat="1" ht="14.25" customHeight="1">
      <c r="A36" s="4225"/>
      <c r="B36" s="4222"/>
      <c r="C36" s="4222"/>
      <c r="D36" s="4222"/>
      <c r="E36" s="4225"/>
      <c r="F36" s="4225"/>
      <c r="G36" s="4222"/>
      <c r="H36" s="4332"/>
    </row>
    <row r="37" spans="1:9" s="4220" customFormat="1" ht="14.25" customHeight="1">
      <c r="A37" s="4229"/>
      <c r="B37" s="4229" t="s">
        <v>3217</v>
      </c>
      <c r="C37" s="4228" t="s">
        <v>3162</v>
      </c>
      <c r="D37" s="4222"/>
      <c r="E37" s="4227"/>
      <c r="F37" s="4227" t="s">
        <v>359</v>
      </c>
      <c r="G37" s="4222"/>
      <c r="H37" s="4332"/>
    </row>
    <row r="38" spans="1:9" s="4220" customFormat="1" ht="14.25" customHeight="1">
      <c r="A38" s="4222" t="s">
        <v>3216</v>
      </c>
      <c r="B38" s="4222" t="s">
        <v>3215</v>
      </c>
      <c r="C38" s="4224" t="s">
        <v>3160</v>
      </c>
      <c r="D38" s="4222"/>
      <c r="E38" s="4223"/>
      <c r="F38" s="4223" t="s">
        <v>3159</v>
      </c>
      <c r="G38" s="4222"/>
      <c r="H38" s="4332"/>
    </row>
    <row r="39" spans="1:9" s="4214" customFormat="1">
      <c r="A39" s="4218"/>
      <c r="B39" s="4219"/>
      <c r="C39" s="4218"/>
      <c r="D39" s="4217"/>
      <c r="E39" s="4331"/>
      <c r="F39" s="4331"/>
      <c r="G39" s="4331"/>
      <c r="H39" s="4331"/>
      <c r="I39" s="4282"/>
    </row>
    <row r="40" spans="1:9" s="4214" customFormat="1">
      <c r="A40" s="4218"/>
      <c r="B40" s="4219"/>
      <c r="C40" s="4218"/>
      <c r="D40" s="4217"/>
      <c r="E40" s="4331"/>
      <c r="F40" s="4331"/>
      <c r="G40" s="4331"/>
      <c r="H40" s="4331"/>
      <c r="I40" s="4282"/>
    </row>
    <row r="41" spans="1:9" s="4214" customFormat="1">
      <c r="A41" s="4218"/>
      <c r="B41" s="4219"/>
      <c r="C41" s="4218"/>
      <c r="D41" s="4217"/>
      <c r="E41" s="4331"/>
      <c r="F41" s="4331"/>
      <c r="G41" s="4331"/>
      <c r="H41" s="4331"/>
      <c r="I41" s="4282"/>
    </row>
    <row r="42" spans="1:9" s="4214" customFormat="1">
      <c r="A42" s="4218"/>
      <c r="B42" s="4219"/>
      <c r="C42" s="4218"/>
      <c r="D42" s="4217"/>
      <c r="E42" s="4331"/>
      <c r="F42" s="4331"/>
      <c r="G42" s="4331"/>
      <c r="H42" s="4331"/>
      <c r="I42" s="4282"/>
    </row>
    <row r="43" spans="1:9" s="4214" customFormat="1">
      <c r="A43" s="4218"/>
      <c r="B43" s="4219"/>
      <c r="C43" s="4218"/>
      <c r="D43" s="4217"/>
      <c r="E43" s="4331"/>
      <c r="F43" s="4331"/>
      <c r="G43" s="4331"/>
      <c r="H43" s="4331"/>
      <c r="I43" s="4282"/>
    </row>
    <row r="44" spans="1:9" s="4214" customFormat="1">
      <c r="A44" s="4218"/>
      <c r="B44" s="4219"/>
      <c r="C44" s="4218"/>
      <c r="D44" s="4217"/>
      <c r="E44" s="4331"/>
      <c r="F44" s="4331"/>
      <c r="G44" s="4331"/>
      <c r="H44" s="4331"/>
      <c r="I44" s="4282"/>
    </row>
    <row r="45" spans="1:9" s="4214" customFormat="1">
      <c r="A45" s="4218"/>
      <c r="B45" s="4219"/>
      <c r="C45" s="4218"/>
      <c r="D45" s="4217"/>
      <c r="E45" s="4331"/>
      <c r="F45" s="4331"/>
      <c r="G45" s="4331"/>
      <c r="H45" s="4331"/>
      <c r="I45" s="4282"/>
    </row>
    <row r="46" spans="1:9" s="4214" customFormat="1">
      <c r="A46" s="4218"/>
      <c r="B46" s="4219"/>
      <c r="C46" s="4218"/>
      <c r="D46" s="4217"/>
      <c r="E46" s="4331"/>
      <c r="F46" s="4331"/>
      <c r="G46" s="4331"/>
      <c r="H46" s="4331"/>
      <c r="I46" s="4282"/>
    </row>
    <row r="47" spans="1:9" s="4214" customFormat="1">
      <c r="A47" s="4218"/>
      <c r="B47" s="4219"/>
      <c r="C47" s="4218"/>
      <c r="D47" s="4217"/>
      <c r="E47" s="4331"/>
      <c r="F47" s="4331"/>
      <c r="G47" s="4331"/>
      <c r="H47" s="4331"/>
      <c r="I47" s="4282"/>
    </row>
    <row r="48" spans="1:9" s="4214" customFormat="1">
      <c r="A48" s="4218"/>
      <c r="B48" s="4219"/>
      <c r="C48" s="4218"/>
      <c r="D48" s="4217"/>
      <c r="E48" s="4331"/>
      <c r="F48" s="4331"/>
      <c r="G48" s="4331"/>
      <c r="H48" s="4331"/>
      <c r="I48" s="4282"/>
    </row>
    <row r="49" spans="1:9" s="4214" customFormat="1">
      <c r="A49" s="4218"/>
      <c r="B49" s="4219"/>
      <c r="C49" s="4218"/>
      <c r="D49" s="4217"/>
      <c r="E49" s="4331"/>
      <c r="F49" s="4331"/>
      <c r="G49" s="4331"/>
      <c r="H49" s="4331"/>
      <c r="I49" s="4282"/>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M40"/>
  <sheetViews>
    <sheetView showGridLines="0" showOutlineSymbols="0" workbookViewId="0">
      <selection activeCell="J33" sqref="J33"/>
    </sheetView>
  </sheetViews>
  <sheetFormatPr defaultColWidth="12.5703125" defaultRowHeight="12.75" outlineLevelRow="2" outlineLevelCol="2"/>
  <cols>
    <col min="1" max="1" width="1.85546875" style="4213" customWidth="1"/>
    <col min="2" max="2" width="27.28515625" style="4213" customWidth="1"/>
    <col min="3" max="3" width="9.5703125" style="4213" customWidth="1"/>
    <col min="4" max="7" width="11.85546875" style="4213" customWidth="1"/>
    <col min="8" max="8" width="12.28515625" style="4213" customWidth="1"/>
    <col min="9" max="42" width="12.5703125" style="4211"/>
    <col min="43" max="47" width="12.5703125" style="4211" outlineLevel="1"/>
    <col min="48" max="53" width="12.5703125" style="4211" outlineLevel="2"/>
    <col min="54" max="56" width="12.5703125" style="4211" outlineLevel="1"/>
    <col min="57" max="76" width="12.5703125" style="4211"/>
    <col min="77" max="80" width="12.5703125" style="4211" outlineLevel="1"/>
    <col min="81" max="128" width="12.5703125" style="4211"/>
    <col min="129" max="134" width="12.5703125" style="4211" outlineLevel="1"/>
    <col min="135" max="140" width="12.5703125" style="4211" outlineLevel="2"/>
    <col min="141" max="143" width="12.5703125" style="4211" outlineLevel="1"/>
    <col min="144"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3226</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8" s="4212" customFormat="1" ht="20.100000000000001" customHeight="1" outlineLevel="1">
      <c r="A17" s="4263" t="s">
        <v>407</v>
      </c>
      <c r="B17" s="4262"/>
      <c r="C17" s="4261"/>
      <c r="D17" s="4260">
        <f>SUM(D18:D22)</f>
        <v>72908.11</v>
      </c>
      <c r="E17" s="4260">
        <f>SUM(E18:E22)</f>
        <v>31194.979999999996</v>
      </c>
      <c r="F17" s="4260">
        <f>SUM(F18:F22)</f>
        <v>78805.02</v>
      </c>
      <c r="G17" s="4260">
        <f>SUM(G18:G22)</f>
        <v>110000</v>
      </c>
      <c r="H17" s="4260">
        <f>SUM(H18:H22)</f>
        <v>110000</v>
      </c>
    </row>
    <row r="18" spans="1:8" s="4240" customFormat="1" ht="18" customHeight="1" outlineLevel="1">
      <c r="A18" s="4254" t="s">
        <v>2352</v>
      </c>
      <c r="B18" s="4246"/>
      <c r="C18" s="4259" t="s">
        <v>405</v>
      </c>
      <c r="D18" s="4258">
        <f>'[39]INTERNAL SERVICES OFFICE'!$E$12</f>
        <v>0</v>
      </c>
      <c r="E18" s="4257">
        <f>'[40]INTERNAL SERVICES OFFICE'!$E$12</f>
        <v>0</v>
      </c>
      <c r="F18" s="4243">
        <f>G18-E18</f>
        <v>7000</v>
      </c>
      <c r="G18" s="4257">
        <f>'[40]INTERNAL SERVICES OFFICE'!$C$12</f>
        <v>7000</v>
      </c>
      <c r="H18" s="4256">
        <f>'[41]internal audit'!$H$12</f>
        <v>7000</v>
      </c>
    </row>
    <row r="19" spans="1:8" s="4240" customFormat="1" ht="18" customHeight="1" outlineLevel="1">
      <c r="A19" s="4250" t="s">
        <v>404</v>
      </c>
      <c r="B19" s="4249"/>
      <c r="C19" s="4248" t="s">
        <v>403</v>
      </c>
      <c r="D19" s="4244">
        <f>'[39]INTERNAL SERVICES OFFICE'!$E$13</f>
        <v>0</v>
      </c>
      <c r="E19" s="4255">
        <f>'[40]INTERNAL SERVICES OFFICE'!$E$13</f>
        <v>0</v>
      </c>
      <c r="F19" s="4243">
        <f>G19-E19</f>
        <v>10000</v>
      </c>
      <c r="G19" s="4255">
        <f>'[40]INTERNAL SERVICES OFFICE'!$C$13</f>
        <v>10000</v>
      </c>
      <c r="H19" s="4241">
        <f>'[41]internal audit'!$H$13</f>
        <v>10000</v>
      </c>
    </row>
    <row r="20" spans="1:8" s="4239" customFormat="1" ht="18" customHeight="1" outlineLevel="1">
      <c r="A20" s="4247" t="s">
        <v>402</v>
      </c>
      <c r="B20" s="4246"/>
      <c r="C20" s="4248" t="s">
        <v>401</v>
      </c>
      <c r="D20" s="4244">
        <f>'[39]INTERNAL SERVICES OFFICE'!$E$14</f>
        <v>0</v>
      </c>
      <c r="E20" s="4255">
        <f>'[40]INTERNAL SERVICES OFFICE'!$E$14</f>
        <v>0</v>
      </c>
      <c r="F20" s="4243">
        <f>G20-E20</f>
        <v>5000</v>
      </c>
      <c r="G20" s="4255">
        <f>'[40]INTERNAL SERVICES OFFICE'!$C$14</f>
        <v>5000</v>
      </c>
      <c r="H20" s="4241">
        <f>'[41]internal audit'!$H$14</f>
        <v>5000</v>
      </c>
    </row>
    <row r="21" spans="1:8" s="4239" customFormat="1" ht="18" customHeight="1" outlineLevel="1">
      <c r="A21" s="4250" t="s">
        <v>389</v>
      </c>
      <c r="B21" s="4249"/>
      <c r="C21" s="4248" t="s">
        <v>388</v>
      </c>
      <c r="D21" s="4244">
        <f>'[39]INTERNAL SERVICES OFFICE'!$E$15</f>
        <v>72908.11</v>
      </c>
      <c r="E21" s="4242">
        <f>'[40]INTERNAL SERVICES OFFICE'!$E$15</f>
        <v>31194.979999999996</v>
      </c>
      <c r="F21" s="4243">
        <f>G21-E21</f>
        <v>48005.020000000004</v>
      </c>
      <c r="G21" s="4242">
        <f>'[40]INTERNAL SERVICES OFFICE'!$C$15</f>
        <v>79200</v>
      </c>
      <c r="H21" s="4241">
        <f>'[41]internal audit'!$H$15</f>
        <v>79200</v>
      </c>
    </row>
    <row r="22" spans="1:8" s="4239" customFormat="1" ht="18" customHeight="1" outlineLevel="1">
      <c r="A22" s="4247" t="s">
        <v>693</v>
      </c>
      <c r="B22" s="4246"/>
      <c r="C22" s="4245" t="s">
        <v>367</v>
      </c>
      <c r="D22" s="4244">
        <f>'[39]INTERNAL SERVICES OFFICE'!$E$16</f>
        <v>0</v>
      </c>
      <c r="E22" s="4242">
        <f>'[40]INTERNAL SERVICES OFFICE'!$E$16</f>
        <v>0</v>
      </c>
      <c r="F22" s="4243">
        <f>G22-E22</f>
        <v>8800</v>
      </c>
      <c r="G22" s="4242">
        <f>'[40]INTERNAL SERVICES OFFICE'!$C$16</f>
        <v>8800</v>
      </c>
      <c r="H22" s="4241">
        <f>'[41]internal audit'!$H$16</f>
        <v>8800</v>
      </c>
    </row>
    <row r="23" spans="1:8" ht="20.100000000000001" customHeight="1" outlineLevel="2" thickBot="1">
      <c r="A23" s="4238" t="s">
        <v>366</v>
      </c>
      <c r="B23" s="4236"/>
      <c r="C23" s="4362"/>
      <c r="D23" s="4236">
        <f>SUM(D18:D22)</f>
        <v>72908.11</v>
      </c>
      <c r="E23" s="4236">
        <f>SUM(E18:E22)</f>
        <v>31194.979999999996</v>
      </c>
      <c r="F23" s="4236">
        <f>SUM(F18:F22)</f>
        <v>78805.02</v>
      </c>
      <c r="G23" s="4236">
        <f>SUM(G18:G22)</f>
        <v>110000</v>
      </c>
      <c r="H23" s="4236">
        <f>SUM(H18:H22)</f>
        <v>110000</v>
      </c>
    </row>
    <row r="24" spans="1:8" ht="20.100000000000001" customHeight="1" outlineLevel="2" thickTop="1">
      <c r="A24" s="4233"/>
      <c r="B24" s="4233"/>
      <c r="C24" s="4234"/>
      <c r="D24" s="4233"/>
      <c r="E24" s="4233"/>
      <c r="F24" s="4233"/>
      <c r="G24" s="4233"/>
      <c r="H24" s="4232"/>
    </row>
    <row r="25" spans="1:8" s="4220" customFormat="1" ht="14.25" customHeight="1">
      <c r="A25" s="4225" t="s">
        <v>3163</v>
      </c>
      <c r="B25" s="4222"/>
      <c r="C25" s="4222"/>
      <c r="D25" s="4222" t="s">
        <v>363</v>
      </c>
      <c r="E25" s="4222"/>
      <c r="F25" s="4225"/>
      <c r="G25" s="4225" t="s">
        <v>2311</v>
      </c>
      <c r="H25" s="4222"/>
    </row>
    <row r="26" spans="1:8" s="4220" customFormat="1" ht="14.25" customHeight="1">
      <c r="A26" s="4225"/>
      <c r="B26" s="4222"/>
      <c r="C26" s="4222"/>
      <c r="D26" s="4222"/>
      <c r="E26" s="4222"/>
      <c r="F26" s="4225"/>
      <c r="G26" s="4225"/>
      <c r="H26" s="4222"/>
    </row>
    <row r="27" spans="1:8" s="4220" customFormat="1" ht="14.25" customHeight="1">
      <c r="A27" s="4225"/>
      <c r="B27" s="4222"/>
      <c r="C27" s="4222"/>
      <c r="D27" s="4222"/>
      <c r="E27" s="4222"/>
      <c r="F27" s="4225"/>
      <c r="G27" s="4225"/>
      <c r="H27" s="4222"/>
    </row>
    <row r="28" spans="1:8" s="4220" customFormat="1" ht="14.25" customHeight="1">
      <c r="A28" s="4229" t="s">
        <v>2636</v>
      </c>
      <c r="B28" s="4226"/>
      <c r="C28" s="4229"/>
      <c r="D28" s="4228" t="s">
        <v>3162</v>
      </c>
      <c r="E28" s="4222"/>
      <c r="F28" s="4227"/>
      <c r="G28" s="4227" t="s">
        <v>359</v>
      </c>
      <c r="H28" s="4222"/>
    </row>
    <row r="29" spans="1:8" s="4220" customFormat="1" ht="14.25" customHeight="1">
      <c r="A29" s="4222" t="s">
        <v>3225</v>
      </c>
      <c r="B29" s="4226"/>
      <c r="C29" s="4225"/>
      <c r="D29" s="4224" t="s">
        <v>3160</v>
      </c>
      <c r="E29" s="4222"/>
      <c r="F29" s="4223"/>
      <c r="G29" s="4223" t="s">
        <v>3159</v>
      </c>
      <c r="H29" s="4222"/>
    </row>
    <row r="30" spans="1:8" s="4214" customFormat="1">
      <c r="A30" s="4218"/>
      <c r="B30" s="4219"/>
      <c r="C30" s="4218"/>
      <c r="D30" s="4217"/>
      <c r="E30" s="4217"/>
      <c r="F30" s="4217"/>
      <c r="G30" s="4217"/>
      <c r="H30" s="4217"/>
    </row>
    <row r="31" spans="1:8" s="4214" customFormat="1">
      <c r="A31" s="4218"/>
      <c r="B31" s="4219"/>
      <c r="C31" s="4218"/>
      <c r="D31" s="4217"/>
      <c r="E31" s="4217"/>
      <c r="F31" s="4217"/>
      <c r="G31" s="4217"/>
      <c r="H31" s="4217"/>
    </row>
    <row r="32" spans="1:8" s="4214" customFormat="1">
      <c r="A32" s="4218"/>
      <c r="B32" s="4219"/>
      <c r="C32" s="4218"/>
      <c r="D32" s="4217"/>
      <c r="E32" s="4217"/>
      <c r="F32" s="4217"/>
      <c r="G32" s="4217"/>
      <c r="H32" s="4217"/>
    </row>
    <row r="33" spans="1:8" s="4214" customFormat="1">
      <c r="A33" s="4218"/>
      <c r="B33" s="4219"/>
      <c r="C33" s="4218"/>
      <c r="D33" s="4217"/>
      <c r="E33" s="4217"/>
      <c r="F33" s="4217"/>
      <c r="G33" s="4217"/>
      <c r="H33" s="4217"/>
    </row>
    <row r="34" spans="1:8" s="4214" customFormat="1">
      <c r="A34" s="4218"/>
      <c r="B34" s="4219"/>
      <c r="C34" s="4218"/>
      <c r="D34" s="4217"/>
      <c r="E34" s="4217"/>
      <c r="F34" s="4217"/>
      <c r="G34" s="4217"/>
      <c r="H34" s="4217"/>
    </row>
    <row r="35" spans="1:8" s="4214" customFormat="1">
      <c r="A35" s="4218"/>
      <c r="B35" s="4219"/>
      <c r="C35" s="4218"/>
      <c r="D35" s="4217"/>
      <c r="E35" s="4217"/>
      <c r="F35" s="4217"/>
      <c r="G35" s="4217"/>
      <c r="H35" s="4217"/>
    </row>
    <row r="36" spans="1:8" s="4214" customFormat="1">
      <c r="A36" s="4218"/>
      <c r="B36" s="4219"/>
      <c r="C36" s="4218"/>
      <c r="D36" s="4217"/>
      <c r="E36" s="4217"/>
      <c r="F36" s="4217"/>
      <c r="G36" s="4217"/>
      <c r="H36" s="4217"/>
    </row>
    <row r="37" spans="1:8" s="4214" customFormat="1">
      <c r="A37" s="4218"/>
      <c r="B37" s="4219"/>
      <c r="C37" s="4218"/>
      <c r="D37" s="4217"/>
      <c r="E37" s="4217"/>
      <c r="F37" s="4217"/>
      <c r="G37" s="4217"/>
      <c r="H37" s="4217"/>
    </row>
    <row r="38" spans="1:8" s="4214" customFormat="1">
      <c r="A38" s="4218"/>
      <c r="B38" s="4219"/>
      <c r="C38" s="4218"/>
      <c r="D38" s="4217"/>
      <c r="E38" s="4217"/>
      <c r="F38" s="4217"/>
      <c r="G38" s="4217"/>
      <c r="H38" s="4217"/>
    </row>
    <row r="39" spans="1:8" s="4214" customFormat="1">
      <c r="A39" s="4218"/>
      <c r="B39" s="4219"/>
      <c r="C39" s="4218"/>
      <c r="D39" s="4217"/>
      <c r="E39" s="4217"/>
      <c r="F39" s="4217"/>
      <c r="G39" s="4217"/>
      <c r="H39" s="4217"/>
    </row>
    <row r="40" spans="1:8" s="4214" customFormat="1">
      <c r="A40" s="4218"/>
      <c r="B40" s="4219"/>
      <c r="C40" s="4218"/>
      <c r="D40" s="4217"/>
      <c r="E40" s="4217"/>
      <c r="F40" s="4217"/>
      <c r="G40" s="4217"/>
      <c r="H40" s="4217"/>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F39"/>
  <sheetViews>
    <sheetView showGridLines="0" showOutlineSymbols="0" workbookViewId="0">
      <selection activeCell="C19" sqref="C19"/>
    </sheetView>
  </sheetViews>
  <sheetFormatPr defaultColWidth="12.5703125" defaultRowHeight="12.75" outlineLevelRow="2" outlineLevelCol="2"/>
  <cols>
    <col min="1" max="1" width="1.85546875" style="4213" customWidth="1"/>
    <col min="2" max="2" width="27.28515625" style="4213" customWidth="1"/>
    <col min="3" max="3" width="10.140625" style="4213" customWidth="1"/>
    <col min="4" max="4" width="9.140625" style="4213" customWidth="1"/>
    <col min="5" max="8" width="12" style="4213" customWidth="1"/>
    <col min="9" max="35" width="12.5703125" style="4211"/>
    <col min="36" max="40" width="12.5703125" style="4211" outlineLevel="1"/>
    <col min="41" max="46" width="12.5703125" style="4211" outlineLevel="2"/>
    <col min="47" max="49" width="12.5703125" style="4211" outlineLevel="1"/>
    <col min="50" max="69" width="12.5703125" style="4211"/>
    <col min="70" max="73" width="12.5703125" style="4211" outlineLevel="1"/>
    <col min="74" max="121" width="12.5703125" style="4211"/>
    <col min="122" max="127" width="12.5703125" style="4211" outlineLevel="1"/>
    <col min="128" max="133" width="12.5703125" style="4211" outlineLevel="2"/>
    <col min="134" max="136" width="12.5703125" style="4211" outlineLevel="1"/>
    <col min="137"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3231</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8" s="4212" customFormat="1" ht="20.100000000000001" customHeight="1" outlineLevel="1">
      <c r="A17" s="4263" t="s">
        <v>407</v>
      </c>
      <c r="B17" s="4262"/>
      <c r="C17" s="4261"/>
      <c r="D17" s="4260">
        <f>SUM(D18:D21)</f>
        <v>0</v>
      </c>
      <c r="E17" s="4260">
        <f>SUM(E18:E21)</f>
        <v>0</v>
      </c>
      <c r="F17" s="4260">
        <f>SUM(F18:F21)</f>
        <v>45000</v>
      </c>
      <c r="G17" s="4260">
        <f>SUM(G18:G21)</f>
        <v>45000</v>
      </c>
      <c r="H17" s="4260">
        <f>SUM(H18:H21)</f>
        <v>45000</v>
      </c>
    </row>
    <row r="18" spans="1:8" s="4240" customFormat="1" ht="18" customHeight="1" outlineLevel="1">
      <c r="A18" s="4254" t="s">
        <v>2352</v>
      </c>
      <c r="B18" s="4246"/>
      <c r="C18" s="4259" t="s">
        <v>405</v>
      </c>
      <c r="D18" s="4258">
        <v>0</v>
      </c>
      <c r="E18" s="4257">
        <v>0</v>
      </c>
      <c r="F18" s="4243">
        <f>G18-E18</f>
        <v>13000</v>
      </c>
      <c r="G18" s="4257">
        <f>'[40]APPRAISAL COMMITTEE'!$C$12</f>
        <v>13000</v>
      </c>
      <c r="H18" s="4256">
        <f>[41]APPRAISAL!$H$12</f>
        <v>13000</v>
      </c>
    </row>
    <row r="19" spans="1:8" s="4240" customFormat="1" ht="18" customHeight="1" outlineLevel="1">
      <c r="A19" s="4250" t="s">
        <v>404</v>
      </c>
      <c r="B19" s="4249"/>
      <c r="C19" s="4248" t="s">
        <v>403</v>
      </c>
      <c r="D19" s="4244">
        <v>0</v>
      </c>
      <c r="E19" s="4255">
        <v>0</v>
      </c>
      <c r="F19" s="4243">
        <f>G19-E19</f>
        <v>2000</v>
      </c>
      <c r="G19" s="4255">
        <f>'[40]APPRAISAL COMMITTEE'!$C$13</f>
        <v>2000</v>
      </c>
      <c r="H19" s="4241">
        <f>[41]APPRAISAL!$H$13</f>
        <v>2000</v>
      </c>
    </row>
    <row r="20" spans="1:8" s="4239" customFormat="1" ht="18" customHeight="1" outlineLevel="1">
      <c r="A20" s="4250" t="s">
        <v>674</v>
      </c>
      <c r="B20" s="4249"/>
      <c r="C20" s="4308" t="s">
        <v>396</v>
      </c>
      <c r="D20" s="4244">
        <v>0</v>
      </c>
      <c r="E20" s="4255">
        <v>0</v>
      </c>
      <c r="F20" s="4243">
        <f>G20-E20</f>
        <v>15000</v>
      </c>
      <c r="G20" s="4255">
        <f>'[40]APPRAISAL COMMITTEE'!$C$14</f>
        <v>15000</v>
      </c>
      <c r="H20" s="4241">
        <f>[41]APPRAISAL!$H$14</f>
        <v>15000</v>
      </c>
    </row>
    <row r="21" spans="1:8" s="4239" customFormat="1" ht="18" customHeight="1" outlineLevel="1">
      <c r="A21" s="4247" t="s">
        <v>693</v>
      </c>
      <c r="B21" s="4246"/>
      <c r="C21" s="4245" t="s">
        <v>367</v>
      </c>
      <c r="D21" s="4244">
        <v>0</v>
      </c>
      <c r="E21" s="4242">
        <v>0</v>
      </c>
      <c r="F21" s="4243">
        <f>G21-E21</f>
        <v>15000</v>
      </c>
      <c r="G21" s="4242">
        <f>'[40]APPRAISAL COMMITTEE'!$C$15</f>
        <v>15000</v>
      </c>
      <c r="H21" s="4241">
        <f>[41]APPRAISAL!$H$15</f>
        <v>15000</v>
      </c>
    </row>
    <row r="22" spans="1:8" ht="20.100000000000001" customHeight="1" outlineLevel="2" thickBot="1">
      <c r="A22" s="4238" t="s">
        <v>366</v>
      </c>
      <c r="B22" s="4236"/>
      <c r="C22" s="4237"/>
      <c r="D22" s="4236">
        <f>SUM(D18:D21)</f>
        <v>0</v>
      </c>
      <c r="E22" s="4236">
        <f>SUM(E18:E21)</f>
        <v>0</v>
      </c>
      <c r="F22" s="4236">
        <f>SUM(F18:F21)</f>
        <v>45000</v>
      </c>
      <c r="G22" s="4236">
        <f>SUM(G18:G21)</f>
        <v>45000</v>
      </c>
      <c r="H22" s="4235">
        <f>SUM(H18:H21)</f>
        <v>45000</v>
      </c>
    </row>
    <row r="23" spans="1:8" ht="20.100000000000001" customHeight="1" outlineLevel="2" thickTop="1">
      <c r="A23" s="4233"/>
      <c r="B23" s="4233"/>
      <c r="C23" s="4234"/>
      <c r="D23" s="4233"/>
      <c r="E23" s="4233"/>
      <c r="F23" s="4233"/>
      <c r="G23" s="4233"/>
      <c r="H23" s="4233"/>
    </row>
    <row r="24" spans="1:8" s="4220" customFormat="1" ht="14.25" customHeight="1">
      <c r="A24" s="4225" t="s">
        <v>3163</v>
      </c>
      <c r="B24" s="4222"/>
      <c r="C24" s="4222"/>
      <c r="D24" s="4222" t="s">
        <v>363</v>
      </c>
      <c r="E24" s="4222"/>
      <c r="F24" s="4225"/>
      <c r="G24" s="4225" t="s">
        <v>2311</v>
      </c>
      <c r="H24" s="4222"/>
    </row>
    <row r="25" spans="1:8" s="4220" customFormat="1" ht="14.25" customHeight="1">
      <c r="A25" s="4225"/>
      <c r="B25" s="4222"/>
      <c r="C25" s="4222"/>
      <c r="D25" s="4222"/>
      <c r="E25" s="4222"/>
      <c r="F25" s="4225"/>
      <c r="G25" s="4225"/>
      <c r="H25" s="4222"/>
    </row>
    <row r="26" spans="1:8" s="4220" customFormat="1" ht="14.25" customHeight="1">
      <c r="A26" s="4225"/>
      <c r="B26" s="4222"/>
      <c r="C26" s="4222"/>
      <c r="D26" s="4222"/>
      <c r="E26" s="4222"/>
      <c r="F26" s="4225"/>
      <c r="G26" s="4225"/>
      <c r="H26" s="4222"/>
    </row>
    <row r="27" spans="1:8" s="4220" customFormat="1" ht="14.25" customHeight="1">
      <c r="A27" s="4229" t="s">
        <v>3230</v>
      </c>
      <c r="B27" s="4369" t="s">
        <v>3229</v>
      </c>
      <c r="C27" s="4229"/>
      <c r="D27" s="4228" t="s">
        <v>3162</v>
      </c>
      <c r="E27" s="4222"/>
      <c r="F27" s="4227"/>
      <c r="G27" s="4227" t="s">
        <v>359</v>
      </c>
      <c r="H27" s="4222"/>
    </row>
    <row r="28" spans="1:8" s="4220" customFormat="1" ht="14.25" customHeight="1">
      <c r="A28" s="4222"/>
      <c r="B28" s="4226" t="s">
        <v>3228</v>
      </c>
      <c r="C28" s="4225"/>
      <c r="D28" s="4224" t="s">
        <v>3160</v>
      </c>
      <c r="E28" s="4222"/>
      <c r="F28" s="4223"/>
      <c r="G28" s="4223" t="s">
        <v>3159</v>
      </c>
      <c r="H28" s="4222"/>
    </row>
    <row r="29" spans="1:8" s="4214" customFormat="1">
      <c r="A29" s="4218"/>
      <c r="B29" s="4219" t="s">
        <v>3227</v>
      </c>
      <c r="C29" s="4218"/>
      <c r="D29" s="4217"/>
      <c r="E29" s="4217"/>
      <c r="F29" s="4217"/>
      <c r="G29" s="4217"/>
      <c r="H29" s="4217"/>
    </row>
    <row r="30" spans="1:8" s="4214" customFormat="1">
      <c r="A30" s="4218"/>
      <c r="B30" s="4219"/>
      <c r="C30" s="4218"/>
      <c r="D30" s="4217"/>
      <c r="E30" s="4217"/>
      <c r="F30" s="4217"/>
      <c r="G30" s="4217"/>
      <c r="H30" s="4217"/>
    </row>
    <row r="31" spans="1:8" s="4214" customFormat="1">
      <c r="A31" s="4218"/>
      <c r="B31" s="4219"/>
      <c r="C31" s="4218"/>
      <c r="D31" s="4217"/>
      <c r="E31" s="4217"/>
      <c r="F31" s="4217"/>
      <c r="G31" s="4217"/>
      <c r="H31" s="4217"/>
    </row>
    <row r="32" spans="1:8" s="4214" customFormat="1">
      <c r="A32" s="4218"/>
      <c r="B32" s="4219"/>
      <c r="C32" s="4218"/>
      <c r="D32" s="4217"/>
      <c r="E32" s="4217"/>
      <c r="F32" s="4217"/>
      <c r="G32" s="4217"/>
      <c r="H32" s="4217"/>
    </row>
    <row r="33" spans="1:8" s="4214" customFormat="1">
      <c r="A33" s="4218"/>
      <c r="B33" s="4219"/>
      <c r="C33" s="4218"/>
      <c r="D33" s="4217"/>
      <c r="E33" s="4217"/>
      <c r="F33" s="4217"/>
      <c r="G33" s="4217"/>
      <c r="H33" s="4217"/>
    </row>
    <row r="34" spans="1:8" s="4214" customFormat="1">
      <c r="A34" s="4218"/>
      <c r="B34" s="4219"/>
      <c r="C34" s="4218"/>
      <c r="D34" s="4217"/>
      <c r="E34" s="4217"/>
      <c r="F34" s="4217"/>
      <c r="G34" s="4217"/>
      <c r="H34" s="4217"/>
    </row>
    <row r="35" spans="1:8" s="4214" customFormat="1">
      <c r="A35" s="4218"/>
      <c r="B35" s="4219"/>
      <c r="C35" s="4218"/>
      <c r="D35" s="4217"/>
      <c r="E35" s="4217"/>
      <c r="F35" s="4217"/>
      <c r="G35" s="4217"/>
      <c r="H35" s="4217"/>
    </row>
    <row r="36" spans="1:8" s="4214" customFormat="1">
      <c r="A36" s="4218"/>
      <c r="B36" s="4219"/>
      <c r="C36" s="4218"/>
      <c r="D36" s="4217"/>
      <c r="E36" s="4217"/>
      <c r="F36" s="4217"/>
      <c r="G36" s="4217"/>
      <c r="H36" s="4217"/>
    </row>
    <row r="37" spans="1:8" s="4214" customFormat="1">
      <c r="A37" s="4218"/>
      <c r="B37" s="4219"/>
      <c r="C37" s="4218"/>
      <c r="D37" s="4217"/>
      <c r="E37" s="4217"/>
      <c r="F37" s="4217"/>
      <c r="G37" s="4217"/>
      <c r="H37" s="4217"/>
    </row>
    <row r="38" spans="1:8" s="4214" customFormat="1">
      <c r="A38" s="4218"/>
      <c r="B38" s="4219"/>
      <c r="C38" s="4218"/>
      <c r="D38" s="4217"/>
      <c r="E38" s="4217"/>
      <c r="F38" s="4217"/>
      <c r="G38" s="4217"/>
      <c r="H38" s="4217"/>
    </row>
    <row r="39" spans="1:8" s="4214" customFormat="1">
      <c r="A39" s="4218"/>
      <c r="B39" s="4219"/>
      <c r="C39" s="4218"/>
      <c r="D39" s="4217"/>
      <c r="E39" s="4217"/>
      <c r="F39" s="4217"/>
      <c r="G39" s="4217"/>
      <c r="H39" s="4217"/>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Q73"/>
  <sheetViews>
    <sheetView showGridLines="0" showOutlineSymbols="0" zoomScale="110" zoomScaleNormal="110" workbookViewId="0">
      <selection activeCell="D42" sqref="D42"/>
    </sheetView>
  </sheetViews>
  <sheetFormatPr defaultColWidth="12.5703125" defaultRowHeight="15.75" outlineLevelRow="2" outlineLevelCol="2"/>
  <cols>
    <col min="1" max="1" width="1.85546875" style="235" customWidth="1"/>
    <col min="2" max="2" width="34.28515625" style="235" customWidth="1"/>
    <col min="3" max="3" width="10.140625" style="235" customWidth="1"/>
    <col min="4" max="5" width="10.7109375" style="235" customWidth="1"/>
    <col min="6" max="6" width="10.85546875" style="235" customWidth="1"/>
    <col min="7" max="7" width="10.7109375" style="235" customWidth="1"/>
    <col min="8" max="8" width="11.42578125" style="235" customWidth="1"/>
    <col min="9" max="9" width="12.7109375" style="235" hidden="1" customWidth="1"/>
    <col min="10" max="10" width="12.5703125" style="235" hidden="1" customWidth="1"/>
    <col min="11" max="19" width="0" style="235" hidden="1" customWidth="1"/>
    <col min="20" max="46" width="12.5703125" style="235"/>
    <col min="47" max="51" width="12.5703125" style="235" outlineLevel="1"/>
    <col min="52" max="57" width="12.5703125" style="235" outlineLevel="2"/>
    <col min="58" max="60" width="12.5703125" style="235" outlineLevel="1"/>
    <col min="61" max="80" width="12.5703125" style="235"/>
    <col min="81" max="84" width="12.5703125" style="235" outlineLevel="1"/>
    <col min="85" max="132" width="12.5703125" style="235"/>
    <col min="133" max="138" width="12.5703125" style="235" outlineLevel="1"/>
    <col min="139" max="144" width="12.5703125" style="235" outlineLevel="2"/>
    <col min="145" max="147" width="12.5703125" style="235" outlineLevel="1"/>
    <col min="148" max="16384" width="12.5703125" style="235"/>
  </cols>
  <sheetData>
    <row r="1" spans="1:12">
      <c r="A1" s="960" t="s">
        <v>473</v>
      </c>
      <c r="B1" s="267"/>
      <c r="C1" s="267"/>
      <c r="D1" s="398"/>
      <c r="E1" s="960"/>
      <c r="H1" s="960"/>
    </row>
    <row r="2" spans="1:12" ht="11.25" customHeight="1">
      <c r="A2" s="270" t="s">
        <v>584</v>
      </c>
      <c r="B2" s="267"/>
      <c r="C2" s="267"/>
      <c r="D2" s="398"/>
      <c r="E2" s="270"/>
      <c r="H2" s="270"/>
    </row>
    <row r="3" spans="1:12" ht="5.25" customHeight="1">
      <c r="A3" s="267"/>
      <c r="B3" s="267"/>
      <c r="C3" s="267"/>
      <c r="D3" s="398"/>
      <c r="E3" s="270"/>
      <c r="F3" s="270"/>
      <c r="H3" s="270"/>
    </row>
    <row r="4" spans="1:12" ht="14.25" customHeight="1">
      <c r="A4" s="4630" t="s">
        <v>471</v>
      </c>
      <c r="B4" s="4630"/>
      <c r="C4" s="4630"/>
      <c r="D4" s="4630"/>
      <c r="E4" s="4630"/>
      <c r="F4" s="4630"/>
      <c r="G4" s="4630"/>
      <c r="H4" s="4630"/>
    </row>
    <row r="5" spans="1:12" ht="14.25" customHeight="1">
      <c r="A5" s="4623" t="s">
        <v>583</v>
      </c>
      <c r="B5" s="4631"/>
      <c r="C5" s="4631"/>
      <c r="D5" s="4631"/>
      <c r="E5" s="4631"/>
      <c r="F5" s="4631"/>
      <c r="G5" s="4631"/>
      <c r="H5" s="4631"/>
    </row>
    <row r="6" spans="1:12" ht="18.75" customHeight="1">
      <c r="A6" s="399" t="s">
        <v>955</v>
      </c>
      <c r="D6" s="134"/>
      <c r="E6" s="134"/>
      <c r="F6" s="134"/>
      <c r="G6" s="134"/>
      <c r="H6" s="134"/>
    </row>
    <row r="7" spans="1:12" ht="8.25" customHeight="1">
      <c r="A7" s="398"/>
      <c r="B7" s="397"/>
      <c r="D7" s="134"/>
      <c r="E7" s="134"/>
      <c r="F7" s="134"/>
      <c r="G7" s="134"/>
      <c r="H7" s="134"/>
    </row>
    <row r="8" spans="1:12" ht="14.25" customHeight="1">
      <c r="A8" s="4624" t="s">
        <v>468</v>
      </c>
      <c r="B8" s="4625"/>
      <c r="C8" s="265" t="s">
        <v>467</v>
      </c>
      <c r="D8" s="264" t="s">
        <v>466</v>
      </c>
      <c r="E8" s="4632" t="s">
        <v>465</v>
      </c>
      <c r="F8" s="4633"/>
      <c r="G8" s="4634"/>
      <c r="H8" s="265" t="s">
        <v>464</v>
      </c>
      <c r="I8" s="264" t="s">
        <v>464</v>
      </c>
    </row>
    <row r="9" spans="1:12" ht="14.25" customHeight="1">
      <c r="A9" s="4626"/>
      <c r="B9" s="4627"/>
      <c r="C9" s="261" t="s">
        <v>463</v>
      </c>
      <c r="D9" s="262" t="s">
        <v>573</v>
      </c>
      <c r="E9" s="503" t="s">
        <v>462</v>
      </c>
      <c r="F9" s="503" t="s">
        <v>461</v>
      </c>
      <c r="G9" s="262" t="s">
        <v>244</v>
      </c>
      <c r="H9" s="262">
        <v>2022</v>
      </c>
      <c r="I9" s="262">
        <v>2022</v>
      </c>
    </row>
    <row r="10" spans="1:12" ht="14.25" customHeight="1">
      <c r="A10" s="4628"/>
      <c r="B10" s="4629"/>
      <c r="C10" s="260"/>
      <c r="D10" s="258" t="s">
        <v>460</v>
      </c>
      <c r="E10" s="258" t="s">
        <v>460</v>
      </c>
      <c r="F10" s="258" t="s">
        <v>459</v>
      </c>
      <c r="G10" s="259"/>
      <c r="H10" s="258" t="s">
        <v>458</v>
      </c>
      <c r="I10" s="257" t="s">
        <v>457</v>
      </c>
      <c r="J10" s="256">
        <v>0.1</v>
      </c>
      <c r="K10" s="344"/>
      <c r="L10" s="344"/>
    </row>
    <row r="11" spans="1:12" ht="16.149999999999999" customHeight="1">
      <c r="A11" s="255" t="s">
        <v>456</v>
      </c>
      <c r="B11" s="395"/>
      <c r="C11" s="221"/>
      <c r="D11" s="221"/>
      <c r="E11" s="221"/>
      <c r="F11" s="251"/>
      <c r="G11" s="251"/>
      <c r="H11" s="251"/>
      <c r="I11" s="253"/>
      <c r="J11" s="241"/>
      <c r="K11" s="344"/>
      <c r="L11" s="344"/>
    </row>
    <row r="12" spans="1:12" ht="14.25" customHeight="1">
      <c r="A12" s="252" t="s">
        <v>455</v>
      </c>
      <c r="B12" s="395"/>
      <c r="C12" s="502"/>
      <c r="D12" s="500">
        <f t="shared" ref="D12:I12" si="0">SUM(D14:D34)</f>
        <v>7643878.8500000006</v>
      </c>
      <c r="E12" s="500">
        <f t="shared" si="0"/>
        <v>3669303.5929999999</v>
      </c>
      <c r="F12" s="500">
        <f t="shared" si="0"/>
        <v>5931152.4069999997</v>
      </c>
      <c r="G12" s="500">
        <f t="shared" si="0"/>
        <v>9600456</v>
      </c>
      <c r="H12" s="500">
        <f t="shared" si="0"/>
        <v>11617275</v>
      </c>
      <c r="I12" s="500">
        <f t="shared" si="0"/>
        <v>11617275</v>
      </c>
      <c r="J12" s="248"/>
      <c r="K12" s="344"/>
      <c r="L12" s="344"/>
    </row>
    <row r="13" spans="1:12" ht="14.45" customHeight="1" outlineLevel="1">
      <c r="A13" s="215" t="s">
        <v>454</v>
      </c>
      <c r="B13" s="499"/>
      <c r="C13" s="752"/>
      <c r="D13" s="392"/>
      <c r="E13" s="392"/>
      <c r="F13" s="245"/>
      <c r="G13" s="245"/>
      <c r="H13" s="245"/>
      <c r="I13" s="959"/>
      <c r="J13" s="241"/>
      <c r="K13" s="344"/>
      <c r="L13" s="344"/>
    </row>
    <row r="14" spans="1:12" ht="14.45" customHeight="1" outlineLevel="1">
      <c r="A14" s="166" t="s">
        <v>426</v>
      </c>
      <c r="B14" s="162"/>
      <c r="C14" s="208" t="s">
        <v>453</v>
      </c>
      <c r="D14" s="160">
        <v>4517690.93</v>
      </c>
      <c r="E14" s="374">
        <v>2492757.943</v>
      </c>
      <c r="F14" s="238">
        <f>SUM(G14-E14)</f>
        <v>3678954.057</v>
      </c>
      <c r="G14" s="374">
        <v>6171712</v>
      </c>
      <c r="H14" s="751">
        <f>'PLANTILLA (3)'!H63</f>
        <v>7198020</v>
      </c>
      <c r="I14" s="751">
        <f>'PLANTILLA (3)'!K63</f>
        <v>7198020</v>
      </c>
      <c r="J14" s="221">
        <f>SUM(H14*0.1)</f>
        <v>719802</v>
      </c>
      <c r="K14" s="344"/>
      <c r="L14" s="344"/>
    </row>
    <row r="15" spans="1:12" ht="14.45" customHeight="1" outlineLevel="1">
      <c r="A15" s="215" t="s">
        <v>452</v>
      </c>
      <c r="B15" s="162"/>
      <c r="C15" s="208"/>
      <c r="D15" s="160"/>
      <c r="E15" s="390"/>
      <c r="F15" s="238"/>
      <c r="G15" s="390"/>
      <c r="H15" s="751"/>
      <c r="I15" s="751"/>
      <c r="J15" s="224"/>
      <c r="K15" s="344"/>
      <c r="L15" s="344"/>
    </row>
    <row r="16" spans="1:12" ht="14.45" customHeight="1" outlineLevel="1">
      <c r="A16" s="178" t="s">
        <v>451</v>
      </c>
      <c r="B16" s="207"/>
      <c r="C16" s="208" t="s">
        <v>450</v>
      </c>
      <c r="D16" s="160">
        <v>315741.94</v>
      </c>
      <c r="E16" s="237">
        <v>167928.57</v>
      </c>
      <c r="F16" s="238">
        <f t="shared" ref="F16:F22" si="1">SUM(G16-E16)</f>
        <v>288071.43</v>
      </c>
      <c r="G16" s="237">
        <v>456000</v>
      </c>
      <c r="H16" s="237">
        <f>'PLANTILLA (3)'!B63*2000*12</f>
        <v>624000</v>
      </c>
      <c r="I16" s="237">
        <f>'PLANTILLA (3)'!B63*2000*12</f>
        <v>624000</v>
      </c>
      <c r="J16" s="224"/>
      <c r="K16" s="344"/>
      <c r="L16" s="344"/>
    </row>
    <row r="17" spans="1:14" ht="14.45" customHeight="1" outlineLevel="1">
      <c r="A17" s="178" t="s">
        <v>449</v>
      </c>
      <c r="B17" s="207"/>
      <c r="C17" s="213" t="s">
        <v>448</v>
      </c>
      <c r="D17" s="160">
        <v>85500</v>
      </c>
      <c r="E17" s="237">
        <v>42750</v>
      </c>
      <c r="F17" s="238">
        <f t="shared" si="1"/>
        <v>42750</v>
      </c>
      <c r="G17" s="237">
        <v>85500</v>
      </c>
      <c r="H17" s="237">
        <f>7125*12</f>
        <v>85500</v>
      </c>
      <c r="I17" s="237">
        <f>7125*12</f>
        <v>85500</v>
      </c>
      <c r="J17" s="224"/>
    </row>
    <row r="18" spans="1:14" ht="14.45" customHeight="1" outlineLevel="1">
      <c r="A18" s="178" t="s">
        <v>447</v>
      </c>
      <c r="B18" s="207"/>
      <c r="C18" s="213" t="s">
        <v>446</v>
      </c>
      <c r="D18" s="160">
        <v>85500</v>
      </c>
      <c r="E18" s="237">
        <v>42750</v>
      </c>
      <c r="F18" s="238">
        <f t="shared" si="1"/>
        <v>42750</v>
      </c>
      <c r="G18" s="237">
        <v>85500</v>
      </c>
      <c r="H18" s="237">
        <f>7125*12</f>
        <v>85500</v>
      </c>
      <c r="I18" s="237">
        <f>7125*12</f>
        <v>85500</v>
      </c>
      <c r="J18" s="224"/>
    </row>
    <row r="19" spans="1:14" ht="14.45" customHeight="1" outlineLevel="1">
      <c r="A19" s="178" t="s">
        <v>445</v>
      </c>
      <c r="B19" s="207"/>
      <c r="C19" s="213" t="s">
        <v>444</v>
      </c>
      <c r="D19" s="160">
        <v>90000</v>
      </c>
      <c r="E19" s="237">
        <v>90000</v>
      </c>
      <c r="F19" s="238">
        <f t="shared" si="1"/>
        <v>24000</v>
      </c>
      <c r="G19" s="237">
        <v>114000</v>
      </c>
      <c r="H19" s="237">
        <f>'PLANTILLA (3)'!B63*6000</f>
        <v>156000</v>
      </c>
      <c r="I19" s="237">
        <f>'PLANTILLA (3)'!B63*6000</f>
        <v>156000</v>
      </c>
      <c r="J19" s="224"/>
    </row>
    <row r="20" spans="1:14" ht="14.45" customHeight="1" outlineLevel="1">
      <c r="A20" s="178" t="s">
        <v>424</v>
      </c>
      <c r="B20" s="207"/>
      <c r="C20" s="208" t="s">
        <v>439</v>
      </c>
      <c r="D20" s="160">
        <v>390735</v>
      </c>
      <c r="E20" s="390">
        <v>0</v>
      </c>
      <c r="F20" s="238">
        <f t="shared" si="1"/>
        <v>519726</v>
      </c>
      <c r="G20" s="390">
        <v>519726</v>
      </c>
      <c r="H20" s="390">
        <f>SUM(H14/12)</f>
        <v>599835</v>
      </c>
      <c r="I20" s="390">
        <f>SUM(I14/12)</f>
        <v>599835</v>
      </c>
      <c r="J20" s="221">
        <f>SUM(H20*0.1)</f>
        <v>59983.5</v>
      </c>
      <c r="K20" s="220"/>
      <c r="L20" s="490"/>
    </row>
    <row r="21" spans="1:14" ht="14.45" customHeight="1" outlineLevel="1">
      <c r="A21" s="178" t="s">
        <v>438</v>
      </c>
      <c r="B21" s="207"/>
      <c r="C21" s="208" t="s">
        <v>437</v>
      </c>
      <c r="D21" s="160">
        <v>75000</v>
      </c>
      <c r="E21" s="237">
        <v>0</v>
      </c>
      <c r="F21" s="238">
        <f t="shared" si="1"/>
        <v>95000</v>
      </c>
      <c r="G21" s="388">
        <v>95000</v>
      </c>
      <c r="H21" s="388">
        <f>'PLANTILLA (3)'!B63*5000</f>
        <v>130000</v>
      </c>
      <c r="I21" s="388">
        <f>'PLANTILLA (3)'!B63*5000</f>
        <v>130000</v>
      </c>
      <c r="J21" s="221"/>
      <c r="K21" s="225"/>
      <c r="L21" s="223"/>
    </row>
    <row r="22" spans="1:14" ht="14.45" customHeight="1" outlineLevel="1">
      <c r="A22" s="178" t="s">
        <v>436</v>
      </c>
      <c r="B22" s="207"/>
      <c r="C22" s="213" t="s">
        <v>435</v>
      </c>
      <c r="D22" s="160">
        <v>357119</v>
      </c>
      <c r="E22" s="388">
        <v>406245</v>
      </c>
      <c r="F22" s="238">
        <f t="shared" si="1"/>
        <v>113481</v>
      </c>
      <c r="G22" s="388">
        <v>519726</v>
      </c>
      <c r="H22" s="388">
        <f>SUM(H14/12)</f>
        <v>599835</v>
      </c>
      <c r="I22" s="388">
        <f>SUM(I14/12)</f>
        <v>599835</v>
      </c>
      <c r="J22" s="221">
        <f>SUM(H22*0.1)</f>
        <v>59983.5</v>
      </c>
      <c r="K22" s="225"/>
      <c r="L22" s="223"/>
    </row>
    <row r="23" spans="1:14" ht="14.45" customHeight="1" outlineLevel="1">
      <c r="A23" s="230" t="s">
        <v>434</v>
      </c>
      <c r="B23" s="162"/>
      <c r="C23" s="229"/>
      <c r="D23" s="160"/>
      <c r="E23" s="369"/>
      <c r="F23" s="238"/>
      <c r="G23" s="369"/>
      <c r="H23" s="369"/>
      <c r="I23" s="369"/>
      <c r="J23" s="221"/>
      <c r="K23" s="220"/>
      <c r="L23" s="490"/>
    </row>
    <row r="24" spans="1:14" ht="14.45" customHeight="1" outlineLevel="1">
      <c r="A24" s="178" t="s">
        <v>421</v>
      </c>
      <c r="B24" s="162"/>
      <c r="C24" s="208" t="s">
        <v>433</v>
      </c>
      <c r="D24" s="160">
        <v>541879.78999999992</v>
      </c>
      <c r="E24" s="385">
        <v>300024.11</v>
      </c>
      <c r="F24" s="238">
        <f>SUM(G24-E24)</f>
        <v>448380.89</v>
      </c>
      <c r="G24" s="385">
        <v>748405</v>
      </c>
      <c r="H24" s="226">
        <f>ROUND(H14*0.12,0)</f>
        <v>863762</v>
      </c>
      <c r="I24" s="226">
        <f>ROUND(I14*0.12,0)</f>
        <v>863762</v>
      </c>
      <c r="J24" s="221">
        <f>SUM(H24*0.1)</f>
        <v>86376.200000000012</v>
      </c>
      <c r="K24" s="225"/>
      <c r="L24" s="223"/>
    </row>
    <row r="25" spans="1:14" ht="14.45" customHeight="1" outlineLevel="1">
      <c r="A25" s="178" t="s">
        <v>432</v>
      </c>
      <c r="B25" s="162"/>
      <c r="C25" s="208" t="s">
        <v>431</v>
      </c>
      <c r="D25" s="160">
        <v>17600</v>
      </c>
      <c r="E25" s="381">
        <v>9500</v>
      </c>
      <c r="F25" s="238">
        <f>SUM(G25-E25)</f>
        <v>13300</v>
      </c>
      <c r="G25" s="381">
        <v>22800</v>
      </c>
      <c r="H25" s="381">
        <f>'PLANTILLA (3)'!B63*100*12</f>
        <v>31200</v>
      </c>
      <c r="I25" s="381">
        <f>'PLANTILLA (3)'!B63*100*12</f>
        <v>31200</v>
      </c>
      <c r="J25" s="221"/>
      <c r="K25" s="225" t="str">
        <f>A6</f>
        <v>Office:   CITY PLANNING AND DEVELOPMENT OFFICE (1041)</v>
      </c>
      <c r="L25" s="223"/>
    </row>
    <row r="26" spans="1:14" ht="14.45" customHeight="1" outlineLevel="1">
      <c r="A26" s="178" t="s">
        <v>418</v>
      </c>
      <c r="B26" s="162"/>
      <c r="C26" s="208" t="s">
        <v>430</v>
      </c>
      <c r="D26" s="160">
        <v>60955.69</v>
      </c>
      <c r="E26" s="383">
        <v>33785.81</v>
      </c>
      <c r="F26" s="238">
        <f>SUM(G26-E26)</f>
        <v>70329.19</v>
      </c>
      <c r="G26" s="383">
        <v>104115</v>
      </c>
      <c r="H26" s="383">
        <f>'PLANTILLA (3)'!M65</f>
        <v>140247</v>
      </c>
      <c r="I26" s="383">
        <f>'PLANTILLA (3)'!P65</f>
        <v>140247</v>
      </c>
      <c r="J26" s="221">
        <f>SUM(H26*0.1)</f>
        <v>14024.7</v>
      </c>
      <c r="K26" s="220" t="s">
        <v>954</v>
      </c>
      <c r="M26" s="488"/>
      <c r="N26" s="488"/>
    </row>
    <row r="27" spans="1:14" ht="14.45" customHeight="1" outlineLevel="1">
      <c r="A27" s="178" t="s">
        <v>428</v>
      </c>
      <c r="B27" s="162"/>
      <c r="C27" s="208" t="s">
        <v>427</v>
      </c>
      <c r="D27" s="160">
        <v>17600</v>
      </c>
      <c r="E27" s="381">
        <v>9500</v>
      </c>
      <c r="F27" s="238">
        <f>SUM(G27-E27)</f>
        <v>13300</v>
      </c>
      <c r="G27" s="381">
        <v>22800</v>
      </c>
      <c r="H27" s="381">
        <f>'PLANTILLA (3)'!B63*100*12</f>
        <v>31200</v>
      </c>
      <c r="I27" s="381">
        <f>'PLANTILLA (3)'!B63*100*12</f>
        <v>31200</v>
      </c>
      <c r="J27" s="221"/>
      <c r="K27" s="179" t="s">
        <v>426</v>
      </c>
      <c r="M27" s="134">
        <f>ROUND(J14,0)+1</f>
        <v>719803</v>
      </c>
      <c r="N27" s="490"/>
    </row>
    <row r="28" spans="1:14" ht="14.45" customHeight="1" outlineLevel="1">
      <c r="A28" s="215" t="s">
        <v>425</v>
      </c>
      <c r="B28" s="162"/>
      <c r="C28" s="208"/>
      <c r="D28" s="160"/>
      <c r="E28" s="374"/>
      <c r="F28" s="238"/>
      <c r="G28" s="374"/>
      <c r="H28" s="374"/>
      <c r="I28" s="374"/>
      <c r="J28" s="216"/>
      <c r="K28" s="207" t="s">
        <v>424</v>
      </c>
      <c r="M28" s="134">
        <f>ROUND(J20,0)+1</f>
        <v>59985</v>
      </c>
      <c r="N28" s="490"/>
    </row>
    <row r="29" spans="1:14" ht="14.45" customHeight="1" outlineLevel="1">
      <c r="A29" s="178" t="s">
        <v>423</v>
      </c>
      <c r="B29" s="162"/>
      <c r="C29" s="208" t="s">
        <v>422</v>
      </c>
      <c r="D29" s="459">
        <v>0</v>
      </c>
      <c r="E29" s="957">
        <v>64062.16</v>
      </c>
      <c r="F29" s="238">
        <f t="shared" ref="F29:F34" si="2">SUM(G29-E29)</f>
        <v>1937.8399999999965</v>
      </c>
      <c r="G29" s="374">
        <v>66000</v>
      </c>
      <c r="H29" s="374">
        <v>1000</v>
      </c>
      <c r="I29" s="374">
        <v>1000</v>
      </c>
      <c r="J29" s="214"/>
      <c r="K29" s="207" t="s">
        <v>421</v>
      </c>
      <c r="L29" s="344"/>
      <c r="M29" s="134">
        <f>ROUND(J24,0)+1</f>
        <v>86377</v>
      </c>
      <c r="N29" s="490"/>
    </row>
    <row r="30" spans="1:14" ht="14.45" customHeight="1" outlineLevel="1" thickBot="1">
      <c r="A30" s="197" t="s">
        <v>420</v>
      </c>
      <c r="B30" s="162"/>
      <c r="C30" s="213" t="s">
        <v>419</v>
      </c>
      <c r="D30" s="459">
        <v>956556.5</v>
      </c>
      <c r="E30" s="957">
        <v>0</v>
      </c>
      <c r="F30" s="238">
        <f t="shared" si="2"/>
        <v>483172</v>
      </c>
      <c r="G30" s="374">
        <v>483172</v>
      </c>
      <c r="H30" s="390">
        <f>M32</f>
        <v>940176</v>
      </c>
      <c r="I30" s="390">
        <f>H30</f>
        <v>940176</v>
      </c>
      <c r="J30" s="210"/>
      <c r="K30" s="207" t="s">
        <v>418</v>
      </c>
      <c r="L30" s="344"/>
      <c r="M30" s="134">
        <f>ROUND(J26,0)+1</f>
        <v>14026</v>
      </c>
      <c r="N30" s="490"/>
    </row>
    <row r="31" spans="1:14" ht="14.45" customHeight="1" outlineLevel="1" thickTop="1">
      <c r="A31" s="197" t="s">
        <v>417</v>
      </c>
      <c r="B31" s="162"/>
      <c r="C31" s="213" t="s">
        <v>416</v>
      </c>
      <c r="D31" s="459">
        <v>15000</v>
      </c>
      <c r="E31" s="958">
        <v>10000</v>
      </c>
      <c r="F31" s="238">
        <f t="shared" si="2"/>
        <v>0</v>
      </c>
      <c r="G31" s="747">
        <v>10000</v>
      </c>
      <c r="H31" s="747">
        <v>0</v>
      </c>
      <c r="I31" s="747">
        <v>0</v>
      </c>
      <c r="K31" s="207" t="str">
        <f>A22</f>
        <v>Other Bonuses and Allowances</v>
      </c>
      <c r="L31" s="344"/>
      <c r="M31" s="134">
        <f>ROUND(J22,0)+1</f>
        <v>59985</v>
      </c>
      <c r="N31" s="490"/>
    </row>
    <row r="32" spans="1:14" ht="14.45" customHeight="1" outlineLevel="1" thickBot="1">
      <c r="A32" s="197" t="s">
        <v>414</v>
      </c>
      <c r="B32" s="148"/>
      <c r="C32" s="213" t="s">
        <v>413</v>
      </c>
      <c r="D32" s="955">
        <v>0</v>
      </c>
      <c r="E32" s="957">
        <v>0</v>
      </c>
      <c r="F32" s="238">
        <f t="shared" si="2"/>
        <v>1000</v>
      </c>
      <c r="G32" s="374">
        <v>1000</v>
      </c>
      <c r="H32" s="369">
        <v>1000</v>
      </c>
      <c r="I32" s="369">
        <v>1000</v>
      </c>
      <c r="J32" s="480"/>
      <c r="K32" s="190" t="s">
        <v>410</v>
      </c>
      <c r="L32" s="190"/>
      <c r="M32" s="357">
        <f>SUM(M27:M31)</f>
        <v>940176</v>
      </c>
      <c r="N32" s="223"/>
    </row>
    <row r="33" spans="1:14" ht="14.45" customHeight="1" outlineLevel="1" thickTop="1">
      <c r="A33" s="197" t="s">
        <v>953</v>
      </c>
      <c r="B33" s="148"/>
      <c r="C33" s="213" t="s">
        <v>411</v>
      </c>
      <c r="D33" s="955">
        <v>75000</v>
      </c>
      <c r="E33" s="957">
        <v>0</v>
      </c>
      <c r="F33" s="238">
        <f t="shared" si="2"/>
        <v>95000</v>
      </c>
      <c r="G33" s="374">
        <v>95000</v>
      </c>
      <c r="H33" s="369">
        <f>'PLANTILLA (3)'!B63*5000</f>
        <v>130000</v>
      </c>
      <c r="I33" s="369">
        <f>'PLANTILLA (3)'!B63*5000</f>
        <v>130000</v>
      </c>
      <c r="J33" s="480"/>
      <c r="K33" s="344"/>
      <c r="L33" s="344"/>
      <c r="M33" s="344"/>
      <c r="N33" s="223"/>
    </row>
    <row r="34" spans="1:14" ht="14.45" customHeight="1" outlineLevel="1">
      <c r="A34" s="956" t="s">
        <v>409</v>
      </c>
      <c r="B34" s="148"/>
      <c r="C34" s="482" t="s">
        <v>408</v>
      </c>
      <c r="D34" s="955">
        <v>42000</v>
      </c>
      <c r="E34" s="954">
        <v>0</v>
      </c>
      <c r="F34" s="238">
        <f t="shared" si="2"/>
        <v>0</v>
      </c>
      <c r="G34" s="369">
        <v>0</v>
      </c>
      <c r="H34" s="369">
        <v>0</v>
      </c>
      <c r="I34" s="369">
        <v>0</v>
      </c>
      <c r="J34" s="480"/>
      <c r="N34" s="220"/>
    </row>
    <row r="35" spans="1:14" ht="16.149999999999999" customHeight="1" outlineLevel="1">
      <c r="A35" s="189" t="s">
        <v>407</v>
      </c>
      <c r="B35" s="366"/>
      <c r="C35" s="187"/>
      <c r="D35" s="186">
        <f>SUM(D36:D54)</f>
        <v>392957.18</v>
      </c>
      <c r="E35" s="186">
        <f>SUM(E36:E54)</f>
        <v>139742.88</v>
      </c>
      <c r="F35" s="186">
        <f>SUM(F36:F54)</f>
        <v>520757.12</v>
      </c>
      <c r="G35" s="186">
        <f>SUM(G36:G54)</f>
        <v>660500</v>
      </c>
      <c r="H35" s="186">
        <f>SUM(H36:H54)</f>
        <v>957500</v>
      </c>
      <c r="I35" s="344"/>
      <c r="J35" s="344"/>
      <c r="N35" s="490"/>
    </row>
    <row r="36" spans="1:14" ht="14.45" customHeight="1" outlineLevel="1">
      <c r="A36" s="178" t="s">
        <v>574</v>
      </c>
      <c r="B36" s="185"/>
      <c r="C36" s="945" t="s">
        <v>405</v>
      </c>
      <c r="D36" s="184">
        <f>'[4]1041'!$E$30</f>
        <v>52682.16</v>
      </c>
      <c r="E36" s="183">
        <v>18870</v>
      </c>
      <c r="F36" s="238">
        <f>SUM(G36-E36)</f>
        <v>46130</v>
      </c>
      <c r="G36" s="183">
        <v>65000</v>
      </c>
      <c r="H36" s="182">
        <v>40000</v>
      </c>
      <c r="I36" s="953"/>
      <c r="J36" s="344"/>
    </row>
    <row r="37" spans="1:14" s="347" customFormat="1" ht="14.45" customHeight="1" outlineLevel="1">
      <c r="A37" s="178" t="s">
        <v>404</v>
      </c>
      <c r="B37" s="177"/>
      <c r="C37" s="945" t="s">
        <v>403</v>
      </c>
      <c r="D37" s="160">
        <f>'[4]1041'!$E$31</f>
        <v>6500</v>
      </c>
      <c r="E37" s="158">
        <v>7200</v>
      </c>
      <c r="F37" s="238">
        <f>SUM(G37-E37)</f>
        <v>42800</v>
      </c>
      <c r="G37" s="158">
        <v>50000</v>
      </c>
      <c r="H37" s="157">
        <v>40000</v>
      </c>
      <c r="I37" s="946"/>
      <c r="J37" s="344"/>
      <c r="K37" s="235"/>
      <c r="L37" s="235"/>
      <c r="M37" s="235"/>
    </row>
    <row r="38" spans="1:14" s="347" customFormat="1" ht="14.45" customHeight="1" outlineLevel="1">
      <c r="A38" s="178" t="s">
        <v>402</v>
      </c>
      <c r="B38" s="177"/>
      <c r="C38" s="945" t="s">
        <v>401</v>
      </c>
      <c r="D38" s="160">
        <f>'[4]1041'!$E$32</f>
        <v>76130.3</v>
      </c>
      <c r="E38" s="158">
        <v>25114.65</v>
      </c>
      <c r="F38" s="238">
        <f>SUM(G38-E38)</f>
        <v>30885.35</v>
      </c>
      <c r="G38" s="158">
        <v>56000</v>
      </c>
      <c r="H38" s="157">
        <v>56000</v>
      </c>
      <c r="I38" s="946"/>
      <c r="J38" s="349"/>
    </row>
    <row r="39" spans="1:14" s="347" customFormat="1" ht="14.45" customHeight="1" outlineLevel="1">
      <c r="A39" s="166" t="s">
        <v>400</v>
      </c>
      <c r="B39" s="162"/>
      <c r="C39" s="945"/>
      <c r="D39" s="160"/>
      <c r="E39" s="158"/>
      <c r="F39" s="238"/>
      <c r="G39" s="158"/>
      <c r="H39" s="157"/>
      <c r="I39" s="946"/>
      <c r="J39" s="349"/>
    </row>
    <row r="40" spans="1:14" s="347" customFormat="1" ht="14.45" customHeight="1" outlineLevel="1">
      <c r="A40" s="181"/>
      <c r="B40" s="179" t="s">
        <v>399</v>
      </c>
      <c r="C40" s="944" t="s">
        <v>398</v>
      </c>
      <c r="D40" s="160">
        <f>'[4]1041'!$E$33</f>
        <v>5885</v>
      </c>
      <c r="E40" s="158">
        <v>0</v>
      </c>
      <c r="F40" s="238">
        <f t="shared" ref="F40:F45" si="3">SUM(G40-E40)</f>
        <v>20000</v>
      </c>
      <c r="G40" s="158">
        <v>20000</v>
      </c>
      <c r="H40" s="157">
        <v>20000</v>
      </c>
      <c r="I40" s="946"/>
      <c r="J40" s="349"/>
    </row>
    <row r="41" spans="1:14" ht="14.45" customHeight="1" outlineLevel="1">
      <c r="A41" s="180" t="s">
        <v>397</v>
      </c>
      <c r="B41" s="179"/>
      <c r="C41" s="952" t="s">
        <v>396</v>
      </c>
      <c r="D41" s="951">
        <f>'[4]1041'!$E$34</f>
        <v>19724.11</v>
      </c>
      <c r="E41" s="389">
        <v>18105.010000000002</v>
      </c>
      <c r="F41" s="191">
        <f t="shared" si="3"/>
        <v>151894.99</v>
      </c>
      <c r="G41" s="158">
        <v>170000</v>
      </c>
      <c r="H41" s="157">
        <v>205000</v>
      </c>
    </row>
    <row r="42" spans="1:14" s="347" customFormat="1" ht="14.45" customHeight="1" outlineLevel="1">
      <c r="A42" s="166" t="s">
        <v>395</v>
      </c>
      <c r="B42" s="177"/>
      <c r="C42" s="174" t="s">
        <v>394</v>
      </c>
      <c r="D42" s="160">
        <f>'[4]1041'!$E$35</f>
        <v>0</v>
      </c>
      <c r="E42" s="158">
        <v>0</v>
      </c>
      <c r="F42" s="238">
        <f t="shared" si="3"/>
        <v>10000</v>
      </c>
      <c r="G42" s="158">
        <v>10000</v>
      </c>
      <c r="H42" s="157">
        <v>10000</v>
      </c>
      <c r="I42" s="946"/>
      <c r="J42" s="349"/>
    </row>
    <row r="43" spans="1:14" s="347" customFormat="1" ht="14.45" customHeight="1" outlineLevel="1">
      <c r="A43" s="178" t="s">
        <v>393</v>
      </c>
      <c r="B43" s="177"/>
      <c r="C43" s="945" t="s">
        <v>392</v>
      </c>
      <c r="D43" s="160">
        <f>'[4]1041'!$E$36</f>
        <v>1010</v>
      </c>
      <c r="E43" s="158">
        <v>200</v>
      </c>
      <c r="F43" s="238">
        <f t="shared" si="3"/>
        <v>1300</v>
      </c>
      <c r="G43" s="158">
        <v>1500</v>
      </c>
      <c r="H43" s="157">
        <v>1500</v>
      </c>
      <c r="I43" s="946"/>
      <c r="J43" s="349"/>
    </row>
    <row r="44" spans="1:14" s="347" customFormat="1" ht="14.45" customHeight="1" outlineLevel="1">
      <c r="A44" s="178" t="s">
        <v>391</v>
      </c>
      <c r="B44" s="177"/>
      <c r="C44" s="944" t="s">
        <v>390</v>
      </c>
      <c r="D44" s="160">
        <f>'[4]1041'!$E$37</f>
        <v>44798.31</v>
      </c>
      <c r="E44" s="158">
        <v>23117.05</v>
      </c>
      <c r="F44" s="238">
        <f t="shared" si="3"/>
        <v>44882.95</v>
      </c>
      <c r="G44" s="158">
        <v>68000</v>
      </c>
      <c r="H44" s="157">
        <v>68000</v>
      </c>
      <c r="I44" s="946"/>
      <c r="J44" s="349"/>
    </row>
    <row r="45" spans="1:14" s="347" customFormat="1" ht="14.45" customHeight="1" outlineLevel="1">
      <c r="A45" s="517" t="s">
        <v>952</v>
      </c>
      <c r="B45" s="950"/>
      <c r="C45" s="949" t="s">
        <v>951</v>
      </c>
      <c r="D45" s="160">
        <v>0</v>
      </c>
      <c r="E45" s="158">
        <v>0</v>
      </c>
      <c r="F45" s="238">
        <f t="shared" si="3"/>
        <v>0</v>
      </c>
      <c r="G45" s="158">
        <v>0</v>
      </c>
      <c r="H45" s="157">
        <v>297000</v>
      </c>
      <c r="I45" s="946"/>
      <c r="J45" s="349"/>
    </row>
    <row r="46" spans="1:14" s="347" customFormat="1" ht="14.45" customHeight="1" outlineLevel="1">
      <c r="A46" s="166" t="s">
        <v>383</v>
      </c>
      <c r="B46" s="173"/>
      <c r="C46" s="172"/>
      <c r="D46" s="160"/>
      <c r="E46" s="158"/>
      <c r="F46" s="238"/>
      <c r="G46" s="158"/>
      <c r="H46" s="157"/>
      <c r="I46" s="946"/>
      <c r="J46" s="349"/>
      <c r="L46" s="948" t="s">
        <v>652</v>
      </c>
      <c r="M46" s="947"/>
    </row>
    <row r="47" spans="1:14" s="347" customFormat="1" ht="14.45" customHeight="1" outlineLevel="1">
      <c r="A47" s="163"/>
      <c r="B47" s="164" t="s">
        <v>386</v>
      </c>
      <c r="C47" s="944" t="s">
        <v>385</v>
      </c>
      <c r="D47" s="160">
        <f>'[4]1041'!$E$39</f>
        <v>0</v>
      </c>
      <c r="E47" s="158">
        <v>0</v>
      </c>
      <c r="F47" s="238">
        <f>SUM(G47-E47)</f>
        <v>10000</v>
      </c>
      <c r="G47" s="158">
        <v>10000</v>
      </c>
      <c r="H47" s="157">
        <v>10000</v>
      </c>
      <c r="I47" s="946"/>
      <c r="J47" s="349"/>
      <c r="K47" s="475" t="s">
        <v>387</v>
      </c>
      <c r="L47" s="471">
        <f>'PLANTILLA (3)'!B63*200</f>
        <v>5200</v>
      </c>
      <c r="M47" s="471"/>
    </row>
    <row r="48" spans="1:14" s="347" customFormat="1" ht="14.45" customHeight="1" outlineLevel="1">
      <c r="A48" s="166" t="s">
        <v>383</v>
      </c>
      <c r="B48" s="173"/>
      <c r="C48" s="172"/>
      <c r="D48" s="160"/>
      <c r="E48" s="158"/>
      <c r="F48" s="238"/>
      <c r="G48" s="158"/>
      <c r="H48" s="157"/>
      <c r="I48" s="946"/>
      <c r="J48" s="349"/>
      <c r="K48" s="475" t="s">
        <v>384</v>
      </c>
      <c r="L48" s="471">
        <f>'PLANTILLA (3)'!B63*2100</f>
        <v>54600</v>
      </c>
      <c r="M48" s="471"/>
    </row>
    <row r="49" spans="1:15" s="347" customFormat="1" ht="14.45" customHeight="1" outlineLevel="1">
      <c r="A49" s="163"/>
      <c r="B49" s="164" t="s">
        <v>381</v>
      </c>
      <c r="C49" s="944" t="s">
        <v>380</v>
      </c>
      <c r="D49" s="160">
        <f>'[4]1041'!$E$41</f>
        <v>4612</v>
      </c>
      <c r="E49" s="158">
        <v>9780</v>
      </c>
      <c r="F49" s="238">
        <f>SUM(G49-E49)</f>
        <v>220</v>
      </c>
      <c r="G49" s="158">
        <v>10000</v>
      </c>
      <c r="H49" s="157">
        <v>10000</v>
      </c>
      <c r="I49" s="946"/>
      <c r="J49" s="349"/>
      <c r="K49" s="475" t="s">
        <v>382</v>
      </c>
      <c r="L49" s="471">
        <f>SUM(H54-L47-L48)</f>
        <v>40200</v>
      </c>
      <c r="M49" s="471"/>
    </row>
    <row r="50" spans="1:15" s="155" customFormat="1" ht="14.45" customHeight="1" outlineLevel="1" thickBot="1">
      <c r="A50" s="166" t="s">
        <v>373</v>
      </c>
      <c r="B50" s="162"/>
      <c r="C50" s="945"/>
      <c r="D50" s="160"/>
      <c r="E50" s="158"/>
      <c r="F50" s="150"/>
      <c r="G50" s="158"/>
      <c r="H50" s="157"/>
      <c r="I50" s="156"/>
      <c r="K50" s="475" t="s">
        <v>379</v>
      </c>
      <c r="L50" s="474">
        <f>SUM(L47:L49)</f>
        <v>100000</v>
      </c>
      <c r="M50" s="471"/>
    </row>
    <row r="51" spans="1:15" s="155" customFormat="1" ht="14.45" customHeight="1" outlineLevel="1" thickTop="1">
      <c r="A51" s="163"/>
      <c r="B51" s="164" t="s">
        <v>377</v>
      </c>
      <c r="C51" s="944" t="s">
        <v>376</v>
      </c>
      <c r="D51" s="160">
        <f>'[4]1041'!$E$43</f>
        <v>36020</v>
      </c>
      <c r="E51" s="158">
        <v>25055.77</v>
      </c>
      <c r="F51" s="150">
        <f>SUM(G51-E51)</f>
        <v>4944.2299999999996</v>
      </c>
      <c r="G51" s="158">
        <v>30000</v>
      </c>
      <c r="H51" s="157">
        <v>30000</v>
      </c>
      <c r="I51" s="156"/>
    </row>
    <row r="52" spans="1:15" s="155" customFormat="1" ht="14.45" customHeight="1" outlineLevel="1">
      <c r="A52" s="166" t="s">
        <v>373</v>
      </c>
      <c r="B52" s="162"/>
      <c r="C52" s="945"/>
      <c r="D52" s="160"/>
      <c r="E52" s="158"/>
      <c r="F52" s="150"/>
      <c r="G52" s="158"/>
      <c r="H52" s="157"/>
      <c r="I52" s="156"/>
    </row>
    <row r="53" spans="1:15" s="155" customFormat="1" ht="14.45" customHeight="1" outlineLevel="1">
      <c r="A53" s="163"/>
      <c r="B53" s="164" t="s">
        <v>372</v>
      </c>
      <c r="C53" s="944" t="s">
        <v>371</v>
      </c>
      <c r="D53" s="160">
        <f>'[4]1041'!$E$45</f>
        <v>129882</v>
      </c>
      <c r="E53" s="158">
        <v>0</v>
      </c>
      <c r="F53" s="150">
        <f>SUM(G53-E53)</f>
        <v>70000</v>
      </c>
      <c r="G53" s="158">
        <v>70000</v>
      </c>
      <c r="H53" s="157">
        <v>70000</v>
      </c>
      <c r="I53" s="156"/>
    </row>
    <row r="54" spans="1:15" ht="14.45" customHeight="1" outlineLevel="1">
      <c r="A54" s="942" t="s">
        <v>368</v>
      </c>
      <c r="B54" s="153"/>
      <c r="C54" s="467" t="s">
        <v>367</v>
      </c>
      <c r="D54" s="160">
        <f>'[4]1041'!$E$46</f>
        <v>15713.300000000003</v>
      </c>
      <c r="E54" s="157">
        <v>12300.4</v>
      </c>
      <c r="F54" s="547">
        <f>SUM(G54-E54)</f>
        <v>87699.6</v>
      </c>
      <c r="G54" s="158">
        <v>100000</v>
      </c>
      <c r="H54" s="157">
        <v>100000</v>
      </c>
      <c r="I54" s="941"/>
      <c r="J54" s="344"/>
    </row>
    <row r="55" spans="1:15" ht="18" customHeight="1" outlineLevel="1">
      <c r="A55" s="189" t="s">
        <v>775</v>
      </c>
      <c r="B55" s="366"/>
      <c r="C55" s="943"/>
      <c r="D55" s="186">
        <f>SUM(D56:D57)</f>
        <v>111790</v>
      </c>
      <c r="E55" s="186">
        <f>SUM(E56:E57)</f>
        <v>0</v>
      </c>
      <c r="F55" s="186">
        <f>SUM(F56:F57)</f>
        <v>0</v>
      </c>
      <c r="G55" s="186">
        <f>SUM(G56:G57)</f>
        <v>0</v>
      </c>
      <c r="H55" s="186">
        <f>SUM(H56:H57)</f>
        <v>0</v>
      </c>
      <c r="K55" s="729"/>
      <c r="L55" s="729"/>
      <c r="M55" s="728"/>
      <c r="N55" s="347"/>
      <c r="O55" s="347"/>
    </row>
    <row r="56" spans="1:15" ht="15" customHeight="1" outlineLevel="1">
      <c r="A56" s="176" t="s">
        <v>950</v>
      </c>
      <c r="B56" s="175"/>
      <c r="C56" s="467" t="s">
        <v>949</v>
      </c>
      <c r="D56" s="160">
        <v>62290</v>
      </c>
      <c r="E56" s="157">
        <v>0</v>
      </c>
      <c r="F56" s="547">
        <f>SUM(G56-E56)</f>
        <v>0</v>
      </c>
      <c r="G56" s="157">
        <v>0</v>
      </c>
      <c r="H56" s="157">
        <v>0</v>
      </c>
      <c r="I56" s="941"/>
      <c r="J56" s="344"/>
    </row>
    <row r="57" spans="1:15" ht="15" customHeight="1" outlineLevel="1">
      <c r="A57" s="942" t="s">
        <v>774</v>
      </c>
      <c r="B57" s="153"/>
      <c r="C57" s="467" t="s">
        <v>773</v>
      </c>
      <c r="D57" s="160">
        <v>49500</v>
      </c>
      <c r="E57" s="157">
        <v>0</v>
      </c>
      <c r="F57" s="547">
        <f>SUM(G57-E57)</f>
        <v>0</v>
      </c>
      <c r="G57" s="157">
        <v>0</v>
      </c>
      <c r="H57" s="157">
        <v>0</v>
      </c>
      <c r="I57" s="941"/>
      <c r="J57" s="344"/>
    </row>
    <row r="58" spans="1:15" ht="16.149999999999999" customHeight="1" outlineLevel="2" thickBot="1">
      <c r="A58" s="147" t="s">
        <v>366</v>
      </c>
      <c r="B58" s="147"/>
      <c r="C58" s="146"/>
      <c r="D58" s="145">
        <f>SUM(D12+D35+D55)</f>
        <v>8148626.0300000003</v>
      </c>
      <c r="E58" s="145">
        <f>SUM(E12+E35+E55)</f>
        <v>3809046.4729999998</v>
      </c>
      <c r="F58" s="145">
        <f>SUM(F12+F35+F55)</f>
        <v>6451909.5269999998</v>
      </c>
      <c r="G58" s="145">
        <f>SUM(G12+G35+G55)</f>
        <v>10260956</v>
      </c>
      <c r="H58" s="144">
        <f>SUM(H12+H35+H55)</f>
        <v>12574775</v>
      </c>
      <c r="I58" s="143" t="s">
        <v>365</v>
      </c>
    </row>
    <row r="59" spans="1:15" s="344" customFormat="1" ht="16.5" customHeight="1" thickTop="1">
      <c r="A59" s="148" t="s">
        <v>948</v>
      </c>
      <c r="B59" s="453"/>
      <c r="C59" s="940" t="s">
        <v>947</v>
      </c>
      <c r="D59" s="940"/>
      <c r="E59" s="940"/>
      <c r="F59" s="939" t="s">
        <v>946</v>
      </c>
      <c r="G59" s="939"/>
      <c r="H59" s="938"/>
      <c r="I59" s="937"/>
      <c r="J59" s="148"/>
    </row>
    <row r="60" spans="1:15" ht="14.45" customHeight="1">
      <c r="A60" s="134"/>
      <c r="B60" s="134"/>
      <c r="C60" s="141"/>
      <c r="E60" s="134"/>
      <c r="F60" s="134"/>
      <c r="G60" s="134"/>
      <c r="I60" s="134"/>
      <c r="J60" s="134"/>
    </row>
    <row r="61" spans="1:15" s="134" customFormat="1" ht="17.25" customHeight="1">
      <c r="A61" s="4651" t="s">
        <v>945</v>
      </c>
      <c r="B61" s="4651"/>
      <c r="C61" s="4635" t="s">
        <v>360</v>
      </c>
      <c r="D61" s="4635"/>
      <c r="E61" s="4635"/>
      <c r="F61" s="4630" t="s">
        <v>359</v>
      </c>
      <c r="G61" s="4630"/>
      <c r="H61" s="4630"/>
      <c r="I61" s="936"/>
      <c r="J61" s="936"/>
    </row>
    <row r="62" spans="1:15" s="135" customFormat="1" ht="13.15" customHeight="1">
      <c r="A62" s="4704" t="s">
        <v>944</v>
      </c>
      <c r="B62" s="4704"/>
      <c r="C62" s="4655" t="s">
        <v>357</v>
      </c>
      <c r="D62" s="4655"/>
      <c r="E62" s="4655"/>
      <c r="F62" s="4623" t="s">
        <v>356</v>
      </c>
      <c r="G62" s="4623"/>
      <c r="H62" s="4623"/>
      <c r="I62" s="935"/>
      <c r="J62" s="935"/>
    </row>
    <row r="63" spans="1:15" s="135" customFormat="1" ht="13.15" customHeight="1">
      <c r="A63" s="4704"/>
      <c r="B63" s="4704"/>
      <c r="C63" s="4655"/>
      <c r="D63" s="4655"/>
      <c r="E63" s="4655"/>
      <c r="G63" s="137"/>
      <c r="H63" s="137"/>
      <c r="I63" s="137"/>
      <c r="J63" s="137"/>
    </row>
    <row r="64" spans="1:15" s="135" customFormat="1" ht="12.75">
      <c r="B64" s="136"/>
      <c r="D64" s="137"/>
      <c r="E64" s="137"/>
      <c r="F64" s="137"/>
      <c r="G64" s="137"/>
      <c r="H64" s="137"/>
      <c r="I64" s="136"/>
    </row>
    <row r="65" spans="2:9" s="135" customFormat="1" ht="12.75">
      <c r="E65" s="137"/>
      <c r="F65" s="137"/>
      <c r="G65" s="137"/>
      <c r="H65" s="137"/>
      <c r="I65" s="136"/>
    </row>
    <row r="66" spans="2:9" s="135" customFormat="1" ht="12.75">
      <c r="B66" s="136"/>
      <c r="D66" s="137"/>
      <c r="E66" s="137"/>
      <c r="F66" s="137"/>
      <c r="G66" s="137"/>
      <c r="H66" s="137"/>
      <c r="I66" s="136"/>
    </row>
    <row r="67" spans="2:9" s="135" customFormat="1" ht="12.75">
      <c r="B67" s="136"/>
      <c r="D67" s="137"/>
      <c r="E67" s="137"/>
      <c r="F67" s="137"/>
      <c r="G67" s="137"/>
      <c r="H67" s="137"/>
      <c r="I67" s="136"/>
    </row>
    <row r="68" spans="2:9" s="135" customFormat="1" ht="12.75">
      <c r="E68" s="137"/>
      <c r="F68" s="137"/>
      <c r="G68" s="137"/>
      <c r="H68" s="137"/>
      <c r="I68" s="136"/>
    </row>
    <row r="69" spans="2:9" s="135" customFormat="1" ht="12.75">
      <c r="E69" s="137"/>
      <c r="F69" s="137"/>
      <c r="G69" s="137"/>
      <c r="H69" s="137"/>
      <c r="I69" s="136"/>
    </row>
    <row r="70" spans="2:9" s="135" customFormat="1" ht="12.75">
      <c r="E70" s="137"/>
      <c r="F70" s="137"/>
      <c r="G70" s="137"/>
      <c r="H70" s="137"/>
      <c r="I70" s="136"/>
    </row>
    <row r="71" spans="2:9" s="135" customFormat="1" ht="12.75">
      <c r="E71" s="137"/>
      <c r="F71" s="137"/>
      <c r="G71" s="137"/>
      <c r="H71" s="137"/>
      <c r="I71" s="136"/>
    </row>
    <row r="72" spans="2:9" s="135" customFormat="1" ht="12.75">
      <c r="E72" s="137"/>
      <c r="F72" s="137"/>
      <c r="G72" s="137"/>
      <c r="H72" s="137"/>
      <c r="I72" s="136"/>
    </row>
    <row r="73" spans="2:9" s="135" customFormat="1" ht="12.75">
      <c r="B73" s="136"/>
      <c r="D73" s="137"/>
      <c r="E73" s="137"/>
      <c r="F73" s="137"/>
      <c r="G73" s="137"/>
      <c r="H73" s="137"/>
      <c r="I73" s="136"/>
    </row>
  </sheetData>
  <mergeCells count="12">
    <mergeCell ref="C63:E63"/>
    <mergeCell ref="A62:B62"/>
    <mergeCell ref="C62:E62"/>
    <mergeCell ref="F62:H62"/>
    <mergeCell ref="A8:B10"/>
    <mergeCell ref="A63:B63"/>
    <mergeCell ref="A4:H4"/>
    <mergeCell ref="A5:H5"/>
    <mergeCell ref="E8:G8"/>
    <mergeCell ref="A61:B61"/>
    <mergeCell ref="C61:E61"/>
    <mergeCell ref="F61:H61"/>
  </mergeCells>
  <pageMargins left="0.5" right="0" top="0.25" bottom="0" header="0.5" footer="0"/>
  <pageSetup paperSize="5" orientation="portrait" verticalDpi="300"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D47"/>
  <sheetViews>
    <sheetView showGridLines="0" showOutlineSymbols="0" topLeftCell="A4" workbookViewId="0">
      <selection activeCell="A36" sqref="A36"/>
    </sheetView>
  </sheetViews>
  <sheetFormatPr defaultColWidth="12.5703125" defaultRowHeight="12.75" outlineLevelRow="2" outlineLevelCol="2"/>
  <cols>
    <col min="1" max="1" width="1.85546875" style="4213" customWidth="1"/>
    <col min="2" max="2" width="34" style="4213" customWidth="1"/>
    <col min="3" max="3" width="12.5703125" style="4213" customWidth="1"/>
    <col min="4" max="4" width="8.42578125" style="4213" customWidth="1"/>
    <col min="5" max="7" width="10.42578125" style="4213" customWidth="1"/>
    <col min="8" max="8" width="10.42578125" style="4367" customWidth="1"/>
    <col min="9" max="33" width="12.5703125" style="4211"/>
    <col min="34" max="38" width="12.5703125" style="4211" outlineLevel="1"/>
    <col min="39" max="44" width="12.5703125" style="4211" outlineLevel="2"/>
    <col min="45" max="47" width="12.5703125" style="4211" outlineLevel="1"/>
    <col min="48" max="67" width="12.5703125" style="4211"/>
    <col min="68" max="71" width="12.5703125" style="4211" outlineLevel="1"/>
    <col min="72" max="119" width="12.5703125" style="4211"/>
    <col min="120" max="125" width="12.5703125" style="4211" outlineLevel="1"/>
    <col min="126" max="131" width="12.5703125" style="4211" outlineLevel="2"/>
    <col min="132" max="134" width="12.5703125" style="4211" outlineLevel="1"/>
    <col min="135" max="16384" width="12.5703125" style="4211"/>
  </cols>
  <sheetData>
    <row r="1" spans="1:8" ht="13.5">
      <c r="A1" s="4281" t="s">
        <v>473</v>
      </c>
      <c r="E1" s="4302"/>
      <c r="F1" s="4302"/>
      <c r="G1" s="4302"/>
      <c r="H1" s="4373"/>
    </row>
    <row r="2" spans="1:8" ht="14.25" customHeight="1">
      <c r="A2" s="4279" t="s">
        <v>584</v>
      </c>
      <c r="E2" s="4276"/>
      <c r="F2" s="4276"/>
      <c r="G2" s="4276"/>
      <c r="H2" s="4372"/>
    </row>
    <row r="3" spans="1:8" ht="14.25" customHeight="1">
      <c r="E3" s="4276"/>
      <c r="G3" s="4276"/>
      <c r="H3" s="4372"/>
    </row>
    <row r="4" spans="1:8" ht="14.25" customHeight="1">
      <c r="E4" s="4276"/>
      <c r="G4" s="4276"/>
      <c r="H4" s="4372"/>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71"/>
    </row>
    <row r="8" spans="1:8" ht="14.25" customHeight="1">
      <c r="A8" s="4309"/>
      <c r="B8" s="4309"/>
      <c r="C8" s="4309"/>
      <c r="D8" s="4309"/>
      <c r="E8" s="4309"/>
      <c r="F8" s="4309"/>
      <c r="G8" s="4309"/>
      <c r="H8" s="4371"/>
    </row>
    <row r="9" spans="1:8" ht="14.25" customHeight="1">
      <c r="A9" s="4274" t="s">
        <v>3210</v>
      </c>
      <c r="B9" s="4274"/>
    </row>
    <row r="10" spans="1:8" ht="14.25" customHeight="1">
      <c r="A10" s="4273" t="s">
        <v>3233</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370"/>
    </row>
    <row r="17" spans="1:9" s="4212" customFormat="1" ht="20.100000000000001" customHeight="1" outlineLevel="1">
      <c r="A17" s="4263" t="s">
        <v>407</v>
      </c>
      <c r="B17" s="4359"/>
      <c r="C17" s="4261"/>
      <c r="D17" s="4342">
        <f>SUM(D18:D29)</f>
        <v>733820.52</v>
      </c>
      <c r="E17" s="4260">
        <f>SUM(E18:E29)</f>
        <v>688294.41999999993</v>
      </c>
      <c r="F17" s="4260">
        <f>SUM(F18:F29)</f>
        <v>311705.58</v>
      </c>
      <c r="G17" s="4260">
        <f>SUM(G18:G29)</f>
        <v>1000000</v>
      </c>
      <c r="H17" s="4317">
        <f>SUM(H18:H29)</f>
        <v>1100000</v>
      </c>
    </row>
    <row r="18" spans="1:9" s="4240" customFormat="1" ht="18" customHeight="1" outlineLevel="1">
      <c r="A18" s="4254" t="s">
        <v>2352</v>
      </c>
      <c r="B18" s="4368"/>
      <c r="C18" s="4259" t="s">
        <v>405</v>
      </c>
      <c r="D18" s="4350">
        <f>[39]BPLO!$E$12</f>
        <v>11081.32</v>
      </c>
      <c r="E18" s="4257">
        <f>[40]BPLO!$E$12</f>
        <v>244509.71</v>
      </c>
      <c r="F18" s="4243">
        <f t="shared" ref="F18:F23" si="0">G18-E18</f>
        <v>-224509.71</v>
      </c>
      <c r="G18" s="4257">
        <f>[40]BPLO!$C$12</f>
        <v>20000</v>
      </c>
      <c r="H18" s="4256">
        <v>20000</v>
      </c>
    </row>
    <row r="19" spans="1:9" s="4240" customFormat="1" ht="18" customHeight="1" outlineLevel="1">
      <c r="A19" s="4247" t="s">
        <v>402</v>
      </c>
      <c r="B19" s="4365"/>
      <c r="C19" s="4248" t="s">
        <v>401</v>
      </c>
      <c r="D19" s="4341">
        <f>[39]BPLO!$E$13</f>
        <v>71647.28</v>
      </c>
      <c r="E19" s="4255">
        <f>[40]BPLO!$E$13</f>
        <v>73763.350000000006</v>
      </c>
      <c r="F19" s="4243">
        <f t="shared" si="0"/>
        <v>51236.649999999994</v>
      </c>
      <c r="G19" s="4255">
        <f>[40]BPLO!$C$13</f>
        <v>125000</v>
      </c>
      <c r="H19" s="4241">
        <v>100000</v>
      </c>
    </row>
    <row r="20" spans="1:9" s="4239" customFormat="1" ht="18" customHeight="1" outlineLevel="1">
      <c r="A20" s="4250" t="s">
        <v>674</v>
      </c>
      <c r="B20" s="4365"/>
      <c r="C20" s="4308" t="s">
        <v>396</v>
      </c>
      <c r="D20" s="4341">
        <f>[39]BPLO!$E$14</f>
        <v>7055.8200000000006</v>
      </c>
      <c r="E20" s="4255">
        <f>[40]BPLO!$E$14</f>
        <v>3629.8</v>
      </c>
      <c r="F20" s="4243">
        <f t="shared" si="0"/>
        <v>36370.199999999997</v>
      </c>
      <c r="G20" s="4255">
        <f>[40]BPLO!$C$14</f>
        <v>40000</v>
      </c>
      <c r="H20" s="4241">
        <v>40000</v>
      </c>
    </row>
    <row r="21" spans="1:9" s="4239" customFormat="1" ht="18" customHeight="1" outlineLevel="1">
      <c r="A21" s="4252" t="s">
        <v>878</v>
      </c>
      <c r="B21" s="4249"/>
      <c r="C21" s="4248" t="s">
        <v>394</v>
      </c>
      <c r="D21" s="4341">
        <f>[39]BPLO!$E$15</f>
        <v>363500</v>
      </c>
      <c r="E21" s="4255">
        <f>[40]BPLO!$E$15</f>
        <v>83525</v>
      </c>
      <c r="F21" s="4243">
        <f t="shared" si="0"/>
        <v>156475</v>
      </c>
      <c r="G21" s="4255">
        <f>[40]BPLO!$C$15</f>
        <v>240000</v>
      </c>
      <c r="H21" s="4318">
        <v>380000</v>
      </c>
    </row>
    <row r="22" spans="1:9" s="4239" customFormat="1" ht="18" customHeight="1" outlineLevel="1">
      <c r="A22" s="4252" t="s">
        <v>699</v>
      </c>
      <c r="B22" s="4249"/>
      <c r="C22" s="4248" t="s">
        <v>390</v>
      </c>
      <c r="D22" s="4341">
        <f>[39]BPLO!$E$16</f>
        <v>7954.24</v>
      </c>
      <c r="E22" s="4255">
        <f>[40]BPLO!$E$16</f>
        <v>1981.56</v>
      </c>
      <c r="F22" s="4243">
        <f t="shared" si="0"/>
        <v>8018.4400000000005</v>
      </c>
      <c r="G22" s="4255">
        <f>[40]BPLO!$C$16</f>
        <v>10000</v>
      </c>
      <c r="H22" s="4318">
        <v>10000</v>
      </c>
    </row>
    <row r="23" spans="1:9" s="4239" customFormat="1" ht="18" customHeight="1" outlineLevel="1">
      <c r="A23" s="4250" t="s">
        <v>389</v>
      </c>
      <c r="B23" s="4249"/>
      <c r="C23" s="4248" t="s">
        <v>388</v>
      </c>
      <c r="D23" s="4341">
        <f>[39]BPLO!$E$17</f>
        <v>235286.86</v>
      </c>
      <c r="E23" s="4242">
        <f>[40]BPLO!$E$17</f>
        <v>199275</v>
      </c>
      <c r="F23" s="4243">
        <f t="shared" si="0"/>
        <v>191325</v>
      </c>
      <c r="G23" s="4242">
        <f>[40]BPLO!$C$17</f>
        <v>390600</v>
      </c>
      <c r="H23" s="4241">
        <v>390600</v>
      </c>
      <c r="I23" s="4326">
        <v>78000</v>
      </c>
    </row>
    <row r="24" spans="1:9" s="4239" customFormat="1" ht="18" customHeight="1" outlineLevel="1">
      <c r="A24" s="4250" t="s">
        <v>3180</v>
      </c>
      <c r="B24" s="4249"/>
      <c r="C24" s="4248"/>
      <c r="D24" s="4341"/>
      <c r="E24" s="4242"/>
      <c r="F24" s="4243"/>
      <c r="G24" s="4242"/>
      <c r="H24" s="4241"/>
    </row>
    <row r="25" spans="1:9" s="4239" customFormat="1" ht="18" customHeight="1" outlineLevel="1">
      <c r="A25" s="4250"/>
      <c r="B25" s="4249" t="s">
        <v>2336</v>
      </c>
      <c r="C25" s="4248" t="s">
        <v>2335</v>
      </c>
      <c r="D25" s="4341">
        <f>[39]BPLO!$E$18</f>
        <v>3850</v>
      </c>
      <c r="E25" s="4242">
        <f>[40]BPLO!$E$18</f>
        <v>52610</v>
      </c>
      <c r="F25" s="4243">
        <f>G25-E25</f>
        <v>47390</v>
      </c>
      <c r="G25" s="4242">
        <f>[40]BPLO!$C$18</f>
        <v>100000</v>
      </c>
      <c r="H25" s="4241">
        <f>[41]BPLO!$H$19</f>
        <v>60000</v>
      </c>
    </row>
    <row r="26" spans="1:9" s="4239" customFormat="1" ht="18" customHeight="1" outlineLevel="1">
      <c r="A26" s="4250" t="s">
        <v>566</v>
      </c>
      <c r="B26" s="4249"/>
      <c r="C26" s="4248"/>
      <c r="D26" s="4341"/>
      <c r="E26" s="4242"/>
      <c r="F26" s="4243"/>
      <c r="G26" s="4242"/>
      <c r="H26" s="4241"/>
    </row>
    <row r="27" spans="1:9" s="4239" customFormat="1" ht="18" customHeight="1" outlineLevel="1">
      <c r="A27" s="4250"/>
      <c r="B27" s="4249" t="s">
        <v>2370</v>
      </c>
      <c r="C27" s="4248" t="s">
        <v>2327</v>
      </c>
      <c r="D27" s="4341">
        <f>[39]BPLO!$E$19</f>
        <v>4500</v>
      </c>
      <c r="E27" s="4242">
        <f>[40]BPLO!$E$19</f>
        <v>2900</v>
      </c>
      <c r="F27" s="4243">
        <f>G27-E27</f>
        <v>2100</v>
      </c>
      <c r="G27" s="4242">
        <f>[40]BPLO!$C$19</f>
        <v>5000</v>
      </c>
      <c r="H27" s="4241">
        <v>5000</v>
      </c>
    </row>
    <row r="28" spans="1:9" s="4239" customFormat="1" ht="18" customHeight="1" outlineLevel="1">
      <c r="A28" s="4250" t="s">
        <v>1891</v>
      </c>
      <c r="B28" s="4249"/>
      <c r="C28" s="4248" t="s">
        <v>1398</v>
      </c>
      <c r="D28" s="4341">
        <f>[39]BPLO!$E$20</f>
        <v>0</v>
      </c>
      <c r="E28" s="4242">
        <f>[40]BPLO!$E$20</f>
        <v>0</v>
      </c>
      <c r="F28" s="4243">
        <f>G28-E28</f>
        <v>4400</v>
      </c>
      <c r="G28" s="4242">
        <f>[40]BPLO!$C$20</f>
        <v>4400</v>
      </c>
      <c r="H28" s="4241">
        <f>[41]BPLO!$H$22</f>
        <v>19400</v>
      </c>
    </row>
    <row r="29" spans="1:9" s="4239" customFormat="1" ht="18" customHeight="1" outlineLevel="1">
      <c r="A29" s="4247" t="s">
        <v>368</v>
      </c>
      <c r="B29" s="4246"/>
      <c r="C29" s="4245" t="s">
        <v>367</v>
      </c>
      <c r="D29" s="4341">
        <f>[39]BPLO!$E$21</f>
        <v>28945</v>
      </c>
      <c r="E29" s="4242">
        <f>[40]BPLO!$E$21</f>
        <v>26100</v>
      </c>
      <c r="F29" s="4243">
        <f>G29-E29</f>
        <v>38900</v>
      </c>
      <c r="G29" s="4242">
        <f>[40]BPLO!$C$21</f>
        <v>65000</v>
      </c>
      <c r="H29" s="4241">
        <f>[41]BPLO!$H$23</f>
        <v>75000</v>
      </c>
    </row>
    <row r="30" spans="1:9" ht="20.100000000000001" customHeight="1" outlineLevel="2" thickBot="1">
      <c r="A30" s="4238" t="s">
        <v>366</v>
      </c>
      <c r="B30" s="4236"/>
      <c r="C30" s="4237"/>
      <c r="D30" s="4335">
        <f>SUM(D18:D29)</f>
        <v>733820.52</v>
      </c>
      <c r="E30" s="4236">
        <f>SUM(E18:E29)</f>
        <v>688294.41999999993</v>
      </c>
      <c r="F30" s="4236">
        <f>SUM(F18:F29)</f>
        <v>311705.58</v>
      </c>
      <c r="G30" s="4236">
        <f>SUM(G18:G29)</f>
        <v>1000000</v>
      </c>
      <c r="H30" s="4235">
        <f>SUM(H18:H29)</f>
        <v>1100000</v>
      </c>
    </row>
    <row r="31" spans="1:9" ht="20.100000000000001" customHeight="1" outlineLevel="2" thickTop="1">
      <c r="A31" s="4233"/>
      <c r="B31" s="4233"/>
      <c r="C31" s="4234"/>
      <c r="D31" s="4233"/>
      <c r="E31" s="4233"/>
      <c r="F31" s="4233"/>
      <c r="G31" s="4233"/>
      <c r="H31" s="4232"/>
    </row>
    <row r="32" spans="1:9" s="4220" customFormat="1" ht="14.25" customHeight="1">
      <c r="A32" s="4225" t="s">
        <v>3163</v>
      </c>
      <c r="B32" s="4222"/>
      <c r="C32" s="4222" t="s">
        <v>363</v>
      </c>
      <c r="D32" s="4222"/>
      <c r="E32" s="4225"/>
      <c r="F32" s="4225" t="s">
        <v>2311</v>
      </c>
      <c r="G32" s="4222"/>
      <c r="H32" s="4231"/>
    </row>
    <row r="33" spans="1:8" s="4220" customFormat="1" ht="14.25" customHeight="1">
      <c r="A33" s="4225"/>
      <c r="B33" s="4222"/>
      <c r="C33" s="4222"/>
      <c r="D33" s="4222"/>
      <c r="E33" s="4225"/>
      <c r="F33" s="4225"/>
      <c r="G33" s="4222"/>
      <c r="H33" s="4231"/>
    </row>
    <row r="34" spans="1:8" s="4220" customFormat="1" ht="14.25" customHeight="1">
      <c r="A34" s="4225"/>
      <c r="B34" s="4222"/>
      <c r="C34" s="4222"/>
      <c r="D34" s="4222"/>
      <c r="E34" s="4225"/>
      <c r="F34" s="4225"/>
      <c r="G34" s="4222"/>
      <c r="H34" s="4231"/>
    </row>
    <row r="35" spans="1:8" s="4220" customFormat="1" ht="14.25" customHeight="1">
      <c r="A35" s="4229" t="s">
        <v>2576</v>
      </c>
      <c r="B35" s="4226"/>
      <c r="C35" s="4228" t="s">
        <v>3162</v>
      </c>
      <c r="D35" s="4222"/>
      <c r="E35" s="4227"/>
      <c r="F35" s="4227" t="s">
        <v>359</v>
      </c>
      <c r="G35" s="4222"/>
      <c r="H35" s="4231"/>
    </row>
    <row r="36" spans="1:8" s="4220" customFormat="1" ht="14.25" customHeight="1">
      <c r="A36" s="4222" t="s">
        <v>3232</v>
      </c>
      <c r="B36" s="4226"/>
      <c r="C36" s="4224" t="s">
        <v>3160</v>
      </c>
      <c r="D36" s="4222"/>
      <c r="E36" s="4223"/>
      <c r="F36" s="4223" t="s">
        <v>3159</v>
      </c>
      <c r="G36" s="4222"/>
      <c r="H36" s="4231"/>
    </row>
    <row r="37" spans="1:8" s="4214" customFormat="1">
      <c r="A37" s="4218"/>
      <c r="B37" s="4219"/>
      <c r="C37" s="4218"/>
      <c r="D37" s="4217"/>
      <c r="E37" s="4217"/>
      <c r="F37" s="4217"/>
      <c r="G37" s="4217"/>
      <c r="H37" s="4322"/>
    </row>
    <row r="38" spans="1:8" s="4214" customFormat="1">
      <c r="A38" s="4218"/>
      <c r="B38" s="4219"/>
      <c r="C38" s="4218"/>
      <c r="D38" s="4217"/>
      <c r="E38" s="4217"/>
      <c r="F38" s="4217"/>
      <c r="G38" s="4217"/>
      <c r="H38" s="4322"/>
    </row>
    <row r="39" spans="1:8" s="4214" customFormat="1">
      <c r="A39" s="4218"/>
      <c r="B39" s="4219"/>
      <c r="C39" s="4218"/>
      <c r="D39" s="4217"/>
      <c r="E39" s="4217"/>
      <c r="F39" s="4217"/>
      <c r="G39" s="4217"/>
      <c r="H39" s="4322"/>
    </row>
    <row r="40" spans="1:8" s="4214" customFormat="1">
      <c r="A40" s="4218"/>
      <c r="B40" s="4219"/>
      <c r="C40" s="4218"/>
      <c r="D40" s="4217"/>
      <c r="E40" s="4217"/>
      <c r="F40" s="4217"/>
      <c r="G40" s="4217"/>
      <c r="H40" s="4322"/>
    </row>
    <row r="41" spans="1:8" s="4214" customFormat="1">
      <c r="A41" s="4218"/>
      <c r="B41" s="4219"/>
      <c r="C41" s="4218"/>
      <c r="D41" s="4217"/>
      <c r="E41" s="4217"/>
      <c r="F41" s="4217"/>
      <c r="G41" s="4217"/>
      <c r="H41" s="4322"/>
    </row>
    <row r="42" spans="1:8" s="4214" customFormat="1">
      <c r="A42" s="4218"/>
      <c r="B42" s="4219"/>
      <c r="C42" s="4218"/>
      <c r="D42" s="4217"/>
      <c r="E42" s="4217"/>
      <c r="F42" s="4217"/>
      <c r="G42" s="4217"/>
      <c r="H42" s="4322"/>
    </row>
    <row r="43" spans="1:8" s="4214" customFormat="1">
      <c r="A43" s="4218"/>
      <c r="B43" s="4219"/>
      <c r="C43" s="4218"/>
      <c r="D43" s="4217"/>
      <c r="E43" s="4217"/>
      <c r="F43" s="4217"/>
      <c r="G43" s="4217"/>
      <c r="H43" s="4322"/>
    </row>
    <row r="44" spans="1:8" s="4214" customFormat="1">
      <c r="A44" s="4218"/>
      <c r="B44" s="4219"/>
      <c r="C44" s="4218"/>
      <c r="D44" s="4217"/>
      <c r="E44" s="4217"/>
      <c r="F44" s="4217"/>
      <c r="G44" s="4217"/>
      <c r="H44" s="4322"/>
    </row>
    <row r="45" spans="1:8" s="4214" customFormat="1">
      <c r="A45" s="4218"/>
      <c r="B45" s="4219"/>
      <c r="C45" s="4218"/>
      <c r="D45" s="4217"/>
      <c r="E45" s="4217"/>
      <c r="F45" s="4217"/>
      <c r="G45" s="4217"/>
      <c r="H45" s="4322"/>
    </row>
    <row r="46" spans="1:8" s="4214" customFormat="1">
      <c r="A46" s="4218"/>
      <c r="B46" s="4219"/>
      <c r="C46" s="4218"/>
      <c r="D46" s="4217"/>
      <c r="E46" s="4217"/>
      <c r="F46" s="4217"/>
      <c r="G46" s="4217"/>
      <c r="H46" s="4322"/>
    </row>
    <row r="47" spans="1:8" s="4214" customFormat="1">
      <c r="A47" s="4218"/>
      <c r="B47" s="4219"/>
      <c r="C47" s="4218"/>
      <c r="D47" s="4217"/>
      <c r="E47" s="4217"/>
      <c r="F47" s="4217"/>
      <c r="G47" s="4217"/>
      <c r="H47" s="4322"/>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N39"/>
  <sheetViews>
    <sheetView showGridLines="0" showOutlineSymbols="0" workbookViewId="0">
      <selection activeCell="G40" sqref="G40"/>
    </sheetView>
  </sheetViews>
  <sheetFormatPr defaultColWidth="12.5703125" defaultRowHeight="15.75" outlineLevelRow="2" outlineLevelCol="2"/>
  <cols>
    <col min="1" max="1" width="1.85546875" style="4375" customWidth="1"/>
    <col min="2" max="2" width="27.5703125" style="4375" customWidth="1"/>
    <col min="3" max="3" width="9.42578125" style="4375" customWidth="1"/>
    <col min="4" max="8" width="11.7109375" style="4375" customWidth="1"/>
    <col min="9" max="43" width="12.5703125" style="4374"/>
    <col min="44" max="48" width="12.5703125" style="4374" outlineLevel="1"/>
    <col min="49" max="54" width="12.5703125" style="4374" outlineLevel="2"/>
    <col min="55" max="57" width="12.5703125" style="4374" outlineLevel="1"/>
    <col min="58" max="77" width="12.5703125" style="4374"/>
    <col min="78" max="81" width="12.5703125" style="4374" outlineLevel="1"/>
    <col min="82" max="129" width="12.5703125" style="4374"/>
    <col min="130" max="135" width="12.5703125" style="4374" outlineLevel="1"/>
    <col min="136" max="141" width="12.5703125" style="4374" outlineLevel="2"/>
    <col min="142" max="144" width="12.5703125" style="4374" outlineLevel="1"/>
    <col min="145" max="16384" width="12.5703125" style="4374"/>
  </cols>
  <sheetData>
    <row r="1" spans="1:8">
      <c r="A1" s="4281" t="s">
        <v>473</v>
      </c>
      <c r="B1" s="4213"/>
      <c r="C1" s="4213"/>
      <c r="D1" s="4213"/>
      <c r="E1" s="4302"/>
      <c r="F1" s="4302"/>
      <c r="G1" s="4302"/>
      <c r="H1" s="4302"/>
    </row>
    <row r="2" spans="1:8" ht="14.25" customHeight="1">
      <c r="A2" s="4279" t="s">
        <v>584</v>
      </c>
      <c r="B2" s="4213"/>
      <c r="C2" s="4213"/>
      <c r="D2" s="4213"/>
      <c r="E2" s="4276"/>
      <c r="F2" s="4276"/>
      <c r="G2" s="4276"/>
      <c r="H2" s="4276"/>
    </row>
    <row r="3" spans="1:8" ht="14.25" customHeight="1">
      <c r="A3" s="4213"/>
      <c r="B3" s="4213"/>
      <c r="C3" s="4213"/>
      <c r="D3" s="4213"/>
      <c r="E3" s="4276"/>
      <c r="F3" s="4213"/>
      <c r="G3" s="4276"/>
      <c r="H3" s="4276"/>
    </row>
    <row r="4" spans="1:8" ht="14.25" customHeight="1">
      <c r="A4" s="4213"/>
      <c r="B4" s="4213"/>
      <c r="C4" s="4213"/>
      <c r="D4" s="4213"/>
      <c r="E4" s="4276"/>
      <c r="F4" s="4213"/>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c r="C9" s="4213"/>
      <c r="D9" s="4213"/>
      <c r="E9" s="4213"/>
      <c r="F9" s="4213"/>
      <c r="G9" s="4213"/>
      <c r="H9" s="4213"/>
    </row>
    <row r="10" spans="1:8" ht="14.25" customHeight="1">
      <c r="A10" s="4273" t="s">
        <v>3236</v>
      </c>
      <c r="B10" s="4273"/>
      <c r="C10" s="4213"/>
      <c r="D10" s="4213"/>
      <c r="E10" s="4213"/>
      <c r="F10" s="4213"/>
      <c r="G10" s="4213"/>
      <c r="H10" s="4213"/>
    </row>
    <row r="11" spans="1:8" ht="14.25" customHeight="1">
      <c r="A11" s="4273"/>
      <c r="B11" s="4273"/>
      <c r="C11" s="4213"/>
      <c r="D11" s="4213"/>
      <c r="E11" s="4213"/>
      <c r="F11" s="4213"/>
      <c r="G11" s="4213"/>
      <c r="H11" s="4213"/>
    </row>
    <row r="12" spans="1:8" ht="14.25" customHeight="1">
      <c r="A12" s="5007" t="s">
        <v>468</v>
      </c>
      <c r="B12" s="5008"/>
      <c r="C12" s="4272"/>
      <c r="D12" s="4272" t="s">
        <v>466</v>
      </c>
      <c r="E12" s="5004" t="s">
        <v>465</v>
      </c>
      <c r="F12" s="5005"/>
      <c r="G12" s="5006"/>
      <c r="H12" s="4272" t="s">
        <v>2180</v>
      </c>
    </row>
    <row r="13" spans="1:8" s="4211" customFormat="1" ht="14.25" customHeight="1">
      <c r="A13" s="5009"/>
      <c r="B13" s="5010"/>
      <c r="C13" s="4272" t="s">
        <v>467</v>
      </c>
      <c r="D13" s="4270">
        <v>2020</v>
      </c>
      <c r="E13" s="4270" t="s">
        <v>2344</v>
      </c>
      <c r="F13" s="4270" t="s">
        <v>2343</v>
      </c>
      <c r="G13" s="4270"/>
      <c r="H13" s="4270" t="s">
        <v>2342</v>
      </c>
    </row>
    <row r="14" spans="1:8" s="4211" customFormat="1"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8" s="4390" customFormat="1" ht="20.100000000000001" customHeight="1" outlineLevel="1">
      <c r="A17" s="4263" t="s">
        <v>407</v>
      </c>
      <c r="B17" s="4262"/>
      <c r="C17" s="4261"/>
      <c r="D17" s="4260">
        <f>SUM(D18:D21)</f>
        <v>469498</v>
      </c>
      <c r="E17" s="4260">
        <f>SUM(E18:E21)</f>
        <v>225000</v>
      </c>
      <c r="F17" s="4260">
        <f>SUM(F18:F21)</f>
        <v>308000</v>
      </c>
      <c r="G17" s="4260">
        <f>SUM(G18:G21)</f>
        <v>533000</v>
      </c>
      <c r="H17" s="4260">
        <f>SUM(H18:H21)</f>
        <v>531000</v>
      </c>
    </row>
    <row r="18" spans="1:8" s="4389" customFormat="1" ht="18" customHeight="1" outlineLevel="1">
      <c r="A18" s="4254" t="s">
        <v>2352</v>
      </c>
      <c r="B18" s="4246"/>
      <c r="C18" s="4259" t="s">
        <v>405</v>
      </c>
      <c r="D18" s="4258">
        <f>[39]PLEB!$E$12</f>
        <v>0</v>
      </c>
      <c r="E18" s="4257">
        <f>[40]PLEB!$E$12</f>
        <v>0</v>
      </c>
      <c r="F18" s="4243">
        <f>G18-E18</f>
        <v>18400</v>
      </c>
      <c r="G18" s="4257">
        <f>[40]PLEB!$C$12</f>
        <v>18400</v>
      </c>
      <c r="H18" s="4329">
        <v>18400</v>
      </c>
    </row>
    <row r="19" spans="1:8" s="4389" customFormat="1" ht="18" customHeight="1" outlineLevel="1">
      <c r="A19" s="4254" t="s">
        <v>704</v>
      </c>
      <c r="B19" s="4368"/>
      <c r="C19" s="4248" t="s">
        <v>403</v>
      </c>
      <c r="D19" s="4258">
        <f>[39]PLEB!$E$13</f>
        <v>0</v>
      </c>
      <c r="E19" s="4328">
        <f>[40]PLEB!$E$13</f>
        <v>0</v>
      </c>
      <c r="F19" s="4243">
        <f>G19-E19</f>
        <v>10000</v>
      </c>
      <c r="G19" s="4255">
        <f>[40]PLEB!$C$13</f>
        <v>10000</v>
      </c>
      <c r="H19" s="4243">
        <v>10000</v>
      </c>
    </row>
    <row r="20" spans="1:8" s="4388" customFormat="1" ht="18" customHeight="1" outlineLevel="1">
      <c r="A20" s="4247" t="s">
        <v>402</v>
      </c>
      <c r="B20" s="4246"/>
      <c r="C20" s="4248" t="s">
        <v>401</v>
      </c>
      <c r="D20" s="4244">
        <f>[39]PLEB!$E$14</f>
        <v>12998</v>
      </c>
      <c r="E20" s="4255">
        <f>[40]PLEB!$E$14</f>
        <v>0</v>
      </c>
      <c r="F20" s="4243">
        <f>G20-E20</f>
        <v>4000</v>
      </c>
      <c r="G20" s="4255">
        <f>[40]PLEB!$C$14</f>
        <v>4000</v>
      </c>
      <c r="H20" s="4243">
        <v>4000</v>
      </c>
    </row>
    <row r="21" spans="1:8" s="4388" customFormat="1" ht="18" customHeight="1" outlineLevel="1">
      <c r="A21" s="4247" t="s">
        <v>693</v>
      </c>
      <c r="B21" s="4246"/>
      <c r="C21" s="4245" t="s">
        <v>367</v>
      </c>
      <c r="D21" s="4244">
        <f>[39]PLEB!$E$15</f>
        <v>456500</v>
      </c>
      <c r="E21" s="4242">
        <f>[40]PLEB!$E$15</f>
        <v>225000</v>
      </c>
      <c r="F21" s="4243">
        <f>G21-E21</f>
        <v>275600</v>
      </c>
      <c r="G21" s="4242">
        <f>[40]PLEB!$C$15</f>
        <v>500600</v>
      </c>
      <c r="H21" s="4243">
        <v>498600</v>
      </c>
    </row>
    <row r="22" spans="1:8" ht="20.100000000000001" customHeight="1" outlineLevel="2" thickBot="1">
      <c r="A22" s="4238" t="s">
        <v>366</v>
      </c>
      <c r="B22" s="4236"/>
      <c r="C22" s="4237"/>
      <c r="D22" s="4236">
        <f>SUM(D18:D21)</f>
        <v>469498</v>
      </c>
      <c r="E22" s="4236">
        <f>SUM(E18:E21)</f>
        <v>225000</v>
      </c>
      <c r="F22" s="4236">
        <f>SUM(F18:F21)</f>
        <v>308000</v>
      </c>
      <c r="G22" s="4236">
        <f>SUM(G18:G21)</f>
        <v>533000</v>
      </c>
      <c r="H22" s="4235">
        <f>SUM(H18:H21)</f>
        <v>531000</v>
      </c>
    </row>
    <row r="23" spans="1:8" ht="20.100000000000001" customHeight="1" outlineLevel="2" thickTop="1">
      <c r="A23" s="4387"/>
      <c r="B23" s="4387"/>
      <c r="C23" s="4386"/>
      <c r="D23" s="4385"/>
      <c r="E23" s="4385"/>
      <c r="F23" s="4385"/>
      <c r="G23" s="4385"/>
      <c r="H23" s="4385"/>
    </row>
    <row r="24" spans="1:8" s="4380" customFormat="1" ht="14.25" customHeight="1">
      <c r="A24" s="4381" t="s">
        <v>3163</v>
      </c>
      <c r="B24" s="4383"/>
      <c r="C24" s="4383"/>
      <c r="D24" s="4222" t="s">
        <v>363</v>
      </c>
      <c r="E24" s="4222"/>
      <c r="F24" s="4225"/>
      <c r="G24" s="4225" t="s">
        <v>2311</v>
      </c>
      <c r="H24" s="4222"/>
    </row>
    <row r="25" spans="1:8" s="4380" customFormat="1" ht="14.25" customHeight="1">
      <c r="A25" s="4381"/>
      <c r="B25" s="4383"/>
      <c r="C25" s="4383"/>
      <c r="D25" s="4222"/>
      <c r="E25" s="4222"/>
      <c r="F25" s="4225"/>
      <c r="G25" s="4225"/>
      <c r="H25" s="4222"/>
    </row>
    <row r="26" spans="1:8" s="4380" customFormat="1" ht="14.25" customHeight="1">
      <c r="A26" s="4381"/>
      <c r="B26" s="4383"/>
      <c r="C26" s="4383"/>
      <c r="D26" s="4222"/>
      <c r="E26" s="4222"/>
      <c r="F26" s="4225"/>
      <c r="G26" s="4225"/>
      <c r="H26" s="4222"/>
    </row>
    <row r="27" spans="1:8" s="4380" customFormat="1" ht="14.25" customHeight="1">
      <c r="A27" s="4384" t="s">
        <v>3235</v>
      </c>
      <c r="B27" s="4382"/>
      <c r="C27" s="4384"/>
      <c r="D27" s="4228" t="s">
        <v>3162</v>
      </c>
      <c r="E27" s="4222"/>
      <c r="F27" s="4227"/>
      <c r="G27" s="4227" t="s">
        <v>359</v>
      </c>
      <c r="H27" s="4222"/>
    </row>
    <row r="28" spans="1:8" s="4380" customFormat="1" ht="14.25" customHeight="1">
      <c r="A28" s="4383" t="s">
        <v>3234</v>
      </c>
      <c r="B28" s="4382"/>
      <c r="C28" s="4381"/>
      <c r="D28" s="4224" t="s">
        <v>3160</v>
      </c>
      <c r="E28" s="4222"/>
      <c r="F28" s="4223"/>
      <c r="G28" s="4223" t="s">
        <v>3159</v>
      </c>
      <c r="H28" s="4222"/>
    </row>
    <row r="29" spans="1:8" s="4376" customFormat="1" ht="12.75">
      <c r="A29" s="4378"/>
      <c r="B29" s="4379"/>
      <c r="C29" s="4378"/>
      <c r="D29" s="4377"/>
      <c r="E29" s="4377"/>
      <c r="F29" s="4377"/>
      <c r="G29" s="4377"/>
      <c r="H29" s="4377"/>
    </row>
    <row r="30" spans="1:8" s="4376" customFormat="1" ht="12.75">
      <c r="A30" s="4378"/>
      <c r="B30" s="4379"/>
      <c r="C30" s="4378"/>
      <c r="D30" s="4377"/>
      <c r="E30" s="4377"/>
      <c r="F30" s="4377"/>
      <c r="G30" s="4377"/>
      <c r="H30" s="4377"/>
    </row>
    <row r="31" spans="1:8" s="4376" customFormat="1" ht="12.75">
      <c r="A31" s="4378"/>
      <c r="B31" s="4379"/>
      <c r="C31" s="4378"/>
      <c r="D31" s="4377"/>
      <c r="E31" s="4377"/>
      <c r="F31" s="4377"/>
      <c r="G31" s="4377"/>
      <c r="H31" s="4377"/>
    </row>
    <row r="32" spans="1:8" s="4376" customFormat="1" ht="12.75">
      <c r="A32" s="4378"/>
      <c r="B32" s="4379"/>
      <c r="C32" s="4378"/>
      <c r="D32" s="4377"/>
      <c r="E32" s="4377"/>
      <c r="F32" s="4377"/>
      <c r="G32" s="4377"/>
      <c r="H32" s="4377"/>
    </row>
    <row r="33" spans="1:8" s="4376" customFormat="1" ht="12.75">
      <c r="A33" s="4378"/>
      <c r="B33" s="4379"/>
      <c r="C33" s="4378"/>
      <c r="D33" s="4377"/>
      <c r="E33" s="4377"/>
      <c r="F33" s="4377"/>
      <c r="G33" s="4377"/>
      <c r="H33" s="4377"/>
    </row>
    <row r="34" spans="1:8" s="4376" customFormat="1" ht="12.75">
      <c r="A34" s="4378"/>
      <c r="B34" s="4379"/>
      <c r="C34" s="4378"/>
      <c r="D34" s="4377"/>
      <c r="E34" s="4377"/>
      <c r="F34" s="4377"/>
      <c r="G34" s="4377"/>
      <c r="H34" s="4377"/>
    </row>
    <row r="35" spans="1:8" s="4376" customFormat="1" ht="12.75">
      <c r="A35" s="4378"/>
      <c r="B35" s="4379"/>
      <c r="C35" s="4378"/>
      <c r="D35" s="4377"/>
      <c r="E35" s="4377"/>
      <c r="F35" s="4377"/>
      <c r="G35" s="4377"/>
      <c r="H35" s="4377"/>
    </row>
    <row r="36" spans="1:8" s="4376" customFormat="1" ht="12.75">
      <c r="A36" s="4378"/>
      <c r="B36" s="4379"/>
      <c r="C36" s="4378"/>
      <c r="D36" s="4377"/>
      <c r="E36" s="4377"/>
      <c r="F36" s="4377"/>
      <c r="G36" s="4377"/>
      <c r="H36" s="4377"/>
    </row>
    <row r="37" spans="1:8" s="4376" customFormat="1" ht="12.75">
      <c r="A37" s="4378"/>
      <c r="B37" s="4379"/>
      <c r="C37" s="4378"/>
      <c r="D37" s="4377"/>
      <c r="E37" s="4377"/>
      <c r="F37" s="4377"/>
      <c r="G37" s="4377"/>
      <c r="H37" s="4377"/>
    </row>
    <row r="38" spans="1:8" s="4376" customFormat="1" ht="12.75">
      <c r="A38" s="4378"/>
      <c r="B38" s="4379"/>
      <c r="C38" s="4378"/>
      <c r="D38" s="4377"/>
      <c r="E38" s="4377"/>
      <c r="F38" s="4377"/>
      <c r="G38" s="4377"/>
      <c r="H38" s="4377"/>
    </row>
    <row r="39" spans="1:8" s="4376" customFormat="1" ht="12.75">
      <c r="A39" s="4378"/>
      <c r="B39" s="4379"/>
      <c r="C39" s="4378"/>
      <c r="D39" s="4377"/>
      <c r="E39" s="4377"/>
      <c r="F39" s="4377"/>
      <c r="G39" s="4377"/>
      <c r="H39" s="4377"/>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N47"/>
  <sheetViews>
    <sheetView showGridLines="0" showOutlineSymbols="0" workbookViewId="0">
      <selection activeCell="G37" sqref="G37"/>
    </sheetView>
  </sheetViews>
  <sheetFormatPr defaultColWidth="12.5703125" defaultRowHeight="12.75" outlineLevelRow="2" outlineLevelCol="2"/>
  <cols>
    <col min="1" max="1" width="1.85546875" style="4213" customWidth="1"/>
    <col min="2" max="2" width="34" style="4213" customWidth="1"/>
    <col min="3" max="3" width="11.42578125" style="4213" customWidth="1"/>
    <col min="4" max="4" width="10.7109375" style="4213" customWidth="1"/>
    <col min="5" max="5" width="9.28515625" style="4213" customWidth="1"/>
    <col min="6" max="6" width="9.7109375" style="4213" customWidth="1"/>
    <col min="7" max="7" width="10.28515625" style="4213" customWidth="1"/>
    <col min="8" max="8" width="10.42578125" style="4213" customWidth="1"/>
    <col min="9" max="43" width="12.5703125" style="4211"/>
    <col min="44" max="48" width="12.5703125" style="4211" outlineLevel="1"/>
    <col min="49" max="54" width="12.5703125" style="4211" outlineLevel="2"/>
    <col min="55" max="57" width="12.5703125" style="4211" outlineLevel="1"/>
    <col min="58" max="77" width="12.5703125" style="4211"/>
    <col min="78" max="81" width="12.5703125" style="4211" outlineLevel="1"/>
    <col min="82" max="129" width="12.5703125" style="4211"/>
    <col min="130" max="135" width="12.5703125" style="4211" outlineLevel="1"/>
    <col min="136" max="141" width="12.5703125" style="4211" outlineLevel="2"/>
    <col min="142" max="144" width="12.5703125" style="4211" outlineLevel="1"/>
    <col min="145"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275"/>
      <c r="B7" s="4275"/>
      <c r="C7" s="4275"/>
      <c r="D7" s="4275"/>
      <c r="E7" s="4275"/>
      <c r="F7" s="4275"/>
      <c r="G7" s="4275"/>
      <c r="H7" s="4275"/>
    </row>
    <row r="8" spans="1:8" ht="14.25" customHeight="1">
      <c r="A8" s="4275"/>
      <c r="B8" s="4275"/>
      <c r="C8" s="4275"/>
      <c r="D8" s="4275"/>
      <c r="E8" s="4275"/>
      <c r="F8" s="4275"/>
      <c r="G8" s="4275"/>
      <c r="H8" s="4275"/>
    </row>
    <row r="9" spans="1:8" ht="14.25" customHeight="1">
      <c r="A9" s="4274" t="s">
        <v>3169</v>
      </c>
      <c r="B9" s="4274"/>
    </row>
    <row r="10" spans="1:8" ht="14.25" customHeight="1">
      <c r="A10" s="4273" t="s">
        <v>3240</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8" s="4212" customFormat="1" ht="20.100000000000001" customHeight="1" outlineLevel="1">
      <c r="A17" s="4263" t="s">
        <v>407</v>
      </c>
      <c r="B17" s="4262"/>
      <c r="C17" s="4261"/>
      <c r="D17" s="4260">
        <f>SUM(D18:D29)</f>
        <v>702890.78999999992</v>
      </c>
      <c r="E17" s="4260">
        <f>SUM(E18:E29)</f>
        <v>310356.78999999998</v>
      </c>
      <c r="F17" s="4260">
        <f>SUM(F18:F29)</f>
        <v>489643.21</v>
      </c>
      <c r="G17" s="4260">
        <f>SUM(G18:G29)</f>
        <v>800000</v>
      </c>
      <c r="H17" s="4260">
        <f>SUM(H18:H29)</f>
        <v>800000</v>
      </c>
    </row>
    <row r="18" spans="1:8" s="4240" customFormat="1" ht="18" customHeight="1" outlineLevel="1">
      <c r="A18" s="4254" t="s">
        <v>2352</v>
      </c>
      <c r="B18" s="4246"/>
      <c r="C18" s="4259" t="s">
        <v>405</v>
      </c>
      <c r="D18" s="4258">
        <f>[39]BAC!$E$12</f>
        <v>29718</v>
      </c>
      <c r="E18" s="4257">
        <f>[40]BAC!$E$12</f>
        <v>11640</v>
      </c>
      <c r="F18" s="4243">
        <f t="shared" ref="F18:F24" si="0">G18-E18</f>
        <v>18360</v>
      </c>
      <c r="G18" s="4257">
        <f>[40]BAC!$C$12</f>
        <v>30000</v>
      </c>
      <c r="H18" s="4256">
        <f>[41]BAC!$G$12</f>
        <v>30000</v>
      </c>
    </row>
    <row r="19" spans="1:8" s="4239" customFormat="1" ht="18" customHeight="1" outlineLevel="1">
      <c r="A19" s="4250" t="s">
        <v>404</v>
      </c>
      <c r="B19" s="4249"/>
      <c r="C19" s="4248" t="s">
        <v>403</v>
      </c>
      <c r="D19" s="4244">
        <f>[39]BAC!$E$13</f>
        <v>0</v>
      </c>
      <c r="E19" s="4255">
        <f>[40]BAC!$E$13</f>
        <v>0</v>
      </c>
      <c r="F19" s="4243">
        <f t="shared" si="0"/>
        <v>20000</v>
      </c>
      <c r="G19" s="4255">
        <f>[40]BAC!$C$13</f>
        <v>20000</v>
      </c>
      <c r="H19" s="4241">
        <f>[41]BAC!$G$13</f>
        <v>10000</v>
      </c>
    </row>
    <row r="20" spans="1:8" s="4239" customFormat="1" ht="18" customHeight="1" outlineLevel="1">
      <c r="A20" s="4247" t="s">
        <v>402</v>
      </c>
      <c r="B20" s="4246"/>
      <c r="C20" s="4248" t="s">
        <v>401</v>
      </c>
      <c r="D20" s="4244">
        <f>[39]BAC!$E$14</f>
        <v>189703.8</v>
      </c>
      <c r="E20" s="4255">
        <f>[40]BAC!$E$14</f>
        <v>49753.649999999994</v>
      </c>
      <c r="F20" s="4243">
        <f t="shared" si="0"/>
        <v>55246.350000000006</v>
      </c>
      <c r="G20" s="4255">
        <f>[40]BAC!$C$14</f>
        <v>105000</v>
      </c>
      <c r="H20" s="4241">
        <f>[41]BAC!$G$14</f>
        <v>120000</v>
      </c>
    </row>
    <row r="21" spans="1:8" s="4239" customFormat="1" ht="18" customHeight="1" outlineLevel="1">
      <c r="A21" s="4250" t="s">
        <v>674</v>
      </c>
      <c r="B21" s="4249"/>
      <c r="C21" s="4248" t="s">
        <v>396</v>
      </c>
      <c r="D21" s="4244">
        <f>[39]BAC!$E$15</f>
        <v>27925.66</v>
      </c>
      <c r="E21" s="4255">
        <f>[40]BAC!$E$15</f>
        <v>5484.25</v>
      </c>
      <c r="F21" s="4243">
        <f t="shared" si="0"/>
        <v>89515.75</v>
      </c>
      <c r="G21" s="4255">
        <f>[40]BAC!$C$15</f>
        <v>95000</v>
      </c>
      <c r="H21" s="4241">
        <f>[41]BAC!$G$15</f>
        <v>85000</v>
      </c>
    </row>
    <row r="22" spans="1:8" s="4239" customFormat="1" ht="18" customHeight="1" outlineLevel="1">
      <c r="A22" s="4250" t="s">
        <v>3239</v>
      </c>
      <c r="B22" s="4249"/>
      <c r="C22" s="4248" t="s">
        <v>392</v>
      </c>
      <c r="D22" s="4244">
        <f>[39]BAC!$E$16</f>
        <v>591</v>
      </c>
      <c r="E22" s="4255">
        <f>[40]BAC!$E$16</f>
        <v>0</v>
      </c>
      <c r="F22" s="4243">
        <f t="shared" si="0"/>
        <v>2000</v>
      </c>
      <c r="G22" s="4255">
        <f>[40]BAC!$F$16</f>
        <v>2000</v>
      </c>
      <c r="H22" s="4241">
        <v>2000</v>
      </c>
    </row>
    <row r="23" spans="1:8" s="4239" customFormat="1" ht="18" customHeight="1" outlineLevel="1">
      <c r="A23" s="4252" t="s">
        <v>2038</v>
      </c>
      <c r="B23" s="4249"/>
      <c r="C23" s="4248" t="s">
        <v>390</v>
      </c>
      <c r="D23" s="4244">
        <f>[39]BAC!$E$17</f>
        <v>35660.339999999997</v>
      </c>
      <c r="E23" s="4255">
        <f>[40]BAC!$E$17</f>
        <v>20868.89</v>
      </c>
      <c r="F23" s="4243">
        <f t="shared" si="0"/>
        <v>29131.11</v>
      </c>
      <c r="G23" s="4255">
        <f>[40]BAC!$C$17</f>
        <v>50000</v>
      </c>
      <c r="H23" s="4241">
        <f>[41]BAC!$G$17</f>
        <v>50000</v>
      </c>
    </row>
    <row r="24" spans="1:8" s="4239" customFormat="1" ht="18" customHeight="1" outlineLevel="1">
      <c r="A24" s="4250" t="s">
        <v>389</v>
      </c>
      <c r="B24" s="4249"/>
      <c r="C24" s="4248" t="s">
        <v>388</v>
      </c>
      <c r="D24" s="4244">
        <f>[39]BAC!$E$18</f>
        <v>222596.87</v>
      </c>
      <c r="E24" s="4242">
        <f>[40]BAC!$E$18</f>
        <v>101700</v>
      </c>
      <c r="F24" s="4243">
        <f t="shared" si="0"/>
        <v>165100</v>
      </c>
      <c r="G24" s="4242">
        <f>[40]BAC!$C$18</f>
        <v>266800</v>
      </c>
      <c r="H24" s="4241">
        <f>[41]BAC!$G$18</f>
        <v>237600</v>
      </c>
    </row>
    <row r="25" spans="1:8" s="4239" customFormat="1" ht="18" customHeight="1" outlineLevel="1">
      <c r="A25" s="4250" t="s">
        <v>3180</v>
      </c>
      <c r="B25" s="4249"/>
      <c r="C25" s="4248"/>
      <c r="D25" s="4244"/>
      <c r="E25" s="4242"/>
      <c r="F25" s="4243"/>
      <c r="G25" s="4242"/>
      <c r="H25" s="4241"/>
    </row>
    <row r="26" spans="1:8" s="4239" customFormat="1" ht="18" customHeight="1" outlineLevel="1">
      <c r="A26" s="4250"/>
      <c r="B26" s="4249" t="s">
        <v>2336</v>
      </c>
      <c r="C26" s="4248" t="s">
        <v>2335</v>
      </c>
      <c r="D26" s="4244">
        <f>[39]BAC!$E$19</f>
        <v>127710</v>
      </c>
      <c r="E26" s="4242">
        <f>[40]BAC!$E$19</f>
        <v>82025</v>
      </c>
      <c r="F26" s="4243">
        <f>G26-E26</f>
        <v>82975</v>
      </c>
      <c r="G26" s="4242">
        <f>[40]BAC!$C$19</f>
        <v>165000</v>
      </c>
      <c r="H26" s="4241">
        <f>[41]BAC!$G$20</f>
        <v>175000</v>
      </c>
    </row>
    <row r="27" spans="1:8" s="4239" customFormat="1" ht="18" customHeight="1" outlineLevel="1">
      <c r="A27" s="4250" t="s">
        <v>566</v>
      </c>
      <c r="B27" s="4249"/>
      <c r="C27" s="4248"/>
      <c r="D27" s="4244"/>
      <c r="E27" s="4242"/>
      <c r="F27" s="4243"/>
      <c r="G27" s="4242"/>
      <c r="H27" s="4241"/>
    </row>
    <row r="28" spans="1:8" s="4239" customFormat="1" ht="18" customHeight="1" outlineLevel="1">
      <c r="A28" s="4250"/>
      <c r="B28" s="4249" t="s">
        <v>2370</v>
      </c>
      <c r="C28" s="4248" t="s">
        <v>2327</v>
      </c>
      <c r="D28" s="4244">
        <f>[39]BAC!$E$20</f>
        <v>9450</v>
      </c>
      <c r="E28" s="4242">
        <f>[40]BAC!$E$20</f>
        <v>0</v>
      </c>
      <c r="F28" s="4243">
        <f>G28-E28</f>
        <v>10000</v>
      </c>
      <c r="G28" s="4242">
        <f>[40]BAC!$C$20</f>
        <v>10000</v>
      </c>
      <c r="H28" s="4241">
        <f>[41]BAC!$G$22</f>
        <v>20000</v>
      </c>
    </row>
    <row r="29" spans="1:8" s="4239" customFormat="1" ht="18" customHeight="1" outlineLevel="1">
      <c r="A29" s="4247" t="s">
        <v>693</v>
      </c>
      <c r="B29" s="4246"/>
      <c r="C29" s="4245" t="s">
        <v>367</v>
      </c>
      <c r="D29" s="4244">
        <f>[39]BAC!$E$21</f>
        <v>59535.12</v>
      </c>
      <c r="E29" s="4242">
        <f>[40]BAC!$E$21</f>
        <v>38885</v>
      </c>
      <c r="F29" s="4243">
        <f>G29-E29</f>
        <v>17315</v>
      </c>
      <c r="G29" s="4242">
        <f>[40]BAC!$C$21</f>
        <v>56200</v>
      </c>
      <c r="H29" s="4241">
        <f>[41]BAC!$G$23</f>
        <v>70400</v>
      </c>
    </row>
    <row r="30" spans="1:8" ht="20.100000000000001" customHeight="1" outlineLevel="2" thickBot="1">
      <c r="A30" s="4238" t="s">
        <v>366</v>
      </c>
      <c r="B30" s="4236"/>
      <c r="C30" s="4237"/>
      <c r="D30" s="4236">
        <f>SUM(D18:D29)</f>
        <v>702890.78999999992</v>
      </c>
      <c r="E30" s="4236">
        <f>SUM(E18:E29)</f>
        <v>310356.78999999998</v>
      </c>
      <c r="F30" s="4236">
        <f>SUM(F18:F29)</f>
        <v>489643.21</v>
      </c>
      <c r="G30" s="4236">
        <f>SUM(G18:G29)</f>
        <v>800000</v>
      </c>
      <c r="H30" s="4236">
        <f>SUM(H18:H29)</f>
        <v>800000</v>
      </c>
    </row>
    <row r="31" spans="1:8" ht="20.100000000000001" customHeight="1" outlineLevel="2" thickTop="1">
      <c r="A31" s="4233"/>
      <c r="B31" s="4233"/>
      <c r="C31" s="4234"/>
      <c r="D31" s="4233"/>
      <c r="E31" s="4233"/>
      <c r="F31" s="4233"/>
      <c r="G31" s="4233"/>
      <c r="H31" s="4233"/>
    </row>
    <row r="32" spans="1:8" s="4220" customFormat="1" ht="14.25" customHeight="1">
      <c r="A32" s="4225" t="s">
        <v>3163</v>
      </c>
      <c r="B32" s="4222"/>
      <c r="C32" s="4222" t="s">
        <v>363</v>
      </c>
      <c r="D32" s="4222"/>
      <c r="E32" s="4225"/>
      <c r="F32" s="4225" t="s">
        <v>2311</v>
      </c>
      <c r="G32" s="4222"/>
      <c r="H32" s="4222"/>
    </row>
    <row r="33" spans="1:8" s="4220" customFormat="1" ht="14.25" customHeight="1">
      <c r="A33" s="4225"/>
      <c r="B33" s="4222"/>
      <c r="C33" s="4222"/>
      <c r="D33" s="4222"/>
      <c r="E33" s="4225"/>
      <c r="F33" s="4225"/>
      <c r="G33" s="4222"/>
      <c r="H33" s="4222"/>
    </row>
    <row r="34" spans="1:8" s="4220" customFormat="1" ht="14.25" customHeight="1">
      <c r="A34" s="4225"/>
      <c r="B34" s="4222"/>
      <c r="C34" s="4222"/>
      <c r="D34" s="4222"/>
      <c r="E34" s="4225"/>
      <c r="F34" s="4225"/>
      <c r="G34" s="4222"/>
      <c r="H34" s="4222"/>
    </row>
    <row r="35" spans="1:8" s="4220" customFormat="1" ht="14.25" customHeight="1">
      <c r="A35" s="4229" t="s">
        <v>2565</v>
      </c>
      <c r="B35" s="4226"/>
      <c r="C35" s="4228" t="s">
        <v>3162</v>
      </c>
      <c r="D35" s="4222"/>
      <c r="E35" s="4227"/>
      <c r="F35" s="4227" t="s">
        <v>359</v>
      </c>
      <c r="G35" s="4222"/>
      <c r="H35" s="4222"/>
    </row>
    <row r="36" spans="1:8" s="4220" customFormat="1" ht="14.25" customHeight="1">
      <c r="A36" s="4222" t="s">
        <v>3238</v>
      </c>
      <c r="B36" s="4226"/>
      <c r="C36" s="4224" t="s">
        <v>3160</v>
      </c>
      <c r="D36" s="4222"/>
      <c r="E36" s="4223"/>
      <c r="F36" s="4223" t="s">
        <v>3159</v>
      </c>
      <c r="G36" s="4222"/>
      <c r="H36" s="4222"/>
    </row>
    <row r="37" spans="1:8" s="4214" customFormat="1">
      <c r="A37" s="4218" t="s">
        <v>3237</v>
      </c>
      <c r="B37" s="4219"/>
      <c r="C37" s="4218"/>
      <c r="D37" s="4217"/>
      <c r="E37" s="4217"/>
      <c r="F37" s="4217"/>
      <c r="G37" s="4217"/>
      <c r="H37" s="4217"/>
    </row>
    <row r="38" spans="1:8" s="4214" customFormat="1">
      <c r="A38" s="4218"/>
      <c r="B38" s="4219"/>
      <c r="C38" s="4218"/>
      <c r="D38" s="4217"/>
      <c r="E38" s="4217"/>
      <c r="F38" s="4217"/>
      <c r="G38" s="4217"/>
      <c r="H38" s="4217"/>
    </row>
    <row r="39" spans="1:8" s="4214" customFormat="1">
      <c r="A39" s="4218"/>
      <c r="B39" s="4219"/>
      <c r="C39" s="4218"/>
      <c r="D39" s="4217"/>
      <c r="E39" s="4217"/>
      <c r="F39" s="4217"/>
      <c r="G39" s="4217"/>
      <c r="H39" s="4217"/>
    </row>
    <row r="40" spans="1:8" s="4214" customFormat="1">
      <c r="A40" s="4218"/>
      <c r="B40" s="4219"/>
      <c r="C40" s="4218"/>
      <c r="D40" s="4217"/>
      <c r="E40" s="4217"/>
      <c r="F40" s="4217"/>
      <c r="G40" s="4217"/>
      <c r="H40" s="4217"/>
    </row>
    <row r="41" spans="1:8" s="4214" customFormat="1">
      <c r="A41" s="4218"/>
      <c r="B41" s="4219"/>
      <c r="C41" s="4218"/>
      <c r="D41" s="4217"/>
      <c r="E41" s="4217"/>
      <c r="F41" s="4217"/>
      <c r="G41" s="4217"/>
      <c r="H41" s="4217"/>
    </row>
    <row r="42" spans="1:8" s="4214" customFormat="1">
      <c r="A42" s="4218"/>
      <c r="B42" s="4219"/>
      <c r="C42" s="4218"/>
      <c r="D42" s="4217"/>
      <c r="E42" s="4217"/>
      <c r="F42" s="4217"/>
      <c r="G42" s="4217"/>
      <c r="H42" s="4217"/>
    </row>
    <row r="43" spans="1:8" s="4214" customFormat="1">
      <c r="A43" s="4218"/>
      <c r="B43" s="4219"/>
      <c r="C43" s="4218"/>
      <c r="D43" s="4217"/>
      <c r="E43" s="4217"/>
      <c r="F43" s="4217"/>
      <c r="G43" s="4217"/>
      <c r="H43" s="4217"/>
    </row>
    <row r="44" spans="1:8" s="4214" customFormat="1">
      <c r="A44" s="4218"/>
      <c r="B44" s="4219"/>
      <c r="C44" s="4218"/>
      <c r="D44" s="4217"/>
      <c r="E44" s="4217"/>
      <c r="F44" s="4217"/>
      <c r="G44" s="4217"/>
      <c r="H44" s="4217"/>
    </row>
    <row r="45" spans="1:8" s="4214" customFormat="1">
      <c r="A45" s="4218"/>
      <c r="B45" s="4219"/>
      <c r="C45" s="4218"/>
      <c r="D45" s="4217"/>
      <c r="E45" s="4217"/>
      <c r="F45" s="4217"/>
      <c r="G45" s="4217"/>
      <c r="H45" s="4217"/>
    </row>
    <row r="46" spans="1:8" s="4214" customFormat="1">
      <c r="A46" s="4218"/>
      <c r="B46" s="4219"/>
      <c r="C46" s="4218"/>
      <c r="D46" s="4217"/>
      <c r="E46" s="4217"/>
      <c r="F46" s="4217"/>
      <c r="G46" s="4217"/>
      <c r="H46" s="4217"/>
    </row>
    <row r="47" spans="1:8" s="4214" customFormat="1">
      <c r="A47" s="4218"/>
      <c r="B47" s="4219"/>
      <c r="C47" s="4218"/>
      <c r="D47" s="4217"/>
      <c r="E47" s="4217"/>
      <c r="F47" s="4217"/>
      <c r="G47" s="4217"/>
      <c r="H47" s="4217"/>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37"/>
  <sheetViews>
    <sheetView showGridLines="0" showOutlineSymbols="0" workbookViewId="0">
      <selection activeCell="H39" sqref="H39"/>
    </sheetView>
  </sheetViews>
  <sheetFormatPr defaultColWidth="12.5703125" defaultRowHeight="12.75" outlineLevelRow="2" outlineLevelCol="2"/>
  <cols>
    <col min="1" max="1" width="1.85546875" style="4213" customWidth="1"/>
    <col min="2" max="2" width="31.28515625" style="4213" customWidth="1"/>
    <col min="3" max="3" width="9.28515625" style="4213" customWidth="1"/>
    <col min="4" max="8" width="11.140625" style="4213"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3243</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9" s="4212" customFormat="1" ht="20.100000000000001" customHeight="1" outlineLevel="1">
      <c r="A17" s="4263" t="s">
        <v>407</v>
      </c>
      <c r="B17" s="4262"/>
      <c r="C17" s="4261"/>
      <c r="D17" s="4260">
        <f>SUM(D18:D19)</f>
        <v>0</v>
      </c>
      <c r="E17" s="4260">
        <f>SUM(E18:E19)</f>
        <v>0</v>
      </c>
      <c r="F17" s="4260">
        <f>SUM(F18:F19)</f>
        <v>100000</v>
      </c>
      <c r="G17" s="4260">
        <f>SUM(G18:G19)</f>
        <v>100000</v>
      </c>
      <c r="H17" s="4260">
        <f>SUM(H18:H19)</f>
        <v>100000</v>
      </c>
    </row>
    <row r="18" spans="1:9" s="4239" customFormat="1" ht="18" customHeight="1" outlineLevel="1">
      <c r="A18" s="4247" t="s">
        <v>402</v>
      </c>
      <c r="B18" s="4246"/>
      <c r="C18" s="4248" t="s">
        <v>401</v>
      </c>
      <c r="D18" s="4244">
        <f>[46]ADHOC!$E$12</f>
        <v>0</v>
      </c>
      <c r="E18" s="4255">
        <f>[43]ADHOC!$E$12</f>
        <v>0</v>
      </c>
      <c r="F18" s="4243">
        <f>G18-E18</f>
        <v>1000</v>
      </c>
      <c r="G18" s="4255">
        <f>[43]ADHOC!$C$12</f>
        <v>1000</v>
      </c>
      <c r="H18" s="4241">
        <v>1000</v>
      </c>
      <c r="I18" s="4240"/>
    </row>
    <row r="19" spans="1:9" s="4239" customFormat="1" ht="18" customHeight="1" outlineLevel="1">
      <c r="A19" s="4247" t="s">
        <v>693</v>
      </c>
      <c r="B19" s="4246"/>
      <c r="C19" s="4245" t="s">
        <v>367</v>
      </c>
      <c r="D19" s="4244">
        <f>[46]ADHOC!$E$13</f>
        <v>0</v>
      </c>
      <c r="E19" s="4242">
        <f>[43]ADHOC!$E$13</f>
        <v>0</v>
      </c>
      <c r="F19" s="4243">
        <f>G19-E19</f>
        <v>99000</v>
      </c>
      <c r="G19" s="4242">
        <f>[43]ADHOC!$C$13</f>
        <v>99000</v>
      </c>
      <c r="H19" s="4241">
        <v>99000</v>
      </c>
      <c r="I19" s="4240"/>
    </row>
    <row r="20" spans="1:9" ht="20.100000000000001" customHeight="1" outlineLevel="2" thickBot="1">
      <c r="A20" s="4238" t="s">
        <v>366</v>
      </c>
      <c r="B20" s="4236"/>
      <c r="C20" s="4237"/>
      <c r="D20" s="4236">
        <f>SUM(D18:D19)</f>
        <v>0</v>
      </c>
      <c r="E20" s="4236">
        <f>SUM(E18:E19)</f>
        <v>0</v>
      </c>
      <c r="F20" s="4236">
        <f>SUM(F18:F19)</f>
        <v>100000</v>
      </c>
      <c r="G20" s="4236">
        <f>SUM(G18:G19)</f>
        <v>100000</v>
      </c>
      <c r="H20" s="4235">
        <f>SUM(H18:H19)</f>
        <v>100000</v>
      </c>
    </row>
    <row r="21" spans="1:9" ht="20.100000000000001" customHeight="1" outlineLevel="2" thickTop="1">
      <c r="A21" s="4233"/>
      <c r="B21" s="4233"/>
      <c r="C21" s="4234"/>
      <c r="D21" s="4233"/>
      <c r="E21" s="4233"/>
      <c r="F21" s="4233"/>
      <c r="G21" s="4233"/>
      <c r="H21" s="4233"/>
    </row>
    <row r="22" spans="1:9" s="4220" customFormat="1" ht="14.25" customHeight="1">
      <c r="A22" s="4225" t="s">
        <v>3163</v>
      </c>
      <c r="B22" s="4222"/>
      <c r="C22" s="4222" t="s">
        <v>363</v>
      </c>
      <c r="D22" s="4222"/>
      <c r="E22" s="4225"/>
      <c r="F22" s="4225" t="s">
        <v>2311</v>
      </c>
      <c r="G22" s="4222"/>
      <c r="H22" s="4222"/>
    </row>
    <row r="23" spans="1:9" s="4220" customFormat="1" ht="14.25" customHeight="1">
      <c r="A23" s="4225"/>
      <c r="B23" s="4222"/>
      <c r="C23" s="4222"/>
      <c r="D23" s="4222"/>
      <c r="E23" s="4225"/>
      <c r="F23" s="4225"/>
      <c r="G23" s="4222"/>
      <c r="H23" s="4222"/>
    </row>
    <row r="24" spans="1:9" s="4220" customFormat="1" ht="14.25" customHeight="1">
      <c r="A24" s="4225"/>
      <c r="B24" s="4222"/>
      <c r="C24" s="4222"/>
      <c r="D24" s="4222"/>
      <c r="E24" s="4225"/>
      <c r="F24" s="4225"/>
      <c r="G24" s="4222"/>
      <c r="H24" s="4222"/>
    </row>
    <row r="25" spans="1:9" s="4220" customFormat="1" ht="14.25" customHeight="1">
      <c r="A25" s="4229" t="s">
        <v>3242</v>
      </c>
      <c r="B25" s="4226"/>
      <c r="C25" s="4228" t="s">
        <v>3162</v>
      </c>
      <c r="D25" s="4222"/>
      <c r="E25" s="4227"/>
      <c r="F25" s="4227" t="s">
        <v>359</v>
      </c>
      <c r="G25" s="4222"/>
      <c r="H25" s="4222"/>
    </row>
    <row r="26" spans="1:9" s="4220" customFormat="1" ht="14.25" customHeight="1">
      <c r="A26" s="4222" t="s">
        <v>3241</v>
      </c>
      <c r="B26" s="4226"/>
      <c r="C26" s="4224" t="s">
        <v>3160</v>
      </c>
      <c r="D26" s="4222"/>
      <c r="E26" s="4223"/>
      <c r="F26" s="4223" t="s">
        <v>3159</v>
      </c>
      <c r="G26" s="4222"/>
      <c r="H26" s="4222"/>
    </row>
    <row r="27" spans="1:9" s="4214" customFormat="1">
      <c r="A27" s="4218"/>
      <c r="B27" s="4219"/>
      <c r="C27" s="4218"/>
      <c r="D27" s="4217"/>
      <c r="E27" s="4217"/>
      <c r="F27" s="4217"/>
      <c r="G27" s="4217"/>
      <c r="H27" s="4217"/>
      <c r="I27" s="4282"/>
    </row>
    <row r="28" spans="1:9" s="4214" customFormat="1">
      <c r="A28" s="4218"/>
      <c r="B28" s="4219"/>
      <c r="C28" s="4218"/>
      <c r="D28" s="4217"/>
      <c r="E28" s="4217"/>
      <c r="F28" s="4217"/>
      <c r="G28" s="4217"/>
      <c r="H28" s="4217"/>
      <c r="I28" s="4282"/>
    </row>
    <row r="29" spans="1:9" s="4214" customFormat="1">
      <c r="A29" s="4218"/>
      <c r="B29" s="4219"/>
      <c r="C29" s="4218"/>
      <c r="D29" s="4217"/>
      <c r="E29" s="4217"/>
      <c r="F29" s="4217"/>
      <c r="G29" s="4217"/>
      <c r="H29" s="4217"/>
      <c r="I29" s="4282"/>
    </row>
    <row r="30" spans="1:9" s="4214" customFormat="1">
      <c r="A30" s="4218"/>
      <c r="B30" s="4219"/>
      <c r="C30" s="4218"/>
      <c r="D30" s="4217"/>
      <c r="E30" s="4217"/>
      <c r="F30" s="4217"/>
      <c r="G30" s="4217"/>
      <c r="H30" s="4217"/>
      <c r="I30" s="4282"/>
    </row>
    <row r="31" spans="1:9" s="4214" customFormat="1">
      <c r="A31" s="4218"/>
      <c r="B31" s="4219"/>
      <c r="C31" s="4218"/>
      <c r="D31" s="4217"/>
      <c r="E31" s="4217"/>
      <c r="F31" s="4217"/>
      <c r="G31" s="4217"/>
      <c r="H31" s="4217"/>
      <c r="I31" s="4282"/>
    </row>
    <row r="32" spans="1:9" s="4214" customFormat="1">
      <c r="A32" s="4218"/>
      <c r="B32" s="4219"/>
      <c r="C32" s="4218"/>
      <c r="D32" s="4217"/>
      <c r="E32" s="4217"/>
      <c r="F32" s="4217"/>
      <c r="G32" s="4217"/>
      <c r="H32" s="4217"/>
      <c r="I32" s="4282"/>
    </row>
    <row r="33" spans="1:9" s="4214" customFormat="1">
      <c r="A33" s="4218"/>
      <c r="B33" s="4219"/>
      <c r="C33" s="4218"/>
      <c r="D33" s="4217"/>
      <c r="E33" s="4217"/>
      <c r="F33" s="4217"/>
      <c r="G33" s="4217"/>
      <c r="H33" s="4217"/>
      <c r="I33" s="4282"/>
    </row>
    <row r="34" spans="1:9" s="4214" customFormat="1">
      <c r="A34" s="4218"/>
      <c r="B34" s="4219"/>
      <c r="C34" s="4218"/>
      <c r="D34" s="4217"/>
      <c r="E34" s="4217"/>
      <c r="F34" s="4217"/>
      <c r="G34" s="4217"/>
      <c r="H34" s="4217"/>
      <c r="I34" s="4282"/>
    </row>
    <row r="35" spans="1:9" s="4214" customFormat="1">
      <c r="A35" s="4218"/>
      <c r="B35" s="4219"/>
      <c r="C35" s="4218"/>
      <c r="D35" s="4217"/>
      <c r="E35" s="4217"/>
      <c r="F35" s="4217"/>
      <c r="G35" s="4217"/>
      <c r="H35" s="4217"/>
      <c r="I35" s="4282"/>
    </row>
    <row r="36" spans="1:9" s="4214" customFormat="1">
      <c r="A36" s="4218"/>
      <c r="B36" s="4219"/>
      <c r="C36" s="4218"/>
      <c r="D36" s="4217"/>
      <c r="E36" s="4217"/>
      <c r="F36" s="4217"/>
      <c r="G36" s="4217"/>
      <c r="H36" s="4217"/>
      <c r="I36" s="4282"/>
    </row>
    <row r="37" spans="1:9" s="4214" customFormat="1">
      <c r="A37" s="4218"/>
      <c r="B37" s="4219"/>
      <c r="C37" s="4218"/>
      <c r="D37" s="4217"/>
      <c r="E37" s="4217"/>
      <c r="F37" s="4217"/>
      <c r="G37" s="4217"/>
      <c r="H37" s="4217"/>
      <c r="I37" s="4282"/>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39"/>
  <sheetViews>
    <sheetView showGridLines="0" showOutlineSymbols="0" workbookViewId="0">
      <selection activeCell="D34" sqref="D34"/>
    </sheetView>
  </sheetViews>
  <sheetFormatPr defaultColWidth="12.5703125" defaultRowHeight="12.75" outlineLevelRow="2" outlineLevelCol="2"/>
  <cols>
    <col min="1" max="1" width="1.85546875" style="4213" customWidth="1"/>
    <col min="2" max="2" width="30.5703125" style="4213" customWidth="1"/>
    <col min="3" max="3" width="9.7109375" style="4213" customWidth="1"/>
    <col min="4" max="4" width="9.5703125" style="4213" customWidth="1"/>
    <col min="5" max="8" width="11.85546875" style="4213"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275"/>
      <c r="B7" s="4275"/>
      <c r="C7" s="4275"/>
      <c r="D7" s="4275"/>
      <c r="E7" s="4275"/>
      <c r="F7" s="4211"/>
      <c r="G7" s="4211"/>
      <c r="H7" s="4211"/>
    </row>
    <row r="8" spans="1:8" ht="14.25" customHeight="1">
      <c r="A8" s="4275"/>
      <c r="B8" s="4275"/>
      <c r="C8" s="4275"/>
      <c r="D8" s="4275"/>
      <c r="E8" s="4275"/>
      <c r="F8" s="4211"/>
      <c r="G8" s="4211"/>
      <c r="H8" s="4211"/>
    </row>
    <row r="9" spans="1:8" ht="14.25" customHeight="1">
      <c r="A9" s="4274" t="s">
        <v>3169</v>
      </c>
      <c r="B9" s="4274"/>
    </row>
    <row r="10" spans="1:8" ht="14.25" customHeight="1">
      <c r="A10" s="4273" t="s">
        <v>3246</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09"/>
      <c r="B15" s="5010"/>
      <c r="C15" s="4269"/>
      <c r="D15" s="4267" t="s">
        <v>460</v>
      </c>
      <c r="E15" s="4267" t="s">
        <v>460</v>
      </c>
      <c r="F15" s="4267" t="s">
        <v>459</v>
      </c>
      <c r="G15" s="4268"/>
      <c r="H15" s="4267" t="s">
        <v>458</v>
      </c>
    </row>
    <row r="16" spans="1:8" ht="20.100000000000001" customHeight="1">
      <c r="A16" s="4392" t="s">
        <v>456</v>
      </c>
      <c r="B16" s="4391"/>
      <c r="C16" s="4264"/>
      <c r="D16" s="4264"/>
      <c r="E16" s="4264"/>
      <c r="F16" s="4265"/>
      <c r="G16" s="4265"/>
      <c r="H16" s="4264"/>
    </row>
    <row r="17" spans="1:9" s="4212" customFormat="1" ht="20.100000000000001" customHeight="1" outlineLevel="1">
      <c r="A17" s="4263" t="s">
        <v>407</v>
      </c>
      <c r="B17" s="4262"/>
      <c r="C17" s="4261"/>
      <c r="D17" s="4260">
        <f>SUM(D18:D21)</f>
        <v>0</v>
      </c>
      <c r="E17" s="4260">
        <f>SUM(E18:E21)</f>
        <v>0</v>
      </c>
      <c r="F17" s="4260">
        <f>SUM(F18:F21)</f>
        <v>90000</v>
      </c>
      <c r="G17" s="4260">
        <f>SUM(G18:G21)</f>
        <v>90000</v>
      </c>
      <c r="H17" s="4260">
        <f>SUM(H18:H21)</f>
        <v>90000</v>
      </c>
    </row>
    <row r="18" spans="1:9" s="4239" customFormat="1" ht="18" customHeight="1" outlineLevel="1">
      <c r="A18" s="4252" t="s">
        <v>704</v>
      </c>
      <c r="B18" s="4249"/>
      <c r="C18" s="4248" t="s">
        <v>403</v>
      </c>
      <c r="D18" s="4244">
        <v>0</v>
      </c>
      <c r="E18" s="4255">
        <f>[29]CODI!$E$12</f>
        <v>0</v>
      </c>
      <c r="F18" s="4243">
        <f>G18-E18</f>
        <v>60400</v>
      </c>
      <c r="G18" s="4255">
        <f>[43]CODI!$C$12</f>
        <v>60400</v>
      </c>
      <c r="H18" s="4241">
        <v>60400</v>
      </c>
      <c r="I18" s="4240"/>
    </row>
    <row r="19" spans="1:9" s="4239" customFormat="1" ht="18" customHeight="1" outlineLevel="1">
      <c r="A19" s="4252" t="s">
        <v>878</v>
      </c>
      <c r="B19" s="4249"/>
      <c r="C19" s="4248" t="s">
        <v>394</v>
      </c>
      <c r="D19" s="4244">
        <v>0</v>
      </c>
      <c r="E19" s="4255">
        <f>[29]CODI!$E$13</f>
        <v>0</v>
      </c>
      <c r="F19" s="4243">
        <f>G19-E19</f>
        <v>9500</v>
      </c>
      <c r="G19" s="4255">
        <f>[43]CODI!$C$13</f>
        <v>9500</v>
      </c>
      <c r="H19" s="4241">
        <v>9500</v>
      </c>
      <c r="I19" s="4240"/>
    </row>
    <row r="20" spans="1:9" s="4239" customFormat="1" ht="18" customHeight="1" outlineLevel="1">
      <c r="A20" s="4250" t="s">
        <v>389</v>
      </c>
      <c r="B20" s="4249"/>
      <c r="C20" s="4248" t="s">
        <v>388</v>
      </c>
      <c r="D20" s="4244">
        <v>0</v>
      </c>
      <c r="E20" s="4255">
        <f>[29]CODI!$E$14</f>
        <v>0</v>
      </c>
      <c r="F20" s="4243">
        <f>G20-E20</f>
        <v>14000</v>
      </c>
      <c r="G20" s="4255">
        <f>[43]CODI!$C$14</f>
        <v>14000</v>
      </c>
      <c r="H20" s="4241">
        <v>14000</v>
      </c>
      <c r="I20" s="4240"/>
    </row>
    <row r="21" spans="1:9" s="4239" customFormat="1" ht="18" customHeight="1" outlineLevel="1">
      <c r="A21" s="4247" t="s">
        <v>693</v>
      </c>
      <c r="B21" s="4246"/>
      <c r="C21" s="4245" t="s">
        <v>367</v>
      </c>
      <c r="D21" s="4244">
        <v>0</v>
      </c>
      <c r="E21" s="4242">
        <f>[29]CODI!$E$15</f>
        <v>0</v>
      </c>
      <c r="F21" s="4243">
        <f>G21-E21</f>
        <v>6100</v>
      </c>
      <c r="G21" s="4242">
        <f>[43]CODI!$C$15</f>
        <v>6100</v>
      </c>
      <c r="H21" s="4241">
        <v>6100</v>
      </c>
      <c r="I21" s="4240"/>
    </row>
    <row r="22" spans="1:9" ht="20.100000000000001" customHeight="1" outlineLevel="2" thickBot="1">
      <c r="A22" s="4238" t="s">
        <v>366</v>
      </c>
      <c r="B22" s="4236"/>
      <c r="C22" s="4237"/>
      <c r="D22" s="4236">
        <f>SUM(D18:D21)</f>
        <v>0</v>
      </c>
      <c r="E22" s="4236">
        <f>SUM(E18:E21)</f>
        <v>0</v>
      </c>
      <c r="F22" s="4236">
        <f>SUM(F18:F21)</f>
        <v>90000</v>
      </c>
      <c r="G22" s="4236">
        <f>SUM(G18:G21)</f>
        <v>90000</v>
      </c>
      <c r="H22" s="4235">
        <f>SUM(H18:H21)</f>
        <v>90000</v>
      </c>
    </row>
    <row r="23" spans="1:9" ht="20.100000000000001" customHeight="1" outlineLevel="2" thickTop="1">
      <c r="A23" s="4233"/>
      <c r="B23" s="4233"/>
      <c r="C23" s="4234"/>
      <c r="D23" s="4233"/>
      <c r="E23" s="4233"/>
      <c r="F23" s="4233"/>
      <c r="G23" s="4233"/>
      <c r="H23" s="4233"/>
    </row>
    <row r="24" spans="1:9" s="4220" customFormat="1" ht="14.25" customHeight="1">
      <c r="A24" s="4225" t="s">
        <v>3163</v>
      </c>
      <c r="B24" s="4222"/>
      <c r="C24" s="4222"/>
      <c r="D24" s="4222" t="s">
        <v>363</v>
      </c>
      <c r="E24" s="4222"/>
      <c r="F24" s="4225"/>
      <c r="G24" s="4225" t="s">
        <v>2311</v>
      </c>
      <c r="H24" s="4222"/>
    </row>
    <row r="25" spans="1:9" s="4220" customFormat="1" ht="14.25" customHeight="1">
      <c r="A25" s="4225"/>
      <c r="B25" s="4222"/>
      <c r="C25" s="4222"/>
      <c r="D25" s="4222"/>
      <c r="E25" s="4222"/>
      <c r="F25" s="4225"/>
      <c r="G25" s="4225"/>
      <c r="H25" s="4222"/>
    </row>
    <row r="26" spans="1:9" s="4220" customFormat="1" ht="14.25" customHeight="1">
      <c r="A26" s="4225"/>
      <c r="B26" s="4222"/>
      <c r="C26" s="4222"/>
      <c r="D26" s="4222"/>
      <c r="E26" s="4222"/>
      <c r="F26" s="4225"/>
      <c r="G26" s="4225"/>
      <c r="H26" s="4222"/>
    </row>
    <row r="27" spans="1:9" s="4220" customFormat="1" ht="14.25" customHeight="1">
      <c r="A27" s="3172" t="s">
        <v>3245</v>
      </c>
      <c r="B27" s="4226"/>
      <c r="C27" s="4229"/>
      <c r="D27" s="4228" t="s">
        <v>3162</v>
      </c>
      <c r="E27" s="4222"/>
      <c r="F27" s="4227"/>
      <c r="G27" s="4227" t="s">
        <v>359</v>
      </c>
      <c r="H27" s="4222"/>
    </row>
    <row r="28" spans="1:9" s="4220" customFormat="1" ht="14.25" customHeight="1">
      <c r="A28" s="3168" t="s">
        <v>3244</v>
      </c>
      <c r="B28" s="4226"/>
      <c r="C28" s="4225"/>
      <c r="D28" s="4224" t="s">
        <v>3160</v>
      </c>
      <c r="E28" s="4222"/>
      <c r="F28" s="4223"/>
      <c r="G28" s="4223" t="s">
        <v>3159</v>
      </c>
      <c r="H28" s="4222"/>
    </row>
    <row r="29" spans="1:9" s="4214" customFormat="1">
      <c r="A29" s="4218"/>
      <c r="B29" s="4219"/>
      <c r="C29" s="4218"/>
      <c r="D29" s="4217"/>
      <c r="E29" s="4217"/>
      <c r="F29" s="4217"/>
      <c r="G29" s="4217"/>
      <c r="H29" s="4217"/>
      <c r="I29" s="4282"/>
    </row>
    <row r="30" spans="1:9" s="4214" customFormat="1">
      <c r="A30" s="4218"/>
      <c r="B30" s="4219"/>
      <c r="C30" s="4218"/>
      <c r="D30" s="4217"/>
      <c r="E30" s="4217"/>
      <c r="F30" s="4217"/>
      <c r="G30" s="4217"/>
      <c r="H30" s="4217"/>
      <c r="I30" s="4282"/>
    </row>
    <row r="31" spans="1:9" s="4214" customFormat="1">
      <c r="A31" s="4218"/>
      <c r="B31" s="4219"/>
      <c r="C31" s="4218"/>
      <c r="D31" s="4217"/>
      <c r="E31" s="4217"/>
      <c r="F31" s="4217"/>
      <c r="G31" s="4217"/>
      <c r="H31" s="4217"/>
      <c r="I31" s="4282"/>
    </row>
    <row r="32" spans="1:9" s="4214" customFormat="1">
      <c r="A32" s="4218"/>
      <c r="B32" s="4219"/>
      <c r="C32" s="4218"/>
      <c r="D32" s="4217"/>
      <c r="E32" s="4217"/>
      <c r="F32" s="4217"/>
      <c r="G32" s="4217"/>
      <c r="H32" s="4217"/>
      <c r="I32" s="4282"/>
    </row>
    <row r="33" spans="1:9" s="4214" customFormat="1">
      <c r="A33" s="4218"/>
      <c r="B33" s="4219"/>
      <c r="C33" s="4218"/>
      <c r="D33" s="4217"/>
      <c r="E33" s="4217"/>
      <c r="F33" s="4217"/>
      <c r="G33" s="4217"/>
      <c r="H33" s="4217"/>
      <c r="I33" s="4282"/>
    </row>
    <row r="34" spans="1:9" s="4214" customFormat="1">
      <c r="A34" s="4218"/>
      <c r="B34" s="4219"/>
      <c r="C34" s="4218"/>
      <c r="D34" s="4217"/>
      <c r="E34" s="4217"/>
      <c r="F34" s="4217"/>
      <c r="G34" s="4217"/>
      <c r="H34" s="4217"/>
      <c r="I34" s="4282"/>
    </row>
    <row r="35" spans="1:9" s="4214" customFormat="1">
      <c r="A35" s="4218"/>
      <c r="B35" s="4219"/>
      <c r="C35" s="4218"/>
      <c r="D35" s="4217"/>
      <c r="E35" s="4217"/>
      <c r="F35" s="4217"/>
      <c r="G35" s="4217"/>
      <c r="H35" s="4217"/>
      <c r="I35" s="4282"/>
    </row>
    <row r="36" spans="1:9" s="4214" customFormat="1">
      <c r="A36" s="4218"/>
      <c r="B36" s="4219"/>
      <c r="C36" s="4218"/>
      <c r="D36" s="4217"/>
      <c r="E36" s="4217"/>
      <c r="F36" s="4217"/>
      <c r="G36" s="4217"/>
      <c r="H36" s="4217"/>
      <c r="I36" s="4282"/>
    </row>
    <row r="37" spans="1:9" s="4214" customFormat="1">
      <c r="A37" s="4218"/>
      <c r="B37" s="4219"/>
      <c r="C37" s="4218"/>
      <c r="D37" s="4217"/>
      <c r="E37" s="4217"/>
      <c r="F37" s="4217"/>
      <c r="G37" s="4217"/>
      <c r="H37" s="4217"/>
      <c r="I37" s="4282"/>
    </row>
    <row r="38" spans="1:9" s="4214" customFormat="1">
      <c r="A38" s="4218"/>
      <c r="B38" s="4219"/>
      <c r="C38" s="4218"/>
      <c r="D38" s="4217"/>
      <c r="E38" s="4217"/>
      <c r="F38" s="4217"/>
      <c r="G38" s="4217"/>
      <c r="H38" s="4217"/>
      <c r="I38" s="4282"/>
    </row>
    <row r="39" spans="1:9" s="4214" customFormat="1">
      <c r="A39" s="4218"/>
      <c r="B39" s="4219"/>
      <c r="C39" s="4218"/>
      <c r="D39" s="4217"/>
      <c r="E39" s="4217"/>
      <c r="F39" s="4217"/>
      <c r="G39" s="4217"/>
      <c r="H39" s="4217"/>
      <c r="I39" s="4282"/>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F44"/>
  <sheetViews>
    <sheetView showGridLines="0" showOutlineSymbols="0" workbookViewId="0">
      <selection activeCell="A33" sqref="A33"/>
    </sheetView>
  </sheetViews>
  <sheetFormatPr defaultColWidth="12.5703125" defaultRowHeight="12.75" outlineLevelRow="2" outlineLevelCol="2"/>
  <cols>
    <col min="1" max="1" width="1.85546875" style="4213" customWidth="1"/>
    <col min="2" max="2" width="28.140625" style="4213" customWidth="1"/>
    <col min="3" max="3" width="11.140625" style="4213" customWidth="1"/>
    <col min="4" max="4" width="11.7109375" style="4213" customWidth="1"/>
    <col min="5" max="5" width="10.85546875" style="4213" customWidth="1"/>
    <col min="6" max="6" width="11.28515625" style="4213" customWidth="1"/>
    <col min="7" max="8" width="11.42578125" style="4213" customWidth="1"/>
    <col min="9" max="35" width="12.5703125" style="4211"/>
    <col min="36" max="40" width="12.5703125" style="4211" outlineLevel="1"/>
    <col min="41" max="46" width="12.5703125" style="4211" outlineLevel="2"/>
    <col min="47" max="49" width="12.5703125" style="4211" outlineLevel="1"/>
    <col min="50" max="69" width="12.5703125" style="4211"/>
    <col min="70" max="73" width="12.5703125" style="4211" outlineLevel="1"/>
    <col min="74" max="121" width="12.5703125" style="4211"/>
    <col min="122" max="127" width="12.5703125" style="4211" outlineLevel="1"/>
    <col min="128" max="133" width="12.5703125" style="4211" outlineLevel="2"/>
    <col min="134" max="136" width="12.5703125" style="4211" outlineLevel="1"/>
    <col min="137"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275"/>
      <c r="B7" s="4275"/>
      <c r="C7" s="4275"/>
      <c r="D7" s="4275"/>
      <c r="E7" s="4275"/>
      <c r="F7" s="4275"/>
      <c r="G7" s="4275"/>
      <c r="H7" s="4275"/>
    </row>
    <row r="8" spans="1:8" ht="14.25" customHeight="1">
      <c r="A8" s="4275"/>
      <c r="B8" s="4275"/>
      <c r="C8" s="4275"/>
      <c r="D8" s="4275"/>
      <c r="E8" s="4275"/>
      <c r="F8" s="4275"/>
      <c r="G8" s="4275"/>
      <c r="H8" s="4275"/>
    </row>
    <row r="9" spans="1:8" ht="14.25" customHeight="1">
      <c r="A9" s="4274" t="s">
        <v>3169</v>
      </c>
      <c r="B9" s="4274"/>
    </row>
    <row r="10" spans="1:8" ht="14.25" customHeight="1">
      <c r="A10" s="4273" t="s">
        <v>3249</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8" s="4212" customFormat="1" ht="20.100000000000001" customHeight="1" outlineLevel="1">
      <c r="A17" s="4263" t="s">
        <v>407</v>
      </c>
      <c r="B17" s="4262"/>
      <c r="C17" s="4261"/>
      <c r="D17" s="4260">
        <f>SUM(D18:D24)</f>
        <v>7484660.1699999999</v>
      </c>
      <c r="E17" s="4260">
        <f>SUM(E18:E24)</f>
        <v>3906980.25</v>
      </c>
      <c r="F17" s="4260">
        <f>SUM(F18:F24)</f>
        <v>12093019.75</v>
      </c>
      <c r="G17" s="4260">
        <f>SUM(G18:G24)</f>
        <v>16000000</v>
      </c>
      <c r="H17" s="4260">
        <f>SUM(H18:H24)</f>
        <v>16000000</v>
      </c>
    </row>
    <row r="18" spans="1:8" s="4240" customFormat="1" ht="18" customHeight="1" outlineLevel="1">
      <c r="A18" s="4254" t="s">
        <v>2352</v>
      </c>
      <c r="B18" s="4246"/>
      <c r="C18" s="4259" t="s">
        <v>405</v>
      </c>
      <c r="D18" s="4258">
        <f>'[39]PEACE AND ORDER FUND'!$E$12</f>
        <v>0</v>
      </c>
      <c r="E18" s="4257">
        <f>'[40]PEACE AND ORDER FUND'!$E$12</f>
        <v>0</v>
      </c>
      <c r="F18" s="4243">
        <f t="shared" ref="F18:F24" si="0">G18-E18</f>
        <v>50000</v>
      </c>
      <c r="G18" s="4257">
        <f>'[40]PEACE AND ORDER FUND'!$C$12</f>
        <v>50000</v>
      </c>
      <c r="H18" s="4256">
        <v>50000</v>
      </c>
    </row>
    <row r="19" spans="1:8" s="4239" customFormat="1" ht="18" customHeight="1" outlineLevel="1">
      <c r="A19" s="4250" t="s">
        <v>404</v>
      </c>
      <c r="B19" s="4249"/>
      <c r="C19" s="4248" t="s">
        <v>403</v>
      </c>
      <c r="D19" s="4244">
        <f>'[39]PEACE AND ORDER FUND'!$E$13</f>
        <v>0</v>
      </c>
      <c r="E19" s="4255">
        <f>'[40]PEACE AND ORDER FUND'!$E$13</f>
        <v>0</v>
      </c>
      <c r="F19" s="4243">
        <f t="shared" si="0"/>
        <v>538809.26</v>
      </c>
      <c r="G19" s="4255">
        <f>'[40]PEACE AND ORDER FUND'!$C$13</f>
        <v>538809.26</v>
      </c>
      <c r="H19" s="4241">
        <v>538809.26</v>
      </c>
    </row>
    <row r="20" spans="1:8" s="4239" customFormat="1" ht="18" customHeight="1" outlineLevel="1">
      <c r="A20" s="4247" t="s">
        <v>402</v>
      </c>
      <c r="B20" s="4246"/>
      <c r="C20" s="4248" t="s">
        <v>401</v>
      </c>
      <c r="D20" s="4244">
        <f>'[39]PEACE AND ORDER FUND'!$E$14</f>
        <v>0</v>
      </c>
      <c r="E20" s="4255">
        <f>'[40]PEACE AND ORDER FUND'!$E$14</f>
        <v>0</v>
      </c>
      <c r="F20" s="4243">
        <f t="shared" si="0"/>
        <v>50000</v>
      </c>
      <c r="G20" s="4255">
        <f>'[40]PEACE AND ORDER FUND'!$C$14</f>
        <v>50000</v>
      </c>
      <c r="H20" s="4241">
        <v>50000</v>
      </c>
    </row>
    <row r="21" spans="1:8" s="4239" customFormat="1" ht="18" customHeight="1" outlineLevel="1">
      <c r="A21" s="4250" t="s">
        <v>674</v>
      </c>
      <c r="B21" s="4249"/>
      <c r="C21" s="4248" t="s">
        <v>396</v>
      </c>
      <c r="D21" s="4244">
        <f>'[39]PEACE AND ORDER FUND'!$E$15</f>
        <v>0</v>
      </c>
      <c r="E21" s="4255">
        <f>'[40]PEACE AND ORDER FUND'!$E$15</f>
        <v>0</v>
      </c>
      <c r="F21" s="4243">
        <f t="shared" si="0"/>
        <v>200000</v>
      </c>
      <c r="G21" s="4255">
        <f>'[40]PEACE AND ORDER FUND'!$C$15</f>
        <v>200000</v>
      </c>
      <c r="H21" s="4241">
        <v>200000</v>
      </c>
    </row>
    <row r="22" spans="1:8" s="4239" customFormat="1" ht="18" customHeight="1" outlineLevel="1">
      <c r="A22" s="4252" t="s">
        <v>878</v>
      </c>
      <c r="B22" s="4249"/>
      <c r="C22" s="4248" t="s">
        <v>394</v>
      </c>
      <c r="D22" s="4244">
        <f>'[39]PEACE AND ORDER FUND'!$E$16</f>
        <v>0</v>
      </c>
      <c r="E22" s="4255">
        <f>'[40]PEACE AND ORDER FUND'!$E$16</f>
        <v>0</v>
      </c>
      <c r="F22" s="4243">
        <f t="shared" si="0"/>
        <v>50000</v>
      </c>
      <c r="G22" s="4255">
        <f>'[40]PEACE AND ORDER FUND'!$C$16</f>
        <v>50000</v>
      </c>
      <c r="H22" s="4241">
        <v>50000</v>
      </c>
    </row>
    <row r="23" spans="1:8" s="4292" customFormat="1" ht="18" customHeight="1" outlineLevel="1">
      <c r="A23" s="4357" t="s">
        <v>1955</v>
      </c>
      <c r="B23" s="4297"/>
      <c r="C23" s="4296" t="s">
        <v>1954</v>
      </c>
      <c r="D23" s="4295">
        <f>'[39]PEACE AND ORDER FUND'!$E$17</f>
        <v>3825000</v>
      </c>
      <c r="E23" s="4294">
        <f>'[40]PEACE AND ORDER FUND'!$E$17</f>
        <v>2550000</v>
      </c>
      <c r="F23" s="4241">
        <f t="shared" si="0"/>
        <v>5550000</v>
      </c>
      <c r="G23" s="4294">
        <f>'[40]PEACE AND ORDER FUND'!$C$17</f>
        <v>8100000</v>
      </c>
      <c r="H23" s="4241">
        <v>8100000</v>
      </c>
    </row>
    <row r="24" spans="1:8" s="4239" customFormat="1" ht="18" customHeight="1" outlineLevel="1">
      <c r="A24" s="4247" t="s">
        <v>693</v>
      </c>
      <c r="B24" s="4246"/>
      <c r="C24" s="4248" t="s">
        <v>367</v>
      </c>
      <c r="D24" s="4244">
        <f>'[39]PEACE AND ORDER FUND'!$E$18</f>
        <v>3659660.17</v>
      </c>
      <c r="E24" s="4242">
        <f>'[40]PEACE AND ORDER FUND'!$E$18</f>
        <v>1356980.25</v>
      </c>
      <c r="F24" s="4243">
        <f t="shared" si="0"/>
        <v>5654210.4900000002</v>
      </c>
      <c r="G24" s="4242">
        <f>'[40]PEACE AND ORDER FUND'!$C$18</f>
        <v>7011190.7400000002</v>
      </c>
      <c r="H24" s="4241">
        <v>7011190.7400000002</v>
      </c>
    </row>
    <row r="25" spans="1:8" s="4286" customFormat="1" ht="18" customHeight="1" outlineLevel="1">
      <c r="A25" s="4263" t="s">
        <v>775</v>
      </c>
      <c r="B25" s="4406"/>
      <c r="C25" s="4405"/>
      <c r="D25" s="4404">
        <f>D26</f>
        <v>6845000</v>
      </c>
      <c r="E25" s="4404">
        <f>E26</f>
        <v>5190100</v>
      </c>
      <c r="F25" s="4404">
        <f>F26</f>
        <v>5809900</v>
      </c>
      <c r="G25" s="4404">
        <f>G26</f>
        <v>11000000</v>
      </c>
      <c r="H25" s="4403">
        <f>H26</f>
        <v>11000000</v>
      </c>
    </row>
    <row r="26" spans="1:8" s="4239" customFormat="1" ht="18" customHeight="1" outlineLevel="1">
      <c r="A26" s="4402" t="s">
        <v>1239</v>
      </c>
      <c r="B26" s="4401"/>
      <c r="C26" s="4400"/>
      <c r="D26" s="4399">
        <f>'[39]PEACE AND ORDER FUND'!$E$20</f>
        <v>6845000</v>
      </c>
      <c r="E26" s="4397">
        <f>'[40]PEACE AND ORDER FUND'!$E$20</f>
        <v>5190100</v>
      </c>
      <c r="F26" s="4398">
        <f>G26-E26</f>
        <v>5809900</v>
      </c>
      <c r="G26" s="4397">
        <f>'[40]PEACE AND ORDER FUND'!$C$20</f>
        <v>11000000</v>
      </c>
      <c r="H26" s="4396">
        <v>11000000</v>
      </c>
    </row>
    <row r="27" spans="1:8" ht="20.100000000000001" customHeight="1" outlineLevel="2" thickBot="1">
      <c r="A27" s="4314" t="s">
        <v>366</v>
      </c>
      <c r="B27" s="4394"/>
      <c r="C27" s="4395"/>
      <c r="D27" s="4394">
        <f>D25+D17</f>
        <v>14329660.17</v>
      </c>
      <c r="E27" s="4394">
        <f>E25+E17</f>
        <v>9097080.25</v>
      </c>
      <c r="F27" s="4394">
        <f>F25+F17</f>
        <v>17902919.75</v>
      </c>
      <c r="G27" s="4394">
        <f>G25+G17</f>
        <v>27000000</v>
      </c>
      <c r="H27" s="4393">
        <f>H25+H17</f>
        <v>27000000</v>
      </c>
    </row>
    <row r="28" spans="1:8" ht="20.100000000000001" customHeight="1" outlineLevel="2" thickTop="1">
      <c r="A28" s="4233"/>
      <c r="B28" s="4233"/>
      <c r="C28" s="4234"/>
      <c r="D28" s="4233"/>
      <c r="E28" s="4233"/>
      <c r="F28" s="4233"/>
      <c r="G28" s="4233"/>
      <c r="H28" s="4233"/>
    </row>
    <row r="29" spans="1:8" s="4220" customFormat="1" ht="14.25" customHeight="1">
      <c r="A29" s="4225" t="s">
        <v>3163</v>
      </c>
      <c r="B29" s="4222"/>
      <c r="C29" s="4222" t="s">
        <v>363</v>
      </c>
      <c r="D29" s="4222"/>
      <c r="E29" s="4225"/>
      <c r="F29" s="4225" t="s">
        <v>2311</v>
      </c>
      <c r="G29" s="4222"/>
      <c r="H29" s="4222"/>
    </row>
    <row r="30" spans="1:8" s="4220" customFormat="1" ht="14.25" customHeight="1">
      <c r="A30" s="4225"/>
      <c r="B30" s="4222"/>
      <c r="C30" s="4222"/>
      <c r="D30" s="4222"/>
      <c r="E30" s="4225"/>
      <c r="F30" s="4225"/>
      <c r="G30" s="4222"/>
      <c r="H30" s="4222"/>
    </row>
    <row r="31" spans="1:8" s="4220" customFormat="1" ht="14.25" customHeight="1">
      <c r="A31" s="4225"/>
      <c r="B31" s="4222"/>
      <c r="C31" s="4222"/>
      <c r="D31" s="4222"/>
      <c r="E31" s="4225"/>
      <c r="F31" s="4225"/>
      <c r="G31" s="4222"/>
      <c r="H31" s="4222"/>
    </row>
    <row r="32" spans="1:8" s="4220" customFormat="1" ht="14.25" customHeight="1">
      <c r="A32" s="4229" t="s">
        <v>3248</v>
      </c>
      <c r="B32" s="4226"/>
      <c r="C32" s="4228" t="s">
        <v>3162</v>
      </c>
      <c r="D32" s="4222"/>
      <c r="E32" s="4227"/>
      <c r="F32" s="4227" t="s">
        <v>359</v>
      </c>
      <c r="G32" s="4222"/>
      <c r="H32" s="4222"/>
    </row>
    <row r="33" spans="1:8" s="4220" customFormat="1" ht="14.25" customHeight="1">
      <c r="A33" s="4222" t="s">
        <v>3247</v>
      </c>
      <c r="B33" s="4226"/>
      <c r="C33" s="4224" t="s">
        <v>3160</v>
      </c>
      <c r="D33" s="4222"/>
      <c r="E33" s="4223"/>
      <c r="F33" s="4223" t="s">
        <v>3159</v>
      </c>
      <c r="G33" s="4222"/>
      <c r="H33" s="4222"/>
    </row>
    <row r="34" spans="1:8" s="4214" customFormat="1">
      <c r="A34" s="4218"/>
      <c r="B34" s="4219"/>
      <c r="C34" s="4218"/>
      <c r="D34" s="4217"/>
      <c r="E34" s="4217"/>
      <c r="F34" s="4217"/>
      <c r="G34" s="4217"/>
      <c r="H34" s="4217"/>
    </row>
    <row r="35" spans="1:8" s="4214" customFormat="1">
      <c r="A35" s="4218"/>
      <c r="B35" s="4219"/>
      <c r="C35" s="4218"/>
      <c r="D35" s="4217"/>
      <c r="E35" s="4217"/>
      <c r="F35" s="4217"/>
      <c r="G35" s="4217"/>
      <c r="H35" s="4217"/>
    </row>
    <row r="36" spans="1:8" s="4214" customFormat="1">
      <c r="A36" s="4218"/>
      <c r="B36" s="4219"/>
      <c r="C36" s="4218"/>
      <c r="D36" s="4217"/>
      <c r="E36" s="4217"/>
      <c r="F36" s="4217"/>
      <c r="G36" s="4217"/>
      <c r="H36" s="4217"/>
    </row>
    <row r="37" spans="1:8" s="4214" customFormat="1">
      <c r="A37" s="4218"/>
      <c r="B37" s="4219"/>
      <c r="C37" s="4218"/>
      <c r="D37" s="4217"/>
      <c r="E37" s="4217"/>
      <c r="F37" s="4217"/>
      <c r="G37" s="4217"/>
      <c r="H37" s="4217"/>
    </row>
    <row r="38" spans="1:8" s="4214" customFormat="1">
      <c r="A38" s="4218"/>
      <c r="B38" s="4219"/>
      <c r="C38" s="4218"/>
      <c r="D38" s="4217"/>
      <c r="E38" s="4217"/>
      <c r="F38" s="4217"/>
      <c r="G38" s="4217"/>
      <c r="H38" s="4217"/>
    </row>
    <row r="39" spans="1:8" s="4214" customFormat="1">
      <c r="A39" s="4218"/>
      <c r="B39" s="4219"/>
      <c r="C39" s="4218"/>
      <c r="D39" s="4217"/>
      <c r="E39" s="4217"/>
      <c r="F39" s="4217"/>
      <c r="G39" s="4217"/>
      <c r="H39" s="4217"/>
    </row>
    <row r="40" spans="1:8" s="4214" customFormat="1">
      <c r="A40" s="4218"/>
      <c r="B40" s="4219"/>
      <c r="C40" s="4218"/>
      <c r="D40" s="4217"/>
      <c r="E40" s="4217"/>
      <c r="F40" s="4217"/>
      <c r="G40" s="4217"/>
      <c r="H40" s="4217"/>
    </row>
    <row r="41" spans="1:8" s="4214" customFormat="1">
      <c r="A41" s="4218"/>
      <c r="B41" s="4219"/>
      <c r="C41" s="4218"/>
      <c r="D41" s="4217"/>
      <c r="E41" s="4217"/>
      <c r="F41" s="4217"/>
      <c r="G41" s="4217"/>
      <c r="H41" s="4217"/>
    </row>
    <row r="42" spans="1:8" s="4214" customFormat="1">
      <c r="A42" s="4218"/>
      <c r="B42" s="4219"/>
      <c r="C42" s="4218"/>
      <c r="D42" s="4217"/>
      <c r="E42" s="4217"/>
      <c r="F42" s="4217"/>
      <c r="G42" s="4217"/>
      <c r="H42" s="4217"/>
    </row>
    <row r="43" spans="1:8" s="4214" customFormat="1">
      <c r="A43" s="4218"/>
      <c r="B43" s="4219"/>
      <c r="C43" s="4218"/>
      <c r="D43" s="4217"/>
      <c r="E43" s="4217"/>
      <c r="F43" s="4217"/>
      <c r="G43" s="4217"/>
      <c r="H43" s="4217"/>
    </row>
    <row r="44" spans="1:8" s="4214" customFormat="1">
      <c r="A44" s="4218"/>
      <c r="B44" s="4219"/>
      <c r="C44" s="4218"/>
      <c r="D44" s="4217"/>
      <c r="E44" s="4217"/>
      <c r="F44" s="4217"/>
      <c r="G44" s="4217"/>
      <c r="H44" s="4217"/>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J54"/>
  <sheetViews>
    <sheetView showGridLines="0" showOutlineSymbols="0" workbookViewId="0">
      <selection activeCell="G38" sqref="G38"/>
    </sheetView>
  </sheetViews>
  <sheetFormatPr defaultColWidth="12.5703125" defaultRowHeight="12.75" outlineLevelRow="2" outlineLevelCol="2"/>
  <cols>
    <col min="1" max="1" width="1.85546875" style="4213" customWidth="1"/>
    <col min="2" max="2" width="34.85546875" style="4213" customWidth="1"/>
    <col min="3" max="3" width="11.7109375" style="4213" customWidth="1"/>
    <col min="4" max="4" width="10.85546875" style="4213" customWidth="1"/>
    <col min="5" max="5" width="9.42578125" style="4213" customWidth="1"/>
    <col min="6" max="6" width="10.7109375" style="4213" customWidth="1"/>
    <col min="7" max="8" width="10.5703125" style="4213" customWidth="1"/>
    <col min="9" max="39" width="12.5703125" style="4211"/>
    <col min="40" max="44" width="12.5703125" style="4211" outlineLevel="1"/>
    <col min="45" max="50" width="12.5703125" style="4211" outlineLevel="2"/>
    <col min="51" max="53" width="12.5703125" style="4211" outlineLevel="1"/>
    <col min="54" max="73" width="12.5703125" style="4211"/>
    <col min="74" max="77" width="12.5703125" style="4211" outlineLevel="1"/>
    <col min="78" max="125" width="12.5703125" style="4211"/>
    <col min="126" max="131" width="12.5703125" style="4211" outlineLevel="1"/>
    <col min="132" max="137" width="12.5703125" style="4211" outlineLevel="2"/>
    <col min="138" max="140" width="12.5703125" style="4211" outlineLevel="1"/>
    <col min="141"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275"/>
      <c r="B7" s="4275"/>
      <c r="C7" s="4275"/>
      <c r="D7" s="4275"/>
      <c r="E7" s="4275"/>
      <c r="F7" s="4275"/>
      <c r="G7" s="4275"/>
      <c r="H7" s="4275"/>
    </row>
    <row r="8" spans="1:8" ht="14.25" customHeight="1">
      <c r="A8" s="4275"/>
      <c r="B8" s="4275"/>
      <c r="C8" s="4275"/>
      <c r="D8" s="4275"/>
      <c r="E8" s="4275"/>
      <c r="F8" s="4275"/>
      <c r="G8" s="4275"/>
      <c r="H8" s="4275"/>
    </row>
    <row r="9" spans="1:8" ht="14.25" customHeight="1">
      <c r="A9" s="4274" t="s">
        <v>3169</v>
      </c>
      <c r="B9" s="4274"/>
    </row>
    <row r="10" spans="1:8" ht="14.25" customHeight="1">
      <c r="A10" s="4273" t="s">
        <v>3254</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10" s="4212" customFormat="1" ht="20.100000000000001" customHeight="1" outlineLevel="1">
      <c r="A17" s="4263" t="s">
        <v>407</v>
      </c>
      <c r="B17" s="4262"/>
      <c r="C17" s="4261"/>
      <c r="D17" s="4342">
        <f>SUM(D18:D34)</f>
        <v>1853762.3420000002</v>
      </c>
      <c r="E17" s="4260">
        <f>SUM(E18:E34)</f>
        <v>771312.77</v>
      </c>
      <c r="F17" s="4260">
        <f>SUM(F18:F34)</f>
        <v>1681487.23</v>
      </c>
      <c r="G17" s="4260">
        <f>SUM(G18:G34)</f>
        <v>2452800</v>
      </c>
      <c r="H17" s="4260">
        <f>SUM(H18:H34)</f>
        <v>3655000</v>
      </c>
    </row>
    <row r="18" spans="1:10" s="4240" customFormat="1" ht="18" customHeight="1" outlineLevel="1">
      <c r="A18" s="4254" t="s">
        <v>2352</v>
      </c>
      <c r="B18" s="4246"/>
      <c r="C18" s="4259" t="s">
        <v>405</v>
      </c>
      <c r="D18" s="4350">
        <f>[39]ICTC!$E$12</f>
        <v>21460.839999999997</v>
      </c>
      <c r="E18" s="4257">
        <f>[40]ICTC!$E$12</f>
        <v>540</v>
      </c>
      <c r="F18" s="4243">
        <f>G18-E18</f>
        <v>24460</v>
      </c>
      <c r="G18" s="4257">
        <f>[40]ICTC!$C$12</f>
        <v>25000</v>
      </c>
      <c r="H18" s="4256">
        <f>[41]ITCSO!$H$12</f>
        <v>25000</v>
      </c>
    </row>
    <row r="19" spans="1:10" s="4240" customFormat="1" ht="18" customHeight="1" outlineLevel="1">
      <c r="A19" s="4250" t="s">
        <v>404</v>
      </c>
      <c r="B19" s="4249"/>
      <c r="C19" s="4248" t="s">
        <v>403</v>
      </c>
      <c r="D19" s="4341">
        <f>[39]ICTC!$E$13</f>
        <v>0</v>
      </c>
      <c r="E19" s="4255">
        <f>[40]ICTC!$E$13</f>
        <v>0</v>
      </c>
      <c r="F19" s="4243">
        <f>G19-E19</f>
        <v>10000</v>
      </c>
      <c r="G19" s="4255">
        <f>[40]ICTC!$C$13</f>
        <v>10000</v>
      </c>
      <c r="H19" s="4241">
        <f>[41]ITCSO!$H$13</f>
        <v>10000</v>
      </c>
    </row>
    <row r="20" spans="1:10" s="4239" customFormat="1" ht="18" customHeight="1" outlineLevel="1">
      <c r="A20" s="4247" t="s">
        <v>402</v>
      </c>
      <c r="B20" s="4246"/>
      <c r="C20" s="4248" t="s">
        <v>401</v>
      </c>
      <c r="D20" s="4341">
        <f>[39]ICTC!$E$14</f>
        <v>34001.01</v>
      </c>
      <c r="E20" s="4255">
        <f>[40]ICTC!$E$14</f>
        <v>39621.35</v>
      </c>
      <c r="F20" s="4243">
        <f>G20-E20</f>
        <v>15378.650000000001</v>
      </c>
      <c r="G20" s="4255">
        <f>[40]ICTC!$C$14</f>
        <v>55000</v>
      </c>
      <c r="H20" s="4241">
        <f>[41]ITCSO!$H$14</f>
        <v>55000</v>
      </c>
    </row>
    <row r="21" spans="1:10" s="4239" customFormat="1" ht="18" customHeight="1" outlineLevel="1">
      <c r="A21" s="4247" t="s">
        <v>572</v>
      </c>
      <c r="B21" s="4246"/>
      <c r="C21" s="4248"/>
      <c r="D21" s="4341"/>
      <c r="E21" s="4255"/>
      <c r="F21" s="4243"/>
      <c r="G21" s="4255"/>
      <c r="H21" s="4241"/>
    </row>
    <row r="22" spans="1:10" s="4239" customFormat="1" ht="18" customHeight="1" outlineLevel="1">
      <c r="A22" s="4254"/>
      <c r="B22" s="4246" t="s">
        <v>571</v>
      </c>
      <c r="C22" s="4248" t="s">
        <v>2398</v>
      </c>
      <c r="D22" s="4341">
        <f>[39]ICTC!$E$15</f>
        <v>0</v>
      </c>
      <c r="E22" s="4255">
        <f>[40]ICTC!$E$15</f>
        <v>0</v>
      </c>
      <c r="F22" s="4243">
        <f t="shared" ref="F22:F28" si="0">G22-E22</f>
        <v>3000</v>
      </c>
      <c r="G22" s="4255">
        <f>[40]ICTC!$C$15</f>
        <v>3000</v>
      </c>
      <c r="H22" s="4241">
        <v>3000</v>
      </c>
    </row>
    <row r="23" spans="1:10" s="4239" customFormat="1" ht="18" customHeight="1" outlineLevel="1">
      <c r="A23" s="4250" t="s">
        <v>674</v>
      </c>
      <c r="B23" s="4249"/>
      <c r="C23" s="4248" t="s">
        <v>396</v>
      </c>
      <c r="D23" s="4341">
        <f>[39]ICTC!$E$16</f>
        <v>0</v>
      </c>
      <c r="E23" s="4255">
        <f>[40]ICTC!$E$16</f>
        <v>0</v>
      </c>
      <c r="F23" s="4243">
        <f t="shared" si="0"/>
        <v>5000</v>
      </c>
      <c r="G23" s="4255">
        <f>[40]ICTC!$C$16</f>
        <v>5000</v>
      </c>
      <c r="H23" s="4241">
        <v>100000</v>
      </c>
    </row>
    <row r="24" spans="1:10" s="4239" customFormat="1" ht="18" customHeight="1" outlineLevel="1">
      <c r="A24" s="4252" t="s">
        <v>2038</v>
      </c>
      <c r="B24" s="4249"/>
      <c r="C24" s="4248" t="s">
        <v>390</v>
      </c>
      <c r="D24" s="4341">
        <f>[39]ICTC!$E$17</f>
        <v>15607.932000000001</v>
      </c>
      <c r="E24" s="4255">
        <f>[40]ICTC!$E$17</f>
        <v>6795.0400000000009</v>
      </c>
      <c r="F24" s="4243">
        <f t="shared" si="0"/>
        <v>23204.959999999999</v>
      </c>
      <c r="G24" s="4255">
        <f>[40]ICTC!$C$17</f>
        <v>30000</v>
      </c>
      <c r="H24" s="4318">
        <f>[41]ITCSO!$H$19</f>
        <v>30000</v>
      </c>
    </row>
    <row r="25" spans="1:10" s="4239" customFormat="1" ht="18" customHeight="1" outlineLevel="1">
      <c r="A25" s="4250" t="s">
        <v>1264</v>
      </c>
      <c r="B25" s="4249"/>
      <c r="C25" s="4248" t="s">
        <v>1263</v>
      </c>
      <c r="D25" s="4341">
        <f>[39]ICTC!$E$18</f>
        <v>729690.4</v>
      </c>
      <c r="E25" s="4255">
        <f>[40]ICTC!$E$18</f>
        <v>405384</v>
      </c>
      <c r="F25" s="4243">
        <f t="shared" si="0"/>
        <v>601616</v>
      </c>
      <c r="G25" s="4255">
        <f>[40]ICTC!$C$18</f>
        <v>1007000</v>
      </c>
      <c r="H25" s="4318">
        <v>1555400</v>
      </c>
    </row>
    <row r="26" spans="1:10" s="4239" customFormat="1" ht="18" customHeight="1" outlineLevel="1">
      <c r="A26" s="4249" t="s">
        <v>3191</v>
      </c>
      <c r="B26" s="4249"/>
      <c r="C26" s="4248" t="s">
        <v>1265</v>
      </c>
      <c r="D26" s="4341">
        <f>[39]ICTC!$E$19</f>
        <v>0</v>
      </c>
      <c r="E26" s="4255">
        <f>[40]ICTC!$E$19</f>
        <v>0</v>
      </c>
      <c r="F26" s="4243">
        <f t="shared" si="0"/>
        <v>24000</v>
      </c>
      <c r="G26" s="4255">
        <f>[40]ICTC!$C$19</f>
        <v>24000</v>
      </c>
      <c r="H26" s="4318">
        <f>[41]ITCSO!$H$21</f>
        <v>24000</v>
      </c>
    </row>
    <row r="27" spans="1:10" s="4239" customFormat="1" ht="18" customHeight="1" outlineLevel="1">
      <c r="A27" s="4249" t="s">
        <v>878</v>
      </c>
      <c r="B27" s="4249"/>
      <c r="C27" s="4248" t="s">
        <v>394</v>
      </c>
      <c r="D27" s="4341">
        <v>0</v>
      </c>
      <c r="E27" s="4255">
        <f>[40]ICTC!$E$20</f>
        <v>0</v>
      </c>
      <c r="F27" s="4243">
        <f t="shared" si="0"/>
        <v>36000</v>
      </c>
      <c r="G27" s="4255">
        <f>[40]ICTC!$C$20</f>
        <v>36000</v>
      </c>
      <c r="H27" s="4318">
        <f>[41]ITCSO!$H$18</f>
        <v>36000</v>
      </c>
      <c r="I27" s="4327" t="s">
        <v>3223</v>
      </c>
      <c r="J27" s="4327" t="s">
        <v>3253</v>
      </c>
    </row>
    <row r="28" spans="1:10" s="4239" customFormat="1" ht="18" customHeight="1" outlineLevel="1">
      <c r="A28" s="4250" t="s">
        <v>389</v>
      </c>
      <c r="B28" s="4249"/>
      <c r="C28" s="4248" t="s">
        <v>388</v>
      </c>
      <c r="D28" s="4341">
        <f>[39]ICTC!$E$20</f>
        <v>637638.16</v>
      </c>
      <c r="E28" s="4242">
        <f>[40]ICTC!$E$21</f>
        <v>278100</v>
      </c>
      <c r="F28" s="4243">
        <f t="shared" si="0"/>
        <v>676700</v>
      </c>
      <c r="G28" s="4242">
        <f>[40]ICTC!$C$21</f>
        <v>954800</v>
      </c>
      <c r="H28" s="4241">
        <f>1235600+I28+J28</f>
        <v>1352600</v>
      </c>
      <c r="I28" s="4326">
        <v>78000</v>
      </c>
      <c r="J28" s="4326">
        <v>39000</v>
      </c>
    </row>
    <row r="29" spans="1:10" s="4239" customFormat="1" ht="18" customHeight="1" outlineLevel="1">
      <c r="A29" s="4250" t="s">
        <v>3180</v>
      </c>
      <c r="B29" s="4249"/>
      <c r="C29" s="4248"/>
      <c r="D29" s="4341"/>
      <c r="E29" s="4242"/>
      <c r="F29" s="4243"/>
      <c r="G29" s="4242"/>
      <c r="H29" s="4241"/>
    </row>
    <row r="30" spans="1:10" s="4239" customFormat="1" ht="18" customHeight="1" outlineLevel="1">
      <c r="A30" s="4250"/>
      <c r="B30" s="4249" t="s">
        <v>2336</v>
      </c>
      <c r="C30" s="4248" t="s">
        <v>2335</v>
      </c>
      <c r="D30" s="4341">
        <f>[39]ICTC!$E$21</f>
        <v>76340</v>
      </c>
      <c r="E30" s="4242">
        <f>[40]ICTC!$E$22</f>
        <v>24100</v>
      </c>
      <c r="F30" s="4243">
        <f>G30-E30</f>
        <v>43900</v>
      </c>
      <c r="G30" s="4242">
        <f>[40]ICTC!$C$22</f>
        <v>68000</v>
      </c>
      <c r="H30" s="4241">
        <f>[41]ITCSO!$H$24</f>
        <v>68000</v>
      </c>
    </row>
    <row r="31" spans="1:10" s="4239" customFormat="1" ht="18" customHeight="1" outlineLevel="1">
      <c r="A31" s="4250" t="s">
        <v>3252</v>
      </c>
      <c r="B31" s="4249"/>
      <c r="C31" s="4248"/>
      <c r="D31" s="4341"/>
      <c r="E31" s="4242"/>
      <c r="F31" s="4243"/>
      <c r="G31" s="4242"/>
      <c r="H31" s="4241"/>
    </row>
    <row r="32" spans="1:10" s="4239" customFormat="1" ht="18" customHeight="1" outlineLevel="1">
      <c r="A32" s="4250"/>
      <c r="B32" s="4249" t="s">
        <v>2370</v>
      </c>
      <c r="C32" s="4248" t="s">
        <v>2327</v>
      </c>
      <c r="D32" s="4341">
        <f>[39]ICTC!$E$22</f>
        <v>0</v>
      </c>
      <c r="E32" s="4242">
        <f>[40]ICTC!$E$23</f>
        <v>0</v>
      </c>
      <c r="F32" s="4243">
        <f>G32-E32</f>
        <v>5000</v>
      </c>
      <c r="G32" s="4242">
        <f>[40]ICTC!$C$23</f>
        <v>5000</v>
      </c>
      <c r="H32" s="4241">
        <v>100000</v>
      </c>
    </row>
    <row r="33" spans="1:8" s="4239" customFormat="1" ht="18" customHeight="1" outlineLevel="1">
      <c r="A33" s="4250" t="s">
        <v>3251</v>
      </c>
      <c r="B33" s="4249"/>
      <c r="C33" s="4248" t="s">
        <v>1242</v>
      </c>
      <c r="D33" s="4341">
        <f>[39]ICTC!$E$23</f>
        <v>329500</v>
      </c>
      <c r="E33" s="4242">
        <f>[40]ICTC!$E$24</f>
        <v>0</v>
      </c>
      <c r="F33" s="4243">
        <f>G33-E33</f>
        <v>210000</v>
      </c>
      <c r="G33" s="4242">
        <f>[40]ICTC!$C$24</f>
        <v>210000</v>
      </c>
      <c r="H33" s="4241">
        <v>276000</v>
      </c>
    </row>
    <row r="34" spans="1:8" s="4239" customFormat="1" ht="18" customHeight="1" outlineLevel="1" thickBot="1">
      <c r="A34" s="4247" t="s">
        <v>693</v>
      </c>
      <c r="B34" s="4246"/>
      <c r="C34" s="4245" t="s">
        <v>367</v>
      </c>
      <c r="D34" s="4341">
        <f>[39]ICTC!$E$24</f>
        <v>9524</v>
      </c>
      <c r="E34" s="4242">
        <f>[40]ICTC!$E$25</f>
        <v>16772.38</v>
      </c>
      <c r="F34" s="4243">
        <f>G34-E34</f>
        <v>3227.619999999999</v>
      </c>
      <c r="G34" s="4242">
        <f>[40]ICTC!$C$25</f>
        <v>20000</v>
      </c>
      <c r="H34" s="4241">
        <f>[41]ITCSO!$H$28</f>
        <v>20000</v>
      </c>
    </row>
    <row r="35" spans="1:8" s="4239" customFormat="1" ht="18" customHeight="1" outlineLevel="1" thickBot="1">
      <c r="A35" s="4291" t="s">
        <v>775</v>
      </c>
      <c r="B35" s="4290"/>
      <c r="C35" s="4289"/>
      <c r="D35" s="4306">
        <f>D36</f>
        <v>1960800</v>
      </c>
      <c r="E35" s="4306">
        <f>E36</f>
        <v>0</v>
      </c>
      <c r="F35" s="4306">
        <f>F36</f>
        <v>0</v>
      </c>
      <c r="G35" s="4306">
        <f>G36</f>
        <v>0</v>
      </c>
      <c r="H35" s="4305">
        <f>H36</f>
        <v>0</v>
      </c>
    </row>
    <row r="36" spans="1:8" s="4239" customFormat="1" ht="18" customHeight="1" outlineLevel="1">
      <c r="A36" s="4285" t="s">
        <v>2785</v>
      </c>
      <c r="B36" s="4246"/>
      <c r="C36" s="4284" t="s">
        <v>2784</v>
      </c>
      <c r="D36" s="4244">
        <f>[39]ICTC!$E$26</f>
        <v>1960800</v>
      </c>
      <c r="E36" s="4242">
        <v>0</v>
      </c>
      <c r="F36" s="4243">
        <f>G36-E36</f>
        <v>0</v>
      </c>
      <c r="G36" s="4242">
        <v>0</v>
      </c>
      <c r="H36" s="4241">
        <v>0</v>
      </c>
    </row>
    <row r="37" spans="1:8" ht="20.100000000000001" customHeight="1" outlineLevel="2" thickBot="1">
      <c r="A37" s="4238" t="s">
        <v>366</v>
      </c>
      <c r="B37" s="4236"/>
      <c r="C37" s="4237"/>
      <c r="D37" s="4335">
        <f>D35+D17</f>
        <v>3814562.3420000002</v>
      </c>
      <c r="E37" s="4335">
        <f>E35+E17</f>
        <v>771312.77</v>
      </c>
      <c r="F37" s="4335">
        <f>F35+F17</f>
        <v>1681487.23</v>
      </c>
      <c r="G37" s="4335">
        <f>G35+G17</f>
        <v>2452800</v>
      </c>
      <c r="H37" s="4334">
        <f>H35+H17</f>
        <v>3655000</v>
      </c>
    </row>
    <row r="38" spans="1:8" ht="20.100000000000001" customHeight="1" outlineLevel="2" thickTop="1">
      <c r="A38" s="4233"/>
      <c r="B38" s="4233"/>
      <c r="C38" s="4234"/>
      <c r="D38" s="4233"/>
      <c r="E38" s="4233"/>
      <c r="F38" s="4233"/>
      <c r="G38" s="4233"/>
      <c r="H38" s="4233"/>
    </row>
    <row r="39" spans="1:8" s="4220" customFormat="1" ht="14.25" customHeight="1">
      <c r="A39" s="4225" t="s">
        <v>3163</v>
      </c>
      <c r="B39" s="4222"/>
      <c r="C39" s="4222" t="s">
        <v>363</v>
      </c>
      <c r="D39" s="4222"/>
      <c r="E39" s="4225"/>
      <c r="F39" s="4225" t="s">
        <v>2311</v>
      </c>
      <c r="G39" s="4222"/>
      <c r="H39" s="4222"/>
    </row>
    <row r="40" spans="1:8" s="4220" customFormat="1" ht="14.25" customHeight="1">
      <c r="A40" s="4225"/>
      <c r="B40" s="4222"/>
      <c r="C40" s="4222"/>
      <c r="D40" s="4222"/>
      <c r="E40" s="4225"/>
      <c r="F40" s="4225"/>
      <c r="G40" s="4222"/>
      <c r="H40" s="4222"/>
    </row>
    <row r="41" spans="1:8" s="4220" customFormat="1" ht="14.25" customHeight="1">
      <c r="A41" s="4225"/>
      <c r="B41" s="4222"/>
      <c r="C41" s="4222"/>
      <c r="D41" s="4222"/>
      <c r="E41" s="4225"/>
      <c r="F41" s="4225"/>
      <c r="G41" s="4222"/>
      <c r="H41" s="4222"/>
    </row>
    <row r="42" spans="1:8" s="4220" customFormat="1" ht="14.25" customHeight="1">
      <c r="A42" s="4229" t="s">
        <v>3250</v>
      </c>
      <c r="B42" s="4226"/>
      <c r="C42" s="4228" t="s">
        <v>3162</v>
      </c>
      <c r="D42" s="4222"/>
      <c r="E42" s="4227"/>
      <c r="F42" s="4227" t="s">
        <v>359</v>
      </c>
      <c r="G42" s="4222"/>
      <c r="H42" s="4222"/>
    </row>
    <row r="43" spans="1:8" s="4220" customFormat="1" ht="14.25" customHeight="1">
      <c r="A43" s="4222" t="s">
        <v>289</v>
      </c>
      <c r="B43" s="4226"/>
      <c r="C43" s="4224" t="s">
        <v>3160</v>
      </c>
      <c r="D43" s="4222"/>
      <c r="E43" s="4223"/>
      <c r="F43" s="4223" t="s">
        <v>3159</v>
      </c>
      <c r="G43" s="4222"/>
      <c r="H43" s="4222"/>
    </row>
    <row r="44" spans="1:8" s="4214" customFormat="1">
      <c r="A44" s="4218"/>
      <c r="B44" s="4219"/>
      <c r="C44" s="4218"/>
      <c r="D44" s="4217"/>
      <c r="E44" s="4217"/>
      <c r="F44" s="4217"/>
      <c r="G44" s="4217"/>
      <c r="H44" s="4217"/>
    </row>
    <row r="45" spans="1:8" s="4214" customFormat="1">
      <c r="A45" s="4218"/>
      <c r="B45" s="4219"/>
      <c r="C45" s="4218"/>
      <c r="D45" s="4217"/>
      <c r="E45" s="4217"/>
      <c r="F45" s="4217"/>
      <c r="G45" s="4217"/>
      <c r="H45" s="4217"/>
    </row>
    <row r="46" spans="1:8" s="4214" customFormat="1">
      <c r="A46" s="4218"/>
      <c r="B46" s="4219"/>
      <c r="C46" s="4218"/>
      <c r="D46" s="4217"/>
      <c r="E46" s="4217"/>
      <c r="F46" s="4217"/>
      <c r="G46" s="4217"/>
      <c r="H46" s="4217"/>
    </row>
    <row r="47" spans="1:8" s="4214" customFormat="1">
      <c r="A47" s="4218"/>
      <c r="B47" s="4219"/>
      <c r="C47" s="4218"/>
      <c r="D47" s="4217"/>
      <c r="E47" s="4217"/>
      <c r="F47" s="4217"/>
      <c r="G47" s="4217"/>
      <c r="H47" s="4217"/>
    </row>
    <row r="48" spans="1:8" s="4214" customFormat="1">
      <c r="A48" s="4218"/>
      <c r="B48" s="4219"/>
      <c r="C48" s="4218"/>
      <c r="D48" s="4217"/>
      <c r="E48" s="4217"/>
      <c r="F48" s="4217"/>
      <c r="G48" s="4217"/>
      <c r="H48" s="4217"/>
    </row>
    <row r="49" spans="1:8" s="4214" customFormat="1">
      <c r="A49" s="4218"/>
      <c r="B49" s="4219"/>
      <c r="C49" s="4218"/>
      <c r="D49" s="4217"/>
      <c r="E49" s="4217"/>
      <c r="F49" s="4217"/>
      <c r="G49" s="4217"/>
      <c r="H49" s="4217"/>
    </row>
    <row r="50" spans="1:8" s="4214" customFormat="1">
      <c r="A50" s="4218"/>
      <c r="B50" s="4219"/>
      <c r="C50" s="4218"/>
      <c r="D50" s="4217"/>
      <c r="E50" s="4217"/>
      <c r="F50" s="4217"/>
      <c r="G50" s="4217"/>
      <c r="H50" s="4217"/>
    </row>
    <row r="51" spans="1:8" s="4214" customFormat="1">
      <c r="A51" s="4218"/>
      <c r="B51" s="4219"/>
      <c r="C51" s="4218"/>
      <c r="D51" s="4217"/>
      <c r="E51" s="4217"/>
      <c r="F51" s="4217"/>
      <c r="G51" s="4217"/>
      <c r="H51" s="4217"/>
    </row>
    <row r="52" spans="1:8" s="4214" customFormat="1">
      <c r="A52" s="4218"/>
      <c r="B52" s="4219"/>
      <c r="C52" s="4218"/>
      <c r="D52" s="4217"/>
      <c r="E52" s="4217"/>
      <c r="F52" s="4217"/>
      <c r="G52" s="4217"/>
      <c r="H52" s="4217"/>
    </row>
    <row r="53" spans="1:8" s="4214" customFormat="1">
      <c r="A53" s="4218"/>
      <c r="B53" s="4219"/>
      <c r="C53" s="4218"/>
      <c r="D53" s="4217"/>
      <c r="E53" s="4217"/>
      <c r="F53" s="4217"/>
      <c r="G53" s="4217"/>
      <c r="H53" s="4217"/>
    </row>
    <row r="54" spans="1:8" s="4214" customFormat="1">
      <c r="A54" s="4218"/>
      <c r="B54" s="4219"/>
      <c r="C54" s="4218"/>
      <c r="D54" s="4217"/>
      <c r="E54" s="4217"/>
      <c r="F54" s="4217"/>
      <c r="G54" s="4217"/>
      <c r="H54" s="4217"/>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K39"/>
  <sheetViews>
    <sheetView showGridLines="0" showOutlineSymbols="0" workbookViewId="0">
      <selection activeCell="G28" sqref="G28"/>
    </sheetView>
  </sheetViews>
  <sheetFormatPr defaultColWidth="12.5703125" defaultRowHeight="12.75" outlineLevelRow="2" outlineLevelCol="2"/>
  <cols>
    <col min="1" max="1" width="1.85546875" style="4213" customWidth="1"/>
    <col min="2" max="2" width="27.85546875" style="4213" customWidth="1"/>
    <col min="3" max="3" width="10" style="4213" customWidth="1"/>
    <col min="4" max="4" width="10.7109375" style="4213" customWidth="1"/>
    <col min="5" max="8" width="12.5703125" style="4213" customWidth="1"/>
    <col min="9" max="40" width="12.5703125" style="4211"/>
    <col min="41" max="45" width="12.5703125" style="4211" outlineLevel="1"/>
    <col min="46" max="51" width="12.5703125" style="4211" outlineLevel="2"/>
    <col min="52" max="54" width="12.5703125" style="4211" outlineLevel="1"/>
    <col min="55" max="74" width="12.5703125" style="4211"/>
    <col min="75" max="78" width="12.5703125" style="4211" outlineLevel="1"/>
    <col min="79" max="126" width="12.5703125" style="4211"/>
    <col min="127" max="132" width="12.5703125" style="4211" outlineLevel="1"/>
    <col min="133" max="138" width="12.5703125" style="4211" outlineLevel="2"/>
    <col min="139" max="141" width="12.5703125" style="4211" outlineLevel="1"/>
    <col min="142"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3258</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10" s="4212" customFormat="1" ht="20.100000000000001" customHeight="1" outlineLevel="1">
      <c r="A17" s="4263" t="s">
        <v>407</v>
      </c>
      <c r="B17" s="4262"/>
      <c r="C17" s="4261"/>
      <c r="D17" s="4342">
        <f>SUM(D18:D21)</f>
        <v>407400</v>
      </c>
      <c r="E17" s="4260">
        <f>SUM(E18:E21)</f>
        <v>154350</v>
      </c>
      <c r="F17" s="4260">
        <f>SUM(F18:F21)</f>
        <v>257650</v>
      </c>
      <c r="G17" s="4260">
        <f>SUM(G18:G21)</f>
        <v>412000</v>
      </c>
      <c r="H17" s="4317">
        <f>SUM(H18:H21)</f>
        <v>490000</v>
      </c>
    </row>
    <row r="18" spans="1:10" s="4240" customFormat="1" ht="18" customHeight="1" outlineLevel="1">
      <c r="A18" s="4254" t="s">
        <v>2352</v>
      </c>
      <c r="B18" s="4246"/>
      <c r="C18" s="4259" t="s">
        <v>405</v>
      </c>
      <c r="D18" s="4350">
        <f>'[39]TASK FORCE RIGHT OF WAY'!$E$12</f>
        <v>0</v>
      </c>
      <c r="E18" s="4257">
        <f>'[40]TASK FORCE RIGHT OF WAY'!$E$12</f>
        <v>0</v>
      </c>
      <c r="F18" s="4243">
        <f>G18-E18</f>
        <v>5720</v>
      </c>
      <c r="G18" s="4257">
        <f>'[40]TASK FORCE RIGHT OF WAY'!$C$12</f>
        <v>5720</v>
      </c>
      <c r="H18" s="4256">
        <f>'[41]task force right of way'!$H$12</f>
        <v>5720</v>
      </c>
    </row>
    <row r="19" spans="1:10" s="4239" customFormat="1" ht="18" customHeight="1" outlineLevel="1">
      <c r="A19" s="4250" t="s">
        <v>674</v>
      </c>
      <c r="B19" s="4249"/>
      <c r="C19" s="4248" t="s">
        <v>396</v>
      </c>
      <c r="D19" s="4341">
        <f>'[39]TASK FORCE RIGHT OF WAY'!$E$13</f>
        <v>0</v>
      </c>
      <c r="E19" s="4255">
        <f>'[40]TASK FORCE RIGHT OF WAY'!$E$13</f>
        <v>0</v>
      </c>
      <c r="F19" s="4243">
        <f>G19-E19</f>
        <v>10000</v>
      </c>
      <c r="G19" s="4255">
        <f>'[40]TASK FORCE RIGHT OF WAY'!$C$13</f>
        <v>10000</v>
      </c>
      <c r="H19" s="4241">
        <v>10000</v>
      </c>
      <c r="I19" s="4327" t="s">
        <v>3253</v>
      </c>
      <c r="J19" s="4327" t="s">
        <v>3257</v>
      </c>
    </row>
    <row r="20" spans="1:10" s="4239" customFormat="1" ht="18" customHeight="1" outlineLevel="1">
      <c r="A20" s="4250" t="s">
        <v>389</v>
      </c>
      <c r="B20" s="4249"/>
      <c r="C20" s="4248" t="s">
        <v>388</v>
      </c>
      <c r="D20" s="4341">
        <f>'[39]TASK FORCE RIGHT OF WAY'!$E$14</f>
        <v>407400</v>
      </c>
      <c r="E20" s="4242">
        <f>'[40]TASK FORCE RIGHT OF WAY'!$E$14</f>
        <v>154350</v>
      </c>
      <c r="F20" s="4243">
        <f>G20-E20</f>
        <v>85850</v>
      </c>
      <c r="G20" s="4242">
        <f>'[40]TASK FORCE RIGHT OF WAY'!$C$14</f>
        <v>240200</v>
      </c>
      <c r="H20" s="4241">
        <f>79200+389000</f>
        <v>468200</v>
      </c>
      <c r="I20" s="4326">
        <v>76000</v>
      </c>
      <c r="J20" s="4326">
        <v>155000</v>
      </c>
    </row>
    <row r="21" spans="1:10" s="4239" customFormat="1" ht="18" customHeight="1" outlineLevel="1">
      <c r="A21" s="4247" t="s">
        <v>693</v>
      </c>
      <c r="B21" s="4246"/>
      <c r="C21" s="4245" t="s">
        <v>367</v>
      </c>
      <c r="D21" s="4341">
        <f>'[39]TASK FORCE RIGHT OF WAY'!$E$15</f>
        <v>0</v>
      </c>
      <c r="E21" s="4242">
        <f>'[40]TASK FORCE RIGHT OF WAY'!$E$15</f>
        <v>0</v>
      </c>
      <c r="F21" s="4243">
        <f>G21-E21</f>
        <v>156080</v>
      </c>
      <c r="G21" s="4242">
        <f>'[40]TASK FORCE RIGHT OF WAY'!$C$15</f>
        <v>156080</v>
      </c>
      <c r="H21" s="4241">
        <v>6080</v>
      </c>
    </row>
    <row r="22" spans="1:10" ht="20.100000000000001" customHeight="1" outlineLevel="2" thickBot="1">
      <c r="A22" s="4238" t="s">
        <v>366</v>
      </c>
      <c r="B22" s="4236"/>
      <c r="C22" s="4237"/>
      <c r="D22" s="4335">
        <f>SUM(D18:D21)</f>
        <v>407400</v>
      </c>
      <c r="E22" s="4236">
        <f>SUM(E18:E21)</f>
        <v>154350</v>
      </c>
      <c r="F22" s="4236">
        <f>SUM(F18:F21)</f>
        <v>257650</v>
      </c>
      <c r="G22" s="4236">
        <f>SUM(G18:G21)</f>
        <v>412000</v>
      </c>
      <c r="H22" s="4235">
        <f>SUM(H18:H21)</f>
        <v>490000</v>
      </c>
    </row>
    <row r="23" spans="1:10" ht="20.100000000000001" customHeight="1" outlineLevel="2" thickTop="1">
      <c r="A23" s="4233"/>
      <c r="B23" s="4233"/>
      <c r="C23" s="4234"/>
      <c r="D23" s="4233"/>
      <c r="E23" s="4233"/>
      <c r="F23" s="4233"/>
      <c r="G23" s="4233"/>
      <c r="H23" s="4232"/>
    </row>
    <row r="24" spans="1:10" s="4220" customFormat="1" ht="14.25" customHeight="1">
      <c r="A24" s="4225" t="s">
        <v>3163</v>
      </c>
      <c r="B24" s="4222"/>
      <c r="C24" s="4222"/>
      <c r="D24" s="4222" t="s">
        <v>363</v>
      </c>
      <c r="E24" s="4222"/>
      <c r="F24" s="4225"/>
      <c r="G24" s="4225" t="s">
        <v>2311</v>
      </c>
      <c r="H24" s="4222"/>
    </row>
    <row r="25" spans="1:10" s="4220" customFormat="1" ht="14.25" customHeight="1">
      <c r="A25" s="4225"/>
      <c r="B25" s="4222"/>
      <c r="C25" s="4222"/>
      <c r="D25" s="4222"/>
      <c r="E25" s="4222"/>
      <c r="F25" s="4225"/>
      <c r="G25" s="4225"/>
      <c r="H25" s="4222"/>
    </row>
    <row r="26" spans="1:10" s="4220" customFormat="1" ht="14.25" customHeight="1">
      <c r="A26" s="4225"/>
      <c r="B26" s="4222"/>
      <c r="C26" s="4222"/>
      <c r="D26" s="4222"/>
      <c r="E26" s="4222"/>
      <c r="F26" s="4225"/>
      <c r="G26" s="4225"/>
      <c r="H26" s="4222"/>
    </row>
    <row r="27" spans="1:10" s="4220" customFormat="1" ht="14.25" customHeight="1">
      <c r="A27" s="4229" t="s">
        <v>3256</v>
      </c>
      <c r="B27" s="4226"/>
      <c r="C27" s="4229"/>
      <c r="D27" s="4228" t="s">
        <v>3162</v>
      </c>
      <c r="E27" s="4222"/>
      <c r="F27" s="4227"/>
      <c r="G27" s="4227" t="s">
        <v>359</v>
      </c>
      <c r="H27" s="4222"/>
    </row>
    <row r="28" spans="1:10" s="4220" customFormat="1" ht="14.25" customHeight="1">
      <c r="A28" s="4222" t="s">
        <v>3255</v>
      </c>
      <c r="B28" s="4226"/>
      <c r="C28" s="4225"/>
      <c r="D28" s="4224" t="s">
        <v>3160</v>
      </c>
      <c r="E28" s="4222"/>
      <c r="F28" s="4223"/>
      <c r="G28" s="4223" t="s">
        <v>3159</v>
      </c>
      <c r="H28" s="4222"/>
    </row>
    <row r="29" spans="1:10" s="4214" customFormat="1">
      <c r="A29" s="4218"/>
      <c r="B29" s="4219"/>
      <c r="C29" s="4218"/>
      <c r="D29" s="4217"/>
      <c r="E29" s="4217"/>
      <c r="F29" s="4217"/>
      <c r="G29" s="4217"/>
      <c r="H29" s="4217"/>
    </row>
    <row r="30" spans="1:10" s="4214" customFormat="1">
      <c r="A30" s="4218"/>
      <c r="B30" s="4219"/>
      <c r="C30" s="4218"/>
      <c r="D30" s="4217"/>
      <c r="E30" s="4217"/>
      <c r="F30" s="4217"/>
      <c r="G30" s="4217"/>
      <c r="H30" s="4217"/>
    </row>
    <row r="31" spans="1:10" s="4214" customFormat="1">
      <c r="A31" s="4218"/>
      <c r="B31" s="4219"/>
      <c r="C31" s="4218"/>
      <c r="D31" s="4217"/>
      <c r="E31" s="4217"/>
      <c r="F31" s="4217"/>
      <c r="G31" s="4217"/>
      <c r="H31" s="4217"/>
    </row>
    <row r="32" spans="1:10" s="4214" customFormat="1">
      <c r="A32" s="4218"/>
      <c r="B32" s="4219"/>
      <c r="C32" s="4218"/>
      <c r="D32" s="4217"/>
      <c r="E32" s="4217"/>
      <c r="F32" s="4217"/>
      <c r="G32" s="4217"/>
      <c r="H32" s="4217"/>
    </row>
    <row r="33" spans="1:8" s="4214" customFormat="1">
      <c r="A33" s="4218"/>
      <c r="B33" s="4219"/>
      <c r="C33" s="4218"/>
      <c r="D33" s="4217"/>
      <c r="E33" s="4217"/>
      <c r="F33" s="4217"/>
      <c r="G33" s="4217"/>
      <c r="H33" s="4217"/>
    </row>
    <row r="34" spans="1:8" s="4214" customFormat="1">
      <c r="A34" s="4218"/>
      <c r="B34" s="4219"/>
      <c r="C34" s="4218"/>
      <c r="D34" s="4217"/>
      <c r="E34" s="4217"/>
      <c r="F34" s="4217"/>
      <c r="G34" s="4217"/>
      <c r="H34" s="4217"/>
    </row>
    <row r="35" spans="1:8" s="4214" customFormat="1">
      <c r="A35" s="4218"/>
      <c r="B35" s="4219"/>
      <c r="C35" s="4218"/>
      <c r="D35" s="4217"/>
      <c r="E35" s="4217"/>
      <c r="F35" s="4217"/>
      <c r="G35" s="4217"/>
      <c r="H35" s="4217"/>
    </row>
    <row r="36" spans="1:8" s="4214" customFormat="1">
      <c r="A36" s="4218"/>
      <c r="B36" s="4219"/>
      <c r="C36" s="4218"/>
      <c r="D36" s="4217"/>
      <c r="E36" s="4217"/>
      <c r="F36" s="4217"/>
      <c r="G36" s="4217"/>
      <c r="H36" s="4217"/>
    </row>
    <row r="37" spans="1:8" s="4214" customFormat="1">
      <c r="A37" s="4218"/>
      <c r="B37" s="4219"/>
      <c r="C37" s="4218"/>
      <c r="D37" s="4217"/>
      <c r="E37" s="4217"/>
      <c r="F37" s="4217"/>
      <c r="G37" s="4217"/>
      <c r="H37" s="4217"/>
    </row>
    <row r="38" spans="1:8" s="4214" customFormat="1">
      <c r="A38" s="4218"/>
      <c r="B38" s="4219"/>
      <c r="C38" s="4218"/>
      <c r="D38" s="4217"/>
      <c r="E38" s="4217"/>
      <c r="F38" s="4217"/>
      <c r="G38" s="4217"/>
      <c r="H38" s="4217"/>
    </row>
    <row r="39" spans="1:8" s="4214" customFormat="1">
      <c r="A39" s="4218"/>
      <c r="B39" s="4219"/>
      <c r="C39" s="4218"/>
      <c r="D39" s="4217"/>
      <c r="E39" s="4217"/>
      <c r="F39" s="4217"/>
      <c r="G39" s="4217"/>
      <c r="H39" s="4217"/>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N43"/>
  <sheetViews>
    <sheetView showGridLines="0" showOutlineSymbols="0" workbookViewId="0">
      <selection activeCell="H31" sqref="H31"/>
    </sheetView>
  </sheetViews>
  <sheetFormatPr defaultColWidth="12.5703125" defaultRowHeight="12.75" outlineLevelRow="2" outlineLevelCol="2"/>
  <cols>
    <col min="1" max="1" width="1.85546875" style="4213" customWidth="1"/>
    <col min="2" max="2" width="34.85546875" style="4213" customWidth="1"/>
    <col min="3" max="3" width="11.28515625" style="4213" customWidth="1"/>
    <col min="4" max="4" width="10.28515625" style="4213" customWidth="1"/>
    <col min="5" max="5" width="10.7109375" style="4213" customWidth="1"/>
    <col min="6" max="6" width="10" style="4213" customWidth="1"/>
    <col min="7" max="8" width="10.28515625" style="4213" customWidth="1"/>
    <col min="9" max="43" width="12.5703125" style="4211"/>
    <col min="44" max="48" width="12.5703125" style="4211" outlineLevel="1"/>
    <col min="49" max="54" width="12.5703125" style="4211" outlineLevel="2"/>
    <col min="55" max="57" width="12.5703125" style="4211" outlineLevel="1"/>
    <col min="58" max="77" width="12.5703125" style="4211"/>
    <col min="78" max="81" width="12.5703125" style="4211" outlineLevel="1"/>
    <col min="82" max="129" width="12.5703125" style="4211"/>
    <col min="130" max="135" width="12.5703125" style="4211" outlineLevel="1"/>
    <col min="136" max="141" width="12.5703125" style="4211" outlineLevel="2"/>
    <col min="142" max="144" width="12.5703125" style="4211" outlineLevel="1"/>
    <col min="145" max="16384" width="12.5703125" style="4211"/>
  </cols>
  <sheetData>
    <row r="1" spans="1:8" ht="13.5">
      <c r="A1" s="4281" t="s">
        <v>473</v>
      </c>
      <c r="E1" s="4302"/>
      <c r="G1" s="4302"/>
      <c r="H1" s="4302"/>
    </row>
    <row r="2" spans="1:8" ht="14.25" customHeight="1">
      <c r="A2" s="4279" t="s">
        <v>584</v>
      </c>
      <c r="E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3262</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9" s="4212" customFormat="1" ht="20.100000000000001" customHeight="1" outlineLevel="1">
      <c r="A17" s="4263" t="s">
        <v>407</v>
      </c>
      <c r="B17" s="4262"/>
      <c r="C17" s="4261"/>
      <c r="D17" s="4260">
        <f>SUM(D18:D25)</f>
        <v>475813.20999999996</v>
      </c>
      <c r="E17" s="4260">
        <f>SUM(E18:E25)</f>
        <v>237642</v>
      </c>
      <c r="F17" s="4260">
        <f>SUM(F18:F25)</f>
        <v>662358</v>
      </c>
      <c r="G17" s="4260">
        <f>SUM(G18:G25)</f>
        <v>900000</v>
      </c>
      <c r="H17" s="4260">
        <f>SUM(H18:H25)</f>
        <v>1338000</v>
      </c>
    </row>
    <row r="18" spans="1:9" s="4240" customFormat="1" ht="18" customHeight="1" outlineLevel="1">
      <c r="A18" s="4254" t="s">
        <v>2352</v>
      </c>
      <c r="B18" s="4246"/>
      <c r="C18" s="4259" t="s">
        <v>405</v>
      </c>
      <c r="D18" s="4258">
        <f>[39]LET!$E$12</f>
        <v>0</v>
      </c>
      <c r="E18" s="4257">
        <f>[40]LET!$E$12</f>
        <v>0</v>
      </c>
      <c r="F18" s="4243">
        <f>G18-E18</f>
        <v>5000</v>
      </c>
      <c r="G18" s="4257">
        <f>[40]LET!$C$12</f>
        <v>5000</v>
      </c>
      <c r="H18" s="4256">
        <f>[41]LET!$H$12</f>
        <v>5000</v>
      </c>
    </row>
    <row r="19" spans="1:9" s="4240" customFormat="1" ht="18" customHeight="1" outlineLevel="1">
      <c r="A19" s="4250" t="s">
        <v>404</v>
      </c>
      <c r="B19" s="4249"/>
      <c r="C19" s="4248" t="s">
        <v>403</v>
      </c>
      <c r="D19" s="4244">
        <f>[39]LET!$E$13</f>
        <v>0</v>
      </c>
      <c r="E19" s="4255">
        <f>[40]LET!$E$13</f>
        <v>0</v>
      </c>
      <c r="F19" s="4243">
        <f>G19-E19</f>
        <v>5000</v>
      </c>
      <c r="G19" s="4255">
        <f>[40]LET!$C$13</f>
        <v>5000</v>
      </c>
      <c r="H19" s="4241">
        <f>[41]LET!$H$13</f>
        <v>5000</v>
      </c>
    </row>
    <row r="20" spans="1:9" s="4239" customFormat="1" ht="18" customHeight="1" outlineLevel="1">
      <c r="A20" s="4247" t="s">
        <v>402</v>
      </c>
      <c r="B20" s="4246"/>
      <c r="C20" s="4248" t="s">
        <v>401</v>
      </c>
      <c r="D20" s="4244">
        <f>[39]LET!$E$14</f>
        <v>14297.43</v>
      </c>
      <c r="E20" s="4255">
        <f>[40]LET!$E$14</f>
        <v>0</v>
      </c>
      <c r="F20" s="4243">
        <f>G20-E20</f>
        <v>15000</v>
      </c>
      <c r="G20" s="4255">
        <f>[40]LET!$C$14</f>
        <v>15000</v>
      </c>
      <c r="H20" s="4241">
        <f>[41]LET!$H$14</f>
        <v>15000</v>
      </c>
    </row>
    <row r="21" spans="1:9" s="4239" customFormat="1" ht="18" customHeight="1" outlineLevel="1">
      <c r="A21" s="4250" t="s">
        <v>674</v>
      </c>
      <c r="B21" s="4249"/>
      <c r="C21" s="4248" t="s">
        <v>396</v>
      </c>
      <c r="D21" s="4244">
        <f>[39]LET!$E$15</f>
        <v>62977.279999999999</v>
      </c>
      <c r="E21" s="4255">
        <f>[40]LET!$E$15</f>
        <v>23172</v>
      </c>
      <c r="F21" s="4243">
        <f>G21-E21</f>
        <v>276828</v>
      </c>
      <c r="G21" s="4255">
        <f>[40]LET!$C$15</f>
        <v>300000</v>
      </c>
      <c r="H21" s="4241">
        <f>[41]LET!$H$15</f>
        <v>150000</v>
      </c>
      <c r="I21" s="4327" t="s">
        <v>3223</v>
      </c>
    </row>
    <row r="22" spans="1:9" s="4239" customFormat="1" ht="18" customHeight="1" outlineLevel="1">
      <c r="A22" s="4250" t="s">
        <v>389</v>
      </c>
      <c r="B22" s="4249"/>
      <c r="C22" s="4248" t="s">
        <v>388</v>
      </c>
      <c r="D22" s="4244">
        <f>[39]LET!$E$16</f>
        <v>384000</v>
      </c>
      <c r="E22" s="4242">
        <f>[40]LET!$E$16</f>
        <v>207300</v>
      </c>
      <c r="F22" s="4243">
        <f>G22-E22</f>
        <v>293400</v>
      </c>
      <c r="G22" s="4242">
        <f>[40]LET!$C$16</f>
        <v>500700</v>
      </c>
      <c r="H22" s="4241">
        <v>938700</v>
      </c>
      <c r="I22" s="4326">
        <v>156000</v>
      </c>
    </row>
    <row r="23" spans="1:9" s="4239" customFormat="1" ht="18" customHeight="1" outlineLevel="1">
      <c r="A23" s="4250" t="s">
        <v>3252</v>
      </c>
      <c r="B23" s="4249"/>
      <c r="C23" s="4248"/>
      <c r="D23" s="4244"/>
      <c r="E23" s="4242"/>
      <c r="F23" s="4243"/>
      <c r="G23" s="4242"/>
      <c r="H23" s="4241"/>
    </row>
    <row r="24" spans="1:9" s="4239" customFormat="1" ht="18" customHeight="1" outlineLevel="1">
      <c r="A24" s="4250"/>
      <c r="B24" s="4249" t="s">
        <v>2370</v>
      </c>
      <c r="C24" s="4248" t="s">
        <v>2327</v>
      </c>
      <c r="D24" s="4244">
        <f>[39]LET!$E$17</f>
        <v>14538.5</v>
      </c>
      <c r="E24" s="4242">
        <v>0</v>
      </c>
      <c r="F24" s="4243">
        <f>G24-E24</f>
        <v>0</v>
      </c>
      <c r="G24" s="4242">
        <v>0</v>
      </c>
      <c r="H24" s="4241">
        <f>[41]LET!$H$17</f>
        <v>150000</v>
      </c>
    </row>
    <row r="25" spans="1:9" s="4239" customFormat="1" ht="18" customHeight="1" outlineLevel="1">
      <c r="A25" s="4247" t="s">
        <v>693</v>
      </c>
      <c r="B25" s="4246"/>
      <c r="C25" s="4245" t="s">
        <v>367</v>
      </c>
      <c r="D25" s="4244">
        <f>[39]LET!$E$18</f>
        <v>0</v>
      </c>
      <c r="E25" s="4242">
        <f>[40]LET!$E$17</f>
        <v>7170</v>
      </c>
      <c r="F25" s="4243">
        <f>G25-E25</f>
        <v>67130</v>
      </c>
      <c r="G25" s="4242">
        <f>[40]LET!$C$17</f>
        <v>74300</v>
      </c>
      <c r="H25" s="4241">
        <f>[41]LET!$H$18</f>
        <v>74300</v>
      </c>
    </row>
    <row r="26" spans="1:9" ht="20.100000000000001" customHeight="1" outlineLevel="2" thickBot="1">
      <c r="A26" s="4238" t="s">
        <v>366</v>
      </c>
      <c r="B26" s="4236"/>
      <c r="C26" s="4237"/>
      <c r="D26" s="4236">
        <f>SUM(D18:D25)</f>
        <v>475813.20999999996</v>
      </c>
      <c r="E26" s="4236">
        <f>SUM(E18:E25)</f>
        <v>237642</v>
      </c>
      <c r="F26" s="4236">
        <f>SUM(F18:F25)</f>
        <v>662358</v>
      </c>
      <c r="G26" s="4236">
        <f>SUM(G18:G25)</f>
        <v>900000</v>
      </c>
      <c r="H26" s="4235">
        <f>SUM(H18:H25)</f>
        <v>1338000</v>
      </c>
    </row>
    <row r="27" spans="1:9" ht="20.100000000000001" customHeight="1" outlineLevel="2" thickTop="1">
      <c r="A27" s="4233"/>
      <c r="B27" s="4233"/>
      <c r="C27" s="4234"/>
      <c r="D27" s="4233"/>
      <c r="E27" s="4233"/>
      <c r="F27" s="4233"/>
      <c r="G27" s="4233"/>
      <c r="H27" s="4233"/>
    </row>
    <row r="28" spans="1:9" s="4220" customFormat="1" ht="14.25" customHeight="1">
      <c r="A28" s="4225" t="s">
        <v>3163</v>
      </c>
      <c r="B28" s="4222"/>
      <c r="C28" s="4222"/>
      <c r="D28" s="4222" t="s">
        <v>363</v>
      </c>
      <c r="E28" s="4222"/>
      <c r="F28" s="4225"/>
      <c r="G28" s="4225" t="s">
        <v>2311</v>
      </c>
      <c r="H28" s="4222"/>
    </row>
    <row r="29" spans="1:9" s="4220" customFormat="1" ht="14.25" customHeight="1">
      <c r="A29" s="4225"/>
      <c r="B29" s="4222"/>
      <c r="C29" s="4222"/>
      <c r="D29" s="4222"/>
      <c r="E29" s="4222"/>
      <c r="F29" s="4225"/>
      <c r="G29" s="4225"/>
      <c r="H29" s="4222"/>
    </row>
    <row r="30" spans="1:9" s="4220" customFormat="1" ht="14.25" customHeight="1">
      <c r="A30" s="4225"/>
      <c r="B30" s="4222"/>
      <c r="C30" s="4222"/>
      <c r="D30" s="4222"/>
      <c r="E30" s="4222"/>
      <c r="F30" s="4225"/>
      <c r="G30" s="4225"/>
      <c r="H30" s="4222"/>
    </row>
    <row r="31" spans="1:9" s="4220" customFormat="1" ht="14.25" customHeight="1">
      <c r="A31" s="4229" t="s">
        <v>3261</v>
      </c>
      <c r="B31" s="4226"/>
      <c r="C31" s="4229"/>
      <c r="D31" s="4228" t="s">
        <v>3162</v>
      </c>
      <c r="E31" s="4222"/>
      <c r="F31" s="4227"/>
      <c r="G31" s="4227" t="s">
        <v>359</v>
      </c>
      <c r="H31" s="4222"/>
    </row>
    <row r="32" spans="1:9" s="4220" customFormat="1" ht="14.25" customHeight="1">
      <c r="A32" s="4222" t="s">
        <v>3260</v>
      </c>
      <c r="B32" s="4226"/>
      <c r="C32" s="4225"/>
      <c r="D32" s="4224" t="s">
        <v>3160</v>
      </c>
      <c r="E32" s="4222"/>
      <c r="F32" s="4223"/>
      <c r="G32" s="4223" t="s">
        <v>3159</v>
      </c>
      <c r="H32" s="4222"/>
    </row>
    <row r="33" spans="1:8" s="4214" customFormat="1">
      <c r="A33" s="4218" t="s">
        <v>3259</v>
      </c>
      <c r="B33" s="4219"/>
      <c r="C33" s="4218"/>
      <c r="D33" s="4217"/>
      <c r="E33" s="4217"/>
      <c r="F33" s="4217"/>
      <c r="G33" s="4217"/>
      <c r="H33" s="4217"/>
    </row>
    <row r="34" spans="1:8" s="4214" customFormat="1">
      <c r="A34" s="4218"/>
      <c r="B34" s="4219"/>
      <c r="C34" s="4218"/>
      <c r="D34" s="4217"/>
      <c r="E34" s="4217"/>
      <c r="F34" s="4217"/>
      <c r="G34" s="4217"/>
      <c r="H34" s="4217"/>
    </row>
    <row r="35" spans="1:8" s="4214" customFormat="1">
      <c r="A35" s="4218"/>
      <c r="B35" s="4219"/>
      <c r="C35" s="4218"/>
      <c r="D35" s="4217"/>
      <c r="E35" s="4217"/>
      <c r="F35" s="4217"/>
      <c r="G35" s="4217"/>
      <c r="H35" s="4217"/>
    </row>
    <row r="36" spans="1:8" s="4214" customFormat="1">
      <c r="A36" s="4218"/>
      <c r="B36" s="4219"/>
      <c r="C36" s="4218"/>
      <c r="D36" s="4217"/>
      <c r="E36" s="4217"/>
      <c r="F36" s="4217"/>
      <c r="G36" s="4217"/>
      <c r="H36" s="4217"/>
    </row>
    <row r="37" spans="1:8" s="4214" customFormat="1">
      <c r="A37" s="4218"/>
      <c r="B37" s="4219"/>
      <c r="C37" s="4218"/>
      <c r="D37" s="4217"/>
      <c r="E37" s="4217"/>
      <c r="F37" s="4217"/>
      <c r="G37" s="4217"/>
      <c r="H37" s="4217"/>
    </row>
    <row r="38" spans="1:8" s="4214" customFormat="1">
      <c r="A38" s="4218"/>
      <c r="B38" s="4219"/>
      <c r="C38" s="4218"/>
      <c r="D38" s="4217"/>
      <c r="E38" s="4217"/>
      <c r="F38" s="4217"/>
      <c r="G38" s="4217"/>
      <c r="H38" s="4217"/>
    </row>
    <row r="39" spans="1:8" s="4214" customFormat="1">
      <c r="A39" s="4218"/>
      <c r="B39" s="4219"/>
      <c r="C39" s="4218"/>
      <c r="D39" s="4217"/>
      <c r="E39" s="4217"/>
      <c r="F39" s="4217"/>
      <c r="G39" s="4217"/>
      <c r="H39" s="4217"/>
    </row>
    <row r="40" spans="1:8" s="4214" customFormat="1">
      <c r="A40" s="4218"/>
      <c r="B40" s="4219"/>
      <c r="C40" s="4218"/>
      <c r="D40" s="4217"/>
      <c r="E40" s="4217"/>
      <c r="F40" s="4217"/>
      <c r="G40" s="4217"/>
      <c r="H40" s="4217"/>
    </row>
    <row r="41" spans="1:8" s="4214" customFormat="1">
      <c r="A41" s="4218"/>
      <c r="B41" s="4219"/>
      <c r="C41" s="4218"/>
      <c r="D41" s="4217"/>
      <c r="E41" s="4217"/>
      <c r="F41" s="4217"/>
      <c r="G41" s="4217"/>
      <c r="H41" s="4217"/>
    </row>
    <row r="42" spans="1:8" s="4214" customFormat="1">
      <c r="A42" s="4218"/>
      <c r="B42" s="4219"/>
      <c r="C42" s="4218"/>
      <c r="D42" s="4217"/>
      <c r="E42" s="4217"/>
      <c r="F42" s="4217"/>
      <c r="G42" s="4217"/>
      <c r="H42" s="4217"/>
    </row>
    <row r="43" spans="1:8" s="4214" customFormat="1">
      <c r="A43" s="4218"/>
      <c r="B43" s="4219"/>
      <c r="C43" s="4218"/>
      <c r="D43" s="4217"/>
      <c r="E43" s="4217"/>
      <c r="F43" s="4217"/>
      <c r="G43" s="4217"/>
      <c r="H43" s="4217"/>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J52"/>
  <sheetViews>
    <sheetView showGridLines="0" showOutlineSymbols="0" topLeftCell="A10" zoomScale="120" zoomScaleNormal="120" workbookViewId="0">
      <selection activeCell="D18" sqref="D18"/>
    </sheetView>
  </sheetViews>
  <sheetFormatPr defaultColWidth="12.5703125" defaultRowHeight="12.75" outlineLevelRow="2" outlineLevelCol="2"/>
  <cols>
    <col min="1" max="1" width="1.85546875" style="4213" customWidth="1"/>
    <col min="2" max="2" width="34" style="4213" customWidth="1"/>
    <col min="3" max="4" width="10.5703125" style="4213" customWidth="1"/>
    <col min="5" max="5" width="10.7109375" style="4213" customWidth="1"/>
    <col min="6" max="6" width="11.28515625" style="4213" customWidth="1"/>
    <col min="7" max="7" width="11" style="4213" customWidth="1"/>
    <col min="8" max="8" width="10.42578125" style="4213" customWidth="1"/>
    <col min="9" max="39" width="12.5703125" style="4211"/>
    <col min="40" max="44" width="12.5703125" style="4211" outlineLevel="1"/>
    <col min="45" max="50" width="12.5703125" style="4211" outlineLevel="2"/>
    <col min="51" max="53" width="12.5703125" style="4211" outlineLevel="1"/>
    <col min="54" max="73" width="12.5703125" style="4211"/>
    <col min="74" max="77" width="12.5703125" style="4211" outlineLevel="1"/>
    <col min="78" max="125" width="12.5703125" style="4211"/>
    <col min="126" max="131" width="12.5703125" style="4211" outlineLevel="1"/>
    <col min="132" max="137" width="12.5703125" style="4211" outlineLevel="2"/>
    <col min="138" max="140" width="12.5703125" style="4211" outlineLevel="1"/>
    <col min="141"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3210</v>
      </c>
      <c r="B9" s="4274"/>
    </row>
    <row r="10" spans="1:8" ht="14.25" customHeight="1">
      <c r="A10" s="4273" t="s">
        <v>3268</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8" s="4212" customFormat="1" ht="20.100000000000001" customHeight="1" outlineLevel="1">
      <c r="A17" s="4263" t="s">
        <v>407</v>
      </c>
      <c r="B17" s="4262"/>
      <c r="C17" s="4261"/>
      <c r="D17" s="4260">
        <f>SUM(D18:D32)</f>
        <v>3234639.0799999996</v>
      </c>
      <c r="E17" s="4260">
        <f>SUM(E18:E32)</f>
        <v>1816884.41</v>
      </c>
      <c r="F17" s="4260">
        <f>SUM(F18:F32)</f>
        <v>3683776.1100000003</v>
      </c>
      <c r="G17" s="4260">
        <f>SUM(G18:G32)</f>
        <v>5500660.5199999996</v>
      </c>
      <c r="H17" s="4260">
        <f>SUM(H18:H32)</f>
        <v>5491830</v>
      </c>
    </row>
    <row r="18" spans="1:8" s="4239" customFormat="1" ht="18" customHeight="1" outlineLevel="1">
      <c r="A18" s="4247" t="s">
        <v>402</v>
      </c>
      <c r="B18" s="4246"/>
      <c r="C18" s="4248" t="s">
        <v>401</v>
      </c>
      <c r="D18" s="4244">
        <f>[39]PPMO!$E$12</f>
        <v>25187.289999999997</v>
      </c>
      <c r="E18" s="4255">
        <f>[40]PPMO!$E$12</f>
        <v>20904.349999999999</v>
      </c>
      <c r="F18" s="4243">
        <f t="shared" ref="F18:F32" si="0">G18-E18</f>
        <v>25095.65</v>
      </c>
      <c r="G18" s="4255">
        <f>[40]PPMO!$C$12</f>
        <v>46000</v>
      </c>
      <c r="H18" s="4241">
        <v>46000</v>
      </c>
    </row>
    <row r="19" spans="1:8" s="4239" customFormat="1" ht="18" customHeight="1" outlineLevel="1">
      <c r="A19" s="4250" t="s">
        <v>674</v>
      </c>
      <c r="B19" s="4249"/>
      <c r="C19" s="4248" t="s">
        <v>396</v>
      </c>
      <c r="D19" s="4244">
        <f>[39]PPMO!$E$13</f>
        <v>25600.25</v>
      </c>
      <c r="E19" s="4255">
        <f>[40]PPMO!$E$13</f>
        <v>6860</v>
      </c>
      <c r="F19" s="4243">
        <f t="shared" si="0"/>
        <v>43140</v>
      </c>
      <c r="G19" s="4255">
        <f>[40]PPMO!$C$13</f>
        <v>50000</v>
      </c>
      <c r="H19" s="4241">
        <v>50000</v>
      </c>
    </row>
    <row r="20" spans="1:8" s="4239" customFormat="1" ht="18" customHeight="1" outlineLevel="1">
      <c r="A20" s="4250" t="s">
        <v>1973</v>
      </c>
      <c r="B20" s="4249"/>
      <c r="C20" s="4248" t="s">
        <v>1277</v>
      </c>
      <c r="D20" s="4244">
        <f>[39]PPMO!$E$14</f>
        <v>406800</v>
      </c>
      <c r="E20" s="4255">
        <f>[40]PPMO!$E$14</f>
        <v>367250</v>
      </c>
      <c r="F20" s="4243">
        <f t="shared" si="0"/>
        <v>932750</v>
      </c>
      <c r="G20" s="4255">
        <f>[40]PPMO!$C$14</f>
        <v>1300000</v>
      </c>
      <c r="H20" s="4241">
        <v>1300000</v>
      </c>
    </row>
    <row r="21" spans="1:8" s="4239" customFormat="1" ht="18" customHeight="1" outlineLevel="1">
      <c r="A21" s="4252" t="s">
        <v>878</v>
      </c>
      <c r="B21" s="4249"/>
      <c r="C21" s="4248" t="s">
        <v>394</v>
      </c>
      <c r="D21" s="4244">
        <f>[39]PPMO!$E$15</f>
        <v>101865.03</v>
      </c>
      <c r="E21" s="4255">
        <f>[40]PPMO!$E$15</f>
        <v>90230</v>
      </c>
      <c r="F21" s="4243">
        <f t="shared" si="0"/>
        <v>159770</v>
      </c>
      <c r="G21" s="4255">
        <f>[40]PPMO!$C$15</f>
        <v>250000</v>
      </c>
      <c r="H21" s="4241">
        <v>300000</v>
      </c>
    </row>
    <row r="22" spans="1:8" s="4239" customFormat="1" ht="18" customHeight="1" outlineLevel="1">
      <c r="A22" s="4250" t="s">
        <v>673</v>
      </c>
      <c r="B22" s="4249"/>
      <c r="C22" s="4248" t="s">
        <v>1269</v>
      </c>
      <c r="D22" s="4244">
        <f>[39]PPMO!$E$16</f>
        <v>56353.05</v>
      </c>
      <c r="E22" s="4255">
        <f>[40]PPMO!$E$16</f>
        <v>17605.150000000001</v>
      </c>
      <c r="F22" s="4243">
        <f t="shared" si="0"/>
        <v>162394.85</v>
      </c>
      <c r="G22" s="4255">
        <f>[40]PPMO!$C$16</f>
        <v>180000</v>
      </c>
      <c r="H22" s="4241">
        <f>[41]PPMO!$H$16</f>
        <v>150000</v>
      </c>
    </row>
    <row r="23" spans="1:8" s="4239" customFormat="1" ht="18" customHeight="1" outlineLevel="1">
      <c r="A23" s="4252" t="s">
        <v>699</v>
      </c>
      <c r="B23" s="4249"/>
      <c r="C23" s="4248" t="s">
        <v>390</v>
      </c>
      <c r="D23" s="4244">
        <f>[39]PPMO!$E$17</f>
        <v>7265.7199999999993</v>
      </c>
      <c r="E23" s="4255">
        <f>[40]PPMO!$E$17</f>
        <v>4066.1600000000003</v>
      </c>
      <c r="F23" s="4243">
        <f t="shared" si="0"/>
        <v>16594.36</v>
      </c>
      <c r="G23" s="4255">
        <f>[40]PPMO!$C$17</f>
        <v>20660.52</v>
      </c>
      <c r="H23" s="4241">
        <f>[41]PPMO!$H$17</f>
        <v>15000</v>
      </c>
    </row>
    <row r="24" spans="1:8" s="4239" customFormat="1" ht="18" customHeight="1" outlineLevel="1">
      <c r="A24" s="4250" t="s">
        <v>1264</v>
      </c>
      <c r="B24" s="4249"/>
      <c r="C24" s="4248" t="s">
        <v>1263</v>
      </c>
      <c r="D24" s="4244">
        <f>[39]PPMO!$E$18</f>
        <v>0</v>
      </c>
      <c r="E24" s="4255">
        <f>[40]PPMO!$E$18</f>
        <v>0</v>
      </c>
      <c r="F24" s="4243">
        <f t="shared" si="0"/>
        <v>2000</v>
      </c>
      <c r="G24" s="4255">
        <f>[40]PPMO!$C$18</f>
        <v>2000</v>
      </c>
      <c r="H24" s="4241">
        <f>[41]PPMO!$H$18</f>
        <v>25000</v>
      </c>
    </row>
    <row r="25" spans="1:8" s="4239" customFormat="1" ht="18" customHeight="1" outlineLevel="1">
      <c r="A25" s="4250" t="s">
        <v>3201</v>
      </c>
      <c r="B25" s="4249"/>
      <c r="C25" s="4248" t="s">
        <v>1962</v>
      </c>
      <c r="D25" s="4244">
        <f>[39]PPMO!$E$19</f>
        <v>0</v>
      </c>
      <c r="E25" s="4255">
        <f>[40]PPMO!$E$19</f>
        <v>0</v>
      </c>
      <c r="F25" s="4243">
        <f t="shared" si="0"/>
        <v>6000</v>
      </c>
      <c r="G25" s="4255">
        <f>[40]PPMO!$C$19</f>
        <v>6000</v>
      </c>
      <c r="H25" s="4241">
        <v>6000</v>
      </c>
    </row>
    <row r="26" spans="1:8" s="4239" customFormat="1" ht="18" customHeight="1" outlineLevel="1">
      <c r="A26" s="4252" t="s">
        <v>3267</v>
      </c>
      <c r="B26" s="4249"/>
      <c r="C26" s="4248" t="s">
        <v>1956</v>
      </c>
      <c r="D26" s="4244">
        <f>[39]PPMO!$E$20</f>
        <v>0</v>
      </c>
      <c r="E26" s="4255">
        <f>[40]PPMO!$E$20</f>
        <v>0</v>
      </c>
      <c r="F26" s="4243">
        <f t="shared" si="0"/>
        <v>1000</v>
      </c>
      <c r="G26" s="4255">
        <f>[40]PPMO!$C$20</f>
        <v>1000</v>
      </c>
      <c r="H26" s="4241">
        <v>1000</v>
      </c>
    </row>
    <row r="27" spans="1:8" s="4239" customFormat="1" ht="18" customHeight="1" outlineLevel="1">
      <c r="A27" s="4250" t="s">
        <v>389</v>
      </c>
      <c r="B27" s="4249"/>
      <c r="C27" s="4248" t="s">
        <v>388</v>
      </c>
      <c r="D27" s="4244">
        <f>[39]PPMO!$E$21</f>
        <v>2550332.2399999998</v>
      </c>
      <c r="E27" s="4255">
        <f>[40]PPMO!$E$21</f>
        <v>1267203.75</v>
      </c>
      <c r="F27" s="4243">
        <f t="shared" si="0"/>
        <v>1601576.25</v>
      </c>
      <c r="G27" s="4255">
        <f>[40]PPMO!$C$21</f>
        <v>2868780</v>
      </c>
      <c r="H27" s="4241">
        <v>3295830</v>
      </c>
    </row>
    <row r="28" spans="1:8" s="4239" customFormat="1" ht="18" customHeight="1" outlineLevel="1">
      <c r="A28" s="4250" t="s">
        <v>3266</v>
      </c>
      <c r="B28" s="4249"/>
      <c r="C28" s="4248" t="s">
        <v>1934</v>
      </c>
      <c r="D28" s="4244">
        <f>[39]PPMO!$E$22</f>
        <v>0</v>
      </c>
      <c r="E28" s="4242">
        <f>[40]PPMO!$E$22</f>
        <v>0</v>
      </c>
      <c r="F28" s="4243">
        <f t="shared" si="0"/>
        <v>60000</v>
      </c>
      <c r="G28" s="4242">
        <f>[40]PPMO!$C$22</f>
        <v>60000</v>
      </c>
      <c r="H28" s="4241">
        <f>[41]PPMO!$H$22</f>
        <v>50000</v>
      </c>
    </row>
    <row r="29" spans="1:8" s="4239" customFormat="1" ht="18" customHeight="1" outlineLevel="1">
      <c r="A29" s="4250" t="s">
        <v>3180</v>
      </c>
      <c r="B29" s="4249"/>
      <c r="C29" s="4248" t="s">
        <v>1924</v>
      </c>
      <c r="D29" s="4244">
        <f>[39]PPMO!$E$23</f>
        <v>0</v>
      </c>
      <c r="E29" s="4242">
        <f>[40]PPMO!$E$23</f>
        <v>0</v>
      </c>
      <c r="F29" s="4243">
        <f t="shared" si="0"/>
        <v>50000</v>
      </c>
      <c r="G29" s="4242">
        <f>[40]PPMO!$C$23</f>
        <v>50000</v>
      </c>
      <c r="H29" s="4241">
        <v>50000</v>
      </c>
    </row>
    <row r="30" spans="1:8" s="4239" customFormat="1" ht="18" customHeight="1" outlineLevel="1">
      <c r="A30" s="4250" t="s">
        <v>370</v>
      </c>
      <c r="B30" s="4249"/>
      <c r="C30" s="4248" t="s">
        <v>369</v>
      </c>
      <c r="D30" s="4244">
        <f>[39]PPMO!$E$24</f>
        <v>0</v>
      </c>
      <c r="E30" s="4242">
        <f>[40]PPMO!$E$24</f>
        <v>0</v>
      </c>
      <c r="F30" s="4243">
        <f t="shared" si="0"/>
        <v>2000</v>
      </c>
      <c r="G30" s="4242">
        <f>[40]PPMO!$C$24</f>
        <v>2000</v>
      </c>
      <c r="H30" s="4241">
        <v>2000</v>
      </c>
    </row>
    <row r="31" spans="1:8" s="4239" customFormat="1" ht="18" customHeight="1" outlineLevel="1">
      <c r="A31" s="4250" t="s">
        <v>1891</v>
      </c>
      <c r="B31" s="4249"/>
      <c r="C31" s="4248" t="s">
        <v>1398</v>
      </c>
      <c r="D31" s="4244">
        <f>[39]PPMO!$E$25</f>
        <v>0</v>
      </c>
      <c r="E31" s="4242">
        <f>[40]PPMO!$E$25</f>
        <v>0</v>
      </c>
      <c r="F31" s="4243">
        <f t="shared" si="0"/>
        <v>1000</v>
      </c>
      <c r="G31" s="4242">
        <f>[40]PPMO!$C$25</f>
        <v>1000</v>
      </c>
      <c r="H31" s="4241">
        <v>1000</v>
      </c>
    </row>
    <row r="32" spans="1:8" s="4239" customFormat="1" ht="18" customHeight="1" outlineLevel="1">
      <c r="A32" s="4247" t="s">
        <v>368</v>
      </c>
      <c r="B32" s="4246"/>
      <c r="C32" s="4245" t="s">
        <v>367</v>
      </c>
      <c r="D32" s="4244">
        <f>[39]PPMO!$E$26</f>
        <v>61235.5</v>
      </c>
      <c r="E32" s="4242">
        <f>[40]PPMO!$E$26</f>
        <v>42765</v>
      </c>
      <c r="F32" s="4243">
        <f t="shared" si="0"/>
        <v>620455</v>
      </c>
      <c r="G32" s="4242">
        <f>[40]PPMO!$C$26</f>
        <v>663220</v>
      </c>
      <c r="H32" s="4241">
        <v>200000</v>
      </c>
    </row>
    <row r="33" spans="1:8" s="4212" customFormat="1" ht="20.100000000000001" customHeight="1" outlineLevel="1">
      <c r="A33" s="4263" t="s">
        <v>775</v>
      </c>
      <c r="B33" s="4262"/>
      <c r="C33" s="4261"/>
      <c r="D33" s="4260">
        <f>D34</f>
        <v>0</v>
      </c>
      <c r="E33" s="4260">
        <f>E34</f>
        <v>0</v>
      </c>
      <c r="F33" s="4260">
        <f>F34</f>
        <v>1500000</v>
      </c>
      <c r="G33" s="4260">
        <f>G34</f>
        <v>1500000</v>
      </c>
      <c r="H33" s="4260">
        <f>H34</f>
        <v>0</v>
      </c>
    </row>
    <row r="34" spans="1:8" s="4239" customFormat="1" ht="18" customHeight="1" outlineLevel="1">
      <c r="A34" s="4247" t="s">
        <v>1239</v>
      </c>
      <c r="B34" s="4246"/>
      <c r="C34" s="4245" t="s">
        <v>367</v>
      </c>
      <c r="D34" s="4244">
        <v>0</v>
      </c>
      <c r="E34" s="4242">
        <v>0</v>
      </c>
      <c r="F34" s="4243">
        <f>G34-E34</f>
        <v>1500000</v>
      </c>
      <c r="G34" s="4242">
        <f>[40]PPMO!$C$28</f>
        <v>1500000</v>
      </c>
      <c r="H34" s="4241">
        <v>0</v>
      </c>
    </row>
    <row r="35" spans="1:8" ht="20.100000000000001" customHeight="1" outlineLevel="2" thickBot="1">
      <c r="A35" s="4314" t="s">
        <v>366</v>
      </c>
      <c r="B35" s="4236"/>
      <c r="C35" s="4362"/>
      <c r="D35" s="4235">
        <f>D33+D17</f>
        <v>3234639.0799999996</v>
      </c>
      <c r="E35" s="4235">
        <f>E33+E17</f>
        <v>1816884.41</v>
      </c>
      <c r="F35" s="4235">
        <f>F33+F17</f>
        <v>5183776.1100000003</v>
      </c>
      <c r="G35" s="4235">
        <f>G33+G17</f>
        <v>7000660.5199999996</v>
      </c>
      <c r="H35" s="4235">
        <f>H33+H17</f>
        <v>5491830</v>
      </c>
    </row>
    <row r="36" spans="1:8" ht="20.100000000000001" customHeight="1" outlineLevel="2" thickTop="1">
      <c r="A36" s="4233"/>
      <c r="B36" s="4233"/>
      <c r="C36" s="4234"/>
      <c r="D36" s="4233"/>
      <c r="E36" s="4233"/>
      <c r="F36" s="4233"/>
      <c r="G36" s="4233"/>
      <c r="H36" s="4232"/>
    </row>
    <row r="37" spans="1:8" s="4220" customFormat="1" ht="14.25" customHeight="1">
      <c r="A37" s="4225" t="s">
        <v>3163</v>
      </c>
      <c r="B37" s="4222"/>
      <c r="C37" s="4222" t="s">
        <v>363</v>
      </c>
      <c r="D37" s="4222"/>
      <c r="E37" s="4225"/>
      <c r="F37" s="4225" t="s">
        <v>2311</v>
      </c>
      <c r="G37" s="4222"/>
      <c r="H37" s="4222"/>
    </row>
    <row r="38" spans="1:8" s="4220" customFormat="1" ht="14.25" customHeight="1">
      <c r="A38" s="4225"/>
      <c r="B38" s="4222"/>
      <c r="C38" s="4222"/>
      <c r="D38" s="4222"/>
      <c r="E38" s="4225"/>
      <c r="F38" s="4225"/>
      <c r="G38" s="4222"/>
      <c r="H38" s="4222"/>
    </row>
    <row r="39" spans="1:8" s="4220" customFormat="1" ht="14.25" customHeight="1">
      <c r="A39" s="4225"/>
      <c r="B39" s="4222"/>
      <c r="C39" s="4222"/>
      <c r="D39" s="4222"/>
      <c r="E39" s="4225"/>
      <c r="F39" s="4225"/>
      <c r="G39" s="4222"/>
      <c r="H39" s="4222"/>
    </row>
    <row r="40" spans="1:8" s="4220" customFormat="1" ht="14.25" customHeight="1">
      <c r="A40" s="4229" t="s">
        <v>3265</v>
      </c>
      <c r="B40" s="4226"/>
      <c r="C40" s="4228" t="s">
        <v>3162</v>
      </c>
      <c r="D40" s="4222"/>
      <c r="E40" s="4227"/>
      <c r="F40" s="4227" t="s">
        <v>359</v>
      </c>
      <c r="G40" s="4222"/>
      <c r="H40" s="4222"/>
    </row>
    <row r="41" spans="1:8" s="4220" customFormat="1" ht="14.25" customHeight="1">
      <c r="A41" s="4222" t="s">
        <v>3264</v>
      </c>
      <c r="B41" s="4226"/>
      <c r="C41" s="4224" t="s">
        <v>3160</v>
      </c>
      <c r="D41" s="4222"/>
      <c r="E41" s="4223"/>
      <c r="F41" s="4223" t="s">
        <v>3159</v>
      </c>
      <c r="G41" s="4222"/>
      <c r="H41" s="4222"/>
    </row>
    <row r="42" spans="1:8" s="4214" customFormat="1">
      <c r="A42" s="4218" t="s">
        <v>3263</v>
      </c>
      <c r="B42" s="4219"/>
      <c r="C42" s="4218"/>
      <c r="D42" s="4217"/>
      <c r="E42" s="4217"/>
      <c r="F42" s="4217"/>
      <c r="G42" s="4217"/>
      <c r="H42" s="4217"/>
    </row>
    <row r="43" spans="1:8" s="4214" customFormat="1">
      <c r="A43" s="4218"/>
      <c r="B43" s="4219"/>
      <c r="C43" s="4218"/>
      <c r="D43" s="4217"/>
      <c r="E43" s="4217"/>
      <c r="F43" s="4217"/>
      <c r="G43" s="4217"/>
      <c r="H43" s="4217"/>
    </row>
    <row r="44" spans="1:8" s="4214" customFormat="1">
      <c r="A44" s="4218"/>
      <c r="B44" s="4219"/>
      <c r="C44" s="4218"/>
      <c r="D44" s="4217"/>
      <c r="E44" s="4217"/>
      <c r="F44" s="4217"/>
      <c r="G44" s="4217"/>
      <c r="H44" s="4217"/>
    </row>
    <row r="45" spans="1:8" s="4214" customFormat="1">
      <c r="A45" s="4218"/>
      <c r="B45" s="4219"/>
      <c r="C45" s="4218"/>
      <c r="D45" s="4217"/>
      <c r="E45" s="4217"/>
      <c r="F45" s="4217"/>
      <c r="G45" s="4217"/>
      <c r="H45" s="4217"/>
    </row>
    <row r="46" spans="1:8" s="4214" customFormat="1">
      <c r="A46" s="4218"/>
      <c r="B46" s="4219"/>
      <c r="C46" s="4218"/>
      <c r="D46" s="4217"/>
      <c r="E46" s="4217"/>
      <c r="F46" s="4217"/>
      <c r="G46" s="4217"/>
      <c r="H46" s="4217"/>
    </row>
    <row r="47" spans="1:8" s="4214" customFormat="1">
      <c r="A47" s="4218"/>
      <c r="B47" s="4219"/>
      <c r="C47" s="4218"/>
      <c r="D47" s="4217"/>
      <c r="E47" s="4217"/>
      <c r="F47" s="4217"/>
      <c r="G47" s="4217"/>
      <c r="H47" s="4217"/>
    </row>
    <row r="48" spans="1:8" s="4214" customFormat="1">
      <c r="A48" s="4218"/>
      <c r="B48" s="4219"/>
      <c r="C48" s="4218"/>
      <c r="D48" s="4217"/>
      <c r="E48" s="4217"/>
      <c r="F48" s="4217"/>
      <c r="G48" s="4217"/>
      <c r="H48" s="4217"/>
    </row>
    <row r="49" spans="1:8" s="4214" customFormat="1">
      <c r="A49" s="4218"/>
      <c r="B49" s="4219"/>
      <c r="C49" s="4218"/>
      <c r="D49" s="4217"/>
      <c r="E49" s="4217"/>
      <c r="F49" s="4217"/>
      <c r="G49" s="4217"/>
      <c r="H49" s="4217"/>
    </row>
    <row r="50" spans="1:8" s="4214" customFormat="1">
      <c r="A50" s="4218"/>
      <c r="B50" s="4219"/>
      <c r="C50" s="4218"/>
      <c r="D50" s="4217"/>
      <c r="E50" s="4217"/>
      <c r="F50" s="4217"/>
      <c r="G50" s="4217"/>
      <c r="H50" s="4217"/>
    </row>
    <row r="51" spans="1:8" s="4214" customFormat="1">
      <c r="A51" s="4218"/>
      <c r="B51" s="4219"/>
      <c r="C51" s="4218"/>
      <c r="D51" s="4217"/>
      <c r="E51" s="4217"/>
      <c r="F51" s="4217"/>
      <c r="G51" s="4217"/>
      <c r="H51" s="4217"/>
    </row>
    <row r="52" spans="1:8" s="4214" customFormat="1">
      <c r="A52" s="4218"/>
      <c r="B52" s="4219"/>
      <c r="C52" s="4218"/>
      <c r="D52" s="4217"/>
      <c r="E52" s="4217"/>
      <c r="F52" s="4217"/>
      <c r="G52" s="4217"/>
      <c r="H52" s="4217"/>
    </row>
  </sheetData>
  <mergeCells count="4">
    <mergeCell ref="A5:H5"/>
    <mergeCell ref="A6:H6"/>
    <mergeCell ref="A12:B15"/>
    <mergeCell ref="E12:G12"/>
  </mergeCells>
  <pageMargins left="0.5" right="0" top="0" bottom="0" header="0.25" footer="0"/>
  <pageSetup paperSize="5" orientation="portrait"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outlinePr summaryBelow="0"/>
  </sheetPr>
  <dimension ref="A1:ES33"/>
  <sheetViews>
    <sheetView showGridLines="0" showOutlineSymbols="0" workbookViewId="0">
      <selection activeCell="I1" sqref="I1:I1048576"/>
    </sheetView>
  </sheetViews>
  <sheetFormatPr defaultColWidth="12.5703125" defaultRowHeight="15.75" outlineLevelRow="1" outlineLevelCol="2"/>
  <cols>
    <col min="1" max="1" width="1.85546875" style="235" customWidth="1"/>
    <col min="2" max="2" width="34.85546875" style="235" customWidth="1"/>
    <col min="3" max="3" width="10.7109375" style="235" customWidth="1"/>
    <col min="4" max="4" width="9.42578125" style="235" customWidth="1"/>
    <col min="5" max="8" width="10.7109375" style="235" customWidth="1"/>
    <col min="9" max="9" width="14.140625" style="235" hidden="1" customWidth="1"/>
    <col min="10"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9">
      <c r="A1" s="271" t="s">
        <v>473</v>
      </c>
      <c r="B1" s="134"/>
      <c r="C1" s="134"/>
      <c r="E1" s="271"/>
      <c r="H1" s="271"/>
    </row>
    <row r="2" spans="1:9" ht="14.25" customHeight="1">
      <c r="A2" s="270" t="s">
        <v>584</v>
      </c>
      <c r="B2" s="134"/>
      <c r="C2" s="134"/>
      <c r="E2" s="270"/>
      <c r="H2" s="270"/>
    </row>
    <row r="3" spans="1:9" ht="14.25" customHeight="1">
      <c r="A3" s="134"/>
      <c r="B3" s="134"/>
      <c r="C3" s="134"/>
      <c r="E3" s="270"/>
      <c r="F3" s="270"/>
      <c r="H3" s="270"/>
    </row>
    <row r="4" spans="1:9" ht="14.25" customHeight="1">
      <c r="A4" s="4630" t="s">
        <v>471</v>
      </c>
      <c r="B4" s="4630"/>
      <c r="C4" s="4630"/>
      <c r="D4" s="4630"/>
      <c r="E4" s="4630"/>
      <c r="F4" s="4630"/>
      <c r="G4" s="4630"/>
      <c r="H4" s="4630"/>
    </row>
    <row r="5" spans="1:9" ht="12" customHeight="1">
      <c r="A5" s="4623" t="s">
        <v>583</v>
      </c>
      <c r="B5" s="4631"/>
      <c r="C5" s="4631"/>
      <c r="D5" s="4631"/>
      <c r="E5" s="4631"/>
      <c r="F5" s="4631"/>
      <c r="G5" s="4631"/>
      <c r="H5" s="4631"/>
    </row>
    <row r="6" spans="1:9" ht="21" customHeight="1">
      <c r="A6" s="140"/>
      <c r="B6" s="140"/>
      <c r="C6" s="140"/>
      <c r="D6" s="140"/>
      <c r="E6" s="140"/>
      <c r="F6" s="140"/>
      <c r="G6" s="140"/>
      <c r="H6" s="140"/>
    </row>
    <row r="7" spans="1:9" ht="14.25" customHeight="1">
      <c r="A7" s="399" t="s">
        <v>959</v>
      </c>
      <c r="B7" s="397"/>
      <c r="D7" s="134"/>
      <c r="E7" s="134"/>
      <c r="F7" s="134"/>
      <c r="G7" s="134"/>
      <c r="H7" s="134"/>
    </row>
    <row r="8" spans="1:9" ht="14.25" customHeight="1">
      <c r="A8" s="398"/>
      <c r="B8" s="757" t="s">
        <v>958</v>
      </c>
      <c r="D8" s="134"/>
      <c r="E8" s="134"/>
      <c r="F8" s="134"/>
      <c r="G8" s="134"/>
      <c r="H8" s="134"/>
    </row>
    <row r="9" spans="1:9" ht="15.75" customHeight="1">
      <c r="A9" s="398"/>
      <c r="B9" s="397"/>
      <c r="D9" s="134"/>
      <c r="E9" s="134"/>
      <c r="F9" s="134"/>
      <c r="G9" s="134"/>
      <c r="H9" s="134"/>
    </row>
    <row r="10" spans="1:9" ht="14.25" customHeight="1">
      <c r="A10" s="4624" t="s">
        <v>468</v>
      </c>
      <c r="B10" s="4625"/>
      <c r="C10" s="265" t="s">
        <v>467</v>
      </c>
      <c r="D10" s="264" t="s">
        <v>466</v>
      </c>
      <c r="E10" s="4632" t="s">
        <v>465</v>
      </c>
      <c r="F10" s="4633"/>
      <c r="G10" s="4634"/>
      <c r="H10" s="265" t="s">
        <v>464</v>
      </c>
    </row>
    <row r="11" spans="1:9" ht="14.25" customHeight="1">
      <c r="A11" s="4626"/>
      <c r="B11" s="4627"/>
      <c r="C11" s="261" t="s">
        <v>463</v>
      </c>
      <c r="D11" s="262" t="s">
        <v>573</v>
      </c>
      <c r="E11" s="503" t="s">
        <v>462</v>
      </c>
      <c r="F11" s="503" t="s">
        <v>461</v>
      </c>
      <c r="G11" s="262" t="s">
        <v>244</v>
      </c>
      <c r="H11" s="262">
        <v>2022</v>
      </c>
    </row>
    <row r="12" spans="1:9" ht="14.25" customHeight="1">
      <c r="A12" s="4628"/>
      <c r="B12" s="4629"/>
      <c r="C12" s="260"/>
      <c r="D12" s="258" t="s">
        <v>460</v>
      </c>
      <c r="E12" s="258" t="s">
        <v>460</v>
      </c>
      <c r="F12" s="258" t="s">
        <v>459</v>
      </c>
      <c r="G12" s="259"/>
      <c r="H12" s="258" t="s">
        <v>458</v>
      </c>
    </row>
    <row r="13" spans="1:9" ht="20.100000000000001" customHeight="1">
      <c r="A13" s="537" t="s">
        <v>456</v>
      </c>
      <c r="B13" s="566"/>
      <c r="C13" s="396"/>
      <c r="D13" s="396"/>
      <c r="E13" s="396"/>
      <c r="F13" s="536"/>
      <c r="G13" s="536"/>
      <c r="H13" s="536"/>
    </row>
    <row r="14" spans="1:9" ht="20.100000000000001" customHeight="1">
      <c r="A14" s="189" t="s">
        <v>407</v>
      </c>
      <c r="B14" s="366"/>
      <c r="C14" s="526"/>
      <c r="D14" s="186">
        <f>SUM(D15:D26)</f>
        <v>186100</v>
      </c>
      <c r="E14" s="186">
        <f>SUM(E15:E26)</f>
        <v>43950</v>
      </c>
      <c r="F14" s="186">
        <f>SUM(F15:F26)</f>
        <v>116050</v>
      </c>
      <c r="G14" s="186">
        <f>SUM(G15:G26)</f>
        <v>160000</v>
      </c>
      <c r="H14" s="479">
        <f>SUM(H15:H26)</f>
        <v>160000</v>
      </c>
    </row>
    <row r="15" spans="1:9" ht="17.100000000000001" customHeight="1" outlineLevel="1">
      <c r="A15" s="180" t="s">
        <v>397</v>
      </c>
      <c r="B15" s="179"/>
      <c r="C15" s="978" t="s">
        <v>396</v>
      </c>
      <c r="D15" s="951">
        <v>18250</v>
      </c>
      <c r="E15" s="378">
        <v>0</v>
      </c>
      <c r="F15" s="977">
        <f>SUM(G15-E15)</f>
        <v>0</v>
      </c>
      <c r="G15" s="157">
        <v>0</v>
      </c>
      <c r="H15" s="157">
        <v>0</v>
      </c>
    </row>
    <row r="16" spans="1:9" ht="17.100000000000001" customHeight="1" outlineLevel="1">
      <c r="A16" s="469" t="s">
        <v>389</v>
      </c>
      <c r="B16" s="468"/>
      <c r="C16" s="976" t="s">
        <v>388</v>
      </c>
      <c r="D16" s="951">
        <v>167850</v>
      </c>
      <c r="E16" s="378">
        <v>43950</v>
      </c>
      <c r="F16" s="238">
        <f>SUM(G16-E16)</f>
        <v>114450</v>
      </c>
      <c r="G16" s="157">
        <v>158400</v>
      </c>
      <c r="H16" s="157">
        <v>158400</v>
      </c>
      <c r="I16" s="723" t="s">
        <v>957</v>
      </c>
    </row>
    <row r="17" spans="1:11" ht="17.100000000000001" customHeight="1" outlineLevel="1">
      <c r="A17" s="176" t="s">
        <v>368</v>
      </c>
      <c r="B17" s="175"/>
      <c r="C17" s="975" t="s">
        <v>367</v>
      </c>
      <c r="D17" s="951">
        <v>0</v>
      </c>
      <c r="E17" s="378">
        <v>0</v>
      </c>
      <c r="F17" s="238">
        <f>SUM(G17-E17)</f>
        <v>1600</v>
      </c>
      <c r="G17" s="157">
        <v>1600</v>
      </c>
      <c r="H17" s="157">
        <v>1600</v>
      </c>
    </row>
    <row r="18" spans="1:11" ht="17.100000000000001" customHeight="1" outlineLevel="1">
      <c r="A18" s="176"/>
      <c r="B18" s="175"/>
      <c r="C18" s="975"/>
      <c r="D18" s="951"/>
      <c r="E18" s="378"/>
      <c r="F18" s="238"/>
      <c r="G18" s="157"/>
      <c r="H18" s="157"/>
    </row>
    <row r="19" spans="1:11" ht="17.100000000000001" customHeight="1" outlineLevel="1">
      <c r="A19" s="176"/>
      <c r="B19" s="175"/>
      <c r="C19" s="975"/>
      <c r="D19" s="951"/>
      <c r="E19" s="378"/>
      <c r="F19" s="191"/>
      <c r="G19" s="389"/>
      <c r="H19" s="157"/>
    </row>
    <row r="20" spans="1:11" ht="17.100000000000001" customHeight="1" outlineLevel="1">
      <c r="A20" s="178"/>
      <c r="B20" s="177"/>
      <c r="C20" s="530"/>
      <c r="D20" s="951"/>
      <c r="E20" s="378"/>
      <c r="F20" s="191"/>
      <c r="G20" s="389"/>
      <c r="H20" s="157"/>
    </row>
    <row r="21" spans="1:11" ht="17.100000000000001" customHeight="1" outlineLevel="1">
      <c r="A21" s="163"/>
      <c r="B21" s="162"/>
      <c r="C21" s="587"/>
      <c r="D21" s="951"/>
      <c r="E21" s="378"/>
      <c r="F21" s="191"/>
      <c r="G21" s="974"/>
      <c r="H21" s="157"/>
    </row>
    <row r="22" spans="1:11" ht="17.100000000000001" customHeight="1" outlineLevel="1">
      <c r="A22" s="163"/>
      <c r="B22" s="162"/>
      <c r="C22" s="530"/>
      <c r="D22" s="951"/>
      <c r="E22" s="378"/>
      <c r="F22" s="191"/>
      <c r="G22" s="389"/>
      <c r="H22" s="157"/>
    </row>
    <row r="23" spans="1:11" ht="17.100000000000001" customHeight="1" outlineLevel="1">
      <c r="A23" s="176"/>
      <c r="B23" s="175"/>
      <c r="C23" s="587"/>
      <c r="D23" s="951"/>
      <c r="E23" s="378"/>
      <c r="F23" s="191"/>
      <c r="G23" s="389"/>
      <c r="H23" s="157"/>
    </row>
    <row r="24" spans="1:11" s="344" customFormat="1" ht="17.100000000000001" customHeight="1" outlineLevel="1">
      <c r="A24" s="512"/>
      <c r="B24" s="973"/>
      <c r="C24" s="972"/>
      <c r="D24" s="951"/>
      <c r="E24" s="378"/>
      <c r="F24" s="191"/>
      <c r="G24" s="389"/>
      <c r="H24" s="157"/>
    </row>
    <row r="25" spans="1:11" s="344" customFormat="1" ht="17.100000000000001" customHeight="1" outlineLevel="1">
      <c r="A25" s="512"/>
      <c r="B25" s="511"/>
      <c r="C25" s="971"/>
      <c r="D25" s="951"/>
      <c r="E25" s="378"/>
      <c r="F25" s="191"/>
      <c r="G25" s="389"/>
      <c r="H25" s="157"/>
    </row>
    <row r="26" spans="1:11" s="344" customFormat="1" ht="17.100000000000001" customHeight="1" outlineLevel="1">
      <c r="A26" s="508"/>
      <c r="B26" s="507"/>
      <c r="C26" s="970"/>
      <c r="D26" s="969"/>
      <c r="E26" s="968"/>
      <c r="F26" s="967"/>
      <c r="G26" s="966"/>
      <c r="H26" s="149"/>
    </row>
    <row r="27" spans="1:11" s="344" customFormat="1" ht="17.100000000000001" customHeight="1" outlineLevel="1" thickBot="1">
      <c r="A27" s="732" t="s">
        <v>366</v>
      </c>
      <c r="B27" s="731"/>
      <c r="C27" s="146"/>
      <c r="D27" s="456">
        <f>SUM(D14)</f>
        <v>186100</v>
      </c>
      <c r="E27" s="456">
        <f>SUM(E14)</f>
        <v>43950</v>
      </c>
      <c r="F27" s="456">
        <f>SUM(F14)</f>
        <v>116050</v>
      </c>
      <c r="G27" s="456">
        <f>SUM(G14)</f>
        <v>160000</v>
      </c>
      <c r="H27" s="455">
        <f>SUM(H14)</f>
        <v>160000</v>
      </c>
      <c r="I27" s="965" t="s">
        <v>956</v>
      </c>
    </row>
    <row r="28" spans="1:11" s="134" customFormat="1" ht="19.149999999999999" customHeight="1" thickTop="1">
      <c r="A28" s="134" t="s">
        <v>948</v>
      </c>
      <c r="B28" s="453"/>
      <c r="C28" s="940" t="s">
        <v>947</v>
      </c>
      <c r="D28" s="940"/>
      <c r="E28" s="940"/>
      <c r="F28" s="939" t="s">
        <v>946</v>
      </c>
      <c r="G28" s="939"/>
      <c r="H28" s="938"/>
      <c r="I28" s="937"/>
    </row>
    <row r="29" spans="1:11" s="134" customFormat="1" ht="18" customHeight="1">
      <c r="C29" s="964"/>
      <c r="D29" s="344"/>
      <c r="E29" s="148"/>
      <c r="F29" s="148"/>
      <c r="G29" s="148"/>
      <c r="H29" s="344"/>
      <c r="I29" s="148"/>
    </row>
    <row r="30" spans="1:11" s="134" customFormat="1" ht="22.5" customHeight="1">
      <c r="A30" s="4651" t="s">
        <v>945</v>
      </c>
      <c r="B30" s="4651"/>
      <c r="C30" s="4635" t="s">
        <v>360</v>
      </c>
      <c r="D30" s="4635"/>
      <c r="E30" s="4635"/>
      <c r="F30" s="4630" t="s">
        <v>359</v>
      </c>
      <c r="G30" s="4630"/>
      <c r="H30" s="4630"/>
      <c r="I30" s="963"/>
      <c r="J30" s="936"/>
      <c r="K30" s="936"/>
    </row>
    <row r="31" spans="1:11" s="135" customFormat="1" ht="13.5">
      <c r="A31" s="4704" t="s">
        <v>944</v>
      </c>
      <c r="B31" s="4704"/>
      <c r="C31" s="4655" t="s">
        <v>357</v>
      </c>
      <c r="D31" s="4655"/>
      <c r="E31" s="4655"/>
      <c r="F31" s="4623" t="s">
        <v>356</v>
      </c>
      <c r="G31" s="4623"/>
      <c r="H31" s="4623"/>
      <c r="I31" s="962"/>
      <c r="J31" s="935"/>
      <c r="K31" s="935"/>
    </row>
    <row r="32" spans="1:11" s="135" customFormat="1" ht="13.5">
      <c r="A32" s="4704"/>
      <c r="B32" s="4704"/>
      <c r="C32" s="4655"/>
      <c r="D32" s="4655"/>
      <c r="E32" s="4655"/>
      <c r="G32" s="137"/>
      <c r="H32" s="137"/>
      <c r="I32" s="961"/>
      <c r="J32" s="137"/>
      <c r="K32" s="137"/>
    </row>
    <row r="33" spans="3:9">
      <c r="C33" s="135"/>
      <c r="D33" s="137"/>
      <c r="E33" s="137"/>
      <c r="F33" s="137"/>
      <c r="G33" s="137"/>
      <c r="H33" s="137"/>
      <c r="I33" s="344"/>
    </row>
  </sheetData>
  <mergeCells count="12">
    <mergeCell ref="C32:E32"/>
    <mergeCell ref="A31:B31"/>
    <mergeCell ref="C31:E31"/>
    <mergeCell ref="F31:H31"/>
    <mergeCell ref="A10:B12"/>
    <mergeCell ref="A32:B32"/>
    <mergeCell ref="A4:H4"/>
    <mergeCell ref="A5:H5"/>
    <mergeCell ref="E10:G10"/>
    <mergeCell ref="A30:B30"/>
    <mergeCell ref="C30:E30"/>
    <mergeCell ref="F30:H30"/>
  </mergeCells>
  <pageMargins left="0.5" right="0" top="0.25" bottom="0" header="0.5" footer="0"/>
  <pageSetup paperSize="5" orientation="portrait" verticalDpi="3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J41"/>
  <sheetViews>
    <sheetView showGridLines="0" showOutlineSymbols="0" workbookViewId="0">
      <selection activeCell="H35" sqref="H35"/>
    </sheetView>
  </sheetViews>
  <sheetFormatPr defaultColWidth="12.5703125" defaultRowHeight="12.75" outlineLevelRow="2" outlineLevelCol="2"/>
  <cols>
    <col min="1" max="1" width="1.85546875" style="4213" customWidth="1"/>
    <col min="2" max="2" width="34" style="4213" customWidth="1"/>
    <col min="3" max="3" width="11.85546875" style="4213" customWidth="1"/>
    <col min="4" max="4" width="9.42578125" style="4213" customWidth="1"/>
    <col min="5" max="8" width="10.5703125" style="4213" customWidth="1"/>
    <col min="9" max="39" width="12.5703125" style="4211"/>
    <col min="40" max="44" width="12.5703125" style="4211" outlineLevel="1"/>
    <col min="45" max="50" width="12.5703125" style="4211" outlineLevel="2"/>
    <col min="51" max="53" width="12.5703125" style="4211" outlineLevel="1"/>
    <col min="54" max="73" width="12.5703125" style="4211"/>
    <col min="74" max="77" width="12.5703125" style="4211" outlineLevel="1"/>
    <col min="78" max="125" width="12.5703125" style="4211"/>
    <col min="126" max="131" width="12.5703125" style="4211" outlineLevel="1"/>
    <col min="132" max="137" width="12.5703125" style="4211" outlineLevel="2"/>
    <col min="138" max="140" width="12.5703125" style="4211" outlineLevel="1"/>
    <col min="141"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3271</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8" s="4212" customFormat="1" ht="20.100000000000001" customHeight="1" outlineLevel="1">
      <c r="A17" s="4263" t="s">
        <v>407</v>
      </c>
      <c r="B17" s="4262"/>
      <c r="C17" s="4261"/>
      <c r="D17" s="4260">
        <f>SUM(D18:D23)</f>
        <v>55423.45</v>
      </c>
      <c r="E17" s="4260">
        <f>SUM(E18:E23)</f>
        <v>2381250</v>
      </c>
      <c r="F17" s="4260">
        <f>SUM(F18:F23)</f>
        <v>3753750</v>
      </c>
      <c r="G17" s="4260">
        <f>SUM(G18:G23)</f>
        <v>6135000</v>
      </c>
      <c r="H17" s="4260">
        <f>SUM(H18:H23)</f>
        <v>6150000</v>
      </c>
    </row>
    <row r="18" spans="1:8" s="4240" customFormat="1" ht="18" customHeight="1" outlineLevel="1">
      <c r="A18" s="4250" t="s">
        <v>402</v>
      </c>
      <c r="B18" s="4249"/>
      <c r="C18" s="4248" t="s">
        <v>401</v>
      </c>
      <c r="D18" s="4244">
        <f>'[39]TRAFFIC MANAGEMENT AUTHORITY'!$E$12</f>
        <v>6851.85</v>
      </c>
      <c r="E18" s="4255">
        <f>'[40]TRAFFIC MANAGEMENT AUTHORITY'!$E$12</f>
        <v>0</v>
      </c>
      <c r="F18" s="4243">
        <f>G18-E18</f>
        <v>5000</v>
      </c>
      <c r="G18" s="4255">
        <f>'[40]TRAFFIC MANAGEMENT AUTHORITY'!$C$12</f>
        <v>5000</v>
      </c>
      <c r="H18" s="4241">
        <f>'[41]TRAFFIC MGT AUTHORITY'!$H$12</f>
        <v>5000</v>
      </c>
    </row>
    <row r="19" spans="1:8" s="4240" customFormat="1" ht="18" customHeight="1" outlineLevel="1">
      <c r="A19" s="4250" t="s">
        <v>674</v>
      </c>
      <c r="B19" s="4249"/>
      <c r="C19" s="4248" t="s">
        <v>396</v>
      </c>
      <c r="D19" s="4244">
        <f>'[39]TRAFFIC MANAGEMENT AUTHORITY'!$E$13</f>
        <v>48571.6</v>
      </c>
      <c r="E19" s="4255">
        <f>'[40]TRAFFIC MANAGEMENT AUTHORITY'!$E$13</f>
        <v>0</v>
      </c>
      <c r="F19" s="4243">
        <f>G19-E19</f>
        <v>75000</v>
      </c>
      <c r="G19" s="4255">
        <f>'[40]TRAFFIC MANAGEMENT AUTHORITY'!$C$13</f>
        <v>75000</v>
      </c>
      <c r="H19" s="4241">
        <f>'[41]TRAFFIC MGT AUTHORITY'!$H$13</f>
        <v>75000</v>
      </c>
    </row>
    <row r="20" spans="1:8" s="4239" customFormat="1" ht="18" customHeight="1" outlineLevel="1">
      <c r="A20" s="4250" t="s">
        <v>389</v>
      </c>
      <c r="B20" s="4249"/>
      <c r="C20" s="4248" t="s">
        <v>388</v>
      </c>
      <c r="D20" s="4244">
        <f>'[39]TRAFFIC MANAGEMENT AUTHORITY'!$E$14</f>
        <v>0</v>
      </c>
      <c r="E20" s="4255">
        <f>'[40]TRAFFIC MANAGEMENT AUTHORITY'!$E$14</f>
        <v>2381250</v>
      </c>
      <c r="F20" s="4243">
        <f>G20-E20</f>
        <v>3563750</v>
      </c>
      <c r="G20" s="4255">
        <f>'[40]TRAFFIC MANAGEMENT AUTHORITY'!$C$14</f>
        <v>5945000</v>
      </c>
      <c r="H20" s="4241">
        <f>'[41]TRAFFIC MGT AUTHORITY'!$H$14</f>
        <v>5945000</v>
      </c>
    </row>
    <row r="21" spans="1:8" s="4239" customFormat="1" ht="18" customHeight="1" outlineLevel="1">
      <c r="A21" s="4250" t="s">
        <v>566</v>
      </c>
      <c r="B21" s="4249"/>
      <c r="C21" s="4248"/>
      <c r="D21" s="4244"/>
      <c r="E21" s="4242"/>
      <c r="F21" s="4243"/>
      <c r="G21" s="4242"/>
      <c r="H21" s="4241"/>
    </row>
    <row r="22" spans="1:8" s="4239" customFormat="1" ht="18" customHeight="1" outlineLevel="1">
      <c r="A22" s="4250"/>
      <c r="B22" s="4249" t="s">
        <v>2370</v>
      </c>
      <c r="C22" s="4248" t="s">
        <v>2327</v>
      </c>
      <c r="D22" s="4244">
        <f>'[39]TRAFFIC MANAGEMENT AUTHORITY'!$E$15</f>
        <v>0</v>
      </c>
      <c r="E22" s="4242">
        <f>'[40]TRAFFIC MANAGEMENT AUTHORITY'!$E$15</f>
        <v>0</v>
      </c>
      <c r="F22" s="4243">
        <f>G22-E22</f>
        <v>10000</v>
      </c>
      <c r="G22" s="4242">
        <f>'[40]TRAFFIC MANAGEMENT AUTHORITY'!$C$15</f>
        <v>10000</v>
      </c>
      <c r="H22" s="4241">
        <v>25000</v>
      </c>
    </row>
    <row r="23" spans="1:8" s="4239" customFormat="1" ht="18" customHeight="1" outlineLevel="1">
      <c r="A23" s="4247" t="s">
        <v>693</v>
      </c>
      <c r="B23" s="4246"/>
      <c r="C23" s="4245" t="s">
        <v>367</v>
      </c>
      <c r="D23" s="4244">
        <f>'[39]TRAFFIC MANAGEMENT AUTHORITY'!$E$16</f>
        <v>0</v>
      </c>
      <c r="E23" s="4242">
        <f>'[40]TRAFFIC MANAGEMENT AUTHORITY'!$E$16</f>
        <v>0</v>
      </c>
      <c r="F23" s="4243">
        <f>G23-E23</f>
        <v>100000</v>
      </c>
      <c r="G23" s="4242">
        <f>'[40]TRAFFIC MANAGEMENT AUTHORITY'!$C$16</f>
        <v>100000</v>
      </c>
      <c r="H23" s="4241">
        <f>'[41]TRAFFIC MGT AUTHORITY'!$H$17</f>
        <v>100000</v>
      </c>
    </row>
    <row r="24" spans="1:8" ht="20.100000000000001" customHeight="1" outlineLevel="2" thickBot="1">
      <c r="A24" s="4238" t="s">
        <v>366</v>
      </c>
      <c r="B24" s="4236"/>
      <c r="C24" s="4237"/>
      <c r="D24" s="4236">
        <f>SUM(D18:D23)</f>
        <v>55423.45</v>
      </c>
      <c r="E24" s="4236">
        <f>SUM(E18:E23)</f>
        <v>2381250</v>
      </c>
      <c r="F24" s="4236">
        <f>SUM(F18:F23)</f>
        <v>3753750</v>
      </c>
      <c r="G24" s="4236">
        <f>SUM(G18:G23)</f>
        <v>6135000</v>
      </c>
      <c r="H24" s="4235">
        <f>SUM(H18:H23)</f>
        <v>6150000</v>
      </c>
    </row>
    <row r="25" spans="1:8" ht="20.100000000000001" customHeight="1" outlineLevel="2" thickTop="1">
      <c r="A25" s="4233"/>
      <c r="B25" s="4233"/>
      <c r="C25" s="4234"/>
      <c r="D25" s="4233"/>
      <c r="E25" s="4233"/>
      <c r="F25" s="4233"/>
      <c r="G25" s="4233"/>
      <c r="H25" s="4233"/>
    </row>
    <row r="26" spans="1:8" s="4220" customFormat="1" ht="14.25" customHeight="1">
      <c r="A26" s="4225" t="s">
        <v>3163</v>
      </c>
      <c r="B26" s="4222"/>
      <c r="C26" s="4222" t="s">
        <v>363</v>
      </c>
      <c r="D26" s="4222"/>
      <c r="E26" s="4225"/>
      <c r="F26" s="4225" t="s">
        <v>2311</v>
      </c>
      <c r="G26" s="4222"/>
      <c r="H26" s="4222"/>
    </row>
    <row r="27" spans="1:8" s="4220" customFormat="1" ht="14.25" customHeight="1">
      <c r="A27" s="4225"/>
      <c r="B27" s="4222"/>
      <c r="C27" s="4222"/>
      <c r="D27" s="4222"/>
      <c r="E27" s="4225"/>
      <c r="F27" s="4225"/>
      <c r="G27" s="4222"/>
      <c r="H27" s="4222"/>
    </row>
    <row r="28" spans="1:8" s="4220" customFormat="1" ht="14.25" customHeight="1">
      <c r="A28" s="4225"/>
      <c r="B28" s="4222"/>
      <c r="C28" s="4222"/>
      <c r="D28" s="4222"/>
      <c r="E28" s="4225"/>
      <c r="F28" s="4225"/>
      <c r="G28" s="4222"/>
      <c r="H28" s="4222"/>
    </row>
    <row r="29" spans="1:8" s="4220" customFormat="1" ht="14.25" customHeight="1">
      <c r="A29" s="4229" t="s">
        <v>3270</v>
      </c>
      <c r="B29" s="4226"/>
      <c r="C29" s="4228" t="s">
        <v>3162</v>
      </c>
      <c r="D29" s="4222"/>
      <c r="E29" s="4227"/>
      <c r="F29" s="4227" t="s">
        <v>359</v>
      </c>
      <c r="G29" s="4222"/>
      <c r="H29" s="4222"/>
    </row>
    <row r="30" spans="1:8" s="4220" customFormat="1" ht="14.25" customHeight="1">
      <c r="A30" s="4222" t="s">
        <v>3269</v>
      </c>
      <c r="B30" s="4226"/>
      <c r="C30" s="4224" t="s">
        <v>3160</v>
      </c>
      <c r="D30" s="4222"/>
      <c r="E30" s="4223"/>
      <c r="F30" s="4223" t="s">
        <v>3159</v>
      </c>
      <c r="G30" s="4222"/>
      <c r="H30" s="4222"/>
    </row>
    <row r="31" spans="1:8" s="4214" customFormat="1">
      <c r="A31" s="4218"/>
      <c r="B31" s="4219"/>
      <c r="C31" s="4218"/>
      <c r="D31" s="4217"/>
      <c r="E31" s="4217"/>
      <c r="F31" s="4217"/>
      <c r="G31" s="4217"/>
      <c r="H31" s="4217"/>
    </row>
    <row r="32" spans="1:8" s="4214" customFormat="1">
      <c r="A32" s="4218"/>
      <c r="B32" s="4219"/>
      <c r="C32" s="4218"/>
      <c r="D32" s="4217"/>
      <c r="E32" s="4217"/>
      <c r="F32" s="4217"/>
      <c r="G32" s="4217"/>
      <c r="H32" s="4217"/>
    </row>
    <row r="33" spans="1:8" s="4214" customFormat="1">
      <c r="A33" s="4218"/>
      <c r="B33" s="4219"/>
      <c r="C33" s="4218"/>
      <c r="D33" s="4217"/>
      <c r="E33" s="4217"/>
      <c r="F33" s="4217"/>
      <c r="G33" s="4217"/>
      <c r="H33" s="4217"/>
    </row>
    <row r="34" spans="1:8" s="4214" customFormat="1">
      <c r="A34" s="4218"/>
      <c r="B34" s="4219"/>
      <c r="C34" s="4218"/>
      <c r="D34" s="4217"/>
      <c r="E34" s="4217"/>
      <c r="F34" s="4217"/>
      <c r="G34" s="4217"/>
      <c r="H34" s="4217"/>
    </row>
    <row r="35" spans="1:8" s="4214" customFormat="1">
      <c r="A35" s="4218"/>
      <c r="B35" s="4219"/>
      <c r="C35" s="4218"/>
      <c r="D35" s="4217"/>
      <c r="E35" s="4217"/>
      <c r="F35" s="4217"/>
      <c r="G35" s="4217"/>
      <c r="H35" s="4217"/>
    </row>
    <row r="36" spans="1:8" s="4214" customFormat="1">
      <c r="A36" s="4218"/>
      <c r="B36" s="4219"/>
      <c r="C36" s="4218"/>
      <c r="D36" s="4217"/>
      <c r="E36" s="4217"/>
      <c r="F36" s="4217"/>
      <c r="G36" s="4217"/>
      <c r="H36" s="4217"/>
    </row>
    <row r="37" spans="1:8" s="4214" customFormat="1">
      <c r="A37" s="4218"/>
      <c r="B37" s="4219"/>
      <c r="C37" s="4218"/>
      <c r="D37" s="4217"/>
      <c r="E37" s="4217"/>
      <c r="F37" s="4217"/>
      <c r="G37" s="4217"/>
      <c r="H37" s="4217"/>
    </row>
    <row r="38" spans="1:8" s="4214" customFormat="1">
      <c r="A38" s="4218"/>
      <c r="B38" s="4219"/>
      <c r="C38" s="4218"/>
      <c r="D38" s="4217"/>
      <c r="E38" s="4217"/>
      <c r="F38" s="4217"/>
      <c r="G38" s="4217"/>
      <c r="H38" s="4217"/>
    </row>
    <row r="39" spans="1:8" s="4214" customFormat="1">
      <c r="A39" s="4218"/>
      <c r="B39" s="4219"/>
      <c r="C39" s="4218"/>
      <c r="D39" s="4217"/>
      <c r="E39" s="4217"/>
      <c r="F39" s="4217"/>
      <c r="G39" s="4217"/>
      <c r="H39" s="4217"/>
    </row>
    <row r="40" spans="1:8" s="4214" customFormat="1">
      <c r="A40" s="4218"/>
      <c r="B40" s="4219"/>
      <c r="C40" s="4218"/>
      <c r="D40" s="4217"/>
      <c r="E40" s="4217"/>
      <c r="F40" s="4217"/>
      <c r="G40" s="4217"/>
      <c r="H40" s="4217"/>
    </row>
    <row r="41" spans="1:8" s="4214" customFormat="1">
      <c r="A41" s="4218"/>
      <c r="B41" s="4219"/>
      <c r="C41" s="4218"/>
      <c r="D41" s="4217"/>
      <c r="E41" s="4217"/>
      <c r="F41" s="4217"/>
      <c r="G41" s="4217"/>
      <c r="H41" s="4217"/>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S46"/>
  <sheetViews>
    <sheetView showGridLines="0" showOutlineSymbols="0" topLeftCell="A13" workbookViewId="0">
      <selection activeCell="H25" sqref="H25"/>
    </sheetView>
  </sheetViews>
  <sheetFormatPr defaultColWidth="12.5703125" defaultRowHeight="12.75" outlineLevelRow="2" outlineLevelCol="2"/>
  <cols>
    <col min="1" max="1" width="1.85546875" style="4213" customWidth="1"/>
    <col min="2" max="2" width="34.28515625" style="4213" customWidth="1"/>
    <col min="3" max="3" width="11.85546875" style="4213" customWidth="1"/>
    <col min="4" max="4" width="9.7109375" style="4213" customWidth="1"/>
    <col min="5" max="8" width="10.42578125" style="4213" customWidth="1"/>
    <col min="9" max="9" width="14.140625" style="4211" customWidth="1"/>
    <col min="10" max="48" width="12.5703125" style="4211"/>
    <col min="49" max="53" width="12.5703125" style="4211" outlineLevel="1"/>
    <col min="54" max="59" width="12.5703125" style="4211" outlineLevel="2"/>
    <col min="60" max="62" width="12.5703125" style="4211" outlineLevel="1"/>
    <col min="63" max="82" width="12.5703125" style="4211"/>
    <col min="83" max="86" width="12.5703125" style="4211" outlineLevel="1"/>
    <col min="87" max="134" width="12.5703125" style="4211"/>
    <col min="135" max="140" width="12.5703125" style="4211" outlineLevel="1"/>
    <col min="141" max="146" width="12.5703125" style="4211" outlineLevel="2"/>
    <col min="147" max="149" width="12.5703125" style="4211" outlineLevel="1"/>
    <col min="150"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3275</v>
      </c>
      <c r="B10" s="4273"/>
    </row>
    <row r="11" spans="1:8" ht="14.25" customHeight="1">
      <c r="A11" s="4273" t="s">
        <v>3274</v>
      </c>
      <c r="B11" s="4273"/>
    </row>
    <row r="12" spans="1:8" ht="14.25" customHeight="1">
      <c r="A12" s="4273"/>
      <c r="B12" s="4273"/>
    </row>
    <row r="13" spans="1:8" ht="14.25" customHeight="1">
      <c r="A13" s="5007" t="s">
        <v>468</v>
      </c>
      <c r="B13" s="5008"/>
      <c r="C13" s="4272"/>
      <c r="D13" s="4272" t="s">
        <v>466</v>
      </c>
      <c r="E13" s="5004" t="s">
        <v>465</v>
      </c>
      <c r="F13" s="5005"/>
      <c r="G13" s="5006"/>
      <c r="H13" s="4272" t="s">
        <v>2180</v>
      </c>
    </row>
    <row r="14" spans="1:8" ht="14.25" customHeight="1">
      <c r="A14" s="5009"/>
      <c r="B14" s="5010"/>
      <c r="C14" s="4272" t="s">
        <v>467</v>
      </c>
      <c r="D14" s="4270">
        <v>2020</v>
      </c>
      <c r="E14" s="4270" t="s">
        <v>2344</v>
      </c>
      <c r="F14" s="4270" t="s">
        <v>2343</v>
      </c>
      <c r="G14" s="4270"/>
      <c r="H14" s="4270" t="s">
        <v>2342</v>
      </c>
    </row>
    <row r="15" spans="1:8" ht="14.25" customHeight="1">
      <c r="A15" s="5009"/>
      <c r="B15" s="5010"/>
      <c r="C15" s="4271" t="s">
        <v>463</v>
      </c>
      <c r="D15" s="4270"/>
      <c r="E15" s="4270" t="s">
        <v>2341</v>
      </c>
      <c r="F15" s="4270" t="s">
        <v>2341</v>
      </c>
      <c r="G15" s="4270" t="s">
        <v>244</v>
      </c>
      <c r="H15" s="4270">
        <v>2022</v>
      </c>
    </row>
    <row r="16" spans="1:8" ht="14.25" customHeight="1">
      <c r="A16" s="5011"/>
      <c r="B16" s="5012"/>
      <c r="C16" s="4269"/>
      <c r="D16" s="4267" t="s">
        <v>460</v>
      </c>
      <c r="E16" s="4267" t="s">
        <v>460</v>
      </c>
      <c r="F16" s="4267" t="s">
        <v>459</v>
      </c>
      <c r="G16" s="4268"/>
      <c r="H16" s="4267" t="s">
        <v>458</v>
      </c>
    </row>
    <row r="17" spans="1:9" ht="20.100000000000001" customHeight="1">
      <c r="A17" s="4266" t="s">
        <v>456</v>
      </c>
      <c r="B17" s="4265"/>
      <c r="C17" s="4264"/>
      <c r="D17" s="4264"/>
      <c r="E17" s="4264"/>
      <c r="F17" s="4265"/>
      <c r="G17" s="4265"/>
      <c r="H17" s="4264"/>
    </row>
    <row r="18" spans="1:9" s="4212" customFormat="1" ht="20.100000000000001" customHeight="1" outlineLevel="1">
      <c r="A18" s="4263" t="s">
        <v>407</v>
      </c>
      <c r="B18" s="4262"/>
      <c r="C18" s="4261"/>
      <c r="D18" s="4342">
        <f>SUM(D19:D28)</f>
        <v>22352.75</v>
      </c>
      <c r="E18" s="4260">
        <f>SUM(E19:E28)</f>
        <v>6153.58</v>
      </c>
      <c r="F18" s="4260">
        <f>SUM(F19:F28)</f>
        <v>493846.42</v>
      </c>
      <c r="G18" s="4260">
        <f>SUM(G19:G28)</f>
        <v>500000</v>
      </c>
      <c r="H18" s="4260">
        <f>SUM(H19:H28)</f>
        <v>500000</v>
      </c>
    </row>
    <row r="19" spans="1:9" s="4240" customFormat="1" ht="18" customHeight="1" outlineLevel="1">
      <c r="A19" s="4254" t="s">
        <v>2352</v>
      </c>
      <c r="B19" s="4246"/>
      <c r="C19" s="4259" t="s">
        <v>405</v>
      </c>
      <c r="D19" s="4350">
        <f>[39]I4J!$E$12</f>
        <v>0</v>
      </c>
      <c r="E19" s="4257">
        <f>[40]I4J!$E$12</f>
        <v>0</v>
      </c>
      <c r="F19" s="4243">
        <f>G19-E19</f>
        <v>30000</v>
      </c>
      <c r="G19" s="4257">
        <f>[40]I4J!$C$12</f>
        <v>30000</v>
      </c>
      <c r="H19" s="4256">
        <f>[41]i4J!$H$12</f>
        <v>30000</v>
      </c>
      <c r="I19" s="4300"/>
    </row>
    <row r="20" spans="1:9" s="4240" customFormat="1" ht="18" customHeight="1" outlineLevel="1">
      <c r="A20" s="4250" t="s">
        <v>404</v>
      </c>
      <c r="B20" s="4249"/>
      <c r="C20" s="4248" t="s">
        <v>403</v>
      </c>
      <c r="D20" s="4341">
        <f>[39]I4J!$E$13</f>
        <v>3000</v>
      </c>
      <c r="E20" s="4255">
        <f>[40]I4J!$E$13</f>
        <v>0</v>
      </c>
      <c r="F20" s="4243">
        <f>G20-E20</f>
        <v>150000</v>
      </c>
      <c r="G20" s="4255">
        <f>[40]I4J!$C$13</f>
        <v>150000</v>
      </c>
      <c r="H20" s="4241">
        <f>[41]i4J!$H$13</f>
        <v>150000</v>
      </c>
      <c r="I20" s="4300"/>
    </row>
    <row r="21" spans="1:9" s="4239" customFormat="1" ht="18" customHeight="1" outlineLevel="1">
      <c r="A21" s="4247" t="s">
        <v>402</v>
      </c>
      <c r="B21" s="4246"/>
      <c r="C21" s="4248" t="s">
        <v>401</v>
      </c>
      <c r="D21" s="4341">
        <f>[39]I4J!$E$14</f>
        <v>18552.75</v>
      </c>
      <c r="E21" s="4255">
        <f>[40]I4J!$E$14</f>
        <v>6153.58</v>
      </c>
      <c r="F21" s="4243">
        <f>G21-E21</f>
        <v>93846.42</v>
      </c>
      <c r="G21" s="4255">
        <f>[40]I4J!$C$14</f>
        <v>100000</v>
      </c>
      <c r="H21" s="4241">
        <f>[41]i4J!$H$14</f>
        <v>100000</v>
      </c>
      <c r="I21" s="4240"/>
    </row>
    <row r="22" spans="1:9" s="4239" customFormat="1" ht="18" customHeight="1" outlineLevel="1">
      <c r="A22" s="4250" t="s">
        <v>674</v>
      </c>
      <c r="B22" s="4249"/>
      <c r="C22" s="4248" t="s">
        <v>396</v>
      </c>
      <c r="D22" s="4341">
        <f>[39]I4J!$E$15</f>
        <v>0</v>
      </c>
      <c r="E22" s="4255">
        <f>[40]I4J!$E$15</f>
        <v>0</v>
      </c>
      <c r="F22" s="4243">
        <f>G22-E22</f>
        <v>20000</v>
      </c>
      <c r="G22" s="4255">
        <f>[40]I4J!$C$15</f>
        <v>20000</v>
      </c>
      <c r="H22" s="4241">
        <f>[41]i4J!$H$15</f>
        <v>20000</v>
      </c>
      <c r="I22" s="4240"/>
    </row>
    <row r="23" spans="1:9" s="4239" customFormat="1" ht="18" customHeight="1" outlineLevel="1">
      <c r="A23" s="4250" t="s">
        <v>878</v>
      </c>
      <c r="B23" s="4249"/>
      <c r="C23" s="4248" t="s">
        <v>394</v>
      </c>
      <c r="D23" s="4341">
        <f>[39]I4J!$E$16</f>
        <v>0</v>
      </c>
      <c r="E23" s="4242">
        <f>[40]I4J!$E$16</f>
        <v>0</v>
      </c>
      <c r="F23" s="4243">
        <f>G23-E23</f>
        <v>5000</v>
      </c>
      <c r="G23" s="4242">
        <f>[40]I4J!$C$16</f>
        <v>5000</v>
      </c>
      <c r="H23" s="4241">
        <f>[41]i4J!$H$16</f>
        <v>5000</v>
      </c>
      <c r="I23" s="4240"/>
    </row>
    <row r="24" spans="1:9" s="4239" customFormat="1" ht="18" customHeight="1" outlineLevel="1">
      <c r="A24" s="4250" t="s">
        <v>3180</v>
      </c>
      <c r="B24" s="4249"/>
      <c r="C24" s="4248"/>
      <c r="D24" s="4341"/>
      <c r="E24" s="4242"/>
      <c r="F24" s="4243"/>
      <c r="G24" s="4242"/>
      <c r="H24" s="4241"/>
      <c r="I24" s="4240"/>
    </row>
    <row r="25" spans="1:9" s="4239" customFormat="1" ht="18" customHeight="1" outlineLevel="1">
      <c r="A25" s="4250"/>
      <c r="B25" s="4324" t="s">
        <v>2336</v>
      </c>
      <c r="C25" s="4248" t="s">
        <v>2335</v>
      </c>
      <c r="D25" s="4341">
        <f>[39]I4J!$E$17</f>
        <v>0</v>
      </c>
      <c r="E25" s="4242">
        <f>[40]I4J!$E$17</f>
        <v>0</v>
      </c>
      <c r="F25" s="4243">
        <f>G25-E25</f>
        <v>15000</v>
      </c>
      <c r="G25" s="4242">
        <f>[40]I4J!$C$17</f>
        <v>15000</v>
      </c>
      <c r="H25" s="4241">
        <f>[41]i4J!$H$18</f>
        <v>15000</v>
      </c>
      <c r="I25" s="4240"/>
    </row>
    <row r="26" spans="1:9" s="4239" customFormat="1" ht="18" customHeight="1" outlineLevel="1">
      <c r="A26" s="4250" t="s">
        <v>566</v>
      </c>
      <c r="B26" s="4249"/>
      <c r="C26" s="4248"/>
      <c r="D26" s="4341"/>
      <c r="E26" s="4242"/>
      <c r="F26" s="4243"/>
      <c r="G26" s="4242"/>
      <c r="H26" s="4241"/>
      <c r="I26" s="4240"/>
    </row>
    <row r="27" spans="1:9" s="4239" customFormat="1" ht="18" customHeight="1" outlineLevel="1">
      <c r="A27" s="4250"/>
      <c r="B27" s="4249" t="s">
        <v>2370</v>
      </c>
      <c r="C27" s="4248" t="s">
        <v>2327</v>
      </c>
      <c r="D27" s="4341">
        <f>[39]I4J!$E$18</f>
        <v>0</v>
      </c>
      <c r="E27" s="4242">
        <f>[40]I4J!$E$18</f>
        <v>0</v>
      </c>
      <c r="F27" s="4243">
        <f>G27-E27</f>
        <v>5000</v>
      </c>
      <c r="G27" s="4242">
        <f>[40]I4J!$C$18</f>
        <v>5000</v>
      </c>
      <c r="H27" s="4241">
        <f>[41]i4J!$H$20</f>
        <v>5000</v>
      </c>
      <c r="I27" s="4240"/>
    </row>
    <row r="28" spans="1:9" s="4239" customFormat="1" ht="18" customHeight="1" outlineLevel="1">
      <c r="A28" s="4247" t="s">
        <v>368</v>
      </c>
      <c r="B28" s="4246"/>
      <c r="C28" s="4245" t="s">
        <v>367</v>
      </c>
      <c r="D28" s="4341">
        <f>[39]I4J!$E$19</f>
        <v>800</v>
      </c>
      <c r="E28" s="4242">
        <f>[40]I4J!$E$19</f>
        <v>0</v>
      </c>
      <c r="F28" s="4243">
        <f>G28-E28</f>
        <v>175000</v>
      </c>
      <c r="G28" s="4242">
        <f>[40]I4J!$C$19</f>
        <v>175000</v>
      </c>
      <c r="H28" s="4241">
        <f>[41]i4J!$H$21</f>
        <v>175000</v>
      </c>
      <c r="I28" s="4240"/>
    </row>
    <row r="29" spans="1:9" ht="20.100000000000001" customHeight="1" outlineLevel="2" thickBot="1">
      <c r="A29" s="4238" t="s">
        <v>366</v>
      </c>
      <c r="B29" s="4236"/>
      <c r="C29" s="4237"/>
      <c r="D29" s="4335">
        <f>SUM(D19:D28)</f>
        <v>22352.75</v>
      </c>
      <c r="E29" s="4236">
        <f>SUM(E19:E28)</f>
        <v>6153.58</v>
      </c>
      <c r="F29" s="4236">
        <f>SUM(F19:F28)</f>
        <v>493846.42</v>
      </c>
      <c r="G29" s="4236">
        <f>SUM(G19:G28)</f>
        <v>500000</v>
      </c>
      <c r="H29" s="4235">
        <f>SUM(H19:H28)</f>
        <v>500000</v>
      </c>
    </row>
    <row r="30" spans="1:9" ht="20.100000000000001" customHeight="1" outlineLevel="2" thickTop="1">
      <c r="A30" s="4233"/>
      <c r="B30" s="4233"/>
      <c r="C30" s="4234"/>
      <c r="D30" s="4233"/>
      <c r="E30" s="4233"/>
      <c r="F30" s="4233"/>
      <c r="G30" s="4233"/>
      <c r="H30" s="4233"/>
    </row>
    <row r="31" spans="1:9" s="4220" customFormat="1" ht="14.25" customHeight="1">
      <c r="A31" s="4225" t="s">
        <v>3163</v>
      </c>
      <c r="B31" s="4222"/>
      <c r="C31" s="4222" t="s">
        <v>363</v>
      </c>
      <c r="D31" s="4222"/>
      <c r="E31" s="4225"/>
      <c r="F31" s="4225" t="s">
        <v>2311</v>
      </c>
      <c r="G31" s="4222"/>
      <c r="H31" s="4222"/>
    </row>
    <row r="32" spans="1:9" s="4220" customFormat="1" ht="14.25" customHeight="1">
      <c r="A32" s="4225"/>
      <c r="B32" s="4222"/>
      <c r="C32" s="4222"/>
      <c r="D32" s="4222"/>
      <c r="E32" s="4225"/>
      <c r="F32" s="4225"/>
      <c r="G32" s="4222"/>
      <c r="H32" s="4222"/>
    </row>
    <row r="33" spans="1:9" s="4220" customFormat="1" ht="14.25" customHeight="1">
      <c r="A33" s="4225"/>
      <c r="B33" s="4222"/>
      <c r="C33" s="4222"/>
      <c r="D33" s="4222"/>
      <c r="E33" s="4225"/>
      <c r="F33" s="4225"/>
      <c r="G33" s="4222"/>
      <c r="H33" s="4222"/>
    </row>
    <row r="34" spans="1:9" s="4220" customFormat="1" ht="14.25" customHeight="1">
      <c r="A34" s="4229" t="s">
        <v>3273</v>
      </c>
      <c r="B34" s="4226"/>
      <c r="C34" s="4228" t="s">
        <v>3162</v>
      </c>
      <c r="D34" s="4222"/>
      <c r="E34" s="4227"/>
      <c r="F34" s="4227" t="s">
        <v>359</v>
      </c>
      <c r="G34" s="4222"/>
      <c r="H34" s="4222"/>
    </row>
    <row r="35" spans="1:9" s="4220" customFormat="1" ht="14.25" customHeight="1">
      <c r="A35" s="4222" t="s">
        <v>3272</v>
      </c>
      <c r="B35" s="4226"/>
      <c r="C35" s="4224" t="s">
        <v>3160</v>
      </c>
      <c r="D35" s="4222"/>
      <c r="E35" s="4223"/>
      <c r="F35" s="4223" t="s">
        <v>3159</v>
      </c>
      <c r="G35" s="4222"/>
      <c r="H35" s="4222"/>
    </row>
    <row r="36" spans="1:9" s="4214" customFormat="1">
      <c r="A36" s="4218"/>
      <c r="B36" s="4219"/>
      <c r="C36" s="4218"/>
      <c r="D36" s="4217"/>
      <c r="E36" s="4217"/>
      <c r="F36" s="4217"/>
      <c r="G36" s="4217"/>
      <c r="H36" s="4217"/>
      <c r="I36" s="4282"/>
    </row>
    <row r="37" spans="1:9" s="4214" customFormat="1">
      <c r="A37" s="4218"/>
      <c r="B37" s="4219"/>
      <c r="C37" s="4218"/>
      <c r="D37" s="4217"/>
      <c r="E37" s="4217"/>
      <c r="F37" s="4217"/>
      <c r="G37" s="4217"/>
      <c r="H37" s="4217"/>
      <c r="I37" s="4282"/>
    </row>
    <row r="38" spans="1:9" s="4214" customFormat="1">
      <c r="A38" s="4218"/>
      <c r="B38" s="4219"/>
      <c r="C38" s="4218"/>
      <c r="D38" s="4217"/>
      <c r="E38" s="4217"/>
      <c r="F38" s="4217"/>
      <c r="G38" s="4217"/>
      <c r="H38" s="4217"/>
      <c r="I38" s="4282"/>
    </row>
    <row r="39" spans="1:9" s="4214" customFormat="1">
      <c r="A39" s="4218"/>
      <c r="B39" s="4219"/>
      <c r="C39" s="4218"/>
      <c r="D39" s="4217"/>
      <c r="E39" s="4217"/>
      <c r="F39" s="4217"/>
      <c r="G39" s="4217"/>
      <c r="H39" s="4217"/>
      <c r="I39" s="4282"/>
    </row>
    <row r="40" spans="1:9" s="4214" customFormat="1">
      <c r="A40" s="4218"/>
      <c r="B40" s="4219"/>
      <c r="C40" s="4218"/>
      <c r="D40" s="4217"/>
      <c r="E40" s="4217"/>
      <c r="F40" s="4217"/>
      <c r="G40" s="4217"/>
      <c r="H40" s="4217"/>
      <c r="I40" s="4282"/>
    </row>
    <row r="41" spans="1:9" s="4214" customFormat="1">
      <c r="A41" s="4218"/>
      <c r="B41" s="4219"/>
      <c r="C41" s="4218"/>
      <c r="D41" s="4217"/>
      <c r="E41" s="4217"/>
      <c r="F41" s="4217"/>
      <c r="G41" s="4217"/>
      <c r="H41" s="4217"/>
      <c r="I41" s="4282"/>
    </row>
    <row r="42" spans="1:9" s="4214" customFormat="1">
      <c r="A42" s="4218"/>
      <c r="B42" s="4219"/>
      <c r="C42" s="4218"/>
      <c r="D42" s="4217"/>
      <c r="E42" s="4217"/>
      <c r="F42" s="4217"/>
      <c r="G42" s="4217"/>
      <c r="H42" s="4217"/>
      <c r="I42" s="4282"/>
    </row>
    <row r="43" spans="1:9" s="4214" customFormat="1">
      <c r="A43" s="4218"/>
      <c r="B43" s="4219"/>
      <c r="C43" s="4218"/>
      <c r="D43" s="4217"/>
      <c r="E43" s="4217"/>
      <c r="F43" s="4217"/>
      <c r="G43" s="4217"/>
      <c r="H43" s="4217"/>
      <c r="I43" s="4282"/>
    </row>
    <row r="44" spans="1:9" s="4214" customFormat="1">
      <c r="A44" s="4218"/>
      <c r="B44" s="4219"/>
      <c r="C44" s="4218"/>
      <c r="D44" s="4217"/>
      <c r="E44" s="4217"/>
      <c r="F44" s="4217"/>
      <c r="G44" s="4217"/>
      <c r="H44" s="4217"/>
      <c r="I44" s="4282"/>
    </row>
    <row r="45" spans="1:9" s="4214" customFormat="1">
      <c r="A45" s="4218"/>
      <c r="B45" s="4219"/>
      <c r="C45" s="4218"/>
      <c r="D45" s="4217"/>
      <c r="E45" s="4217"/>
      <c r="F45" s="4217"/>
      <c r="G45" s="4217"/>
      <c r="H45" s="4217"/>
      <c r="I45" s="4282"/>
    </row>
    <row r="46" spans="1:9" s="4214" customFormat="1">
      <c r="A46" s="4218"/>
      <c r="B46" s="4219"/>
      <c r="C46" s="4218"/>
      <c r="D46" s="4217"/>
      <c r="E46" s="4217"/>
      <c r="F46" s="4217"/>
      <c r="G46" s="4217"/>
      <c r="H46" s="4217"/>
      <c r="I46" s="4282"/>
    </row>
  </sheetData>
  <mergeCells count="4">
    <mergeCell ref="A5:H5"/>
    <mergeCell ref="A6:H6"/>
    <mergeCell ref="A13:B16"/>
    <mergeCell ref="E13:G13"/>
  </mergeCells>
  <pageMargins left="0.5" right="0" top="0" bottom="0" header="0.25" footer="0"/>
  <pageSetup paperSize="5" orientation="portrait" verticalDpi="300"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K47"/>
  <sheetViews>
    <sheetView showGridLines="0" showOutlineSymbols="0" workbookViewId="0">
      <selection activeCell="K29" sqref="K29"/>
    </sheetView>
  </sheetViews>
  <sheetFormatPr defaultColWidth="12.5703125" defaultRowHeight="12.75" outlineLevelRow="2" outlineLevelCol="2"/>
  <cols>
    <col min="1" max="1" width="1.85546875" style="4213" customWidth="1"/>
    <col min="2" max="2" width="33" style="4213" customWidth="1"/>
    <col min="3" max="3" width="11.7109375" style="4213" customWidth="1"/>
    <col min="4" max="4" width="9.42578125" style="4213" customWidth="1"/>
    <col min="5" max="5" width="9.28515625" style="4213" customWidth="1"/>
    <col min="6" max="7" width="10.42578125" style="4213" customWidth="1"/>
    <col min="8" max="8" width="9.85546875" style="4213" customWidth="1"/>
    <col min="9" max="40" width="12.5703125" style="4211"/>
    <col min="41" max="45" width="12.5703125" style="4211" outlineLevel="1"/>
    <col min="46" max="51" width="12.5703125" style="4211" outlineLevel="2"/>
    <col min="52" max="54" width="12.5703125" style="4211" outlineLevel="1"/>
    <col min="55" max="74" width="12.5703125" style="4211"/>
    <col min="75" max="78" width="12.5703125" style="4211" outlineLevel="1"/>
    <col min="79" max="126" width="12.5703125" style="4211"/>
    <col min="127" max="132" width="12.5703125" style="4211" outlineLevel="1"/>
    <col min="133" max="138" width="12.5703125" style="4211" outlineLevel="2"/>
    <col min="139" max="141" width="12.5703125" style="4211" outlineLevel="1"/>
    <col min="142" max="16384" width="12.5703125" style="4211"/>
  </cols>
  <sheetData>
    <row r="1" spans="1:8" ht="13.5">
      <c r="A1" s="4281" t="s">
        <v>473</v>
      </c>
      <c r="E1" s="4302"/>
      <c r="F1" s="4302"/>
      <c r="G1" s="4302"/>
      <c r="H1" s="4302"/>
    </row>
    <row r="2" spans="1:8" ht="14.25" customHeight="1">
      <c r="A2" s="4279" t="s">
        <v>584</v>
      </c>
      <c r="E2" s="4276"/>
      <c r="F2" s="4276"/>
      <c r="G2" s="4276"/>
      <c r="H2" s="4276"/>
    </row>
    <row r="3" spans="1:8" ht="14.25" customHeight="1">
      <c r="E3" s="4276"/>
      <c r="G3" s="4276"/>
      <c r="H3" s="4276"/>
    </row>
    <row r="4" spans="1:8" ht="14.25" customHeight="1">
      <c r="E4" s="4276"/>
      <c r="G4" s="4276"/>
      <c r="H4" s="4276"/>
    </row>
    <row r="5" spans="1:8" ht="14.25" customHeight="1">
      <c r="A5" s="5013" t="s">
        <v>471</v>
      </c>
      <c r="B5" s="5013"/>
      <c r="C5" s="5013"/>
      <c r="D5" s="5013"/>
      <c r="E5" s="5013"/>
      <c r="F5" s="5013"/>
      <c r="G5" s="5013"/>
      <c r="H5" s="5013"/>
    </row>
    <row r="6" spans="1:8" ht="14.25" customHeight="1">
      <c r="A6" s="5014" t="s">
        <v>746</v>
      </c>
      <c r="B6" s="5014"/>
      <c r="C6" s="5014"/>
      <c r="D6" s="5014"/>
      <c r="E6" s="5014"/>
      <c r="F6" s="5014"/>
      <c r="G6" s="5014"/>
      <c r="H6" s="5014"/>
    </row>
    <row r="7" spans="1:8" ht="14.25" customHeight="1">
      <c r="A7" s="4309"/>
      <c r="B7" s="4309"/>
      <c r="C7" s="4309"/>
      <c r="D7" s="4309"/>
      <c r="E7" s="4309"/>
      <c r="F7" s="4309"/>
      <c r="G7" s="4309"/>
      <c r="H7" s="4309"/>
    </row>
    <row r="8" spans="1:8" ht="14.25" customHeight="1">
      <c r="A8" s="4309"/>
      <c r="B8" s="4309"/>
      <c r="C8" s="4309"/>
      <c r="D8" s="4309"/>
      <c r="E8" s="4309"/>
      <c r="F8" s="4309"/>
      <c r="G8" s="4309"/>
      <c r="H8" s="4309"/>
    </row>
    <row r="9" spans="1:8" ht="14.25" customHeight="1">
      <c r="A9" s="4274" t="s">
        <v>3169</v>
      </c>
      <c r="B9" s="4274"/>
    </row>
    <row r="10" spans="1:8" ht="14.25" customHeight="1">
      <c r="A10" s="4273" t="s">
        <v>3279</v>
      </c>
      <c r="B10" s="4273"/>
    </row>
    <row r="11" spans="1:8" ht="14.25" customHeight="1">
      <c r="A11" s="4273"/>
      <c r="B11" s="4273"/>
    </row>
    <row r="12" spans="1:8" ht="14.25" customHeight="1">
      <c r="A12" s="5007" t="s">
        <v>468</v>
      </c>
      <c r="B12" s="5008"/>
      <c r="C12" s="4272"/>
      <c r="D12" s="4272" t="s">
        <v>466</v>
      </c>
      <c r="E12" s="5004" t="s">
        <v>465</v>
      </c>
      <c r="F12" s="5005"/>
      <c r="G12" s="5006"/>
      <c r="H12" s="4272" t="s">
        <v>2180</v>
      </c>
    </row>
    <row r="13" spans="1:8" ht="14.25" customHeight="1">
      <c r="A13" s="5009"/>
      <c r="B13" s="5010"/>
      <c r="C13" s="4272" t="s">
        <v>467</v>
      </c>
      <c r="D13" s="4270">
        <v>2020</v>
      </c>
      <c r="E13" s="4270" t="s">
        <v>2344</v>
      </c>
      <c r="F13" s="4270" t="s">
        <v>2343</v>
      </c>
      <c r="G13" s="4270"/>
      <c r="H13" s="4270" t="s">
        <v>2342</v>
      </c>
    </row>
    <row r="14" spans="1:8" ht="14.25" customHeight="1">
      <c r="A14" s="5009"/>
      <c r="B14" s="5010"/>
      <c r="C14" s="4271" t="s">
        <v>463</v>
      </c>
      <c r="D14" s="4270"/>
      <c r="E14" s="4270" t="s">
        <v>2341</v>
      </c>
      <c r="F14" s="4270" t="s">
        <v>2341</v>
      </c>
      <c r="G14" s="4270" t="s">
        <v>244</v>
      </c>
      <c r="H14" s="4270">
        <v>2022</v>
      </c>
    </row>
    <row r="15" spans="1:8" ht="14.25" customHeight="1">
      <c r="A15" s="5011"/>
      <c r="B15" s="5012"/>
      <c r="C15" s="4269"/>
      <c r="D15" s="4267" t="s">
        <v>460</v>
      </c>
      <c r="E15" s="4267" t="s">
        <v>460</v>
      </c>
      <c r="F15" s="4267" t="s">
        <v>459</v>
      </c>
      <c r="G15" s="4268"/>
      <c r="H15" s="4267" t="s">
        <v>458</v>
      </c>
    </row>
    <row r="16" spans="1:8" ht="20.100000000000001" customHeight="1">
      <c r="A16" s="4266" t="s">
        <v>456</v>
      </c>
      <c r="B16" s="4265"/>
      <c r="C16" s="4264"/>
      <c r="D16" s="4264"/>
      <c r="E16" s="4264"/>
      <c r="F16" s="4265"/>
      <c r="G16" s="4265"/>
      <c r="H16" s="4264"/>
    </row>
    <row r="17" spans="1:9" s="4212" customFormat="1" ht="20.100000000000001" customHeight="1" outlineLevel="1">
      <c r="A17" s="4263" t="s">
        <v>407</v>
      </c>
      <c r="B17" s="4262"/>
      <c r="C17" s="4261"/>
      <c r="D17" s="4260">
        <f>SUM(D18:D29)</f>
        <v>445225.52999999997</v>
      </c>
      <c r="E17" s="4260">
        <f>SUM(E18:E29)</f>
        <v>179323.39</v>
      </c>
      <c r="F17" s="4260">
        <f>SUM(F18:F29)</f>
        <v>689876.61</v>
      </c>
      <c r="G17" s="4260">
        <f>SUM(G18:G29)</f>
        <v>869200</v>
      </c>
      <c r="H17" s="4260">
        <f>SUM(H18:H29)</f>
        <v>947200</v>
      </c>
    </row>
    <row r="18" spans="1:9" s="4240" customFormat="1" ht="18" customHeight="1" outlineLevel="1">
      <c r="A18" s="4254" t="s">
        <v>2352</v>
      </c>
      <c r="B18" s="4246"/>
      <c r="C18" s="4259" t="s">
        <v>405</v>
      </c>
      <c r="D18" s="4258">
        <f>'[39]NEGOSYO CENTER'!$E$12</f>
        <v>5027.5</v>
      </c>
      <c r="E18" s="4257">
        <f>'[40]NEGOSYO CENTER'!$E$12</f>
        <v>540</v>
      </c>
      <c r="F18" s="4243">
        <f t="shared" ref="F18:F24" si="0">G18-E18</f>
        <v>49460</v>
      </c>
      <c r="G18" s="4257">
        <f>'[40]NEGOSYO CENTER'!$C$12</f>
        <v>50000</v>
      </c>
      <c r="H18" s="4256">
        <f>'[41]NEGOSYO CENTER'!$G$12</f>
        <v>50000</v>
      </c>
    </row>
    <row r="19" spans="1:9" s="4240" customFormat="1" ht="18" customHeight="1" outlineLevel="1">
      <c r="A19" s="4250" t="s">
        <v>404</v>
      </c>
      <c r="B19" s="4249"/>
      <c r="C19" s="4248" t="s">
        <v>403</v>
      </c>
      <c r="D19" s="4244">
        <f>'[39]NEGOSYO CENTER'!$E$13</f>
        <v>0</v>
      </c>
      <c r="E19" s="4255">
        <f>'[40]NEGOSYO CENTER'!$E$13</f>
        <v>0</v>
      </c>
      <c r="F19" s="4243">
        <f t="shared" si="0"/>
        <v>345000</v>
      </c>
      <c r="G19" s="4255">
        <f>'[40]NEGOSYO CENTER'!$C$13</f>
        <v>345000</v>
      </c>
      <c r="H19" s="4241">
        <v>345000</v>
      </c>
    </row>
    <row r="20" spans="1:9" s="4239" customFormat="1" ht="18" customHeight="1" outlineLevel="1">
      <c r="A20" s="4247" t="s">
        <v>402</v>
      </c>
      <c r="B20" s="4246"/>
      <c r="C20" s="4248" t="s">
        <v>401</v>
      </c>
      <c r="D20" s="4244">
        <f>'[39]NEGOSYO CENTER'!$E$14</f>
        <v>49958.79</v>
      </c>
      <c r="E20" s="4255">
        <f>'[40]NEGOSYO CENTER'!$E$14</f>
        <v>40305.4</v>
      </c>
      <c r="F20" s="4243">
        <f t="shared" si="0"/>
        <v>9694.5999999999985</v>
      </c>
      <c r="G20" s="4255">
        <f>'[40]NEGOSYO CENTER'!$C$14</f>
        <v>50000</v>
      </c>
      <c r="H20" s="4241">
        <f>'[41]NEGOSYO CENTER'!$G$14</f>
        <v>50000</v>
      </c>
    </row>
    <row r="21" spans="1:9" s="4239" customFormat="1" ht="18" customHeight="1" outlineLevel="1">
      <c r="A21" s="4250" t="s">
        <v>674</v>
      </c>
      <c r="B21" s="4249"/>
      <c r="C21" s="4248" t="s">
        <v>396</v>
      </c>
      <c r="D21" s="4244">
        <f>'[39]NEGOSYO CENTER'!$E$15</f>
        <v>17184.759999999998</v>
      </c>
      <c r="E21" s="4255">
        <f>'[40]NEGOSYO CENTER'!$E$15</f>
        <v>4729.8099999999995</v>
      </c>
      <c r="F21" s="4243">
        <f t="shared" si="0"/>
        <v>45270.19</v>
      </c>
      <c r="G21" s="4255">
        <f>'[40]NEGOSYO CENTER'!$C$15</f>
        <v>50000</v>
      </c>
      <c r="H21" s="4241">
        <f>'[41]NEGOSYO CENTER'!$G$15</f>
        <v>50000</v>
      </c>
    </row>
    <row r="22" spans="1:9" s="4239" customFormat="1" ht="18" customHeight="1" outlineLevel="1">
      <c r="A22" s="4250" t="s">
        <v>878</v>
      </c>
      <c r="B22" s="4249"/>
      <c r="C22" s="4248" t="s">
        <v>394</v>
      </c>
      <c r="D22" s="4244">
        <f>'[39]NEGOSYO CENTER'!$E$16</f>
        <v>13934.75</v>
      </c>
      <c r="E22" s="4255">
        <f>'[40]NEGOSYO CENTER'!$E$16</f>
        <v>14400</v>
      </c>
      <c r="F22" s="4243">
        <f t="shared" si="0"/>
        <v>50600</v>
      </c>
      <c r="G22" s="4255">
        <f>'[40]NEGOSYO CENTER'!$C$16</f>
        <v>65000</v>
      </c>
      <c r="H22" s="4241">
        <f>'[41]NEGOSYO CENTER'!$G$16</f>
        <v>65000</v>
      </c>
    </row>
    <row r="23" spans="1:9" s="4239" customFormat="1" ht="18" customHeight="1" outlineLevel="1">
      <c r="A23" s="4250" t="s">
        <v>391</v>
      </c>
      <c r="B23" s="4249"/>
      <c r="C23" s="4248" t="s">
        <v>390</v>
      </c>
      <c r="D23" s="4244">
        <v>0</v>
      </c>
      <c r="E23" s="4255">
        <f>'[40]NEGOSYO CENTER'!$E$17</f>
        <v>2675.6800000000003</v>
      </c>
      <c r="F23" s="4243">
        <f t="shared" si="0"/>
        <v>6324.32</v>
      </c>
      <c r="G23" s="4255">
        <f>'[40]NEGOSYO CENTER'!$C$17</f>
        <v>9000</v>
      </c>
      <c r="H23" s="4241">
        <f>'[41]NEGOSYO CENTER'!$G$17</f>
        <v>9000</v>
      </c>
      <c r="I23" s="4407" t="s">
        <v>3278</v>
      </c>
    </row>
    <row r="24" spans="1:9" s="4239" customFormat="1" ht="18" customHeight="1" outlineLevel="1">
      <c r="A24" s="4250" t="s">
        <v>389</v>
      </c>
      <c r="B24" s="4249"/>
      <c r="C24" s="4248" t="s">
        <v>388</v>
      </c>
      <c r="D24" s="4244">
        <f>'[39]NEGOSYO CENTER'!$E$17</f>
        <v>144586.22999999998</v>
      </c>
      <c r="E24" s="4255">
        <f>'[40]NEGOSYO CENTER'!$E$18</f>
        <v>47400</v>
      </c>
      <c r="F24" s="4243">
        <f t="shared" si="0"/>
        <v>111000</v>
      </c>
      <c r="G24" s="4255">
        <f>'[40]NEGOSYO CENTER'!$C$18</f>
        <v>158400</v>
      </c>
      <c r="H24" s="4241">
        <v>236400</v>
      </c>
      <c r="I24" s="4326">
        <v>78000</v>
      </c>
    </row>
    <row r="25" spans="1:9" s="4239" customFormat="1" ht="18" customHeight="1" outlineLevel="1">
      <c r="A25" s="4250" t="s">
        <v>3180</v>
      </c>
      <c r="B25" s="4249"/>
      <c r="C25" s="4248"/>
      <c r="D25" s="4244"/>
      <c r="E25" s="4242"/>
      <c r="F25" s="4243"/>
      <c r="G25" s="4242"/>
      <c r="H25" s="4241"/>
    </row>
    <row r="26" spans="1:9" s="4239" customFormat="1" ht="18" customHeight="1" outlineLevel="1">
      <c r="A26" s="4250"/>
      <c r="B26" s="4324" t="s">
        <v>2336</v>
      </c>
      <c r="C26" s="4248" t="s">
        <v>2335</v>
      </c>
      <c r="D26" s="4244">
        <f>'[39]NEGOSYO CENTER'!$E$18</f>
        <v>9350</v>
      </c>
      <c r="E26" s="4242">
        <f>'[40]NEGOSYO CENTER'!$E$19</f>
        <v>9375</v>
      </c>
      <c r="F26" s="4243">
        <f>G26-E26</f>
        <v>625</v>
      </c>
      <c r="G26" s="4242">
        <f>'[40]NEGOSYO CENTER'!$C$19</f>
        <v>10000</v>
      </c>
      <c r="H26" s="4241">
        <f>'[41]NEGOSYO CENTER'!$G$20</f>
        <v>10000</v>
      </c>
    </row>
    <row r="27" spans="1:9" s="4239" customFormat="1" ht="18" customHeight="1" outlineLevel="1">
      <c r="A27" s="4250" t="s">
        <v>3252</v>
      </c>
      <c r="B27" s="4249"/>
      <c r="C27" s="4248"/>
      <c r="D27" s="4244"/>
      <c r="E27" s="4242"/>
      <c r="F27" s="4243"/>
      <c r="G27" s="4242"/>
      <c r="H27" s="4241"/>
    </row>
    <row r="28" spans="1:9" s="4239" customFormat="1" ht="18" customHeight="1" outlineLevel="1">
      <c r="A28" s="4250"/>
      <c r="B28" s="4249" t="s">
        <v>2370</v>
      </c>
      <c r="C28" s="4248" t="s">
        <v>2327</v>
      </c>
      <c r="D28" s="4244">
        <v>0</v>
      </c>
      <c r="E28" s="4242">
        <v>0</v>
      </c>
      <c r="F28" s="4243">
        <f>G28-E28</f>
        <v>10000</v>
      </c>
      <c r="G28" s="4242">
        <f>'[40]NEGOSYO CENTER'!$C$20</f>
        <v>10000</v>
      </c>
      <c r="H28" s="4241">
        <v>10000</v>
      </c>
    </row>
    <row r="29" spans="1:9" s="4239" customFormat="1" ht="18" customHeight="1" outlineLevel="1">
      <c r="A29" s="4247" t="s">
        <v>368</v>
      </c>
      <c r="B29" s="4246"/>
      <c r="C29" s="4245" t="s">
        <v>367</v>
      </c>
      <c r="D29" s="4244">
        <f>'[39]NEGOSYO CENTER'!$E$19</f>
        <v>205183.5</v>
      </c>
      <c r="E29" s="4242">
        <f>'[40]NEGOSYO CENTER'!$E$21</f>
        <v>59897.5</v>
      </c>
      <c r="F29" s="4243">
        <f>G29-E29</f>
        <v>61902.5</v>
      </c>
      <c r="G29" s="4242">
        <f>'[40]NEGOSYO CENTER'!$C$21</f>
        <v>121800</v>
      </c>
      <c r="H29" s="4241">
        <f>'[41]NEGOSYO CENTER'!$G$23</f>
        <v>121800</v>
      </c>
    </row>
    <row r="30" spans="1:9" ht="20.100000000000001" customHeight="1" outlineLevel="2" thickBot="1">
      <c r="A30" s="4238" t="s">
        <v>366</v>
      </c>
      <c r="B30" s="4236"/>
      <c r="C30" s="4237"/>
      <c r="D30" s="4236">
        <f>SUM(D18:D29)</f>
        <v>445225.52999999997</v>
      </c>
      <c r="E30" s="4236">
        <f>SUM(E18:E29)</f>
        <v>179323.39</v>
      </c>
      <c r="F30" s="4236">
        <f>SUM(F18:F29)</f>
        <v>689876.61</v>
      </c>
      <c r="G30" s="4236">
        <f>SUM(G18:G29)</f>
        <v>869200</v>
      </c>
      <c r="H30" s="4235">
        <f>SUM(H18:H29)</f>
        <v>947200</v>
      </c>
    </row>
    <row r="31" spans="1:9" ht="20.100000000000001" customHeight="1" outlineLevel="2" thickTop="1">
      <c r="A31" s="4233"/>
      <c r="B31" s="4233"/>
      <c r="C31" s="4234"/>
      <c r="D31" s="4233"/>
      <c r="E31" s="4233"/>
      <c r="F31" s="4233"/>
      <c r="G31" s="4233"/>
      <c r="H31" s="4232"/>
    </row>
    <row r="32" spans="1:9" s="4220" customFormat="1" ht="14.25" customHeight="1">
      <c r="A32" s="4225" t="s">
        <v>3163</v>
      </c>
      <c r="B32" s="4222"/>
      <c r="C32" s="4222" t="s">
        <v>363</v>
      </c>
      <c r="D32" s="4222"/>
      <c r="E32" s="4225"/>
      <c r="F32" s="4225" t="s">
        <v>2311</v>
      </c>
      <c r="G32" s="4222"/>
      <c r="H32" s="4222"/>
    </row>
    <row r="33" spans="1:8" s="4220" customFormat="1" ht="14.25" customHeight="1">
      <c r="A33" s="4225"/>
      <c r="B33" s="4222"/>
      <c r="C33" s="4222"/>
      <c r="D33" s="4222"/>
      <c r="E33" s="4225"/>
      <c r="F33" s="4225"/>
      <c r="G33" s="4222"/>
      <c r="H33" s="4222"/>
    </row>
    <row r="34" spans="1:8" s="4220" customFormat="1" ht="14.25" customHeight="1">
      <c r="A34" s="4225"/>
      <c r="B34" s="4222"/>
      <c r="C34" s="4222"/>
      <c r="D34" s="4222"/>
      <c r="E34" s="4225"/>
      <c r="F34" s="4225"/>
      <c r="G34" s="4222"/>
      <c r="H34" s="4222"/>
    </row>
    <row r="35" spans="1:8" s="4220" customFormat="1" ht="14.25" customHeight="1">
      <c r="A35" s="4229" t="s">
        <v>2499</v>
      </c>
      <c r="B35" s="4226"/>
      <c r="C35" s="4228" t="s">
        <v>3162</v>
      </c>
      <c r="D35" s="4222"/>
      <c r="E35" s="4227"/>
      <c r="F35" s="4227" t="s">
        <v>359</v>
      </c>
      <c r="G35" s="4222"/>
      <c r="H35" s="4222"/>
    </row>
    <row r="36" spans="1:8" s="4220" customFormat="1" ht="14.25" customHeight="1">
      <c r="A36" s="4222" t="s">
        <v>2500</v>
      </c>
      <c r="B36" s="4226"/>
      <c r="C36" s="4224" t="s">
        <v>3160</v>
      </c>
      <c r="D36" s="4222"/>
      <c r="E36" s="4223"/>
      <c r="F36" s="4223" t="s">
        <v>3159</v>
      </c>
      <c r="G36" s="4222"/>
      <c r="H36" s="4222"/>
    </row>
    <row r="37" spans="1:8" s="4214" customFormat="1">
      <c r="A37" s="4283" t="s">
        <v>3277</v>
      </c>
      <c r="B37" s="4219"/>
      <c r="C37" s="4218"/>
      <c r="D37" s="4217"/>
      <c r="E37" s="4217"/>
      <c r="F37" s="4217"/>
      <c r="G37" s="4217"/>
      <c r="H37" s="4217"/>
    </row>
    <row r="38" spans="1:8" s="4214" customFormat="1">
      <c r="A38" s="4283" t="s">
        <v>3276</v>
      </c>
      <c r="B38" s="4219"/>
      <c r="C38" s="4218"/>
      <c r="D38" s="4217"/>
      <c r="E38" s="4217"/>
      <c r="F38" s="4217"/>
      <c r="G38" s="4217"/>
      <c r="H38" s="4217"/>
    </row>
    <row r="39" spans="1:8" s="4214" customFormat="1">
      <c r="A39" s="4218"/>
      <c r="B39" s="4219"/>
      <c r="C39" s="4218"/>
      <c r="D39" s="4217"/>
      <c r="E39" s="4217"/>
      <c r="F39" s="4217"/>
      <c r="G39" s="4217"/>
      <c r="H39" s="4217"/>
    </row>
    <row r="40" spans="1:8" s="4214" customFormat="1">
      <c r="A40" s="4218"/>
      <c r="B40" s="4219"/>
      <c r="C40" s="4218"/>
      <c r="D40" s="4217"/>
      <c r="E40" s="4217"/>
      <c r="F40" s="4217"/>
      <c r="G40" s="4217"/>
      <c r="H40" s="4217"/>
    </row>
    <row r="41" spans="1:8" s="4214" customFormat="1">
      <c r="A41" s="4218"/>
      <c r="B41" s="4219"/>
      <c r="C41" s="4218"/>
      <c r="D41" s="4217"/>
      <c r="E41" s="4217"/>
      <c r="F41" s="4217"/>
      <c r="G41" s="4217"/>
      <c r="H41" s="4217"/>
    </row>
    <row r="42" spans="1:8" s="4214" customFormat="1">
      <c r="A42" s="4218"/>
      <c r="B42" s="4219"/>
      <c r="C42" s="4218"/>
      <c r="D42" s="4217"/>
      <c r="E42" s="4217"/>
      <c r="F42" s="4217"/>
      <c r="G42" s="4217"/>
      <c r="H42" s="4217"/>
    </row>
    <row r="43" spans="1:8" s="4214" customFormat="1">
      <c r="A43" s="4218"/>
      <c r="B43" s="4219"/>
      <c r="C43" s="4218"/>
      <c r="D43" s="4217"/>
      <c r="E43" s="4217"/>
      <c r="F43" s="4217"/>
      <c r="G43" s="4217"/>
      <c r="H43" s="4217"/>
    </row>
    <row r="44" spans="1:8" s="4214" customFormat="1">
      <c r="A44" s="4218"/>
      <c r="B44" s="4219"/>
      <c r="C44" s="4218"/>
      <c r="D44" s="4217"/>
      <c r="E44" s="4217"/>
      <c r="F44" s="4217"/>
      <c r="G44" s="4217"/>
      <c r="H44" s="4217"/>
    </row>
    <row r="45" spans="1:8" s="4214" customFormat="1">
      <c r="A45" s="4218"/>
      <c r="B45" s="4219"/>
      <c r="C45" s="4218"/>
      <c r="D45" s="4217"/>
      <c r="E45" s="4217"/>
      <c r="F45" s="4217"/>
      <c r="G45" s="4217"/>
      <c r="H45" s="4217"/>
    </row>
    <row r="46" spans="1:8" s="4214" customFormat="1">
      <c r="A46" s="4218"/>
      <c r="B46" s="4219"/>
      <c r="C46" s="4218"/>
      <c r="D46" s="4217"/>
      <c r="E46" s="4217"/>
      <c r="F46" s="4217"/>
      <c r="G46" s="4217"/>
      <c r="H46" s="4217"/>
    </row>
    <row r="47" spans="1:8" s="4214" customFormat="1">
      <c r="A47" s="4218"/>
      <c r="B47" s="4219"/>
      <c r="C47" s="4218"/>
      <c r="D47" s="4217"/>
      <c r="E47" s="4217"/>
      <c r="F47" s="4217"/>
      <c r="G47" s="4217"/>
      <c r="H47" s="4217"/>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M38"/>
  <sheetViews>
    <sheetView showGridLines="0" showOutlineSymbols="0" workbookViewId="0">
      <selection activeCell="A10" sqref="A10"/>
    </sheetView>
  </sheetViews>
  <sheetFormatPr defaultColWidth="12.5703125" defaultRowHeight="12.75" outlineLevelRow="2" outlineLevelCol="2"/>
  <cols>
    <col min="1" max="1" width="1.85546875" style="3160" customWidth="1"/>
    <col min="2" max="2" width="25.28515625" style="3160" customWidth="1"/>
    <col min="3" max="3" width="11" style="3160" customWidth="1"/>
    <col min="4" max="4" width="10.28515625" style="3160" customWidth="1"/>
    <col min="5" max="5" width="10.42578125" style="3160" customWidth="1"/>
    <col min="6" max="7" width="11.140625" style="3160" customWidth="1"/>
    <col min="8" max="8" width="13.140625" style="3160" customWidth="1"/>
    <col min="9" max="42" width="12.5703125" style="1403"/>
    <col min="43" max="47" width="12.5703125" style="1403" outlineLevel="1"/>
    <col min="48" max="53" width="12.5703125" style="1403" outlineLevel="2"/>
    <col min="54" max="56" width="12.5703125" style="1403" outlineLevel="1"/>
    <col min="57" max="76" width="12.5703125" style="1403"/>
    <col min="77" max="80" width="12.5703125" style="1403" outlineLevel="1"/>
    <col min="81" max="128" width="12.5703125" style="1403"/>
    <col min="129" max="134" width="12.5703125" style="1403" outlineLevel="1"/>
    <col min="135" max="140" width="12.5703125" style="1403" outlineLevel="2"/>
    <col min="141" max="143" width="12.5703125" style="1403" outlineLevel="1"/>
    <col min="144"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E4" s="4187"/>
      <c r="G4" s="4187"/>
      <c r="H4" s="4187"/>
    </row>
    <row r="5" spans="1:8" ht="14.25" customHeight="1">
      <c r="A5" s="4741" t="s">
        <v>471</v>
      </c>
      <c r="B5" s="4741"/>
      <c r="C5" s="4741"/>
      <c r="D5" s="4741"/>
      <c r="E5" s="4741"/>
      <c r="F5" s="4741"/>
      <c r="G5" s="4741"/>
      <c r="H5" s="4741"/>
    </row>
    <row r="6" spans="1:8" ht="14.25" customHeight="1">
      <c r="A6" s="4742" t="s">
        <v>3282</v>
      </c>
      <c r="B6" s="4742"/>
      <c r="C6" s="4742"/>
      <c r="D6" s="4742"/>
      <c r="E6" s="4742"/>
      <c r="F6" s="4742"/>
      <c r="G6" s="4742"/>
      <c r="H6" s="4742"/>
    </row>
    <row r="7" spans="1:8" ht="14.25" customHeight="1">
      <c r="A7" s="1578"/>
      <c r="B7" s="1578"/>
      <c r="C7" s="1578"/>
      <c r="D7" s="1578"/>
      <c r="E7" s="1578"/>
      <c r="F7" s="1578"/>
      <c r="G7" s="1578"/>
      <c r="H7" s="1578"/>
    </row>
    <row r="8" spans="1:8" ht="14.25" customHeight="1">
      <c r="A8" s="1578"/>
      <c r="B8" s="1578"/>
      <c r="C8" s="1578"/>
      <c r="D8" s="1578"/>
      <c r="E8" s="1578"/>
      <c r="F8" s="1578"/>
      <c r="G8" s="1578"/>
      <c r="H8" s="1578"/>
    </row>
    <row r="9" spans="1:8" ht="14.25" customHeight="1">
      <c r="A9" s="3281" t="s">
        <v>3169</v>
      </c>
      <c r="B9" s="3281"/>
    </row>
    <row r="10" spans="1:8" ht="14.25" customHeight="1">
      <c r="A10" s="4433" t="s">
        <v>3281</v>
      </c>
      <c r="B10" s="4433"/>
    </row>
    <row r="11" spans="1:8" ht="14.25" customHeight="1">
      <c r="A11" s="4433"/>
      <c r="B11" s="4433"/>
    </row>
    <row r="12" spans="1:8" ht="14.25" customHeight="1">
      <c r="A12" s="4743" t="s">
        <v>468</v>
      </c>
      <c r="B12" s="4744"/>
      <c r="C12" s="4432" t="s">
        <v>467</v>
      </c>
      <c r="D12" s="4432" t="s">
        <v>3280</v>
      </c>
      <c r="E12" s="5015" t="s">
        <v>465</v>
      </c>
      <c r="F12" s="5016"/>
      <c r="G12" s="5017"/>
      <c r="H12" s="4432" t="s">
        <v>2180</v>
      </c>
    </row>
    <row r="13" spans="1:8" ht="14.25" customHeight="1">
      <c r="A13" s="4745"/>
      <c r="B13" s="4746"/>
      <c r="C13" s="4431" t="s">
        <v>463</v>
      </c>
      <c r="D13" s="4429" t="s">
        <v>2342</v>
      </c>
      <c r="E13" s="4429" t="s">
        <v>2344</v>
      </c>
      <c r="F13" s="4429" t="s">
        <v>2343</v>
      </c>
      <c r="G13" s="4429" t="s">
        <v>244</v>
      </c>
      <c r="H13" s="4429" t="s">
        <v>2342</v>
      </c>
    </row>
    <row r="14" spans="1:8" ht="14.25" customHeight="1">
      <c r="A14" s="4745"/>
      <c r="B14" s="4746"/>
      <c r="C14" s="4431"/>
      <c r="D14" s="4429">
        <v>2020</v>
      </c>
      <c r="E14" s="4429" t="s">
        <v>2341</v>
      </c>
      <c r="F14" s="4429" t="s">
        <v>2341</v>
      </c>
      <c r="G14" s="4430"/>
      <c r="H14" s="4429">
        <v>2022</v>
      </c>
    </row>
    <row r="15" spans="1:8" ht="14.25" customHeight="1">
      <c r="A15" s="4747"/>
      <c r="B15" s="4748"/>
      <c r="C15" s="4428"/>
      <c r="D15" s="4426" t="s">
        <v>460</v>
      </c>
      <c r="E15" s="4426" t="s">
        <v>460</v>
      </c>
      <c r="F15" s="4426" t="s">
        <v>459</v>
      </c>
      <c r="G15" s="4427"/>
      <c r="H15" s="4426" t="s">
        <v>458</v>
      </c>
    </row>
    <row r="16" spans="1:8" ht="20.100000000000001" customHeight="1">
      <c r="A16" s="1574" t="s">
        <v>456</v>
      </c>
      <c r="B16" s="3276"/>
      <c r="C16" s="4186"/>
      <c r="D16" s="4186">
        <f>D18</f>
        <v>233341</v>
      </c>
      <c r="E16" s="4186">
        <f>E18</f>
        <v>0</v>
      </c>
      <c r="F16" s="4186">
        <f>F18</f>
        <v>1000000</v>
      </c>
      <c r="G16" s="4186">
        <f>G18</f>
        <v>1000000</v>
      </c>
      <c r="H16" s="4186">
        <f>H18</f>
        <v>1000000</v>
      </c>
    </row>
    <row r="17" spans="1:8" ht="20.100000000000001" customHeight="1">
      <c r="A17" s="3273" t="s">
        <v>455</v>
      </c>
      <c r="B17" s="3272"/>
      <c r="C17" s="4425"/>
      <c r="D17" s="3272"/>
      <c r="E17" s="4425"/>
      <c r="F17" s="3272"/>
      <c r="G17" s="3272"/>
      <c r="H17" s="4425"/>
    </row>
    <row r="18" spans="1:8" ht="16.7" customHeight="1" outlineLevel="1">
      <c r="A18" s="4424" t="s">
        <v>425</v>
      </c>
      <c r="B18" s="4420"/>
      <c r="C18" s="4423" t="s">
        <v>442</v>
      </c>
      <c r="D18" s="3694">
        <v>233341</v>
      </c>
      <c r="E18" s="1517">
        <v>0</v>
      </c>
      <c r="F18" s="1532">
        <v>1000000</v>
      </c>
      <c r="G18" s="4422">
        <v>1000000</v>
      </c>
      <c r="H18" s="4422">
        <v>1000000</v>
      </c>
    </row>
    <row r="19" spans="1:8" s="2994" customFormat="1" ht="20.100000000000001" customHeight="1" outlineLevel="1">
      <c r="A19" s="3699" t="s">
        <v>407</v>
      </c>
      <c r="B19" s="4197"/>
      <c r="C19" s="4209"/>
      <c r="D19" s="2982">
        <f>SUM(D20:D20)</f>
        <v>6029460</v>
      </c>
      <c r="E19" s="2598">
        <f>SUM(E20:E20)</f>
        <v>2484156.35</v>
      </c>
      <c r="F19" s="2598">
        <f>SUM(F20:F20)</f>
        <v>6515843.6500000004</v>
      </c>
      <c r="G19" s="2598">
        <f>SUM(G20:G20)</f>
        <v>9000000</v>
      </c>
      <c r="H19" s="2598">
        <f>SUM(H20:H20)</f>
        <v>9000000</v>
      </c>
    </row>
    <row r="20" spans="1:8" s="1422" customFormat="1" ht="16.7" customHeight="1" outlineLevel="1" thickBot="1">
      <c r="A20" s="4421" t="s">
        <v>368</v>
      </c>
      <c r="B20" s="4420"/>
      <c r="C20" s="4419" t="s">
        <v>1871</v>
      </c>
      <c r="D20" s="4418">
        <v>6029460</v>
      </c>
      <c r="E20" s="4200">
        <v>2484156.35</v>
      </c>
      <c r="F20" s="1532">
        <v>6515843.6500000004</v>
      </c>
      <c r="G20" s="4200">
        <v>9000000</v>
      </c>
      <c r="H20" s="1532">
        <v>9000000</v>
      </c>
    </row>
    <row r="21" spans="1:8" ht="20.100000000000001" customHeight="1" outlineLevel="2" thickBot="1">
      <c r="A21" s="2480" t="s">
        <v>366</v>
      </c>
      <c r="B21" s="3690"/>
      <c r="C21" s="4417"/>
      <c r="D21" s="3690">
        <f>D19+D16</f>
        <v>6262801</v>
      </c>
      <c r="E21" s="3690">
        <f>E19+E16</f>
        <v>2484156.35</v>
      </c>
      <c r="F21" s="3690">
        <f>F19+F16</f>
        <v>7515843.6500000004</v>
      </c>
      <c r="G21" s="3690">
        <f>G19+G16</f>
        <v>10000000</v>
      </c>
      <c r="H21" s="3690">
        <f>H19+H16</f>
        <v>10000000</v>
      </c>
    </row>
    <row r="22" spans="1:8" ht="20.100000000000001" customHeight="1" outlineLevel="2" thickTop="1">
      <c r="A22" s="3687"/>
      <c r="B22" s="3687"/>
      <c r="C22" s="4416"/>
      <c r="D22" s="3687"/>
      <c r="E22" s="3687"/>
      <c r="F22" s="3687"/>
      <c r="G22" s="3687"/>
      <c r="H22" s="3687"/>
    </row>
    <row r="23" spans="1:8" s="4409" customFormat="1" ht="14.25" customHeight="1">
      <c r="A23" s="4412" t="s">
        <v>3163</v>
      </c>
      <c r="B23" s="4412"/>
      <c r="C23" s="4411"/>
      <c r="D23" s="4411" t="s">
        <v>363</v>
      </c>
      <c r="E23" s="4411"/>
      <c r="F23" s="4412"/>
      <c r="G23" s="4412" t="s">
        <v>2311</v>
      </c>
      <c r="H23" s="4412"/>
    </row>
    <row r="24" spans="1:8" s="4409" customFormat="1" ht="14.25" customHeight="1">
      <c r="A24" s="4412"/>
      <c r="B24" s="4412"/>
      <c r="C24" s="4411"/>
      <c r="D24" s="4411"/>
      <c r="E24" s="4411"/>
      <c r="F24" s="4412"/>
      <c r="G24" s="4412"/>
      <c r="H24" s="4412"/>
    </row>
    <row r="25" spans="1:8" s="4409" customFormat="1" ht="14.25" customHeight="1">
      <c r="A25" s="4412"/>
      <c r="B25" s="4412"/>
      <c r="C25" s="4411"/>
      <c r="D25" s="4411"/>
      <c r="E25" s="4411"/>
      <c r="F25" s="4412"/>
      <c r="G25" s="4412"/>
      <c r="H25" s="4412"/>
    </row>
    <row r="26" spans="1:8" s="4409" customFormat="1" ht="14.25" customHeight="1">
      <c r="A26" s="4415" t="s">
        <v>3248</v>
      </c>
      <c r="B26" s="4413"/>
      <c r="C26" s="4414"/>
      <c r="D26" s="4414" t="s">
        <v>3162</v>
      </c>
      <c r="E26" s="4411"/>
      <c r="F26" s="4413"/>
      <c r="G26" s="4413" t="s">
        <v>359</v>
      </c>
      <c r="H26" s="4413"/>
    </row>
    <row r="27" spans="1:8" s="4409" customFormat="1" ht="14.25" customHeight="1">
      <c r="A27" s="4411" t="s">
        <v>3247</v>
      </c>
      <c r="B27" s="4412"/>
      <c r="C27" s="4412"/>
      <c r="D27" s="4412" t="s">
        <v>658</v>
      </c>
      <c r="E27" s="4411"/>
      <c r="F27" s="4410"/>
      <c r="G27" s="4410" t="s">
        <v>2307</v>
      </c>
      <c r="H27" s="4410"/>
    </row>
    <row r="28" spans="1:8" s="1404" customFormat="1">
      <c r="A28" s="3286"/>
      <c r="B28" s="4408"/>
      <c r="C28" s="3286"/>
      <c r="D28" s="3686"/>
      <c r="E28" s="3686"/>
      <c r="F28" s="3686"/>
      <c r="G28" s="3686"/>
      <c r="H28" s="3686"/>
    </row>
    <row r="29" spans="1:8" s="1404" customFormat="1">
      <c r="A29" s="3286"/>
      <c r="B29" s="4408"/>
      <c r="C29" s="3286"/>
      <c r="D29" s="3686"/>
      <c r="E29" s="3686"/>
      <c r="F29" s="3686"/>
      <c r="G29" s="3686"/>
      <c r="H29" s="3686"/>
    </row>
    <row r="30" spans="1:8" s="1404" customFormat="1">
      <c r="A30" s="3286"/>
      <c r="B30" s="4408"/>
      <c r="C30" s="3286"/>
      <c r="D30" s="3686"/>
      <c r="E30" s="3686"/>
      <c r="F30" s="3686"/>
      <c r="G30" s="3686"/>
      <c r="H30" s="3686"/>
    </row>
    <row r="31" spans="1:8" s="1404" customFormat="1">
      <c r="A31" s="3286"/>
      <c r="B31" s="4408"/>
      <c r="C31" s="3286"/>
      <c r="D31" s="3686"/>
      <c r="E31" s="3686"/>
      <c r="F31" s="3686"/>
      <c r="G31" s="3686"/>
      <c r="H31" s="3686"/>
    </row>
    <row r="32" spans="1:8" s="1404" customFormat="1">
      <c r="A32" s="3286"/>
      <c r="B32" s="4408"/>
      <c r="C32" s="3286"/>
      <c r="D32" s="3686"/>
      <c r="E32" s="3686"/>
      <c r="F32" s="3686"/>
      <c r="G32" s="3686"/>
      <c r="H32" s="3686"/>
    </row>
    <row r="33" spans="1:8" s="1404" customFormat="1">
      <c r="A33" s="3286"/>
      <c r="B33" s="4408"/>
      <c r="C33" s="3286"/>
      <c r="D33" s="3686"/>
      <c r="E33" s="3686"/>
      <c r="F33" s="3686"/>
      <c r="G33" s="3686"/>
      <c r="H33" s="3686"/>
    </row>
    <row r="34" spans="1:8" s="1404" customFormat="1">
      <c r="A34" s="3286"/>
      <c r="B34" s="4408"/>
      <c r="C34" s="3286"/>
      <c r="D34" s="3686"/>
      <c r="E34" s="3686"/>
      <c r="F34" s="3686"/>
      <c r="G34" s="3686"/>
      <c r="H34" s="3686"/>
    </row>
    <row r="35" spans="1:8" s="1404" customFormat="1">
      <c r="A35" s="3286"/>
      <c r="B35" s="4408"/>
      <c r="C35" s="3286"/>
      <c r="D35" s="3686"/>
      <c r="E35" s="3686"/>
      <c r="F35" s="3686"/>
      <c r="G35" s="3686"/>
      <c r="H35" s="3686"/>
    </row>
    <row r="36" spans="1:8" s="1404" customFormat="1">
      <c r="A36" s="3286"/>
      <c r="B36" s="4408"/>
      <c r="C36" s="3286"/>
      <c r="D36" s="3686"/>
      <c r="E36" s="3686"/>
      <c r="F36" s="3686"/>
      <c r="G36" s="3686"/>
      <c r="H36" s="3686"/>
    </row>
    <row r="37" spans="1:8" s="1404" customFormat="1">
      <c r="A37" s="3286"/>
      <c r="B37" s="4408"/>
      <c r="C37" s="3286"/>
      <c r="D37" s="3686"/>
      <c r="E37" s="3686"/>
      <c r="F37" s="3686"/>
      <c r="G37" s="3686"/>
      <c r="H37" s="3686"/>
    </row>
    <row r="38" spans="1:8" s="1404" customFormat="1">
      <c r="A38" s="3286"/>
      <c r="B38" s="4408"/>
      <c r="C38" s="3286"/>
      <c r="D38" s="3686"/>
      <c r="E38" s="3686"/>
      <c r="F38" s="3686"/>
      <c r="G38" s="3686"/>
      <c r="H38" s="3686"/>
    </row>
  </sheetData>
  <mergeCells count="4">
    <mergeCell ref="A5:H5"/>
    <mergeCell ref="A6:H6"/>
    <mergeCell ref="A12:B15"/>
    <mergeCell ref="E12:G12"/>
  </mergeCells>
  <pageMargins left="0.5" right="0" top="0" bottom="0" header="0.25" footer="0"/>
  <pageSetup paperSize="5" orientation="portrait" verticalDpi="300"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2" sqref="F12"/>
    </sheetView>
  </sheetViews>
  <sheetFormatPr defaultRowHeight="12.75"/>
  <cols>
    <col min="1" max="16384" width="9.140625" style="4435"/>
  </cols>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M49"/>
  <sheetViews>
    <sheetView showGridLines="0" showOutlineSymbols="0" zoomScaleNormal="100" workbookViewId="0">
      <selection activeCell="I34" sqref="I34"/>
    </sheetView>
  </sheetViews>
  <sheetFormatPr defaultColWidth="12.5703125" defaultRowHeight="12.75" outlineLevelRow="2" outlineLevelCol="2"/>
  <cols>
    <col min="1" max="1" width="1.85546875" style="3160" customWidth="1"/>
    <col min="2" max="2" width="25.28515625" style="3160" customWidth="1"/>
    <col min="3" max="3" width="11" style="3160" customWidth="1"/>
    <col min="4" max="4" width="10.28515625" style="3160" customWidth="1"/>
    <col min="5" max="5" width="10.42578125" style="3160" customWidth="1"/>
    <col min="6" max="7" width="11.140625" style="3160" customWidth="1"/>
    <col min="8" max="8" width="13.140625" style="3160" customWidth="1"/>
    <col min="9" max="42" width="12.5703125" style="1403"/>
    <col min="43" max="47" width="12.5703125" style="1403" outlineLevel="1"/>
    <col min="48" max="53" width="12.5703125" style="1403" outlineLevel="2"/>
    <col min="54" max="56" width="12.5703125" style="1403" outlineLevel="1"/>
    <col min="57" max="76" width="12.5703125" style="1403"/>
    <col min="77" max="80" width="12.5703125" style="1403" outlineLevel="1"/>
    <col min="81" max="128" width="12.5703125" style="1403"/>
    <col min="129" max="134" width="12.5703125" style="1403" outlineLevel="1"/>
    <col min="135" max="140" width="12.5703125" style="1403" outlineLevel="2"/>
    <col min="141" max="143" width="12.5703125" style="1403" outlineLevel="1"/>
    <col min="144"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E4" s="4187"/>
      <c r="G4" s="4187"/>
      <c r="H4" s="4187"/>
    </row>
    <row r="5" spans="1:8" ht="14.25" customHeight="1">
      <c r="A5" s="4741" t="s">
        <v>471</v>
      </c>
      <c r="B5" s="4741"/>
      <c r="C5" s="4741"/>
      <c r="D5" s="4741"/>
      <c r="E5" s="4741"/>
      <c r="F5" s="4741"/>
      <c r="G5" s="4741"/>
      <c r="H5" s="4741"/>
    </row>
    <row r="6" spans="1:8" ht="14.25" customHeight="1">
      <c r="A6" s="4742" t="s">
        <v>3282</v>
      </c>
      <c r="B6" s="4742"/>
      <c r="C6" s="4742"/>
      <c r="D6" s="4742"/>
      <c r="E6" s="4742"/>
      <c r="F6" s="4742"/>
      <c r="G6" s="4742"/>
      <c r="H6" s="4742"/>
    </row>
    <row r="7" spans="1:8" ht="14.25" customHeight="1">
      <c r="A7" s="1578"/>
      <c r="B7" s="1578"/>
      <c r="C7" s="1578"/>
      <c r="D7" s="1578"/>
      <c r="E7" s="1578"/>
      <c r="F7" s="1578"/>
      <c r="G7" s="1578"/>
      <c r="H7" s="1578"/>
    </row>
    <row r="8" spans="1:8" ht="14.25" customHeight="1">
      <c r="A8" s="1578"/>
      <c r="B8" s="1578"/>
      <c r="C8" s="1578"/>
      <c r="D8" s="1578"/>
      <c r="E8" s="1578"/>
      <c r="F8" s="1578"/>
      <c r="G8" s="1578"/>
      <c r="H8" s="1578"/>
    </row>
    <row r="9" spans="1:8" ht="14.25" customHeight="1">
      <c r="A9" s="3281" t="s">
        <v>3289</v>
      </c>
      <c r="B9" s="3281"/>
    </row>
    <row r="10" spans="1:8" ht="14.25" customHeight="1">
      <c r="A10" s="4433" t="s">
        <v>3288</v>
      </c>
      <c r="B10" s="4433"/>
    </row>
    <row r="11" spans="1:8" ht="14.25" customHeight="1">
      <c r="A11" s="4433"/>
      <c r="B11" s="4433"/>
    </row>
    <row r="12" spans="1:8" ht="14.25" customHeight="1">
      <c r="A12" s="4743" t="s">
        <v>468</v>
      </c>
      <c r="B12" s="4744"/>
      <c r="C12" s="4455" t="s">
        <v>467</v>
      </c>
      <c r="D12" s="4455" t="s">
        <v>3280</v>
      </c>
      <c r="E12" s="5018" t="s">
        <v>465</v>
      </c>
      <c r="F12" s="5019"/>
      <c r="G12" s="5020"/>
      <c r="H12" s="4455" t="s">
        <v>2180</v>
      </c>
    </row>
    <row r="13" spans="1:8" ht="14.25" customHeight="1">
      <c r="A13" s="4745"/>
      <c r="B13" s="4746"/>
      <c r="C13" s="4454" t="s">
        <v>463</v>
      </c>
      <c r="D13" s="4452" t="s">
        <v>2342</v>
      </c>
      <c r="E13" s="4452" t="s">
        <v>2344</v>
      </c>
      <c r="F13" s="4452" t="s">
        <v>2343</v>
      </c>
      <c r="G13" s="4452" t="s">
        <v>244</v>
      </c>
      <c r="H13" s="4452" t="s">
        <v>2342</v>
      </c>
    </row>
    <row r="14" spans="1:8" ht="14.25" customHeight="1">
      <c r="A14" s="4745"/>
      <c r="B14" s="4746"/>
      <c r="C14" s="4454"/>
      <c r="D14" s="4452">
        <v>2020</v>
      </c>
      <c r="E14" s="4452" t="s">
        <v>2341</v>
      </c>
      <c r="F14" s="4452" t="s">
        <v>2341</v>
      </c>
      <c r="G14" s="4453"/>
      <c r="H14" s="4452">
        <v>2022</v>
      </c>
    </row>
    <row r="15" spans="1:8" ht="14.25" customHeight="1">
      <c r="A15" s="4747"/>
      <c r="B15" s="4748"/>
      <c r="C15" s="4451"/>
      <c r="D15" s="4449" t="s">
        <v>460</v>
      </c>
      <c r="E15" s="4449" t="s">
        <v>460</v>
      </c>
      <c r="F15" s="4449" t="s">
        <v>459</v>
      </c>
      <c r="G15" s="4450"/>
      <c r="H15" s="4449" t="s">
        <v>458</v>
      </c>
    </row>
    <row r="16" spans="1:8" ht="20.100000000000001" customHeight="1">
      <c r="A16" s="1574" t="s">
        <v>456</v>
      </c>
      <c r="B16" s="3276"/>
      <c r="C16" s="4186"/>
      <c r="D16" s="4186">
        <f>D18</f>
        <v>220892</v>
      </c>
      <c r="E16" s="4186">
        <f>E18</f>
        <v>115248</v>
      </c>
      <c r="F16" s="4186">
        <f>F18</f>
        <v>115248</v>
      </c>
      <c r="G16" s="4186">
        <f>G18</f>
        <v>230496</v>
      </c>
      <c r="H16" s="4186">
        <f>H18</f>
        <v>241740</v>
      </c>
    </row>
    <row r="17" spans="1:10" ht="20.100000000000001" customHeight="1">
      <c r="A17" s="3273" t="s">
        <v>455</v>
      </c>
      <c r="B17" s="3272"/>
      <c r="C17" s="4425"/>
      <c r="D17" s="3272"/>
      <c r="E17" s="4425"/>
      <c r="F17" s="3272"/>
      <c r="G17" s="3272"/>
      <c r="H17" s="4425"/>
    </row>
    <row r="18" spans="1:10" ht="16.7" customHeight="1" outlineLevel="1">
      <c r="A18" s="4424" t="s">
        <v>3287</v>
      </c>
      <c r="B18" s="4420"/>
      <c r="C18" s="4423" t="s">
        <v>442</v>
      </c>
      <c r="D18" s="3694">
        <f>[39]OSCA!$F$12</f>
        <v>220892</v>
      </c>
      <c r="E18" s="1517">
        <f>[40]OSCA!$F$12</f>
        <v>115248</v>
      </c>
      <c r="F18" s="1532">
        <f>G18-E18</f>
        <v>115248</v>
      </c>
      <c r="G18" s="4422">
        <f>[40]OSCA!$D$12</f>
        <v>230496</v>
      </c>
      <c r="H18" s="4422">
        <v>241740</v>
      </c>
    </row>
    <row r="19" spans="1:10" s="2994" customFormat="1" ht="20.100000000000001" customHeight="1" outlineLevel="1">
      <c r="A19" s="3699" t="s">
        <v>407</v>
      </c>
      <c r="B19" s="4197"/>
      <c r="C19" s="4209"/>
      <c r="D19" s="2982">
        <f>SUM(D20:D31)</f>
        <v>8964048.9499999993</v>
      </c>
      <c r="E19" s="2598">
        <f>SUM(E20:E31)</f>
        <v>5345674.3</v>
      </c>
      <c r="F19" s="2598">
        <f>SUM(F20:F31)</f>
        <v>4101829.7</v>
      </c>
      <c r="G19" s="2598">
        <f>SUM(G20:G31)</f>
        <v>9447504</v>
      </c>
      <c r="H19" s="2598">
        <f>SUM(H20:H31)</f>
        <v>9695080</v>
      </c>
    </row>
    <row r="20" spans="1:10" s="1437" customFormat="1" ht="16.7" customHeight="1" outlineLevel="1">
      <c r="A20" s="4424" t="s">
        <v>2352</v>
      </c>
      <c r="B20" s="4420"/>
      <c r="C20" s="4448" t="s">
        <v>405</v>
      </c>
      <c r="D20" s="4207">
        <f>[39]OSCA!$F$14</f>
        <v>0</v>
      </c>
      <c r="E20" s="4206">
        <f>[40]OSCA!$F$14</f>
        <v>3038</v>
      </c>
      <c r="F20" s="1532">
        <f t="shared" ref="F20:F26" si="0">G20-E20</f>
        <v>6962</v>
      </c>
      <c r="G20" s="4206">
        <f>[40]OSCA!$D$14</f>
        <v>10000</v>
      </c>
      <c r="H20" s="3126">
        <v>10000</v>
      </c>
    </row>
    <row r="21" spans="1:10" s="1437" customFormat="1" ht="16.7" customHeight="1" outlineLevel="1">
      <c r="A21" s="4447" t="s">
        <v>404</v>
      </c>
      <c r="B21" s="4443"/>
      <c r="C21" s="4436" t="s">
        <v>403</v>
      </c>
      <c r="D21" s="4418">
        <f>[39]OSCA!$F$15</f>
        <v>0</v>
      </c>
      <c r="E21" s="4446">
        <f>[40]OSCA!$F$15</f>
        <v>0</v>
      </c>
      <c r="F21" s="1532">
        <f t="shared" si="0"/>
        <v>5294</v>
      </c>
      <c r="G21" s="4446">
        <f>[40]OSCA!$D$15</f>
        <v>5294</v>
      </c>
      <c r="H21" s="1532">
        <v>5000</v>
      </c>
    </row>
    <row r="22" spans="1:10" s="1422" customFormat="1" ht="16.7" customHeight="1" outlineLevel="1">
      <c r="A22" s="4438" t="s">
        <v>402</v>
      </c>
      <c r="B22" s="4420"/>
      <c r="C22" s="4436" t="s">
        <v>401</v>
      </c>
      <c r="D22" s="4418">
        <f>[39]OSCA!$F$16</f>
        <v>18336.25</v>
      </c>
      <c r="E22" s="4200">
        <f>[40]OSCA!$F$16</f>
        <v>17511.5</v>
      </c>
      <c r="F22" s="1532">
        <f t="shared" si="0"/>
        <v>2488.5</v>
      </c>
      <c r="G22" s="4200">
        <f>[40]OSCA!$D$16</f>
        <v>20000</v>
      </c>
      <c r="H22" s="1532">
        <v>20000</v>
      </c>
    </row>
    <row r="23" spans="1:10" s="1422" customFormat="1" ht="16.7" customHeight="1" outlineLevel="1">
      <c r="A23" s="4444" t="s">
        <v>878</v>
      </c>
      <c r="B23" s="4443"/>
      <c r="C23" s="4436" t="s">
        <v>394</v>
      </c>
      <c r="D23" s="4418">
        <f>[39]OSCA!$F$17</f>
        <v>13906</v>
      </c>
      <c r="E23" s="4200">
        <f>[40]OSCA!$F$17</f>
        <v>14650</v>
      </c>
      <c r="F23" s="1532">
        <f t="shared" si="0"/>
        <v>1350</v>
      </c>
      <c r="G23" s="4200">
        <f>[40]OSCA!$D$17</f>
        <v>16000</v>
      </c>
      <c r="H23" s="1532">
        <v>16000</v>
      </c>
    </row>
    <row r="24" spans="1:10" s="1422" customFormat="1" ht="16.7" customHeight="1" outlineLevel="1">
      <c r="A24" s="4424" t="s">
        <v>673</v>
      </c>
      <c r="B24" s="4420"/>
      <c r="C24" s="4436" t="s">
        <v>1269</v>
      </c>
      <c r="D24" s="4418">
        <f>[39]OSCA!$F$18</f>
        <v>1772.1999999999998</v>
      </c>
      <c r="E24" s="4200">
        <f>[40]OSCA!$F$18</f>
        <v>759.9</v>
      </c>
      <c r="F24" s="1532">
        <f t="shared" si="0"/>
        <v>3140.1</v>
      </c>
      <c r="G24" s="4200">
        <f>[40]OSCA!$D$18</f>
        <v>3900</v>
      </c>
      <c r="H24" s="1532">
        <v>3900</v>
      </c>
    </row>
    <row r="25" spans="1:10" s="1422" customFormat="1" ht="16.7" customHeight="1" outlineLevel="1">
      <c r="A25" s="4424" t="s">
        <v>1266</v>
      </c>
      <c r="B25" s="4420"/>
      <c r="C25" s="4436" t="s">
        <v>1265</v>
      </c>
      <c r="D25" s="4418">
        <f>[39]OSCA!$F$19</f>
        <v>15447.990000000002</v>
      </c>
      <c r="E25" s="4200">
        <f>[40]OSCA!$F$19</f>
        <v>9241.7000000000007</v>
      </c>
      <c r="F25" s="1532">
        <f t="shared" si="0"/>
        <v>5258.2999999999993</v>
      </c>
      <c r="G25" s="4200">
        <f>[40]OSCA!$D$19</f>
        <v>14500</v>
      </c>
      <c r="H25" s="1532">
        <v>14500</v>
      </c>
    </row>
    <row r="26" spans="1:10" s="1422" customFormat="1" ht="16.7" customHeight="1" outlineLevel="1">
      <c r="A26" s="4444" t="s">
        <v>699</v>
      </c>
      <c r="B26" s="4443"/>
      <c r="C26" s="4436" t="s">
        <v>390</v>
      </c>
      <c r="D26" s="4418">
        <f>[39]OSCA!$F$20</f>
        <v>7929.5999999999995</v>
      </c>
      <c r="E26" s="4200">
        <f>[40]OSCA!$F$20</f>
        <v>2643.2</v>
      </c>
      <c r="F26" s="1532">
        <f t="shared" si="0"/>
        <v>5356.8</v>
      </c>
      <c r="G26" s="4200">
        <f>[40]OSCA!$D$20</f>
        <v>8000</v>
      </c>
      <c r="H26" s="1532">
        <v>8000</v>
      </c>
    </row>
    <row r="27" spans="1:10" s="1422" customFormat="1" ht="16.7" customHeight="1" outlineLevel="1">
      <c r="A27" s="4444" t="s">
        <v>1264</v>
      </c>
      <c r="B27" s="4443"/>
      <c r="C27" s="4436" t="s">
        <v>3286</v>
      </c>
      <c r="D27" s="4418">
        <v>0</v>
      </c>
      <c r="E27" s="4200">
        <v>0</v>
      </c>
      <c r="F27" s="1532">
        <v>0</v>
      </c>
      <c r="G27" s="4200">
        <v>0</v>
      </c>
      <c r="H27" s="1532">
        <v>24000</v>
      </c>
      <c r="I27" s="4445" t="s">
        <v>3278</v>
      </c>
      <c r="J27" s="4445" t="s">
        <v>3222</v>
      </c>
    </row>
    <row r="28" spans="1:10" s="1422" customFormat="1" ht="16.7" customHeight="1" outlineLevel="1">
      <c r="A28" s="4444" t="s">
        <v>389</v>
      </c>
      <c r="B28" s="4443"/>
      <c r="C28" s="4436" t="s">
        <v>388</v>
      </c>
      <c r="D28" s="4418">
        <f>[39]OSCA!$F$21</f>
        <v>402656.91000000003</v>
      </c>
      <c r="E28" s="4200">
        <f>[40]OSCA!$F$21</f>
        <v>247830</v>
      </c>
      <c r="F28" s="1532">
        <f>G28-E28</f>
        <v>467850</v>
      </c>
      <c r="G28" s="4200">
        <f>[40]OSCA!$D$21</f>
        <v>715680</v>
      </c>
      <c r="H28" s="1532">
        <f>559680+I28+J28</f>
        <v>793680</v>
      </c>
      <c r="I28" s="4442">
        <v>78000</v>
      </c>
      <c r="J28" s="4442">
        <v>156000</v>
      </c>
    </row>
    <row r="29" spans="1:10" s="1422" customFormat="1" ht="16.7" customHeight="1" outlineLevel="1">
      <c r="A29" s="4441" t="s">
        <v>3285</v>
      </c>
      <c r="B29" s="4440"/>
      <c r="C29" s="4439" t="s">
        <v>964</v>
      </c>
      <c r="D29" s="4418">
        <f>[39]OSCA!$F$22</f>
        <v>1300000</v>
      </c>
      <c r="E29" s="4200">
        <f>[40]OSCA!$F$22</f>
        <v>1300000</v>
      </c>
      <c r="F29" s="1532">
        <v>0</v>
      </c>
      <c r="G29" s="4200">
        <f>[40]OSCA!$D$22</f>
        <v>1300000</v>
      </c>
      <c r="H29" s="1532">
        <v>1300000</v>
      </c>
    </row>
    <row r="30" spans="1:10" s="1422" customFormat="1" ht="16.7" customHeight="1" outlineLevel="1">
      <c r="A30" s="4438" t="s">
        <v>2727</v>
      </c>
      <c r="B30" s="4437"/>
      <c r="C30" s="4436" t="s">
        <v>1871</v>
      </c>
      <c r="D30" s="4418">
        <f>[39]OSCA!$F$23</f>
        <v>1335000</v>
      </c>
      <c r="E30" s="4200">
        <f>[40]OSCA!$F$23</f>
        <v>531000</v>
      </c>
      <c r="F30" s="1532">
        <f>G30-E30</f>
        <v>323130</v>
      </c>
      <c r="G30" s="4200">
        <f>[40]OSCA!$D$23</f>
        <v>854130</v>
      </c>
      <c r="H30" s="1532">
        <v>1000000</v>
      </c>
    </row>
    <row r="31" spans="1:10" s="1422" customFormat="1" ht="16.7" customHeight="1" outlineLevel="1" thickBot="1">
      <c r="A31" s="4421" t="s">
        <v>368</v>
      </c>
      <c r="B31" s="4420"/>
      <c r="C31" s="4419" t="s">
        <v>1871</v>
      </c>
      <c r="D31" s="4418">
        <f>[39]OSCA!$F$24</f>
        <v>5869000</v>
      </c>
      <c r="E31" s="4200">
        <f>[40]OSCA!$F$24</f>
        <v>3219000</v>
      </c>
      <c r="F31" s="1532">
        <f>G31-E31</f>
        <v>3281000</v>
      </c>
      <c r="G31" s="4200">
        <f>[40]OSCA!$D$24</f>
        <v>6500000</v>
      </c>
      <c r="H31" s="1532">
        <v>6500000</v>
      </c>
    </row>
    <row r="32" spans="1:10" ht="20.100000000000001" customHeight="1" outlineLevel="2" thickBot="1">
      <c r="A32" s="2480" t="s">
        <v>366</v>
      </c>
      <c r="B32" s="3690"/>
      <c r="C32" s="4417"/>
      <c r="D32" s="3690">
        <f>D19+D16</f>
        <v>9184940.9499999993</v>
      </c>
      <c r="E32" s="3690">
        <f>E19+E16</f>
        <v>5460922.2999999998</v>
      </c>
      <c r="F32" s="3690">
        <f>F19+F16</f>
        <v>4217077.7</v>
      </c>
      <c r="G32" s="3690">
        <f>G19+G16</f>
        <v>9678000</v>
      </c>
      <c r="H32" s="3690">
        <f>H19+H16</f>
        <v>9936820</v>
      </c>
    </row>
    <row r="33" spans="1:8" ht="20.100000000000001" customHeight="1" outlineLevel="2" thickTop="1">
      <c r="A33" s="3687"/>
      <c r="B33" s="3687"/>
      <c r="C33" s="4416"/>
      <c r="D33" s="3687"/>
      <c r="E33" s="3687"/>
      <c r="F33" s="3687"/>
      <c r="G33" s="3687"/>
      <c r="H33" s="3687"/>
    </row>
    <row r="34" spans="1:8" s="4409" customFormat="1" ht="14.25" customHeight="1">
      <c r="A34" s="4412" t="s">
        <v>3163</v>
      </c>
      <c r="B34" s="4412"/>
      <c r="C34" s="4411"/>
      <c r="D34" s="4411" t="s">
        <v>363</v>
      </c>
      <c r="E34" s="4411"/>
      <c r="F34" s="4412"/>
      <c r="G34" s="4412" t="s">
        <v>2311</v>
      </c>
      <c r="H34" s="4412"/>
    </row>
    <row r="35" spans="1:8" s="4409" customFormat="1" ht="14.25" customHeight="1">
      <c r="A35" s="4412"/>
      <c r="B35" s="4412"/>
      <c r="C35" s="4411"/>
      <c r="D35" s="4411"/>
      <c r="E35" s="4411"/>
      <c r="F35" s="4412"/>
      <c r="G35" s="4412"/>
      <c r="H35" s="4412"/>
    </row>
    <row r="36" spans="1:8" s="4409" customFormat="1" ht="14.25" customHeight="1">
      <c r="A36" s="4412"/>
      <c r="B36" s="4412"/>
      <c r="C36" s="4411"/>
      <c r="D36" s="4411"/>
      <c r="E36" s="4411"/>
      <c r="F36" s="4412"/>
      <c r="G36" s="4412"/>
      <c r="H36" s="4412"/>
    </row>
    <row r="37" spans="1:8" s="4409" customFormat="1" ht="14.25" customHeight="1">
      <c r="A37" s="4415" t="s">
        <v>3284</v>
      </c>
      <c r="B37" s="4413"/>
      <c r="C37" s="4414"/>
      <c r="D37" s="4414" t="s">
        <v>3162</v>
      </c>
      <c r="E37" s="4411"/>
      <c r="F37" s="4413"/>
      <c r="G37" s="4413" t="s">
        <v>359</v>
      </c>
      <c r="H37" s="4413"/>
    </row>
    <row r="38" spans="1:8" s="4409" customFormat="1" ht="14.25" customHeight="1">
      <c r="A38" s="4411" t="s">
        <v>3283</v>
      </c>
      <c r="B38" s="4412"/>
      <c r="C38" s="4412"/>
      <c r="D38" s="4412" t="s">
        <v>658</v>
      </c>
      <c r="E38" s="4411"/>
      <c r="F38" s="4410"/>
      <c r="G38" s="4410" t="s">
        <v>2307</v>
      </c>
      <c r="H38" s="4410"/>
    </row>
    <row r="39" spans="1:8" s="1404" customFormat="1">
      <c r="A39" s="3286"/>
      <c r="B39" s="3289"/>
      <c r="C39" s="3286"/>
      <c r="D39" s="3686"/>
      <c r="E39" s="3686"/>
      <c r="F39" s="3686"/>
      <c r="G39" s="3686"/>
      <c r="H39" s="3686"/>
    </row>
    <row r="40" spans="1:8" s="1404" customFormat="1">
      <c r="A40" s="3286"/>
      <c r="B40" s="3289"/>
      <c r="C40" s="3286"/>
      <c r="D40" s="3686"/>
      <c r="E40" s="3686"/>
      <c r="F40" s="3686"/>
      <c r="G40" s="3686"/>
      <c r="H40" s="3686"/>
    </row>
    <row r="41" spans="1:8" s="1404" customFormat="1">
      <c r="A41" s="3286"/>
      <c r="B41" s="3289"/>
      <c r="C41" s="3286"/>
      <c r="D41" s="3686"/>
      <c r="E41" s="3686"/>
      <c r="F41" s="3686"/>
      <c r="G41" s="3686"/>
      <c r="H41" s="3686"/>
    </row>
    <row r="42" spans="1:8" s="1404" customFormat="1">
      <c r="A42" s="3286"/>
      <c r="B42" s="3289"/>
      <c r="C42" s="3286"/>
      <c r="D42" s="3686"/>
      <c r="E42" s="3686"/>
      <c r="F42" s="3686"/>
      <c r="G42" s="3686"/>
      <c r="H42" s="3686"/>
    </row>
    <row r="43" spans="1:8" s="1404" customFormat="1">
      <c r="A43" s="3286"/>
      <c r="B43" s="3289"/>
      <c r="C43" s="3286"/>
      <c r="D43" s="3686"/>
      <c r="E43" s="3686"/>
      <c r="F43" s="3686"/>
      <c r="G43" s="3686"/>
      <c r="H43" s="3686"/>
    </row>
    <row r="44" spans="1:8" s="1404" customFormat="1">
      <c r="A44" s="3286"/>
      <c r="B44" s="3289"/>
      <c r="C44" s="3286"/>
      <c r="D44" s="3686"/>
      <c r="E44" s="3686"/>
      <c r="F44" s="3686"/>
      <c r="G44" s="3686"/>
      <c r="H44" s="3686"/>
    </row>
    <row r="45" spans="1:8" s="1404" customFormat="1">
      <c r="A45" s="3286"/>
      <c r="B45" s="3289"/>
      <c r="C45" s="3286"/>
      <c r="D45" s="3686"/>
      <c r="E45" s="3686"/>
      <c r="F45" s="3686"/>
      <c r="G45" s="3686"/>
      <c r="H45" s="3686"/>
    </row>
    <row r="46" spans="1:8" s="1404" customFormat="1">
      <c r="A46" s="3286"/>
      <c r="B46" s="3289"/>
      <c r="C46" s="3286"/>
      <c r="D46" s="3686"/>
      <c r="E46" s="3686"/>
      <c r="F46" s="3686"/>
      <c r="G46" s="3686"/>
      <c r="H46" s="3686"/>
    </row>
    <row r="47" spans="1:8" s="1404" customFormat="1">
      <c r="A47" s="3286"/>
      <c r="B47" s="3289"/>
      <c r="C47" s="3286"/>
      <c r="D47" s="3686"/>
      <c r="E47" s="3686"/>
      <c r="F47" s="3686"/>
      <c r="G47" s="3686"/>
      <c r="H47" s="3686"/>
    </row>
    <row r="48" spans="1:8" s="1404" customFormat="1">
      <c r="A48" s="3286"/>
      <c r="B48" s="3289"/>
      <c r="C48" s="3286"/>
      <c r="D48" s="3686"/>
      <c r="E48" s="3686"/>
      <c r="F48" s="3686"/>
      <c r="G48" s="3686"/>
      <c r="H48" s="3686"/>
    </row>
    <row r="49" spans="1:8" s="1404" customFormat="1">
      <c r="A49" s="3286"/>
      <c r="B49" s="3289"/>
      <c r="C49" s="3286"/>
      <c r="D49" s="3686"/>
      <c r="E49" s="3686"/>
      <c r="F49" s="3686"/>
      <c r="G49" s="3686"/>
      <c r="H49" s="3686"/>
    </row>
  </sheetData>
  <mergeCells count="4">
    <mergeCell ref="A5:H5"/>
    <mergeCell ref="A6:H6"/>
    <mergeCell ref="A12:B15"/>
    <mergeCell ref="E12:G12"/>
  </mergeCells>
  <pageMargins left="0.5" right="0" top="0" bottom="0" header="0.25" footer="0"/>
  <pageSetup paperSize="5" orientation="portrait" verticalDpi="300"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L40"/>
  <sheetViews>
    <sheetView showGridLines="0" showOutlineSymbols="0" workbookViewId="0">
      <selection activeCell="J22" sqref="J22"/>
    </sheetView>
  </sheetViews>
  <sheetFormatPr defaultColWidth="12.5703125" defaultRowHeight="12.75" outlineLevelRow="2" outlineLevelCol="2"/>
  <cols>
    <col min="1" max="1" width="1.85546875" style="3160" customWidth="1"/>
    <col min="2" max="2" width="30.42578125" style="3160" customWidth="1"/>
    <col min="3" max="3" width="9.7109375" style="3160" customWidth="1"/>
    <col min="4" max="4" width="9.28515625" style="3160" customWidth="1"/>
    <col min="5" max="5" width="10" style="3160" customWidth="1"/>
    <col min="6" max="7" width="9" style="3160" customWidth="1"/>
    <col min="8" max="8" width="11" style="3160" customWidth="1"/>
    <col min="9" max="41" width="12.5703125" style="1403"/>
    <col min="42" max="46" width="12.5703125" style="1403" outlineLevel="1"/>
    <col min="47" max="52" width="12.5703125" style="1403" outlineLevel="2"/>
    <col min="53" max="55" width="12.5703125" style="1403" outlineLevel="1"/>
    <col min="56" max="75" width="12.5703125" style="1403"/>
    <col min="76" max="79" width="12.5703125" style="1403" outlineLevel="1"/>
    <col min="80" max="127" width="12.5703125" style="1403"/>
    <col min="128" max="133" width="12.5703125" style="1403" outlineLevel="1"/>
    <col min="134" max="139" width="12.5703125" style="1403" outlineLevel="2"/>
    <col min="140" max="142" width="12.5703125" style="1403" outlineLevel="1"/>
    <col min="143"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A3" s="3221"/>
      <c r="E3" s="4187"/>
      <c r="F3" s="4187"/>
      <c r="G3" s="4187"/>
      <c r="H3" s="4187"/>
    </row>
    <row r="4" spans="1:8" ht="14.25" customHeight="1">
      <c r="A4" s="4741" t="s">
        <v>471</v>
      </c>
      <c r="B4" s="4741"/>
      <c r="C4" s="4741"/>
      <c r="D4" s="4741"/>
      <c r="E4" s="4741"/>
      <c r="F4" s="4741"/>
      <c r="G4" s="4741"/>
      <c r="H4" s="4741"/>
    </row>
    <row r="5" spans="1:8" ht="14.25" customHeight="1">
      <c r="A5" s="4742" t="s">
        <v>3282</v>
      </c>
      <c r="B5" s="4742"/>
      <c r="C5" s="4742"/>
      <c r="D5" s="4742"/>
      <c r="E5" s="4742"/>
      <c r="F5" s="4742"/>
      <c r="G5" s="4742"/>
      <c r="H5" s="4742"/>
    </row>
    <row r="6" spans="1:8" ht="14.25" customHeight="1">
      <c r="A6" s="1578"/>
      <c r="B6" s="1578"/>
      <c r="C6" s="1578"/>
      <c r="D6" s="1578"/>
      <c r="E6" s="1578"/>
      <c r="F6" s="1578"/>
      <c r="G6" s="1578"/>
      <c r="H6" s="1578"/>
    </row>
    <row r="7" spans="1:8" ht="14.25" customHeight="1">
      <c r="A7" s="1578"/>
      <c r="B7" s="1578"/>
      <c r="C7" s="1578"/>
      <c r="D7" s="1578"/>
      <c r="E7" s="1578"/>
      <c r="F7" s="1578"/>
      <c r="G7" s="1578"/>
      <c r="H7" s="1578"/>
    </row>
    <row r="8" spans="1:8" ht="14.25" customHeight="1">
      <c r="A8" s="3281" t="s">
        <v>3289</v>
      </c>
      <c r="B8" s="3281"/>
    </row>
    <row r="9" spans="1:8" ht="14.25" customHeight="1">
      <c r="A9" s="4433" t="s">
        <v>3290</v>
      </c>
      <c r="B9" s="4433"/>
    </row>
    <row r="10" spans="1:8" ht="14.25" customHeight="1">
      <c r="A10" s="4433"/>
      <c r="B10" s="4433"/>
    </row>
    <row r="11" spans="1:8" ht="14.25" customHeight="1">
      <c r="A11" s="4743" t="s">
        <v>468</v>
      </c>
      <c r="B11" s="4744"/>
      <c r="C11" s="4455" t="s">
        <v>467</v>
      </c>
      <c r="D11" s="4455" t="s">
        <v>3280</v>
      </c>
      <c r="E11" s="5018" t="s">
        <v>465</v>
      </c>
      <c r="F11" s="5019"/>
      <c r="G11" s="5020"/>
      <c r="H11" s="4455" t="s">
        <v>2180</v>
      </c>
    </row>
    <row r="12" spans="1:8" ht="14.25" customHeight="1">
      <c r="A12" s="4745"/>
      <c r="B12" s="4746"/>
      <c r="C12" s="4454" t="s">
        <v>463</v>
      </c>
      <c r="D12" s="4452" t="s">
        <v>2342</v>
      </c>
      <c r="E12" s="4452" t="s">
        <v>2344</v>
      </c>
      <c r="F12" s="4452" t="s">
        <v>2343</v>
      </c>
      <c r="G12" s="4452" t="s">
        <v>244</v>
      </c>
      <c r="H12" s="4452" t="s">
        <v>2342</v>
      </c>
    </row>
    <row r="13" spans="1:8" ht="14.25" customHeight="1">
      <c r="A13" s="4745"/>
      <c r="B13" s="4746"/>
      <c r="C13" s="4454"/>
      <c r="D13" s="4452">
        <v>2020</v>
      </c>
      <c r="E13" s="4452" t="s">
        <v>2341</v>
      </c>
      <c r="F13" s="4452" t="s">
        <v>2341</v>
      </c>
      <c r="G13" s="4453"/>
      <c r="H13" s="4452">
        <v>2022</v>
      </c>
    </row>
    <row r="14" spans="1:8" ht="14.25" customHeight="1">
      <c r="A14" s="4747"/>
      <c r="B14" s="4748"/>
      <c r="C14" s="4451"/>
      <c r="D14" s="4449" t="s">
        <v>460</v>
      </c>
      <c r="E14" s="4449" t="s">
        <v>460</v>
      </c>
      <c r="F14" s="4449" t="s">
        <v>459</v>
      </c>
      <c r="G14" s="4450"/>
      <c r="H14" s="4449" t="s">
        <v>458</v>
      </c>
    </row>
    <row r="15" spans="1:8" ht="20.100000000000001" customHeight="1">
      <c r="A15" s="1574" t="s">
        <v>456</v>
      </c>
      <c r="B15" s="3276"/>
      <c r="C15" s="4186"/>
      <c r="D15" s="4186"/>
      <c r="E15" s="4186"/>
      <c r="F15" s="3276"/>
      <c r="G15" s="3276"/>
      <c r="H15" s="4186"/>
    </row>
    <row r="16" spans="1:8" s="2994" customFormat="1" ht="20.100000000000001" customHeight="1" outlineLevel="1">
      <c r="A16" s="3699" t="s">
        <v>407</v>
      </c>
      <c r="B16" s="4197"/>
      <c r="C16" s="4209"/>
      <c r="D16" s="2598">
        <f>SUM(D17:D22)</f>
        <v>346780.63</v>
      </c>
      <c r="E16" s="2598">
        <f>SUM(E17:E22)</f>
        <v>10007.119999999999</v>
      </c>
      <c r="F16" s="2598">
        <f>SUM(F17:F22)</f>
        <v>535592.88</v>
      </c>
      <c r="G16" s="2598">
        <f>SUM(G17:G22)</f>
        <v>545600</v>
      </c>
      <c r="H16" s="2598">
        <f>SUM(H17:H22)</f>
        <v>400000</v>
      </c>
    </row>
    <row r="17" spans="1:8" s="1437" customFormat="1" ht="16.7" customHeight="1" outlineLevel="1">
      <c r="A17" s="4447" t="s">
        <v>404</v>
      </c>
      <c r="B17" s="4443"/>
      <c r="C17" s="4436" t="s">
        <v>403</v>
      </c>
      <c r="D17" s="4418">
        <f>'[39]OPERATION OF GUIDANCE CENTER'!$F$13</f>
        <v>0</v>
      </c>
      <c r="E17" s="4446">
        <f>'[40]OPERATION OF GUIDANCE CENTER'!$F$13</f>
        <v>0</v>
      </c>
      <c r="F17" s="1532">
        <f t="shared" ref="F17:F22" si="0">G17-E17</f>
        <v>23200</v>
      </c>
      <c r="G17" s="4446">
        <f>'[40]OPERATION OF GUIDANCE CENTER'!$D$13</f>
        <v>23200</v>
      </c>
      <c r="H17" s="1532">
        <v>23200</v>
      </c>
    </row>
    <row r="18" spans="1:8" s="3613" customFormat="1" ht="16.7" customHeight="1" outlineLevel="1">
      <c r="A18" s="4438" t="s">
        <v>674</v>
      </c>
      <c r="B18" s="4420"/>
      <c r="C18" s="4436" t="s">
        <v>396</v>
      </c>
      <c r="D18" s="4418">
        <f>'[39]OPERATION OF GUIDANCE CENTER'!$F$14</f>
        <v>0</v>
      </c>
      <c r="E18" s="1473">
        <f>'[40]OPERATION OF GUIDANCE CENTER'!$F$14</f>
        <v>0</v>
      </c>
      <c r="F18" s="1532">
        <f t="shared" si="0"/>
        <v>7018</v>
      </c>
      <c r="G18" s="4200">
        <f>'[40]OPERATION OF GUIDANCE CENTER'!$D$14</f>
        <v>7018</v>
      </c>
      <c r="H18" s="4200">
        <v>7018</v>
      </c>
    </row>
    <row r="19" spans="1:8" s="1422" customFormat="1" ht="16.7" customHeight="1" outlineLevel="1">
      <c r="A19" s="4444" t="s">
        <v>878</v>
      </c>
      <c r="B19" s="4443"/>
      <c r="C19" s="4436" t="s">
        <v>394</v>
      </c>
      <c r="D19" s="4418">
        <f>'[39]OPERATION OF GUIDANCE CENTER'!$F$15</f>
        <v>6905</v>
      </c>
      <c r="E19" s="4200">
        <f>'[40]OPERATION OF GUIDANCE CENTER'!$F$15</f>
        <v>0</v>
      </c>
      <c r="F19" s="1532">
        <f t="shared" si="0"/>
        <v>7182</v>
      </c>
      <c r="G19" s="4200">
        <f>'[40]OPERATION OF GUIDANCE CENTER'!$D$15</f>
        <v>7182</v>
      </c>
      <c r="H19" s="4200">
        <v>7182</v>
      </c>
    </row>
    <row r="20" spans="1:8" s="1422" customFormat="1" ht="16.7" customHeight="1" outlineLevel="1">
      <c r="A20" s="4424" t="s">
        <v>673</v>
      </c>
      <c r="B20" s="4420"/>
      <c r="C20" s="4436" t="s">
        <v>1269</v>
      </c>
      <c r="D20" s="4418">
        <f>'[39]OPERATION OF GUIDANCE CENTER'!$F$16</f>
        <v>10944.75</v>
      </c>
      <c r="E20" s="4200">
        <f>'[40]OPERATION OF GUIDANCE CENTER'!$F$16</f>
        <v>3400.7999999999997</v>
      </c>
      <c r="F20" s="1532">
        <f t="shared" si="0"/>
        <v>3799.2000000000003</v>
      </c>
      <c r="G20" s="4200">
        <f>'[40]OPERATION OF GUIDANCE CENTER'!$D$16</f>
        <v>7200</v>
      </c>
      <c r="H20" s="4200">
        <v>7200</v>
      </c>
    </row>
    <row r="21" spans="1:8" s="1422" customFormat="1" ht="16.7" customHeight="1" outlineLevel="1">
      <c r="A21" s="4444" t="s">
        <v>391</v>
      </c>
      <c r="B21" s="4443"/>
      <c r="C21" s="4436" t="s">
        <v>390</v>
      </c>
      <c r="D21" s="4418">
        <f>'[39]OPERATION OF GUIDANCE CENTER'!$F$17</f>
        <v>11430.88</v>
      </c>
      <c r="E21" s="4200">
        <f>'[40]OPERATION OF GUIDANCE CENTER'!$F$17</f>
        <v>6606.32</v>
      </c>
      <c r="F21" s="1532">
        <f t="shared" si="0"/>
        <v>9393.68</v>
      </c>
      <c r="G21" s="4200">
        <f>'[40]OPERATION OF GUIDANCE CENTER'!$D$17</f>
        <v>16000</v>
      </c>
      <c r="H21" s="4200">
        <v>12000</v>
      </c>
    </row>
    <row r="22" spans="1:8" s="1422" customFormat="1" ht="16.7" customHeight="1" outlineLevel="1">
      <c r="A22" s="4438" t="s">
        <v>693</v>
      </c>
      <c r="B22" s="4420"/>
      <c r="C22" s="4419" t="s">
        <v>367</v>
      </c>
      <c r="D22" s="4418">
        <f>'[39]OPERATION OF GUIDANCE CENTER'!$F$18</f>
        <v>317500</v>
      </c>
      <c r="E22" s="4200">
        <f>'[40]OPERATION OF GUIDANCE CENTER'!$F$18</f>
        <v>0</v>
      </c>
      <c r="F22" s="1532">
        <f t="shared" si="0"/>
        <v>485000</v>
      </c>
      <c r="G22" s="4200">
        <f>'[40]OPERATION OF GUIDANCE CENTER'!$D$18</f>
        <v>485000</v>
      </c>
      <c r="H22" s="4200">
        <v>343400</v>
      </c>
    </row>
    <row r="23" spans="1:8" ht="20.100000000000001" customHeight="1" outlineLevel="2" thickBot="1">
      <c r="A23" s="2480" t="s">
        <v>366</v>
      </c>
      <c r="B23" s="3690"/>
      <c r="C23" s="4417"/>
      <c r="D23" s="3690">
        <f>SUM(D17:D22)</f>
        <v>346780.63</v>
      </c>
      <c r="E23" s="3690">
        <f>SUM(E17:E22)</f>
        <v>10007.119999999999</v>
      </c>
      <c r="F23" s="3690">
        <f>SUM(F17:F22)</f>
        <v>535592.88</v>
      </c>
      <c r="G23" s="3690">
        <f>SUM(G17:G22)</f>
        <v>545600</v>
      </c>
      <c r="H23" s="3690">
        <f>SUM(H17:H22)</f>
        <v>400000</v>
      </c>
    </row>
    <row r="24" spans="1:8" ht="20.100000000000001" customHeight="1" outlineLevel="2" thickTop="1">
      <c r="A24" s="3687"/>
      <c r="B24" s="3687"/>
      <c r="C24" s="4416"/>
      <c r="D24" s="3687"/>
      <c r="E24" s="3687"/>
      <c r="F24" s="3687"/>
      <c r="G24" s="3687"/>
      <c r="H24" s="3687"/>
    </row>
    <row r="25" spans="1:8" s="4409" customFormat="1" ht="14.25" customHeight="1">
      <c r="A25" s="4412" t="s">
        <v>3163</v>
      </c>
      <c r="B25" s="4412"/>
      <c r="C25" s="4411" t="s">
        <v>363</v>
      </c>
      <c r="D25" s="4411"/>
      <c r="E25" s="4411"/>
      <c r="F25" s="4412"/>
      <c r="G25" s="4412" t="s">
        <v>2311</v>
      </c>
      <c r="H25" s="4412"/>
    </row>
    <row r="26" spans="1:8" s="4409" customFormat="1" ht="14.25" customHeight="1">
      <c r="A26" s="4412"/>
      <c r="B26" s="4412"/>
      <c r="C26" s="4411"/>
      <c r="D26" s="4411"/>
      <c r="E26" s="4411"/>
      <c r="F26" s="4412"/>
      <c r="G26" s="4412"/>
      <c r="H26" s="4412"/>
    </row>
    <row r="27" spans="1:8" s="4409" customFormat="1" ht="14.25" customHeight="1">
      <c r="A27" s="4412"/>
      <c r="B27" s="4412"/>
      <c r="C27" s="4411"/>
      <c r="D27" s="4411"/>
      <c r="E27" s="4411"/>
      <c r="F27" s="4412"/>
      <c r="G27" s="4412"/>
      <c r="H27" s="4412"/>
    </row>
    <row r="28" spans="1:8" s="4409" customFormat="1" ht="14.25" customHeight="1">
      <c r="A28" s="4415" t="s">
        <v>3284</v>
      </c>
      <c r="B28" s="4413"/>
      <c r="C28" s="4414" t="s">
        <v>3162</v>
      </c>
      <c r="D28" s="4415"/>
      <c r="E28" s="4411"/>
      <c r="F28" s="4413"/>
      <c r="G28" s="4413" t="s">
        <v>359</v>
      </c>
      <c r="H28" s="4413"/>
    </row>
    <row r="29" spans="1:8" s="4409" customFormat="1" ht="14.25" customHeight="1">
      <c r="A29" s="4411" t="s">
        <v>3283</v>
      </c>
      <c r="B29" s="4412"/>
      <c r="C29" s="4412" t="s">
        <v>658</v>
      </c>
      <c r="D29" s="4412"/>
      <c r="E29" s="4411"/>
      <c r="F29" s="4410"/>
      <c r="G29" s="4410" t="s">
        <v>2307</v>
      </c>
      <c r="H29" s="4410"/>
    </row>
    <row r="30" spans="1:8" s="1404" customFormat="1">
      <c r="A30" s="3286"/>
      <c r="B30" s="3289"/>
      <c r="C30" s="3286"/>
      <c r="D30" s="3686"/>
      <c r="E30" s="3686"/>
      <c r="F30" s="3686"/>
      <c r="G30" s="3686"/>
      <c r="H30" s="3686"/>
    </row>
    <row r="31" spans="1:8" s="1404" customFormat="1">
      <c r="A31" s="3286"/>
      <c r="B31" s="3289"/>
      <c r="C31" s="3286"/>
      <c r="D31" s="3686"/>
      <c r="E31" s="3686"/>
      <c r="F31" s="3686"/>
      <c r="G31" s="3686"/>
      <c r="H31" s="3686"/>
    </row>
    <row r="32" spans="1:8" s="1404" customFormat="1">
      <c r="A32" s="3286"/>
      <c r="B32" s="3289"/>
      <c r="C32" s="3286"/>
      <c r="D32" s="3686"/>
      <c r="E32" s="3686"/>
      <c r="F32" s="3686"/>
      <c r="G32" s="3686"/>
      <c r="H32" s="3686"/>
    </row>
    <row r="33" spans="1:8" s="1404" customFormat="1">
      <c r="A33" s="3286"/>
      <c r="B33" s="3289"/>
      <c r="C33" s="3286"/>
      <c r="D33" s="3686"/>
      <c r="E33" s="3686"/>
      <c r="F33" s="3686"/>
      <c r="G33" s="3686"/>
      <c r="H33" s="3686"/>
    </row>
    <row r="34" spans="1:8" s="1404" customFormat="1">
      <c r="A34" s="3286"/>
      <c r="B34" s="3289"/>
      <c r="C34" s="3286"/>
      <c r="D34" s="3686"/>
      <c r="E34" s="3686"/>
      <c r="F34" s="3686"/>
      <c r="G34" s="3686"/>
      <c r="H34" s="3686"/>
    </row>
    <row r="35" spans="1:8" s="1404" customFormat="1">
      <c r="A35" s="3286"/>
      <c r="B35" s="3289"/>
      <c r="C35" s="3286"/>
      <c r="D35" s="3686"/>
      <c r="E35" s="3686"/>
      <c r="F35" s="3686"/>
      <c r="G35" s="3686"/>
      <c r="H35" s="3686"/>
    </row>
    <row r="36" spans="1:8" s="1404" customFormat="1">
      <c r="A36" s="3286"/>
      <c r="B36" s="3289"/>
      <c r="C36" s="3286"/>
      <c r="D36" s="3686"/>
      <c r="E36" s="3686"/>
      <c r="F36" s="3686"/>
      <c r="G36" s="3686"/>
      <c r="H36" s="3686"/>
    </row>
    <row r="37" spans="1:8" s="1404" customFormat="1">
      <c r="A37" s="3286"/>
      <c r="B37" s="3289"/>
      <c r="C37" s="3286"/>
      <c r="D37" s="3686"/>
      <c r="E37" s="3686"/>
      <c r="F37" s="3686"/>
      <c r="G37" s="3686"/>
      <c r="H37" s="3686"/>
    </row>
    <row r="38" spans="1:8" s="1404" customFormat="1">
      <c r="A38" s="3286"/>
      <c r="B38" s="3289"/>
      <c r="C38" s="3286"/>
      <c r="D38" s="3686"/>
      <c r="E38" s="3686"/>
      <c r="F38" s="3686"/>
      <c r="G38" s="3686"/>
      <c r="H38" s="3686"/>
    </row>
    <row r="39" spans="1:8" s="1404" customFormat="1">
      <c r="A39" s="3286"/>
      <c r="B39" s="3289"/>
      <c r="C39" s="3286"/>
      <c r="D39" s="3686"/>
      <c r="E39" s="3686"/>
      <c r="F39" s="3686"/>
      <c r="G39" s="3686"/>
      <c r="H39" s="3686"/>
    </row>
    <row r="40" spans="1:8" s="1404" customFormat="1">
      <c r="A40" s="3286"/>
      <c r="B40" s="3289"/>
      <c r="C40" s="3286"/>
      <c r="D40" s="3686"/>
      <c r="E40" s="3686"/>
      <c r="F40" s="3686"/>
      <c r="G40" s="3686"/>
      <c r="H40" s="3686"/>
    </row>
  </sheetData>
  <mergeCells count="4">
    <mergeCell ref="A11:B14"/>
    <mergeCell ref="E11:G11"/>
    <mergeCell ref="A4:H4"/>
    <mergeCell ref="A5:H5"/>
  </mergeCells>
  <pageMargins left="0.5" right="0" top="0" bottom="0" header="0" footer="0"/>
  <pageSetup paperSize="5" orientation="portrait" verticalDpi="300"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M37"/>
  <sheetViews>
    <sheetView showGridLines="0" showOutlineSymbols="0" zoomScaleNormal="100" workbookViewId="0">
      <selection activeCell="E30" sqref="E30"/>
    </sheetView>
  </sheetViews>
  <sheetFormatPr defaultColWidth="12.5703125" defaultRowHeight="12.75" outlineLevelRow="2" outlineLevelCol="2"/>
  <cols>
    <col min="1" max="1" width="1.85546875" style="3160" customWidth="1"/>
    <col min="2" max="2" width="28" style="3160" customWidth="1"/>
    <col min="3" max="3" width="10.7109375" style="3160" customWidth="1"/>
    <col min="4" max="4" width="9" style="3160" customWidth="1"/>
    <col min="5" max="5" width="9.85546875" style="3160" customWidth="1"/>
    <col min="6" max="6" width="10.5703125" style="3160" customWidth="1"/>
    <col min="7" max="7" width="10.140625" style="3160" customWidth="1"/>
    <col min="8" max="8" width="11.28515625" style="3160" customWidth="1"/>
    <col min="9" max="42" width="12.5703125" style="1403"/>
    <col min="43" max="47" width="12.5703125" style="1403" outlineLevel="1"/>
    <col min="48" max="53" width="12.5703125" style="1403" outlineLevel="2"/>
    <col min="54" max="56" width="12.5703125" style="1403" outlineLevel="1"/>
    <col min="57" max="76" width="12.5703125" style="1403"/>
    <col min="77" max="80" width="12.5703125" style="1403" outlineLevel="1"/>
    <col min="81" max="128" width="12.5703125" style="1403"/>
    <col min="129" max="134" width="12.5703125" style="1403" outlineLevel="1"/>
    <col min="135" max="140" width="12.5703125" style="1403" outlineLevel="2"/>
    <col min="141" max="143" width="12.5703125" style="1403" outlineLevel="1"/>
    <col min="144"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A4" s="4741" t="s">
        <v>471</v>
      </c>
      <c r="B4" s="4741"/>
      <c r="C4" s="4741"/>
      <c r="D4" s="4741"/>
      <c r="E4" s="4741"/>
      <c r="F4" s="4741"/>
      <c r="G4" s="4741"/>
      <c r="H4" s="4741"/>
    </row>
    <row r="5" spans="1:8" ht="14.25" customHeight="1">
      <c r="A5" s="4742" t="s">
        <v>470</v>
      </c>
      <c r="B5" s="4742"/>
      <c r="C5" s="4742"/>
      <c r="D5" s="4742"/>
      <c r="E5" s="4742"/>
      <c r="F5" s="4742"/>
      <c r="G5" s="4742"/>
      <c r="H5" s="4742"/>
    </row>
    <row r="6" spans="1:8" ht="14.25" customHeight="1">
      <c r="A6" s="2836"/>
      <c r="B6" s="2836"/>
      <c r="C6" s="2836"/>
      <c r="D6" s="2836"/>
      <c r="E6" s="2836"/>
      <c r="F6" s="2836"/>
      <c r="G6" s="2836"/>
      <c r="H6" s="2836"/>
    </row>
    <row r="7" spans="1:8" ht="14.25" customHeight="1">
      <c r="A7" s="2836"/>
      <c r="B7" s="2836"/>
      <c r="C7" s="2836"/>
      <c r="D7" s="2836"/>
      <c r="E7" s="2836"/>
      <c r="F7" s="2836"/>
      <c r="G7" s="2836"/>
      <c r="H7" s="2836"/>
    </row>
    <row r="8" spans="1:8" ht="14.25" customHeight="1">
      <c r="A8" s="3281" t="s">
        <v>3289</v>
      </c>
      <c r="B8" s="3281"/>
    </row>
    <row r="9" spans="1:8" s="3160" customFormat="1" ht="14.25" customHeight="1">
      <c r="A9" s="4433" t="s">
        <v>3291</v>
      </c>
      <c r="B9" s="4433"/>
    </row>
    <row r="10" spans="1:8" ht="14.25" customHeight="1">
      <c r="A10" s="4433"/>
      <c r="B10" s="4433"/>
    </row>
    <row r="11" spans="1:8" ht="14.25" customHeight="1">
      <c r="A11" s="4743" t="s">
        <v>468</v>
      </c>
      <c r="B11" s="4744"/>
      <c r="C11" s="4455" t="s">
        <v>467</v>
      </c>
      <c r="D11" s="4455" t="s">
        <v>3280</v>
      </c>
      <c r="E11" s="5018" t="s">
        <v>465</v>
      </c>
      <c r="F11" s="5019"/>
      <c r="G11" s="5020"/>
      <c r="H11" s="4455" t="s">
        <v>2180</v>
      </c>
    </row>
    <row r="12" spans="1:8" ht="14.25" customHeight="1">
      <c r="A12" s="4745"/>
      <c r="B12" s="4746"/>
      <c r="C12" s="4454" t="s">
        <v>463</v>
      </c>
      <c r="D12" s="4452" t="s">
        <v>2342</v>
      </c>
      <c r="E12" s="4452" t="s">
        <v>2344</v>
      </c>
      <c r="F12" s="4452" t="s">
        <v>2343</v>
      </c>
      <c r="G12" s="4452" t="s">
        <v>244</v>
      </c>
      <c r="H12" s="4452" t="s">
        <v>2342</v>
      </c>
    </row>
    <row r="13" spans="1:8" ht="14.25" customHeight="1">
      <c r="A13" s="4745"/>
      <c r="B13" s="4746"/>
      <c r="C13" s="4454"/>
      <c r="D13" s="4452">
        <v>2020</v>
      </c>
      <c r="E13" s="4452" t="s">
        <v>2341</v>
      </c>
      <c r="F13" s="4452" t="s">
        <v>2341</v>
      </c>
      <c r="G13" s="4453"/>
      <c r="H13" s="4452">
        <v>2022</v>
      </c>
    </row>
    <row r="14" spans="1:8" ht="14.25" customHeight="1">
      <c r="A14" s="4747"/>
      <c r="B14" s="4748"/>
      <c r="C14" s="4451"/>
      <c r="D14" s="4449" t="s">
        <v>460</v>
      </c>
      <c r="E14" s="4449" t="s">
        <v>460</v>
      </c>
      <c r="F14" s="4449" t="s">
        <v>459</v>
      </c>
      <c r="G14" s="4450"/>
      <c r="H14" s="4449" t="s">
        <v>458</v>
      </c>
    </row>
    <row r="15" spans="1:8" ht="20.100000000000001" customHeight="1">
      <c r="A15" s="1574" t="s">
        <v>456</v>
      </c>
      <c r="B15" s="3276"/>
      <c r="C15" s="4186"/>
      <c r="D15" s="4186"/>
      <c r="E15" s="4186"/>
      <c r="F15" s="3276"/>
      <c r="G15" s="3276"/>
      <c r="H15" s="4186"/>
    </row>
    <row r="16" spans="1:8" s="2994" customFormat="1" ht="20.100000000000001" customHeight="1" outlineLevel="1">
      <c r="A16" s="3699" t="s">
        <v>407</v>
      </c>
      <c r="B16" s="4197"/>
      <c r="C16" s="4209"/>
      <c r="D16" s="2982">
        <f>SUM(D17:D19)</f>
        <v>144000</v>
      </c>
      <c r="E16" s="2598">
        <f>SUM(E17:E19)</f>
        <v>76550</v>
      </c>
      <c r="F16" s="2598">
        <f>SUM(F17:F19)</f>
        <v>223450</v>
      </c>
      <c r="G16" s="2598">
        <f>SUM(G17:G19)</f>
        <v>300000</v>
      </c>
      <c r="H16" s="2598">
        <f>SUM(H17:H19)</f>
        <v>300000</v>
      </c>
    </row>
    <row r="17" spans="1:8" s="1437" customFormat="1" ht="16.7" customHeight="1" outlineLevel="1">
      <c r="A17" s="4447" t="s">
        <v>404</v>
      </c>
      <c r="B17" s="4443"/>
      <c r="C17" s="4436" t="s">
        <v>403</v>
      </c>
      <c r="D17" s="4418">
        <f>'[39]IMPLEMENTATION OF MDG FACES'!$F$13</f>
        <v>0</v>
      </c>
      <c r="E17" s="4446">
        <f>'[40]IMPLEMENTATION OF MDG FACES'!$F$13</f>
        <v>0</v>
      </c>
      <c r="F17" s="1532">
        <f>G17-E17</f>
        <v>35000</v>
      </c>
      <c r="G17" s="4446">
        <f>'[40]IMPLEMENTATION OF MDG FACES'!$D$13</f>
        <v>35000</v>
      </c>
      <c r="H17" s="1532">
        <v>35000</v>
      </c>
    </row>
    <row r="18" spans="1:8" s="1422" customFormat="1" ht="16.7" customHeight="1" outlineLevel="1">
      <c r="A18" s="4438" t="s">
        <v>1983</v>
      </c>
      <c r="B18" s="4420"/>
      <c r="C18" s="4436" t="s">
        <v>1982</v>
      </c>
      <c r="D18" s="4418">
        <f>'[39]IMPLEMENTATION OF MDG FACES'!$F$14</f>
        <v>144000</v>
      </c>
      <c r="E18" s="4200">
        <f>'[40]IMPLEMENTATION OF MDG FACES'!$F$14</f>
        <v>71750</v>
      </c>
      <c r="F18" s="1532">
        <f>G18-E18</f>
        <v>72250</v>
      </c>
      <c r="G18" s="4200">
        <f>'[47]RELEASE-MOOE'!$F$18</f>
        <v>144000</v>
      </c>
      <c r="H18" s="1532">
        <v>148000</v>
      </c>
    </row>
    <row r="19" spans="1:8" s="1422" customFormat="1" ht="16.7" customHeight="1" outlineLevel="1">
      <c r="A19" s="4438" t="s">
        <v>693</v>
      </c>
      <c r="B19" s="4420"/>
      <c r="C19" s="4419" t="s">
        <v>367</v>
      </c>
      <c r="D19" s="4418">
        <f>'[39]IMPLEMENTATION OF MDG FACES'!$F$15</f>
        <v>0</v>
      </c>
      <c r="E19" s="4200">
        <f>'[40]IMPLEMENTATION OF MDG FACES'!$F$15</f>
        <v>4800</v>
      </c>
      <c r="F19" s="1532">
        <f>G19-E19</f>
        <v>116200</v>
      </c>
      <c r="G19" s="4200">
        <f>'[47]RELEASE-MOOE'!$G$18</f>
        <v>121000</v>
      </c>
      <c r="H19" s="1532">
        <v>117000</v>
      </c>
    </row>
    <row r="20" spans="1:8" ht="20.100000000000001" customHeight="1" outlineLevel="2" thickBot="1">
      <c r="A20" s="2480" t="s">
        <v>366</v>
      </c>
      <c r="B20" s="3690"/>
      <c r="C20" s="4417"/>
      <c r="D20" s="3690">
        <f>SUM(D17:D19)</f>
        <v>144000</v>
      </c>
      <c r="E20" s="3690">
        <f>SUM(E17:E19)</f>
        <v>76550</v>
      </c>
      <c r="F20" s="3690">
        <f>SUM(F17:F19)</f>
        <v>223450</v>
      </c>
      <c r="G20" s="3690">
        <f>SUM(G17:G19)</f>
        <v>300000</v>
      </c>
      <c r="H20" s="3690">
        <f>SUM(H17:H19)</f>
        <v>300000</v>
      </c>
    </row>
    <row r="21" spans="1:8" ht="20.100000000000001" customHeight="1" outlineLevel="2" thickTop="1">
      <c r="A21" s="3687"/>
      <c r="B21" s="3687"/>
      <c r="C21" s="4416"/>
      <c r="D21" s="3687"/>
      <c r="E21" s="3687"/>
      <c r="F21" s="3687"/>
      <c r="G21" s="3687"/>
      <c r="H21" s="3687"/>
    </row>
    <row r="22" spans="1:8" s="4409" customFormat="1" ht="14.25" customHeight="1">
      <c r="A22" s="4412" t="s">
        <v>3163</v>
      </c>
      <c r="B22" s="4412"/>
      <c r="C22" s="4411" t="s">
        <v>363</v>
      </c>
      <c r="D22" s="4411"/>
      <c r="E22" s="4411"/>
      <c r="F22" s="4412"/>
      <c r="G22" s="4412" t="s">
        <v>2311</v>
      </c>
      <c r="H22" s="4412"/>
    </row>
    <row r="23" spans="1:8" s="4409" customFormat="1" ht="14.25" customHeight="1">
      <c r="A23" s="4412"/>
      <c r="B23" s="4412"/>
      <c r="C23" s="4411"/>
      <c r="D23" s="4411"/>
      <c r="E23" s="4411"/>
      <c r="F23" s="4412"/>
      <c r="G23" s="4412"/>
      <c r="H23" s="4412"/>
    </row>
    <row r="24" spans="1:8" s="4409" customFormat="1" ht="14.25" customHeight="1">
      <c r="A24" s="4412"/>
      <c r="B24" s="4412"/>
      <c r="C24" s="4411"/>
      <c r="D24" s="4411"/>
      <c r="E24" s="4411"/>
      <c r="F24" s="4412"/>
      <c r="G24" s="4412"/>
      <c r="H24" s="4412"/>
    </row>
    <row r="25" spans="1:8" s="4409" customFormat="1" ht="14.25" customHeight="1">
      <c r="A25" s="4415" t="s">
        <v>3284</v>
      </c>
      <c r="B25" s="4413"/>
      <c r="C25" s="4414" t="s">
        <v>3162</v>
      </c>
      <c r="D25" s="4415"/>
      <c r="E25" s="4411"/>
      <c r="F25" s="4413"/>
      <c r="G25" s="4413" t="s">
        <v>359</v>
      </c>
      <c r="H25" s="4413"/>
    </row>
    <row r="26" spans="1:8" s="4409" customFormat="1" ht="14.25" customHeight="1">
      <c r="A26" s="4411" t="s">
        <v>3283</v>
      </c>
      <c r="B26" s="4412"/>
      <c r="C26" s="4412" t="s">
        <v>658</v>
      </c>
      <c r="D26" s="4412"/>
      <c r="E26" s="4411"/>
      <c r="F26" s="4410"/>
      <c r="G26" s="4410" t="s">
        <v>2307</v>
      </c>
      <c r="H26" s="4410"/>
    </row>
    <row r="27" spans="1:8" s="1404" customFormat="1">
      <c r="A27" s="3286"/>
      <c r="B27" s="3289"/>
      <c r="C27" s="3286"/>
      <c r="D27" s="3686"/>
      <c r="E27" s="3686"/>
      <c r="F27" s="3686"/>
      <c r="G27" s="3686"/>
      <c r="H27" s="3686"/>
    </row>
    <row r="28" spans="1:8" s="1404" customFormat="1">
      <c r="A28" s="3286"/>
      <c r="B28" s="3289"/>
      <c r="C28" s="3286"/>
      <c r="D28" s="3686"/>
      <c r="E28" s="3686"/>
      <c r="F28" s="3686"/>
      <c r="G28" s="3686"/>
      <c r="H28" s="3686"/>
    </row>
    <row r="29" spans="1:8" s="1404" customFormat="1">
      <c r="A29" s="3286"/>
      <c r="B29" s="3289"/>
      <c r="C29" s="3286"/>
      <c r="D29" s="3686"/>
      <c r="E29" s="3686"/>
      <c r="F29" s="3686"/>
      <c r="G29" s="3686"/>
      <c r="H29" s="3686"/>
    </row>
    <row r="30" spans="1:8" s="1404" customFormat="1">
      <c r="A30" s="3286"/>
      <c r="B30" s="3289"/>
      <c r="C30" s="3286"/>
      <c r="D30" s="3686"/>
      <c r="E30" s="3686"/>
      <c r="F30" s="3686"/>
      <c r="G30" s="3686"/>
      <c r="H30" s="3686"/>
    </row>
    <row r="31" spans="1:8" s="1404" customFormat="1">
      <c r="A31" s="3286"/>
      <c r="B31" s="3289"/>
      <c r="C31" s="3286"/>
      <c r="D31" s="3686"/>
      <c r="E31" s="3686"/>
      <c r="F31" s="3686"/>
      <c r="G31" s="3686"/>
      <c r="H31" s="3686"/>
    </row>
    <row r="32" spans="1:8" s="1404" customFormat="1">
      <c r="A32" s="3286"/>
      <c r="B32" s="3289"/>
      <c r="C32" s="3286"/>
      <c r="D32" s="3686"/>
      <c r="E32" s="3686"/>
      <c r="F32" s="3686"/>
      <c r="G32" s="3686"/>
      <c r="H32" s="3686"/>
    </row>
    <row r="33" spans="1:8" s="1404" customFormat="1">
      <c r="A33" s="3286"/>
      <c r="B33" s="3289"/>
      <c r="C33" s="3286"/>
      <c r="D33" s="3686"/>
      <c r="E33" s="3686"/>
      <c r="F33" s="3686"/>
      <c r="G33" s="3686"/>
      <c r="H33" s="3686"/>
    </row>
    <row r="34" spans="1:8" s="1404" customFormat="1">
      <c r="A34" s="3286"/>
      <c r="B34" s="3289"/>
      <c r="C34" s="3286"/>
      <c r="D34" s="3686"/>
      <c r="E34" s="3686"/>
      <c r="F34" s="3686"/>
      <c r="G34" s="3686"/>
      <c r="H34" s="3686"/>
    </row>
    <row r="35" spans="1:8" s="1404" customFormat="1">
      <c r="A35" s="3286"/>
      <c r="B35" s="3289"/>
      <c r="C35" s="3286"/>
      <c r="D35" s="3686"/>
      <c r="E35" s="3686"/>
      <c r="F35" s="3686"/>
      <c r="G35" s="3686"/>
      <c r="H35" s="3686"/>
    </row>
    <row r="36" spans="1:8" s="1404" customFormat="1">
      <c r="A36" s="3286"/>
      <c r="B36" s="3289"/>
      <c r="C36" s="3286"/>
      <c r="D36" s="3686"/>
      <c r="E36" s="3686"/>
      <c r="F36" s="3686"/>
      <c r="G36" s="3686"/>
      <c r="H36" s="3686"/>
    </row>
    <row r="37" spans="1:8" s="1404" customFormat="1">
      <c r="A37" s="3286"/>
      <c r="B37" s="3289"/>
      <c r="C37" s="3286"/>
      <c r="D37" s="3686"/>
      <c r="E37" s="3686"/>
      <c r="F37" s="3686"/>
      <c r="G37" s="3686"/>
      <c r="H37" s="3686"/>
    </row>
  </sheetData>
  <mergeCells count="4">
    <mergeCell ref="A11:B14"/>
    <mergeCell ref="E11:G11"/>
    <mergeCell ref="A4:H4"/>
    <mergeCell ref="A5:H5"/>
  </mergeCells>
  <pageMargins left="0.5" right="0" top="0" bottom="0" header="0.5" footer="0"/>
  <pageSetup paperSize="5" orientation="portrait" verticalDpi="300"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M41"/>
  <sheetViews>
    <sheetView showGridLines="0" showOutlineSymbols="0" topLeftCell="A7" workbookViewId="0">
      <selection activeCell="J44" sqref="J44"/>
    </sheetView>
  </sheetViews>
  <sheetFormatPr defaultColWidth="12.5703125" defaultRowHeight="12.75" outlineLevelRow="2" outlineLevelCol="2"/>
  <cols>
    <col min="1" max="1" width="1.85546875" style="3160" customWidth="1"/>
    <col min="2" max="2" width="27.42578125" style="3160" customWidth="1"/>
    <col min="3" max="3" width="10.28515625" style="3160" customWidth="1"/>
    <col min="4" max="4" width="9.28515625" style="3160" customWidth="1"/>
    <col min="5" max="5" width="10.5703125" style="3160" customWidth="1"/>
    <col min="6" max="6" width="10.28515625" style="3160" customWidth="1"/>
    <col min="7" max="7" width="10.140625" style="3160" customWidth="1"/>
    <col min="8" max="8" width="13" style="3160" customWidth="1"/>
    <col min="9" max="42" width="12.5703125" style="1403"/>
    <col min="43" max="47" width="12.5703125" style="1403" outlineLevel="1"/>
    <col min="48" max="53" width="12.5703125" style="1403" outlineLevel="2"/>
    <col min="54" max="56" width="12.5703125" style="1403" outlineLevel="1"/>
    <col min="57" max="76" width="12.5703125" style="1403"/>
    <col min="77" max="80" width="12.5703125" style="1403" outlineLevel="1"/>
    <col min="81" max="128" width="12.5703125" style="1403"/>
    <col min="129" max="134" width="12.5703125" style="1403" outlineLevel="1"/>
    <col min="135" max="140" width="12.5703125" style="1403" outlineLevel="2"/>
    <col min="141" max="143" width="12.5703125" style="1403" outlineLevel="1"/>
    <col min="144"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E4" s="4187"/>
      <c r="G4" s="4187"/>
      <c r="H4" s="4187"/>
    </row>
    <row r="5" spans="1:8" ht="14.25" customHeight="1">
      <c r="A5" s="4741" t="s">
        <v>471</v>
      </c>
      <c r="B5" s="4741"/>
      <c r="C5" s="4741"/>
      <c r="D5" s="4741"/>
      <c r="E5" s="4741"/>
      <c r="F5" s="4741"/>
      <c r="G5" s="4741"/>
      <c r="H5" s="4741"/>
    </row>
    <row r="6" spans="1:8" ht="14.25" customHeight="1">
      <c r="A6" s="4742" t="s">
        <v>470</v>
      </c>
      <c r="B6" s="4742"/>
      <c r="C6" s="4742"/>
      <c r="D6" s="4742"/>
      <c r="E6" s="4742"/>
      <c r="F6" s="4742"/>
      <c r="G6" s="4742"/>
      <c r="H6" s="4742"/>
    </row>
    <row r="7" spans="1:8" ht="14.25" customHeight="1">
      <c r="A7" s="2836"/>
      <c r="B7" s="2836"/>
      <c r="C7" s="2836"/>
      <c r="D7" s="2836"/>
      <c r="E7" s="2836"/>
      <c r="F7" s="2836"/>
      <c r="G7" s="2836"/>
      <c r="H7" s="2836"/>
    </row>
    <row r="8" spans="1:8" ht="14.25" customHeight="1">
      <c r="A8" s="2836"/>
      <c r="B8" s="2836"/>
      <c r="C8" s="2836"/>
      <c r="D8" s="2836"/>
      <c r="E8" s="2836"/>
      <c r="F8" s="2836"/>
      <c r="G8" s="2836"/>
      <c r="H8" s="2836"/>
    </row>
    <row r="9" spans="1:8" ht="14.25" customHeight="1">
      <c r="A9" s="3281" t="s">
        <v>3289</v>
      </c>
      <c r="B9" s="3281"/>
    </row>
    <row r="10" spans="1:8" ht="14.25" customHeight="1">
      <c r="A10" s="4433" t="s">
        <v>3292</v>
      </c>
      <c r="B10" s="4433"/>
    </row>
    <row r="11" spans="1:8" ht="14.25" customHeight="1">
      <c r="A11" s="4433"/>
      <c r="B11" s="4433"/>
    </row>
    <row r="12" spans="1:8" ht="14.25" customHeight="1">
      <c r="A12" s="4743" t="s">
        <v>468</v>
      </c>
      <c r="B12" s="4744"/>
      <c r="C12" s="4455"/>
      <c r="D12" s="4455" t="s">
        <v>3280</v>
      </c>
      <c r="E12" s="5018" t="s">
        <v>465</v>
      </c>
      <c r="F12" s="5019"/>
      <c r="G12" s="5020"/>
      <c r="H12" s="4455" t="s">
        <v>2180</v>
      </c>
    </row>
    <row r="13" spans="1:8" ht="14.25" customHeight="1">
      <c r="A13" s="4745"/>
      <c r="B13" s="4746"/>
      <c r="C13" s="4455" t="s">
        <v>467</v>
      </c>
      <c r="D13" s="4452" t="s">
        <v>2342</v>
      </c>
      <c r="E13" s="4452" t="s">
        <v>2344</v>
      </c>
      <c r="F13" s="4452" t="s">
        <v>2343</v>
      </c>
      <c r="G13" s="4452" t="s">
        <v>244</v>
      </c>
      <c r="H13" s="4452" t="s">
        <v>2342</v>
      </c>
    </row>
    <row r="14" spans="1:8" ht="14.25" customHeight="1">
      <c r="A14" s="4745"/>
      <c r="B14" s="4746"/>
      <c r="C14" s="4454" t="s">
        <v>463</v>
      </c>
      <c r="D14" s="4452">
        <v>2020</v>
      </c>
      <c r="E14" s="4452" t="s">
        <v>2341</v>
      </c>
      <c r="F14" s="4452" t="s">
        <v>2341</v>
      </c>
      <c r="G14" s="4453"/>
      <c r="H14" s="4452">
        <v>2022</v>
      </c>
    </row>
    <row r="15" spans="1:8" ht="14.25" customHeight="1">
      <c r="A15" s="4747"/>
      <c r="B15" s="4748"/>
      <c r="C15" s="4451"/>
      <c r="D15" s="4449" t="s">
        <v>460</v>
      </c>
      <c r="E15" s="4449" t="s">
        <v>460</v>
      </c>
      <c r="F15" s="4449" t="s">
        <v>459</v>
      </c>
      <c r="G15" s="4450"/>
      <c r="H15" s="4449" t="s">
        <v>458</v>
      </c>
    </row>
    <row r="16" spans="1:8" ht="20.100000000000001" customHeight="1">
      <c r="A16" s="1574" t="s">
        <v>456</v>
      </c>
      <c r="B16" s="3276"/>
      <c r="C16" s="4186"/>
      <c r="D16" s="4186"/>
      <c r="E16" s="4186"/>
      <c r="F16" s="3276"/>
      <c r="G16" s="3276"/>
      <c r="H16" s="4186"/>
    </row>
    <row r="17" spans="1:8" s="2994" customFormat="1" ht="20.100000000000001" customHeight="1" outlineLevel="1">
      <c r="A17" s="3699" t="s">
        <v>407</v>
      </c>
      <c r="B17" s="4197"/>
      <c r="C17" s="4209"/>
      <c r="D17" s="2982">
        <f>SUM(D18:D23)</f>
        <v>595730.87999999989</v>
      </c>
      <c r="E17" s="2598">
        <f>SUM(E18:E23)</f>
        <v>287706.27</v>
      </c>
      <c r="F17" s="2598">
        <f>SUM(F18:F23)</f>
        <v>452293.73</v>
      </c>
      <c r="G17" s="2598">
        <f>SUM(G18:G23)</f>
        <v>740000</v>
      </c>
      <c r="H17" s="2598">
        <f>SUM(H18:H23)</f>
        <v>740000</v>
      </c>
    </row>
    <row r="18" spans="1:8" s="1437" customFormat="1" ht="16.7" customHeight="1" outlineLevel="1">
      <c r="A18" s="4424" t="s">
        <v>2352</v>
      </c>
      <c r="B18" s="4420"/>
      <c r="C18" s="4448" t="s">
        <v>405</v>
      </c>
      <c r="D18" s="4207">
        <f>'[39]4 p''s'!$F$13</f>
        <v>11700</v>
      </c>
      <c r="E18" s="4206">
        <f>'[40]4 p''s'!$F$13</f>
        <v>12600</v>
      </c>
      <c r="F18" s="1532">
        <f t="shared" ref="F18:F23" si="0">G18-E18</f>
        <v>16200</v>
      </c>
      <c r="G18" s="4206">
        <f>'[40]4 p''s'!$D$13</f>
        <v>28800</v>
      </c>
      <c r="H18" s="3126">
        <v>28800</v>
      </c>
    </row>
    <row r="19" spans="1:8" s="1437" customFormat="1" ht="16.7" customHeight="1" outlineLevel="1">
      <c r="A19" s="4438" t="s">
        <v>402</v>
      </c>
      <c r="B19" s="4420"/>
      <c r="C19" s="4436" t="s">
        <v>401</v>
      </c>
      <c r="D19" s="4207">
        <f>'[39]4 p''s'!$F$14</f>
        <v>0</v>
      </c>
      <c r="E19" s="4456">
        <f>'[40]4 p''s'!$F$14</f>
        <v>7865.75</v>
      </c>
      <c r="F19" s="1532">
        <f t="shared" si="0"/>
        <v>2134.25</v>
      </c>
      <c r="G19" s="4446">
        <f>'[40]4 p''s'!$D$14</f>
        <v>10000</v>
      </c>
      <c r="H19" s="1532">
        <v>10000</v>
      </c>
    </row>
    <row r="20" spans="1:8" s="1422" customFormat="1" ht="16.7" customHeight="1" outlineLevel="1">
      <c r="A20" s="4424" t="s">
        <v>673</v>
      </c>
      <c r="B20" s="4420"/>
      <c r="C20" s="4436" t="s">
        <v>1269</v>
      </c>
      <c r="D20" s="4418">
        <f>'[39]4 p''s'!$F$15</f>
        <v>1080</v>
      </c>
      <c r="E20" s="4200">
        <f>'[40]4 p''s'!$F$15</f>
        <v>480</v>
      </c>
      <c r="F20" s="1532">
        <f t="shared" si="0"/>
        <v>1320</v>
      </c>
      <c r="G20" s="4200">
        <f>'[40]4 p''s'!$D$15</f>
        <v>1800</v>
      </c>
      <c r="H20" s="1532">
        <v>1800</v>
      </c>
    </row>
    <row r="21" spans="1:8" s="1422" customFormat="1" ht="16.7" customHeight="1" outlineLevel="1">
      <c r="A21" s="4444" t="s">
        <v>699</v>
      </c>
      <c r="B21" s="4443"/>
      <c r="C21" s="4436" t="s">
        <v>390</v>
      </c>
      <c r="D21" s="4418">
        <f>'[39]4 p''s'!$F$16</f>
        <v>6605.1999999999989</v>
      </c>
      <c r="E21" s="4200">
        <f>'[40]4 p''s'!$F$16</f>
        <v>660.52</v>
      </c>
      <c r="F21" s="1532">
        <f t="shared" si="0"/>
        <v>7339.48</v>
      </c>
      <c r="G21" s="4200">
        <f>'[40]4 p''s'!$D$16</f>
        <v>8000</v>
      </c>
      <c r="H21" s="1532">
        <v>8000</v>
      </c>
    </row>
    <row r="22" spans="1:8" s="1422" customFormat="1" ht="16.7" customHeight="1" outlineLevel="1">
      <c r="A22" s="4444" t="s">
        <v>389</v>
      </c>
      <c r="B22" s="4443"/>
      <c r="C22" s="4436" t="s">
        <v>388</v>
      </c>
      <c r="D22" s="4418">
        <f>'[39]4 p''s'!$F$17</f>
        <v>561805.67999999993</v>
      </c>
      <c r="E22" s="4200">
        <f>'[40]4 p''s'!$F$17</f>
        <v>262500</v>
      </c>
      <c r="F22" s="1532">
        <f t="shared" si="0"/>
        <v>371100</v>
      </c>
      <c r="G22" s="4200">
        <f>'[40]4 p''s'!$D$17</f>
        <v>633600</v>
      </c>
      <c r="H22" s="1532">
        <v>633600</v>
      </c>
    </row>
    <row r="23" spans="1:8" s="1422" customFormat="1" ht="16.7" customHeight="1" outlineLevel="1">
      <c r="A23" s="4438" t="s">
        <v>693</v>
      </c>
      <c r="B23" s="4420"/>
      <c r="C23" s="4419" t="s">
        <v>367</v>
      </c>
      <c r="D23" s="4418">
        <f>'[39]4 p''s'!$F$18</f>
        <v>14540</v>
      </c>
      <c r="E23" s="4200">
        <f>'[40]4 p''s'!$F$18</f>
        <v>3600</v>
      </c>
      <c r="F23" s="1532">
        <f t="shared" si="0"/>
        <v>54200</v>
      </c>
      <c r="G23" s="4200">
        <f>'[40]4 p''s'!$D$18</f>
        <v>57800</v>
      </c>
      <c r="H23" s="1532">
        <v>57800</v>
      </c>
    </row>
    <row r="24" spans="1:8" ht="20.100000000000001" customHeight="1" outlineLevel="2" thickBot="1">
      <c r="A24" s="3114" t="s">
        <v>366</v>
      </c>
      <c r="B24" s="3690"/>
      <c r="C24" s="4417"/>
      <c r="D24" s="3690">
        <f>D17</f>
        <v>595730.87999999989</v>
      </c>
      <c r="E24" s="3690">
        <f>E17</f>
        <v>287706.27</v>
      </c>
      <c r="F24" s="3690">
        <f>F17</f>
        <v>452293.73</v>
      </c>
      <c r="G24" s="3690">
        <f>G17</f>
        <v>740000</v>
      </c>
      <c r="H24" s="3690">
        <f>H17</f>
        <v>740000</v>
      </c>
    </row>
    <row r="25" spans="1:8" ht="20.100000000000001" customHeight="1" outlineLevel="2" thickTop="1">
      <c r="A25" s="3687"/>
      <c r="B25" s="3687"/>
      <c r="C25" s="4416"/>
      <c r="D25" s="3687"/>
      <c r="E25" s="3687"/>
      <c r="F25" s="3687"/>
      <c r="G25" s="3687"/>
      <c r="H25" s="3687"/>
    </row>
    <row r="26" spans="1:8" s="4409" customFormat="1" ht="14.25" customHeight="1">
      <c r="A26" s="4412" t="s">
        <v>3163</v>
      </c>
      <c r="B26" s="4412"/>
      <c r="C26" s="4411" t="s">
        <v>363</v>
      </c>
      <c r="D26" s="4411"/>
      <c r="E26" s="4411"/>
      <c r="F26" s="4412"/>
      <c r="G26" s="4412" t="s">
        <v>2311</v>
      </c>
      <c r="H26" s="4412"/>
    </row>
    <row r="27" spans="1:8" s="4409" customFormat="1" ht="14.25" customHeight="1">
      <c r="A27" s="4412"/>
      <c r="B27" s="4412"/>
      <c r="C27" s="4411"/>
      <c r="D27" s="4411"/>
      <c r="E27" s="4411"/>
      <c r="F27" s="4412"/>
      <c r="G27" s="4412"/>
      <c r="H27" s="4412"/>
    </row>
    <row r="28" spans="1:8" s="4409" customFormat="1" ht="14.25" customHeight="1">
      <c r="A28" s="4412"/>
      <c r="B28" s="4412"/>
      <c r="C28" s="4411"/>
      <c r="D28" s="4411"/>
      <c r="E28" s="4411"/>
      <c r="F28" s="4412"/>
      <c r="G28" s="4412"/>
      <c r="H28" s="4412"/>
    </row>
    <row r="29" spans="1:8" s="4409" customFormat="1" ht="14.25" customHeight="1">
      <c r="A29" s="4415" t="s">
        <v>3284</v>
      </c>
      <c r="B29" s="4413"/>
      <c r="C29" s="4414" t="s">
        <v>3162</v>
      </c>
      <c r="D29" s="4415"/>
      <c r="E29" s="4411"/>
      <c r="F29" s="4413"/>
      <c r="G29" s="4413" t="s">
        <v>359</v>
      </c>
      <c r="H29" s="4413"/>
    </row>
    <row r="30" spans="1:8" s="4409" customFormat="1" ht="14.25" customHeight="1">
      <c r="A30" s="4411" t="s">
        <v>3283</v>
      </c>
      <c r="B30" s="4412"/>
      <c r="C30" s="4412" t="s">
        <v>658</v>
      </c>
      <c r="D30" s="4412"/>
      <c r="E30" s="4411"/>
      <c r="F30" s="4410"/>
      <c r="G30" s="4410" t="s">
        <v>2307</v>
      </c>
      <c r="H30" s="4410"/>
    </row>
    <row r="31" spans="1:8" s="1404" customFormat="1">
      <c r="A31" s="3286"/>
      <c r="B31" s="3289"/>
      <c r="C31" s="3286"/>
      <c r="D31" s="3686"/>
      <c r="E31" s="3686"/>
      <c r="F31" s="3686"/>
      <c r="G31" s="3686"/>
      <c r="H31" s="3686"/>
    </row>
    <row r="32" spans="1:8" s="1404" customFormat="1">
      <c r="A32" s="3286"/>
      <c r="B32" s="3289"/>
      <c r="C32" s="3286"/>
      <c r="D32" s="3686"/>
      <c r="E32" s="3686"/>
      <c r="F32" s="3686"/>
      <c r="G32" s="3686"/>
      <c r="H32" s="3686"/>
    </row>
    <row r="33" spans="1:8" s="1404" customFormat="1">
      <c r="A33" s="3286"/>
      <c r="B33" s="3289"/>
      <c r="C33" s="3286"/>
      <c r="D33" s="3686"/>
      <c r="E33" s="3686"/>
      <c r="F33" s="3686"/>
      <c r="G33" s="3686"/>
      <c r="H33" s="3686"/>
    </row>
    <row r="34" spans="1:8" s="1404" customFormat="1">
      <c r="A34" s="3286"/>
      <c r="B34" s="3289"/>
      <c r="C34" s="3286"/>
      <c r="D34" s="3686"/>
      <c r="E34" s="3686"/>
      <c r="F34" s="3686"/>
      <c r="G34" s="3686"/>
      <c r="H34" s="3686"/>
    </row>
    <row r="35" spans="1:8" s="1404" customFormat="1">
      <c r="A35" s="3286"/>
      <c r="B35" s="3289"/>
      <c r="C35" s="3286"/>
      <c r="D35" s="3686"/>
      <c r="E35" s="3686"/>
      <c r="F35" s="3686"/>
      <c r="G35" s="3686"/>
      <c r="H35" s="3686"/>
    </row>
    <row r="36" spans="1:8" s="1404" customFormat="1">
      <c r="A36" s="3286"/>
      <c r="B36" s="3289"/>
      <c r="C36" s="3286"/>
      <c r="D36" s="3686"/>
      <c r="E36" s="3686"/>
      <c r="F36" s="3686"/>
      <c r="G36" s="3686"/>
      <c r="H36" s="3686"/>
    </row>
    <row r="37" spans="1:8" s="1404" customFormat="1">
      <c r="A37" s="3286"/>
      <c r="B37" s="3289"/>
      <c r="C37" s="3286"/>
      <c r="D37" s="3686"/>
      <c r="E37" s="3686"/>
      <c r="F37" s="3686"/>
      <c r="G37" s="3686"/>
      <c r="H37" s="3686"/>
    </row>
    <row r="38" spans="1:8" s="1404" customFormat="1">
      <c r="A38" s="3286"/>
      <c r="B38" s="3289"/>
      <c r="C38" s="3286"/>
      <c r="D38" s="3686"/>
      <c r="E38" s="3686"/>
      <c r="F38" s="3686"/>
      <c r="G38" s="3686"/>
      <c r="H38" s="3686"/>
    </row>
    <row r="39" spans="1:8" s="1404" customFormat="1">
      <c r="A39" s="3286"/>
      <c r="B39" s="3289"/>
      <c r="C39" s="3286"/>
      <c r="D39" s="3686"/>
      <c r="E39" s="3686"/>
      <c r="F39" s="3686"/>
      <c r="G39" s="3686"/>
      <c r="H39" s="3686"/>
    </row>
    <row r="40" spans="1:8" s="1404" customFormat="1">
      <c r="A40" s="3286"/>
      <c r="B40" s="3289"/>
      <c r="C40" s="3286"/>
      <c r="D40" s="3686"/>
      <c r="E40" s="3686"/>
      <c r="F40" s="3686"/>
      <c r="G40" s="3686"/>
      <c r="H40" s="3686"/>
    </row>
    <row r="41" spans="1:8" s="1404" customFormat="1">
      <c r="A41" s="3286"/>
      <c r="B41" s="3289"/>
      <c r="C41" s="3286"/>
      <c r="D41" s="3686"/>
      <c r="E41" s="3686"/>
      <c r="F41" s="3686"/>
      <c r="G41" s="3686"/>
      <c r="H41" s="3686"/>
    </row>
  </sheetData>
  <mergeCells count="4">
    <mergeCell ref="A12:B15"/>
    <mergeCell ref="E12:G12"/>
    <mergeCell ref="A5:H5"/>
    <mergeCell ref="A6:H6"/>
  </mergeCells>
  <pageMargins left="0.5" right="0" top="0" bottom="0" header="0" footer="0"/>
  <pageSetup paperSize="5" orientation="portrait" verticalDpi="300"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F39"/>
  <sheetViews>
    <sheetView showGridLines="0" showOutlineSymbols="0" workbookViewId="0">
      <selection activeCell="F33" sqref="F33"/>
    </sheetView>
  </sheetViews>
  <sheetFormatPr defaultColWidth="12.5703125" defaultRowHeight="12.75" outlineLevelRow="2" outlineLevelCol="2"/>
  <cols>
    <col min="1" max="1" width="1.85546875" style="3160" customWidth="1"/>
    <col min="2" max="2" width="31.42578125" style="3160" customWidth="1"/>
    <col min="3" max="3" width="9.85546875" style="3160" customWidth="1"/>
    <col min="4" max="4" width="8.5703125" style="3160" customWidth="1"/>
    <col min="5" max="6" width="12.42578125" style="3160" customWidth="1"/>
    <col min="7" max="7" width="9.42578125" style="3160" customWidth="1"/>
    <col min="8" max="8" width="12.28515625" style="3160" customWidth="1"/>
    <col min="9" max="35" width="12.5703125" style="1403"/>
    <col min="36" max="40" width="12.5703125" style="1403" outlineLevel="1"/>
    <col min="41" max="46" width="12.5703125" style="1403" outlineLevel="2"/>
    <col min="47" max="49" width="12.5703125" style="1403" outlineLevel="1"/>
    <col min="50" max="69" width="12.5703125" style="1403"/>
    <col min="70" max="73" width="12.5703125" style="1403" outlineLevel="1"/>
    <col min="74" max="121" width="12.5703125" style="1403"/>
    <col min="122" max="127" width="12.5703125" style="1403" outlineLevel="1"/>
    <col min="128" max="133" width="12.5703125" style="1403" outlineLevel="2"/>
    <col min="134" max="136" width="12.5703125" style="1403" outlineLevel="1"/>
    <col min="137"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A4" s="4741" t="s">
        <v>471</v>
      </c>
      <c r="B4" s="4741"/>
      <c r="C4" s="4741"/>
      <c r="D4" s="4741"/>
      <c r="E4" s="4741"/>
      <c r="F4" s="4741"/>
      <c r="G4" s="4741"/>
      <c r="H4" s="4741"/>
    </row>
    <row r="5" spans="1:8" ht="14.25" customHeight="1">
      <c r="A5" s="4742" t="s">
        <v>470</v>
      </c>
      <c r="B5" s="4742"/>
      <c r="C5" s="4742"/>
      <c r="D5" s="4742"/>
      <c r="E5" s="4742"/>
      <c r="F5" s="4742"/>
      <c r="G5" s="4742"/>
      <c r="H5" s="4742"/>
    </row>
    <row r="6" spans="1:8" ht="14.25" customHeight="1">
      <c r="A6" s="1578"/>
      <c r="B6" s="1578"/>
      <c r="C6" s="1578"/>
      <c r="D6" s="1578"/>
      <c r="E6" s="1578"/>
      <c r="F6" s="1578"/>
      <c r="G6" s="1578"/>
      <c r="H6" s="1578"/>
    </row>
    <row r="7" spans="1:8" ht="14.25" customHeight="1">
      <c r="A7" s="1578"/>
      <c r="B7" s="1578"/>
      <c r="C7" s="1578"/>
      <c r="D7" s="1578"/>
      <c r="E7" s="1578"/>
      <c r="F7" s="1578"/>
      <c r="G7" s="1578"/>
      <c r="H7" s="1578"/>
    </row>
    <row r="8" spans="1:8" ht="14.25" customHeight="1">
      <c r="A8" s="3281" t="s">
        <v>3289</v>
      </c>
      <c r="B8" s="3281"/>
    </row>
    <row r="9" spans="1:8" ht="14.25" customHeight="1">
      <c r="A9" s="4433" t="s">
        <v>3293</v>
      </c>
      <c r="B9" s="4433"/>
    </row>
    <row r="10" spans="1:8" ht="14.25" customHeight="1">
      <c r="A10" s="4433"/>
      <c r="B10" s="4433"/>
    </row>
    <row r="11" spans="1:8" ht="14.25" customHeight="1">
      <c r="A11" s="4743" t="s">
        <v>468</v>
      </c>
      <c r="B11" s="4744"/>
      <c r="C11" s="4455" t="s">
        <v>467</v>
      </c>
      <c r="D11" s="4455" t="s">
        <v>3280</v>
      </c>
      <c r="E11" s="5018" t="s">
        <v>465</v>
      </c>
      <c r="F11" s="5019"/>
      <c r="G11" s="5020"/>
      <c r="H11" s="4455" t="s">
        <v>2180</v>
      </c>
    </row>
    <row r="12" spans="1:8" ht="14.25" customHeight="1">
      <c r="A12" s="4745"/>
      <c r="B12" s="4746"/>
      <c r="C12" s="4454" t="s">
        <v>463</v>
      </c>
      <c r="D12" s="4452" t="s">
        <v>2342</v>
      </c>
      <c r="E12" s="4452" t="s">
        <v>2344</v>
      </c>
      <c r="F12" s="4452" t="s">
        <v>2343</v>
      </c>
      <c r="G12" s="4452" t="s">
        <v>244</v>
      </c>
      <c r="H12" s="4452" t="s">
        <v>2342</v>
      </c>
    </row>
    <row r="13" spans="1:8" ht="14.25" customHeight="1">
      <c r="A13" s="4745"/>
      <c r="B13" s="4746"/>
      <c r="C13" s="4454"/>
      <c r="D13" s="4452">
        <v>2020</v>
      </c>
      <c r="E13" s="4452" t="s">
        <v>2341</v>
      </c>
      <c r="F13" s="4452" t="s">
        <v>2341</v>
      </c>
      <c r="G13" s="4453"/>
      <c r="H13" s="4452">
        <v>2022</v>
      </c>
    </row>
    <row r="14" spans="1:8" ht="14.25" customHeight="1">
      <c r="A14" s="4747"/>
      <c r="B14" s="4748"/>
      <c r="C14" s="4451"/>
      <c r="D14" s="4449" t="s">
        <v>460</v>
      </c>
      <c r="E14" s="4449" t="s">
        <v>460</v>
      </c>
      <c r="F14" s="4449" t="s">
        <v>459</v>
      </c>
      <c r="G14" s="4450"/>
      <c r="H14" s="4449" t="s">
        <v>458</v>
      </c>
    </row>
    <row r="15" spans="1:8" ht="20.100000000000001" customHeight="1">
      <c r="A15" s="1574" t="s">
        <v>456</v>
      </c>
      <c r="B15" s="3276"/>
      <c r="C15" s="4186"/>
      <c r="D15" s="4186"/>
      <c r="E15" s="4186"/>
      <c r="F15" s="3276"/>
      <c r="G15" s="3276"/>
      <c r="H15" s="4186"/>
    </row>
    <row r="16" spans="1:8" s="2994" customFormat="1" ht="20.100000000000001" customHeight="1" outlineLevel="1">
      <c r="A16" s="3699" t="s">
        <v>407</v>
      </c>
      <c r="B16" s="4197"/>
      <c r="C16" s="4209"/>
      <c r="D16" s="2598">
        <f>SUM(D17:D21)</f>
        <v>29585</v>
      </c>
      <c r="E16" s="2598">
        <f>SUM(E17:E21)</f>
        <v>28788</v>
      </c>
      <c r="F16" s="2598">
        <f>SUM(F17:F21)</f>
        <v>152012</v>
      </c>
      <c r="G16" s="2598">
        <f>SUM(G17:G21)</f>
        <v>180800</v>
      </c>
      <c r="H16" s="2598">
        <f>SUM(H17:H21)</f>
        <v>160000</v>
      </c>
    </row>
    <row r="17" spans="1:8" s="1437" customFormat="1" ht="16.7" customHeight="1" outlineLevel="1">
      <c r="A17" s="4424" t="s">
        <v>2352</v>
      </c>
      <c r="B17" s="4420"/>
      <c r="C17" s="4448" t="s">
        <v>405</v>
      </c>
      <c r="D17" s="4207">
        <f>'[39]CIACAT-VAWC'!$F$13</f>
        <v>1950</v>
      </c>
      <c r="E17" s="4206">
        <f>'[40]CIACAT-VAWC'!$F$13</f>
        <v>0</v>
      </c>
      <c r="F17" s="1532">
        <f>G17-E17</f>
        <v>10000</v>
      </c>
      <c r="G17" s="4206">
        <f>'[40]CIACAT-VAWC'!$D$13</f>
        <v>10000</v>
      </c>
      <c r="H17" s="4458">
        <v>10000</v>
      </c>
    </row>
    <row r="18" spans="1:8" s="1437" customFormat="1" ht="16.7" customHeight="1" outlineLevel="1">
      <c r="A18" s="4447" t="s">
        <v>404</v>
      </c>
      <c r="B18" s="4443"/>
      <c r="C18" s="4436" t="s">
        <v>403</v>
      </c>
      <c r="D18" s="4418">
        <f>'[39]CIACAT-VAWC'!$F$14</f>
        <v>0</v>
      </c>
      <c r="E18" s="4446">
        <f>'[40]CIACAT-VAWC'!$F$14</f>
        <v>0</v>
      </c>
      <c r="F18" s="1532">
        <f>G18-E18</f>
        <v>17000</v>
      </c>
      <c r="G18" s="4446">
        <f>'[40]CIACAT-VAWC'!$D$14</f>
        <v>17000</v>
      </c>
      <c r="H18" s="4456">
        <v>17000</v>
      </c>
    </row>
    <row r="19" spans="1:8" s="1422" customFormat="1" ht="16.7" customHeight="1" outlineLevel="1">
      <c r="A19" s="4444" t="s">
        <v>674</v>
      </c>
      <c r="B19" s="4443"/>
      <c r="C19" s="4436" t="s">
        <v>396</v>
      </c>
      <c r="D19" s="4418">
        <f>'[39]CIACAT-VAWC'!$F$15</f>
        <v>0</v>
      </c>
      <c r="E19" s="4200">
        <f>'[40]CIACAT-VAWC'!$F$15</f>
        <v>0</v>
      </c>
      <c r="F19" s="1532">
        <f>G19-E19</f>
        <v>5000</v>
      </c>
      <c r="G19" s="4200">
        <f>'[40]CIACAT-VAWC'!$D$15</f>
        <v>5000</v>
      </c>
      <c r="H19" s="4456">
        <v>5000</v>
      </c>
    </row>
    <row r="20" spans="1:8" s="1422" customFormat="1" ht="16.7" customHeight="1" outlineLevel="1">
      <c r="A20" s="4444" t="s">
        <v>878</v>
      </c>
      <c r="B20" s="4443"/>
      <c r="C20" s="4436" t="s">
        <v>394</v>
      </c>
      <c r="D20" s="4418">
        <f>'[39]CIACAT-VAWC'!$F$16</f>
        <v>7735</v>
      </c>
      <c r="E20" s="4200">
        <f>'[40]CIACAT-VAWC'!$F$16</f>
        <v>6948</v>
      </c>
      <c r="F20" s="1532">
        <f>G20-E20</f>
        <v>3052</v>
      </c>
      <c r="G20" s="4200">
        <f>'[40]CIACAT-VAWC'!$D$16</f>
        <v>10000</v>
      </c>
      <c r="H20" s="4456">
        <v>10000</v>
      </c>
    </row>
    <row r="21" spans="1:8" s="1422" customFormat="1" ht="16.7" customHeight="1" outlineLevel="1">
      <c r="A21" s="4438" t="s">
        <v>368</v>
      </c>
      <c r="B21" s="4420"/>
      <c r="C21" s="4419" t="s">
        <v>367</v>
      </c>
      <c r="D21" s="4418">
        <f>'[39]CIACAT-VAWC'!$F$17</f>
        <v>19900</v>
      </c>
      <c r="E21" s="4200">
        <f>'[40]CIACAT-VAWC'!$F$17</f>
        <v>21840</v>
      </c>
      <c r="F21" s="1532">
        <f>G21-E21</f>
        <v>116960</v>
      </c>
      <c r="G21" s="4200">
        <f>'[40]CIACAT-VAWC'!$D$17</f>
        <v>138800</v>
      </c>
      <c r="H21" s="4457">
        <v>118000</v>
      </c>
    </row>
    <row r="22" spans="1:8" ht="20.100000000000001" customHeight="1" outlineLevel="2" thickBot="1">
      <c r="A22" s="2480" t="s">
        <v>366</v>
      </c>
      <c r="B22" s="3690"/>
      <c r="C22" s="4417"/>
      <c r="D22" s="3690">
        <f>SUM(D17:D21)</f>
        <v>29585</v>
      </c>
      <c r="E22" s="3690">
        <f>SUM(E17:E21)</f>
        <v>28788</v>
      </c>
      <c r="F22" s="3690">
        <f>SUM(F17:F21)</f>
        <v>152012</v>
      </c>
      <c r="G22" s="3690">
        <f>SUM(G17:G21)</f>
        <v>180800</v>
      </c>
      <c r="H22" s="3690">
        <f>SUM(H17:H21)</f>
        <v>160000</v>
      </c>
    </row>
    <row r="23" spans="1:8" ht="20.100000000000001" customHeight="1" outlineLevel="2" thickTop="1">
      <c r="A23" s="3687"/>
      <c r="B23" s="3687"/>
      <c r="C23" s="4416"/>
      <c r="D23" s="3687"/>
      <c r="E23" s="3687"/>
      <c r="F23" s="3687"/>
      <c r="G23" s="3687"/>
      <c r="H23" s="3687"/>
    </row>
    <row r="24" spans="1:8" s="4409" customFormat="1" ht="14.25" customHeight="1">
      <c r="A24" s="4412" t="s">
        <v>3163</v>
      </c>
      <c r="B24" s="4412"/>
      <c r="C24" s="4411" t="s">
        <v>363</v>
      </c>
      <c r="D24" s="4411"/>
      <c r="E24" s="4411"/>
      <c r="F24" s="4412"/>
      <c r="G24" s="4412" t="s">
        <v>2311</v>
      </c>
      <c r="H24" s="4412"/>
    </row>
    <row r="25" spans="1:8" s="4409" customFormat="1" ht="14.25" customHeight="1">
      <c r="A25" s="4412"/>
      <c r="B25" s="4412"/>
      <c r="C25" s="4411"/>
      <c r="D25" s="4411"/>
      <c r="E25" s="4411"/>
      <c r="F25" s="4412"/>
      <c r="G25" s="4412"/>
      <c r="H25" s="4412"/>
    </row>
    <row r="26" spans="1:8" s="4409" customFormat="1" ht="14.25" customHeight="1">
      <c r="A26" s="4412"/>
      <c r="B26" s="4412"/>
      <c r="C26" s="4411"/>
      <c r="D26" s="4411"/>
      <c r="E26" s="4411"/>
      <c r="F26" s="4412"/>
      <c r="G26" s="4412"/>
      <c r="H26" s="4412"/>
    </row>
    <row r="27" spans="1:8" s="4409" customFormat="1" ht="14.25" customHeight="1">
      <c r="A27" s="4415" t="s">
        <v>3284</v>
      </c>
      <c r="B27" s="4413"/>
      <c r="C27" s="4414" t="s">
        <v>3162</v>
      </c>
      <c r="D27" s="4415"/>
      <c r="E27" s="4411"/>
      <c r="F27" s="4413"/>
      <c r="G27" s="4413" t="s">
        <v>359</v>
      </c>
      <c r="H27" s="4413"/>
    </row>
    <row r="28" spans="1:8" s="4409" customFormat="1" ht="14.25" customHeight="1">
      <c r="A28" s="4411" t="s">
        <v>3283</v>
      </c>
      <c r="B28" s="4412"/>
      <c r="C28" s="4412" t="s">
        <v>658</v>
      </c>
      <c r="D28" s="4412"/>
      <c r="E28" s="4411"/>
      <c r="F28" s="4410"/>
      <c r="G28" s="4410" t="s">
        <v>2307</v>
      </c>
      <c r="H28" s="4410"/>
    </row>
    <row r="29" spans="1:8" s="1404" customFormat="1">
      <c r="A29" s="3286"/>
      <c r="B29" s="3289"/>
      <c r="C29" s="3286"/>
      <c r="D29" s="3686"/>
      <c r="E29" s="3686"/>
      <c r="F29" s="3686"/>
      <c r="G29" s="3686"/>
      <c r="H29" s="3686"/>
    </row>
    <row r="30" spans="1:8" s="1404" customFormat="1">
      <c r="A30" s="3286"/>
      <c r="B30" s="3289"/>
      <c r="C30" s="3286"/>
      <c r="D30" s="3686"/>
      <c r="E30" s="3686"/>
      <c r="F30" s="3686"/>
      <c r="G30" s="3686"/>
      <c r="H30" s="3686"/>
    </row>
    <row r="31" spans="1:8" s="1404" customFormat="1">
      <c r="A31" s="3286"/>
      <c r="B31" s="3289"/>
      <c r="C31" s="3286"/>
      <c r="D31" s="3686"/>
      <c r="E31" s="3686"/>
      <c r="F31" s="3686"/>
      <c r="G31" s="3686"/>
      <c r="H31" s="3686"/>
    </row>
    <row r="32" spans="1:8" s="1404" customFormat="1">
      <c r="A32" s="3286"/>
      <c r="B32" s="3289"/>
      <c r="C32" s="3286"/>
      <c r="D32" s="3686"/>
      <c r="E32" s="3686"/>
      <c r="F32" s="3686"/>
      <c r="G32" s="3686"/>
      <c r="H32" s="3686"/>
    </row>
    <row r="33" spans="1:8" s="1404" customFormat="1">
      <c r="A33" s="3286"/>
      <c r="B33" s="3289"/>
      <c r="C33" s="3286"/>
      <c r="D33" s="3686"/>
      <c r="E33" s="3686"/>
      <c r="F33" s="3686"/>
      <c r="G33" s="3686"/>
      <c r="H33" s="3686"/>
    </row>
    <row r="34" spans="1:8" s="1404" customFormat="1">
      <c r="A34" s="3286"/>
      <c r="B34" s="3289"/>
      <c r="C34" s="3286"/>
      <c r="D34" s="3686"/>
      <c r="E34" s="3686"/>
      <c r="F34" s="3686"/>
      <c r="G34" s="3686"/>
      <c r="H34" s="3686"/>
    </row>
    <row r="35" spans="1:8" s="1404" customFormat="1">
      <c r="A35" s="3286"/>
      <c r="B35" s="3289"/>
      <c r="C35" s="3286"/>
      <c r="D35" s="3686"/>
      <c r="E35" s="3686"/>
      <c r="F35" s="3686"/>
      <c r="G35" s="3686"/>
      <c r="H35" s="3686"/>
    </row>
    <row r="36" spans="1:8" s="1404" customFormat="1">
      <c r="A36" s="3286"/>
      <c r="B36" s="3289"/>
      <c r="C36" s="3286"/>
      <c r="D36" s="3686"/>
      <c r="E36" s="3686"/>
      <c r="F36" s="3686"/>
      <c r="G36" s="3686"/>
      <c r="H36" s="3686"/>
    </row>
    <row r="37" spans="1:8" s="1404" customFormat="1">
      <c r="A37" s="3286"/>
      <c r="B37" s="3289"/>
      <c r="C37" s="3286"/>
      <c r="D37" s="3686"/>
      <c r="E37" s="3686"/>
      <c r="F37" s="3686"/>
      <c r="G37" s="3686"/>
      <c r="H37" s="3686"/>
    </row>
    <row r="38" spans="1:8" s="1404" customFormat="1">
      <c r="A38" s="3286"/>
      <c r="B38" s="3289"/>
      <c r="C38" s="3286"/>
      <c r="D38" s="3686"/>
      <c r="E38" s="3686"/>
      <c r="F38" s="3686"/>
      <c r="G38" s="3686"/>
      <c r="H38" s="3686"/>
    </row>
    <row r="39" spans="1:8" s="1404" customFormat="1">
      <c r="A39" s="3286"/>
      <c r="B39" s="3289"/>
      <c r="C39" s="3286"/>
      <c r="D39" s="3686"/>
      <c r="E39" s="3686"/>
      <c r="F39" s="3686"/>
      <c r="G39" s="3686"/>
      <c r="H39" s="3686"/>
    </row>
  </sheetData>
  <mergeCells count="4">
    <mergeCell ref="A11:B14"/>
    <mergeCell ref="E11:G11"/>
    <mergeCell ref="A4:H4"/>
    <mergeCell ref="A5:H5"/>
  </mergeCells>
  <pageMargins left="0.5" right="0" top="0" bottom="0" header="0.25" footer="0"/>
  <pageSetup paperSize="5"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outlinePr summaryBelow="0"/>
  </sheetPr>
  <dimension ref="A1:ES33"/>
  <sheetViews>
    <sheetView showGridLines="0" showOutlineSymbols="0" workbookViewId="0">
      <selection activeCell="I1" sqref="I1:I1048576"/>
    </sheetView>
  </sheetViews>
  <sheetFormatPr defaultColWidth="12.5703125" defaultRowHeight="15.75" outlineLevelRow="1" outlineLevelCol="2"/>
  <cols>
    <col min="1" max="1" width="1.85546875" style="235" customWidth="1"/>
    <col min="2" max="2" width="34.85546875" style="235" customWidth="1"/>
    <col min="3" max="3" width="10.7109375" style="235" customWidth="1"/>
    <col min="4" max="4" width="9.42578125" style="235" customWidth="1"/>
    <col min="5" max="8" width="10.7109375" style="235" customWidth="1"/>
    <col min="9" max="9" width="14.140625" style="235" hidden="1" customWidth="1"/>
    <col min="10"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9">
      <c r="A1" s="271" t="s">
        <v>473</v>
      </c>
      <c r="B1" s="134"/>
      <c r="C1" s="134"/>
      <c r="E1" s="271"/>
      <c r="H1" s="271"/>
    </row>
    <row r="2" spans="1:9" ht="14.25" customHeight="1">
      <c r="A2" s="270" t="s">
        <v>584</v>
      </c>
      <c r="B2" s="134"/>
      <c r="C2" s="134"/>
      <c r="E2" s="270"/>
      <c r="H2" s="270"/>
    </row>
    <row r="3" spans="1:9" ht="14.25" customHeight="1">
      <c r="A3" s="134"/>
      <c r="B3" s="134"/>
      <c r="C3" s="134"/>
      <c r="E3" s="270"/>
      <c r="F3" s="270"/>
      <c r="H3" s="270"/>
    </row>
    <row r="4" spans="1:9" ht="14.25" customHeight="1">
      <c r="A4" s="4630" t="s">
        <v>471</v>
      </c>
      <c r="B4" s="4630"/>
      <c r="C4" s="4630"/>
      <c r="D4" s="4630"/>
      <c r="E4" s="4630"/>
      <c r="F4" s="4630"/>
      <c r="G4" s="4630"/>
      <c r="H4" s="4630"/>
    </row>
    <row r="5" spans="1:9" ht="12" customHeight="1">
      <c r="A5" s="4623" t="s">
        <v>583</v>
      </c>
      <c r="B5" s="4631"/>
      <c r="C5" s="4631"/>
      <c r="D5" s="4631"/>
      <c r="E5" s="4631"/>
      <c r="F5" s="4631"/>
      <c r="G5" s="4631"/>
      <c r="H5" s="4631"/>
    </row>
    <row r="6" spans="1:9" ht="21" customHeight="1">
      <c r="A6" s="140"/>
      <c r="B6" s="140"/>
      <c r="C6" s="140"/>
      <c r="D6" s="140"/>
      <c r="E6" s="140"/>
      <c r="F6" s="140"/>
      <c r="G6" s="140"/>
      <c r="H6" s="140"/>
    </row>
    <row r="7" spans="1:9" ht="14.25" customHeight="1">
      <c r="A7" s="399" t="s">
        <v>959</v>
      </c>
      <c r="B7" s="397"/>
      <c r="D7" s="134"/>
      <c r="E7" s="134"/>
      <c r="F7" s="134"/>
      <c r="G7" s="134"/>
      <c r="H7" s="134"/>
    </row>
    <row r="8" spans="1:9" ht="14.25" customHeight="1">
      <c r="A8" s="398"/>
      <c r="B8" s="757" t="s">
        <v>966</v>
      </c>
      <c r="D8" s="134"/>
      <c r="E8" s="134"/>
      <c r="F8" s="134"/>
      <c r="G8" s="134"/>
      <c r="H8" s="134"/>
    </row>
    <row r="9" spans="1:9" ht="15.75" customHeight="1">
      <c r="A9" s="398"/>
      <c r="B9" s="397"/>
      <c r="D9" s="134"/>
      <c r="E9" s="134"/>
      <c r="F9" s="134"/>
      <c r="G9" s="134"/>
      <c r="H9" s="134"/>
    </row>
    <row r="10" spans="1:9" ht="14.25" customHeight="1">
      <c r="A10" s="4624" t="s">
        <v>468</v>
      </c>
      <c r="B10" s="4625"/>
      <c r="C10" s="265" t="s">
        <v>467</v>
      </c>
      <c r="D10" s="264" t="s">
        <v>466</v>
      </c>
      <c r="E10" s="4632" t="s">
        <v>465</v>
      </c>
      <c r="F10" s="4633"/>
      <c r="G10" s="4634"/>
      <c r="H10" s="265" t="s">
        <v>464</v>
      </c>
      <c r="I10" s="990"/>
    </row>
    <row r="11" spans="1:9" ht="14.25" customHeight="1">
      <c r="A11" s="4626"/>
      <c r="B11" s="4627"/>
      <c r="C11" s="261" t="s">
        <v>463</v>
      </c>
      <c r="D11" s="262" t="s">
        <v>573</v>
      </c>
      <c r="E11" s="503" t="s">
        <v>462</v>
      </c>
      <c r="F11" s="503" t="s">
        <v>461</v>
      </c>
      <c r="G11" s="262" t="s">
        <v>244</v>
      </c>
      <c r="H11" s="262">
        <v>2022</v>
      </c>
      <c r="I11" s="989"/>
    </row>
    <row r="12" spans="1:9" ht="14.25" customHeight="1">
      <c r="A12" s="4628"/>
      <c r="B12" s="4629"/>
      <c r="C12" s="260"/>
      <c r="D12" s="258" t="s">
        <v>460</v>
      </c>
      <c r="E12" s="258" t="s">
        <v>460</v>
      </c>
      <c r="F12" s="258" t="s">
        <v>459</v>
      </c>
      <c r="G12" s="259"/>
      <c r="H12" s="258" t="s">
        <v>458</v>
      </c>
      <c r="I12" s="988"/>
    </row>
    <row r="13" spans="1:9" ht="20.100000000000001" customHeight="1">
      <c r="A13" s="537" t="s">
        <v>456</v>
      </c>
      <c r="B13" s="566"/>
      <c r="C13" s="396"/>
      <c r="D13" s="396"/>
      <c r="E13" s="396"/>
      <c r="F13" s="536"/>
      <c r="G13" s="536"/>
      <c r="H13" s="536"/>
    </row>
    <row r="14" spans="1:9" ht="20.100000000000001" customHeight="1">
      <c r="A14" s="528" t="s">
        <v>407</v>
      </c>
      <c r="B14" s="987"/>
      <c r="C14" s="986"/>
      <c r="D14" s="535">
        <f>SUM(D15:D26)</f>
        <v>0</v>
      </c>
      <c r="E14" s="535">
        <f>SUM(E15:E26)</f>
        <v>132000</v>
      </c>
      <c r="F14" s="535">
        <f>SUM(F15:F26)</f>
        <v>218000</v>
      </c>
      <c r="G14" s="535">
        <f>SUM(G15:G26)</f>
        <v>350000</v>
      </c>
      <c r="H14" s="535">
        <f>SUM(H15:H26)</f>
        <v>4350000</v>
      </c>
    </row>
    <row r="15" spans="1:9" ht="17.100000000000001" customHeight="1" outlineLevel="1">
      <c r="A15" s="522" t="s">
        <v>393</v>
      </c>
      <c r="B15" s="185"/>
      <c r="C15" s="985" t="s">
        <v>392</v>
      </c>
      <c r="D15" s="984">
        <v>0</v>
      </c>
      <c r="E15" s="558">
        <v>0</v>
      </c>
      <c r="F15" s="983">
        <f>SUM(G15-E15)</f>
        <v>5000</v>
      </c>
      <c r="G15" s="558">
        <v>5000</v>
      </c>
      <c r="H15" s="982">
        <v>5000</v>
      </c>
    </row>
    <row r="16" spans="1:9" ht="17.100000000000001" customHeight="1" outlineLevel="1">
      <c r="A16" s="469" t="s">
        <v>389</v>
      </c>
      <c r="B16" s="468"/>
      <c r="C16" s="735" t="s">
        <v>388</v>
      </c>
      <c r="D16" s="951">
        <v>0</v>
      </c>
      <c r="E16" s="160">
        <v>132000</v>
      </c>
      <c r="F16" s="191">
        <f>SUM(G16-E16)</f>
        <v>84000</v>
      </c>
      <c r="G16" s="160">
        <v>216000</v>
      </c>
      <c r="H16" s="157">
        <v>216000</v>
      </c>
    </row>
    <row r="17" spans="1:11" ht="17.100000000000001" customHeight="1" outlineLevel="1">
      <c r="A17" s="166" t="s">
        <v>383</v>
      </c>
      <c r="B17" s="173"/>
      <c r="C17" s="345"/>
      <c r="D17" s="951"/>
      <c r="E17" s="160"/>
      <c r="F17" s="191"/>
      <c r="G17" s="160"/>
      <c r="H17" s="157"/>
    </row>
    <row r="18" spans="1:11" ht="17.100000000000001" customHeight="1" outlineLevel="1">
      <c r="A18" s="163"/>
      <c r="B18" s="164" t="s">
        <v>381</v>
      </c>
      <c r="C18" s="735" t="s">
        <v>380</v>
      </c>
      <c r="D18" s="951">
        <v>0</v>
      </c>
      <c r="E18" s="160">
        <v>0</v>
      </c>
      <c r="F18" s="191">
        <f>SUM(G18-E18)</f>
        <v>10000</v>
      </c>
      <c r="G18" s="160">
        <v>10000</v>
      </c>
      <c r="H18" s="157">
        <v>10000</v>
      </c>
    </row>
    <row r="19" spans="1:11" ht="17.100000000000001" customHeight="1" outlineLevel="1">
      <c r="A19" s="469" t="s">
        <v>965</v>
      </c>
      <c r="B19" s="468"/>
      <c r="C19" s="735" t="s">
        <v>964</v>
      </c>
      <c r="D19" s="951">
        <v>0</v>
      </c>
      <c r="E19" s="160">
        <v>0</v>
      </c>
      <c r="F19" s="191">
        <f>SUM(G19-E19)</f>
        <v>0</v>
      </c>
      <c r="G19" s="160">
        <v>0</v>
      </c>
      <c r="H19" s="157">
        <v>4000000</v>
      </c>
    </row>
    <row r="20" spans="1:11" ht="17.100000000000001" customHeight="1" outlineLevel="1">
      <c r="A20" s="176" t="s">
        <v>368</v>
      </c>
      <c r="B20" s="175"/>
      <c r="C20" s="341" t="s">
        <v>367</v>
      </c>
      <c r="D20" s="951">
        <v>0</v>
      </c>
      <c r="E20" s="160">
        <v>0</v>
      </c>
      <c r="F20" s="191">
        <f>SUM(G20-E20)</f>
        <v>41800</v>
      </c>
      <c r="G20" s="160">
        <v>41800</v>
      </c>
      <c r="H20" s="157">
        <v>41800</v>
      </c>
    </row>
    <row r="21" spans="1:11" ht="17.100000000000001" customHeight="1" outlineLevel="1">
      <c r="A21" s="176" t="s">
        <v>368</v>
      </c>
      <c r="B21" s="973"/>
      <c r="C21" s="972"/>
      <c r="D21" s="951"/>
      <c r="E21" s="160"/>
      <c r="F21" s="191"/>
      <c r="G21" s="160"/>
      <c r="H21" s="157"/>
      <c r="I21" s="723" t="s">
        <v>963</v>
      </c>
    </row>
    <row r="22" spans="1:11" ht="17.100000000000001" customHeight="1" outlineLevel="1">
      <c r="A22" s="512"/>
      <c r="B22" s="980" t="s">
        <v>962</v>
      </c>
      <c r="C22" s="979" t="s">
        <v>961</v>
      </c>
      <c r="D22" s="951">
        <v>0</v>
      </c>
      <c r="E22" s="160">
        <v>0</v>
      </c>
      <c r="F22" s="191">
        <f>SUM(G22-E22)</f>
        <v>77200</v>
      </c>
      <c r="G22" s="160">
        <v>77200</v>
      </c>
      <c r="H22" s="157">
        <v>77200</v>
      </c>
    </row>
    <row r="23" spans="1:11" ht="17.100000000000001" customHeight="1" outlineLevel="1">
      <c r="A23" s="176"/>
      <c r="B23" s="175"/>
      <c r="C23" s="341"/>
      <c r="D23" s="951"/>
      <c r="E23" s="981"/>
      <c r="F23" s="191"/>
      <c r="G23" s="389"/>
      <c r="H23" s="157"/>
    </row>
    <row r="24" spans="1:11" s="344" customFormat="1" ht="17.100000000000001" customHeight="1" outlineLevel="1">
      <c r="A24" s="176"/>
      <c r="B24" s="973"/>
      <c r="C24" s="972"/>
      <c r="D24" s="951"/>
      <c r="E24" s="981"/>
      <c r="F24" s="191"/>
      <c r="G24" s="389"/>
      <c r="H24" s="157"/>
    </row>
    <row r="25" spans="1:11" s="344" customFormat="1" ht="17.100000000000001" customHeight="1" outlineLevel="1">
      <c r="A25" s="512"/>
      <c r="B25" s="980"/>
      <c r="C25" s="979"/>
      <c r="D25" s="951"/>
      <c r="E25" s="378"/>
      <c r="F25" s="191"/>
      <c r="G25" s="389"/>
      <c r="H25" s="157"/>
    </row>
    <row r="26" spans="1:11" s="344" customFormat="1" ht="17.100000000000001" customHeight="1" outlineLevel="1">
      <c r="A26" s="508"/>
      <c r="B26" s="507"/>
      <c r="C26" s="970"/>
      <c r="D26" s="969"/>
      <c r="E26" s="968"/>
      <c r="F26" s="967"/>
      <c r="G26" s="966"/>
      <c r="H26" s="149"/>
    </row>
    <row r="27" spans="1:11" s="344" customFormat="1" ht="17.100000000000001" customHeight="1" outlineLevel="1" thickBot="1">
      <c r="A27" s="732" t="s">
        <v>366</v>
      </c>
      <c r="B27" s="731"/>
      <c r="C27" s="146"/>
      <c r="D27" s="456">
        <f>SUM(D15:D26)</f>
        <v>0</v>
      </c>
      <c r="E27" s="456">
        <f>SUM(E15:E26)</f>
        <v>132000</v>
      </c>
      <c r="F27" s="456">
        <f>SUM(F15:F26)</f>
        <v>218000</v>
      </c>
      <c r="G27" s="456">
        <f>SUM(G15:G26)</f>
        <v>350000</v>
      </c>
      <c r="H27" s="456">
        <f>SUM(H15:H26)</f>
        <v>4350000</v>
      </c>
      <c r="I27" s="965" t="s">
        <v>960</v>
      </c>
    </row>
    <row r="28" spans="1:11" s="134" customFormat="1" ht="19.149999999999999" customHeight="1" thickTop="1">
      <c r="A28" s="134" t="s">
        <v>948</v>
      </c>
      <c r="B28" s="453"/>
      <c r="C28" s="940" t="s">
        <v>947</v>
      </c>
      <c r="D28" s="940"/>
      <c r="E28" s="940"/>
      <c r="F28" s="939" t="s">
        <v>946</v>
      </c>
      <c r="G28" s="939"/>
      <c r="H28" s="938"/>
      <c r="I28" s="937"/>
    </row>
    <row r="29" spans="1:11" s="134" customFormat="1" ht="18" customHeight="1">
      <c r="C29" s="964"/>
      <c r="D29" s="344"/>
      <c r="E29" s="148"/>
      <c r="F29" s="148"/>
      <c r="G29" s="148"/>
      <c r="H29" s="344"/>
      <c r="I29" s="148"/>
    </row>
    <row r="30" spans="1:11" s="134" customFormat="1" ht="24.75" customHeight="1">
      <c r="A30" s="4651" t="s">
        <v>945</v>
      </c>
      <c r="B30" s="4651"/>
      <c r="C30" s="4635" t="s">
        <v>360</v>
      </c>
      <c r="D30" s="4635"/>
      <c r="E30" s="4635"/>
      <c r="F30" s="4630" t="s">
        <v>359</v>
      </c>
      <c r="G30" s="4630"/>
      <c r="H30" s="4630"/>
      <c r="I30" s="963"/>
      <c r="J30" s="936"/>
      <c r="K30" s="936"/>
    </row>
    <row r="31" spans="1:11" s="135" customFormat="1" ht="13.5">
      <c r="A31" s="4704" t="s">
        <v>944</v>
      </c>
      <c r="B31" s="4704"/>
      <c r="C31" s="4655" t="s">
        <v>357</v>
      </c>
      <c r="D31" s="4655"/>
      <c r="E31" s="4655"/>
      <c r="F31" s="4623" t="s">
        <v>356</v>
      </c>
      <c r="G31" s="4623"/>
      <c r="H31" s="4623"/>
      <c r="I31" s="962"/>
      <c r="J31" s="935"/>
      <c r="K31" s="935"/>
    </row>
    <row r="32" spans="1:11" s="135" customFormat="1" ht="13.5">
      <c r="A32" s="4704"/>
      <c r="B32" s="4704"/>
      <c r="C32" s="4655"/>
      <c r="D32" s="4655"/>
      <c r="E32" s="4655"/>
      <c r="G32" s="137"/>
      <c r="H32" s="137"/>
      <c r="I32" s="961"/>
      <c r="J32" s="137"/>
      <c r="K32" s="137"/>
    </row>
    <row r="33" spans="3:9">
      <c r="C33" s="135"/>
      <c r="D33" s="137"/>
      <c r="E33" s="137"/>
      <c r="F33" s="137"/>
      <c r="G33" s="137"/>
      <c r="H33" s="137"/>
      <c r="I33" s="344"/>
    </row>
  </sheetData>
  <mergeCells count="12">
    <mergeCell ref="A32:B32"/>
    <mergeCell ref="C32:E32"/>
    <mergeCell ref="A4:H4"/>
    <mergeCell ref="A5:H5"/>
    <mergeCell ref="A10:B12"/>
    <mergeCell ref="E10:G10"/>
    <mergeCell ref="A30:B30"/>
    <mergeCell ref="C30:E30"/>
    <mergeCell ref="F30:H30"/>
    <mergeCell ref="A31:B31"/>
    <mergeCell ref="C31:E31"/>
    <mergeCell ref="F31:H31"/>
  </mergeCells>
  <pageMargins left="0.5" right="0" top="0.25" bottom="0" header="0.5" footer="0"/>
  <pageSetup paperSize="5" orientation="portrait" verticalDpi="300"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M40"/>
  <sheetViews>
    <sheetView showGridLines="0" showOutlineSymbols="0" workbookViewId="0">
      <selection activeCell="J20" sqref="J20"/>
    </sheetView>
  </sheetViews>
  <sheetFormatPr defaultColWidth="12.5703125" defaultRowHeight="12.75" outlineLevelRow="2" outlineLevelCol="2"/>
  <cols>
    <col min="1" max="1" width="1.85546875" style="3160" customWidth="1"/>
    <col min="2" max="2" width="29.28515625" style="3160" customWidth="1"/>
    <col min="3" max="3" width="11.140625" style="3160" customWidth="1"/>
    <col min="4" max="4" width="9.28515625" style="3160" customWidth="1"/>
    <col min="5" max="5" width="10.28515625" style="3160" customWidth="1"/>
    <col min="6" max="6" width="9.85546875" style="3160" customWidth="1"/>
    <col min="7" max="7" width="9.7109375" style="3160" customWidth="1"/>
    <col min="8" max="8" width="10" style="3160" customWidth="1"/>
    <col min="9" max="42" width="12.5703125" style="1403"/>
    <col min="43" max="47" width="12.5703125" style="1403" outlineLevel="1"/>
    <col min="48" max="53" width="12.5703125" style="1403" outlineLevel="2"/>
    <col min="54" max="56" width="12.5703125" style="1403" outlineLevel="1"/>
    <col min="57" max="76" width="12.5703125" style="1403"/>
    <col min="77" max="80" width="12.5703125" style="1403" outlineLevel="1"/>
    <col min="81" max="128" width="12.5703125" style="1403"/>
    <col min="129" max="134" width="12.5703125" style="1403" outlineLevel="1"/>
    <col min="135" max="140" width="12.5703125" style="1403" outlineLevel="2"/>
    <col min="141" max="143" width="12.5703125" style="1403" outlineLevel="1"/>
    <col min="144"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A4" s="4741" t="s">
        <v>471</v>
      </c>
      <c r="B4" s="4741"/>
      <c r="C4" s="4741"/>
      <c r="D4" s="4741"/>
      <c r="E4" s="4741"/>
      <c r="F4" s="4741"/>
      <c r="G4" s="4741"/>
      <c r="H4" s="4741"/>
    </row>
    <row r="5" spans="1:8" ht="14.25" customHeight="1">
      <c r="A5" s="4742" t="s">
        <v>470</v>
      </c>
      <c r="B5" s="4742"/>
      <c r="C5" s="4742"/>
      <c r="D5" s="4742"/>
      <c r="E5" s="4742"/>
      <c r="F5" s="4742"/>
      <c r="G5" s="4742"/>
      <c r="H5" s="4742"/>
    </row>
    <row r="6" spans="1:8" ht="14.25" customHeight="1">
      <c r="A6" s="1578"/>
      <c r="B6" s="1578"/>
      <c r="C6" s="1578"/>
      <c r="D6" s="1578"/>
      <c r="E6" s="1578"/>
      <c r="F6" s="1578"/>
      <c r="G6" s="1578"/>
      <c r="H6" s="1578"/>
    </row>
    <row r="7" spans="1:8" ht="14.25" customHeight="1">
      <c r="A7" s="1578"/>
      <c r="B7" s="1578"/>
      <c r="C7" s="1578"/>
      <c r="D7" s="1578"/>
      <c r="E7" s="1578"/>
      <c r="F7" s="1578"/>
      <c r="G7" s="1578"/>
      <c r="H7" s="1578"/>
    </row>
    <row r="8" spans="1:8" ht="14.25" customHeight="1">
      <c r="A8" s="3281" t="s">
        <v>3289</v>
      </c>
      <c r="B8" s="3281"/>
    </row>
    <row r="9" spans="1:8" ht="14.25" customHeight="1">
      <c r="A9" s="4433" t="s">
        <v>3294</v>
      </c>
      <c r="B9" s="4433"/>
    </row>
    <row r="10" spans="1:8" ht="14.25" customHeight="1">
      <c r="A10" s="4433"/>
      <c r="B10" s="4433"/>
    </row>
    <row r="11" spans="1:8" ht="14.25" customHeight="1">
      <c r="A11" s="4743" t="s">
        <v>468</v>
      </c>
      <c r="B11" s="4744"/>
      <c r="C11" s="4455" t="s">
        <v>467</v>
      </c>
      <c r="D11" s="4455" t="s">
        <v>3280</v>
      </c>
      <c r="E11" s="5018" t="s">
        <v>465</v>
      </c>
      <c r="F11" s="5019"/>
      <c r="G11" s="5020"/>
      <c r="H11" s="4455" t="s">
        <v>2180</v>
      </c>
    </row>
    <row r="12" spans="1:8" ht="14.25" customHeight="1">
      <c r="A12" s="4745"/>
      <c r="B12" s="4746"/>
      <c r="C12" s="4454" t="s">
        <v>463</v>
      </c>
      <c r="D12" s="4452" t="s">
        <v>2342</v>
      </c>
      <c r="E12" s="4452" t="s">
        <v>2344</v>
      </c>
      <c r="F12" s="4452" t="s">
        <v>2343</v>
      </c>
      <c r="G12" s="4452" t="s">
        <v>244</v>
      </c>
      <c r="H12" s="4452" t="s">
        <v>2342</v>
      </c>
    </row>
    <row r="13" spans="1:8" ht="14.25" customHeight="1">
      <c r="A13" s="4745"/>
      <c r="B13" s="4746"/>
      <c r="C13" s="4454"/>
      <c r="D13" s="4452">
        <v>2020</v>
      </c>
      <c r="E13" s="4452" t="s">
        <v>2341</v>
      </c>
      <c r="F13" s="4452" t="s">
        <v>2341</v>
      </c>
      <c r="G13" s="4453"/>
      <c r="H13" s="4452">
        <v>2022</v>
      </c>
    </row>
    <row r="14" spans="1:8" ht="14.25" customHeight="1">
      <c r="A14" s="4747"/>
      <c r="B14" s="4748"/>
      <c r="C14" s="4451"/>
      <c r="D14" s="4449" t="s">
        <v>460</v>
      </c>
      <c r="E14" s="4449" t="s">
        <v>460</v>
      </c>
      <c r="F14" s="4449" t="s">
        <v>459</v>
      </c>
      <c r="G14" s="4450"/>
      <c r="H14" s="4449" t="s">
        <v>458</v>
      </c>
    </row>
    <row r="15" spans="1:8" ht="20.100000000000001" customHeight="1">
      <c r="A15" s="1574" t="s">
        <v>456</v>
      </c>
      <c r="B15" s="3276"/>
      <c r="C15" s="4186"/>
      <c r="D15" s="4186"/>
      <c r="E15" s="4186"/>
      <c r="F15" s="3276"/>
      <c r="G15" s="3276"/>
      <c r="H15" s="4186"/>
    </row>
    <row r="16" spans="1:8" s="2994" customFormat="1" ht="20.100000000000001" customHeight="1" outlineLevel="1">
      <c r="A16" s="3699" t="s">
        <v>407</v>
      </c>
      <c r="B16" s="4197"/>
      <c r="C16" s="4209"/>
      <c r="D16" s="2598">
        <f>SUM(D17:D20)</f>
        <v>300019.15000000002</v>
      </c>
      <c r="E16" s="2598">
        <f>SUM(E17:E20)</f>
        <v>143345</v>
      </c>
      <c r="F16" s="2598">
        <f>SUM(F17:F20)</f>
        <v>221655</v>
      </c>
      <c r="G16" s="2598">
        <f>SUM(G17:G20)</f>
        <v>365000</v>
      </c>
      <c r="H16" s="2598">
        <f>SUM(H17:H20)</f>
        <v>365000</v>
      </c>
    </row>
    <row r="17" spans="1:8" s="1437" customFormat="1" ht="16.7" customHeight="1" outlineLevel="1">
      <c r="A17" s="4447" t="s">
        <v>404</v>
      </c>
      <c r="B17" s="4443"/>
      <c r="C17" s="4436" t="s">
        <v>403</v>
      </c>
      <c r="D17" s="4418">
        <f>'[39]operation of curfew center'!$F$13</f>
        <v>0</v>
      </c>
      <c r="E17" s="4446">
        <f>'[40]operation of curfew center'!$F$13</f>
        <v>0</v>
      </c>
      <c r="F17" s="1532">
        <f>G17-E17</f>
        <v>7500</v>
      </c>
      <c r="G17" s="4458">
        <f>'[40]operation of curfew center'!$D$13</f>
        <v>7500</v>
      </c>
      <c r="H17" s="4458">
        <v>7500</v>
      </c>
    </row>
    <row r="18" spans="1:8" s="1422" customFormat="1" ht="16.7" customHeight="1" outlineLevel="1">
      <c r="A18" s="4444" t="s">
        <v>674</v>
      </c>
      <c r="B18" s="4443"/>
      <c r="C18" s="4436" t="s">
        <v>396</v>
      </c>
      <c r="D18" s="4418">
        <f>'[39]operation of curfew center'!$F$14</f>
        <v>0</v>
      </c>
      <c r="E18" s="4200">
        <f>'[40]operation of curfew center'!$F$14</f>
        <v>0</v>
      </c>
      <c r="F18" s="1532">
        <f>G18-E18</f>
        <v>5500</v>
      </c>
      <c r="G18" s="4200">
        <f>'[40]operation of curfew center'!$D$14</f>
        <v>5500</v>
      </c>
      <c r="H18" s="4200">
        <v>5500</v>
      </c>
    </row>
    <row r="19" spans="1:8" s="1422" customFormat="1" ht="16.7" customHeight="1" outlineLevel="1">
      <c r="A19" s="4444" t="s">
        <v>389</v>
      </c>
      <c r="B19" s="4443"/>
      <c r="C19" s="4436" t="s">
        <v>388</v>
      </c>
      <c r="D19" s="4418">
        <f>'[39]operation of curfew center'!$F$15</f>
        <v>261865.65</v>
      </c>
      <c r="E19" s="4200">
        <f>'[40]operation of curfew center'!$F$15</f>
        <v>120300</v>
      </c>
      <c r="F19" s="1532">
        <f>G19-E19</f>
        <v>203700</v>
      </c>
      <c r="G19" s="4200">
        <f>'[40]operation of curfew center'!$D$15</f>
        <v>324000</v>
      </c>
      <c r="H19" s="4200">
        <v>324000</v>
      </c>
    </row>
    <row r="20" spans="1:8" s="1422" customFormat="1" ht="16.7" customHeight="1" outlineLevel="1" thickBot="1">
      <c r="A20" s="4438" t="s">
        <v>693</v>
      </c>
      <c r="B20" s="4420"/>
      <c r="C20" s="4419" t="s">
        <v>367</v>
      </c>
      <c r="D20" s="4418">
        <f>'[39]operation of curfew center'!$F$16</f>
        <v>38153.5</v>
      </c>
      <c r="E20" s="4200">
        <f>'[40]operation of curfew center'!$F$16</f>
        <v>23045</v>
      </c>
      <c r="F20" s="1532">
        <f>G20-E20</f>
        <v>4955</v>
      </c>
      <c r="G20" s="4200">
        <f>'[40]operation of curfew center'!$D$16</f>
        <v>28000</v>
      </c>
      <c r="H20" s="4200">
        <v>28000</v>
      </c>
    </row>
    <row r="21" spans="1:8" s="1422" customFormat="1" ht="16.7" customHeight="1" outlineLevel="1" thickBot="1">
      <c r="A21" s="4469" t="s">
        <v>775</v>
      </c>
      <c r="B21" s="4468"/>
      <c r="C21" s="4467"/>
      <c r="D21" s="4466">
        <f>D22</f>
        <v>8500</v>
      </c>
      <c r="E21" s="4466">
        <f>E22</f>
        <v>0</v>
      </c>
      <c r="F21" s="4466">
        <f>F22</f>
        <v>0</v>
      </c>
      <c r="G21" s="4466">
        <f>G22</f>
        <v>0</v>
      </c>
      <c r="H21" s="4465">
        <f>H22</f>
        <v>0</v>
      </c>
    </row>
    <row r="22" spans="1:8" s="1422" customFormat="1" ht="16.7" customHeight="1" outlineLevel="1">
      <c r="A22" s="4464" t="s">
        <v>2785</v>
      </c>
      <c r="B22" s="4463"/>
      <c r="C22" s="4462" t="s">
        <v>2784</v>
      </c>
      <c r="D22" s="4461">
        <f>'[39]operation of curfew center'!$F$18</f>
        <v>8500</v>
      </c>
      <c r="E22" s="4460">
        <v>0</v>
      </c>
      <c r="F22" s="1532">
        <f>G22-E22</f>
        <v>0</v>
      </c>
      <c r="G22" s="4460">
        <v>0</v>
      </c>
      <c r="H22" s="4459">
        <v>0</v>
      </c>
    </row>
    <row r="23" spans="1:8" ht="20.100000000000001" customHeight="1" outlineLevel="2" thickBot="1">
      <c r="A23" s="2480" t="s">
        <v>366</v>
      </c>
      <c r="B23" s="3690"/>
      <c r="C23" s="4417"/>
      <c r="D23" s="3690">
        <f>D21+D16</f>
        <v>308519.15000000002</v>
      </c>
      <c r="E23" s="3690">
        <f>E21+E16</f>
        <v>143345</v>
      </c>
      <c r="F23" s="3690">
        <f>F21+F16</f>
        <v>221655</v>
      </c>
      <c r="G23" s="3690">
        <f>G21+G16</f>
        <v>365000</v>
      </c>
      <c r="H23" s="3690">
        <f>H21+H16</f>
        <v>365000</v>
      </c>
    </row>
    <row r="24" spans="1:8" ht="20.100000000000001" customHeight="1" outlineLevel="2" thickTop="1">
      <c r="A24" s="3687"/>
      <c r="B24" s="3687"/>
      <c r="C24" s="4416"/>
      <c r="D24" s="3687"/>
      <c r="E24" s="3687"/>
      <c r="F24" s="3687"/>
      <c r="G24" s="3687"/>
      <c r="H24" s="3687"/>
    </row>
    <row r="25" spans="1:8" s="4409" customFormat="1" ht="14.25" customHeight="1">
      <c r="A25" s="4412" t="s">
        <v>3163</v>
      </c>
      <c r="B25" s="4412"/>
      <c r="C25" s="4411" t="s">
        <v>363</v>
      </c>
      <c r="D25" s="4411"/>
      <c r="E25" s="4411"/>
      <c r="F25" s="4412"/>
      <c r="G25" s="4412" t="s">
        <v>2311</v>
      </c>
      <c r="H25" s="4412"/>
    </row>
    <row r="26" spans="1:8" s="4409" customFormat="1" ht="14.25" customHeight="1">
      <c r="A26" s="4412"/>
      <c r="B26" s="4412"/>
      <c r="C26" s="4411"/>
      <c r="D26" s="4411"/>
      <c r="E26" s="4411"/>
      <c r="F26" s="4412"/>
      <c r="G26" s="4412"/>
      <c r="H26" s="4412"/>
    </row>
    <row r="27" spans="1:8" s="4409" customFormat="1" ht="14.25" customHeight="1">
      <c r="A27" s="4412"/>
      <c r="B27" s="4412"/>
      <c r="C27" s="4411"/>
      <c r="D27" s="4411"/>
      <c r="E27" s="4411"/>
      <c r="F27" s="4412"/>
      <c r="G27" s="4412"/>
      <c r="H27" s="4412"/>
    </row>
    <row r="28" spans="1:8" s="4409" customFormat="1" ht="14.25" customHeight="1">
      <c r="A28" s="4415" t="s">
        <v>3284</v>
      </c>
      <c r="B28" s="4413"/>
      <c r="C28" s="4414" t="s">
        <v>3162</v>
      </c>
      <c r="D28" s="4415"/>
      <c r="E28" s="4411"/>
      <c r="F28" s="4413"/>
      <c r="G28" s="4413" t="s">
        <v>359</v>
      </c>
      <c r="H28" s="4413"/>
    </row>
    <row r="29" spans="1:8" s="4409" customFormat="1" ht="14.25" customHeight="1">
      <c r="A29" s="4411" t="s">
        <v>3283</v>
      </c>
      <c r="B29" s="4412"/>
      <c r="C29" s="4412" t="s">
        <v>658</v>
      </c>
      <c r="D29" s="4412"/>
      <c r="E29" s="4411"/>
      <c r="F29" s="4410"/>
      <c r="G29" s="4410" t="s">
        <v>2307</v>
      </c>
      <c r="H29" s="4410"/>
    </row>
    <row r="30" spans="1:8" s="1404" customFormat="1">
      <c r="A30" s="3286"/>
      <c r="B30" s="3289"/>
      <c r="C30" s="3286"/>
      <c r="D30" s="3686"/>
      <c r="E30" s="3686"/>
      <c r="F30" s="3686"/>
      <c r="G30" s="3686"/>
      <c r="H30" s="3686"/>
    </row>
    <row r="31" spans="1:8" s="1404" customFormat="1">
      <c r="A31" s="3286"/>
      <c r="B31" s="3289"/>
      <c r="C31" s="3286"/>
      <c r="D31" s="3686"/>
      <c r="E31" s="3686"/>
      <c r="F31" s="3686"/>
      <c r="G31" s="3686"/>
      <c r="H31" s="3686"/>
    </row>
    <row r="32" spans="1:8" s="1404" customFormat="1">
      <c r="A32" s="3286"/>
      <c r="B32" s="3289"/>
      <c r="C32" s="3286"/>
      <c r="D32" s="3686"/>
      <c r="E32" s="3686"/>
      <c r="F32" s="3686"/>
      <c r="G32" s="3686"/>
      <c r="H32" s="3686"/>
    </row>
    <row r="33" spans="1:8" s="1404" customFormat="1">
      <c r="A33" s="3286"/>
      <c r="B33" s="3289"/>
      <c r="C33" s="3286"/>
      <c r="D33" s="3686"/>
      <c r="E33" s="3686"/>
      <c r="F33" s="3686"/>
      <c r="G33" s="3686"/>
      <c r="H33" s="3686"/>
    </row>
    <row r="34" spans="1:8" s="1404" customFormat="1">
      <c r="A34" s="3286"/>
      <c r="B34" s="3289"/>
      <c r="C34" s="3286"/>
      <c r="D34" s="3686"/>
      <c r="E34" s="3686"/>
      <c r="F34" s="3686"/>
      <c r="G34" s="3686"/>
      <c r="H34" s="3686"/>
    </row>
    <row r="35" spans="1:8" s="1404" customFormat="1">
      <c r="A35" s="3286"/>
      <c r="B35" s="3289"/>
      <c r="C35" s="3286"/>
      <c r="D35" s="3686"/>
      <c r="E35" s="3686"/>
      <c r="F35" s="3686"/>
      <c r="G35" s="3686"/>
      <c r="H35" s="3686"/>
    </row>
    <row r="36" spans="1:8" s="1404" customFormat="1">
      <c r="A36" s="3286"/>
      <c r="B36" s="3289"/>
      <c r="C36" s="3286"/>
      <c r="D36" s="3686"/>
      <c r="E36" s="3686"/>
      <c r="F36" s="3686"/>
      <c r="G36" s="3686"/>
      <c r="H36" s="3686"/>
    </row>
    <row r="37" spans="1:8" s="1404" customFormat="1">
      <c r="A37" s="3286"/>
      <c r="B37" s="3289"/>
      <c r="C37" s="3286"/>
      <c r="D37" s="3686"/>
      <c r="E37" s="3686"/>
      <c r="F37" s="3686"/>
      <c r="G37" s="3686"/>
      <c r="H37" s="3686"/>
    </row>
    <row r="38" spans="1:8" s="1404" customFormat="1">
      <c r="A38" s="3286"/>
      <c r="B38" s="3289"/>
      <c r="C38" s="3286"/>
      <c r="D38" s="3686"/>
      <c r="E38" s="3686"/>
      <c r="F38" s="3686"/>
      <c r="G38" s="3686"/>
      <c r="H38" s="3686"/>
    </row>
    <row r="39" spans="1:8" s="1404" customFormat="1">
      <c r="A39" s="3286"/>
      <c r="B39" s="3289"/>
      <c r="C39" s="3286"/>
      <c r="D39" s="3686"/>
      <c r="E39" s="3686"/>
      <c r="F39" s="3686"/>
      <c r="G39" s="3686"/>
      <c r="H39" s="3686"/>
    </row>
    <row r="40" spans="1:8" s="1404" customFormat="1">
      <c r="A40" s="3286"/>
      <c r="B40" s="3289"/>
      <c r="C40" s="3286"/>
      <c r="D40" s="3686"/>
      <c r="E40" s="3686"/>
      <c r="F40" s="3686"/>
      <c r="G40" s="3686"/>
      <c r="H40" s="3686"/>
    </row>
  </sheetData>
  <mergeCells count="4">
    <mergeCell ref="A11:B14"/>
    <mergeCell ref="E11:G11"/>
    <mergeCell ref="A4:H4"/>
    <mergeCell ref="A5:H5"/>
  </mergeCells>
  <pageMargins left="0.5" right="0" top="0" bottom="0" header="0.25" footer="0"/>
  <pageSetup paperSize="5" orientation="portrait" verticalDpi="300"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J43"/>
  <sheetViews>
    <sheetView showGridLines="0" showOutlineSymbols="0" workbookViewId="0">
      <selection activeCell="J42" sqref="J42"/>
    </sheetView>
  </sheetViews>
  <sheetFormatPr defaultColWidth="12.5703125" defaultRowHeight="12.75" outlineLevelRow="2" outlineLevelCol="2"/>
  <cols>
    <col min="1" max="1" width="1.85546875" style="3160" customWidth="1"/>
    <col min="2" max="2" width="27.7109375" style="3160" customWidth="1"/>
    <col min="3" max="3" width="13.42578125" style="3160" customWidth="1"/>
    <col min="4" max="4" width="10.42578125" style="3160" customWidth="1"/>
    <col min="5" max="8" width="11.140625" style="3160" customWidth="1"/>
    <col min="9" max="39" width="12.5703125" style="1403"/>
    <col min="40" max="44" width="12.5703125" style="1403" outlineLevel="1"/>
    <col min="45" max="50" width="12.5703125" style="1403" outlineLevel="2"/>
    <col min="51" max="53" width="12.5703125" style="1403" outlineLevel="1"/>
    <col min="54" max="73" width="12.5703125" style="1403"/>
    <col min="74" max="77" width="12.5703125" style="1403" outlineLevel="1"/>
    <col min="78" max="125" width="12.5703125" style="1403"/>
    <col min="126" max="131" width="12.5703125" style="1403" outlineLevel="1"/>
    <col min="132" max="137" width="12.5703125" style="1403" outlineLevel="2"/>
    <col min="138" max="140" width="12.5703125" style="1403" outlineLevel="1"/>
    <col min="141"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E4" s="4187"/>
      <c r="G4" s="4187"/>
      <c r="H4" s="4187"/>
    </row>
    <row r="5" spans="1:8" ht="14.25" customHeight="1">
      <c r="A5" s="4741" t="s">
        <v>471</v>
      </c>
      <c r="B5" s="4741"/>
      <c r="C5" s="4741"/>
      <c r="D5" s="4741"/>
      <c r="E5" s="4741"/>
      <c r="F5" s="4741"/>
      <c r="G5" s="4741"/>
      <c r="H5" s="4741"/>
    </row>
    <row r="6" spans="1:8" ht="14.25" customHeight="1">
      <c r="A6" s="4742" t="s">
        <v>470</v>
      </c>
      <c r="B6" s="4742"/>
      <c r="C6" s="4742"/>
      <c r="D6" s="4742"/>
      <c r="E6" s="4742"/>
      <c r="F6" s="4742"/>
      <c r="G6" s="4742"/>
      <c r="H6" s="4742"/>
    </row>
    <row r="7" spans="1:8" ht="14.25" customHeight="1">
      <c r="A7" s="2836"/>
      <c r="B7" s="2836"/>
      <c r="C7" s="2836"/>
      <c r="D7" s="2836"/>
      <c r="E7" s="2836"/>
      <c r="F7" s="2836"/>
      <c r="G7" s="2836"/>
      <c r="H7" s="2836"/>
    </row>
    <row r="8" spans="1:8" ht="14.25" customHeight="1">
      <c r="A8" s="2836"/>
      <c r="B8" s="2836"/>
      <c r="C8" s="2836"/>
      <c r="D8" s="2836"/>
      <c r="E8" s="2836"/>
      <c r="F8" s="2836"/>
      <c r="G8" s="2836"/>
      <c r="H8" s="2836"/>
    </row>
    <row r="9" spans="1:8" ht="14.25" customHeight="1">
      <c r="A9" s="3281" t="s">
        <v>3289</v>
      </c>
      <c r="B9" s="3281"/>
    </row>
    <row r="10" spans="1:8" ht="14.25" customHeight="1">
      <c r="A10" s="4433" t="s">
        <v>3299</v>
      </c>
      <c r="B10" s="4433"/>
    </row>
    <row r="11" spans="1:8" ht="14.25" customHeight="1">
      <c r="A11" s="4433"/>
      <c r="B11" s="4433"/>
    </row>
    <row r="12" spans="1:8" ht="14.25" customHeight="1">
      <c r="A12" s="4743" t="s">
        <v>468</v>
      </c>
      <c r="B12" s="4744"/>
      <c r="C12" s="4455" t="s">
        <v>467</v>
      </c>
      <c r="D12" s="4455" t="s">
        <v>3280</v>
      </c>
      <c r="E12" s="5018" t="s">
        <v>465</v>
      </c>
      <c r="F12" s="5019"/>
      <c r="G12" s="5020"/>
      <c r="H12" s="4455" t="s">
        <v>2180</v>
      </c>
    </row>
    <row r="13" spans="1:8" ht="14.25" customHeight="1">
      <c r="A13" s="4745"/>
      <c r="B13" s="4746"/>
      <c r="C13" s="4454" t="s">
        <v>463</v>
      </c>
      <c r="D13" s="4452" t="s">
        <v>2342</v>
      </c>
      <c r="E13" s="4452" t="s">
        <v>2344</v>
      </c>
      <c r="F13" s="4452" t="s">
        <v>2343</v>
      </c>
      <c r="G13" s="4452" t="s">
        <v>244</v>
      </c>
      <c r="H13" s="4452" t="s">
        <v>2342</v>
      </c>
    </row>
    <row r="14" spans="1:8" ht="14.25" customHeight="1">
      <c r="A14" s="4745"/>
      <c r="B14" s="4746"/>
      <c r="C14" s="4454"/>
      <c r="D14" s="4452">
        <v>2020</v>
      </c>
      <c r="E14" s="4452" t="s">
        <v>2341</v>
      </c>
      <c r="F14" s="4452" t="s">
        <v>2341</v>
      </c>
      <c r="G14" s="4453"/>
      <c r="H14" s="4452">
        <v>2022</v>
      </c>
    </row>
    <row r="15" spans="1:8" ht="14.25" customHeight="1">
      <c r="A15" s="4747"/>
      <c r="B15" s="4748"/>
      <c r="C15" s="4451"/>
      <c r="D15" s="4449" t="s">
        <v>460</v>
      </c>
      <c r="E15" s="4449" t="s">
        <v>460</v>
      </c>
      <c r="F15" s="4449" t="s">
        <v>459</v>
      </c>
      <c r="G15" s="4450"/>
      <c r="H15" s="4449" t="s">
        <v>458</v>
      </c>
    </row>
    <row r="16" spans="1:8" ht="20.100000000000001" customHeight="1">
      <c r="A16" s="3109" t="s">
        <v>456</v>
      </c>
      <c r="B16" s="3276"/>
      <c r="C16" s="4186"/>
      <c r="D16" s="4186"/>
      <c r="E16" s="4186"/>
      <c r="F16" s="3276"/>
      <c r="G16" s="3276"/>
      <c r="H16" s="4186"/>
    </row>
    <row r="17" spans="1:8" ht="20.100000000000001" customHeight="1">
      <c r="A17" s="3109" t="s">
        <v>3298</v>
      </c>
      <c r="B17" s="3272"/>
      <c r="C17" s="4425"/>
      <c r="D17" s="4425">
        <f>D18</f>
        <v>614260.38</v>
      </c>
      <c r="E17" s="4425">
        <f>E18</f>
        <v>252055.82</v>
      </c>
      <c r="F17" s="4425">
        <f>F18</f>
        <v>429584.18</v>
      </c>
      <c r="G17" s="4425">
        <f>G18</f>
        <v>681640</v>
      </c>
      <c r="H17" s="4425">
        <f>H18</f>
        <v>758824</v>
      </c>
    </row>
    <row r="18" spans="1:8" s="2582" customFormat="1" ht="16.7" customHeight="1" outlineLevel="1">
      <c r="A18" s="4477" t="s">
        <v>3297</v>
      </c>
      <c r="B18" s="4463"/>
      <c r="C18" s="4476" t="s">
        <v>3296</v>
      </c>
      <c r="D18" s="4475">
        <f>'[39]NUTRITION COUNCIL'!$F$12</f>
        <v>614260.38</v>
      </c>
      <c r="E18" s="4474">
        <f>'[40]NUTRITION COUNCIL'!$F$12</f>
        <v>252055.82</v>
      </c>
      <c r="F18" s="4473">
        <f>G18-E18</f>
        <v>429584.18</v>
      </c>
      <c r="G18" s="4472">
        <f>'[40]NUTRITION COUNCIL'!$D$12</f>
        <v>681640</v>
      </c>
      <c r="H18" s="4471">
        <v>758824</v>
      </c>
    </row>
    <row r="19" spans="1:8" s="2994" customFormat="1" ht="20.100000000000001" customHeight="1" outlineLevel="1">
      <c r="A19" s="4470" t="s">
        <v>3295</v>
      </c>
      <c r="B19" s="4197"/>
      <c r="C19" s="4209"/>
      <c r="D19" s="2598">
        <f>SUM(D20:D25)</f>
        <v>45541</v>
      </c>
      <c r="E19" s="2598">
        <f>SUM(E20:E25)</f>
        <v>14733.2</v>
      </c>
      <c r="F19" s="2598">
        <f>SUM(F20:F25)</f>
        <v>113626.8</v>
      </c>
      <c r="G19" s="2598">
        <f>SUM(G20:G25)</f>
        <v>128360</v>
      </c>
      <c r="H19" s="2598">
        <f>SUM(H20:H25)</f>
        <v>2078000</v>
      </c>
    </row>
    <row r="20" spans="1:8" s="1437" customFormat="1" ht="16.7" customHeight="1" outlineLevel="1">
      <c r="A20" s="4424" t="s">
        <v>2352</v>
      </c>
      <c r="B20" s="4420"/>
      <c r="C20" s="4448" t="s">
        <v>405</v>
      </c>
      <c r="D20" s="4207">
        <f>'[39]NUTRITION COUNCIL'!$F$14</f>
        <v>6517.5</v>
      </c>
      <c r="E20" s="4206">
        <f>'[40]NUTRITION COUNCIL'!$F$14</f>
        <v>2560</v>
      </c>
      <c r="F20" s="1532">
        <f t="shared" ref="F20:F25" si="0">G20-E20</f>
        <v>9440</v>
      </c>
      <c r="G20" s="4206">
        <f>'[40]NUTRITION COUNCIL'!$D$14</f>
        <v>12000</v>
      </c>
      <c r="H20" s="3126">
        <v>12000</v>
      </c>
    </row>
    <row r="21" spans="1:8" s="1437" customFormat="1" ht="16.7" customHeight="1" outlineLevel="1">
      <c r="A21" s="4447" t="s">
        <v>404</v>
      </c>
      <c r="B21" s="4443"/>
      <c r="C21" s="4436" t="s">
        <v>403</v>
      </c>
      <c r="D21" s="4418">
        <f>'[39]NUTRITION COUNCIL'!$F$15</f>
        <v>0</v>
      </c>
      <c r="E21" s="4446">
        <f>'[40]NUTRITION COUNCIL'!$F$15</f>
        <v>0</v>
      </c>
      <c r="F21" s="1532">
        <f t="shared" si="0"/>
        <v>35000</v>
      </c>
      <c r="G21" s="4446">
        <f>'[40]NUTRITION COUNCIL'!$D$15</f>
        <v>35000</v>
      </c>
      <c r="H21" s="1532">
        <v>35000</v>
      </c>
    </row>
    <row r="22" spans="1:8" s="1422" customFormat="1" ht="16.7" customHeight="1" outlineLevel="1">
      <c r="A22" s="4444" t="s">
        <v>674</v>
      </c>
      <c r="B22" s="4443"/>
      <c r="C22" s="4436" t="s">
        <v>396</v>
      </c>
      <c r="D22" s="4418">
        <f>'[39]NUTRITION COUNCIL'!$F$16</f>
        <v>0</v>
      </c>
      <c r="E22" s="4200">
        <f>'[40]NUTRITION COUNCIL'!$F$16</f>
        <v>0</v>
      </c>
      <c r="F22" s="1532">
        <f t="shared" si="0"/>
        <v>8000</v>
      </c>
      <c r="G22" s="4200">
        <f>'[40]NUTRITION COUNCIL'!$D$16</f>
        <v>8000</v>
      </c>
      <c r="H22" s="1532">
        <v>8000</v>
      </c>
    </row>
    <row r="23" spans="1:8" s="1422" customFormat="1" ht="16.7" customHeight="1" outlineLevel="1">
      <c r="A23" s="4444" t="s">
        <v>878</v>
      </c>
      <c r="B23" s="4443"/>
      <c r="C23" s="4436" t="s">
        <v>394</v>
      </c>
      <c r="D23" s="4418">
        <f>'[39]NUTRITION COUNCIL'!$F$17</f>
        <v>5558.5</v>
      </c>
      <c r="E23" s="4200">
        <f>'[40]NUTRITION COUNCIL'!$F$17</f>
        <v>6173.2</v>
      </c>
      <c r="F23" s="1532">
        <f t="shared" si="0"/>
        <v>6826.8</v>
      </c>
      <c r="G23" s="4200">
        <f>'[40]NUTRITION COUNCIL'!$D$17</f>
        <v>13000</v>
      </c>
      <c r="H23" s="1532">
        <v>13000</v>
      </c>
    </row>
    <row r="24" spans="1:8" s="1422" customFormat="1" ht="16.7" customHeight="1" outlineLevel="1">
      <c r="A24" s="4424" t="s">
        <v>1961</v>
      </c>
      <c r="B24" s="4420"/>
      <c r="C24" s="4436" t="s">
        <v>1960</v>
      </c>
      <c r="D24" s="4418">
        <f>'[39]NUTRITION COUNCIL'!$F$18</f>
        <v>29925</v>
      </c>
      <c r="E24" s="4200">
        <f>'[40]NUTRITION COUNCIL'!$F$18</f>
        <v>0</v>
      </c>
      <c r="F24" s="1532">
        <f t="shared" si="0"/>
        <v>30000</v>
      </c>
      <c r="G24" s="4200">
        <f>'[40]NUTRITION COUNCIL'!$D$18</f>
        <v>30000</v>
      </c>
      <c r="H24" s="1532">
        <v>50000</v>
      </c>
    </row>
    <row r="25" spans="1:8" s="1422" customFormat="1" ht="16.7" customHeight="1" outlineLevel="1">
      <c r="A25" s="4438" t="s">
        <v>693</v>
      </c>
      <c r="B25" s="4420"/>
      <c r="C25" s="4419" t="s">
        <v>367</v>
      </c>
      <c r="D25" s="4418">
        <f>'[39]NUTRITION COUNCIL'!$F$19</f>
        <v>3540</v>
      </c>
      <c r="E25" s="4200">
        <f>'[40]NUTRITION COUNCIL'!$F$19</f>
        <v>6000</v>
      </c>
      <c r="F25" s="1532">
        <f t="shared" si="0"/>
        <v>24360</v>
      </c>
      <c r="G25" s="4200">
        <f>'[40]NUTRITION COUNCIL'!$D$19</f>
        <v>30360</v>
      </c>
      <c r="H25" s="1532">
        <v>1960000</v>
      </c>
    </row>
    <row r="26" spans="1:8" ht="20.100000000000001" customHeight="1" outlineLevel="2" thickBot="1">
      <c r="A26" s="2480" t="s">
        <v>366</v>
      </c>
      <c r="B26" s="3690"/>
      <c r="C26" s="4417"/>
      <c r="D26" s="3690">
        <f>D17+D19</f>
        <v>659801.38</v>
      </c>
      <c r="E26" s="3690">
        <f>E17+E19</f>
        <v>266789.02</v>
      </c>
      <c r="F26" s="3690">
        <f>F17+F19</f>
        <v>543210.98</v>
      </c>
      <c r="G26" s="3690">
        <f>G17+G19</f>
        <v>810000</v>
      </c>
      <c r="H26" s="3690">
        <f>H17+H19</f>
        <v>2836824</v>
      </c>
    </row>
    <row r="27" spans="1:8" ht="20.100000000000001" customHeight="1" outlineLevel="2" thickTop="1">
      <c r="A27" s="3687"/>
      <c r="B27" s="3687"/>
      <c r="C27" s="4416"/>
      <c r="D27" s="3687"/>
      <c r="E27" s="3687"/>
      <c r="F27" s="3687"/>
      <c r="G27" s="3687"/>
      <c r="H27" s="3687"/>
    </row>
    <row r="28" spans="1:8" s="4409" customFormat="1" ht="14.25" customHeight="1">
      <c r="A28" s="4412" t="s">
        <v>3163</v>
      </c>
      <c r="B28" s="4412"/>
      <c r="C28" s="4411" t="s">
        <v>363</v>
      </c>
      <c r="D28" s="4411"/>
      <c r="E28" s="4411"/>
      <c r="F28" s="4412"/>
      <c r="G28" s="4412" t="s">
        <v>2311</v>
      </c>
      <c r="H28" s="4412"/>
    </row>
    <row r="29" spans="1:8" s="4409" customFormat="1" ht="14.25" customHeight="1">
      <c r="A29" s="4412"/>
      <c r="B29" s="4412"/>
      <c r="C29" s="4411"/>
      <c r="D29" s="4411"/>
      <c r="E29" s="4411"/>
      <c r="F29" s="4412"/>
      <c r="G29" s="4412"/>
      <c r="H29" s="4412"/>
    </row>
    <row r="30" spans="1:8" s="4409" customFormat="1" ht="14.25" customHeight="1">
      <c r="A30" s="4412"/>
      <c r="B30" s="4412"/>
      <c r="C30" s="4411"/>
      <c r="D30" s="4411"/>
      <c r="E30" s="4411"/>
      <c r="F30" s="4412"/>
      <c r="G30" s="4412"/>
      <c r="H30" s="4412"/>
    </row>
    <row r="31" spans="1:8" s="4409" customFormat="1" ht="14.25" customHeight="1">
      <c r="A31" s="4415" t="s">
        <v>3284</v>
      </c>
      <c r="B31" s="4413"/>
      <c r="C31" s="4414" t="s">
        <v>3162</v>
      </c>
      <c r="D31" s="4415"/>
      <c r="E31" s="4411"/>
      <c r="F31" s="4413"/>
      <c r="G31" s="4413" t="s">
        <v>359</v>
      </c>
      <c r="H31" s="4413"/>
    </row>
    <row r="32" spans="1:8" s="4409" customFormat="1" ht="14.25" customHeight="1">
      <c r="A32" s="4411" t="s">
        <v>3283</v>
      </c>
      <c r="B32" s="4412"/>
      <c r="C32" s="4412" t="s">
        <v>658</v>
      </c>
      <c r="D32" s="4412"/>
      <c r="E32" s="4411"/>
      <c r="F32" s="4410"/>
      <c r="G32" s="4410" t="s">
        <v>2307</v>
      </c>
      <c r="H32" s="4410"/>
    </row>
    <row r="33" spans="1:8" s="1404" customFormat="1">
      <c r="A33" s="3286"/>
      <c r="B33" s="3289"/>
      <c r="C33" s="3286"/>
      <c r="D33" s="3686"/>
      <c r="E33" s="3686"/>
      <c r="F33" s="3686"/>
      <c r="G33" s="3686"/>
      <c r="H33" s="3686"/>
    </row>
    <row r="34" spans="1:8" s="1404" customFormat="1">
      <c r="A34" s="3286"/>
      <c r="B34" s="3289"/>
      <c r="C34" s="3286"/>
      <c r="D34" s="3686"/>
      <c r="E34" s="3686"/>
      <c r="F34" s="3686"/>
      <c r="G34" s="3686"/>
      <c r="H34" s="3686"/>
    </row>
    <row r="35" spans="1:8" s="1404" customFormat="1">
      <c r="A35" s="3286"/>
      <c r="B35" s="3289"/>
      <c r="C35" s="3286"/>
      <c r="D35" s="3686"/>
      <c r="E35" s="3686"/>
      <c r="F35" s="3686"/>
      <c r="G35" s="3686"/>
      <c r="H35" s="3686"/>
    </row>
    <row r="36" spans="1:8" s="1404" customFormat="1">
      <c r="A36" s="3286"/>
      <c r="B36" s="3289"/>
      <c r="C36" s="3286"/>
      <c r="D36" s="3686"/>
      <c r="E36" s="3686"/>
      <c r="F36" s="3686"/>
      <c r="G36" s="3686"/>
      <c r="H36" s="3686"/>
    </row>
    <row r="37" spans="1:8" s="1404" customFormat="1">
      <c r="A37" s="3286"/>
      <c r="B37" s="3289"/>
      <c r="C37" s="3286"/>
      <c r="D37" s="3686"/>
      <c r="E37" s="3686"/>
      <c r="F37" s="3686"/>
      <c r="G37" s="3686"/>
      <c r="H37" s="3686"/>
    </row>
    <row r="38" spans="1:8" s="1404" customFormat="1">
      <c r="A38" s="3286"/>
      <c r="B38" s="3289"/>
      <c r="C38" s="3286"/>
      <c r="D38" s="3686"/>
      <c r="E38" s="3686"/>
      <c r="F38" s="3686"/>
      <c r="G38" s="3686"/>
      <c r="H38" s="3686"/>
    </row>
    <row r="39" spans="1:8" s="1404" customFormat="1">
      <c r="A39" s="3286"/>
      <c r="B39" s="3289"/>
      <c r="C39" s="3286"/>
      <c r="D39" s="3686"/>
      <c r="E39" s="3686"/>
      <c r="F39" s="3686"/>
      <c r="G39" s="3686"/>
      <c r="H39" s="3686"/>
    </row>
    <row r="40" spans="1:8" s="1404" customFormat="1">
      <c r="A40" s="3286"/>
      <c r="B40" s="3289"/>
      <c r="C40" s="3286"/>
      <c r="D40" s="3686"/>
      <c r="E40" s="3686"/>
      <c r="F40" s="3686"/>
      <c r="G40" s="3686"/>
      <c r="H40" s="3686"/>
    </row>
    <row r="41" spans="1:8" s="1404" customFormat="1">
      <c r="A41" s="3286"/>
      <c r="B41" s="3289"/>
      <c r="C41" s="3286"/>
      <c r="D41" s="3686"/>
      <c r="E41" s="3686"/>
      <c r="F41" s="3686"/>
      <c r="G41" s="3686"/>
      <c r="H41" s="3686"/>
    </row>
    <row r="42" spans="1:8" s="1404" customFormat="1">
      <c r="A42" s="3286"/>
      <c r="B42" s="3289"/>
      <c r="C42" s="3286"/>
      <c r="D42" s="3686"/>
      <c r="E42" s="3686"/>
      <c r="F42" s="3686"/>
      <c r="G42" s="3686"/>
      <c r="H42" s="3686"/>
    </row>
    <row r="43" spans="1:8" s="1404" customFormat="1">
      <c r="A43" s="3286"/>
      <c r="B43" s="3289"/>
      <c r="C43" s="3286"/>
      <c r="D43" s="3686"/>
      <c r="E43" s="3686"/>
      <c r="F43" s="3686"/>
      <c r="G43" s="3686"/>
      <c r="H43" s="3686"/>
    </row>
  </sheetData>
  <mergeCells count="4">
    <mergeCell ref="A12:B15"/>
    <mergeCell ref="E12:G12"/>
    <mergeCell ref="A5:H5"/>
    <mergeCell ref="A6:H6"/>
  </mergeCells>
  <pageMargins left="0.5" right="0" top="0" bottom="0" header="0.25" footer="0"/>
  <pageSetup paperSize="5" orientation="portrait" verticalDpi="300"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J49"/>
  <sheetViews>
    <sheetView showGridLines="0" showOutlineSymbols="0" workbookViewId="0">
      <selection activeCell="K35" sqref="K35"/>
    </sheetView>
  </sheetViews>
  <sheetFormatPr defaultColWidth="12.5703125" defaultRowHeight="12.75" outlineLevelRow="2" outlineLevelCol="2"/>
  <cols>
    <col min="1" max="1" width="1.85546875" style="3160" customWidth="1"/>
    <col min="2" max="2" width="32.140625" style="3160" customWidth="1"/>
    <col min="3" max="3" width="11.85546875" style="3160" customWidth="1"/>
    <col min="4" max="5" width="10.28515625" style="3160" customWidth="1"/>
    <col min="6" max="6" width="10.85546875" style="3160" customWidth="1"/>
    <col min="7" max="7" width="10.28515625" style="3160" customWidth="1"/>
    <col min="8" max="8" width="10.42578125" style="3160" customWidth="1"/>
    <col min="9" max="39" width="12.5703125" style="1403"/>
    <col min="40" max="44" width="12.5703125" style="1403" outlineLevel="1"/>
    <col min="45" max="50" width="12.5703125" style="1403" outlineLevel="2"/>
    <col min="51" max="53" width="12.5703125" style="1403" outlineLevel="1"/>
    <col min="54" max="73" width="12.5703125" style="1403"/>
    <col min="74" max="77" width="12.5703125" style="1403" outlineLevel="1"/>
    <col min="78" max="125" width="12.5703125" style="1403"/>
    <col min="126" max="131" width="12.5703125" style="1403" outlineLevel="1"/>
    <col min="132" max="137" width="12.5703125" style="1403" outlineLevel="2"/>
    <col min="138" max="140" width="12.5703125" style="1403" outlineLevel="1"/>
    <col min="141"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E4" s="4187"/>
      <c r="G4" s="4187"/>
      <c r="H4" s="4187"/>
    </row>
    <row r="5" spans="1:8" ht="14.25" customHeight="1">
      <c r="A5" s="4741" t="s">
        <v>471</v>
      </c>
      <c r="B5" s="4741"/>
      <c r="C5" s="4741"/>
      <c r="D5" s="4741"/>
      <c r="E5" s="4741"/>
      <c r="F5" s="4741"/>
      <c r="G5" s="4741"/>
      <c r="H5" s="4741"/>
    </row>
    <row r="6" spans="1:8" ht="14.25" customHeight="1">
      <c r="A6" s="4742" t="s">
        <v>470</v>
      </c>
      <c r="B6" s="4742"/>
      <c r="C6" s="4742"/>
      <c r="D6" s="4742"/>
      <c r="E6" s="4742"/>
      <c r="F6" s="4742"/>
      <c r="G6" s="4742"/>
      <c r="H6" s="4742"/>
    </row>
    <row r="7" spans="1:8" ht="14.25" customHeight="1">
      <c r="A7" s="2836"/>
      <c r="B7" s="2836"/>
      <c r="C7" s="2836"/>
      <c r="D7" s="2836"/>
      <c r="E7" s="2836"/>
      <c r="F7" s="2836"/>
      <c r="G7" s="2836"/>
      <c r="H7" s="2836"/>
    </row>
    <row r="8" spans="1:8" ht="14.25" customHeight="1">
      <c r="A8" s="2836"/>
      <c r="B8" s="2836"/>
      <c r="C8" s="2836"/>
      <c r="D8" s="2836"/>
      <c r="E8" s="2836"/>
      <c r="F8" s="2836"/>
      <c r="G8" s="2836"/>
      <c r="H8" s="2836"/>
    </row>
    <row r="9" spans="1:8" ht="14.25" customHeight="1">
      <c r="A9" s="3281" t="s">
        <v>3289</v>
      </c>
      <c r="B9" s="3281"/>
    </row>
    <row r="10" spans="1:8" ht="14.25" customHeight="1">
      <c r="A10" s="4433" t="s">
        <v>3302</v>
      </c>
      <c r="B10" s="4433"/>
    </row>
    <row r="11" spans="1:8" ht="14.25" customHeight="1">
      <c r="A11" s="4433"/>
      <c r="B11" s="4433"/>
    </row>
    <row r="12" spans="1:8" ht="14.25" customHeight="1">
      <c r="A12" s="4743" t="s">
        <v>468</v>
      </c>
      <c r="B12" s="4744"/>
      <c r="C12" s="4455" t="s">
        <v>467</v>
      </c>
      <c r="D12" s="4455" t="s">
        <v>3280</v>
      </c>
      <c r="E12" s="5018" t="s">
        <v>465</v>
      </c>
      <c r="F12" s="5019"/>
      <c r="G12" s="5020"/>
      <c r="H12" s="4455" t="s">
        <v>2180</v>
      </c>
    </row>
    <row r="13" spans="1:8" ht="14.25" customHeight="1">
      <c r="A13" s="4745"/>
      <c r="B13" s="4746"/>
      <c r="C13" s="4488" t="s">
        <v>463</v>
      </c>
      <c r="D13" s="4452" t="s">
        <v>2342</v>
      </c>
      <c r="E13" s="4452" t="s">
        <v>2344</v>
      </c>
      <c r="F13" s="4452" t="s">
        <v>2343</v>
      </c>
      <c r="G13" s="4452" t="s">
        <v>244</v>
      </c>
      <c r="H13" s="4452" t="s">
        <v>2342</v>
      </c>
    </row>
    <row r="14" spans="1:8" ht="14.25" customHeight="1">
      <c r="A14" s="4745"/>
      <c r="B14" s="4746"/>
      <c r="C14" s="4488"/>
      <c r="D14" s="4452">
        <v>2020</v>
      </c>
      <c r="E14" s="4452" t="s">
        <v>2341</v>
      </c>
      <c r="F14" s="4452" t="s">
        <v>2341</v>
      </c>
      <c r="G14" s="4453"/>
      <c r="H14" s="4452">
        <v>2022</v>
      </c>
    </row>
    <row r="15" spans="1:8" ht="14.25" customHeight="1">
      <c r="A15" s="4747"/>
      <c r="B15" s="4748"/>
      <c r="C15" s="4451"/>
      <c r="D15" s="4449" t="s">
        <v>460</v>
      </c>
      <c r="E15" s="4449" t="s">
        <v>460</v>
      </c>
      <c r="F15" s="4449" t="s">
        <v>459</v>
      </c>
      <c r="G15" s="4450"/>
      <c r="H15" s="4449" t="s">
        <v>458</v>
      </c>
    </row>
    <row r="16" spans="1:8" ht="14.25" customHeight="1">
      <c r="A16" s="4487"/>
      <c r="B16" s="4486"/>
      <c r="C16" s="4454"/>
      <c r="D16" s="4483"/>
      <c r="E16" s="4483"/>
      <c r="F16" s="4485"/>
      <c r="G16" s="4484"/>
      <c r="H16" s="4483"/>
    </row>
    <row r="17" spans="1:8" ht="20.100000000000001" customHeight="1">
      <c r="A17" s="1570" t="s">
        <v>456</v>
      </c>
      <c r="B17" s="3276"/>
      <c r="C17" s="4186"/>
      <c r="D17" s="4186"/>
      <c r="E17" s="4186"/>
      <c r="F17" s="3276"/>
      <c r="G17" s="3276"/>
      <c r="H17" s="4186"/>
    </row>
    <row r="18" spans="1:8" ht="20.100000000000001" customHeight="1">
      <c r="A18" s="1570" t="s">
        <v>455</v>
      </c>
      <c r="B18" s="3272"/>
      <c r="C18" s="4425"/>
      <c r="D18" s="4425">
        <f>D19</f>
        <v>3113142.5</v>
      </c>
      <c r="E18" s="4425">
        <f>E19</f>
        <v>1289975</v>
      </c>
      <c r="F18" s="4425">
        <f>F19</f>
        <v>1746253</v>
      </c>
      <c r="G18" s="4425">
        <f>G19</f>
        <v>3036228</v>
      </c>
      <c r="H18" s="4425">
        <f>H19</f>
        <v>3036228</v>
      </c>
    </row>
    <row r="19" spans="1:8" ht="15.75" customHeight="1">
      <c r="A19" s="4482" t="s">
        <v>3301</v>
      </c>
      <c r="B19" s="4463"/>
      <c r="C19" s="4476" t="s">
        <v>3300</v>
      </c>
      <c r="D19" s="4475">
        <f>'[39]COUNTRY PROGRAM FOR CHILDREN'!$F$11</f>
        <v>3113142.5</v>
      </c>
      <c r="E19" s="4474">
        <f>'[40]COUNTRY PROGRAM FOR CHILDREN'!$F$11</f>
        <v>1289975</v>
      </c>
      <c r="F19" s="4473">
        <f>G19-E19</f>
        <v>1746253</v>
      </c>
      <c r="G19" s="4472">
        <f>'[40]COUNTRY PROGRAM FOR CHILDREN'!$D$11</f>
        <v>3036228</v>
      </c>
      <c r="H19" s="4471">
        <v>3036228</v>
      </c>
    </row>
    <row r="20" spans="1:8" s="2994" customFormat="1" ht="20.100000000000001" customHeight="1" outlineLevel="1">
      <c r="A20" s="4481" t="s">
        <v>407</v>
      </c>
      <c r="B20" s="4480"/>
      <c r="C20" s="4209"/>
      <c r="D20" s="2598">
        <f>SUM(D21:D31)</f>
        <v>1258957.71</v>
      </c>
      <c r="E20" s="2598">
        <f>SUM(E21:E31)</f>
        <v>623497.35</v>
      </c>
      <c r="F20" s="2598">
        <f>SUM(F21:F31)</f>
        <v>740274.65</v>
      </c>
      <c r="G20" s="2598">
        <f>SUM(G21:G31)</f>
        <v>1363772</v>
      </c>
      <c r="H20" s="2598">
        <f>SUM(H21:H31)</f>
        <v>1363772</v>
      </c>
    </row>
    <row r="21" spans="1:8" s="1437" customFormat="1" ht="16.7" customHeight="1" outlineLevel="1">
      <c r="A21" s="4424" t="s">
        <v>2352</v>
      </c>
      <c r="B21" s="4437"/>
      <c r="C21" s="4448" t="s">
        <v>405</v>
      </c>
      <c r="D21" s="4207">
        <f>'[39]COUNTRY PROGRAM FOR CHILDREN'!$F$13</f>
        <v>21784</v>
      </c>
      <c r="E21" s="4206">
        <f>'[40]COUNTRY PROGRAM FOR CHILDREN'!$F$13</f>
        <v>0</v>
      </c>
      <c r="F21" s="4473">
        <f t="shared" ref="F21:F28" si="0">G21-E21</f>
        <v>60000</v>
      </c>
      <c r="G21" s="4206">
        <f>'[40]COUNTRY PROGRAM FOR CHILDREN'!$D$13</f>
        <v>60000</v>
      </c>
      <c r="H21" s="3126">
        <v>60000</v>
      </c>
    </row>
    <row r="22" spans="1:8" s="1437" customFormat="1" ht="16.7" customHeight="1" outlineLevel="1">
      <c r="A22" s="4447" t="s">
        <v>404</v>
      </c>
      <c r="B22" s="4479"/>
      <c r="C22" s="4436" t="s">
        <v>403</v>
      </c>
      <c r="D22" s="4418">
        <f>'[39]COUNTRY PROGRAM FOR CHILDREN'!$F$14</f>
        <v>1495</v>
      </c>
      <c r="E22" s="4446">
        <f>'[40]COUNTRY PROGRAM FOR CHILDREN'!$F$14</f>
        <v>0</v>
      </c>
      <c r="F22" s="4473">
        <f t="shared" si="0"/>
        <v>86572</v>
      </c>
      <c r="G22" s="4446">
        <f>'[40]COUNTRY PROGRAM FOR CHILDREN'!$D$14</f>
        <v>86572</v>
      </c>
      <c r="H22" s="1532">
        <v>86572</v>
      </c>
    </row>
    <row r="23" spans="1:8" s="1422" customFormat="1" ht="16.7" customHeight="1" outlineLevel="1">
      <c r="A23" s="4438" t="s">
        <v>402</v>
      </c>
      <c r="B23" s="4437"/>
      <c r="C23" s="4436" t="s">
        <v>401</v>
      </c>
      <c r="D23" s="4418">
        <f>'[39]COUNTRY PROGRAM FOR CHILDREN'!$F$15</f>
        <v>6040.66</v>
      </c>
      <c r="E23" s="4200">
        <f>'[40]COUNTRY PROGRAM FOR CHILDREN'!$F$15</f>
        <v>6563.85</v>
      </c>
      <c r="F23" s="4473">
        <f t="shared" si="0"/>
        <v>1436.1499999999996</v>
      </c>
      <c r="G23" s="4200">
        <f>'[40]COUNTRY PROGRAM FOR CHILDREN'!$D$15</f>
        <v>8000</v>
      </c>
      <c r="H23" s="1532">
        <v>8000</v>
      </c>
    </row>
    <row r="24" spans="1:8" s="1422" customFormat="1" ht="16.7" customHeight="1" outlineLevel="1">
      <c r="A24" s="4444" t="s">
        <v>878</v>
      </c>
      <c r="B24" s="4443"/>
      <c r="C24" s="4436" t="s">
        <v>394</v>
      </c>
      <c r="D24" s="4418">
        <f>'[39]COUNTRY PROGRAM FOR CHILDREN'!$F$16</f>
        <v>4527.8500000000004</v>
      </c>
      <c r="E24" s="4200">
        <f>'[40]COUNTRY PROGRAM FOR CHILDREN'!$F$16</f>
        <v>0</v>
      </c>
      <c r="F24" s="4473">
        <f t="shared" si="0"/>
        <v>4560</v>
      </c>
      <c r="G24" s="4200">
        <f>'[40]COUNTRY PROGRAM FOR CHILDREN'!$D$16</f>
        <v>4560</v>
      </c>
      <c r="H24" s="1532">
        <v>4560</v>
      </c>
    </row>
    <row r="25" spans="1:8" s="1422" customFormat="1" ht="16.7" customHeight="1" outlineLevel="1">
      <c r="A25" s="4424" t="s">
        <v>673</v>
      </c>
      <c r="B25" s="4437"/>
      <c r="C25" s="4436" t="s">
        <v>1269</v>
      </c>
      <c r="D25" s="4418">
        <f>'[39]COUNTRY PROGRAM FOR CHILDREN'!$F$19</f>
        <v>1440</v>
      </c>
      <c r="E25" s="4200">
        <f>'[40]COUNTRY PROGRAM FOR CHILDREN'!$F$19</f>
        <v>720</v>
      </c>
      <c r="F25" s="4473">
        <f t="shared" si="0"/>
        <v>720</v>
      </c>
      <c r="G25" s="4200">
        <f>'[40]COUNTRY PROGRAM FOR CHILDREN'!$D$19</f>
        <v>1440</v>
      </c>
      <c r="H25" s="1532">
        <v>1440</v>
      </c>
    </row>
    <row r="26" spans="1:8" s="1422" customFormat="1" ht="16.7" customHeight="1" outlineLevel="1">
      <c r="A26" s="4424" t="s">
        <v>1266</v>
      </c>
      <c r="B26" s="4437"/>
      <c r="C26" s="4436" t="s">
        <v>1265</v>
      </c>
      <c r="D26" s="4418">
        <f>'[39]COUNTRY PROGRAM FOR CHILDREN'!$F$18</f>
        <v>0</v>
      </c>
      <c r="E26" s="4200">
        <f>'[40]COUNTRY PROGRAM FOR CHILDREN'!$F$18</f>
        <v>0</v>
      </c>
      <c r="F26" s="4473">
        <f t="shared" si="0"/>
        <v>1000</v>
      </c>
      <c r="G26" s="4200">
        <f>'[40]COUNTRY PROGRAM FOR CHILDREN'!$D$18</f>
        <v>1000</v>
      </c>
      <c r="H26" s="1532">
        <v>1000</v>
      </c>
    </row>
    <row r="27" spans="1:8" s="1422" customFormat="1" ht="16.7" customHeight="1" outlineLevel="1">
      <c r="A27" s="4444" t="s">
        <v>2038</v>
      </c>
      <c r="B27" s="4443"/>
      <c r="C27" s="4436" t="s">
        <v>390</v>
      </c>
      <c r="D27" s="4418">
        <f>'[39]COUNTRY PROGRAM FOR CHILDREN'!$F$17</f>
        <v>7268.7999999999993</v>
      </c>
      <c r="E27" s="4200">
        <f>'[40]COUNTRY PROGRAM FOR CHILDREN'!$F$17</f>
        <v>3304</v>
      </c>
      <c r="F27" s="4473">
        <f t="shared" si="0"/>
        <v>5696</v>
      </c>
      <c r="G27" s="4200">
        <f>'[40]COUNTRY PROGRAM FOR CHILDREN'!$D$17</f>
        <v>9000</v>
      </c>
      <c r="H27" s="1532">
        <v>9000</v>
      </c>
    </row>
    <row r="28" spans="1:8" s="1422" customFormat="1" ht="16.7" customHeight="1" outlineLevel="1">
      <c r="A28" s="4444" t="s">
        <v>389</v>
      </c>
      <c r="B28" s="4443"/>
      <c r="C28" s="4436" t="s">
        <v>388</v>
      </c>
      <c r="D28" s="4418">
        <f>'[39]COUNTRY PROGRAM FOR CHILDREN'!$F$20</f>
        <v>652369.4</v>
      </c>
      <c r="E28" s="4200">
        <f>'[40]COUNTRY PROGRAM FOR CHILDREN'!$F$20</f>
        <v>279800</v>
      </c>
      <c r="F28" s="4473">
        <f t="shared" si="0"/>
        <v>238000</v>
      </c>
      <c r="G28" s="4200">
        <f>'[40]COUNTRY PROGRAM FOR CHILDREN'!$D$20</f>
        <v>517800</v>
      </c>
      <c r="H28" s="1532">
        <v>517800</v>
      </c>
    </row>
    <row r="29" spans="1:8" s="1422" customFormat="1" ht="16.7" customHeight="1" outlineLevel="1">
      <c r="A29" s="4444" t="s">
        <v>873</v>
      </c>
      <c r="B29" s="4443"/>
      <c r="C29" s="4436"/>
      <c r="D29" s="4418"/>
      <c r="E29" s="4200"/>
      <c r="F29" s="1532"/>
      <c r="G29" s="4200"/>
      <c r="H29" s="1532"/>
    </row>
    <row r="30" spans="1:8" s="1422" customFormat="1" ht="16.7" customHeight="1" outlineLevel="1">
      <c r="A30" s="4447"/>
      <c r="B30" s="4478" t="s">
        <v>1812</v>
      </c>
      <c r="C30" s="4436" t="s">
        <v>2337</v>
      </c>
      <c r="D30" s="4418">
        <f>'[39]COUNTRY PROGRAM FOR CHILDREN'!$F$22</f>
        <v>0</v>
      </c>
      <c r="E30" s="4200">
        <f>'[40]COUNTRY PROGRAM FOR CHILDREN'!$F$22</f>
        <v>0</v>
      </c>
      <c r="F30" s="4473">
        <f>G30-E30</f>
        <v>1000</v>
      </c>
      <c r="G30" s="4200">
        <f>'[40]COUNTRY PROGRAM FOR CHILDREN'!$D$22</f>
        <v>1000</v>
      </c>
      <c r="H30" s="1532">
        <v>1000</v>
      </c>
    </row>
    <row r="31" spans="1:8" s="1422" customFormat="1" ht="16.7" customHeight="1" outlineLevel="1">
      <c r="A31" s="4438" t="s">
        <v>368</v>
      </c>
      <c r="B31" s="4420"/>
      <c r="C31" s="4419" t="s">
        <v>367</v>
      </c>
      <c r="D31" s="4418">
        <f>'[39]COUNTRY PROGRAM FOR CHILDREN'!$F$23</f>
        <v>564032</v>
      </c>
      <c r="E31" s="4200">
        <f>'[40]COUNTRY PROGRAM FOR CHILDREN'!$F$23</f>
        <v>333109.5</v>
      </c>
      <c r="F31" s="4473">
        <f>G31-E31</f>
        <v>341290.5</v>
      </c>
      <c r="G31" s="4200">
        <f>'[40]COUNTRY PROGRAM FOR CHILDREN'!$D$23</f>
        <v>674400</v>
      </c>
      <c r="H31" s="1532">
        <v>674400</v>
      </c>
    </row>
    <row r="32" spans="1:8" ht="20.100000000000001" customHeight="1" outlineLevel="2" thickBot="1">
      <c r="A32" s="2480" t="s">
        <v>366</v>
      </c>
      <c r="B32" s="3690"/>
      <c r="C32" s="4417"/>
      <c r="D32" s="3690">
        <f>D20+D18</f>
        <v>4372100.21</v>
      </c>
      <c r="E32" s="3690">
        <f>E20+E18</f>
        <v>1913472.35</v>
      </c>
      <c r="F32" s="3690">
        <f>F20+F18</f>
        <v>2486527.65</v>
      </c>
      <c r="G32" s="3690">
        <f>G20+G18</f>
        <v>4400000</v>
      </c>
      <c r="H32" s="3690">
        <f>H20+H18</f>
        <v>4400000</v>
      </c>
    </row>
    <row r="33" spans="1:8" ht="20.100000000000001" customHeight="1" outlineLevel="2" thickTop="1">
      <c r="A33" s="3687"/>
      <c r="B33" s="3687"/>
      <c r="C33" s="4416"/>
      <c r="D33" s="3687"/>
      <c r="E33" s="3687"/>
      <c r="F33" s="3687"/>
      <c r="G33" s="3687"/>
      <c r="H33" s="3687"/>
    </row>
    <row r="34" spans="1:8" s="4409" customFormat="1" ht="14.25" customHeight="1">
      <c r="A34" s="4412" t="s">
        <v>3163</v>
      </c>
      <c r="B34" s="4412"/>
      <c r="C34" s="4411" t="s">
        <v>363</v>
      </c>
      <c r="D34" s="4411"/>
      <c r="E34" s="4411"/>
      <c r="F34" s="4412"/>
      <c r="G34" s="4412" t="s">
        <v>2311</v>
      </c>
      <c r="H34" s="4412"/>
    </row>
    <row r="35" spans="1:8" s="4409" customFormat="1" ht="14.25" customHeight="1">
      <c r="A35" s="4412"/>
      <c r="B35" s="4412"/>
      <c r="C35" s="4411"/>
      <c r="D35" s="4411"/>
      <c r="E35" s="4411"/>
      <c r="F35" s="4412"/>
      <c r="G35" s="4412"/>
      <c r="H35" s="4412"/>
    </row>
    <row r="36" spans="1:8" s="4409" customFormat="1" ht="14.25" customHeight="1">
      <c r="A36" s="4412"/>
      <c r="B36" s="4412"/>
      <c r="C36" s="4411"/>
      <c r="D36" s="4411"/>
      <c r="E36" s="4411"/>
      <c r="F36" s="4412"/>
      <c r="G36" s="4412"/>
      <c r="H36" s="4412"/>
    </row>
    <row r="37" spans="1:8" s="4409" customFormat="1" ht="14.25" customHeight="1">
      <c r="A37" s="4415" t="s">
        <v>3284</v>
      </c>
      <c r="B37" s="4413"/>
      <c r="C37" s="4414" t="s">
        <v>3162</v>
      </c>
      <c r="D37" s="4415"/>
      <c r="E37" s="4411"/>
      <c r="F37" s="4413"/>
      <c r="G37" s="4413" t="s">
        <v>359</v>
      </c>
      <c r="H37" s="4413"/>
    </row>
    <row r="38" spans="1:8" s="4409" customFormat="1" ht="14.25" customHeight="1">
      <c r="A38" s="4411" t="s">
        <v>3283</v>
      </c>
      <c r="B38" s="4412"/>
      <c r="C38" s="4412" t="s">
        <v>658</v>
      </c>
      <c r="D38" s="4412"/>
      <c r="E38" s="4411"/>
      <c r="F38" s="4410"/>
      <c r="G38" s="4410" t="s">
        <v>2307</v>
      </c>
      <c r="H38" s="4410"/>
    </row>
    <row r="39" spans="1:8" s="1404" customFormat="1">
      <c r="A39" s="3286"/>
      <c r="B39" s="3289"/>
      <c r="C39" s="3286"/>
      <c r="D39" s="3686"/>
      <c r="E39" s="3686"/>
      <c r="F39" s="3686"/>
      <c r="G39" s="3686"/>
      <c r="H39" s="3686"/>
    </row>
    <row r="40" spans="1:8" s="1404" customFormat="1">
      <c r="A40" s="3286"/>
      <c r="B40" s="3289"/>
      <c r="C40" s="3286"/>
      <c r="D40" s="3686"/>
      <c r="E40" s="3686"/>
      <c r="F40" s="3686"/>
      <c r="G40" s="3686"/>
      <c r="H40" s="3686"/>
    </row>
    <row r="41" spans="1:8" s="1404" customFormat="1">
      <c r="A41" s="3286"/>
      <c r="B41" s="3289"/>
      <c r="C41" s="3286"/>
      <c r="D41" s="3686"/>
      <c r="E41" s="3686"/>
      <c r="F41" s="3686"/>
      <c r="G41" s="3686"/>
      <c r="H41" s="3686"/>
    </row>
    <row r="42" spans="1:8" s="1404" customFormat="1">
      <c r="A42" s="3286"/>
      <c r="B42" s="3289"/>
      <c r="C42" s="3286"/>
      <c r="D42" s="3686"/>
      <c r="E42" s="3686"/>
      <c r="F42" s="3686"/>
      <c r="G42" s="3686"/>
      <c r="H42" s="3686"/>
    </row>
    <row r="43" spans="1:8" s="1404" customFormat="1">
      <c r="A43" s="3286"/>
      <c r="B43" s="3289"/>
      <c r="C43" s="3286"/>
      <c r="D43" s="3686"/>
      <c r="E43" s="3686"/>
      <c r="F43" s="3686"/>
      <c r="G43" s="3686"/>
      <c r="H43" s="3686"/>
    </row>
    <row r="44" spans="1:8" s="1404" customFormat="1">
      <c r="A44" s="3286"/>
      <c r="B44" s="3289"/>
      <c r="C44" s="3286"/>
      <c r="D44" s="3686"/>
      <c r="E44" s="3686"/>
      <c r="F44" s="3686"/>
      <c r="G44" s="3686"/>
      <c r="H44" s="3686"/>
    </row>
    <row r="45" spans="1:8" s="1404" customFormat="1">
      <c r="A45" s="3286"/>
      <c r="B45" s="3289"/>
      <c r="C45" s="3286"/>
      <c r="D45" s="3686"/>
      <c r="E45" s="3686"/>
      <c r="F45" s="3686"/>
      <c r="G45" s="3686"/>
      <c r="H45" s="3686"/>
    </row>
    <row r="46" spans="1:8" s="1404" customFormat="1">
      <c r="A46" s="3286"/>
      <c r="B46" s="3289"/>
      <c r="C46" s="3286"/>
      <c r="D46" s="3686"/>
      <c r="E46" s="3686"/>
      <c r="F46" s="3686"/>
      <c r="G46" s="3686"/>
      <c r="H46" s="3686"/>
    </row>
    <row r="47" spans="1:8" s="1404" customFormat="1">
      <c r="A47" s="3286"/>
      <c r="B47" s="3289"/>
      <c r="C47" s="3286"/>
      <c r="D47" s="3686"/>
      <c r="E47" s="3686"/>
      <c r="F47" s="3686"/>
      <c r="G47" s="3686"/>
      <c r="H47" s="3686"/>
    </row>
    <row r="48" spans="1:8" s="1404" customFormat="1">
      <c r="A48" s="3286"/>
      <c r="B48" s="3289"/>
      <c r="C48" s="3286"/>
      <c r="D48" s="3686"/>
      <c r="E48" s="3686"/>
      <c r="F48" s="3686"/>
      <c r="G48" s="3686"/>
      <c r="H48" s="3686"/>
    </row>
    <row r="49" spans="1:8" s="1404" customFormat="1">
      <c r="A49" s="3286"/>
      <c r="B49" s="3289"/>
      <c r="C49" s="3286"/>
      <c r="D49" s="3686"/>
      <c r="E49" s="3686"/>
      <c r="F49" s="3686"/>
      <c r="G49" s="3686"/>
      <c r="H49" s="3686"/>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L48"/>
  <sheetViews>
    <sheetView showGridLines="0" showOutlineSymbols="0" workbookViewId="0">
      <selection activeCell="K29" sqref="K29"/>
    </sheetView>
  </sheetViews>
  <sheetFormatPr defaultColWidth="12.5703125" defaultRowHeight="12.75" outlineLevelRow="2" outlineLevelCol="2"/>
  <cols>
    <col min="1" max="1" width="1.85546875" style="3160" customWidth="1"/>
    <col min="2" max="2" width="24.28515625" style="3160" customWidth="1"/>
    <col min="3" max="3" width="11.140625" style="3160" customWidth="1"/>
    <col min="4" max="4" width="9.28515625" style="3160" customWidth="1"/>
    <col min="5" max="5" width="11" style="3160" customWidth="1"/>
    <col min="6" max="6" width="10.140625" style="3160" customWidth="1"/>
    <col min="7" max="7" width="10.28515625" style="3160" customWidth="1"/>
    <col min="8" max="8" width="11.28515625" style="3160" customWidth="1"/>
    <col min="9" max="41" width="12.5703125" style="1403"/>
    <col min="42" max="46" width="12.5703125" style="1403" outlineLevel="1"/>
    <col min="47" max="52" width="12.5703125" style="1403" outlineLevel="2"/>
    <col min="53" max="55" width="12.5703125" style="1403" outlineLevel="1"/>
    <col min="56" max="75" width="12.5703125" style="1403"/>
    <col min="76" max="79" width="12.5703125" style="1403" outlineLevel="1"/>
    <col min="80" max="127" width="12.5703125" style="1403"/>
    <col min="128" max="133" width="12.5703125" style="1403" outlineLevel="1"/>
    <col min="134" max="139" width="12.5703125" style="1403" outlineLevel="2"/>
    <col min="140" max="142" width="12.5703125" style="1403" outlineLevel="1"/>
    <col min="143"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E4" s="4187"/>
      <c r="G4" s="4187"/>
      <c r="H4" s="4187"/>
    </row>
    <row r="5" spans="1:8" ht="14.25" customHeight="1">
      <c r="A5" s="4741" t="s">
        <v>471</v>
      </c>
      <c r="B5" s="4741"/>
      <c r="C5" s="4741"/>
      <c r="D5" s="4741"/>
      <c r="E5" s="4741"/>
      <c r="F5" s="4741"/>
      <c r="G5" s="4741"/>
      <c r="H5" s="4741"/>
    </row>
    <row r="6" spans="1:8" ht="14.25" customHeight="1">
      <c r="A6" s="4742" t="s">
        <v>3305</v>
      </c>
      <c r="B6" s="4742"/>
      <c r="C6" s="4742"/>
      <c r="D6" s="4742"/>
      <c r="E6" s="4742"/>
      <c r="F6" s="4742"/>
      <c r="G6" s="4742"/>
      <c r="H6" s="4742"/>
    </row>
    <row r="7" spans="1:8" ht="14.25" customHeight="1">
      <c r="A7" s="4742"/>
      <c r="B7" s="4742"/>
      <c r="C7" s="4742"/>
      <c r="D7" s="4742"/>
      <c r="E7" s="4742"/>
      <c r="F7" s="4742"/>
      <c r="G7" s="4742"/>
      <c r="H7" s="4742"/>
    </row>
    <row r="8" spans="1:8" ht="14.25" customHeight="1">
      <c r="A8" s="3281" t="s">
        <v>3289</v>
      </c>
      <c r="B8" s="3281"/>
    </row>
    <row r="9" spans="1:8" ht="14.25" customHeight="1">
      <c r="A9" s="3648"/>
      <c r="B9" s="4433" t="s">
        <v>3304</v>
      </c>
    </row>
    <row r="10" spans="1:8" ht="14.25" customHeight="1">
      <c r="A10" s="3648"/>
      <c r="B10" s="4433"/>
    </row>
    <row r="11" spans="1:8" ht="14.25" customHeight="1">
      <c r="A11" s="4743" t="s">
        <v>468</v>
      </c>
      <c r="B11" s="4744"/>
      <c r="C11" s="4455" t="s">
        <v>467</v>
      </c>
      <c r="D11" s="4455" t="s">
        <v>3280</v>
      </c>
      <c r="E11" s="5018" t="s">
        <v>465</v>
      </c>
      <c r="F11" s="5019"/>
      <c r="G11" s="5020"/>
      <c r="H11" s="4455" t="s">
        <v>2180</v>
      </c>
    </row>
    <row r="12" spans="1:8" ht="14.25" customHeight="1">
      <c r="A12" s="4745"/>
      <c r="B12" s="4746"/>
      <c r="C12" s="4488" t="s">
        <v>463</v>
      </c>
      <c r="D12" s="4452" t="s">
        <v>2342</v>
      </c>
      <c r="E12" s="4452" t="s">
        <v>2344</v>
      </c>
      <c r="F12" s="4452" t="s">
        <v>2343</v>
      </c>
      <c r="G12" s="4452" t="s">
        <v>244</v>
      </c>
      <c r="H12" s="4452" t="s">
        <v>2342</v>
      </c>
    </row>
    <row r="13" spans="1:8" ht="14.25" customHeight="1">
      <c r="A13" s="4745"/>
      <c r="B13" s="4746"/>
      <c r="C13" s="4454"/>
      <c r="D13" s="4452">
        <v>2020</v>
      </c>
      <c r="E13" s="4452" t="s">
        <v>2341</v>
      </c>
      <c r="F13" s="4452" t="s">
        <v>2341</v>
      </c>
      <c r="G13" s="4453"/>
      <c r="H13" s="4452">
        <v>2022</v>
      </c>
    </row>
    <row r="14" spans="1:8" ht="14.25" customHeight="1">
      <c r="A14" s="4747"/>
      <c r="B14" s="4748"/>
      <c r="C14" s="4451"/>
      <c r="D14" s="4449" t="s">
        <v>460</v>
      </c>
      <c r="E14" s="4449" t="s">
        <v>460</v>
      </c>
      <c r="F14" s="4449" t="s">
        <v>459</v>
      </c>
      <c r="G14" s="4450"/>
      <c r="H14" s="4449" t="s">
        <v>458</v>
      </c>
    </row>
    <row r="15" spans="1:8" ht="20.100000000000001" customHeight="1">
      <c r="A15" s="1574" t="s">
        <v>456</v>
      </c>
      <c r="B15" s="3276"/>
      <c r="C15" s="4492"/>
      <c r="D15" s="4491"/>
      <c r="E15" s="4425"/>
      <c r="F15" s="4425"/>
      <c r="G15" s="4425"/>
      <c r="H15" s="4425"/>
    </row>
    <row r="16" spans="1:8" s="2994" customFormat="1" ht="20.100000000000001" customHeight="1" outlineLevel="1">
      <c r="A16" s="3699" t="s">
        <v>407</v>
      </c>
      <c r="B16" s="4490"/>
      <c r="C16" s="4209"/>
      <c r="D16" s="2598">
        <f>SUM(D17:D28)</f>
        <v>303783.57</v>
      </c>
      <c r="E16" s="4489">
        <f>SUM(E17:E28)</f>
        <v>166232.01999999999</v>
      </c>
      <c r="F16" s="4489">
        <f>SUM(F17:F28)</f>
        <v>233767.98</v>
      </c>
      <c r="G16" s="4489">
        <f>SUM(G17:G28)</f>
        <v>400000</v>
      </c>
      <c r="H16" s="4489">
        <f>SUM(H17:H28)</f>
        <v>618000</v>
      </c>
    </row>
    <row r="17" spans="1:10" s="1437" customFormat="1" ht="16.7" customHeight="1" outlineLevel="1">
      <c r="A17" s="4424" t="s">
        <v>2352</v>
      </c>
      <c r="B17" s="4437"/>
      <c r="C17" s="4448" t="s">
        <v>405</v>
      </c>
      <c r="D17" s="4207">
        <f>[39]PWD!$F$13</f>
        <v>4158</v>
      </c>
      <c r="E17" s="4206">
        <f>[40]PWD!$F$13</f>
        <v>0</v>
      </c>
      <c r="F17" s="1532">
        <f t="shared" ref="F17:F24" si="0">G17-E17</f>
        <v>10000</v>
      </c>
      <c r="G17" s="4206">
        <f>[40]PWD!$D$13</f>
        <v>10000</v>
      </c>
      <c r="H17" s="3126">
        <v>10000</v>
      </c>
    </row>
    <row r="18" spans="1:10" s="1437" customFormat="1" ht="16.7" customHeight="1" outlineLevel="1">
      <c r="A18" s="4447" t="s">
        <v>404</v>
      </c>
      <c r="B18" s="4479"/>
      <c r="C18" s="4436" t="s">
        <v>403</v>
      </c>
      <c r="D18" s="4418">
        <f>[39]PWD!$F$14</f>
        <v>0</v>
      </c>
      <c r="E18" s="4446">
        <f>[40]PWD!$F$14</f>
        <v>0</v>
      </c>
      <c r="F18" s="1532">
        <f t="shared" si="0"/>
        <v>27420</v>
      </c>
      <c r="G18" s="4446">
        <f>[40]PWD!$D$14</f>
        <v>27420</v>
      </c>
      <c r="H18" s="1532">
        <v>27420</v>
      </c>
    </row>
    <row r="19" spans="1:10" s="1422" customFormat="1" ht="16.7" customHeight="1" outlineLevel="1">
      <c r="A19" s="4438" t="s">
        <v>402</v>
      </c>
      <c r="B19" s="4437"/>
      <c r="C19" s="4436" t="s">
        <v>401</v>
      </c>
      <c r="D19" s="4418">
        <f>[39]PWD!$F$15</f>
        <v>2974.68</v>
      </c>
      <c r="E19" s="4200">
        <f>[40]PWD!$F$15</f>
        <v>3915</v>
      </c>
      <c r="F19" s="1532">
        <f t="shared" si="0"/>
        <v>1085</v>
      </c>
      <c r="G19" s="4200">
        <f>[40]PWD!$D$15</f>
        <v>5000</v>
      </c>
      <c r="H19" s="1532">
        <v>5000</v>
      </c>
    </row>
    <row r="20" spans="1:10" s="1422" customFormat="1" ht="16.7" customHeight="1" outlineLevel="1">
      <c r="A20" s="4444" t="s">
        <v>674</v>
      </c>
      <c r="B20" s="4443"/>
      <c r="C20" s="4436" t="s">
        <v>396</v>
      </c>
      <c r="D20" s="4418">
        <f>[39]PWD!$F$16</f>
        <v>0</v>
      </c>
      <c r="E20" s="4200">
        <f>[40]PWD!$F$16</f>
        <v>0</v>
      </c>
      <c r="F20" s="1532">
        <f t="shared" si="0"/>
        <v>5000</v>
      </c>
      <c r="G20" s="4200">
        <f>[40]PWD!$D$16</f>
        <v>5000</v>
      </c>
      <c r="H20" s="1532">
        <v>5000</v>
      </c>
    </row>
    <row r="21" spans="1:10" s="1422" customFormat="1" ht="16.7" customHeight="1" outlineLevel="1">
      <c r="A21" s="4447" t="s">
        <v>878</v>
      </c>
      <c r="B21" s="4479"/>
      <c r="C21" s="4436" t="s">
        <v>394</v>
      </c>
      <c r="D21" s="4418">
        <f>[39]PWD!$F$17</f>
        <v>6223.2</v>
      </c>
      <c r="E21" s="4200">
        <f>[40]PWD!$F$17</f>
        <v>6843.25</v>
      </c>
      <c r="F21" s="1532">
        <f t="shared" si="0"/>
        <v>156.75</v>
      </c>
      <c r="G21" s="4200">
        <f>[40]PWD!$D$17</f>
        <v>7000</v>
      </c>
      <c r="H21" s="1532">
        <v>7000</v>
      </c>
    </row>
    <row r="22" spans="1:10" s="1422" customFormat="1" ht="16.7" customHeight="1" outlineLevel="1">
      <c r="A22" s="4424" t="s">
        <v>673</v>
      </c>
      <c r="B22" s="4437"/>
      <c r="C22" s="4436" t="s">
        <v>1269</v>
      </c>
      <c r="D22" s="4418">
        <f>[39]PWD!$F$18</f>
        <v>2642.25</v>
      </c>
      <c r="E22" s="4200">
        <f>[40]PWD!$F$18</f>
        <v>3430.45</v>
      </c>
      <c r="F22" s="1532">
        <f t="shared" si="0"/>
        <v>1569.5500000000002</v>
      </c>
      <c r="G22" s="4200">
        <f>[40]PWD!$D$18</f>
        <v>5000</v>
      </c>
      <c r="H22" s="1532">
        <v>5000</v>
      </c>
    </row>
    <row r="23" spans="1:10" s="1422" customFormat="1" ht="16.7" customHeight="1" outlineLevel="1">
      <c r="A23" s="4424" t="s">
        <v>1266</v>
      </c>
      <c r="B23" s="4437"/>
      <c r="C23" s="4436" t="s">
        <v>1265</v>
      </c>
      <c r="D23" s="4418">
        <f>[39]PWD!$F$19</f>
        <v>7448</v>
      </c>
      <c r="E23" s="4200">
        <f>[40]PWD!$F$19</f>
        <v>890.71999999999935</v>
      </c>
      <c r="F23" s="1532">
        <f t="shared" si="0"/>
        <v>7109.2800000000007</v>
      </c>
      <c r="G23" s="4200">
        <f>[40]PWD!$D$19</f>
        <v>8000</v>
      </c>
      <c r="H23" s="1532">
        <v>8000</v>
      </c>
    </row>
    <row r="24" spans="1:10" s="1422" customFormat="1" ht="16.7" customHeight="1" outlineLevel="1">
      <c r="A24" s="4444" t="s">
        <v>699</v>
      </c>
      <c r="B24" s="4443"/>
      <c r="C24" s="4436" t="s">
        <v>390</v>
      </c>
      <c r="D24" s="4418">
        <f>[39]PWD!$F$20</f>
        <v>7937.4400000000005</v>
      </c>
      <c r="E24" s="4200">
        <f>[40]PWD!$F$20</f>
        <v>3302.6</v>
      </c>
      <c r="F24" s="1532">
        <f t="shared" si="0"/>
        <v>5197.3999999999996</v>
      </c>
      <c r="G24" s="4200">
        <f>[40]PWD!$D$20</f>
        <v>8500</v>
      </c>
      <c r="H24" s="1532">
        <v>8500</v>
      </c>
    </row>
    <row r="25" spans="1:10" s="1422" customFormat="1" ht="16.7" customHeight="1" outlineLevel="1">
      <c r="A25" s="4444" t="s">
        <v>3303</v>
      </c>
      <c r="B25" s="4443"/>
      <c r="C25" s="4436" t="s">
        <v>1263</v>
      </c>
      <c r="D25" s="4418">
        <v>0</v>
      </c>
      <c r="E25" s="4200">
        <v>0</v>
      </c>
      <c r="F25" s="1532">
        <v>0</v>
      </c>
      <c r="G25" s="4200">
        <v>0</v>
      </c>
      <c r="H25" s="1532">
        <v>24000</v>
      </c>
      <c r="I25" s="1422" t="s">
        <v>3223</v>
      </c>
      <c r="J25" s="1422" t="s">
        <v>3166</v>
      </c>
    </row>
    <row r="26" spans="1:10" s="1422" customFormat="1" ht="16.7" customHeight="1" outlineLevel="1">
      <c r="A26" s="4444" t="s">
        <v>389</v>
      </c>
      <c r="B26" s="4443"/>
      <c r="C26" s="4436" t="s">
        <v>388</v>
      </c>
      <c r="D26" s="4418">
        <f>[39]PWD!$F$21</f>
        <v>233400</v>
      </c>
      <c r="E26" s="4200">
        <f>[40]PWD!$F$21</f>
        <v>144850</v>
      </c>
      <c r="F26" s="1532">
        <f>G26-E26</f>
        <v>89150</v>
      </c>
      <c r="G26" s="4200">
        <f>[40]PWD!$D$21</f>
        <v>234000</v>
      </c>
      <c r="H26" s="1532">
        <f>234000+I26+J26</f>
        <v>428000</v>
      </c>
      <c r="I26" s="4442">
        <v>156000</v>
      </c>
      <c r="J26" s="4442">
        <v>38000</v>
      </c>
    </row>
    <row r="27" spans="1:10" s="1422" customFormat="1" ht="16.7" customHeight="1" outlineLevel="1">
      <c r="A27" s="4438" t="s">
        <v>2727</v>
      </c>
      <c r="B27" s="4437"/>
      <c r="C27" s="4436" t="s">
        <v>1871</v>
      </c>
      <c r="D27" s="4418">
        <f>[39]PWD!$F$22</f>
        <v>39000</v>
      </c>
      <c r="E27" s="4200">
        <f>[40]PWD!$F$22</f>
        <v>3000</v>
      </c>
      <c r="F27" s="1532">
        <f>G27-E27</f>
        <v>47080</v>
      </c>
      <c r="G27" s="4200">
        <f>[40]PWD!$D$22</f>
        <v>50080</v>
      </c>
      <c r="H27" s="1532">
        <v>50080</v>
      </c>
    </row>
    <row r="28" spans="1:10" s="1422" customFormat="1" ht="16.7" customHeight="1" outlineLevel="1">
      <c r="A28" s="4438" t="s">
        <v>368</v>
      </c>
      <c r="B28" s="4420"/>
      <c r="C28" s="4419" t="s">
        <v>367</v>
      </c>
      <c r="D28" s="4418">
        <f>[39]PWD!$F$23</f>
        <v>0</v>
      </c>
      <c r="E28" s="4200">
        <f>[40]PWD!$F$23</f>
        <v>0</v>
      </c>
      <c r="F28" s="1532">
        <f>G28-E28</f>
        <v>40000</v>
      </c>
      <c r="G28" s="4200">
        <f>[40]PWD!$D$23</f>
        <v>40000</v>
      </c>
      <c r="H28" s="1532">
        <v>40000</v>
      </c>
    </row>
    <row r="29" spans="1:10" ht="20.100000000000001" customHeight="1" outlineLevel="2" thickBot="1">
      <c r="A29" s="2480" t="s">
        <v>366</v>
      </c>
      <c r="B29" s="3690"/>
      <c r="C29" s="4417"/>
      <c r="D29" s="3690">
        <f>SUM(D17:D28)</f>
        <v>303783.57</v>
      </c>
      <c r="E29" s="3690">
        <f>SUM(E17:E28)</f>
        <v>166232.01999999999</v>
      </c>
      <c r="F29" s="3690">
        <f>SUM(F17:F28)</f>
        <v>233767.98</v>
      </c>
      <c r="G29" s="3690">
        <f>SUM(G17:G28)</f>
        <v>400000</v>
      </c>
      <c r="H29" s="3690">
        <f>SUM(H17:H28)</f>
        <v>618000</v>
      </c>
    </row>
    <row r="30" spans="1:10" ht="20.100000000000001" customHeight="1" outlineLevel="2" thickTop="1">
      <c r="A30" s="3687"/>
      <c r="B30" s="3687"/>
      <c r="C30" s="4416"/>
      <c r="D30" s="3687"/>
      <c r="E30" s="3687"/>
      <c r="F30" s="3687"/>
      <c r="G30" s="3687"/>
      <c r="H30" s="3687"/>
    </row>
    <row r="31" spans="1:10" ht="20.100000000000001" customHeight="1" outlineLevel="2">
      <c r="A31" s="3687"/>
      <c r="B31" s="3687"/>
      <c r="C31" s="4416"/>
      <c r="D31" s="3687"/>
      <c r="E31" s="3687"/>
      <c r="F31" s="3687"/>
      <c r="G31" s="3687"/>
      <c r="H31" s="3687"/>
    </row>
    <row r="32" spans="1:10" ht="20.100000000000001" customHeight="1" outlineLevel="2">
      <c r="A32" s="3687"/>
      <c r="B32" s="3687"/>
      <c r="C32" s="4416"/>
      <c r="D32" s="3687"/>
      <c r="E32" s="3687"/>
      <c r="F32" s="3687"/>
      <c r="G32" s="3687"/>
      <c r="H32" s="3687"/>
    </row>
    <row r="33" spans="1:8" s="4409" customFormat="1" ht="14.25" customHeight="1">
      <c r="A33" s="4412" t="s">
        <v>3163</v>
      </c>
      <c r="B33" s="4412"/>
      <c r="C33" s="4411" t="s">
        <v>363</v>
      </c>
      <c r="D33" s="4411"/>
      <c r="E33" s="4411"/>
      <c r="F33" s="4412"/>
      <c r="G33" s="4412" t="s">
        <v>2311</v>
      </c>
      <c r="H33" s="4412"/>
    </row>
    <row r="34" spans="1:8" s="4409" customFormat="1" ht="14.25" customHeight="1">
      <c r="A34" s="4412"/>
      <c r="B34" s="4412"/>
      <c r="C34" s="4411"/>
      <c r="D34" s="4411"/>
      <c r="E34" s="4411"/>
      <c r="F34" s="4412"/>
      <c r="G34" s="4412"/>
      <c r="H34" s="4412"/>
    </row>
    <row r="35" spans="1:8" s="4409" customFormat="1" ht="14.25" customHeight="1">
      <c r="A35" s="4412"/>
      <c r="B35" s="4412"/>
      <c r="C35" s="4411"/>
      <c r="D35" s="4411"/>
      <c r="E35" s="4411"/>
      <c r="F35" s="4412"/>
      <c r="G35" s="4412"/>
      <c r="H35" s="4412"/>
    </row>
    <row r="36" spans="1:8" s="4409" customFormat="1" ht="14.25" customHeight="1">
      <c r="A36" s="4415" t="s">
        <v>3284</v>
      </c>
      <c r="B36" s="4413"/>
      <c r="C36" s="4414" t="s">
        <v>3162</v>
      </c>
      <c r="D36" s="4415"/>
      <c r="E36" s="4411"/>
      <c r="F36" s="4413"/>
      <c r="G36" s="4413" t="s">
        <v>359</v>
      </c>
      <c r="H36" s="4413"/>
    </row>
    <row r="37" spans="1:8" s="4409" customFormat="1" ht="14.25" customHeight="1">
      <c r="A37" s="4411" t="s">
        <v>3283</v>
      </c>
      <c r="B37" s="4412"/>
      <c r="C37" s="4412" t="s">
        <v>658</v>
      </c>
      <c r="D37" s="4412"/>
      <c r="E37" s="4411"/>
      <c r="F37" s="4410"/>
      <c r="G37" s="4410" t="s">
        <v>2307</v>
      </c>
      <c r="H37" s="4410"/>
    </row>
    <row r="38" spans="1:8" s="1404" customFormat="1">
      <c r="A38" s="3286"/>
      <c r="B38" s="3289"/>
      <c r="C38" s="3286"/>
      <c r="D38" s="3686"/>
      <c r="E38" s="3686"/>
      <c r="F38" s="3686"/>
      <c r="G38" s="3686"/>
      <c r="H38" s="3686"/>
    </row>
    <row r="39" spans="1:8" s="1404" customFormat="1">
      <c r="A39" s="3286"/>
      <c r="B39" s="3289"/>
      <c r="C39" s="3286"/>
      <c r="D39" s="3686"/>
      <c r="E39" s="3686"/>
      <c r="F39" s="3686"/>
      <c r="G39" s="3686"/>
      <c r="H39" s="3686"/>
    </row>
    <row r="40" spans="1:8" s="1404" customFormat="1">
      <c r="A40" s="3286"/>
      <c r="B40" s="3289"/>
      <c r="C40" s="3286"/>
      <c r="D40" s="3686"/>
      <c r="E40" s="3686"/>
      <c r="F40" s="3686"/>
      <c r="G40" s="3686"/>
      <c r="H40" s="3686"/>
    </row>
    <row r="41" spans="1:8" s="1404" customFormat="1">
      <c r="A41" s="3286"/>
      <c r="B41" s="3289"/>
      <c r="C41" s="3286"/>
      <c r="D41" s="3686"/>
      <c r="E41" s="3686"/>
      <c r="F41" s="3686"/>
      <c r="G41" s="3686"/>
      <c r="H41" s="3686"/>
    </row>
    <row r="42" spans="1:8" s="1404" customFormat="1">
      <c r="A42" s="3286"/>
      <c r="B42" s="3289"/>
      <c r="C42" s="3286"/>
      <c r="D42" s="3686"/>
      <c r="E42" s="3686"/>
      <c r="F42" s="3686"/>
      <c r="G42" s="3686"/>
      <c r="H42" s="3686"/>
    </row>
    <row r="43" spans="1:8" s="1404" customFormat="1">
      <c r="A43" s="3286"/>
      <c r="B43" s="3289"/>
      <c r="C43" s="3286"/>
      <c r="D43" s="3686"/>
      <c r="E43" s="3686"/>
      <c r="F43" s="3686"/>
      <c r="G43" s="3686"/>
      <c r="H43" s="3686"/>
    </row>
    <row r="44" spans="1:8" s="1404" customFormat="1">
      <c r="A44" s="3286"/>
      <c r="B44" s="3289"/>
      <c r="C44" s="3286"/>
      <c r="D44" s="3686"/>
      <c r="E44" s="3686"/>
      <c r="F44" s="3686"/>
      <c r="G44" s="3686"/>
      <c r="H44" s="3686"/>
    </row>
    <row r="45" spans="1:8" s="1404" customFormat="1">
      <c r="A45" s="3286"/>
      <c r="B45" s="3289"/>
      <c r="C45" s="3286"/>
      <c r="D45" s="3686"/>
      <c r="E45" s="3686"/>
      <c r="F45" s="3686"/>
      <c r="G45" s="3686"/>
      <c r="H45" s="3686"/>
    </row>
    <row r="46" spans="1:8" s="1404" customFormat="1">
      <c r="A46" s="3286"/>
      <c r="B46" s="3289"/>
      <c r="C46" s="3286"/>
      <c r="D46" s="3686"/>
      <c r="E46" s="3686"/>
      <c r="F46" s="3686"/>
      <c r="G46" s="3686"/>
      <c r="H46" s="3686"/>
    </row>
    <row r="47" spans="1:8" s="1404" customFormat="1">
      <c r="A47" s="3286"/>
      <c r="B47" s="3289"/>
      <c r="C47" s="3286"/>
      <c r="D47" s="3686"/>
      <c r="E47" s="3686"/>
      <c r="F47" s="3686"/>
      <c r="G47" s="3686"/>
      <c r="H47" s="3686"/>
    </row>
    <row r="48" spans="1:8" s="1404" customFormat="1">
      <c r="A48" s="3286"/>
      <c r="B48" s="3289"/>
      <c r="C48" s="3286"/>
      <c r="D48" s="3686"/>
      <c r="E48" s="3686"/>
      <c r="F48" s="3686"/>
      <c r="G48" s="3686"/>
      <c r="H48" s="3686"/>
    </row>
  </sheetData>
  <mergeCells count="5">
    <mergeCell ref="A6:H6"/>
    <mergeCell ref="A7:H7"/>
    <mergeCell ref="E11:G11"/>
    <mergeCell ref="A5:H5"/>
    <mergeCell ref="A11:B14"/>
  </mergeCells>
  <pageMargins left="0.5" right="0" top="0" bottom="0" header="0.25" footer="0"/>
  <pageSetup paperSize="5" orientation="portrait" verticalDpi="300"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J41"/>
  <sheetViews>
    <sheetView showGridLines="0" showOutlineSymbols="0" workbookViewId="0">
      <selection activeCell="J25" sqref="J25"/>
    </sheetView>
  </sheetViews>
  <sheetFormatPr defaultColWidth="12.5703125" defaultRowHeight="12.75" outlineLevelRow="2" outlineLevelCol="2"/>
  <cols>
    <col min="1" max="1" width="1.85546875" style="3160" customWidth="1"/>
    <col min="2" max="2" width="28" style="3160" customWidth="1"/>
    <col min="3" max="3" width="10.140625" style="3160" customWidth="1"/>
    <col min="4" max="8" width="10.42578125" style="3160" customWidth="1"/>
    <col min="9" max="39" width="12.5703125" style="1403"/>
    <col min="40" max="44" width="12.5703125" style="1403" outlineLevel="1"/>
    <col min="45" max="50" width="12.5703125" style="1403" outlineLevel="2"/>
    <col min="51" max="53" width="12.5703125" style="1403" outlineLevel="1"/>
    <col min="54" max="73" width="12.5703125" style="1403"/>
    <col min="74" max="77" width="12.5703125" style="1403" outlineLevel="1"/>
    <col min="78" max="125" width="12.5703125" style="1403"/>
    <col min="126" max="131" width="12.5703125" style="1403" outlineLevel="1"/>
    <col min="132" max="137" width="12.5703125" style="1403" outlineLevel="2"/>
    <col min="138" max="140" width="12.5703125" style="1403" outlineLevel="1"/>
    <col min="141"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E4" s="4187"/>
      <c r="G4" s="4187"/>
      <c r="H4" s="4187"/>
    </row>
    <row r="5" spans="1:8" ht="14.25" customHeight="1">
      <c r="A5" s="4741" t="s">
        <v>471</v>
      </c>
      <c r="B5" s="4741"/>
      <c r="C5" s="4741"/>
      <c r="D5" s="4741"/>
      <c r="E5" s="4741"/>
      <c r="F5" s="4741"/>
      <c r="G5" s="4741"/>
      <c r="H5" s="4741"/>
    </row>
    <row r="6" spans="1:8" ht="14.25" customHeight="1">
      <c r="A6" s="4742" t="s">
        <v>470</v>
      </c>
      <c r="B6" s="4742"/>
      <c r="C6" s="4742"/>
      <c r="D6" s="4742"/>
      <c r="E6" s="4742"/>
      <c r="F6" s="4742"/>
      <c r="G6" s="4742"/>
      <c r="H6" s="4742"/>
    </row>
    <row r="7" spans="1:8" ht="14.25" customHeight="1">
      <c r="A7" s="1578"/>
      <c r="B7" s="1578"/>
      <c r="C7" s="1578"/>
      <c r="D7" s="1578"/>
      <c r="E7" s="1578"/>
      <c r="F7" s="1578"/>
      <c r="G7" s="1578"/>
      <c r="H7" s="1578"/>
    </row>
    <row r="8" spans="1:8" ht="14.25" customHeight="1">
      <c r="A8" s="1578"/>
      <c r="B8" s="1578"/>
      <c r="C8" s="1578"/>
      <c r="D8" s="1578"/>
      <c r="E8" s="1578"/>
      <c r="F8" s="1578"/>
      <c r="G8" s="1578"/>
      <c r="H8" s="1578"/>
    </row>
    <row r="9" spans="1:8" ht="14.25" customHeight="1">
      <c r="A9" s="3281" t="s">
        <v>3307</v>
      </c>
      <c r="B9" s="3281"/>
    </row>
    <row r="10" spans="1:8" ht="14.25" customHeight="1">
      <c r="A10" s="4433" t="s">
        <v>3306</v>
      </c>
      <c r="B10" s="4433"/>
    </row>
    <row r="11" spans="1:8" ht="14.25" customHeight="1">
      <c r="A11" s="4433"/>
      <c r="B11" s="4433"/>
    </row>
    <row r="12" spans="1:8" ht="14.25" customHeight="1">
      <c r="A12" s="4497"/>
      <c r="B12" s="4496"/>
      <c r="C12" s="4455" t="s">
        <v>467</v>
      </c>
      <c r="D12" s="4455" t="s">
        <v>3280</v>
      </c>
      <c r="E12" s="5018" t="s">
        <v>465</v>
      </c>
      <c r="F12" s="5019"/>
      <c r="G12" s="5020"/>
      <c r="H12" s="4455" t="s">
        <v>2180</v>
      </c>
    </row>
    <row r="13" spans="1:8" ht="14.25" customHeight="1">
      <c r="A13" s="4487"/>
      <c r="B13" s="4486" t="s">
        <v>468</v>
      </c>
      <c r="C13" s="4488" t="s">
        <v>463</v>
      </c>
      <c r="D13" s="4452" t="s">
        <v>2342</v>
      </c>
      <c r="E13" s="4452" t="s">
        <v>2344</v>
      </c>
      <c r="F13" s="4452" t="s">
        <v>2343</v>
      </c>
      <c r="G13" s="4452" t="s">
        <v>244</v>
      </c>
      <c r="H13" s="4452" t="s">
        <v>2342</v>
      </c>
    </row>
    <row r="14" spans="1:8" ht="14.25" customHeight="1">
      <c r="A14" s="4487"/>
      <c r="B14" s="4495"/>
      <c r="C14" s="4454"/>
      <c r="D14" s="4452">
        <v>2020</v>
      </c>
      <c r="E14" s="4452" t="s">
        <v>2341</v>
      </c>
      <c r="F14" s="4452" t="s">
        <v>2341</v>
      </c>
      <c r="G14" s="4453"/>
      <c r="H14" s="4452">
        <v>2022</v>
      </c>
    </row>
    <row r="15" spans="1:8" ht="14.25" customHeight="1">
      <c r="A15" s="4494"/>
      <c r="B15" s="4493"/>
      <c r="C15" s="4451"/>
      <c r="D15" s="4449" t="s">
        <v>460</v>
      </c>
      <c r="E15" s="4449" t="s">
        <v>460</v>
      </c>
      <c r="F15" s="4449" t="s">
        <v>459</v>
      </c>
      <c r="G15" s="4450"/>
      <c r="H15" s="4449" t="s">
        <v>458</v>
      </c>
    </row>
    <row r="16" spans="1:8" ht="20.100000000000001" customHeight="1">
      <c r="A16" s="1574" t="s">
        <v>456</v>
      </c>
      <c r="B16" s="3276"/>
      <c r="C16" s="4186"/>
      <c r="D16" s="4186"/>
      <c r="E16" s="4186"/>
      <c r="F16" s="3276"/>
      <c r="G16" s="3276"/>
      <c r="H16" s="4186"/>
    </row>
    <row r="17" spans="1:8" s="2994" customFormat="1" ht="20.100000000000001" customHeight="1" outlineLevel="1">
      <c r="A17" s="3699" t="s">
        <v>407</v>
      </c>
      <c r="B17" s="4490"/>
      <c r="C17" s="4209"/>
      <c r="D17" s="2598">
        <f>SUM(D18:D22)</f>
        <v>0</v>
      </c>
      <c r="E17" s="2598">
        <f>SUM(E18:E22)</f>
        <v>6400</v>
      </c>
      <c r="F17" s="2598">
        <f>SUM(F18:F22)</f>
        <v>93600</v>
      </c>
      <c r="G17" s="2598">
        <f>SUM(G18:G22)</f>
        <v>100000</v>
      </c>
      <c r="H17" s="2598">
        <f>SUM(H18:H22)</f>
        <v>600000</v>
      </c>
    </row>
    <row r="18" spans="1:8" s="1437" customFormat="1" ht="16.7" customHeight="1" outlineLevel="1">
      <c r="A18" s="4424" t="s">
        <v>2352</v>
      </c>
      <c r="B18" s="4437"/>
      <c r="C18" s="4448" t="s">
        <v>405</v>
      </c>
      <c r="D18" s="4207">
        <f>'[39]OPERATION OF GAD COUNCIL'!$F$13</f>
        <v>0</v>
      </c>
      <c r="E18" s="4206">
        <f>'[40]OPERATION OF GAD COUNCIL'!$F$13</f>
        <v>0</v>
      </c>
      <c r="F18" s="1532">
        <f>G18-E18</f>
        <v>5000</v>
      </c>
      <c r="G18" s="4206">
        <f>'[40]OPERATION OF GAD COUNCIL'!$D$13</f>
        <v>5000</v>
      </c>
      <c r="H18" s="3126">
        <v>5000</v>
      </c>
    </row>
    <row r="19" spans="1:8" s="1437" customFormat="1" ht="16.7" customHeight="1" outlineLevel="1">
      <c r="A19" s="4447" t="s">
        <v>404</v>
      </c>
      <c r="B19" s="4479"/>
      <c r="C19" s="4436" t="s">
        <v>403</v>
      </c>
      <c r="D19" s="4418">
        <f>'[39]OPERATION OF GAD COUNCIL'!$F$14</f>
        <v>0</v>
      </c>
      <c r="E19" s="4446">
        <f>'[40]OPERATION OF GAD COUNCIL'!$F$14</f>
        <v>2800</v>
      </c>
      <c r="F19" s="1532">
        <f>G19-E19</f>
        <v>83450</v>
      </c>
      <c r="G19" s="4446">
        <f>'[40]OPERATION OF GAD COUNCIL'!$D$14</f>
        <v>86250</v>
      </c>
      <c r="H19" s="1532">
        <v>86250</v>
      </c>
    </row>
    <row r="20" spans="1:8" s="1437" customFormat="1" ht="16.7" customHeight="1" outlineLevel="1">
      <c r="A20" s="4444" t="s">
        <v>674</v>
      </c>
      <c r="B20" s="4443"/>
      <c r="C20" s="4436" t="s">
        <v>396</v>
      </c>
      <c r="D20" s="4418">
        <f>'[39]OPERATION OF GAD COUNCIL'!$F$15</f>
        <v>0</v>
      </c>
      <c r="E20" s="4446">
        <f>'[40]OPERATION OF GAD COUNCIL'!$F$15</f>
        <v>0</v>
      </c>
      <c r="F20" s="1532">
        <f>G20-E20</f>
        <v>5000</v>
      </c>
      <c r="G20" s="4446">
        <f>'[40]OPERATION OF GAD COUNCIL'!$D$15</f>
        <v>5000</v>
      </c>
      <c r="H20" s="1532">
        <v>5000</v>
      </c>
    </row>
    <row r="21" spans="1:8" s="1437" customFormat="1" ht="16.7" customHeight="1" outlineLevel="1">
      <c r="A21" s="4444" t="s">
        <v>2727</v>
      </c>
      <c r="B21" s="4443"/>
      <c r="C21" s="4436" t="s">
        <v>1871</v>
      </c>
      <c r="D21" s="4418">
        <v>0</v>
      </c>
      <c r="E21" s="4446">
        <v>0</v>
      </c>
      <c r="F21" s="1532">
        <v>0</v>
      </c>
      <c r="G21" s="4446">
        <v>0</v>
      </c>
      <c r="H21" s="1532">
        <v>500000</v>
      </c>
    </row>
    <row r="22" spans="1:8" s="1422" customFormat="1" ht="16.7" customHeight="1" outlineLevel="1">
      <c r="A22" s="4438" t="s">
        <v>693</v>
      </c>
      <c r="B22" s="4420"/>
      <c r="C22" s="4419" t="s">
        <v>367</v>
      </c>
      <c r="D22" s="4418">
        <f>'[39]OPERATION OF GAD COUNCIL'!$F$16</f>
        <v>0</v>
      </c>
      <c r="E22" s="4200">
        <f>'[40]OPERATION OF GAD COUNCIL'!$F$16</f>
        <v>3600</v>
      </c>
      <c r="F22" s="1532">
        <f>G22-E22</f>
        <v>150</v>
      </c>
      <c r="G22" s="4200">
        <f>'[40]OPERATION OF GAD COUNCIL'!$D$16</f>
        <v>3750</v>
      </c>
      <c r="H22" s="1532">
        <v>3750</v>
      </c>
    </row>
    <row r="23" spans="1:8" ht="20.100000000000001" customHeight="1" outlineLevel="2" thickBot="1">
      <c r="A23" s="2480" t="s">
        <v>366</v>
      </c>
      <c r="B23" s="3690"/>
      <c r="C23" s="4417"/>
      <c r="D23" s="3690">
        <f>SUM(D18:D22)</f>
        <v>0</v>
      </c>
      <c r="E23" s="3690">
        <f>SUM(E18:E22)</f>
        <v>6400</v>
      </c>
      <c r="F23" s="3690">
        <f>SUM(F18:F22)</f>
        <v>93600</v>
      </c>
      <c r="G23" s="3690">
        <f>SUM(G18:G22)</f>
        <v>100000</v>
      </c>
      <c r="H23" s="3690">
        <f>SUM(H18:H22)</f>
        <v>600000</v>
      </c>
    </row>
    <row r="24" spans="1:8" ht="20.100000000000001" customHeight="1" outlineLevel="2" thickTop="1">
      <c r="A24" s="3687"/>
      <c r="B24" s="3687"/>
      <c r="C24" s="4416"/>
      <c r="D24" s="3687"/>
      <c r="E24" s="3687"/>
      <c r="F24" s="3687"/>
      <c r="G24" s="3687"/>
      <c r="H24" s="3687"/>
    </row>
    <row r="25" spans="1:8" ht="20.100000000000001" customHeight="1" outlineLevel="2">
      <c r="A25" s="3687"/>
      <c r="B25" s="3687"/>
      <c r="C25" s="4416"/>
      <c r="D25" s="3687"/>
      <c r="E25" s="3687"/>
      <c r="F25" s="3687"/>
      <c r="G25" s="3687"/>
      <c r="H25" s="3687"/>
    </row>
    <row r="26" spans="1:8" s="4409" customFormat="1" ht="14.25" customHeight="1">
      <c r="A26" s="4412" t="s">
        <v>3163</v>
      </c>
      <c r="B26" s="4412"/>
      <c r="C26" s="4411" t="s">
        <v>363</v>
      </c>
      <c r="D26" s="4411"/>
      <c r="E26" s="4411"/>
      <c r="F26" s="4412"/>
      <c r="G26" s="4412" t="s">
        <v>2311</v>
      </c>
      <c r="H26" s="4412"/>
    </row>
    <row r="27" spans="1:8" s="4409" customFormat="1" ht="14.25" customHeight="1">
      <c r="A27" s="4412"/>
      <c r="B27" s="4412"/>
      <c r="C27" s="4411"/>
      <c r="D27" s="4411"/>
      <c r="E27" s="4411"/>
      <c r="F27" s="4412"/>
      <c r="G27" s="4412"/>
      <c r="H27" s="4412"/>
    </row>
    <row r="28" spans="1:8" s="4409" customFormat="1" ht="14.25" customHeight="1">
      <c r="A28" s="4412"/>
      <c r="B28" s="4412"/>
      <c r="C28" s="4411"/>
      <c r="D28" s="4411"/>
      <c r="E28" s="4411"/>
      <c r="F28" s="4412"/>
      <c r="G28" s="4412"/>
      <c r="H28" s="4412"/>
    </row>
    <row r="29" spans="1:8" s="4409" customFormat="1" ht="14.25" customHeight="1">
      <c r="A29" s="4415" t="s">
        <v>3284</v>
      </c>
      <c r="B29" s="4413"/>
      <c r="C29" s="4414" t="s">
        <v>3162</v>
      </c>
      <c r="D29" s="4415"/>
      <c r="E29" s="4411"/>
      <c r="F29" s="4413"/>
      <c r="G29" s="4413" t="s">
        <v>359</v>
      </c>
      <c r="H29" s="4413"/>
    </row>
    <row r="30" spans="1:8" s="4409" customFormat="1" ht="14.25" customHeight="1">
      <c r="A30" s="4411" t="s">
        <v>3283</v>
      </c>
      <c r="B30" s="4412"/>
      <c r="C30" s="4412" t="s">
        <v>658</v>
      </c>
      <c r="D30" s="4412"/>
      <c r="E30" s="4411"/>
      <c r="F30" s="4410"/>
      <c r="G30" s="4410" t="s">
        <v>2307</v>
      </c>
      <c r="H30" s="4410"/>
    </row>
    <row r="31" spans="1:8" s="1404" customFormat="1">
      <c r="A31" s="3286"/>
      <c r="B31" s="3289"/>
      <c r="C31" s="3286"/>
      <c r="D31" s="3686"/>
      <c r="E31" s="3686"/>
      <c r="F31" s="3686"/>
      <c r="G31" s="3686"/>
      <c r="H31" s="3686"/>
    </row>
    <row r="32" spans="1:8" s="1404" customFormat="1">
      <c r="A32" s="3286"/>
      <c r="B32" s="3289"/>
      <c r="C32" s="3286"/>
      <c r="D32" s="3686"/>
      <c r="E32" s="3686"/>
      <c r="F32" s="3686"/>
      <c r="G32" s="3686"/>
      <c r="H32" s="3686"/>
    </row>
    <row r="33" spans="1:8" s="1404" customFormat="1">
      <c r="A33" s="3286"/>
      <c r="B33" s="3289"/>
      <c r="C33" s="3286"/>
      <c r="D33" s="3686"/>
      <c r="E33" s="3686"/>
      <c r="F33" s="3686"/>
      <c r="G33" s="3686"/>
      <c r="H33" s="3686"/>
    </row>
    <row r="34" spans="1:8" s="1404" customFormat="1">
      <c r="A34" s="3286"/>
      <c r="B34" s="3289"/>
      <c r="C34" s="3286"/>
      <c r="D34" s="3686"/>
      <c r="E34" s="3686"/>
      <c r="F34" s="3686"/>
      <c r="G34" s="3686"/>
      <c r="H34" s="3686"/>
    </row>
    <row r="35" spans="1:8" s="1404" customFormat="1">
      <c r="A35" s="3286"/>
      <c r="B35" s="3289"/>
      <c r="C35" s="3286"/>
      <c r="D35" s="3686"/>
      <c r="E35" s="3686"/>
      <c r="F35" s="3686"/>
      <c r="G35" s="3686"/>
      <c r="H35" s="3686"/>
    </row>
    <row r="36" spans="1:8" s="1404" customFormat="1">
      <c r="A36" s="3286"/>
      <c r="B36" s="3289"/>
      <c r="C36" s="3286"/>
      <c r="D36" s="3686"/>
      <c r="E36" s="3686"/>
      <c r="F36" s="3686"/>
      <c r="G36" s="3686"/>
      <c r="H36" s="3686"/>
    </row>
    <row r="37" spans="1:8" s="1404" customFormat="1">
      <c r="A37" s="3286"/>
      <c r="B37" s="3289"/>
      <c r="C37" s="3286"/>
      <c r="D37" s="3686"/>
      <c r="E37" s="3686"/>
      <c r="F37" s="3686"/>
      <c r="G37" s="3686"/>
      <c r="H37" s="3686"/>
    </row>
    <row r="38" spans="1:8" s="1404" customFormat="1">
      <c r="A38" s="3286"/>
      <c r="B38" s="3289"/>
      <c r="C38" s="3286"/>
      <c r="D38" s="3686"/>
      <c r="E38" s="3686"/>
      <c r="F38" s="3686"/>
      <c r="G38" s="3686"/>
      <c r="H38" s="3686"/>
    </row>
    <row r="39" spans="1:8" s="1404" customFormat="1">
      <c r="A39" s="3286"/>
      <c r="B39" s="3289"/>
      <c r="C39" s="3286"/>
      <c r="D39" s="3686"/>
      <c r="E39" s="3686"/>
      <c r="F39" s="3686"/>
      <c r="G39" s="3686"/>
      <c r="H39" s="3686"/>
    </row>
    <row r="40" spans="1:8" s="1404" customFormat="1">
      <c r="A40" s="3286"/>
      <c r="B40" s="3289"/>
      <c r="C40" s="3286"/>
      <c r="D40" s="3686"/>
      <c r="E40" s="3686"/>
      <c r="F40" s="3686"/>
      <c r="G40" s="3686"/>
      <c r="H40" s="3686"/>
    </row>
    <row r="41" spans="1:8" s="1404" customFormat="1">
      <c r="A41" s="3286"/>
      <c r="B41" s="3289"/>
      <c r="C41" s="3286"/>
      <c r="D41" s="3686"/>
      <c r="E41" s="3686"/>
      <c r="F41" s="3686"/>
      <c r="G41" s="3686"/>
      <c r="H41" s="3686"/>
    </row>
  </sheetData>
  <mergeCells count="3">
    <mergeCell ref="E12:G12"/>
    <mergeCell ref="A5:H5"/>
    <mergeCell ref="A6:H6"/>
  </mergeCells>
  <pageMargins left="0.5" right="0" top="0" bottom="0" header="0.25" footer="0"/>
  <pageSetup paperSize="5" orientation="portrait" verticalDpi="300"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B39"/>
  <sheetViews>
    <sheetView showGridLines="0" showOutlineSymbols="0" workbookViewId="0">
      <selection activeCell="L38" sqref="L38"/>
    </sheetView>
  </sheetViews>
  <sheetFormatPr defaultColWidth="12.5703125" defaultRowHeight="12.75" outlineLevelRow="2" outlineLevelCol="2"/>
  <cols>
    <col min="1" max="1" width="1.85546875" style="3160" customWidth="1"/>
    <col min="2" max="2" width="27.42578125" style="3160" customWidth="1"/>
    <col min="3" max="3" width="10.140625" style="3160" customWidth="1"/>
    <col min="4" max="4" width="9.42578125" style="3160" customWidth="1"/>
    <col min="5" max="8" width="12.28515625" style="3160" customWidth="1"/>
    <col min="9" max="31" width="12.5703125" style="1403"/>
    <col min="32" max="36" width="12.5703125" style="1403" outlineLevel="1"/>
    <col min="37" max="42" width="12.5703125" style="1403" outlineLevel="2"/>
    <col min="43" max="45" width="12.5703125" style="1403" outlineLevel="1"/>
    <col min="46" max="65" width="12.5703125" style="1403"/>
    <col min="66" max="69" width="12.5703125" style="1403" outlineLevel="1"/>
    <col min="70" max="117" width="12.5703125" style="1403"/>
    <col min="118" max="123" width="12.5703125" style="1403" outlineLevel="1"/>
    <col min="124" max="129" width="12.5703125" style="1403" outlineLevel="2"/>
    <col min="130" max="132" width="12.5703125" style="1403" outlineLevel="1"/>
    <col min="133"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E4" s="4187"/>
      <c r="G4" s="4187"/>
      <c r="H4" s="4187"/>
    </row>
    <row r="5" spans="1:8" ht="14.25" customHeight="1">
      <c r="A5" s="4741" t="s">
        <v>471</v>
      </c>
      <c r="B5" s="4741"/>
      <c r="C5" s="4741"/>
      <c r="D5" s="4741"/>
      <c r="E5" s="4741"/>
      <c r="F5" s="4741"/>
      <c r="G5" s="4741"/>
      <c r="H5" s="4741"/>
    </row>
    <row r="6" spans="1:8" ht="14.25" customHeight="1">
      <c r="A6" s="4742" t="s">
        <v>470</v>
      </c>
      <c r="B6" s="4742"/>
      <c r="C6" s="4742"/>
      <c r="D6" s="4742"/>
      <c r="E6" s="4742"/>
      <c r="F6" s="4742"/>
      <c r="G6" s="4742"/>
      <c r="H6" s="4742"/>
    </row>
    <row r="7" spans="1:8" ht="14.25" customHeight="1">
      <c r="A7" s="1578"/>
      <c r="B7" s="1578"/>
      <c r="C7" s="1578"/>
      <c r="D7" s="1578"/>
      <c r="E7" s="1578"/>
      <c r="F7" s="1578"/>
      <c r="G7" s="1578"/>
      <c r="H7" s="1578"/>
    </row>
    <row r="8" spans="1:8" ht="14.25" customHeight="1">
      <c r="A8" s="1578"/>
      <c r="B8" s="1578"/>
      <c r="C8" s="1578"/>
      <c r="D8" s="1578"/>
      <c r="E8" s="1578"/>
      <c r="F8" s="1578"/>
      <c r="G8" s="1578"/>
      <c r="H8" s="1578"/>
    </row>
    <row r="9" spans="1:8" ht="14.25" customHeight="1">
      <c r="A9" s="3281" t="s">
        <v>3289</v>
      </c>
      <c r="B9" s="3281"/>
    </row>
    <row r="10" spans="1:8" ht="14.25" customHeight="1">
      <c r="A10" s="4433" t="s">
        <v>3308</v>
      </c>
      <c r="B10" s="4433"/>
    </row>
    <row r="11" spans="1:8" ht="14.25" customHeight="1">
      <c r="A11" s="4433"/>
      <c r="B11" s="4433"/>
    </row>
    <row r="12" spans="1:8" ht="14.25" customHeight="1">
      <c r="A12" s="4743" t="s">
        <v>468</v>
      </c>
      <c r="B12" s="4744"/>
      <c r="C12" s="4455" t="s">
        <v>467</v>
      </c>
      <c r="D12" s="4455" t="s">
        <v>3280</v>
      </c>
      <c r="E12" s="5018" t="s">
        <v>465</v>
      </c>
      <c r="F12" s="5019"/>
      <c r="G12" s="5020"/>
      <c r="H12" s="4455" t="s">
        <v>2180</v>
      </c>
    </row>
    <row r="13" spans="1:8" ht="14.25" customHeight="1">
      <c r="A13" s="4745"/>
      <c r="B13" s="4746"/>
      <c r="C13" s="4454" t="s">
        <v>463</v>
      </c>
      <c r="D13" s="4452" t="s">
        <v>2342</v>
      </c>
      <c r="E13" s="4452" t="s">
        <v>2344</v>
      </c>
      <c r="F13" s="4452" t="s">
        <v>2343</v>
      </c>
      <c r="G13" s="4452" t="s">
        <v>244</v>
      </c>
      <c r="H13" s="4452" t="s">
        <v>2342</v>
      </c>
    </row>
    <row r="14" spans="1:8" ht="14.25" customHeight="1">
      <c r="A14" s="4745"/>
      <c r="B14" s="4746"/>
      <c r="C14" s="4454"/>
      <c r="D14" s="4452">
        <v>2020</v>
      </c>
      <c r="E14" s="4452" t="s">
        <v>2341</v>
      </c>
      <c r="F14" s="4452" t="s">
        <v>2341</v>
      </c>
      <c r="G14" s="4453"/>
      <c r="H14" s="4452">
        <v>2022</v>
      </c>
    </row>
    <row r="15" spans="1:8" ht="14.25" customHeight="1">
      <c r="A15" s="4747"/>
      <c r="B15" s="4748"/>
      <c r="C15" s="4451"/>
      <c r="D15" s="4449" t="s">
        <v>460</v>
      </c>
      <c r="E15" s="4449" t="s">
        <v>460</v>
      </c>
      <c r="F15" s="4449" t="s">
        <v>459</v>
      </c>
      <c r="G15" s="4450"/>
      <c r="H15" s="4449" t="s">
        <v>458</v>
      </c>
    </row>
    <row r="16" spans="1:8" ht="20.100000000000001" customHeight="1">
      <c r="A16" s="1574" t="s">
        <v>456</v>
      </c>
      <c r="B16" s="3276"/>
      <c r="C16" s="4186"/>
      <c r="D16" s="4186"/>
      <c r="E16" s="4186"/>
      <c r="F16" s="3276"/>
      <c r="G16" s="3276"/>
      <c r="H16" s="4186"/>
    </row>
    <row r="17" spans="1:8" s="2994" customFormat="1" ht="20.100000000000001" customHeight="1" outlineLevel="1">
      <c r="A17" s="3699" t="s">
        <v>407</v>
      </c>
      <c r="B17" s="4197"/>
      <c r="C17" s="4209"/>
      <c r="D17" s="2598">
        <f>SUM(D18:D21)</f>
        <v>8332</v>
      </c>
      <c r="E17" s="2598">
        <f>SUM(E18:E21)</f>
        <v>12272</v>
      </c>
      <c r="F17" s="2598">
        <f>SUM(F18:F21)</f>
        <v>117728</v>
      </c>
      <c r="G17" s="2598">
        <f>SUM(G18:G21)</f>
        <v>130000</v>
      </c>
      <c r="H17" s="2598">
        <f>SUM(H18:H21)</f>
        <v>130000</v>
      </c>
    </row>
    <row r="18" spans="1:8" s="1437" customFormat="1" ht="16.7" customHeight="1" outlineLevel="1">
      <c r="A18" s="4447" t="s">
        <v>404</v>
      </c>
      <c r="B18" s="4443"/>
      <c r="C18" s="4436" t="s">
        <v>403</v>
      </c>
      <c r="D18" s="4418">
        <f>'[39]LCPC - SSS'!$F$13</f>
        <v>0</v>
      </c>
      <c r="E18" s="4446">
        <f>'[40]LCPC - SSS'!$F$13</f>
        <v>0</v>
      </c>
      <c r="F18" s="1532">
        <f>G18-E18</f>
        <v>94000</v>
      </c>
      <c r="G18" s="4446">
        <f>'[40]LCPC - SSS'!$D$13</f>
        <v>94000</v>
      </c>
      <c r="H18" s="4458">
        <v>94000</v>
      </c>
    </row>
    <row r="19" spans="1:8" s="1422" customFormat="1" ht="16.7" customHeight="1" outlineLevel="1">
      <c r="A19" s="4444" t="s">
        <v>674</v>
      </c>
      <c r="B19" s="4443"/>
      <c r="C19" s="4436" t="s">
        <v>396</v>
      </c>
      <c r="D19" s="4418">
        <f>'[39]LCPC - SSS'!$F$14</f>
        <v>0</v>
      </c>
      <c r="E19" s="4200">
        <f>'[40]LCPC - SSS'!$F$14</f>
        <v>0</v>
      </c>
      <c r="F19" s="1532">
        <f>G19-E19</f>
        <v>1000</v>
      </c>
      <c r="G19" s="4446">
        <f>'[40]LCPC - SSS'!$D$14</f>
        <v>1000</v>
      </c>
      <c r="H19" s="4456">
        <v>1000</v>
      </c>
    </row>
    <row r="20" spans="1:8" s="1422" customFormat="1" ht="16.7" customHeight="1" outlineLevel="1">
      <c r="A20" s="4444" t="s">
        <v>878</v>
      </c>
      <c r="B20" s="4443"/>
      <c r="C20" s="4436" t="s">
        <v>394</v>
      </c>
      <c r="D20" s="4418">
        <f>'[39]LCPC - SSS'!$F$15</f>
        <v>5315</v>
      </c>
      <c r="E20" s="4200">
        <f>'[40]LCPC - SSS'!$F$15</f>
        <v>6272</v>
      </c>
      <c r="F20" s="1532">
        <f>G20-E20</f>
        <v>728</v>
      </c>
      <c r="G20" s="4200">
        <f>'[40]LCPC - SSS'!$D$15</f>
        <v>7000</v>
      </c>
      <c r="H20" s="4200">
        <v>7000</v>
      </c>
    </row>
    <row r="21" spans="1:8" s="1422" customFormat="1" ht="16.7" customHeight="1" outlineLevel="1">
      <c r="A21" s="4438" t="s">
        <v>693</v>
      </c>
      <c r="B21" s="4420"/>
      <c r="C21" s="4419" t="s">
        <v>367</v>
      </c>
      <c r="D21" s="4418">
        <f>'[39]LCPC - SSS'!$F$16</f>
        <v>3017</v>
      </c>
      <c r="E21" s="4200">
        <f>'[40]LCPC - SSS'!$F$16</f>
        <v>6000</v>
      </c>
      <c r="F21" s="1532">
        <f>G21-E21</f>
        <v>22000</v>
      </c>
      <c r="G21" s="4200">
        <f>'[40]LCPC - SSS'!$D$16</f>
        <v>28000</v>
      </c>
      <c r="H21" s="4200">
        <v>28000</v>
      </c>
    </row>
    <row r="22" spans="1:8" ht="20.100000000000001" customHeight="1" outlineLevel="2" thickBot="1">
      <c r="A22" s="2480" t="s">
        <v>366</v>
      </c>
      <c r="B22" s="3690"/>
      <c r="C22" s="4417"/>
      <c r="D22" s="3690">
        <f>SUM(D18:D21)</f>
        <v>8332</v>
      </c>
      <c r="E22" s="3690">
        <f>SUM(E18:E21)</f>
        <v>12272</v>
      </c>
      <c r="F22" s="3690">
        <f>SUM(F18:F21)</f>
        <v>117728</v>
      </c>
      <c r="G22" s="3690">
        <f>SUM(G18:G21)</f>
        <v>130000</v>
      </c>
      <c r="H22" s="3690">
        <f>SUM(H18:H21)</f>
        <v>130000</v>
      </c>
    </row>
    <row r="23" spans="1:8" ht="20.100000000000001" customHeight="1" outlineLevel="2" thickTop="1">
      <c r="A23" s="3687"/>
      <c r="B23" s="3687"/>
      <c r="C23" s="4416"/>
      <c r="D23" s="3687"/>
      <c r="E23" s="3687"/>
      <c r="F23" s="3687"/>
      <c r="G23" s="3687"/>
      <c r="H23" s="3687"/>
    </row>
    <row r="24" spans="1:8" s="4409" customFormat="1" ht="14.25" customHeight="1">
      <c r="A24" s="4412" t="s">
        <v>3163</v>
      </c>
      <c r="B24" s="4412"/>
      <c r="C24" s="4411"/>
      <c r="D24" s="4411" t="s">
        <v>363</v>
      </c>
      <c r="E24" s="4411"/>
      <c r="F24" s="4412"/>
      <c r="G24" s="4412" t="s">
        <v>2311</v>
      </c>
      <c r="H24" s="4412"/>
    </row>
    <row r="25" spans="1:8" s="4409" customFormat="1" ht="14.25" customHeight="1">
      <c r="A25" s="4412"/>
      <c r="B25" s="4412"/>
      <c r="C25" s="4411"/>
      <c r="D25" s="4411"/>
      <c r="E25" s="4411"/>
      <c r="F25" s="4412"/>
      <c r="G25" s="4412"/>
      <c r="H25" s="4412"/>
    </row>
    <row r="26" spans="1:8" s="4409" customFormat="1" ht="14.25" customHeight="1">
      <c r="A26" s="4412"/>
      <c r="B26" s="4412"/>
      <c r="C26" s="4411"/>
      <c r="D26" s="4411"/>
      <c r="E26" s="4411"/>
      <c r="F26" s="4412"/>
      <c r="G26" s="4412"/>
      <c r="H26" s="4412"/>
    </row>
    <row r="27" spans="1:8" s="4409" customFormat="1" ht="14.25" customHeight="1">
      <c r="A27" s="4415" t="s">
        <v>3284</v>
      </c>
      <c r="B27" s="4413"/>
      <c r="C27" s="4414"/>
      <c r="D27" s="4414" t="s">
        <v>3162</v>
      </c>
      <c r="E27" s="4411"/>
      <c r="F27" s="4413"/>
      <c r="G27" s="4413" t="s">
        <v>359</v>
      </c>
      <c r="H27" s="4413"/>
    </row>
    <row r="28" spans="1:8" s="4409" customFormat="1" ht="14.25" customHeight="1">
      <c r="A28" s="4411" t="s">
        <v>3283</v>
      </c>
      <c r="B28" s="4412"/>
      <c r="C28" s="4412"/>
      <c r="D28" s="4412" t="s">
        <v>658</v>
      </c>
      <c r="E28" s="4411"/>
      <c r="F28" s="4410"/>
      <c r="G28" s="4410" t="s">
        <v>2307</v>
      </c>
      <c r="H28" s="4410"/>
    </row>
    <row r="29" spans="1:8" s="1404" customFormat="1">
      <c r="A29" s="3286"/>
      <c r="B29" s="3289"/>
      <c r="C29" s="3286"/>
      <c r="D29" s="3686"/>
      <c r="E29" s="3686"/>
      <c r="F29" s="3686"/>
      <c r="G29" s="3686"/>
      <c r="H29" s="3686"/>
    </row>
    <row r="30" spans="1:8" s="1404" customFormat="1">
      <c r="A30" s="3286"/>
      <c r="B30" s="3289"/>
      <c r="C30" s="3286"/>
      <c r="D30" s="3686"/>
      <c r="E30" s="3686"/>
      <c r="F30" s="3686"/>
      <c r="G30" s="3686"/>
      <c r="H30" s="3686"/>
    </row>
    <row r="31" spans="1:8" s="1404" customFormat="1">
      <c r="A31" s="3286"/>
      <c r="B31" s="3289"/>
      <c r="C31" s="3286"/>
      <c r="D31" s="3686"/>
      <c r="E31" s="3686"/>
      <c r="F31" s="3686"/>
      <c r="G31" s="3686"/>
      <c r="H31" s="3686"/>
    </row>
    <row r="32" spans="1:8" s="1404" customFormat="1">
      <c r="A32" s="3286"/>
      <c r="B32" s="3289"/>
      <c r="C32" s="3286"/>
      <c r="D32" s="3686"/>
      <c r="E32" s="3686"/>
      <c r="F32" s="3686"/>
      <c r="G32" s="3686"/>
      <c r="H32" s="3686"/>
    </row>
    <row r="33" spans="1:8" s="1404" customFormat="1">
      <c r="A33" s="3286"/>
      <c r="B33" s="3289"/>
      <c r="C33" s="3286"/>
      <c r="D33" s="3686"/>
      <c r="E33" s="3686"/>
      <c r="F33" s="3686"/>
      <c r="G33" s="3686"/>
      <c r="H33" s="3686"/>
    </row>
    <row r="34" spans="1:8" s="1404" customFormat="1">
      <c r="A34" s="3286"/>
      <c r="B34" s="3289"/>
      <c r="C34" s="3286"/>
      <c r="D34" s="3686"/>
      <c r="E34" s="3686"/>
      <c r="F34" s="3686"/>
      <c r="G34" s="3686"/>
      <c r="H34" s="3686"/>
    </row>
    <row r="35" spans="1:8" s="1404" customFormat="1">
      <c r="A35" s="3286"/>
      <c r="B35" s="3289"/>
      <c r="C35" s="3286"/>
      <c r="D35" s="3686"/>
      <c r="E35" s="3686"/>
      <c r="F35" s="3686"/>
      <c r="G35" s="3686"/>
      <c r="H35" s="3686"/>
    </row>
    <row r="36" spans="1:8" s="1404" customFormat="1">
      <c r="A36" s="3286"/>
      <c r="B36" s="3289"/>
      <c r="C36" s="3286"/>
      <c r="D36" s="3686"/>
      <c r="E36" s="3686"/>
      <c r="F36" s="3686"/>
      <c r="G36" s="3686"/>
      <c r="H36" s="3686"/>
    </row>
    <row r="37" spans="1:8" s="1404" customFormat="1">
      <c r="A37" s="3286"/>
      <c r="B37" s="3289"/>
      <c r="C37" s="3286"/>
      <c r="D37" s="3686"/>
      <c r="E37" s="3686"/>
      <c r="F37" s="3686"/>
      <c r="G37" s="3686"/>
      <c r="H37" s="3686"/>
    </row>
    <row r="38" spans="1:8" s="1404" customFormat="1">
      <c r="A38" s="3286"/>
      <c r="B38" s="3289"/>
      <c r="C38" s="3286"/>
      <c r="D38" s="3686"/>
      <c r="E38" s="3686"/>
      <c r="F38" s="3686"/>
      <c r="G38" s="3686"/>
      <c r="H38" s="3686"/>
    </row>
    <row r="39" spans="1:8" s="1404" customFormat="1">
      <c r="A39" s="3286"/>
      <c r="B39" s="3289"/>
      <c r="C39" s="3286"/>
      <c r="D39" s="3686"/>
      <c r="E39" s="3686"/>
      <c r="F39" s="3686"/>
      <c r="G39" s="3686"/>
      <c r="H39" s="3686"/>
    </row>
  </sheetData>
  <mergeCells count="4">
    <mergeCell ref="A12:B15"/>
    <mergeCell ref="E12:G12"/>
    <mergeCell ref="A5:H5"/>
    <mergeCell ref="A6:H6"/>
  </mergeCells>
  <pageMargins left="0.5" right="0" top="0" bottom="0" header="0.25" footer="0"/>
  <pageSetup paperSize="5" orientation="portrait" verticalDpi="300"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7030A0"/>
    <outlinePr summaryBelow="0"/>
  </sheetPr>
  <dimension ref="A1:EL42"/>
  <sheetViews>
    <sheetView showGridLines="0" showOutlineSymbols="0" workbookViewId="0">
      <selection activeCell="K25" sqref="K25"/>
    </sheetView>
  </sheetViews>
  <sheetFormatPr defaultColWidth="12.5703125" defaultRowHeight="12.75" outlineLevelRow="2" outlineLevelCol="2"/>
  <cols>
    <col min="1" max="1" width="1.85546875" style="3160" customWidth="1"/>
    <col min="2" max="2" width="24.28515625" style="3160" customWidth="1"/>
    <col min="3" max="3" width="11.140625" style="3160" customWidth="1"/>
    <col min="4" max="4" width="9.28515625" style="3160" customWidth="1"/>
    <col min="5" max="5" width="11" style="3160" customWidth="1"/>
    <col min="6" max="6" width="10.140625" style="3160" customWidth="1"/>
    <col min="7" max="7" width="10.28515625" style="3160" customWidth="1"/>
    <col min="8" max="8" width="11.28515625" style="3160" customWidth="1"/>
    <col min="9" max="41" width="12.5703125" style="1403"/>
    <col min="42" max="46" width="12.5703125" style="1403" outlineLevel="1"/>
    <col min="47" max="52" width="12.5703125" style="1403" outlineLevel="2"/>
    <col min="53" max="55" width="12.5703125" style="1403" outlineLevel="1"/>
    <col min="56" max="75" width="12.5703125" style="1403"/>
    <col min="76" max="79" width="12.5703125" style="1403" outlineLevel="1"/>
    <col min="80" max="127" width="12.5703125" style="1403"/>
    <col min="128" max="133" width="12.5703125" style="1403" outlineLevel="1"/>
    <col min="134" max="139" width="12.5703125" style="1403" outlineLevel="2"/>
    <col min="140" max="142" width="12.5703125" style="1403" outlineLevel="1"/>
    <col min="143" max="16384" width="12.5703125" style="1403"/>
  </cols>
  <sheetData>
    <row r="1" spans="1:8" ht="13.5">
      <c r="A1" s="3226" t="s">
        <v>473</v>
      </c>
      <c r="E1" s="4434"/>
      <c r="F1" s="4434"/>
      <c r="G1" s="4434"/>
      <c r="H1" s="4434"/>
    </row>
    <row r="2" spans="1:8" ht="14.25" customHeight="1">
      <c r="A2" s="3221" t="s">
        <v>584</v>
      </c>
      <c r="E2" s="4187"/>
      <c r="F2" s="4187"/>
      <c r="G2" s="4187"/>
      <c r="H2" s="4187"/>
    </row>
    <row r="3" spans="1:8" ht="14.25" customHeight="1">
      <c r="E3" s="4187"/>
      <c r="G3" s="4187"/>
      <c r="H3" s="4187"/>
    </row>
    <row r="4" spans="1:8" ht="14.25" customHeight="1">
      <c r="E4" s="4187"/>
      <c r="G4" s="4187"/>
      <c r="H4" s="4187"/>
    </row>
    <row r="5" spans="1:8" ht="14.25" customHeight="1">
      <c r="A5" s="4741" t="s">
        <v>471</v>
      </c>
      <c r="B5" s="4741"/>
      <c r="C5" s="4741"/>
      <c r="D5" s="4741"/>
      <c r="E5" s="4741"/>
      <c r="F5" s="4741"/>
      <c r="G5" s="4741"/>
      <c r="H5" s="4741"/>
    </row>
    <row r="6" spans="1:8" ht="14.25" customHeight="1">
      <c r="A6" s="4742" t="s">
        <v>3305</v>
      </c>
      <c r="B6" s="4742"/>
      <c r="C6" s="4742"/>
      <c r="D6" s="4742"/>
      <c r="E6" s="4742"/>
      <c r="F6" s="4742"/>
      <c r="G6" s="4742"/>
      <c r="H6" s="4742"/>
    </row>
    <row r="7" spans="1:8" ht="14.25" customHeight="1">
      <c r="A7" s="4742"/>
      <c r="B7" s="4742"/>
      <c r="C7" s="4742"/>
      <c r="D7" s="4742"/>
      <c r="E7" s="4742"/>
      <c r="F7" s="4742"/>
      <c r="G7" s="4742"/>
      <c r="H7" s="4742"/>
    </row>
    <row r="8" spans="1:8" ht="14.25" customHeight="1">
      <c r="A8" s="3281" t="s">
        <v>3289</v>
      </c>
      <c r="B8" s="3281"/>
    </row>
    <row r="9" spans="1:8" ht="14.25" customHeight="1">
      <c r="A9" s="3648"/>
      <c r="B9" s="4433" t="s">
        <v>3310</v>
      </c>
    </row>
    <row r="10" spans="1:8" ht="14.25" customHeight="1">
      <c r="A10" s="3648"/>
      <c r="B10" s="4433" t="s">
        <v>3309</v>
      </c>
    </row>
    <row r="11" spans="1:8" ht="14.25" customHeight="1">
      <c r="A11" s="3648"/>
      <c r="B11" s="4433"/>
    </row>
    <row r="12" spans="1:8" ht="14.25" customHeight="1">
      <c r="A12" s="4743" t="s">
        <v>468</v>
      </c>
      <c r="B12" s="4744"/>
      <c r="C12" s="4455" t="s">
        <v>467</v>
      </c>
      <c r="D12" s="4455" t="s">
        <v>3280</v>
      </c>
      <c r="E12" s="5018" t="s">
        <v>465</v>
      </c>
      <c r="F12" s="5019"/>
      <c r="G12" s="5020"/>
      <c r="H12" s="4455" t="s">
        <v>2180</v>
      </c>
    </row>
    <row r="13" spans="1:8" ht="14.25" customHeight="1">
      <c r="A13" s="4745"/>
      <c r="B13" s="4746"/>
      <c r="C13" s="4488" t="s">
        <v>463</v>
      </c>
      <c r="D13" s="4452" t="s">
        <v>2342</v>
      </c>
      <c r="E13" s="4452" t="s">
        <v>2344</v>
      </c>
      <c r="F13" s="4452" t="s">
        <v>2343</v>
      </c>
      <c r="G13" s="4452" t="s">
        <v>244</v>
      </c>
      <c r="H13" s="4452" t="s">
        <v>2342</v>
      </c>
    </row>
    <row r="14" spans="1:8" ht="14.25" customHeight="1">
      <c r="A14" s="4745"/>
      <c r="B14" s="4746"/>
      <c r="C14" s="4454"/>
      <c r="D14" s="4452">
        <v>2020</v>
      </c>
      <c r="E14" s="4452" t="s">
        <v>2341</v>
      </c>
      <c r="F14" s="4452" t="s">
        <v>2341</v>
      </c>
      <c r="G14" s="4453"/>
      <c r="H14" s="4452">
        <v>2022</v>
      </c>
    </row>
    <row r="15" spans="1:8" ht="14.25" customHeight="1">
      <c r="A15" s="4747"/>
      <c r="B15" s="4748"/>
      <c r="C15" s="4451"/>
      <c r="D15" s="4449" t="s">
        <v>460</v>
      </c>
      <c r="E15" s="4449" t="s">
        <v>460</v>
      </c>
      <c r="F15" s="4449" t="s">
        <v>459</v>
      </c>
      <c r="G15" s="4450"/>
      <c r="H15" s="4449" t="s">
        <v>458</v>
      </c>
    </row>
    <row r="16" spans="1:8" ht="20.100000000000001" customHeight="1">
      <c r="A16" s="1574" t="s">
        <v>456</v>
      </c>
      <c r="B16" s="3276"/>
      <c r="C16" s="4492"/>
      <c r="D16" s="4491"/>
      <c r="E16" s="4425"/>
      <c r="F16" s="4425"/>
      <c r="G16" s="4425"/>
      <c r="H16" s="4425"/>
    </row>
    <row r="17" spans="1:8" s="2994" customFormat="1" ht="20.100000000000001" customHeight="1" outlineLevel="1">
      <c r="A17" s="3699" t="s">
        <v>407</v>
      </c>
      <c r="B17" s="4490"/>
      <c r="C17" s="4209"/>
      <c r="D17" s="2598">
        <f>SUM(D18:D22)</f>
        <v>0</v>
      </c>
      <c r="E17" s="4489">
        <f>SUM(E18:E22)</f>
        <v>0</v>
      </c>
      <c r="F17" s="4489">
        <f>SUM(F18:F22)</f>
        <v>0</v>
      </c>
      <c r="G17" s="4489">
        <f>SUM(G18:G22)</f>
        <v>0</v>
      </c>
      <c r="H17" s="4489">
        <f>SUM(H18:H22)</f>
        <v>1500000</v>
      </c>
    </row>
    <row r="18" spans="1:8" s="1437" customFormat="1" ht="16.7" customHeight="1" outlineLevel="1">
      <c r="A18" s="4424" t="s">
        <v>2352</v>
      </c>
      <c r="B18" s="4437"/>
      <c r="C18" s="4448" t="s">
        <v>405</v>
      </c>
      <c r="D18" s="4207">
        <v>0</v>
      </c>
      <c r="E18" s="4206">
        <v>0</v>
      </c>
      <c r="F18" s="1532">
        <v>0</v>
      </c>
      <c r="G18" s="4206">
        <v>0</v>
      </c>
      <c r="H18" s="3126">
        <v>30000</v>
      </c>
    </row>
    <row r="19" spans="1:8" s="1437" customFormat="1" ht="16.7" customHeight="1" outlineLevel="1">
      <c r="A19" s="4447" t="s">
        <v>404</v>
      </c>
      <c r="B19" s="4479"/>
      <c r="C19" s="4436" t="s">
        <v>403</v>
      </c>
      <c r="D19" s="4418">
        <v>0</v>
      </c>
      <c r="E19" s="4446">
        <v>0</v>
      </c>
      <c r="F19" s="1532">
        <v>0</v>
      </c>
      <c r="G19" s="4446">
        <v>0</v>
      </c>
      <c r="H19" s="1532">
        <v>50000</v>
      </c>
    </row>
    <row r="20" spans="1:8" s="1422" customFormat="1" ht="16.7" customHeight="1" outlineLevel="1">
      <c r="A20" s="4447" t="s">
        <v>878</v>
      </c>
      <c r="B20" s="4479"/>
      <c r="C20" s="4436" t="s">
        <v>394</v>
      </c>
      <c r="D20" s="4418">
        <v>0</v>
      </c>
      <c r="E20" s="4200">
        <v>0</v>
      </c>
      <c r="F20" s="1532">
        <v>0</v>
      </c>
      <c r="G20" s="4200">
        <v>0</v>
      </c>
      <c r="H20" s="1532">
        <v>10000</v>
      </c>
    </row>
    <row r="21" spans="1:8" s="1422" customFormat="1" ht="16.7" customHeight="1" outlineLevel="1">
      <c r="A21" s="4444" t="s">
        <v>389</v>
      </c>
      <c r="B21" s="4443"/>
      <c r="C21" s="4436" t="s">
        <v>388</v>
      </c>
      <c r="D21" s="4418">
        <v>0</v>
      </c>
      <c r="E21" s="4200">
        <v>0</v>
      </c>
      <c r="F21" s="1532">
        <v>0</v>
      </c>
      <c r="G21" s="4200">
        <v>0</v>
      </c>
      <c r="H21" s="1532">
        <v>554400</v>
      </c>
    </row>
    <row r="22" spans="1:8" s="1422" customFormat="1" ht="16.7" customHeight="1" outlineLevel="1">
      <c r="A22" s="4438" t="s">
        <v>368</v>
      </c>
      <c r="B22" s="4420"/>
      <c r="C22" s="4419" t="s">
        <v>367</v>
      </c>
      <c r="D22" s="4418">
        <v>0</v>
      </c>
      <c r="E22" s="4200">
        <v>0</v>
      </c>
      <c r="F22" s="1532">
        <v>0</v>
      </c>
      <c r="G22" s="4200">
        <v>0</v>
      </c>
      <c r="H22" s="1532">
        <v>855600</v>
      </c>
    </row>
    <row r="23" spans="1:8" ht="20.100000000000001" customHeight="1" outlineLevel="2" thickBot="1">
      <c r="A23" s="2480" t="s">
        <v>366</v>
      </c>
      <c r="B23" s="3690"/>
      <c r="C23" s="4417"/>
      <c r="D23" s="3690">
        <f>SUM(D18:D22)</f>
        <v>0</v>
      </c>
      <c r="E23" s="3690">
        <f>SUM(E18:E22)</f>
        <v>0</v>
      </c>
      <c r="F23" s="3690">
        <f>SUM(F18:F22)</f>
        <v>0</v>
      </c>
      <c r="G23" s="3690">
        <f>SUM(G18:G22)</f>
        <v>0</v>
      </c>
      <c r="H23" s="3690">
        <f>SUM(H18:H22)</f>
        <v>1500000</v>
      </c>
    </row>
    <row r="24" spans="1:8" ht="20.100000000000001" customHeight="1" outlineLevel="2" thickTop="1">
      <c r="A24" s="3687"/>
      <c r="B24" s="3687"/>
      <c r="C24" s="4416"/>
      <c r="D24" s="3687"/>
      <c r="E24" s="3687"/>
      <c r="F24" s="3687"/>
      <c r="G24" s="3687"/>
      <c r="H24" s="3687"/>
    </row>
    <row r="25" spans="1:8" ht="20.100000000000001" customHeight="1" outlineLevel="2">
      <c r="A25" s="3687"/>
      <c r="B25" s="3687"/>
      <c r="C25" s="4416"/>
      <c r="D25" s="3687"/>
      <c r="E25" s="3687"/>
      <c r="F25" s="3687"/>
      <c r="G25" s="3687"/>
      <c r="H25" s="3687"/>
    </row>
    <row r="26" spans="1:8" ht="20.100000000000001" customHeight="1" outlineLevel="2">
      <c r="A26" s="3687"/>
      <c r="B26" s="3687"/>
      <c r="C26" s="4416"/>
      <c r="D26" s="3687"/>
      <c r="E26" s="3687"/>
      <c r="F26" s="3687"/>
      <c r="G26" s="3687"/>
      <c r="H26" s="3687"/>
    </row>
    <row r="27" spans="1:8" s="4409" customFormat="1" ht="14.25" customHeight="1">
      <c r="A27" s="4412" t="s">
        <v>3163</v>
      </c>
      <c r="B27" s="4412"/>
      <c r="C27" s="4411" t="s">
        <v>363</v>
      </c>
      <c r="D27" s="4411"/>
      <c r="E27" s="4411"/>
      <c r="F27" s="4412"/>
      <c r="G27" s="4412" t="s">
        <v>2311</v>
      </c>
      <c r="H27" s="4412"/>
    </row>
    <row r="28" spans="1:8" s="4409" customFormat="1" ht="14.25" customHeight="1">
      <c r="A28" s="4412"/>
      <c r="B28" s="4412"/>
      <c r="C28" s="4411"/>
      <c r="D28" s="4411"/>
      <c r="E28" s="4411"/>
      <c r="F28" s="4412"/>
      <c r="G28" s="4412"/>
      <c r="H28" s="4412"/>
    </row>
    <row r="29" spans="1:8" s="4409" customFormat="1" ht="14.25" customHeight="1">
      <c r="A29" s="4412"/>
      <c r="B29" s="4412"/>
      <c r="C29" s="4411"/>
      <c r="D29" s="4411"/>
      <c r="E29" s="4411"/>
      <c r="F29" s="4412"/>
      <c r="G29" s="4412"/>
      <c r="H29" s="4412"/>
    </row>
    <row r="30" spans="1:8" s="4409" customFormat="1" ht="14.25" customHeight="1">
      <c r="A30" s="4415" t="s">
        <v>3284</v>
      </c>
      <c r="B30" s="4413"/>
      <c r="C30" s="4414" t="s">
        <v>3162</v>
      </c>
      <c r="D30" s="4415"/>
      <c r="E30" s="4411"/>
      <c r="F30" s="4413"/>
      <c r="G30" s="4413" t="s">
        <v>359</v>
      </c>
      <c r="H30" s="4413"/>
    </row>
    <row r="31" spans="1:8" s="4409" customFormat="1" ht="14.25" customHeight="1">
      <c r="A31" s="4411" t="s">
        <v>3283</v>
      </c>
      <c r="B31" s="4412"/>
      <c r="C31" s="4412" t="s">
        <v>658</v>
      </c>
      <c r="D31" s="4412"/>
      <c r="E31" s="4411"/>
      <c r="F31" s="4410"/>
      <c r="G31" s="4410" t="s">
        <v>2307</v>
      </c>
      <c r="H31" s="4410"/>
    </row>
    <row r="32" spans="1:8" s="1404" customFormat="1">
      <c r="A32" s="3286"/>
      <c r="B32" s="3289"/>
      <c r="C32" s="3286"/>
      <c r="D32" s="3686"/>
      <c r="E32" s="3686"/>
      <c r="F32" s="3686"/>
      <c r="G32" s="3686"/>
      <c r="H32" s="3686"/>
    </row>
    <row r="33" spans="1:8" s="1404" customFormat="1">
      <c r="A33" s="3286"/>
      <c r="B33" s="3289"/>
      <c r="C33" s="3286"/>
      <c r="D33" s="3686"/>
      <c r="E33" s="3686"/>
      <c r="F33" s="3686"/>
      <c r="G33" s="3686"/>
      <c r="H33" s="3686"/>
    </row>
    <row r="34" spans="1:8" s="1404" customFormat="1">
      <c r="A34" s="3286"/>
      <c r="B34" s="3289"/>
      <c r="C34" s="3286"/>
      <c r="D34" s="3686"/>
      <c r="E34" s="3686"/>
      <c r="F34" s="3686"/>
      <c r="G34" s="3686"/>
      <c r="H34" s="3686"/>
    </row>
    <row r="35" spans="1:8" s="1404" customFormat="1">
      <c r="A35" s="3286"/>
      <c r="B35" s="3289"/>
      <c r="C35" s="3286"/>
      <c r="D35" s="3686"/>
      <c r="E35" s="3686"/>
      <c r="F35" s="3686"/>
      <c r="G35" s="3686"/>
      <c r="H35" s="3686"/>
    </row>
    <row r="36" spans="1:8" s="1404" customFormat="1">
      <c r="A36" s="3286"/>
      <c r="B36" s="3289"/>
      <c r="C36" s="3286"/>
      <c r="D36" s="3686"/>
      <c r="E36" s="3686"/>
      <c r="F36" s="3686"/>
      <c r="G36" s="3686"/>
      <c r="H36" s="3686"/>
    </row>
    <row r="37" spans="1:8" s="1404" customFormat="1">
      <c r="A37" s="3286"/>
      <c r="B37" s="3289"/>
      <c r="C37" s="3286"/>
      <c r="D37" s="3686"/>
      <c r="E37" s="3686"/>
      <c r="F37" s="3686"/>
      <c r="G37" s="3686"/>
      <c r="H37" s="3686"/>
    </row>
    <row r="38" spans="1:8" s="1404" customFormat="1">
      <c r="A38" s="3286"/>
      <c r="B38" s="3289"/>
      <c r="C38" s="3286"/>
      <c r="D38" s="3686"/>
      <c r="E38" s="3686"/>
      <c r="F38" s="3686"/>
      <c r="G38" s="3686"/>
      <c r="H38" s="3686"/>
    </row>
    <row r="39" spans="1:8" s="1404" customFormat="1">
      <c r="A39" s="3286"/>
      <c r="B39" s="3289"/>
      <c r="C39" s="3286"/>
      <c r="D39" s="3686"/>
      <c r="E39" s="3686"/>
      <c r="F39" s="3686"/>
      <c r="G39" s="3686"/>
      <c r="H39" s="3686"/>
    </row>
    <row r="40" spans="1:8" s="1404" customFormat="1">
      <c r="A40" s="3286"/>
      <c r="B40" s="3289"/>
      <c r="C40" s="3286"/>
      <c r="D40" s="3686"/>
      <c r="E40" s="3686"/>
      <c r="F40" s="3686"/>
      <c r="G40" s="3686"/>
      <c r="H40" s="3686"/>
    </row>
    <row r="41" spans="1:8" s="1404" customFormat="1">
      <c r="A41" s="3286"/>
      <c r="B41" s="3289"/>
      <c r="C41" s="3286"/>
      <c r="D41" s="3686"/>
      <c r="E41" s="3686"/>
      <c r="F41" s="3686"/>
      <c r="G41" s="3686"/>
      <c r="H41" s="3686"/>
    </row>
    <row r="42" spans="1:8" s="1404" customFormat="1">
      <c r="A42" s="3286"/>
      <c r="B42" s="3289"/>
      <c r="C42" s="3286"/>
      <c r="D42" s="3686"/>
      <c r="E42" s="3686"/>
      <c r="F42" s="3686"/>
      <c r="G42" s="3686"/>
      <c r="H42" s="3686"/>
    </row>
  </sheetData>
  <mergeCells count="5">
    <mergeCell ref="A5:H5"/>
    <mergeCell ref="A6:H6"/>
    <mergeCell ref="A7:H7"/>
    <mergeCell ref="A12:B15"/>
    <mergeCell ref="E12:G12"/>
  </mergeCells>
  <pageMargins left="0.5" right="0" top="0" bottom="0" header="0.25" footer="0"/>
  <pageSetup paperSize="5" orientation="portrait" verticalDpi="300" r:id="rId1"/>
  <headerFooter alignWithMargins="0"/>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 transitionEvaluation="1" transitionEntry="1">
    <tabColor rgb="FFFF0000"/>
    <outlinePr summaryBelow="0"/>
  </sheetPr>
  <dimension ref="A1:EI64"/>
  <sheetViews>
    <sheetView showGridLines="0" showOutlineSymbols="0" workbookViewId="0">
      <selection activeCell="H21" sqref="H21"/>
    </sheetView>
  </sheetViews>
  <sheetFormatPr defaultColWidth="12.5703125" defaultRowHeight="13.5" outlineLevelRow="2" outlineLevelCol="2"/>
  <cols>
    <col min="1" max="1" width="1.85546875" style="1403" customWidth="1"/>
    <col min="2" max="2" width="33.5703125" style="1403" customWidth="1"/>
    <col min="3" max="3" width="10" style="3593" customWidth="1"/>
    <col min="4" max="4" width="10.28515625" style="3160" customWidth="1"/>
    <col min="5" max="5" width="10.7109375" style="3160" customWidth="1"/>
    <col min="6" max="6" width="11" style="3160" customWidth="1"/>
    <col min="7" max="7" width="10.28515625" style="3160" customWidth="1"/>
    <col min="8" max="8" width="10.85546875" style="3160" customWidth="1"/>
    <col min="9" max="38" width="12.5703125" style="1403"/>
    <col min="39" max="43" width="12.5703125" style="1403" outlineLevel="1"/>
    <col min="44" max="49" width="12.5703125" style="1403" outlineLevel="2"/>
    <col min="50" max="52" width="12.5703125" style="1403" outlineLevel="1"/>
    <col min="53" max="72" width="12.5703125" style="1403"/>
    <col min="73" max="76" width="12.5703125" style="1403" outlineLevel="1"/>
    <col min="77" max="124" width="12.5703125" style="1403"/>
    <col min="125" max="130" width="12.5703125" style="1403" outlineLevel="1"/>
    <col min="131" max="136" width="12.5703125" style="1403" outlineLevel="2"/>
    <col min="137" max="139" width="12.5703125" style="1403" outlineLevel="1"/>
    <col min="140" max="16384" width="12.5703125" style="1403"/>
  </cols>
  <sheetData>
    <row r="1" spans="1:8" s="2473" customFormat="1" ht="12.75">
      <c r="A1" s="3226" t="s">
        <v>473</v>
      </c>
      <c r="C1" s="3593"/>
      <c r="D1" s="3593"/>
      <c r="E1" s="3226"/>
      <c r="F1" s="3226"/>
      <c r="G1" s="3226"/>
      <c r="H1" s="3226"/>
    </row>
    <row r="2" spans="1:8" s="2473" customFormat="1" ht="14.25" customHeight="1">
      <c r="A2" s="3221" t="s">
        <v>3314</v>
      </c>
      <c r="C2" s="3593"/>
      <c r="D2" s="3593"/>
      <c r="E2" s="3221"/>
      <c r="F2" s="3221"/>
      <c r="G2" s="3221"/>
      <c r="H2" s="3221"/>
    </row>
    <row r="3" spans="1:8" ht="14.25" customHeight="1">
      <c r="E3" s="4187"/>
      <c r="G3" s="4187"/>
      <c r="H3" s="4187"/>
    </row>
    <row r="4" spans="1:8" ht="14.25" customHeight="1">
      <c r="E4" s="4187"/>
      <c r="G4" s="4187"/>
      <c r="H4" s="4187"/>
    </row>
    <row r="5" spans="1:8" s="1390" customFormat="1" ht="14.25" customHeight="1">
      <c r="A5" s="4741" t="s">
        <v>471</v>
      </c>
      <c r="B5" s="4741"/>
      <c r="C5" s="4741"/>
      <c r="D5" s="4741"/>
      <c r="E5" s="4741"/>
      <c r="F5" s="4741"/>
      <c r="G5" s="4741"/>
      <c r="H5" s="4741"/>
    </row>
    <row r="6" spans="1:8" s="1390" customFormat="1" ht="14.25" customHeight="1">
      <c r="A6" s="4742" t="s">
        <v>746</v>
      </c>
      <c r="B6" s="4742"/>
      <c r="C6" s="4742"/>
      <c r="D6" s="4742"/>
      <c r="E6" s="4742"/>
      <c r="F6" s="4742"/>
      <c r="G6" s="4742"/>
      <c r="H6" s="4742"/>
    </row>
    <row r="7" spans="1:8" s="1390" customFormat="1" ht="14.25" customHeight="1">
      <c r="A7" s="2836"/>
      <c r="B7" s="1578"/>
      <c r="C7" s="1578"/>
      <c r="D7" s="1578"/>
      <c r="E7" s="1578"/>
      <c r="F7" s="1578"/>
      <c r="G7" s="1578"/>
      <c r="H7" s="2836"/>
    </row>
    <row r="8" spans="1:8" ht="14.25" customHeight="1">
      <c r="A8" s="4742"/>
      <c r="B8" s="4742"/>
      <c r="C8" s="4742"/>
      <c r="D8" s="4742"/>
      <c r="E8" s="4742"/>
      <c r="F8" s="4742"/>
      <c r="G8" s="4742"/>
      <c r="H8" s="4742"/>
    </row>
    <row r="9" spans="1:8" ht="14.25" customHeight="1">
      <c r="A9" s="3281" t="s">
        <v>3313</v>
      </c>
      <c r="B9" s="3281"/>
    </row>
    <row r="10" spans="1:8" ht="14.25" customHeight="1">
      <c r="A10" s="3281"/>
      <c r="B10" s="3281"/>
    </row>
    <row r="11" spans="1:8" ht="14.25" customHeight="1">
      <c r="A11" s="4942" t="s">
        <v>468</v>
      </c>
      <c r="B11" s="4943"/>
      <c r="C11" s="3220" t="s">
        <v>467</v>
      </c>
      <c r="D11" s="3220" t="s">
        <v>466</v>
      </c>
      <c r="E11" s="4948" t="s">
        <v>465</v>
      </c>
      <c r="F11" s="4949"/>
      <c r="G11" s="4950"/>
      <c r="H11" s="3220" t="s">
        <v>2345</v>
      </c>
    </row>
    <row r="12" spans="1:8" ht="14.25" customHeight="1">
      <c r="A12" s="4944"/>
      <c r="B12" s="4945"/>
      <c r="C12" s="3219" t="s">
        <v>463</v>
      </c>
      <c r="D12" s="3218">
        <v>2020</v>
      </c>
      <c r="E12" s="3218" t="s">
        <v>2344</v>
      </c>
      <c r="F12" s="3218" t="s">
        <v>2343</v>
      </c>
      <c r="G12" s="3218"/>
      <c r="H12" s="3218" t="s">
        <v>2342</v>
      </c>
    </row>
    <row r="13" spans="1:8" ht="14.25" customHeight="1">
      <c r="A13" s="4946"/>
      <c r="B13" s="4947"/>
      <c r="C13" s="3217"/>
      <c r="D13" s="3218"/>
      <c r="E13" s="3218" t="s">
        <v>2341</v>
      </c>
      <c r="F13" s="3218" t="s">
        <v>2341</v>
      </c>
      <c r="G13" s="3218" t="s">
        <v>244</v>
      </c>
      <c r="H13" s="3218" t="s">
        <v>652</v>
      </c>
    </row>
    <row r="14" spans="1:8" ht="20.100000000000001" customHeight="1">
      <c r="A14" s="3277"/>
      <c r="B14" s="3276"/>
      <c r="C14" s="3647"/>
      <c r="D14" s="4530" t="s">
        <v>460</v>
      </c>
      <c r="E14" s="4530" t="s">
        <v>460</v>
      </c>
      <c r="F14" s="4530" t="s">
        <v>459</v>
      </c>
      <c r="G14" s="4531"/>
      <c r="H14" s="4530" t="s">
        <v>458</v>
      </c>
    </row>
    <row r="15" spans="1:8" ht="20.100000000000001" customHeight="1">
      <c r="A15" s="3277" t="s">
        <v>456</v>
      </c>
      <c r="B15" s="3276"/>
      <c r="C15" s="4529"/>
      <c r="D15" s="4527"/>
      <c r="E15" s="4527"/>
      <c r="F15" s="4527"/>
      <c r="G15" s="4528"/>
      <c r="H15" s="4527"/>
    </row>
    <row r="16" spans="1:8" ht="20.100000000000001" customHeight="1">
      <c r="A16" s="3273" t="s">
        <v>455</v>
      </c>
      <c r="B16" s="3272"/>
      <c r="C16" s="4526"/>
      <c r="D16" s="4525">
        <f>SUM(D18:D37)</f>
        <v>1728465.71</v>
      </c>
      <c r="E16" s="4525">
        <f>SUM(E18:E37)</f>
        <v>737521.4</v>
      </c>
      <c r="F16" s="4525">
        <f>SUM(F18:F37)</f>
        <v>1677904.6</v>
      </c>
      <c r="G16" s="4525">
        <f>SUM(G18:G37)</f>
        <v>2415426</v>
      </c>
      <c r="H16" s="4525">
        <f>SUM(H18:H37)</f>
        <v>3165366</v>
      </c>
    </row>
    <row r="17" spans="1:10" ht="16.7" customHeight="1" outlineLevel="1">
      <c r="A17" s="5021" t="s">
        <v>454</v>
      </c>
      <c r="B17" s="5022"/>
      <c r="C17" s="3638"/>
      <c r="D17" s="4524"/>
      <c r="E17" s="4524"/>
      <c r="F17" s="4523"/>
      <c r="G17" s="4523"/>
      <c r="H17" s="4523"/>
    </row>
    <row r="18" spans="1:10" ht="16.7" customHeight="1" outlineLevel="1">
      <c r="A18" s="4438" t="s">
        <v>426</v>
      </c>
      <c r="B18" s="4420"/>
      <c r="C18" s="4521" t="s">
        <v>453</v>
      </c>
      <c r="D18" s="3694">
        <f>'[22]CED - PARKS AND PLAZA'!$F$13</f>
        <v>829246.95</v>
      </c>
      <c r="E18" s="1532">
        <f>'[23]CED - PARKS AND PLAZA'!$F$13</f>
        <v>465794.06999999995</v>
      </c>
      <c r="F18" s="1532">
        <f>G18-E18</f>
        <v>1038801.93</v>
      </c>
      <c r="G18" s="1427">
        <f>'[23]CED - PARKS AND PLAZA'!$D$13</f>
        <v>1504596</v>
      </c>
      <c r="H18" s="1427">
        <f>'[21]CEOPP-plantilla -FINAL '!$H$45</f>
        <v>1904712</v>
      </c>
      <c r="I18" s="1403">
        <f>H18*0.1</f>
        <v>190471.2</v>
      </c>
    </row>
    <row r="19" spans="1:10" ht="16.7" customHeight="1" outlineLevel="1">
      <c r="A19" s="4522" t="s">
        <v>452</v>
      </c>
      <c r="B19" s="4420"/>
      <c r="C19" s="4510"/>
      <c r="D19" s="3694"/>
      <c r="E19" s="1532"/>
      <c r="F19" s="1532"/>
      <c r="G19" s="1427"/>
      <c r="H19" s="1427"/>
    </row>
    <row r="20" spans="1:10" ht="16.7" customHeight="1" outlineLevel="1">
      <c r="A20" s="4438" t="s">
        <v>1507</v>
      </c>
      <c r="B20" s="4420"/>
      <c r="C20" s="4521" t="s">
        <v>450</v>
      </c>
      <c r="D20" s="3694">
        <f>'[22]CED - PARKS AND PLAZA'!$F$14</f>
        <v>124249.40000000001</v>
      </c>
      <c r="E20" s="1532">
        <f>'[23]CED - PARKS AND PLAZA'!$F$14</f>
        <v>84000</v>
      </c>
      <c r="F20" s="1532">
        <f>G20-E20</f>
        <v>108000</v>
      </c>
      <c r="G20" s="1427">
        <f>'[23]CED - PARKS AND PLAZA'!$D$14</f>
        <v>192000</v>
      </c>
      <c r="H20" s="1427">
        <f>'[21]CEOPP-plantilla -FINAL '!$B$41*2000*12</f>
        <v>264000</v>
      </c>
    </row>
    <row r="21" spans="1:10" ht="16.7" customHeight="1" outlineLevel="1">
      <c r="A21" s="4438" t="s">
        <v>445</v>
      </c>
      <c r="B21" s="4420"/>
      <c r="C21" s="4521" t="s">
        <v>2360</v>
      </c>
      <c r="D21" s="3694">
        <f>'[22]CED - PARKS AND PLAZA'!$F$15</f>
        <v>32000</v>
      </c>
      <c r="E21" s="1517">
        <f>'[23]CED - PARKS AND PLAZA'!$F$15</f>
        <v>36000</v>
      </c>
      <c r="F21" s="1532">
        <f>G21-E21</f>
        <v>12000</v>
      </c>
      <c r="G21" s="4422">
        <f>'[23]CED - PARKS AND PLAZA'!$D$15</f>
        <v>48000</v>
      </c>
      <c r="H21" s="4422">
        <f>'[21]CEOPP-plantilla -FINAL '!$B$41*6000</f>
        <v>66000</v>
      </c>
    </row>
    <row r="22" spans="1:10" ht="16.7" customHeight="1" outlineLevel="1">
      <c r="A22" s="4438" t="s">
        <v>1506</v>
      </c>
      <c r="B22" s="4420"/>
      <c r="C22" s="4510" t="s">
        <v>439</v>
      </c>
      <c r="D22" s="3694">
        <f>'[22]CED - PARKS AND PLAZA'!$F$16</f>
        <v>74438</v>
      </c>
      <c r="E22" s="1517">
        <f>'[23]CED - PARKS AND PLAZA'!$F$16</f>
        <v>0</v>
      </c>
      <c r="F22" s="1532">
        <f>G22-E22</f>
        <v>125383</v>
      </c>
      <c r="G22" s="4422">
        <f>'[23]CED - PARKS AND PLAZA'!$D$16</f>
        <v>125383</v>
      </c>
      <c r="H22" s="1532">
        <f>H18/12</f>
        <v>158726</v>
      </c>
      <c r="I22" s="1403">
        <f>H22*0.1</f>
        <v>15872.6</v>
      </c>
    </row>
    <row r="23" spans="1:10" ht="16.7" customHeight="1" outlineLevel="1">
      <c r="A23" s="4438" t="s">
        <v>2359</v>
      </c>
      <c r="B23" s="4420"/>
      <c r="C23" s="4510" t="s">
        <v>437</v>
      </c>
      <c r="D23" s="3694">
        <f>'[22]CED - PARKS AND PLAZA'!$F$17</f>
        <v>30000</v>
      </c>
      <c r="E23" s="4520">
        <f>'[23]CED - PARKS AND PLAZA'!$F$17</f>
        <v>0</v>
      </c>
      <c r="F23" s="1532">
        <f>G23-E23</f>
        <v>40000</v>
      </c>
      <c r="G23" s="4520">
        <f>'[23]CED - PARKS AND PLAZA'!$D$17</f>
        <v>40000</v>
      </c>
      <c r="H23" s="4519">
        <f>'[21]CEOPP-plantilla -FINAL '!$B$41*5000</f>
        <v>55000</v>
      </c>
    </row>
    <row r="24" spans="1:10" ht="16.7" customHeight="1" outlineLevel="1">
      <c r="A24" s="4424" t="s">
        <v>436</v>
      </c>
      <c r="B24" s="4420"/>
      <c r="C24" s="4510" t="s">
        <v>435</v>
      </c>
      <c r="D24" s="3694">
        <f>'[22]CED - PARKS AND PLAZA'!$F$18</f>
        <v>51114</v>
      </c>
      <c r="E24" s="4520">
        <f>'[23]CED - PARKS AND PLAZA'!$F$18</f>
        <v>77693</v>
      </c>
      <c r="F24" s="1532">
        <f>G24-E24</f>
        <v>47690</v>
      </c>
      <c r="G24" s="4520">
        <f>'[23]CED - PARKS AND PLAZA'!$D$18</f>
        <v>125383</v>
      </c>
      <c r="H24" s="4519">
        <f>H18/12</f>
        <v>158726</v>
      </c>
      <c r="I24" s="1403">
        <f>H24*0.1</f>
        <v>15872.6</v>
      </c>
    </row>
    <row r="25" spans="1:10" ht="16.7" customHeight="1" outlineLevel="1">
      <c r="A25" s="4424"/>
      <c r="B25" s="4517" t="s">
        <v>434</v>
      </c>
      <c r="C25" s="4505"/>
      <c r="D25" s="3694"/>
      <c r="E25" s="1517"/>
      <c r="F25" s="1532"/>
      <c r="G25" s="1517"/>
      <c r="H25" s="1532"/>
    </row>
    <row r="26" spans="1:10" ht="16.7" customHeight="1" outlineLevel="1">
      <c r="A26" s="4438" t="s">
        <v>421</v>
      </c>
      <c r="B26" s="4420"/>
      <c r="C26" s="4510" t="s">
        <v>433</v>
      </c>
      <c r="D26" s="3694">
        <f>'[22]CED - PARKS AND PLAZA'!$F$19</f>
        <v>99509.63</v>
      </c>
      <c r="E26" s="1517">
        <f>'[23]CED - PARKS AND PLAZA'!$F$19</f>
        <v>54895.289999999994</v>
      </c>
      <c r="F26" s="1532">
        <f>G26-E26</f>
        <v>125657.71</v>
      </c>
      <c r="G26" s="1517">
        <f>'[23]CED - PARKS AND PLAZA'!$D$19</f>
        <v>180553</v>
      </c>
      <c r="H26" s="1532">
        <v>228566</v>
      </c>
      <c r="I26" s="1403">
        <f>H26*0.1</f>
        <v>22856.600000000002</v>
      </c>
      <c r="J26" s="3636">
        <f>H18*0.12</f>
        <v>228565.44</v>
      </c>
    </row>
    <row r="27" spans="1:10" ht="16.7" customHeight="1" outlineLevel="1">
      <c r="A27" s="4438" t="s">
        <v>2358</v>
      </c>
      <c r="B27" s="4420"/>
      <c r="C27" s="4510" t="s">
        <v>431</v>
      </c>
      <c r="D27" s="3694">
        <f>'[22]CED - PARKS AND PLAZA'!$F$20</f>
        <v>7063.49</v>
      </c>
      <c r="E27" s="1517">
        <f>'[23]CED - PARKS AND PLAZA'!$F$20</f>
        <v>3600</v>
      </c>
      <c r="F27" s="1532">
        <f>G27-E27</f>
        <v>6000</v>
      </c>
      <c r="G27" s="1517">
        <f>'[23]CED - PARKS AND PLAZA'!$D$20</f>
        <v>9600</v>
      </c>
      <c r="H27" s="1532">
        <f>'[21]CEOPP-plantilla -FINAL '!$B$41*100*12</f>
        <v>13200</v>
      </c>
    </row>
    <row r="28" spans="1:10" ht="16.7" customHeight="1" outlineLevel="1">
      <c r="A28" s="4438" t="s">
        <v>418</v>
      </c>
      <c r="B28" s="4420"/>
      <c r="C28" s="4510" t="s">
        <v>430</v>
      </c>
      <c r="D28" s="3694">
        <f>'[22]CED - PARKS AND PLAZA'!$F$21</f>
        <v>12049.52</v>
      </c>
      <c r="E28" s="1517">
        <f>'[23]CED - PARKS AND PLAZA'!$F$21</f>
        <v>6939.04</v>
      </c>
      <c r="F28" s="1532">
        <f>G28-E28</f>
        <v>19391.96</v>
      </c>
      <c r="G28" s="1517">
        <f>'[23]CED - PARKS AND PLAZA'!$D$21</f>
        <v>26331</v>
      </c>
      <c r="H28" s="1532">
        <v>38095</v>
      </c>
      <c r="I28" s="4518">
        <f>H28*0.1</f>
        <v>3809.5</v>
      </c>
    </row>
    <row r="29" spans="1:10" ht="16.7" customHeight="1" outlineLevel="1">
      <c r="A29" s="4438" t="s">
        <v>428</v>
      </c>
      <c r="B29" s="4420"/>
      <c r="C29" s="4510" t="s">
        <v>427</v>
      </c>
      <c r="D29" s="3694">
        <f>'[22]CED - PARKS AND PLAZA'!$F$22</f>
        <v>6700</v>
      </c>
      <c r="E29" s="1517">
        <f>'[23]CED - PARKS AND PLAZA'!$F$22</f>
        <v>3600</v>
      </c>
      <c r="F29" s="1532">
        <f>G29-E29</f>
        <v>6000</v>
      </c>
      <c r="G29" s="1517">
        <f>'[23]CED - PARKS AND PLAZA'!$D$22</f>
        <v>9600</v>
      </c>
      <c r="H29" s="1532">
        <f>H27</f>
        <v>13200</v>
      </c>
      <c r="I29" s="1403">
        <f>SUM(I18:I28)</f>
        <v>248882.50000000003</v>
      </c>
    </row>
    <row r="30" spans="1:10" ht="16.7" customHeight="1" outlineLevel="1">
      <c r="A30" s="4424"/>
      <c r="B30" s="4517" t="s">
        <v>425</v>
      </c>
      <c r="C30" s="4505"/>
      <c r="D30" s="3694"/>
      <c r="E30" s="1517"/>
      <c r="F30" s="1532"/>
      <c r="G30" s="1517"/>
      <c r="H30" s="1532"/>
      <c r="I30" s="3636">
        <v>208141</v>
      </c>
    </row>
    <row r="31" spans="1:10" ht="16.7" customHeight="1" outlineLevel="1">
      <c r="A31" s="4438" t="s">
        <v>423</v>
      </c>
      <c r="B31" s="4420"/>
      <c r="C31" s="4505" t="s">
        <v>422</v>
      </c>
      <c r="D31" s="3694">
        <f>'[22]CED - PARKS AND PLAZA'!$F$23</f>
        <v>74821.91</v>
      </c>
      <c r="E31" s="1517">
        <f>'[23]CED - PARKS AND PLAZA'!$F$23</f>
        <v>0</v>
      </c>
      <c r="F31" s="1532">
        <f>G31-E31</f>
        <v>0</v>
      </c>
      <c r="G31" s="1517">
        <f>'[23]CED - PARKS AND PLAZA'!$D$23</f>
        <v>0</v>
      </c>
      <c r="H31" s="1532">
        <v>1000</v>
      </c>
    </row>
    <row r="32" spans="1:10" ht="16.7" customHeight="1" outlineLevel="1">
      <c r="A32" s="4438" t="s">
        <v>420</v>
      </c>
      <c r="B32" s="4420"/>
      <c r="C32" s="4505" t="s">
        <v>1996</v>
      </c>
      <c r="D32" s="3702">
        <f>'[22]CED - PARKS AND PLAZA'!$F$24</f>
        <v>340272.81</v>
      </c>
      <c r="E32" s="4513">
        <f>'[23]CED - PARKS AND PLAZA'!$F$24</f>
        <v>0</v>
      </c>
      <c r="F32" s="1532">
        <f>G32-E32</f>
        <v>107980</v>
      </c>
      <c r="G32" s="1517">
        <f>'[23]CED - PARKS AND PLAZA'!$D$24</f>
        <v>107980</v>
      </c>
      <c r="H32" s="4456">
        <f>I30</f>
        <v>208141</v>
      </c>
    </row>
    <row r="33" spans="1:9" ht="16.7" customHeight="1" outlineLevel="1">
      <c r="A33" s="4438" t="s">
        <v>417</v>
      </c>
      <c r="B33" s="4420"/>
      <c r="C33" s="4514" t="s">
        <v>2399</v>
      </c>
      <c r="D33" s="3702">
        <f>'[22]CED - PARKS AND PLAZA'!$F$25</f>
        <v>5000</v>
      </c>
      <c r="E33" s="4513">
        <f>'[23]CED - PARKS AND PLAZA'!$F$25</f>
        <v>5000</v>
      </c>
      <c r="F33" s="1532">
        <f>G33-E33</f>
        <v>0</v>
      </c>
      <c r="G33" s="1517">
        <f>'[23]CED - PARKS AND PLAZA'!$D$25</f>
        <v>5000</v>
      </c>
      <c r="H33" s="4456">
        <v>0</v>
      </c>
    </row>
    <row r="34" spans="1:9" ht="16.7" customHeight="1" outlineLevel="1">
      <c r="A34" s="4438" t="s">
        <v>414</v>
      </c>
      <c r="B34" s="4420"/>
      <c r="C34" s="4514" t="s">
        <v>2357</v>
      </c>
      <c r="D34" s="3702">
        <v>0</v>
      </c>
      <c r="E34" s="4513">
        <f>'[23]CED - PARKS AND PLAZA'!$F$26</f>
        <v>0</v>
      </c>
      <c r="F34" s="1532">
        <f>G34-E34</f>
        <v>1000</v>
      </c>
      <c r="G34" s="1517">
        <f>'[23]CED - PARKS AND PLAZA'!$D$26</f>
        <v>1000</v>
      </c>
      <c r="H34" s="1532">
        <v>1000</v>
      </c>
    </row>
    <row r="35" spans="1:9" ht="16.7" customHeight="1" outlineLevel="1">
      <c r="A35" s="4515" t="s">
        <v>2356</v>
      </c>
      <c r="B35" s="4507"/>
      <c r="C35" s="4514"/>
      <c r="D35" s="3702"/>
      <c r="E35" s="4513"/>
      <c r="F35" s="1532"/>
      <c r="G35" s="1517"/>
      <c r="H35" s="1532"/>
    </row>
    <row r="36" spans="1:9" ht="16.7" customHeight="1" outlineLevel="1">
      <c r="A36" s="4424"/>
      <c r="B36" s="4420" t="s">
        <v>1688</v>
      </c>
      <c r="C36" s="4514" t="s">
        <v>2355</v>
      </c>
      <c r="D36" s="3702">
        <f>'[22]CED - PARKS AND PLAZA'!$F$27</f>
        <v>30000</v>
      </c>
      <c r="E36" s="4513">
        <f>'[23]CED - PARKS AND PLAZA'!$F$27</f>
        <v>0</v>
      </c>
      <c r="F36" s="1532">
        <f>G36-E36</f>
        <v>40000</v>
      </c>
      <c r="G36" s="1517">
        <f>'[23]CED - PARKS AND PLAZA'!$D$27</f>
        <v>40000</v>
      </c>
      <c r="H36" s="1532">
        <f>'[21]CEOPP-plantilla -FINAL '!$B$41*5000</f>
        <v>55000</v>
      </c>
      <c r="I36" s="4516"/>
    </row>
    <row r="37" spans="1:9" ht="16.7" customHeight="1" outlineLevel="1">
      <c r="A37" s="4515" t="s">
        <v>409</v>
      </c>
      <c r="B37" s="4420"/>
      <c r="C37" s="4514" t="s">
        <v>2718</v>
      </c>
      <c r="D37" s="3702">
        <f>'[22]CED - PARKS AND PLAZA'!$F$28</f>
        <v>12000</v>
      </c>
      <c r="E37" s="4513">
        <v>0</v>
      </c>
      <c r="F37" s="1532">
        <f>G37-E37</f>
        <v>0</v>
      </c>
      <c r="G37" s="4512">
        <v>0</v>
      </c>
      <c r="H37" s="3142">
        <v>0</v>
      </c>
    </row>
    <row r="38" spans="1:9" s="2994" customFormat="1" ht="20.100000000000001" customHeight="1" outlineLevel="1">
      <c r="A38" s="3699" t="s">
        <v>407</v>
      </c>
      <c r="B38" s="4511"/>
      <c r="C38" s="3703"/>
      <c r="D38" s="2598">
        <f>SUM(D39:D46)</f>
        <v>1331438.1100000001</v>
      </c>
      <c r="E38" s="2598">
        <f>SUM(E39:E46)</f>
        <v>680630.78</v>
      </c>
      <c r="F38" s="2598">
        <f>SUM(F39:F46)</f>
        <v>1263926.2200000002</v>
      </c>
      <c r="G38" s="2598">
        <f>SUM(G39:G46)</f>
        <v>1944557</v>
      </c>
      <c r="H38" s="2598">
        <f>SUM(H39:H46)</f>
        <v>1504880</v>
      </c>
    </row>
    <row r="39" spans="1:9" s="1422" customFormat="1" ht="16.7" customHeight="1" outlineLevel="1">
      <c r="A39" s="4438" t="s">
        <v>402</v>
      </c>
      <c r="B39" s="4437"/>
      <c r="C39" s="4505" t="s">
        <v>401</v>
      </c>
      <c r="D39" s="3702">
        <f>'[22]CED - PARKS AND PLAZA'!$F$30</f>
        <v>14475.470000000001</v>
      </c>
      <c r="E39" s="1448">
        <f>'[23]CED - PARKS AND PLAZA'!$F$29</f>
        <v>9588.08</v>
      </c>
      <c r="F39" s="1532">
        <f t="shared" ref="F39:F46" si="0">G39-E39</f>
        <v>15411.92</v>
      </c>
      <c r="G39" s="4200">
        <f>'[23]CED - PARKS AND PLAZA'!$D$29</f>
        <v>25000</v>
      </c>
      <c r="H39" s="1427">
        <f>'[25]PARKS AND PLAZAS'!$H$12</f>
        <v>25000</v>
      </c>
    </row>
    <row r="40" spans="1:9" s="1422" customFormat="1" ht="16.7" customHeight="1" outlineLevel="1">
      <c r="A40" s="4438" t="s">
        <v>674</v>
      </c>
      <c r="B40" s="4420"/>
      <c r="C40" s="4505" t="s">
        <v>396</v>
      </c>
      <c r="D40" s="3694">
        <f>'[22]CED - PARKS AND PLAZA'!$F$31</f>
        <v>43498.5</v>
      </c>
      <c r="E40" s="1473">
        <f>'[23]CED - PARKS AND PLAZA'!$F$30</f>
        <v>22583.4</v>
      </c>
      <c r="F40" s="1532">
        <f t="shared" si="0"/>
        <v>132416.6</v>
      </c>
      <c r="G40" s="4200">
        <f>'[23]CED - PARKS AND PLAZA'!$D$30</f>
        <v>155000</v>
      </c>
      <c r="H40" s="1427">
        <f>'[25]PARKS AND PLAZAS'!$H$13</f>
        <v>200000</v>
      </c>
    </row>
    <row r="41" spans="1:9" s="1422" customFormat="1" ht="16.7" customHeight="1" outlineLevel="1">
      <c r="A41" s="4438" t="s">
        <v>878</v>
      </c>
      <c r="B41" s="4420"/>
      <c r="C41" s="4505" t="s">
        <v>394</v>
      </c>
      <c r="D41" s="3694">
        <f>'[22]CED - PARKS AND PLAZA'!$F$32</f>
        <v>3270</v>
      </c>
      <c r="E41" s="1427">
        <f>'[23]CED - PARKS AND PLAZA'!$F$31</f>
        <v>0</v>
      </c>
      <c r="F41" s="1532">
        <f t="shared" si="0"/>
        <v>5000</v>
      </c>
      <c r="G41" s="4200">
        <f>'[23]CED - PARKS AND PLAZA'!$D$31</f>
        <v>5000</v>
      </c>
      <c r="H41" s="1427">
        <f>'[25]PARKS AND PLAZAS'!$H$14</f>
        <v>5000</v>
      </c>
    </row>
    <row r="42" spans="1:9" s="1422" customFormat="1" ht="16.7" customHeight="1" outlineLevel="1">
      <c r="A42" s="4438" t="s">
        <v>673</v>
      </c>
      <c r="B42" s="4420"/>
      <c r="C42" s="4505" t="s">
        <v>1269</v>
      </c>
      <c r="D42" s="3694">
        <f>'[22]CED - PARKS AND PLAZA'!$F$33</f>
        <v>22902.15</v>
      </c>
      <c r="E42" s="1427">
        <f>'[23]CED - PARKS AND PLAZA'!$F$32</f>
        <v>11180.299999999996</v>
      </c>
      <c r="F42" s="1532">
        <f t="shared" si="0"/>
        <v>68819.700000000012</v>
      </c>
      <c r="G42" s="4200">
        <f>'[23]CED - PARKS AND PLAZA'!$D$32</f>
        <v>80000</v>
      </c>
      <c r="H42" s="1427">
        <f>'[25]PARKS AND PLAZAS'!$H$15</f>
        <v>40000</v>
      </c>
    </row>
    <row r="43" spans="1:9" s="1422" customFormat="1" ht="16.7" customHeight="1" outlineLevel="1">
      <c r="A43" s="4438" t="s">
        <v>391</v>
      </c>
      <c r="B43" s="4420"/>
      <c r="C43" s="4510" t="s">
        <v>390</v>
      </c>
      <c r="D43" s="3694">
        <f>'[22]CED - PARKS AND PLAZA'!$F$34</f>
        <v>7926.24</v>
      </c>
      <c r="E43" s="1427">
        <f>'[23]CED - PARKS AND PLAZA'!$F$33</f>
        <v>3302.6</v>
      </c>
      <c r="F43" s="1532">
        <f t="shared" si="0"/>
        <v>4697.3999999999996</v>
      </c>
      <c r="G43" s="4200">
        <f>'[23]CED - PARKS AND PLAZA'!$D$33</f>
        <v>8000</v>
      </c>
      <c r="H43" s="1427">
        <f>'[25]PARKS AND PLAZAS'!$H$16</f>
        <v>8000</v>
      </c>
    </row>
    <row r="44" spans="1:9" s="1422" customFormat="1" ht="16.7" customHeight="1" outlineLevel="1">
      <c r="A44" s="4508" t="s">
        <v>3312</v>
      </c>
      <c r="B44" s="4420"/>
      <c r="C44" s="4505" t="s">
        <v>1947</v>
      </c>
      <c r="D44" s="3694">
        <f>'[22]CED - PARKS AND PLAZA'!$F$35</f>
        <v>1163560.75</v>
      </c>
      <c r="E44" s="1427">
        <f>'[23]CED - PARKS AND PLAZA'!$F$34</f>
        <v>626670</v>
      </c>
      <c r="F44" s="1532">
        <f t="shared" si="0"/>
        <v>920430</v>
      </c>
      <c r="G44" s="4200">
        <f>'[23]CED - PARKS AND PLAZA'!$D$34</f>
        <v>1547100</v>
      </c>
      <c r="H44" s="4509">
        <f>'[25]PARKS AND PLAZAS'!$H$17</f>
        <v>1182600</v>
      </c>
    </row>
    <row r="45" spans="1:9" s="1422" customFormat="1" ht="16.7" customHeight="1" outlineLevel="1">
      <c r="A45" s="4508" t="s">
        <v>3311</v>
      </c>
      <c r="B45" s="4507"/>
      <c r="C45" s="4506" t="s">
        <v>1934</v>
      </c>
      <c r="D45" s="3694">
        <f>'[22]CED - PARKS AND PLAZA'!$F$36</f>
        <v>71347</v>
      </c>
      <c r="E45" s="1427">
        <f>'[23]CED - PARKS AND PLAZA'!$F$35</f>
        <v>6500</v>
      </c>
      <c r="F45" s="1532">
        <f t="shared" si="0"/>
        <v>103677</v>
      </c>
      <c r="G45" s="4200">
        <f>'[23]CED - PARKS AND PLAZA'!$D$35</f>
        <v>110177</v>
      </c>
      <c r="H45" s="1427">
        <f>'[25]PARKS AND PLAZAS'!$H$18</f>
        <v>30000</v>
      </c>
    </row>
    <row r="46" spans="1:9" s="1422" customFormat="1" ht="16.7" customHeight="1" outlineLevel="1">
      <c r="A46" s="4438" t="s">
        <v>368</v>
      </c>
      <c r="B46" s="4420"/>
      <c r="C46" s="4505" t="s">
        <v>367</v>
      </c>
      <c r="D46" s="3694">
        <f>'[22]CED - PARKS AND PLAZA'!$F$37</f>
        <v>4458</v>
      </c>
      <c r="E46" s="1427">
        <f>'[23]CED - PARKS AND PLAZA'!$F$36</f>
        <v>806.4</v>
      </c>
      <c r="F46" s="1532">
        <f t="shared" si="0"/>
        <v>13473.6</v>
      </c>
      <c r="G46" s="4200">
        <f>'[23]CED - PARKS AND PLAZA'!$D$36</f>
        <v>14280</v>
      </c>
      <c r="H46" s="1427">
        <f>'[25]PARKS AND PLAZAS'!$H$19</f>
        <v>14280</v>
      </c>
    </row>
    <row r="47" spans="1:9" ht="20.100000000000001" customHeight="1" outlineLevel="2" thickBot="1">
      <c r="A47" s="4504"/>
      <c r="B47" s="4503" t="s">
        <v>366</v>
      </c>
      <c r="C47" s="3598"/>
      <c r="D47" s="3690">
        <f>D16+D38</f>
        <v>3059903.8200000003</v>
      </c>
      <c r="E47" s="3690">
        <f>E16+E38</f>
        <v>1418152.1800000002</v>
      </c>
      <c r="F47" s="3690">
        <f>F16+F38</f>
        <v>2941830.8200000003</v>
      </c>
      <c r="G47" s="3690">
        <f>G16+G38</f>
        <v>4359983</v>
      </c>
      <c r="H47" s="3690">
        <f>H16+H38</f>
        <v>4670246</v>
      </c>
    </row>
    <row r="48" spans="1:9" ht="20.100000000000001" customHeight="1" outlineLevel="2" thickTop="1">
      <c r="A48" s="2727"/>
      <c r="B48" s="2727"/>
      <c r="C48" s="3688"/>
      <c r="D48" s="3687"/>
      <c r="E48" s="3687"/>
      <c r="F48" s="3687"/>
      <c r="G48" s="3687"/>
      <c r="H48" s="3687"/>
    </row>
    <row r="49" spans="1:19" ht="20.100000000000001" customHeight="1" outlineLevel="2">
      <c r="A49" s="2727"/>
      <c r="B49" s="2727"/>
      <c r="C49" s="3688"/>
      <c r="D49" s="3687"/>
      <c r="E49" s="3687"/>
      <c r="F49" s="3687"/>
      <c r="G49" s="3687"/>
      <c r="H49" s="3687"/>
    </row>
    <row r="50" spans="1:19" s="4498" customFormat="1" ht="14.25" customHeight="1">
      <c r="A50" s="3175" t="s">
        <v>2312</v>
      </c>
      <c r="B50" s="4502"/>
      <c r="C50" s="4502"/>
      <c r="D50" s="4502"/>
      <c r="E50" s="4501"/>
      <c r="F50" s="4501"/>
      <c r="G50" s="4501" t="s">
        <v>2311</v>
      </c>
      <c r="H50" s="4501"/>
      <c r="I50" s="2233"/>
      <c r="J50" s="2255"/>
      <c r="K50" s="2255"/>
      <c r="L50" s="2255"/>
      <c r="M50" s="2255"/>
      <c r="N50" s="2255"/>
      <c r="O50" s="2255"/>
      <c r="P50" s="2255"/>
      <c r="Q50" s="2255"/>
      <c r="R50" s="2255"/>
      <c r="S50" s="2255"/>
    </row>
    <row r="51" spans="1:19" s="4498" customFormat="1" ht="11.25" customHeight="1">
      <c r="A51" s="4501"/>
      <c r="B51" s="4502"/>
      <c r="C51" s="4502"/>
      <c r="D51" s="4502"/>
      <c r="E51" s="4501"/>
      <c r="F51" s="4501"/>
      <c r="G51" s="4501"/>
      <c r="H51" s="4501"/>
      <c r="I51" s="2233"/>
      <c r="J51" s="2255"/>
      <c r="K51" s="2255"/>
      <c r="L51" s="2255"/>
      <c r="M51" s="2255"/>
      <c r="N51" s="2255"/>
      <c r="O51" s="2255"/>
      <c r="P51" s="2255"/>
      <c r="Q51" s="2255"/>
      <c r="R51" s="2255"/>
      <c r="S51" s="2255"/>
    </row>
    <row r="52" spans="1:19" s="4498" customFormat="1" ht="6" customHeight="1">
      <c r="A52" s="4501"/>
      <c r="B52" s="4502"/>
      <c r="C52" s="4502"/>
      <c r="D52" s="4502"/>
      <c r="E52" s="4501"/>
      <c r="F52" s="4501"/>
      <c r="G52" s="4501"/>
      <c r="H52" s="4501"/>
      <c r="I52" s="2233"/>
      <c r="J52" s="2255"/>
      <c r="K52" s="2255"/>
      <c r="L52" s="2255"/>
      <c r="M52" s="2255"/>
      <c r="N52" s="2255"/>
      <c r="O52" s="2255"/>
      <c r="P52" s="2255"/>
      <c r="Q52" s="2255"/>
      <c r="R52" s="2255"/>
      <c r="S52" s="2255"/>
    </row>
    <row r="53" spans="1:19" s="4498" customFormat="1" ht="14.25" customHeight="1">
      <c r="A53" s="3172" t="s">
        <v>2364</v>
      </c>
      <c r="B53" s="3167"/>
      <c r="C53" s="4415" t="s">
        <v>2309</v>
      </c>
      <c r="D53" s="4411"/>
      <c r="E53" s="4500"/>
      <c r="F53" s="4500"/>
      <c r="G53" s="4413" t="s">
        <v>359</v>
      </c>
      <c r="H53" s="4500"/>
      <c r="I53" s="2233"/>
      <c r="J53" s="2255"/>
      <c r="K53" s="2255"/>
      <c r="L53" s="2255"/>
      <c r="M53" s="2255"/>
      <c r="N53" s="2255"/>
      <c r="O53" s="2255"/>
      <c r="P53" s="2255"/>
      <c r="Q53" s="2255"/>
      <c r="R53" s="2255"/>
      <c r="S53" s="2255"/>
    </row>
    <row r="54" spans="1:19" s="4498" customFormat="1" ht="14.25" customHeight="1">
      <c r="A54" s="3168" t="s">
        <v>2363</v>
      </c>
      <c r="B54" s="3167"/>
      <c r="C54" s="4412" t="s">
        <v>2308</v>
      </c>
      <c r="D54" s="4411"/>
      <c r="E54" s="4499"/>
      <c r="F54" s="4499"/>
      <c r="G54" s="4410" t="s">
        <v>2307</v>
      </c>
      <c r="H54" s="4499"/>
      <c r="I54" s="2233"/>
      <c r="J54" s="2255"/>
      <c r="K54" s="2255"/>
      <c r="L54" s="2255"/>
      <c r="M54" s="2255"/>
      <c r="N54" s="2255"/>
      <c r="O54" s="2255"/>
      <c r="P54" s="2255"/>
      <c r="Q54" s="2255"/>
      <c r="R54" s="2255"/>
      <c r="S54" s="2255"/>
    </row>
    <row r="55" spans="1:19" s="1404" customFormat="1">
      <c r="B55" s="2236"/>
      <c r="C55" s="3595"/>
      <c r="D55" s="3686"/>
      <c r="E55" s="3686"/>
      <c r="F55" s="3686"/>
      <c r="G55" s="3686"/>
      <c r="H55" s="3686"/>
    </row>
    <row r="56" spans="1:19" s="1404" customFormat="1">
      <c r="B56" s="2236"/>
      <c r="C56" s="3595"/>
      <c r="D56" s="3686"/>
      <c r="E56" s="3686"/>
      <c r="F56" s="3686"/>
      <c r="G56" s="3686"/>
      <c r="H56" s="3686"/>
    </row>
    <row r="57" spans="1:19" s="1404" customFormat="1">
      <c r="B57" s="2236"/>
      <c r="C57" s="3595"/>
      <c r="D57" s="3686"/>
      <c r="E57" s="3686"/>
      <c r="F57" s="3686"/>
      <c r="G57" s="3686"/>
      <c r="H57" s="3686"/>
    </row>
    <row r="58" spans="1:19" s="1404" customFormat="1">
      <c r="B58" s="2236"/>
      <c r="C58" s="3595"/>
      <c r="D58" s="3686"/>
      <c r="E58" s="3686"/>
      <c r="F58" s="3686"/>
      <c r="G58" s="3686"/>
      <c r="H58" s="3686"/>
    </row>
    <row r="59" spans="1:19" s="1404" customFormat="1">
      <c r="B59" s="2236"/>
      <c r="C59" s="3595"/>
      <c r="D59" s="3686"/>
      <c r="E59" s="3686"/>
      <c r="F59" s="3686"/>
      <c r="G59" s="3686"/>
      <c r="H59" s="3686"/>
    </row>
    <row r="60" spans="1:19" s="1404" customFormat="1">
      <c r="B60" s="2236"/>
      <c r="C60" s="3595"/>
      <c r="D60" s="3686"/>
      <c r="E60" s="3686"/>
      <c r="F60" s="3686"/>
      <c r="G60" s="3686"/>
      <c r="H60" s="3686"/>
    </row>
    <row r="61" spans="1:19" s="1404" customFormat="1">
      <c r="B61" s="2236"/>
      <c r="C61" s="3595"/>
      <c r="D61" s="3686"/>
      <c r="E61" s="3686"/>
      <c r="F61" s="3686"/>
      <c r="G61" s="3686"/>
      <c r="H61" s="3686"/>
    </row>
    <row r="62" spans="1:19" s="1404" customFormat="1">
      <c r="B62" s="2236"/>
      <c r="C62" s="3595"/>
      <c r="D62" s="3686"/>
      <c r="E62" s="3686"/>
      <c r="F62" s="3686"/>
      <c r="G62" s="3686"/>
      <c r="H62" s="3686"/>
    </row>
    <row r="63" spans="1:19" s="1404" customFormat="1">
      <c r="B63" s="2236"/>
      <c r="C63" s="3595"/>
      <c r="D63" s="3686"/>
      <c r="E63" s="3686"/>
      <c r="F63" s="3686"/>
      <c r="G63" s="3686"/>
      <c r="H63" s="3686"/>
    </row>
    <row r="64" spans="1:19" s="1404" customFormat="1">
      <c r="B64" s="2236"/>
      <c r="C64" s="3595"/>
      <c r="D64" s="3686"/>
      <c r="E64" s="3686"/>
      <c r="F64" s="3686"/>
      <c r="G64" s="3686"/>
      <c r="H64" s="3686"/>
    </row>
  </sheetData>
  <mergeCells count="6">
    <mergeCell ref="A17:B17"/>
    <mergeCell ref="A5:H5"/>
    <mergeCell ref="A6:H6"/>
    <mergeCell ref="A8:H8"/>
    <mergeCell ref="A11:B13"/>
    <mergeCell ref="E11:G11"/>
  </mergeCells>
  <pageMargins left="0.5" right="0" top="0" bottom="0" header="0.5" footer="0"/>
  <pageSetup paperSize="5" orientation="portrait" verticalDpi="300" r:id="rId1"/>
  <headerFooter alignWithMargins="0"/>
  <legacy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F22" transitionEvaluation="1" transitionEntry="1">
    <tabColor rgb="FFFFC000"/>
    <outlinePr summaryBelow="0"/>
  </sheetPr>
  <dimension ref="A1:EU104"/>
  <sheetViews>
    <sheetView showGridLines="0" showOutlineSymbols="0" workbookViewId="0">
      <pane xSplit="5" ySplit="13" topLeftCell="F22" activePane="bottomRight" state="frozen"/>
      <selection pane="topRight" activeCell="C1" sqref="C1"/>
      <selection pane="bottomLeft" activeCell="A9" sqref="A9"/>
      <selection pane="bottomRight" activeCell="J43" sqref="J43"/>
    </sheetView>
  </sheetViews>
  <sheetFormatPr defaultColWidth="12.5703125" defaultRowHeight="13.5" outlineLevelRow="2" outlineLevelCol="2"/>
  <cols>
    <col min="1" max="1" width="4" style="3160" customWidth="1"/>
    <col min="2" max="2" width="12.140625" style="3160" customWidth="1"/>
    <col min="3" max="4" width="1.85546875" style="3160" customWidth="1"/>
    <col min="5" max="5" width="20" style="3160" customWidth="1"/>
    <col min="6" max="6" width="9.7109375" style="3593" customWidth="1"/>
    <col min="7" max="7" width="10.42578125" style="3160" customWidth="1"/>
    <col min="8" max="8" width="9.85546875" style="3160" customWidth="1"/>
    <col min="9" max="9" width="10.28515625" style="3160" customWidth="1"/>
    <col min="10" max="11" width="10.42578125" style="3160" customWidth="1"/>
    <col min="12" max="12" width="14.140625" style="3160" customWidth="1"/>
    <col min="13" max="13" width="12.5703125" style="2609"/>
    <col min="14" max="15" width="12.5703125" style="3160"/>
    <col min="16" max="16" width="13.85546875" style="3160" bestFit="1" customWidth="1"/>
    <col min="17" max="50" width="12.5703125" style="3160"/>
    <col min="51" max="55" width="12.5703125" style="3160" outlineLevel="1"/>
    <col min="56" max="61" width="12.5703125" style="3160" outlineLevel="2"/>
    <col min="62" max="64" width="12.5703125" style="3160" outlineLevel="1"/>
    <col min="65" max="84" width="12.5703125" style="3160"/>
    <col min="85" max="88" width="12.5703125" style="3160" outlineLevel="1"/>
    <col min="89" max="136" width="12.5703125" style="3160"/>
    <col min="137" max="142" width="12.5703125" style="3160" outlineLevel="1"/>
    <col min="143" max="148" width="12.5703125" style="3160" outlineLevel="2"/>
    <col min="149" max="151" width="12.5703125" style="3160" outlineLevel="1"/>
    <col min="152" max="16384" width="12.5703125" style="3160"/>
  </cols>
  <sheetData>
    <row r="1" spans="1:18" ht="12" customHeight="1">
      <c r="A1" s="3226" t="s">
        <v>473</v>
      </c>
      <c r="D1" s="3226"/>
      <c r="H1" s="4434"/>
      <c r="I1" s="4434"/>
      <c r="J1" s="4434"/>
      <c r="K1" s="4434"/>
    </row>
    <row r="2" spans="1:18" ht="12" customHeight="1">
      <c r="A2" s="3221" t="s">
        <v>3346</v>
      </c>
      <c r="D2" s="3221"/>
      <c r="H2" s="4187"/>
      <c r="I2" s="4187"/>
      <c r="J2" s="4187"/>
      <c r="K2" s="4187"/>
    </row>
    <row r="3" spans="1:18" ht="12" customHeight="1">
      <c r="A3" s="3221"/>
      <c r="D3" s="3221"/>
      <c r="H3" s="4187"/>
      <c r="I3" s="4187"/>
      <c r="J3" s="4187"/>
      <c r="K3" s="4187"/>
    </row>
    <row r="4" spans="1:18" ht="12" customHeight="1">
      <c r="A4" s="3221"/>
      <c r="D4" s="3221"/>
      <c r="H4" s="4187"/>
      <c r="I4" s="4187"/>
      <c r="J4" s="4187"/>
      <c r="K4" s="4187"/>
    </row>
    <row r="5" spans="1:18" ht="12.75" customHeight="1">
      <c r="A5" s="4940" t="s">
        <v>471</v>
      </c>
      <c r="B5" s="4940"/>
      <c r="C5" s="4940"/>
      <c r="D5" s="4940"/>
      <c r="E5" s="4940"/>
      <c r="F5" s="4940"/>
      <c r="G5" s="4940"/>
      <c r="H5" s="4940"/>
      <c r="I5" s="4940"/>
      <c r="J5" s="4940"/>
      <c r="K5" s="4940"/>
    </row>
    <row r="6" spans="1:18" ht="13.5" customHeight="1">
      <c r="A6" s="4941" t="s">
        <v>746</v>
      </c>
      <c r="B6" s="4941"/>
      <c r="C6" s="4941"/>
      <c r="D6" s="4941"/>
      <c r="E6" s="4941"/>
      <c r="F6" s="4941"/>
      <c r="G6" s="4941"/>
      <c r="H6" s="4941"/>
      <c r="I6" s="4941"/>
      <c r="J6" s="4941"/>
      <c r="K6" s="4941"/>
    </row>
    <row r="7" spans="1:18" ht="13.5" customHeight="1">
      <c r="C7" s="3283"/>
      <c r="D7" s="3283"/>
      <c r="E7" s="3283"/>
      <c r="F7" s="3283"/>
      <c r="G7" s="3283"/>
      <c r="H7" s="3283"/>
      <c r="I7" s="3283"/>
      <c r="J7" s="3283"/>
      <c r="K7" s="3283"/>
    </row>
    <row r="8" spans="1:18" ht="13.5" customHeight="1">
      <c r="A8" s="3281" t="s">
        <v>3345</v>
      </c>
      <c r="C8" s="3648"/>
      <c r="D8" s="3648"/>
    </row>
    <row r="9" spans="1:18" ht="13.5" customHeight="1">
      <c r="C9" s="3648"/>
      <c r="D9" s="3648"/>
      <c r="E9" s="3281"/>
    </row>
    <row r="10" spans="1:18" ht="14.25" customHeight="1">
      <c r="A10" s="4599" t="s">
        <v>3344</v>
      </c>
      <c r="B10" s="4589"/>
      <c r="C10" s="4942" t="s">
        <v>3343</v>
      </c>
      <c r="D10" s="5023"/>
      <c r="E10" s="4943"/>
      <c r="F10" s="3220" t="s">
        <v>467</v>
      </c>
      <c r="G10" s="3220" t="s">
        <v>466</v>
      </c>
      <c r="H10" s="4948" t="s">
        <v>465</v>
      </c>
      <c r="I10" s="4949"/>
      <c r="J10" s="4950"/>
      <c r="K10" s="3220" t="s">
        <v>2345</v>
      </c>
      <c r="L10" s="4598"/>
      <c r="N10" s="4561" t="s">
        <v>429</v>
      </c>
      <c r="O10" s="3161"/>
      <c r="P10" s="3161"/>
      <c r="Q10" s="4597" t="s">
        <v>651</v>
      </c>
      <c r="R10" s="4597" t="s">
        <v>457</v>
      </c>
    </row>
    <row r="11" spans="1:18" ht="14.25" customHeight="1">
      <c r="A11" s="4596" t="s">
        <v>3342</v>
      </c>
      <c r="B11" s="4595" t="s">
        <v>3341</v>
      </c>
      <c r="C11" s="4944"/>
      <c r="D11" s="5024"/>
      <c r="E11" s="4945"/>
      <c r="F11" s="3219" t="s">
        <v>463</v>
      </c>
      <c r="G11" s="3218" t="s">
        <v>573</v>
      </c>
      <c r="H11" s="3218" t="s">
        <v>2344</v>
      </c>
      <c r="I11" s="3218" t="s">
        <v>2343</v>
      </c>
      <c r="J11" s="3218"/>
      <c r="K11" s="3218" t="s">
        <v>2342</v>
      </c>
      <c r="L11" s="4453"/>
      <c r="N11" s="4594" t="s">
        <v>426</v>
      </c>
      <c r="O11" s="3161"/>
      <c r="P11" s="3161"/>
      <c r="Q11" s="3161">
        <f>L17</f>
        <v>0</v>
      </c>
      <c r="R11" s="3161"/>
    </row>
    <row r="12" spans="1:18" ht="14.25" customHeight="1">
      <c r="A12" s="4593" t="s">
        <v>463</v>
      </c>
      <c r="B12" s="4592"/>
      <c r="C12" s="4944"/>
      <c r="D12" s="5024"/>
      <c r="E12" s="4945"/>
      <c r="F12" s="3219"/>
      <c r="G12" s="3218"/>
      <c r="H12" s="3218" t="s">
        <v>2341</v>
      </c>
      <c r="I12" s="3218" t="s">
        <v>2341</v>
      </c>
      <c r="J12" s="3218" t="s">
        <v>244</v>
      </c>
      <c r="K12" s="3218" t="s">
        <v>652</v>
      </c>
      <c r="L12" s="4453"/>
      <c r="N12" s="4551" t="s">
        <v>424</v>
      </c>
      <c r="O12" s="3161"/>
      <c r="P12" s="3161"/>
      <c r="Q12" s="3161" t="e">
        <f>#REF!</f>
        <v>#REF!</v>
      </c>
      <c r="R12" s="3161"/>
    </row>
    <row r="13" spans="1:18" ht="12" customHeight="1">
      <c r="A13" s="4589"/>
      <c r="B13" s="4520"/>
      <c r="C13" s="4946"/>
      <c r="D13" s="5025"/>
      <c r="E13" s="4947"/>
      <c r="F13" s="3217"/>
      <c r="G13" s="3215" t="s">
        <v>460</v>
      </c>
      <c r="H13" s="3215" t="s">
        <v>460</v>
      </c>
      <c r="I13" s="3215" t="s">
        <v>459</v>
      </c>
      <c r="J13" s="3216"/>
      <c r="K13" s="3215" t="s">
        <v>458</v>
      </c>
      <c r="L13" s="4591" t="s">
        <v>1516</v>
      </c>
      <c r="N13" s="4551" t="s">
        <v>421</v>
      </c>
      <c r="O13" s="2999"/>
      <c r="P13" s="2999"/>
      <c r="Q13" s="2999" t="e">
        <f>#REF!</f>
        <v>#REF!</v>
      </c>
      <c r="R13" s="2999" t="e">
        <f>#REF!*0.12</f>
        <v>#REF!</v>
      </c>
    </row>
    <row r="14" spans="1:18" ht="18" customHeight="1">
      <c r="A14" s="4590" t="s">
        <v>456</v>
      </c>
      <c r="B14" s="4589"/>
      <c r="C14" s="4588"/>
      <c r="D14" s="4588"/>
      <c r="E14" s="3272"/>
      <c r="F14" s="4587"/>
      <c r="G14" s="4425"/>
      <c r="H14" s="4425"/>
      <c r="I14" s="3272"/>
      <c r="J14" s="3272"/>
      <c r="K14" s="3272"/>
      <c r="L14" s="2609"/>
      <c r="N14" s="4551" t="s">
        <v>418</v>
      </c>
      <c r="O14" s="2999"/>
      <c r="P14" s="2999"/>
      <c r="Q14" s="2999" t="e">
        <f>#REF!</f>
        <v>#REF!</v>
      </c>
      <c r="R14" s="2999"/>
    </row>
    <row r="15" spans="1:18" ht="18" customHeight="1">
      <c r="A15" s="4586"/>
      <c r="B15" s="4585"/>
      <c r="C15" s="4584" t="s">
        <v>3340</v>
      </c>
      <c r="D15" s="4584"/>
      <c r="E15" s="4583"/>
      <c r="F15" s="4582"/>
      <c r="G15" s="4581">
        <f>SUM(G16:G23)</f>
        <v>1076000</v>
      </c>
      <c r="H15" s="4581">
        <f>SUM(H16:H23)</f>
        <v>0</v>
      </c>
      <c r="I15" s="4581">
        <f>SUM(I16:I23)</f>
        <v>1076000</v>
      </c>
      <c r="J15" s="4581">
        <f>SUM(J16:J23)</f>
        <v>1076000</v>
      </c>
      <c r="K15" s="4581">
        <f>SUM(K16:K23)</f>
        <v>1076000</v>
      </c>
      <c r="L15" s="1473"/>
      <c r="N15" s="4551" t="s">
        <v>3339</v>
      </c>
      <c r="O15" s="2999"/>
      <c r="P15" s="2999"/>
      <c r="Q15" s="2999" t="e">
        <f>#REF!*2</f>
        <v>#REF!</v>
      </c>
      <c r="R15" s="2999"/>
    </row>
    <row r="16" spans="1:18" s="3161" customFormat="1" ht="18" customHeight="1" outlineLevel="1">
      <c r="A16" s="4580"/>
      <c r="B16" s="4549" t="s">
        <v>3332</v>
      </c>
      <c r="C16" s="4579" t="s">
        <v>3333</v>
      </c>
      <c r="D16" s="4578"/>
      <c r="E16" s="4577"/>
      <c r="F16" s="3639"/>
      <c r="G16" s="3639"/>
      <c r="H16" s="3639"/>
      <c r="I16" s="3638"/>
      <c r="J16" s="3638"/>
      <c r="K16" s="3638"/>
      <c r="L16" s="4576"/>
      <c r="M16" s="2999"/>
      <c r="N16" s="4551" t="s">
        <v>1690</v>
      </c>
      <c r="O16" s="2999"/>
      <c r="P16" s="2999"/>
      <c r="Q16" s="2999" t="e">
        <f>#REF!</f>
        <v>#REF!</v>
      </c>
      <c r="R16" s="2999"/>
    </row>
    <row r="17" spans="1:30" s="3161" customFormat="1" ht="18" customHeight="1" outlineLevel="1">
      <c r="A17" s="4547"/>
      <c r="B17" s="4546" t="s">
        <v>3329</v>
      </c>
      <c r="C17" s="4545"/>
      <c r="D17" s="4544" t="s">
        <v>3335</v>
      </c>
      <c r="E17" s="4544"/>
      <c r="F17" s="4573"/>
      <c r="G17" s="4542"/>
      <c r="H17" s="3040"/>
      <c r="I17" s="3040"/>
      <c r="J17" s="4548"/>
      <c r="K17" s="4548"/>
      <c r="L17" s="3222"/>
      <c r="M17" s="2999"/>
      <c r="N17" s="4551" t="s">
        <v>3338</v>
      </c>
      <c r="O17" s="2999"/>
      <c r="P17" s="2999"/>
      <c r="Q17" s="2999" t="e">
        <f>#REF!</f>
        <v>#REF!</v>
      </c>
      <c r="R17" s="4550" t="e">
        <f>#REF!</f>
        <v>#REF!</v>
      </c>
    </row>
    <row r="18" spans="1:30" s="3161" customFormat="1" ht="18" customHeight="1" outlineLevel="1">
      <c r="A18" s="4547" t="s">
        <v>3330</v>
      </c>
      <c r="B18" s="4546"/>
      <c r="C18" s="4545"/>
      <c r="D18" s="4575" t="s">
        <v>3337</v>
      </c>
      <c r="E18" s="4544"/>
      <c r="F18" s="4573" t="s">
        <v>3336</v>
      </c>
      <c r="G18" s="4542">
        <f>'[48]special purpose'!$E$14</f>
        <v>36000</v>
      </c>
      <c r="H18" s="3040">
        <f>'[49]special purpose'!$E$14</f>
        <v>0</v>
      </c>
      <c r="I18" s="3040">
        <f>J18-H18</f>
        <v>36000</v>
      </c>
      <c r="J18" s="4548">
        <f>'[50]special purpose'!$C$14</f>
        <v>36000</v>
      </c>
      <c r="K18" s="4548">
        <v>36000</v>
      </c>
      <c r="L18" s="3222"/>
      <c r="M18" s="2999"/>
      <c r="N18" s="4551"/>
      <c r="O18" s="2999"/>
      <c r="P18" s="2999"/>
      <c r="Q18" s="2999"/>
      <c r="R18" s="4550"/>
    </row>
    <row r="19" spans="1:30" s="3161" customFormat="1" ht="18" customHeight="1" outlineLevel="1">
      <c r="A19" s="4564"/>
      <c r="B19" s="4549" t="s">
        <v>3332</v>
      </c>
      <c r="C19" s="4572" t="s">
        <v>3333</v>
      </c>
      <c r="D19" s="4571"/>
      <c r="E19" s="4574"/>
      <c r="F19" s="4573"/>
      <c r="G19" s="4542"/>
      <c r="H19" s="3040"/>
      <c r="I19" s="3040"/>
      <c r="J19" s="4548"/>
      <c r="K19" s="4548"/>
      <c r="L19" s="3222"/>
      <c r="M19" s="2999"/>
      <c r="N19" s="4551"/>
      <c r="O19" s="2999"/>
      <c r="P19" s="2999"/>
      <c r="Q19" s="2999"/>
      <c r="R19" s="4550"/>
    </row>
    <row r="20" spans="1:30" s="3161" customFormat="1" ht="18" customHeight="1" outlineLevel="1">
      <c r="A20" s="4547" t="s">
        <v>3330</v>
      </c>
      <c r="B20" s="4546" t="s">
        <v>3329</v>
      </c>
      <c r="C20" s="4545"/>
      <c r="D20" s="4544" t="s">
        <v>3335</v>
      </c>
      <c r="E20" s="4544"/>
      <c r="F20" s="4573" t="s">
        <v>3334</v>
      </c>
      <c r="G20" s="4542">
        <f>'[48]special purpose'!$E$15</f>
        <v>240000</v>
      </c>
      <c r="H20" s="3040">
        <f>'[49]special purpose'!$E$15</f>
        <v>0</v>
      </c>
      <c r="I20" s="3040">
        <f>J20-H20</f>
        <v>240000</v>
      </c>
      <c r="J20" s="4548">
        <f>'[50]special purpose'!$C$15</f>
        <v>240000</v>
      </c>
      <c r="K20" s="4548">
        <v>240000</v>
      </c>
      <c r="L20" s="3222"/>
      <c r="M20" s="2999"/>
      <c r="N20" s="4551"/>
      <c r="O20" s="2999"/>
      <c r="P20" s="2999"/>
      <c r="Q20" s="2999"/>
      <c r="R20" s="4550"/>
    </row>
    <row r="21" spans="1:30" s="3161" customFormat="1" ht="18" customHeight="1" outlineLevel="1">
      <c r="A21" s="4564"/>
      <c r="B21" s="4563"/>
      <c r="C21" s="4572" t="s">
        <v>3333</v>
      </c>
      <c r="D21" s="4571"/>
      <c r="E21" s="4570"/>
      <c r="F21" s="4521"/>
      <c r="G21" s="4542"/>
      <c r="H21" s="3040"/>
      <c r="I21" s="3040"/>
      <c r="J21" s="4548"/>
      <c r="K21" s="4548"/>
      <c r="L21" s="3222"/>
      <c r="M21" s="2999"/>
      <c r="N21" s="4551"/>
      <c r="O21" s="2999"/>
      <c r="P21" s="2999"/>
      <c r="Q21" s="2999"/>
      <c r="R21" s="4550"/>
    </row>
    <row r="22" spans="1:30" s="3161" customFormat="1" ht="18" customHeight="1" outlineLevel="1">
      <c r="A22" s="4564"/>
      <c r="B22" s="4549" t="s">
        <v>3332</v>
      </c>
      <c r="C22" s="4545"/>
      <c r="D22" s="4543" t="s">
        <v>3331</v>
      </c>
      <c r="E22" s="4543"/>
      <c r="F22" s="4521"/>
      <c r="G22" s="4542"/>
      <c r="H22" s="3040"/>
      <c r="I22" s="3040"/>
      <c r="J22" s="4548"/>
      <c r="K22" s="4548"/>
      <c r="L22" s="3222"/>
      <c r="M22" s="2999"/>
      <c r="N22" s="4551"/>
      <c r="O22" s="2999"/>
      <c r="P22" s="2999"/>
      <c r="Q22" s="2999"/>
      <c r="R22" s="4550"/>
    </row>
    <row r="23" spans="1:30" s="3161" customFormat="1" ht="18" customHeight="1" outlineLevel="1">
      <c r="A23" s="4547" t="s">
        <v>3330</v>
      </c>
      <c r="B23" s="4546" t="s">
        <v>3329</v>
      </c>
      <c r="C23" s="4569"/>
      <c r="D23" s="4568" t="s">
        <v>3328</v>
      </c>
      <c r="E23" s="4568"/>
      <c r="F23" s="4521" t="s">
        <v>3327</v>
      </c>
      <c r="G23" s="4567">
        <v>800000</v>
      </c>
      <c r="H23" s="4566">
        <f>'[49]special purpose'!$E$16</f>
        <v>0</v>
      </c>
      <c r="I23" s="3040">
        <f>J23-H23</f>
        <v>800000</v>
      </c>
      <c r="J23" s="4565">
        <f>'[50]special purpose'!$C$16</f>
        <v>800000</v>
      </c>
      <c r="K23" s="4565">
        <v>800000</v>
      </c>
      <c r="L23" s="3222"/>
      <c r="M23" s="2999"/>
      <c r="N23" s="4551"/>
      <c r="O23" s="2999"/>
      <c r="P23" s="2999"/>
      <c r="Q23" s="2999"/>
      <c r="R23" s="4550"/>
    </row>
    <row r="24" spans="1:30" s="3161" customFormat="1" ht="18" customHeight="1" outlineLevel="1">
      <c r="A24" s="4558"/>
      <c r="B24" s="4557"/>
      <c r="C24" s="4556" t="s">
        <v>965</v>
      </c>
      <c r="D24" s="4555"/>
      <c r="E24" s="4554"/>
      <c r="F24" s="4553"/>
      <c r="G24" s="4552">
        <f>SUM(G25:G28)</f>
        <v>0</v>
      </c>
      <c r="H24" s="4552">
        <f>SUM(H25:H28)</f>
        <v>11846000</v>
      </c>
      <c r="I24" s="4552">
        <f>SUM(I25:I28)</f>
        <v>68694241.799999997</v>
      </c>
      <c r="J24" s="4552">
        <f>SUM(J25:J28)</f>
        <v>80540241.799999997</v>
      </c>
      <c r="K24" s="4552">
        <f>SUM(K25:K28)</f>
        <v>65697200</v>
      </c>
      <c r="L24" s="3222"/>
      <c r="M24" s="2999"/>
      <c r="N24" s="4551"/>
      <c r="O24" s="2999"/>
      <c r="P24" s="2999"/>
      <c r="Q24" s="2999"/>
      <c r="R24" s="4550"/>
    </row>
    <row r="25" spans="1:30" s="3161" customFormat="1" ht="18" customHeight="1" outlineLevel="1" thickBot="1">
      <c r="A25" s="4564"/>
      <c r="B25" s="4563"/>
      <c r="C25" s="4562" t="s">
        <v>965</v>
      </c>
      <c r="D25" s="4543"/>
      <c r="E25" s="4543"/>
      <c r="F25" s="4521"/>
      <c r="G25" s="4542"/>
      <c r="H25" s="3040"/>
      <c r="I25" s="3040"/>
      <c r="J25" s="4548"/>
      <c r="K25" s="4548"/>
      <c r="L25" s="3222"/>
      <c r="M25" s="2999"/>
      <c r="N25" s="4561" t="s">
        <v>410</v>
      </c>
      <c r="O25" s="4561"/>
      <c r="P25" s="4561"/>
      <c r="Q25" s="4560" t="e">
        <f>SUM(Q11:Q17)</f>
        <v>#REF!</v>
      </c>
      <c r="R25" s="4560" t="e">
        <f>SUM(R17:R17)</f>
        <v>#REF!</v>
      </c>
    </row>
    <row r="26" spans="1:30" s="3161" customFormat="1" ht="18" customHeight="1" outlineLevel="1" thickTop="1">
      <c r="A26" s="4547" t="s">
        <v>3319</v>
      </c>
      <c r="B26" s="4549" t="s">
        <v>3318</v>
      </c>
      <c r="C26" s="4545"/>
      <c r="D26" s="4544"/>
      <c r="E26" s="4543" t="s">
        <v>3326</v>
      </c>
      <c r="F26" s="4521" t="s">
        <v>3325</v>
      </c>
      <c r="G26" s="4542">
        <v>0</v>
      </c>
      <c r="H26" s="4541">
        <v>11846000</v>
      </c>
      <c r="I26" s="3040">
        <v>63196068</v>
      </c>
      <c r="J26" s="4540">
        <v>75042068</v>
      </c>
      <c r="K26" s="4548">
        <v>65697200</v>
      </c>
      <c r="L26" s="4559"/>
      <c r="M26" s="2999"/>
    </row>
    <row r="27" spans="1:30" s="3161" customFormat="1" ht="18" customHeight="1" outlineLevel="1">
      <c r="A27" s="4547"/>
      <c r="B27" s="4546" t="s">
        <v>3316</v>
      </c>
      <c r="C27" s="4545"/>
      <c r="D27" s="4544"/>
      <c r="E27" s="4543" t="s">
        <v>3324</v>
      </c>
      <c r="F27" s="4521" t="s">
        <v>3323</v>
      </c>
      <c r="G27" s="4542">
        <v>0</v>
      </c>
      <c r="H27" s="4541">
        <v>0</v>
      </c>
      <c r="I27" s="3040">
        <v>1998173.8</v>
      </c>
      <c r="J27" s="4540">
        <v>1998173.8</v>
      </c>
      <c r="K27" s="4548">
        <v>0</v>
      </c>
      <c r="L27" s="4559"/>
      <c r="M27" s="2999"/>
    </row>
    <row r="28" spans="1:30" s="3161" customFormat="1" ht="18" customHeight="1" outlineLevel="1">
      <c r="A28" s="4547" t="s">
        <v>3317</v>
      </c>
      <c r="B28" s="4546" t="s">
        <v>3316</v>
      </c>
      <c r="C28" s="4545"/>
      <c r="D28" s="4544"/>
      <c r="E28" s="4543" t="s">
        <v>3322</v>
      </c>
      <c r="F28" s="4521" t="s">
        <v>3321</v>
      </c>
      <c r="G28" s="4542">
        <v>0</v>
      </c>
      <c r="H28" s="4541">
        <f>'[49]special purpose'!$E$18</f>
        <v>0</v>
      </c>
      <c r="I28" s="3040">
        <v>3500000</v>
      </c>
      <c r="J28" s="4540">
        <v>3500000</v>
      </c>
      <c r="K28" s="4548">
        <v>0</v>
      </c>
      <c r="L28" s="3222"/>
      <c r="M28" s="2999"/>
    </row>
    <row r="29" spans="1:30" s="3161" customFormat="1" ht="18" customHeight="1" outlineLevel="1">
      <c r="A29" s="4558"/>
      <c r="B29" s="4557"/>
      <c r="C29" s="4556" t="s">
        <v>3320</v>
      </c>
      <c r="D29" s="4555"/>
      <c r="E29" s="4554"/>
      <c r="F29" s="4553"/>
      <c r="G29" s="4552">
        <f>SUM(G30:G31)</f>
        <v>142990152.60000002</v>
      </c>
      <c r="H29" s="4552">
        <f>SUM(H30:H31)</f>
        <v>70930601.870000005</v>
      </c>
      <c r="I29" s="4552">
        <f>SUM(I30:I31)</f>
        <v>196981423.93000001</v>
      </c>
      <c r="J29" s="4552">
        <f>SUM(J30:J31)</f>
        <v>267912025.80000001</v>
      </c>
      <c r="K29" s="4552">
        <f>SUM(K30:K31)</f>
        <v>275000000</v>
      </c>
      <c r="L29" s="3222"/>
      <c r="M29" s="2999"/>
      <c r="N29" s="4551"/>
      <c r="O29" s="2999"/>
      <c r="P29" s="2999"/>
      <c r="Q29" s="2999"/>
      <c r="R29" s="4550"/>
    </row>
    <row r="30" spans="1:30" s="3161" customFormat="1" ht="18" customHeight="1" outlineLevel="1">
      <c r="A30" s="4547" t="s">
        <v>3319</v>
      </c>
      <c r="B30" s="4549" t="s">
        <v>3318</v>
      </c>
      <c r="C30" s="4545"/>
      <c r="D30" s="4544"/>
      <c r="E30" s="4543"/>
      <c r="F30" s="4521"/>
      <c r="G30" s="4542">
        <v>83090508.400000006</v>
      </c>
      <c r="H30" s="4541">
        <v>31664470.489999998</v>
      </c>
      <c r="I30" s="3040">
        <f>J30-H30</f>
        <v>102597555.31000002</v>
      </c>
      <c r="J30" s="4540">
        <v>134262025.80000001</v>
      </c>
      <c r="K30" s="4548">
        <v>146500000</v>
      </c>
      <c r="L30" s="3222"/>
      <c r="M30" s="2999"/>
    </row>
    <row r="31" spans="1:30" s="3161" customFormat="1" ht="18" customHeight="1" outlineLevel="1">
      <c r="A31" s="4547" t="s">
        <v>3317</v>
      </c>
      <c r="B31" s="4546" t="s">
        <v>3316</v>
      </c>
      <c r="C31" s="4545"/>
      <c r="D31" s="4544"/>
      <c r="E31" s="4543"/>
      <c r="F31" s="4521"/>
      <c r="G31" s="4542">
        <v>59899644.200000003</v>
      </c>
      <c r="H31" s="4541">
        <v>39266131.380000003</v>
      </c>
      <c r="I31" s="3040">
        <f>J31-H31</f>
        <v>94383868.620000005</v>
      </c>
      <c r="J31" s="4540">
        <v>133650000</v>
      </c>
      <c r="K31" s="4540">
        <v>128500000</v>
      </c>
      <c r="L31" s="3222"/>
      <c r="M31" s="2999"/>
    </row>
    <row r="32" spans="1:30" s="3161" customFormat="1" ht="18" customHeight="1" outlineLevel="2" thickBot="1">
      <c r="A32" s="4539" t="s">
        <v>366</v>
      </c>
      <c r="B32" s="4538"/>
      <c r="C32" s="4537"/>
      <c r="D32" s="4537"/>
      <c r="E32" s="4537"/>
      <c r="F32" s="4536"/>
      <c r="G32" s="4535">
        <f>G29+G24+G15</f>
        <v>144066152.60000002</v>
      </c>
      <c r="H32" s="4535">
        <f>H29+H24+H15</f>
        <v>82776601.870000005</v>
      </c>
      <c r="I32" s="4535">
        <f>I29+I24+I15</f>
        <v>266751665.73000002</v>
      </c>
      <c r="J32" s="4535">
        <f>J29+J24+J15</f>
        <v>349528267.60000002</v>
      </c>
      <c r="K32" s="4534">
        <f>K29+K24+K15</f>
        <v>341773200</v>
      </c>
      <c r="L32" s="4533"/>
      <c r="M32" s="4532"/>
      <c r="N32" s="3288"/>
      <c r="O32" s="3288"/>
      <c r="P32" s="3288"/>
      <c r="Q32" s="3288"/>
      <c r="R32" s="3290"/>
      <c r="S32" s="3290"/>
      <c r="T32" s="3290"/>
      <c r="U32" s="3290"/>
      <c r="V32" s="3290"/>
      <c r="W32" s="3290"/>
      <c r="X32" s="3290"/>
      <c r="Y32" s="3290"/>
      <c r="Z32" s="3290"/>
      <c r="AA32" s="3290"/>
      <c r="AB32" s="3290"/>
      <c r="AC32" s="3290"/>
      <c r="AD32" s="3290"/>
    </row>
    <row r="33" spans="1:30" s="3161" customFormat="1" ht="12.75" customHeight="1" outlineLevel="2" thickTop="1">
      <c r="C33" s="3176"/>
      <c r="D33" s="3176"/>
      <c r="E33" s="3176"/>
      <c r="F33" s="3177"/>
      <c r="G33" s="3176"/>
      <c r="H33" s="3176"/>
      <c r="I33" s="3176"/>
      <c r="J33" s="3176"/>
      <c r="K33" s="3176"/>
      <c r="L33" s="3649"/>
      <c r="M33" s="4532"/>
      <c r="N33" s="3288"/>
      <c r="O33" s="3288"/>
      <c r="P33" s="3288"/>
      <c r="Q33" s="3288"/>
      <c r="R33" s="3290"/>
      <c r="S33" s="3290"/>
      <c r="T33" s="3290"/>
      <c r="U33" s="3290"/>
      <c r="V33" s="3290"/>
      <c r="W33" s="3290"/>
      <c r="X33" s="3290"/>
      <c r="Y33" s="3290"/>
      <c r="Z33" s="3290"/>
      <c r="AA33" s="3290"/>
      <c r="AB33" s="3290"/>
      <c r="AC33" s="3290"/>
      <c r="AD33" s="3290"/>
    </row>
    <row r="34" spans="1:30" s="4409" customFormat="1" ht="14.25" customHeight="1">
      <c r="A34" s="4412" t="s">
        <v>3163</v>
      </c>
      <c r="B34" s="4412"/>
      <c r="C34" s="4411"/>
      <c r="D34" s="4411"/>
      <c r="E34" s="4411"/>
      <c r="F34" s="4411" t="s">
        <v>363</v>
      </c>
      <c r="G34" s="4411"/>
      <c r="H34" s="4412"/>
      <c r="I34" s="4412"/>
      <c r="J34" s="4412" t="s">
        <v>2311</v>
      </c>
      <c r="K34" s="4411"/>
    </row>
    <row r="35" spans="1:30" s="4409" customFormat="1" ht="14.25" customHeight="1">
      <c r="A35" s="4412"/>
      <c r="B35" s="4412"/>
      <c r="C35" s="4411"/>
      <c r="D35" s="4411"/>
      <c r="E35" s="4411"/>
      <c r="F35" s="4411"/>
      <c r="G35" s="4411"/>
      <c r="H35" s="4412"/>
      <c r="I35" s="4412"/>
      <c r="J35" s="4412"/>
      <c r="K35" s="4411"/>
    </row>
    <row r="36" spans="1:30" s="4409" customFormat="1" ht="14.25" customHeight="1">
      <c r="A36" s="4412"/>
      <c r="B36" s="4412"/>
      <c r="C36" s="4411"/>
      <c r="D36" s="4411"/>
      <c r="E36" s="4411"/>
      <c r="F36" s="4411"/>
      <c r="G36" s="4411"/>
      <c r="H36" s="4412"/>
      <c r="I36" s="4412"/>
      <c r="J36" s="4412"/>
      <c r="K36" s="4411"/>
    </row>
    <row r="37" spans="1:30" s="4409" customFormat="1" ht="14.25" customHeight="1">
      <c r="A37" s="4415" t="s">
        <v>735</v>
      </c>
      <c r="B37" s="4413"/>
      <c r="C37" s="4414"/>
      <c r="D37" s="4414"/>
      <c r="E37" s="4411"/>
      <c r="F37" s="4414" t="s">
        <v>3162</v>
      </c>
      <c r="G37" s="4411"/>
      <c r="H37" s="4413"/>
      <c r="I37" s="4413"/>
      <c r="J37" s="4413" t="s">
        <v>359</v>
      </c>
      <c r="K37" s="4411"/>
    </row>
    <row r="38" spans="1:30" s="4409" customFormat="1" ht="14.25" customHeight="1">
      <c r="A38" s="4411" t="s">
        <v>3315</v>
      </c>
      <c r="B38" s="4412"/>
      <c r="C38" s="4412"/>
      <c r="D38" s="4412"/>
      <c r="E38" s="4411"/>
      <c r="F38" s="4412" t="s">
        <v>658</v>
      </c>
      <c r="G38" s="4411"/>
      <c r="H38" s="4410"/>
      <c r="I38" s="4410"/>
      <c r="J38" s="4410" t="s">
        <v>2307</v>
      </c>
      <c r="K38" s="4411"/>
    </row>
    <row r="39" spans="1:30" s="3288" customFormat="1">
      <c r="E39" s="3649"/>
      <c r="G39" s="3287"/>
      <c r="H39" s="3287"/>
      <c r="I39" s="3287"/>
      <c r="J39" s="3287"/>
      <c r="K39" s="3287"/>
      <c r="L39" s="3161"/>
      <c r="M39" s="2999"/>
      <c r="N39" s="3161"/>
      <c r="O39" s="3161"/>
      <c r="P39" s="3161"/>
      <c r="Q39" s="3161"/>
      <c r="R39" s="3290"/>
      <c r="S39" s="3290"/>
      <c r="T39" s="3290"/>
      <c r="U39" s="3290"/>
      <c r="V39" s="3290"/>
      <c r="W39" s="3290"/>
      <c r="X39" s="3290"/>
      <c r="Y39" s="3290"/>
      <c r="Z39" s="3290"/>
      <c r="AA39" s="3290"/>
      <c r="AB39" s="3290"/>
      <c r="AC39" s="3290"/>
      <c r="AD39" s="3290"/>
    </row>
    <row r="40" spans="1:30" s="3288" customFormat="1">
      <c r="E40" s="3649"/>
      <c r="G40" s="3287"/>
      <c r="H40" s="3287"/>
      <c r="I40" s="3287"/>
      <c r="J40" s="3287"/>
      <c r="K40" s="3287"/>
      <c r="L40" s="3161"/>
      <c r="M40" s="2999"/>
      <c r="N40" s="3161"/>
      <c r="O40" s="3161"/>
      <c r="P40" s="3161"/>
      <c r="Q40" s="3161"/>
      <c r="R40" s="3290"/>
      <c r="S40" s="3290"/>
      <c r="T40" s="3290"/>
      <c r="U40" s="3290"/>
      <c r="V40" s="3290"/>
      <c r="W40" s="3290"/>
      <c r="X40" s="3290"/>
      <c r="Y40" s="3290"/>
      <c r="Z40" s="3290"/>
      <c r="AA40" s="3290"/>
      <c r="AB40" s="3290"/>
      <c r="AC40" s="3290"/>
      <c r="AD40" s="3290"/>
    </row>
    <row r="41" spans="1:30" s="3288" customFormat="1">
      <c r="E41" s="3649"/>
      <c r="G41" s="3287"/>
      <c r="H41" s="3287"/>
      <c r="I41" s="3287"/>
      <c r="J41" s="3287"/>
      <c r="K41" s="3287"/>
      <c r="L41" s="3161"/>
      <c r="M41" s="2999"/>
      <c r="N41" s="3161"/>
      <c r="O41" s="3161"/>
      <c r="P41" s="3161"/>
      <c r="Q41" s="3161"/>
      <c r="R41" s="3290"/>
      <c r="S41" s="3290"/>
      <c r="T41" s="3290"/>
      <c r="U41" s="3290"/>
      <c r="V41" s="3290"/>
      <c r="W41" s="3290"/>
      <c r="X41" s="3290"/>
      <c r="Y41" s="3290"/>
      <c r="Z41" s="3290"/>
      <c r="AA41" s="3290"/>
      <c r="AB41" s="3290"/>
      <c r="AC41" s="3290"/>
      <c r="AD41" s="3290"/>
    </row>
    <row r="42" spans="1:30" s="3288" customFormat="1">
      <c r="E42" s="3649"/>
      <c r="G42" s="3287"/>
      <c r="H42" s="3287"/>
      <c r="I42" s="3287"/>
      <c r="J42" s="3287"/>
      <c r="K42" s="3287"/>
      <c r="L42" s="3161"/>
      <c r="M42" s="2999"/>
      <c r="N42" s="3161"/>
      <c r="O42" s="3161"/>
      <c r="P42" s="3161"/>
      <c r="Q42" s="3161"/>
      <c r="R42" s="3290"/>
      <c r="S42" s="3290"/>
      <c r="T42" s="3290"/>
      <c r="U42" s="3290"/>
      <c r="V42" s="3290"/>
      <c r="W42" s="3290"/>
      <c r="X42" s="3290"/>
      <c r="Y42" s="3290"/>
      <c r="Z42" s="3290"/>
      <c r="AA42" s="3290"/>
      <c r="AB42" s="3290"/>
      <c r="AC42" s="3290"/>
      <c r="AD42" s="3290"/>
    </row>
    <row r="43" spans="1:30" s="3288" customFormat="1">
      <c r="E43" s="3649"/>
      <c r="G43" s="3287"/>
      <c r="H43" s="3287"/>
      <c r="I43" s="3287"/>
      <c r="J43" s="3287"/>
      <c r="K43" s="3287"/>
      <c r="L43" s="3161"/>
      <c r="M43" s="2999"/>
      <c r="N43" s="3161"/>
      <c r="O43" s="3161"/>
      <c r="P43" s="3161"/>
      <c r="Q43" s="3161"/>
      <c r="R43" s="3290"/>
      <c r="S43" s="3290"/>
      <c r="T43" s="3290"/>
      <c r="U43" s="3290"/>
      <c r="V43" s="3290"/>
      <c r="W43" s="3290"/>
      <c r="X43" s="3290"/>
      <c r="Y43" s="3290"/>
      <c r="Z43" s="3290"/>
      <c r="AA43" s="3290"/>
      <c r="AB43" s="3290"/>
      <c r="AC43" s="3290"/>
      <c r="AD43" s="3290"/>
    </row>
    <row r="44" spans="1:30" s="3288" customFormat="1">
      <c r="E44" s="3649"/>
      <c r="G44" s="3287"/>
      <c r="H44" s="3287"/>
      <c r="I44" s="3287"/>
      <c r="J44" s="3287"/>
      <c r="K44" s="3287"/>
      <c r="L44" s="3161"/>
      <c r="M44" s="2999"/>
      <c r="N44" s="3161"/>
      <c r="O44" s="3161"/>
      <c r="P44" s="3161"/>
      <c r="Q44" s="3161"/>
      <c r="R44" s="3290"/>
      <c r="S44" s="3290"/>
      <c r="T44" s="3290"/>
      <c r="U44" s="3290"/>
      <c r="V44" s="3290"/>
      <c r="W44" s="3290"/>
      <c r="X44" s="3290"/>
      <c r="Y44" s="3290"/>
      <c r="Z44" s="3290"/>
      <c r="AA44" s="3290"/>
      <c r="AB44" s="3290"/>
      <c r="AC44" s="3290"/>
      <c r="AD44" s="3290"/>
    </row>
    <row r="45" spans="1:30" s="3161" customFormat="1">
      <c r="M45" s="2999"/>
      <c r="R45" s="3290"/>
      <c r="S45" s="3290"/>
      <c r="T45" s="3290"/>
      <c r="U45" s="3290"/>
      <c r="V45" s="3290"/>
      <c r="W45" s="3290"/>
      <c r="X45" s="3290"/>
      <c r="Y45" s="3290"/>
      <c r="Z45" s="3290"/>
      <c r="AA45" s="3290"/>
      <c r="AB45" s="3290"/>
      <c r="AC45" s="3290"/>
      <c r="AD45" s="3290"/>
    </row>
    <row r="46" spans="1:30" s="3161" customFormat="1">
      <c r="M46" s="2999"/>
      <c r="R46" s="3290"/>
      <c r="S46" s="3290"/>
      <c r="T46" s="3290"/>
      <c r="U46" s="3290"/>
      <c r="V46" s="3290"/>
      <c r="W46" s="3290"/>
      <c r="X46" s="3290"/>
      <c r="Y46" s="3290"/>
      <c r="Z46" s="3290"/>
      <c r="AA46" s="3290"/>
      <c r="AB46" s="3290"/>
      <c r="AC46" s="3290"/>
      <c r="AD46" s="3290"/>
    </row>
    <row r="47" spans="1:30" s="3161" customFormat="1">
      <c r="M47" s="2999"/>
      <c r="R47" s="3290"/>
      <c r="S47" s="3290"/>
      <c r="T47" s="3290"/>
      <c r="U47" s="3290"/>
      <c r="V47" s="3290"/>
      <c r="W47" s="3290"/>
      <c r="X47" s="3290"/>
      <c r="Y47" s="3290"/>
      <c r="Z47" s="3290"/>
      <c r="AA47" s="3290"/>
      <c r="AB47" s="3290"/>
      <c r="AC47" s="3290"/>
      <c r="AD47" s="3290"/>
    </row>
    <row r="48" spans="1:30" s="3161" customFormat="1">
      <c r="M48" s="2999"/>
      <c r="R48" s="3290"/>
      <c r="S48" s="3290"/>
      <c r="T48" s="3290"/>
      <c r="U48" s="3290"/>
      <c r="V48" s="3290"/>
      <c r="W48" s="3290"/>
      <c r="X48" s="3290"/>
      <c r="Y48" s="3290"/>
      <c r="Z48" s="3290"/>
      <c r="AA48" s="3290"/>
      <c r="AB48" s="3290"/>
      <c r="AC48" s="3290"/>
      <c r="AD48" s="3290"/>
    </row>
    <row r="49" spans="13:30" s="3161" customFormat="1">
      <c r="M49" s="2999"/>
      <c r="R49" s="3290"/>
      <c r="S49" s="3290"/>
      <c r="T49" s="3290"/>
      <c r="U49" s="3290"/>
      <c r="V49" s="3290"/>
      <c r="W49" s="3290"/>
      <c r="X49" s="3290"/>
      <c r="Y49" s="3290"/>
      <c r="Z49" s="3290"/>
      <c r="AA49" s="3290"/>
      <c r="AB49" s="3290"/>
      <c r="AC49" s="3290"/>
      <c r="AD49" s="3290"/>
    </row>
    <row r="50" spans="13:30" s="3161" customFormat="1">
      <c r="M50" s="2999"/>
      <c r="R50" s="3290"/>
      <c r="S50" s="3290"/>
      <c r="T50" s="3290"/>
      <c r="U50" s="3290"/>
      <c r="V50" s="3290"/>
      <c r="W50" s="3290"/>
      <c r="X50" s="3290"/>
      <c r="Y50" s="3290"/>
      <c r="Z50" s="3290"/>
      <c r="AA50" s="3290"/>
      <c r="AB50" s="3290"/>
      <c r="AC50" s="3290"/>
      <c r="AD50" s="3290"/>
    </row>
    <row r="51" spans="13:30" s="3161" customFormat="1">
      <c r="M51" s="2999"/>
      <c r="R51" s="3290"/>
      <c r="S51" s="3290"/>
      <c r="T51" s="3290"/>
      <c r="U51" s="3290"/>
      <c r="V51" s="3290"/>
      <c r="W51" s="3290"/>
      <c r="X51" s="3290"/>
      <c r="Y51" s="3290"/>
      <c r="Z51" s="3290"/>
      <c r="AA51" s="3290"/>
      <c r="AB51" s="3290"/>
      <c r="AC51" s="3290"/>
      <c r="AD51" s="3290"/>
    </row>
    <row r="52" spans="13:30" s="3161" customFormat="1">
      <c r="M52" s="2999"/>
      <c r="R52" s="3290"/>
      <c r="S52" s="3290"/>
      <c r="T52" s="3290"/>
      <c r="U52" s="3290"/>
      <c r="V52" s="3290"/>
      <c r="W52" s="3290"/>
      <c r="X52" s="3290"/>
      <c r="Y52" s="3290"/>
      <c r="Z52" s="3290"/>
      <c r="AA52" s="3290"/>
      <c r="AB52" s="3290"/>
      <c r="AC52" s="3290"/>
      <c r="AD52" s="3290"/>
    </row>
    <row r="53" spans="13:30" s="3161" customFormat="1">
      <c r="M53" s="2999"/>
      <c r="R53" s="3290"/>
      <c r="S53" s="3290"/>
      <c r="T53" s="3290"/>
      <c r="U53" s="3290"/>
      <c r="V53" s="3290"/>
      <c r="W53" s="3290"/>
      <c r="X53" s="3290"/>
      <c r="Y53" s="3290"/>
      <c r="Z53" s="3290"/>
      <c r="AA53" s="3290"/>
      <c r="AB53" s="3290"/>
      <c r="AC53" s="3290"/>
      <c r="AD53" s="3290"/>
    </row>
    <row r="54" spans="13:30" s="3161" customFormat="1">
      <c r="M54" s="2999"/>
      <c r="R54" s="3290"/>
      <c r="S54" s="3290"/>
      <c r="T54" s="3290"/>
      <c r="U54" s="3290"/>
      <c r="V54" s="3290"/>
      <c r="W54" s="3290"/>
      <c r="X54" s="3290"/>
      <c r="Y54" s="3290"/>
      <c r="Z54" s="3290"/>
      <c r="AA54" s="3290"/>
      <c r="AB54" s="3290"/>
      <c r="AC54" s="3290"/>
      <c r="AD54" s="3290"/>
    </row>
    <row r="55" spans="13:30" s="3161" customFormat="1">
      <c r="M55" s="2999"/>
      <c r="R55" s="3290"/>
      <c r="S55" s="3290"/>
      <c r="T55" s="3290"/>
      <c r="U55" s="3290"/>
      <c r="V55" s="3290"/>
      <c r="W55" s="3290"/>
      <c r="X55" s="3290"/>
      <c r="Y55" s="3290"/>
      <c r="Z55" s="3290"/>
      <c r="AA55" s="3290"/>
      <c r="AB55" s="3290"/>
      <c r="AC55" s="3290"/>
      <c r="AD55" s="3290"/>
    </row>
    <row r="56" spans="13:30" s="3161" customFormat="1">
      <c r="M56" s="2999"/>
      <c r="R56" s="3290"/>
      <c r="S56" s="3290"/>
      <c r="T56" s="3290"/>
      <c r="U56" s="3290"/>
      <c r="V56" s="3290"/>
      <c r="W56" s="3290"/>
      <c r="X56" s="3290"/>
      <c r="Y56" s="3290"/>
      <c r="Z56" s="3290"/>
      <c r="AA56" s="3290"/>
      <c r="AB56" s="3290"/>
      <c r="AC56" s="3290"/>
      <c r="AD56" s="3290"/>
    </row>
    <row r="57" spans="13:30" s="3161" customFormat="1">
      <c r="M57" s="2999"/>
      <c r="R57" s="3290"/>
      <c r="S57" s="3290"/>
      <c r="T57" s="3290"/>
      <c r="U57" s="3290"/>
      <c r="V57" s="3290"/>
      <c r="W57" s="3290"/>
      <c r="X57" s="3290"/>
      <c r="Y57" s="3290"/>
      <c r="Z57" s="3290"/>
      <c r="AA57" s="3290"/>
      <c r="AB57" s="3290"/>
      <c r="AC57" s="3290"/>
      <c r="AD57" s="3290"/>
    </row>
    <row r="58" spans="13:30" s="3161" customFormat="1">
      <c r="M58" s="2999"/>
      <c r="R58" s="3290"/>
      <c r="S58" s="3290"/>
      <c r="T58" s="3290"/>
      <c r="U58" s="3290"/>
      <c r="V58" s="3290"/>
      <c r="W58" s="3290"/>
      <c r="X58" s="3290"/>
      <c r="Y58" s="3290"/>
      <c r="Z58" s="3290"/>
      <c r="AA58" s="3290"/>
      <c r="AB58" s="3290"/>
      <c r="AC58" s="3290"/>
      <c r="AD58" s="3290"/>
    </row>
    <row r="59" spans="13:30" s="3161" customFormat="1">
      <c r="M59" s="2999"/>
      <c r="R59" s="3290"/>
      <c r="S59" s="3290"/>
      <c r="T59" s="3290"/>
      <c r="U59" s="3290"/>
      <c r="V59" s="3290"/>
      <c r="W59" s="3290"/>
      <c r="X59" s="3290"/>
      <c r="Y59" s="3290"/>
      <c r="Z59" s="3290"/>
      <c r="AA59" s="3290"/>
      <c r="AB59" s="3290"/>
      <c r="AC59" s="3290"/>
      <c r="AD59" s="3290"/>
    </row>
    <row r="60" spans="13:30" s="3161" customFormat="1">
      <c r="M60" s="2999"/>
      <c r="R60" s="3290"/>
      <c r="S60" s="3290"/>
      <c r="T60" s="3290"/>
      <c r="U60" s="3290"/>
      <c r="V60" s="3290"/>
      <c r="W60" s="3290"/>
      <c r="X60" s="3290"/>
      <c r="Y60" s="3290"/>
      <c r="Z60" s="3290"/>
      <c r="AA60" s="3290"/>
      <c r="AB60" s="3290"/>
      <c r="AC60" s="3290"/>
      <c r="AD60" s="3290"/>
    </row>
    <row r="61" spans="13:30" s="3161" customFormat="1">
      <c r="M61" s="2999"/>
      <c r="R61" s="3290"/>
      <c r="S61" s="3290"/>
      <c r="T61" s="3290"/>
      <c r="U61" s="3290"/>
      <c r="V61" s="3290"/>
      <c r="W61" s="3290"/>
      <c r="X61" s="3290"/>
      <c r="Y61" s="3290"/>
      <c r="Z61" s="3290"/>
      <c r="AA61" s="3290"/>
      <c r="AB61" s="3290"/>
      <c r="AC61" s="3290"/>
      <c r="AD61" s="3290"/>
    </row>
    <row r="62" spans="13:30" s="3161" customFormat="1">
      <c r="M62" s="2999"/>
      <c r="R62" s="3290"/>
      <c r="S62" s="3290"/>
      <c r="T62" s="3290"/>
      <c r="U62" s="3290"/>
      <c r="V62" s="3290"/>
      <c r="W62" s="3290"/>
      <c r="X62" s="3290"/>
      <c r="Y62" s="3290"/>
      <c r="Z62" s="3290"/>
      <c r="AA62" s="3290"/>
      <c r="AB62" s="3290"/>
      <c r="AC62" s="3290"/>
      <c r="AD62" s="3290"/>
    </row>
    <row r="63" spans="13:30" s="3161" customFormat="1">
      <c r="M63" s="2999"/>
      <c r="R63" s="3290"/>
      <c r="S63" s="3290"/>
      <c r="T63" s="3290"/>
      <c r="U63" s="3290"/>
      <c r="V63" s="3290"/>
      <c r="W63" s="3290"/>
      <c r="X63" s="3290"/>
      <c r="Y63" s="3290"/>
      <c r="Z63" s="3290"/>
      <c r="AA63" s="3290"/>
      <c r="AB63" s="3290"/>
      <c r="AC63" s="3290"/>
      <c r="AD63" s="3290"/>
    </row>
    <row r="64" spans="13:30" s="3161" customFormat="1">
      <c r="M64" s="2999"/>
      <c r="R64" s="3290"/>
      <c r="S64" s="3290"/>
      <c r="T64" s="3290"/>
      <c r="U64" s="3290"/>
      <c r="V64" s="3290"/>
      <c r="W64" s="3290"/>
      <c r="X64" s="3290"/>
      <c r="Y64" s="3290"/>
      <c r="Z64" s="3290"/>
      <c r="AA64" s="3290"/>
      <c r="AB64" s="3290"/>
      <c r="AC64" s="3290"/>
      <c r="AD64" s="3290"/>
    </row>
    <row r="65" spans="13:30" s="3161" customFormat="1">
      <c r="M65" s="2999"/>
      <c r="R65" s="3290"/>
      <c r="S65" s="3290"/>
      <c r="T65" s="3290"/>
      <c r="U65" s="3290"/>
      <c r="V65" s="3290"/>
      <c r="W65" s="3290"/>
      <c r="X65" s="3290"/>
      <c r="Y65" s="3290"/>
      <c r="Z65" s="3290"/>
      <c r="AA65" s="3290"/>
      <c r="AB65" s="3290"/>
      <c r="AC65" s="3290"/>
      <c r="AD65" s="3290"/>
    </row>
    <row r="66" spans="13:30" s="3161" customFormat="1">
      <c r="M66" s="2999"/>
      <c r="R66" s="3290"/>
      <c r="S66" s="3290"/>
      <c r="T66" s="3290"/>
      <c r="U66" s="3290"/>
      <c r="V66" s="3290"/>
      <c r="W66" s="3290"/>
      <c r="X66" s="3290"/>
      <c r="Y66" s="3290"/>
      <c r="Z66" s="3290"/>
      <c r="AA66" s="3290"/>
      <c r="AB66" s="3290"/>
      <c r="AC66" s="3290"/>
      <c r="AD66" s="3290"/>
    </row>
    <row r="67" spans="13:30" s="3161" customFormat="1">
      <c r="M67" s="2999"/>
      <c r="R67" s="3290"/>
      <c r="S67" s="3290"/>
      <c r="T67" s="3290"/>
      <c r="U67" s="3290"/>
      <c r="V67" s="3290"/>
      <c r="W67" s="3290"/>
      <c r="X67" s="3290"/>
      <c r="Y67" s="3290"/>
      <c r="Z67" s="3290"/>
      <c r="AA67" s="3290"/>
      <c r="AB67" s="3290"/>
      <c r="AC67" s="3290"/>
      <c r="AD67" s="3290"/>
    </row>
    <row r="68" spans="13:30" s="3161" customFormat="1">
      <c r="M68" s="2999"/>
      <c r="R68" s="3290"/>
      <c r="S68" s="3290"/>
      <c r="T68" s="3290"/>
      <c r="U68" s="3290"/>
      <c r="V68" s="3290"/>
      <c r="W68" s="3290"/>
      <c r="X68" s="3290"/>
      <c r="Y68" s="3290"/>
      <c r="Z68" s="3290"/>
      <c r="AA68" s="3290"/>
      <c r="AB68" s="3290"/>
      <c r="AC68" s="3290"/>
      <c r="AD68" s="3290"/>
    </row>
    <row r="69" spans="13:30" s="3161" customFormat="1">
      <c r="M69" s="2999"/>
      <c r="R69" s="3290"/>
      <c r="S69" s="3290"/>
      <c r="T69" s="3290"/>
      <c r="U69" s="3290"/>
      <c r="V69" s="3290"/>
      <c r="W69" s="3290"/>
      <c r="X69" s="3290"/>
      <c r="Y69" s="3290"/>
      <c r="Z69" s="3290"/>
      <c r="AA69" s="3290"/>
      <c r="AB69" s="3290"/>
      <c r="AC69" s="3290"/>
      <c r="AD69" s="3290"/>
    </row>
    <row r="70" spans="13:30" s="3161" customFormat="1">
      <c r="M70" s="2999"/>
      <c r="R70" s="3290"/>
      <c r="S70" s="3290"/>
      <c r="T70" s="3290"/>
      <c r="U70" s="3290"/>
      <c r="V70" s="3290"/>
      <c r="W70" s="3290"/>
      <c r="X70" s="3290"/>
      <c r="Y70" s="3290"/>
      <c r="Z70" s="3290"/>
      <c r="AA70" s="3290"/>
      <c r="AB70" s="3290"/>
      <c r="AC70" s="3290"/>
      <c r="AD70" s="3290"/>
    </row>
    <row r="71" spans="13:30" s="3161" customFormat="1">
      <c r="M71" s="2999"/>
      <c r="R71" s="3290"/>
      <c r="S71" s="3290"/>
      <c r="T71" s="3290"/>
      <c r="U71" s="3290"/>
      <c r="V71" s="3290"/>
      <c r="W71" s="3290"/>
      <c r="X71" s="3290"/>
      <c r="Y71" s="3290"/>
      <c r="Z71" s="3290"/>
      <c r="AA71" s="3290"/>
      <c r="AB71" s="3290"/>
      <c r="AC71" s="3290"/>
      <c r="AD71" s="3290"/>
    </row>
    <row r="72" spans="13:30" s="3161" customFormat="1">
      <c r="M72" s="2999"/>
      <c r="R72" s="3290"/>
      <c r="S72" s="3290"/>
      <c r="T72" s="3290"/>
      <c r="U72" s="3290"/>
      <c r="V72" s="3290"/>
      <c r="W72" s="3290"/>
      <c r="X72" s="3290"/>
      <c r="Y72" s="3290"/>
      <c r="Z72" s="3290"/>
      <c r="AA72" s="3290"/>
      <c r="AB72" s="3290"/>
      <c r="AC72" s="3290"/>
      <c r="AD72" s="3290"/>
    </row>
    <row r="73" spans="13:30" s="3161" customFormat="1">
      <c r="M73" s="2999"/>
      <c r="R73" s="3290"/>
      <c r="S73" s="3290"/>
      <c r="T73" s="3290"/>
      <c r="U73" s="3290"/>
      <c r="V73" s="3290"/>
      <c r="W73" s="3290"/>
      <c r="X73" s="3290"/>
      <c r="Y73" s="3290"/>
      <c r="Z73" s="3290"/>
      <c r="AA73" s="3290"/>
      <c r="AB73" s="3290"/>
      <c r="AC73" s="3290"/>
      <c r="AD73" s="3290"/>
    </row>
    <row r="74" spans="13:30" s="3161" customFormat="1">
      <c r="M74" s="2999"/>
      <c r="R74" s="3290"/>
      <c r="S74" s="3290"/>
      <c r="T74" s="3290"/>
      <c r="U74" s="3290"/>
      <c r="V74" s="3290"/>
      <c r="W74" s="3290"/>
      <c r="X74" s="3290"/>
      <c r="Y74" s="3290"/>
      <c r="Z74" s="3290"/>
      <c r="AA74" s="3290"/>
      <c r="AB74" s="3290"/>
      <c r="AC74" s="3290"/>
      <c r="AD74" s="3290"/>
    </row>
    <row r="75" spans="13:30" s="3161" customFormat="1">
      <c r="M75" s="2999"/>
      <c r="R75" s="3290"/>
      <c r="S75" s="3290"/>
      <c r="T75" s="3290"/>
      <c r="U75" s="3290"/>
      <c r="V75" s="3290"/>
      <c r="W75" s="3290"/>
      <c r="X75" s="3290"/>
      <c r="Y75" s="3290"/>
      <c r="Z75" s="3290"/>
      <c r="AA75" s="3290"/>
      <c r="AB75" s="3290"/>
      <c r="AC75" s="3290"/>
      <c r="AD75" s="3290"/>
    </row>
    <row r="76" spans="13:30" s="3161" customFormat="1">
      <c r="M76" s="2999"/>
      <c r="R76" s="3290"/>
      <c r="S76" s="3290"/>
      <c r="T76" s="3290"/>
      <c r="U76" s="3290"/>
      <c r="V76" s="3290"/>
      <c r="W76" s="3290"/>
      <c r="X76" s="3290"/>
      <c r="Y76" s="3290"/>
      <c r="Z76" s="3290"/>
      <c r="AA76" s="3290"/>
      <c r="AB76" s="3290"/>
      <c r="AC76" s="3290"/>
      <c r="AD76" s="3290"/>
    </row>
    <row r="77" spans="13:30" s="3161" customFormat="1">
      <c r="M77" s="2999"/>
      <c r="R77" s="3290"/>
      <c r="S77" s="3290"/>
      <c r="T77" s="3290"/>
      <c r="U77" s="3290"/>
      <c r="V77" s="3290"/>
      <c r="W77" s="3290"/>
      <c r="X77" s="3290"/>
      <c r="Y77" s="3290"/>
      <c r="Z77" s="3290"/>
      <c r="AA77" s="3290"/>
      <c r="AB77" s="3290"/>
      <c r="AC77" s="3290"/>
      <c r="AD77" s="3290"/>
    </row>
    <row r="78" spans="13:30" s="3161" customFormat="1">
      <c r="M78" s="2999"/>
      <c r="R78" s="3290"/>
      <c r="S78" s="3290"/>
      <c r="T78" s="3290"/>
      <c r="U78" s="3290"/>
      <c r="V78" s="3290"/>
      <c r="W78" s="3290"/>
      <c r="X78" s="3290"/>
      <c r="Y78" s="3290"/>
      <c r="Z78" s="3290"/>
      <c r="AA78" s="3290"/>
      <c r="AB78" s="3290"/>
      <c r="AC78" s="3290"/>
      <c r="AD78" s="3290"/>
    </row>
    <row r="79" spans="13:30" s="3161" customFormat="1">
      <c r="M79" s="2999"/>
      <c r="R79" s="3290"/>
      <c r="S79" s="3290"/>
      <c r="T79" s="3290"/>
      <c r="U79" s="3290"/>
      <c r="V79" s="3290"/>
      <c r="W79" s="3290"/>
      <c r="X79" s="3290"/>
      <c r="Y79" s="3290"/>
      <c r="Z79" s="3290"/>
      <c r="AA79" s="3290"/>
      <c r="AB79" s="3290"/>
      <c r="AC79" s="3290"/>
      <c r="AD79" s="3290"/>
    </row>
    <row r="80" spans="13:30" s="3161" customFormat="1">
      <c r="M80" s="2999"/>
      <c r="R80" s="3290"/>
      <c r="S80" s="3290"/>
      <c r="T80" s="3290"/>
      <c r="U80" s="3290"/>
      <c r="V80" s="3290"/>
      <c r="W80" s="3290"/>
      <c r="X80" s="3290"/>
      <c r="Y80" s="3290"/>
      <c r="Z80" s="3290"/>
      <c r="AA80" s="3290"/>
      <c r="AB80" s="3290"/>
      <c r="AC80" s="3290"/>
      <c r="AD80" s="3290"/>
    </row>
    <row r="81" spans="13:30" s="3161" customFormat="1">
      <c r="M81" s="2999"/>
    </row>
    <row r="82" spans="13:30" s="3161" customFormat="1">
      <c r="M82" s="2999"/>
    </row>
    <row r="83" spans="13:30" s="3161" customFormat="1">
      <c r="M83" s="2999"/>
    </row>
    <row r="84" spans="13:30" s="3161" customFormat="1">
      <c r="M84" s="2999"/>
    </row>
    <row r="85" spans="13:30" s="3161" customFormat="1">
      <c r="M85" s="2999"/>
    </row>
    <row r="86" spans="13:30" s="3161" customFormat="1">
      <c r="M86" s="2999"/>
    </row>
    <row r="87" spans="13:30" s="3161" customFormat="1">
      <c r="M87" s="2999"/>
    </row>
    <row r="89" spans="13:30">
      <c r="R89" s="4411"/>
      <c r="S89" s="4411"/>
      <c r="T89" s="4411"/>
      <c r="U89" s="4411"/>
      <c r="V89" s="4411"/>
      <c r="W89" s="4411"/>
      <c r="X89" s="4411"/>
      <c r="Y89" s="4411"/>
      <c r="Z89" s="4411"/>
      <c r="AA89" s="4411"/>
      <c r="AB89" s="4411"/>
      <c r="AC89" s="4411"/>
      <c r="AD89" s="4411"/>
    </row>
    <row r="90" spans="13:30">
      <c r="R90" s="4411"/>
      <c r="S90" s="4411"/>
      <c r="T90" s="4411"/>
      <c r="U90" s="4411"/>
      <c r="V90" s="4411"/>
      <c r="W90" s="4411"/>
      <c r="X90" s="4411"/>
      <c r="Y90" s="4411"/>
      <c r="Z90" s="4411"/>
      <c r="AA90" s="4411"/>
      <c r="AB90" s="4411"/>
      <c r="AC90" s="4411"/>
      <c r="AD90" s="4411"/>
    </row>
    <row r="91" spans="13:30">
      <c r="R91" s="4411"/>
      <c r="S91" s="4411"/>
      <c r="T91" s="4411"/>
      <c r="U91" s="4411"/>
      <c r="V91" s="4411"/>
      <c r="W91" s="4411"/>
      <c r="X91" s="4411"/>
      <c r="Y91" s="4411"/>
      <c r="Z91" s="4411"/>
      <c r="AA91" s="4411"/>
      <c r="AB91" s="4411"/>
      <c r="AC91" s="4411"/>
      <c r="AD91" s="4411"/>
    </row>
    <row r="92" spans="13:30">
      <c r="R92" s="4411"/>
      <c r="S92" s="4411"/>
      <c r="T92" s="4411"/>
      <c r="U92" s="4411"/>
      <c r="V92" s="4411"/>
      <c r="W92" s="4411"/>
      <c r="X92" s="4411"/>
      <c r="Y92" s="4411"/>
      <c r="Z92" s="4411"/>
      <c r="AA92" s="4411"/>
      <c r="AB92" s="4411"/>
      <c r="AC92" s="4411"/>
      <c r="AD92" s="4411"/>
    </row>
    <row r="93" spans="13:30">
      <c r="R93" s="4411"/>
      <c r="S93" s="4411"/>
      <c r="T93" s="4411"/>
      <c r="U93" s="4411"/>
      <c r="V93" s="4411"/>
      <c r="W93" s="4411"/>
      <c r="X93" s="4411"/>
      <c r="Y93" s="4411"/>
      <c r="Z93" s="4411"/>
      <c r="AA93" s="4411"/>
      <c r="AB93" s="4411"/>
      <c r="AC93" s="4411"/>
      <c r="AD93" s="4411"/>
    </row>
    <row r="94" spans="13:30">
      <c r="R94" s="3286"/>
      <c r="S94" s="3286"/>
      <c r="T94" s="3286"/>
      <c r="U94" s="3286"/>
      <c r="V94" s="3286"/>
      <c r="W94" s="3286"/>
      <c r="X94" s="3286"/>
      <c r="Y94" s="3286"/>
      <c r="Z94" s="3286"/>
      <c r="AA94" s="3286"/>
      <c r="AB94" s="3286"/>
      <c r="AC94" s="3286"/>
      <c r="AD94" s="3286"/>
    </row>
    <row r="95" spans="13:30">
      <c r="R95" s="3286"/>
      <c r="S95" s="3286"/>
      <c r="T95" s="3286"/>
      <c r="U95" s="3286"/>
      <c r="V95" s="3286"/>
      <c r="W95" s="3286"/>
      <c r="X95" s="3286"/>
      <c r="Y95" s="3286"/>
      <c r="Z95" s="3286"/>
      <c r="AA95" s="3286"/>
      <c r="AB95" s="3286"/>
      <c r="AC95" s="3286"/>
      <c r="AD95" s="3286"/>
    </row>
    <row r="96" spans="13:30">
      <c r="R96" s="3286"/>
      <c r="S96" s="3286"/>
      <c r="T96" s="3286"/>
      <c r="U96" s="3286"/>
      <c r="V96" s="3286"/>
      <c r="W96" s="3286"/>
      <c r="X96" s="3286"/>
      <c r="Y96" s="3286"/>
      <c r="Z96" s="3286"/>
      <c r="AA96" s="3286"/>
      <c r="AB96" s="3286"/>
      <c r="AC96" s="3286"/>
      <c r="AD96" s="3286"/>
    </row>
    <row r="97" spans="18:30">
      <c r="R97" s="3286"/>
      <c r="S97" s="3286"/>
      <c r="T97" s="3286"/>
      <c r="U97" s="3286"/>
      <c r="V97" s="3286"/>
      <c r="W97" s="3286"/>
      <c r="X97" s="3286"/>
      <c r="Y97" s="3286"/>
      <c r="Z97" s="3286"/>
      <c r="AA97" s="3286"/>
      <c r="AB97" s="3286"/>
      <c r="AC97" s="3286"/>
      <c r="AD97" s="3286"/>
    </row>
    <row r="98" spans="18:30">
      <c r="R98" s="3286"/>
      <c r="S98" s="3286"/>
      <c r="T98" s="3286"/>
      <c r="U98" s="3286"/>
      <c r="V98" s="3286"/>
      <c r="W98" s="3286"/>
      <c r="X98" s="3286"/>
      <c r="Y98" s="3286"/>
      <c r="Z98" s="3286"/>
      <c r="AA98" s="3286"/>
      <c r="AB98" s="3286"/>
      <c r="AC98" s="3286"/>
      <c r="AD98" s="3286"/>
    </row>
    <row r="99" spans="18:30">
      <c r="R99" s="3286"/>
      <c r="S99" s="3286"/>
      <c r="T99" s="3286"/>
      <c r="U99" s="3286"/>
      <c r="V99" s="3286"/>
      <c r="W99" s="3286"/>
      <c r="X99" s="3286"/>
      <c r="Y99" s="3286"/>
      <c r="Z99" s="3286"/>
      <c r="AA99" s="3286"/>
      <c r="AB99" s="3286"/>
      <c r="AC99" s="3286"/>
      <c r="AD99" s="3286"/>
    </row>
    <row r="100" spans="18:30">
      <c r="R100" s="3286"/>
      <c r="S100" s="3286"/>
      <c r="T100" s="3286"/>
      <c r="U100" s="3286"/>
      <c r="V100" s="3286"/>
      <c r="W100" s="3286"/>
      <c r="X100" s="3286"/>
      <c r="Y100" s="3286"/>
      <c r="Z100" s="3286"/>
      <c r="AA100" s="3286"/>
      <c r="AB100" s="3286"/>
      <c r="AC100" s="3286"/>
      <c r="AD100" s="3286"/>
    </row>
    <row r="101" spans="18:30">
      <c r="R101" s="3286"/>
      <c r="S101" s="3286"/>
      <c r="T101" s="3286"/>
      <c r="U101" s="3286"/>
      <c r="V101" s="3286"/>
      <c r="W101" s="3286"/>
      <c r="X101" s="3286"/>
      <c r="Y101" s="3286"/>
      <c r="Z101" s="3286"/>
      <c r="AA101" s="3286"/>
      <c r="AB101" s="3286"/>
      <c r="AC101" s="3286"/>
      <c r="AD101" s="3286"/>
    </row>
    <row r="102" spans="18:30">
      <c r="R102" s="3286"/>
      <c r="S102" s="3286"/>
      <c r="T102" s="3286"/>
      <c r="U102" s="3286"/>
      <c r="V102" s="3286"/>
      <c r="W102" s="3286"/>
      <c r="X102" s="3286"/>
      <c r="Y102" s="3286"/>
      <c r="Z102" s="3286"/>
      <c r="AA102" s="3286"/>
      <c r="AB102" s="3286"/>
      <c r="AC102" s="3286"/>
      <c r="AD102" s="3286"/>
    </row>
    <row r="103" spans="18:30">
      <c r="R103" s="3286"/>
      <c r="S103" s="3286"/>
      <c r="T103" s="3286"/>
      <c r="U103" s="3286"/>
      <c r="V103" s="3286"/>
      <c r="W103" s="3286"/>
      <c r="X103" s="3286"/>
      <c r="Y103" s="3286"/>
      <c r="Z103" s="3286"/>
      <c r="AA103" s="3286"/>
      <c r="AB103" s="3286"/>
      <c r="AC103" s="3286"/>
      <c r="AD103" s="3286"/>
    </row>
    <row r="104" spans="18:30">
      <c r="R104" s="3286"/>
      <c r="S104" s="3286"/>
      <c r="T104" s="3286"/>
      <c r="U104" s="3286"/>
      <c r="V104" s="3286"/>
      <c r="W104" s="3286"/>
      <c r="X104" s="3286"/>
      <c r="Y104" s="3286"/>
      <c r="Z104" s="3286"/>
      <c r="AA104" s="3286"/>
      <c r="AB104" s="3286"/>
      <c r="AC104" s="3286"/>
      <c r="AD104" s="3286"/>
    </row>
  </sheetData>
  <mergeCells count="4">
    <mergeCell ref="A5:K5"/>
    <mergeCell ref="A6:K6"/>
    <mergeCell ref="C10:E13"/>
    <mergeCell ref="H10:J10"/>
  </mergeCells>
  <pageMargins left="0.5" right="0" top="0" bottom="0" header="0" footer="0"/>
  <pageSetup paperSize="5" orientation="portrait"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outlinePr summaryBelow="0"/>
  </sheetPr>
  <dimension ref="A1:ES32"/>
  <sheetViews>
    <sheetView showGridLines="0" showOutlineSymbols="0" topLeftCell="A7" workbookViewId="0">
      <selection activeCell="I1" sqref="I1:I1048576"/>
    </sheetView>
  </sheetViews>
  <sheetFormatPr defaultColWidth="12.5703125" defaultRowHeight="15.75" outlineLevelRow="1" outlineLevelCol="2"/>
  <cols>
    <col min="1" max="1" width="1.85546875" style="235" customWidth="1"/>
    <col min="2" max="2" width="33.5703125" style="235" customWidth="1"/>
    <col min="3" max="3" width="10.7109375" style="235" customWidth="1"/>
    <col min="4" max="4" width="9.7109375" style="235" customWidth="1"/>
    <col min="5" max="5" width="9" style="235" customWidth="1"/>
    <col min="6" max="8" width="10.7109375" style="235" customWidth="1"/>
    <col min="9" max="9" width="14.140625" style="235" hidden="1" customWidth="1"/>
    <col min="10"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9">
      <c r="A1" s="271" t="s">
        <v>473</v>
      </c>
      <c r="B1" s="134"/>
      <c r="C1" s="134"/>
      <c r="E1" s="271"/>
      <c r="H1" s="271"/>
    </row>
    <row r="2" spans="1:9" ht="14.25" customHeight="1">
      <c r="A2" s="270" t="s">
        <v>584</v>
      </c>
      <c r="B2" s="134"/>
      <c r="C2" s="134"/>
      <c r="E2" s="270"/>
      <c r="H2" s="270"/>
    </row>
    <row r="3" spans="1:9" ht="14.25" customHeight="1">
      <c r="A3" s="134"/>
      <c r="B3" s="134"/>
      <c r="C3" s="134"/>
      <c r="E3" s="270"/>
      <c r="F3" s="270"/>
      <c r="H3" s="270"/>
    </row>
    <row r="4" spans="1:9" ht="14.25" customHeight="1">
      <c r="A4" s="4630" t="s">
        <v>471</v>
      </c>
      <c r="B4" s="4630"/>
      <c r="C4" s="4630"/>
      <c r="D4" s="4630"/>
      <c r="E4" s="4630"/>
      <c r="F4" s="4630"/>
      <c r="G4" s="4630"/>
      <c r="H4" s="4630"/>
    </row>
    <row r="5" spans="1:9" ht="12" customHeight="1">
      <c r="A5" s="4623" t="s">
        <v>583</v>
      </c>
      <c r="B5" s="4631"/>
      <c r="C5" s="4631"/>
      <c r="D5" s="4631"/>
      <c r="E5" s="4631"/>
      <c r="F5" s="4631"/>
      <c r="G5" s="4631"/>
      <c r="H5" s="4631"/>
    </row>
    <row r="6" spans="1:9" ht="21" customHeight="1">
      <c r="A6" s="140"/>
      <c r="B6" s="140"/>
      <c r="C6" s="140"/>
      <c r="D6" s="140"/>
      <c r="E6" s="140"/>
      <c r="F6" s="140"/>
      <c r="G6" s="140"/>
      <c r="H6" s="140"/>
    </row>
    <row r="7" spans="1:9" ht="14.25" customHeight="1">
      <c r="A7" s="399" t="s">
        <v>959</v>
      </c>
      <c r="B7" s="397"/>
      <c r="D7" s="134"/>
      <c r="E7" s="134"/>
      <c r="F7" s="134"/>
      <c r="G7" s="134"/>
      <c r="H7" s="134"/>
    </row>
    <row r="8" spans="1:9" ht="14.25" customHeight="1">
      <c r="A8" s="398"/>
      <c r="B8" s="1001" t="s">
        <v>970</v>
      </c>
      <c r="D8" s="134"/>
      <c r="E8" s="134"/>
      <c r="F8" s="134"/>
      <c r="G8" s="134"/>
      <c r="H8" s="134"/>
    </row>
    <row r="9" spans="1:9" ht="15.75" customHeight="1">
      <c r="A9" s="398"/>
      <c r="B9" s="397"/>
      <c r="D9" s="134"/>
      <c r="E9" s="134"/>
      <c r="F9" s="134"/>
      <c r="G9" s="134"/>
      <c r="H9" s="134"/>
    </row>
    <row r="10" spans="1:9" ht="14.25" customHeight="1">
      <c r="A10" s="4624" t="s">
        <v>468</v>
      </c>
      <c r="B10" s="4625"/>
      <c r="C10" s="265" t="s">
        <v>467</v>
      </c>
      <c r="D10" s="264" t="s">
        <v>466</v>
      </c>
      <c r="E10" s="4632" t="s">
        <v>465</v>
      </c>
      <c r="F10" s="4633"/>
      <c r="G10" s="4634"/>
      <c r="H10" s="265" t="s">
        <v>464</v>
      </c>
    </row>
    <row r="11" spans="1:9" ht="14.25" customHeight="1">
      <c r="A11" s="4626"/>
      <c r="B11" s="4627"/>
      <c r="C11" s="261" t="s">
        <v>463</v>
      </c>
      <c r="D11" s="262" t="s">
        <v>573</v>
      </c>
      <c r="E11" s="503" t="s">
        <v>462</v>
      </c>
      <c r="F11" s="503" t="s">
        <v>461</v>
      </c>
      <c r="G11" s="262" t="s">
        <v>244</v>
      </c>
      <c r="H11" s="262">
        <v>2022</v>
      </c>
    </row>
    <row r="12" spans="1:9" ht="14.25" customHeight="1">
      <c r="A12" s="4628"/>
      <c r="B12" s="4629"/>
      <c r="C12" s="260"/>
      <c r="D12" s="258" t="s">
        <v>460</v>
      </c>
      <c r="E12" s="258" t="s">
        <v>460</v>
      </c>
      <c r="F12" s="258" t="s">
        <v>459</v>
      </c>
      <c r="G12" s="259"/>
      <c r="H12" s="258" t="s">
        <v>458</v>
      </c>
    </row>
    <row r="13" spans="1:9" ht="20.100000000000001" customHeight="1">
      <c r="A13" s="1000" t="s">
        <v>456</v>
      </c>
      <c r="B13" s="999"/>
      <c r="C13" s="998"/>
      <c r="D13" s="998">
        <f>SUM(D14:D25)</f>
        <v>141200</v>
      </c>
      <c r="E13" s="998">
        <f>SUM(E14:E25)</f>
        <v>32700</v>
      </c>
      <c r="F13" s="998">
        <f>SUM(F14:F25)</f>
        <v>47300</v>
      </c>
      <c r="G13" s="998">
        <f>SUM(G14:G25)</f>
        <v>80000</v>
      </c>
      <c r="H13" s="998">
        <f>SUM(H14:H25)</f>
        <v>159200</v>
      </c>
    </row>
    <row r="14" spans="1:9" ht="17.100000000000001" customHeight="1" outlineLevel="1">
      <c r="A14" s="180" t="s">
        <v>397</v>
      </c>
      <c r="B14" s="468"/>
      <c r="C14" s="735" t="s">
        <v>396</v>
      </c>
      <c r="D14" s="951">
        <v>5000</v>
      </c>
      <c r="E14" s="994">
        <v>0</v>
      </c>
      <c r="F14" s="378">
        <f>SUM(G14-E14)</f>
        <v>0</v>
      </c>
      <c r="G14" s="157">
        <v>0</v>
      </c>
      <c r="H14" s="157">
        <v>0</v>
      </c>
    </row>
    <row r="15" spans="1:9" ht="17.100000000000001" customHeight="1" outlineLevel="1">
      <c r="A15" s="469" t="s">
        <v>389</v>
      </c>
      <c r="B15" s="175"/>
      <c r="C15" s="341" t="s">
        <v>388</v>
      </c>
      <c r="D15" s="951">
        <v>102600</v>
      </c>
      <c r="E15" s="994">
        <v>32700</v>
      </c>
      <c r="F15" s="378">
        <f>SUM(G15-E15)</f>
        <v>46500</v>
      </c>
      <c r="G15" s="157">
        <v>79200</v>
      </c>
      <c r="H15" s="157">
        <v>158400</v>
      </c>
    </row>
    <row r="16" spans="1:9" ht="17.100000000000001" customHeight="1" outlineLevel="1">
      <c r="A16" s="176" t="s">
        <v>368</v>
      </c>
      <c r="B16" s="175"/>
      <c r="C16" s="997" t="s">
        <v>367</v>
      </c>
      <c r="D16" s="951">
        <v>33600</v>
      </c>
      <c r="E16" s="994">
        <v>0</v>
      </c>
      <c r="F16" s="378">
        <f>SUM(G16-E16)</f>
        <v>800</v>
      </c>
      <c r="G16" s="157">
        <v>800</v>
      </c>
      <c r="H16" s="157">
        <v>800</v>
      </c>
      <c r="I16" s="723" t="s">
        <v>957</v>
      </c>
    </row>
    <row r="17" spans="1:11" s="134" customFormat="1" ht="17.100000000000001" customHeight="1" outlineLevel="1">
      <c r="A17" s="176"/>
      <c r="B17" s="175"/>
      <c r="C17" s="997"/>
      <c r="D17" s="951"/>
      <c r="E17" s="994"/>
      <c r="F17" s="378"/>
      <c r="G17" s="157"/>
      <c r="H17" s="157"/>
    </row>
    <row r="18" spans="1:11" s="134" customFormat="1" ht="17.100000000000001" customHeight="1" outlineLevel="1">
      <c r="A18" s="176"/>
      <c r="B18" s="175"/>
      <c r="C18" s="996"/>
      <c r="D18" s="951"/>
      <c r="E18" s="994"/>
      <c r="F18" s="378"/>
      <c r="G18" s="390"/>
      <c r="H18" s="157"/>
    </row>
    <row r="19" spans="1:11" s="134" customFormat="1" ht="17.100000000000001" customHeight="1" outlineLevel="1">
      <c r="A19" s="176"/>
      <c r="B19" s="175"/>
      <c r="C19" s="996"/>
      <c r="D19" s="951"/>
      <c r="E19" s="994"/>
      <c r="F19" s="378"/>
      <c r="G19" s="390"/>
      <c r="H19" s="157"/>
    </row>
    <row r="20" spans="1:11" ht="17.100000000000001" customHeight="1" outlineLevel="1">
      <c r="A20" s="163"/>
      <c r="B20" s="162"/>
      <c r="C20" s="587"/>
      <c r="D20" s="951"/>
      <c r="E20" s="994"/>
      <c r="F20" s="238"/>
      <c r="G20" s="995"/>
      <c r="H20" s="157"/>
    </row>
    <row r="21" spans="1:11" ht="17.100000000000001" customHeight="1" outlineLevel="1">
      <c r="A21" s="163"/>
      <c r="B21" s="162"/>
      <c r="C21" s="530"/>
      <c r="D21" s="951"/>
      <c r="E21" s="994"/>
      <c r="F21" s="238"/>
      <c r="G21" s="390"/>
      <c r="H21" s="157"/>
    </row>
    <row r="22" spans="1:11" ht="17.100000000000001" customHeight="1" outlineLevel="1">
      <c r="A22" s="176"/>
      <c r="B22" s="175"/>
      <c r="C22" s="587"/>
      <c r="D22" s="951"/>
      <c r="E22" s="994"/>
      <c r="F22" s="238"/>
      <c r="G22" s="390"/>
      <c r="H22" s="157"/>
    </row>
    <row r="23" spans="1:11" s="344" customFormat="1" ht="17.100000000000001" customHeight="1" outlineLevel="1">
      <c r="A23" s="512"/>
      <c r="B23" s="973"/>
      <c r="C23" s="972"/>
      <c r="D23" s="951"/>
      <c r="E23" s="994"/>
      <c r="F23" s="238"/>
      <c r="G23" s="390"/>
      <c r="H23" s="157"/>
    </row>
    <row r="24" spans="1:11" s="344" customFormat="1" ht="17.100000000000001" customHeight="1" outlineLevel="1">
      <c r="A24" s="512"/>
      <c r="B24" s="511"/>
      <c r="C24" s="971"/>
      <c r="D24" s="951"/>
      <c r="E24" s="994"/>
      <c r="F24" s="238"/>
      <c r="G24" s="390"/>
      <c r="H24" s="157"/>
    </row>
    <row r="25" spans="1:11" s="344" customFormat="1" ht="17.100000000000001" customHeight="1" outlineLevel="1">
      <c r="A25" s="508"/>
      <c r="B25" s="507"/>
      <c r="C25" s="970"/>
      <c r="D25" s="969"/>
      <c r="E25" s="993"/>
      <c r="F25" s="992"/>
      <c r="G25" s="991"/>
      <c r="H25" s="149"/>
    </row>
    <row r="26" spans="1:11" s="344" customFormat="1" ht="17.100000000000001" customHeight="1" outlineLevel="1" thickBot="1">
      <c r="A26" s="732" t="s">
        <v>366</v>
      </c>
      <c r="B26" s="731"/>
      <c r="C26" s="146"/>
      <c r="D26" s="456">
        <f>SUM(D13)</f>
        <v>141200</v>
      </c>
      <c r="E26" s="456">
        <f>SUM(E13)</f>
        <v>32700</v>
      </c>
      <c r="F26" s="456">
        <f>SUM(F13)</f>
        <v>47300</v>
      </c>
      <c r="G26" s="456">
        <f>SUM(G13)</f>
        <v>80000</v>
      </c>
      <c r="H26" s="455">
        <f>SUM(H13)</f>
        <v>159200</v>
      </c>
      <c r="I26" s="965" t="s">
        <v>969</v>
      </c>
    </row>
    <row r="27" spans="1:11" s="134" customFormat="1" ht="19.149999999999999" customHeight="1" thickTop="1">
      <c r="A27" s="134" t="s">
        <v>968</v>
      </c>
      <c r="B27" s="453"/>
      <c r="C27" s="940" t="s">
        <v>947</v>
      </c>
      <c r="D27" s="940"/>
      <c r="E27" s="940"/>
      <c r="F27" s="939" t="s">
        <v>967</v>
      </c>
      <c r="G27" s="939"/>
      <c r="H27" s="938"/>
      <c r="I27" s="937"/>
    </row>
    <row r="28" spans="1:11" s="134" customFormat="1" ht="18" customHeight="1">
      <c r="C28" s="964"/>
      <c r="D28" s="344"/>
      <c r="E28" s="148"/>
      <c r="F28" s="148"/>
      <c r="G28" s="148"/>
      <c r="H28" s="344"/>
      <c r="I28" s="148"/>
    </row>
    <row r="29" spans="1:11" s="134" customFormat="1" ht="22.5" customHeight="1">
      <c r="A29" s="4651" t="s">
        <v>945</v>
      </c>
      <c r="B29" s="4651"/>
      <c r="C29" s="4635" t="s">
        <v>360</v>
      </c>
      <c r="D29" s="4635"/>
      <c r="E29" s="4635"/>
      <c r="F29" s="4630" t="s">
        <v>359</v>
      </c>
      <c r="G29" s="4630"/>
      <c r="H29" s="4630"/>
      <c r="I29" s="963"/>
      <c r="J29" s="936"/>
      <c r="K29" s="936"/>
    </row>
    <row r="30" spans="1:11" s="135" customFormat="1" ht="13.5">
      <c r="A30" s="4704" t="s">
        <v>944</v>
      </c>
      <c r="B30" s="4704"/>
      <c r="C30" s="4655" t="s">
        <v>357</v>
      </c>
      <c r="D30" s="4655"/>
      <c r="E30" s="4655"/>
      <c r="F30" s="4623" t="s">
        <v>356</v>
      </c>
      <c r="G30" s="4623"/>
      <c r="H30" s="4623"/>
      <c r="I30" s="962"/>
      <c r="J30" s="935"/>
      <c r="K30" s="935"/>
    </row>
    <row r="31" spans="1:11" s="135" customFormat="1" ht="13.5">
      <c r="A31" s="4704"/>
      <c r="B31" s="4704"/>
      <c r="C31" s="4655"/>
      <c r="D31" s="4655"/>
      <c r="E31" s="4655"/>
      <c r="G31" s="137"/>
      <c r="H31" s="137"/>
      <c r="I31" s="961"/>
      <c r="J31" s="137"/>
      <c r="K31" s="137"/>
    </row>
    <row r="32" spans="1:11">
      <c r="C32" s="135"/>
      <c r="D32" s="137"/>
      <c r="E32" s="137"/>
      <c r="F32" s="137"/>
      <c r="G32" s="137"/>
      <c r="H32" s="137"/>
      <c r="I32" s="344"/>
    </row>
  </sheetData>
  <mergeCells count="12">
    <mergeCell ref="C31:E31"/>
    <mergeCell ref="A30:B30"/>
    <mergeCell ref="C30:E30"/>
    <mergeCell ref="F30:H30"/>
    <mergeCell ref="A10:B12"/>
    <mergeCell ref="A31:B31"/>
    <mergeCell ref="A4:H4"/>
    <mergeCell ref="A5:H5"/>
    <mergeCell ref="E10:G10"/>
    <mergeCell ref="A29:B29"/>
    <mergeCell ref="C29:E29"/>
    <mergeCell ref="F29:H29"/>
  </mergeCells>
  <pageMargins left="0.5" right="0" top="0.25" bottom="0" header="0.5" footer="0"/>
  <pageSetup paperSize="5"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L327"/>
  <sheetViews>
    <sheetView showGridLines="0" tabSelected="1" showOutlineSymbols="0" topLeftCell="A30" zoomScaleNormal="100" workbookViewId="0">
      <selection activeCell="D45" sqref="D45"/>
    </sheetView>
  </sheetViews>
  <sheetFormatPr defaultColWidth="12.5703125" defaultRowHeight="12.75" outlineLevelRow="1" outlineLevelCol="2"/>
  <cols>
    <col min="1" max="1" width="5.42578125" style="1" customWidth="1"/>
    <col min="2" max="2" width="4.28515625" style="1" customWidth="1"/>
    <col min="3" max="3" width="31.140625" style="1" customWidth="1"/>
    <col min="4" max="4" width="30" style="1" customWidth="1"/>
    <col min="5" max="5" width="4.28515625" style="4" customWidth="1"/>
    <col min="6" max="6" width="15.7109375" style="1" customWidth="1" outlineLevel="1"/>
    <col min="7" max="7" width="5" style="1" customWidth="1" outlineLevel="1"/>
    <col min="8" max="8" width="15.7109375" style="1" customWidth="1" outlineLevel="1"/>
    <col min="9" max="9" width="12.42578125" style="1" customWidth="1" outlineLevel="1"/>
    <col min="10" max="10" width="5.5703125" style="3" hidden="1" customWidth="1" outlineLevel="1"/>
    <col min="11" max="11" width="12.5703125" style="3" hidden="1" customWidth="1" outlineLevel="1"/>
    <col min="12" max="12" width="12" style="1" hidden="1" customWidth="1"/>
    <col min="13" max="13" width="0" style="1" hidden="1" customWidth="1"/>
    <col min="14" max="14" width="2.7109375" style="2" hidden="1" customWidth="1"/>
    <col min="15" max="15" width="9.85546875" style="1" hidden="1" customWidth="1"/>
    <col min="16" max="16" width="10.7109375" style="1" hidden="1" customWidth="1"/>
    <col min="17" max="17" width="3" style="1" hidden="1" customWidth="1"/>
    <col min="18" max="18" width="8.85546875" style="1" hidden="1" customWidth="1"/>
    <col min="19" max="24" width="0" style="1" hidden="1" customWidth="1"/>
    <col min="25" max="103" width="12.5703125" style="1"/>
    <col min="104" max="107" width="12.5703125" style="1" outlineLevel="1"/>
    <col min="108" max="113" width="12.5703125" style="1" outlineLevel="2"/>
    <col min="114" max="116" width="12.5703125" style="1" outlineLevel="1"/>
    <col min="117" max="16384" width="12.5703125" style="1"/>
  </cols>
  <sheetData>
    <row r="1" spans="1:18">
      <c r="H1" s="133" t="s">
        <v>355</v>
      </c>
    </row>
    <row r="2" spans="1:18" ht="12.75" customHeight="1">
      <c r="H2" s="132" t="s">
        <v>354</v>
      </c>
    </row>
    <row r="3" spans="1:18" ht="15" customHeight="1">
      <c r="A3" s="4615" t="s">
        <v>353</v>
      </c>
      <c r="B3" s="4615"/>
      <c r="C3" s="4615"/>
      <c r="D3" s="4615"/>
      <c r="E3" s="4615"/>
      <c r="F3" s="4615"/>
      <c r="G3" s="4615"/>
      <c r="H3" s="4615"/>
      <c r="I3" s="4615"/>
      <c r="J3" s="131"/>
      <c r="K3" s="131"/>
    </row>
    <row r="4" spans="1:18" s="3" customFormat="1" ht="16.5" customHeight="1">
      <c r="A4" s="4616" t="s">
        <v>352</v>
      </c>
      <c r="B4" s="4616"/>
      <c r="C4" s="4616"/>
      <c r="D4" s="4616"/>
      <c r="E4" s="4616"/>
      <c r="F4" s="4616"/>
      <c r="G4" s="4616"/>
      <c r="H4" s="4616"/>
      <c r="I4" s="4616"/>
      <c r="J4" s="130"/>
      <c r="K4" s="130"/>
      <c r="N4" s="2"/>
    </row>
    <row r="5" spans="1:18" ht="13.5" customHeight="1">
      <c r="A5" s="4617" t="s">
        <v>351</v>
      </c>
      <c r="B5" s="4617"/>
      <c r="C5" s="4617"/>
      <c r="D5" s="4617"/>
      <c r="E5" s="4617"/>
      <c r="F5" s="4617"/>
      <c r="G5" s="4617"/>
      <c r="H5" s="4617"/>
      <c r="I5" s="4617"/>
      <c r="J5" s="129"/>
      <c r="K5" s="129"/>
    </row>
    <row r="6" spans="1:18" s="3" customFormat="1" ht="13.9" customHeight="1">
      <c r="A6" s="126" t="s">
        <v>350</v>
      </c>
      <c r="B6" s="128" t="s">
        <v>349</v>
      </c>
      <c r="D6" s="127"/>
      <c r="E6" s="5"/>
      <c r="G6" s="4618"/>
      <c r="H6" s="4618"/>
      <c r="I6" s="126"/>
      <c r="J6" s="4618"/>
      <c r="K6" s="4618"/>
      <c r="N6" s="2"/>
    </row>
    <row r="7" spans="1:18" ht="13.5" customHeight="1">
      <c r="A7" s="123"/>
      <c r="B7" s="125"/>
      <c r="C7" s="124"/>
      <c r="D7" s="123"/>
      <c r="E7" s="4619" t="s">
        <v>348</v>
      </c>
      <c r="F7" s="4620"/>
      <c r="G7" s="4619" t="s">
        <v>347</v>
      </c>
      <c r="H7" s="4620"/>
      <c r="I7" s="115"/>
      <c r="J7" s="4607" t="s">
        <v>347</v>
      </c>
      <c r="K7" s="4608"/>
    </row>
    <row r="8" spans="1:18" ht="13.5" customHeight="1">
      <c r="A8" s="122"/>
      <c r="B8" s="121"/>
      <c r="C8" s="120"/>
      <c r="D8" s="119"/>
      <c r="E8" s="4604" t="s">
        <v>346</v>
      </c>
      <c r="F8" s="4605"/>
      <c r="G8" s="4604" t="s">
        <v>345</v>
      </c>
      <c r="H8" s="4605"/>
      <c r="I8" s="114"/>
      <c r="J8" s="4609" t="s">
        <v>345</v>
      </c>
      <c r="K8" s="4610"/>
    </row>
    <row r="9" spans="1:18" ht="13.5" customHeight="1">
      <c r="A9" s="122"/>
      <c r="B9" s="121"/>
      <c r="C9" s="120"/>
      <c r="D9" s="119"/>
      <c r="E9" s="4604" t="s">
        <v>344</v>
      </c>
      <c r="F9" s="4605"/>
      <c r="G9" s="4604" t="s">
        <v>344</v>
      </c>
      <c r="H9" s="4605"/>
      <c r="I9" s="114"/>
      <c r="J9" s="4609" t="s">
        <v>344</v>
      </c>
      <c r="K9" s="4610"/>
    </row>
    <row r="10" spans="1:18" ht="13.5" customHeight="1">
      <c r="A10" s="4604" t="s">
        <v>343</v>
      </c>
      <c r="B10" s="4605"/>
      <c r="C10" s="114" t="s">
        <v>342</v>
      </c>
      <c r="D10" s="112" t="s">
        <v>341</v>
      </c>
      <c r="E10" s="113" t="s">
        <v>339</v>
      </c>
      <c r="F10" s="118"/>
      <c r="G10" s="113" t="s">
        <v>339</v>
      </c>
      <c r="H10" s="118"/>
      <c r="I10" s="114" t="s">
        <v>340</v>
      </c>
      <c r="J10" s="110" t="s">
        <v>339</v>
      </c>
      <c r="K10" s="117"/>
      <c r="L10" s="4612" t="s">
        <v>338</v>
      </c>
      <c r="M10" s="4613"/>
      <c r="N10" s="41"/>
      <c r="O10" s="4612" t="s">
        <v>338</v>
      </c>
      <c r="P10" s="4613"/>
    </row>
    <row r="11" spans="1:18" ht="14.25" customHeight="1">
      <c r="A11" s="116" t="s">
        <v>337</v>
      </c>
      <c r="B11" s="115" t="s">
        <v>336</v>
      </c>
      <c r="C11" s="114"/>
      <c r="D11" s="112"/>
      <c r="E11" s="113" t="s">
        <v>334</v>
      </c>
      <c r="F11" s="112" t="s">
        <v>333</v>
      </c>
      <c r="G11" s="113" t="s">
        <v>334</v>
      </c>
      <c r="H11" s="112" t="s">
        <v>333</v>
      </c>
      <c r="I11" s="111" t="s">
        <v>335</v>
      </c>
      <c r="J11" s="110" t="s">
        <v>334</v>
      </c>
      <c r="K11" s="109" t="s">
        <v>333</v>
      </c>
      <c r="L11" s="4611" t="s">
        <v>332</v>
      </c>
      <c r="M11" s="4611"/>
      <c r="N11" s="108"/>
      <c r="O11" s="4611"/>
      <c r="P11" s="4611"/>
    </row>
    <row r="12" spans="1:18" s="99" customFormat="1" ht="14.25" customHeight="1">
      <c r="A12" s="107" t="s">
        <v>331</v>
      </c>
      <c r="B12" s="106" t="s">
        <v>330</v>
      </c>
      <c r="C12" s="106" t="s">
        <v>329</v>
      </c>
      <c r="D12" s="105" t="s">
        <v>328</v>
      </c>
      <c r="E12" s="105" t="s">
        <v>327</v>
      </c>
      <c r="F12" s="106" t="s">
        <v>326</v>
      </c>
      <c r="G12" s="105" t="s">
        <v>324</v>
      </c>
      <c r="H12" s="106" t="s">
        <v>323</v>
      </c>
      <c r="I12" s="105" t="s">
        <v>325</v>
      </c>
      <c r="J12" s="104" t="s">
        <v>324</v>
      </c>
      <c r="K12" s="103" t="s">
        <v>323</v>
      </c>
      <c r="L12" s="101" t="s">
        <v>322</v>
      </c>
      <c r="M12" s="100" t="s">
        <v>321</v>
      </c>
      <c r="N12" s="102"/>
      <c r="O12" s="101" t="s">
        <v>322</v>
      </c>
      <c r="P12" s="100" t="s">
        <v>321</v>
      </c>
    </row>
    <row r="13" spans="1:18" ht="13.15" customHeight="1" outlineLevel="1">
      <c r="A13" s="98" t="s">
        <v>320</v>
      </c>
      <c r="B13" s="98" t="s">
        <v>320</v>
      </c>
      <c r="C13" s="92" t="s">
        <v>319</v>
      </c>
      <c r="D13" s="89" t="s">
        <v>318</v>
      </c>
      <c r="E13" s="97" t="s">
        <v>47</v>
      </c>
      <c r="F13" s="67">
        <v>1127304</v>
      </c>
      <c r="G13" s="97" t="s">
        <v>47</v>
      </c>
      <c r="H13" s="69">
        <f>IF(G13="ABOLISHED",0,(VLOOKUP(G13,$A$59:$B298,2,FALSE)*12))</f>
        <v>1127304</v>
      </c>
      <c r="I13" s="68">
        <f>SUM(H13-F13)</f>
        <v>0</v>
      </c>
      <c r="J13" s="97" t="s">
        <v>47</v>
      </c>
      <c r="K13" s="67">
        <f>IF(J13="ABOLISHED",0, (VLOOKUP(J13,$A$59:$C298,3,FALSE)*12))</f>
        <v>1127304</v>
      </c>
      <c r="L13" s="58">
        <f>SUM(H13/12)</f>
        <v>93942</v>
      </c>
      <c r="M13" s="80">
        <f>IF(L13&gt;=80000,1600,SUM(L13*4%)/2)</f>
        <v>1600</v>
      </c>
      <c r="O13" s="58">
        <f>SUM(K13/12)</f>
        <v>93942</v>
      </c>
      <c r="P13" s="80">
        <f>IF(O13&gt;=80000,1600,SUM(O13*4%)/2)</f>
        <v>1600</v>
      </c>
      <c r="R13" s="1">
        <f>SUM(P13-M13)</f>
        <v>0</v>
      </c>
    </row>
    <row r="14" spans="1:18" s="3" customFormat="1" ht="13.15" customHeight="1" outlineLevel="1">
      <c r="A14" s="84"/>
      <c r="B14" s="84"/>
      <c r="C14" s="95" t="s">
        <v>317</v>
      </c>
      <c r="D14" s="89"/>
      <c r="E14" s="97"/>
      <c r="F14" s="93"/>
      <c r="G14" s="97"/>
      <c r="H14" s="69"/>
      <c r="I14" s="68"/>
      <c r="J14" s="97"/>
      <c r="K14" s="93"/>
      <c r="L14" s="58"/>
      <c r="M14" s="80" t="s">
        <v>256</v>
      </c>
      <c r="N14" s="2"/>
      <c r="O14" s="58"/>
      <c r="P14" s="80" t="s">
        <v>256</v>
      </c>
    </row>
    <row r="15" spans="1:18" s="3" customFormat="1" ht="13.15" customHeight="1" outlineLevel="1">
      <c r="A15" s="84"/>
      <c r="B15" s="84"/>
      <c r="C15" s="94" t="s">
        <v>316</v>
      </c>
      <c r="D15" s="89"/>
      <c r="E15" s="82"/>
      <c r="F15" s="93"/>
      <c r="G15" s="82"/>
      <c r="H15" s="69"/>
      <c r="I15" s="68"/>
      <c r="J15" s="82"/>
      <c r="K15" s="93"/>
      <c r="L15" s="58"/>
      <c r="M15" s="80" t="s">
        <v>256</v>
      </c>
      <c r="N15" s="2"/>
      <c r="O15" s="58"/>
      <c r="P15" s="80" t="s">
        <v>256</v>
      </c>
    </row>
    <row r="16" spans="1:18" s="3" customFormat="1" ht="13.15" customHeight="1" outlineLevel="1">
      <c r="A16" s="84"/>
      <c r="B16" s="84"/>
      <c r="C16" s="83" t="s">
        <v>315</v>
      </c>
      <c r="D16" s="89"/>
      <c r="E16" s="96"/>
      <c r="F16" s="93"/>
      <c r="G16" s="96"/>
      <c r="H16" s="69"/>
      <c r="I16" s="68"/>
      <c r="J16" s="96"/>
      <c r="K16" s="93"/>
      <c r="L16" s="58"/>
      <c r="M16" s="80" t="s">
        <v>256</v>
      </c>
      <c r="N16" s="2"/>
      <c r="O16" s="58"/>
      <c r="P16" s="80" t="s">
        <v>256</v>
      </c>
    </row>
    <row r="17" spans="1:18" s="3" customFormat="1" ht="13.15" customHeight="1" outlineLevel="1">
      <c r="A17" s="65" t="s">
        <v>314</v>
      </c>
      <c r="B17" s="65" t="s">
        <v>314</v>
      </c>
      <c r="C17" s="86" t="s">
        <v>313</v>
      </c>
      <c r="D17" s="89" t="s">
        <v>312</v>
      </c>
      <c r="E17" s="85" t="s">
        <v>126</v>
      </c>
      <c r="F17" s="67">
        <v>387060</v>
      </c>
      <c r="G17" s="85" t="s">
        <v>126</v>
      </c>
      <c r="H17" s="69">
        <f>IF(G17="ABOLISHED",0,(VLOOKUP(G17,$A$59:$C302,2,FALSE)*12))</f>
        <v>387060</v>
      </c>
      <c r="I17" s="71">
        <f>SUM(H17-F17)</f>
        <v>0</v>
      </c>
      <c r="J17" s="85" t="s">
        <v>126</v>
      </c>
      <c r="K17" s="67">
        <f>IF(J17="ABOLISHED",0, (VLOOKUP(J17,$A$59:$C302,3,FALSE)*12))</f>
        <v>387060</v>
      </c>
      <c r="L17" s="58">
        <f>SUM(H17/12)</f>
        <v>32255</v>
      </c>
      <c r="M17" s="80">
        <f>IF(L17&gt;=80000,1600,SUM(L17*4%)/2)</f>
        <v>645.1</v>
      </c>
      <c r="N17" s="2"/>
      <c r="O17" s="58">
        <f>SUM(K17/12)</f>
        <v>32255</v>
      </c>
      <c r="P17" s="80">
        <f>IF(O17&gt;=80000,1600,SUM(O17*4%)/2)</f>
        <v>645.1</v>
      </c>
      <c r="R17" s="1">
        <f>SUM(P17-M17)</f>
        <v>0</v>
      </c>
    </row>
    <row r="18" spans="1:18" s="3" customFormat="1" ht="13.15" customHeight="1" outlineLevel="1">
      <c r="A18" s="65" t="s">
        <v>307</v>
      </c>
      <c r="B18" s="65" t="s">
        <v>311</v>
      </c>
      <c r="C18" s="86" t="s">
        <v>310</v>
      </c>
      <c r="D18" s="89" t="s">
        <v>309</v>
      </c>
      <c r="E18" s="85" t="s">
        <v>174</v>
      </c>
      <c r="F18" s="67">
        <v>225228</v>
      </c>
      <c r="G18" s="85" t="s">
        <v>174</v>
      </c>
      <c r="H18" s="69">
        <f>IF(G18="ABOLISHED",0,(VLOOKUP(G18,$A$59:$C304,2,FALSE)*12))</f>
        <v>225228</v>
      </c>
      <c r="I18" s="71">
        <f>SUM(H18-F18)</f>
        <v>0</v>
      </c>
      <c r="J18" s="85" t="s">
        <v>174</v>
      </c>
      <c r="K18" s="67">
        <f>IF(J18="ABOLISHED",0, (VLOOKUP(J18,$A$59:$C304,3,FALSE)*12))</f>
        <v>225228</v>
      </c>
      <c r="L18" s="58">
        <f>SUM(H18/12)</f>
        <v>18769</v>
      </c>
      <c r="M18" s="80">
        <f>IF(L18&gt;=80000,1600,SUM(L18*4%)/2)</f>
        <v>375.38</v>
      </c>
      <c r="N18" s="2"/>
      <c r="O18" s="58">
        <f>SUM(K18/12)</f>
        <v>18769</v>
      </c>
      <c r="P18" s="80">
        <f>IF(O18&gt;=80000,1600,SUM(O18*4%)/2)</f>
        <v>375.38</v>
      </c>
      <c r="R18" s="1">
        <f>SUM(P18-M18)</f>
        <v>0</v>
      </c>
    </row>
    <row r="19" spans="1:18" s="3" customFormat="1" ht="12.6" customHeight="1" outlineLevel="1">
      <c r="A19" s="65" t="s">
        <v>308</v>
      </c>
      <c r="B19" s="65" t="s">
        <v>307</v>
      </c>
      <c r="C19" s="92" t="s">
        <v>246</v>
      </c>
      <c r="D19" s="89" t="s">
        <v>306</v>
      </c>
      <c r="E19" s="82" t="s">
        <v>230</v>
      </c>
      <c r="F19" s="67">
        <v>146928</v>
      </c>
      <c r="G19" s="82" t="s">
        <v>230</v>
      </c>
      <c r="H19" s="69">
        <f>IF(G19="ABOLISHED",0,(VLOOKUP(G19,$A$59:$C306,2,FALSE)*12))</f>
        <v>146928</v>
      </c>
      <c r="I19" s="68">
        <f>SUM(H19-F19)</f>
        <v>0</v>
      </c>
      <c r="J19" s="82" t="s">
        <v>230</v>
      </c>
      <c r="K19" s="67">
        <f>IF(J19="ABOLISHED",0, (VLOOKUP(J19,$A$59:$C306,3,FALSE)*12))</f>
        <v>146928</v>
      </c>
      <c r="L19" s="58">
        <f>SUM(H19/12)</f>
        <v>12244</v>
      </c>
      <c r="M19" s="80">
        <f>IF(L19&gt;=80000,1600,SUM(L19*4%)/2)</f>
        <v>244.88</v>
      </c>
      <c r="N19" s="2"/>
      <c r="O19" s="58">
        <f>SUM(K19/12)</f>
        <v>12244</v>
      </c>
      <c r="P19" s="80">
        <f>IF(O19&gt;=80000,1600,SUM(O19*4%)/2)</f>
        <v>244.88</v>
      </c>
      <c r="R19" s="1">
        <f>SUM(P19-M19)</f>
        <v>0</v>
      </c>
    </row>
    <row r="20" spans="1:18" s="3" customFormat="1" ht="12.6" customHeight="1" outlineLevel="1">
      <c r="A20" s="65"/>
      <c r="B20" s="65"/>
      <c r="C20" s="83" t="s">
        <v>305</v>
      </c>
      <c r="D20" s="89"/>
      <c r="E20" s="96"/>
      <c r="F20" s="67"/>
      <c r="G20" s="96"/>
      <c r="H20" s="69"/>
      <c r="I20" s="68"/>
      <c r="J20" s="96"/>
      <c r="K20" s="67"/>
      <c r="L20" s="58"/>
      <c r="M20" s="80" t="s">
        <v>256</v>
      </c>
      <c r="N20" s="2"/>
      <c r="O20" s="58"/>
      <c r="P20" s="80" t="s">
        <v>256</v>
      </c>
      <c r="R20" s="1"/>
    </row>
    <row r="21" spans="1:18" s="3" customFormat="1" ht="13.15" customHeight="1" outlineLevel="1">
      <c r="A21" s="65" t="s">
        <v>294</v>
      </c>
      <c r="B21" s="65" t="s">
        <v>304</v>
      </c>
      <c r="C21" s="86" t="s">
        <v>303</v>
      </c>
      <c r="D21" s="89" t="s">
        <v>245</v>
      </c>
      <c r="E21" s="85" t="s">
        <v>175</v>
      </c>
      <c r="F21" s="67">
        <v>223356</v>
      </c>
      <c r="G21" s="85" t="s">
        <v>252</v>
      </c>
      <c r="H21" s="69">
        <f>IF(G21="ABOLISHED",0,(VLOOKUP(G21,$A$59:$C308,2,FALSE)*12))</f>
        <v>0</v>
      </c>
      <c r="I21" s="71">
        <f t="shared" ref="I21:I26" si="0">SUM(H21-F21)</f>
        <v>-223356</v>
      </c>
      <c r="J21" s="85" t="s">
        <v>252</v>
      </c>
      <c r="K21" s="67">
        <f>IF(J21="ABOLISHED",0, (VLOOKUP(J21,$A$59:$C308,3,FALSE)*12))</f>
        <v>0</v>
      </c>
      <c r="L21" s="58">
        <f t="shared" ref="L21:L26" si="1">SUM(H21/12)</f>
        <v>0</v>
      </c>
      <c r="M21" s="80">
        <f t="shared" ref="M21:M26" si="2">IF(L21&gt;=80000,1600,SUM(L21*4%)/2)</f>
        <v>0</v>
      </c>
      <c r="N21" s="2"/>
      <c r="O21" s="58">
        <f t="shared" ref="O21:O26" si="3">SUM(K21/12)</f>
        <v>0</v>
      </c>
      <c r="P21" s="80">
        <f t="shared" ref="P21:P26" si="4">IF(O21&gt;=80000,1600,SUM(O21*4%)/2)</f>
        <v>0</v>
      </c>
      <c r="R21" s="1">
        <f t="shared" ref="R21:R26" si="5">SUM(P21-M21)</f>
        <v>0</v>
      </c>
    </row>
    <row r="22" spans="1:18" s="3" customFormat="1" ht="13.15" customHeight="1" outlineLevel="1">
      <c r="A22" s="65" t="s">
        <v>302</v>
      </c>
      <c r="B22" s="65" t="s">
        <v>301</v>
      </c>
      <c r="C22" s="73" t="s">
        <v>296</v>
      </c>
      <c r="D22" s="72" t="s">
        <v>300</v>
      </c>
      <c r="E22" s="70" t="s">
        <v>223</v>
      </c>
      <c r="F22" s="67">
        <v>154716</v>
      </c>
      <c r="G22" s="70" t="s">
        <v>223</v>
      </c>
      <c r="H22" s="69">
        <f>IF(G22="ABOLISHED",0,(VLOOKUP(G22,$A$59:$C312,2,FALSE)*12))</f>
        <v>154716</v>
      </c>
      <c r="I22" s="71">
        <f t="shared" si="0"/>
        <v>0</v>
      </c>
      <c r="J22" s="70" t="s">
        <v>223</v>
      </c>
      <c r="K22" s="67">
        <f>IF(J22="ABOLISHED",0, (VLOOKUP(J22,$A$59:$C312,3,FALSE)*12))</f>
        <v>154716</v>
      </c>
      <c r="L22" s="58">
        <f t="shared" si="1"/>
        <v>12893</v>
      </c>
      <c r="M22" s="80">
        <f t="shared" si="2"/>
        <v>257.86</v>
      </c>
      <c r="N22" s="2"/>
      <c r="O22" s="58">
        <f t="shared" si="3"/>
        <v>12893</v>
      </c>
      <c r="P22" s="80">
        <f t="shared" si="4"/>
        <v>257.86</v>
      </c>
      <c r="R22" s="1">
        <f t="shared" si="5"/>
        <v>0</v>
      </c>
    </row>
    <row r="23" spans="1:18" s="3" customFormat="1" ht="13.15" customHeight="1" outlineLevel="1">
      <c r="A23" s="65" t="s">
        <v>298</v>
      </c>
      <c r="B23" s="65" t="s">
        <v>297</v>
      </c>
      <c r="C23" s="73" t="s">
        <v>296</v>
      </c>
      <c r="D23" s="72" t="s">
        <v>299</v>
      </c>
      <c r="E23" s="70" t="s">
        <v>223</v>
      </c>
      <c r="F23" s="67">
        <v>154716</v>
      </c>
      <c r="G23" s="70" t="s">
        <v>223</v>
      </c>
      <c r="H23" s="69">
        <f>IF(G23="ABOLISHED",0,(VLOOKUP(G23,$A$59:$C313,2,FALSE)*12))</f>
        <v>154716</v>
      </c>
      <c r="I23" s="71">
        <f t="shared" si="0"/>
        <v>0</v>
      </c>
      <c r="J23" s="70" t="s">
        <v>223</v>
      </c>
      <c r="K23" s="67">
        <f>IF(J23="ABOLISHED",0, (VLOOKUP(J23,$A$59:$C313,3,FALSE)*12))</f>
        <v>154716</v>
      </c>
      <c r="L23" s="58">
        <f t="shared" si="1"/>
        <v>12893</v>
      </c>
      <c r="M23" s="80">
        <f t="shared" si="2"/>
        <v>257.86</v>
      </c>
      <c r="N23" s="2"/>
      <c r="O23" s="58">
        <f t="shared" si="3"/>
        <v>12893</v>
      </c>
      <c r="P23" s="80">
        <f t="shared" si="4"/>
        <v>257.86</v>
      </c>
      <c r="R23" s="1">
        <f t="shared" si="5"/>
        <v>0</v>
      </c>
    </row>
    <row r="24" spans="1:18" s="3" customFormat="1" ht="13.15" customHeight="1" outlineLevel="1">
      <c r="A24" s="65" t="s">
        <v>298</v>
      </c>
      <c r="B24" s="65" t="s">
        <v>297</v>
      </c>
      <c r="C24" s="73" t="s">
        <v>296</v>
      </c>
      <c r="D24" s="72" t="s">
        <v>245</v>
      </c>
      <c r="E24" s="70" t="s">
        <v>223</v>
      </c>
      <c r="F24" s="67">
        <v>154716</v>
      </c>
      <c r="G24" s="70" t="s">
        <v>223</v>
      </c>
      <c r="H24" s="69">
        <f>IF(G24="ABOLISHED",0,(VLOOKUP(G24,$A$59:$C314,2,FALSE)*12))</f>
        <v>154716</v>
      </c>
      <c r="I24" s="71">
        <f t="shared" si="0"/>
        <v>0</v>
      </c>
      <c r="J24" s="70" t="s">
        <v>223</v>
      </c>
      <c r="K24" s="67">
        <f>IF(J24="ABOLISHED",0, (VLOOKUP(J24,$A$59:$C314,3,FALSE)*12))</f>
        <v>154716</v>
      </c>
      <c r="L24" s="58">
        <f t="shared" si="1"/>
        <v>12893</v>
      </c>
      <c r="M24" s="80">
        <f t="shared" si="2"/>
        <v>257.86</v>
      </c>
      <c r="N24" s="2"/>
      <c r="O24" s="58">
        <f t="shared" si="3"/>
        <v>12893</v>
      </c>
      <c r="P24" s="80">
        <f t="shared" si="4"/>
        <v>257.86</v>
      </c>
      <c r="R24" s="1">
        <f t="shared" si="5"/>
        <v>0</v>
      </c>
    </row>
    <row r="25" spans="1:18" s="3" customFormat="1" ht="13.15" customHeight="1" outlineLevel="1">
      <c r="A25" s="65" t="s">
        <v>290</v>
      </c>
      <c r="B25" s="65" t="s">
        <v>294</v>
      </c>
      <c r="C25" s="92" t="s">
        <v>246</v>
      </c>
      <c r="D25" s="89" t="s">
        <v>295</v>
      </c>
      <c r="E25" s="82" t="s">
        <v>228</v>
      </c>
      <c r="F25" s="67">
        <v>149196</v>
      </c>
      <c r="G25" s="82" t="s">
        <v>228</v>
      </c>
      <c r="H25" s="69">
        <f>IF(G25="ABOLISHED",0,(VLOOKUP(G25,$A$59:$C311,2,FALSE)*12))</f>
        <v>149196</v>
      </c>
      <c r="I25" s="68">
        <f t="shared" si="0"/>
        <v>0</v>
      </c>
      <c r="J25" s="82" t="s">
        <v>228</v>
      </c>
      <c r="K25" s="67">
        <f>IF(J25="ABOLISHED",0, (VLOOKUP(J25,$A$59:$C311,3,FALSE)*12))</f>
        <v>149196</v>
      </c>
      <c r="L25" s="58">
        <f t="shared" si="1"/>
        <v>12433</v>
      </c>
      <c r="M25" s="80">
        <f t="shared" si="2"/>
        <v>248.66</v>
      </c>
      <c r="N25" s="2"/>
      <c r="O25" s="58">
        <f t="shared" si="3"/>
        <v>12433</v>
      </c>
      <c r="P25" s="80">
        <f t="shared" si="4"/>
        <v>248.66</v>
      </c>
      <c r="R25" s="1">
        <f t="shared" si="5"/>
        <v>0</v>
      </c>
    </row>
    <row r="26" spans="1:18" s="3" customFormat="1" ht="13.15" customHeight="1" outlineLevel="1">
      <c r="A26" s="65" t="s">
        <v>290</v>
      </c>
      <c r="B26" s="65" t="s">
        <v>294</v>
      </c>
      <c r="C26" s="92" t="s">
        <v>246</v>
      </c>
      <c r="D26" s="89" t="s">
        <v>293</v>
      </c>
      <c r="E26" s="82" t="s">
        <v>230</v>
      </c>
      <c r="F26" s="67">
        <v>146928</v>
      </c>
      <c r="G26" s="82" t="s">
        <v>229</v>
      </c>
      <c r="H26" s="69">
        <f>IF(G26="ABOLISHED",0,(VLOOKUP(G26,$A$59:$C312,2,FALSE)*12))</f>
        <v>148056</v>
      </c>
      <c r="I26" s="68">
        <f t="shared" si="0"/>
        <v>1128</v>
      </c>
      <c r="J26" s="82" t="s">
        <v>229</v>
      </c>
      <c r="K26" s="67">
        <f>IF(J26="ABOLISHED",0, (VLOOKUP(J26,$A$59:$C312,3,FALSE)*12))</f>
        <v>148056</v>
      </c>
      <c r="L26" s="58">
        <f t="shared" si="1"/>
        <v>12338</v>
      </c>
      <c r="M26" s="80">
        <f t="shared" si="2"/>
        <v>246.76000000000002</v>
      </c>
      <c r="N26" s="2"/>
      <c r="O26" s="58">
        <f t="shared" si="3"/>
        <v>12338</v>
      </c>
      <c r="P26" s="80">
        <f t="shared" si="4"/>
        <v>246.76000000000002</v>
      </c>
      <c r="R26" s="1">
        <f t="shared" si="5"/>
        <v>0</v>
      </c>
    </row>
    <row r="27" spans="1:18" s="3" customFormat="1" ht="13.15" customHeight="1" outlineLevel="1">
      <c r="A27" s="84"/>
      <c r="B27" s="84"/>
      <c r="C27" s="95" t="s">
        <v>292</v>
      </c>
      <c r="D27" s="89"/>
      <c r="E27" s="82"/>
      <c r="F27" s="93"/>
      <c r="G27" s="82"/>
      <c r="H27" s="69"/>
      <c r="I27" s="68"/>
      <c r="J27" s="82"/>
      <c r="K27" s="93"/>
      <c r="L27" s="58"/>
      <c r="M27" s="80" t="s">
        <v>256</v>
      </c>
      <c r="N27" s="2"/>
      <c r="O27" s="58"/>
      <c r="P27" s="80" t="s">
        <v>256</v>
      </c>
      <c r="R27" s="1"/>
    </row>
    <row r="28" spans="1:18" s="3" customFormat="1" ht="13.15" customHeight="1" outlineLevel="1">
      <c r="A28" s="84"/>
      <c r="B28" s="84"/>
      <c r="C28" s="94" t="s">
        <v>291</v>
      </c>
      <c r="D28" s="89"/>
      <c r="E28" s="82"/>
      <c r="F28" s="93"/>
      <c r="G28" s="82"/>
      <c r="H28" s="69"/>
      <c r="I28" s="68"/>
      <c r="J28" s="82"/>
      <c r="K28" s="93"/>
      <c r="L28" s="58"/>
      <c r="M28" s="80" t="s">
        <v>256</v>
      </c>
      <c r="N28" s="2"/>
      <c r="O28" s="58"/>
      <c r="P28" s="80" t="s">
        <v>256</v>
      </c>
      <c r="R28" s="1"/>
    </row>
    <row r="29" spans="1:18" s="3" customFormat="1" ht="13.15" customHeight="1" outlineLevel="1">
      <c r="A29" s="65" t="s">
        <v>286</v>
      </c>
      <c r="B29" s="65" t="s">
        <v>290</v>
      </c>
      <c r="C29" s="88" t="s">
        <v>289</v>
      </c>
      <c r="D29" s="89" t="s">
        <v>288</v>
      </c>
      <c r="E29" s="87" t="s">
        <v>67</v>
      </c>
      <c r="F29" s="67">
        <v>829752</v>
      </c>
      <c r="G29" s="87" t="s">
        <v>67</v>
      </c>
      <c r="H29" s="69">
        <f>IF(G29="ABOLISHED",0,(VLOOKUP(G29,$A$59:$C316,2,FALSE)*12))</f>
        <v>829752</v>
      </c>
      <c r="I29" s="68">
        <f>SUM(H29-F29)</f>
        <v>0</v>
      </c>
      <c r="J29" s="87" t="s">
        <v>67</v>
      </c>
      <c r="K29" s="67">
        <f>IF(J29="ABOLISHED",0, (VLOOKUP(J29,$A$59:$C316,3,FALSE)*12))</f>
        <v>829752</v>
      </c>
      <c r="L29" s="58">
        <f>SUM(H29/12)</f>
        <v>69146</v>
      </c>
      <c r="M29" s="80">
        <f>IF(L29&gt;=80000,1600,SUM(L29*4%)/2)</f>
        <v>1382.92</v>
      </c>
      <c r="N29" s="2"/>
      <c r="O29" s="58">
        <f>SUM(K29/12)</f>
        <v>69146</v>
      </c>
      <c r="P29" s="80">
        <f>IF(O29&gt;=80000,1600,SUM(O29*4%)/2)</f>
        <v>1382.92</v>
      </c>
      <c r="R29" s="1">
        <f>SUM(O29-L29)</f>
        <v>0</v>
      </c>
    </row>
    <row r="30" spans="1:18" s="3" customFormat="1" ht="13.15" customHeight="1" outlineLevel="1">
      <c r="A30" s="65"/>
      <c r="B30" s="65"/>
      <c r="C30" s="83" t="s">
        <v>287</v>
      </c>
      <c r="D30" s="89"/>
      <c r="E30" s="87"/>
      <c r="F30" s="67"/>
      <c r="G30" s="87"/>
      <c r="H30" s="69"/>
      <c r="I30" s="68"/>
      <c r="J30" s="87"/>
      <c r="K30" s="67"/>
      <c r="L30" s="58"/>
      <c r="M30" s="80" t="s">
        <v>256</v>
      </c>
      <c r="N30" s="2"/>
      <c r="O30" s="58"/>
      <c r="P30" s="80" t="s">
        <v>256</v>
      </c>
      <c r="R30" s="1"/>
    </row>
    <row r="31" spans="1:18" s="3" customFormat="1" ht="13.15" customHeight="1" outlineLevel="1">
      <c r="A31" s="65" t="s">
        <v>283</v>
      </c>
      <c r="B31" s="65" t="s">
        <v>286</v>
      </c>
      <c r="C31" s="90" t="s">
        <v>285</v>
      </c>
      <c r="D31" s="89" t="s">
        <v>284</v>
      </c>
      <c r="E31" s="87" t="s">
        <v>91</v>
      </c>
      <c r="F31" s="67">
        <v>585300</v>
      </c>
      <c r="G31" s="87" t="s">
        <v>91</v>
      </c>
      <c r="H31" s="69">
        <f>IF(G31="ABOLISHED",0,(VLOOKUP(G31,$A$59:$C318,2,FALSE)*12))</f>
        <v>585300</v>
      </c>
      <c r="I31" s="68">
        <f>SUM(H31-F31)</f>
        <v>0</v>
      </c>
      <c r="J31" s="87" t="s">
        <v>91</v>
      </c>
      <c r="K31" s="67">
        <f>IF(J31="ABOLISHED",0, (VLOOKUP(J31,$A$59:$C318,3,FALSE)*12))</f>
        <v>585300</v>
      </c>
      <c r="L31" s="58">
        <f>SUM(H31/12)</f>
        <v>48775</v>
      </c>
      <c r="M31" s="80">
        <f>IF(L31&gt;=80000,1600,SUM(L31*4%)/2)</f>
        <v>975.5</v>
      </c>
      <c r="N31" s="2"/>
      <c r="O31" s="58">
        <f>SUM(K31/12)</f>
        <v>48775</v>
      </c>
      <c r="P31" s="80">
        <f>IF(O31&gt;=80000,1600,SUM(O31*4%)/2)</f>
        <v>975.5</v>
      </c>
      <c r="R31" s="1">
        <f>SUM(O31-L31)</f>
        <v>0</v>
      </c>
    </row>
    <row r="32" spans="1:18" s="3" customFormat="1" ht="13.15" customHeight="1" outlineLevel="1">
      <c r="A32" s="65" t="s">
        <v>280</v>
      </c>
      <c r="B32" s="65" t="s">
        <v>283</v>
      </c>
      <c r="C32" s="88" t="s">
        <v>282</v>
      </c>
      <c r="D32" s="63" t="s">
        <v>281</v>
      </c>
      <c r="E32" s="82" t="s">
        <v>133</v>
      </c>
      <c r="F32" s="67">
        <v>358992</v>
      </c>
      <c r="G32" s="82" t="s">
        <v>133</v>
      </c>
      <c r="H32" s="69">
        <f>IF(G32="ABOLISHED",0,(VLOOKUP(G32,$A$59:$C319,2,FALSE)*12))</f>
        <v>358992</v>
      </c>
      <c r="I32" s="68">
        <f>SUM(H32-F32)</f>
        <v>0</v>
      </c>
      <c r="J32" s="82" t="s">
        <v>133</v>
      </c>
      <c r="K32" s="67">
        <f>IF(J32="ABOLISHED",0, (VLOOKUP(J32,$A$59:$C319,3,FALSE)*12))</f>
        <v>358992</v>
      </c>
      <c r="L32" s="58">
        <f>SUM(H32/12)</f>
        <v>29916</v>
      </c>
      <c r="M32" s="80">
        <f>IF(L32&gt;=80000,1600,SUM(L32*4%)/2)</f>
        <v>598.32000000000005</v>
      </c>
      <c r="N32" s="2"/>
      <c r="O32" s="58">
        <f>SUM(K32/12)</f>
        <v>29916</v>
      </c>
      <c r="P32" s="80">
        <f>IF(O32&gt;=80000,1600,SUM(O32*4%)/2)</f>
        <v>598.32000000000005</v>
      </c>
      <c r="R32" s="1">
        <f>SUM(O32-L32)</f>
        <v>0</v>
      </c>
    </row>
    <row r="33" spans="1:18" s="3" customFormat="1" ht="13.15" customHeight="1" outlineLevel="1">
      <c r="A33" s="65" t="s">
        <v>278</v>
      </c>
      <c r="B33" s="65" t="s">
        <v>280</v>
      </c>
      <c r="C33" s="64" t="s">
        <v>246</v>
      </c>
      <c r="D33" s="63" t="s">
        <v>245</v>
      </c>
      <c r="E33" s="60" t="s">
        <v>231</v>
      </c>
      <c r="F33" s="67">
        <v>145812</v>
      </c>
      <c r="G33" s="60" t="s">
        <v>231</v>
      </c>
      <c r="H33" s="69">
        <f>IF(G33="ABOLISHED",0,(VLOOKUP(G33,$A$59:$C320,2,FALSE)*12))</f>
        <v>145812</v>
      </c>
      <c r="I33" s="68">
        <f>SUM(H33-F33)</f>
        <v>0</v>
      </c>
      <c r="J33" s="60" t="s">
        <v>231</v>
      </c>
      <c r="K33" s="67">
        <f>IF(J33="ABOLISHED",0, (VLOOKUP(J33,$A$59:$C320,3,FALSE)*12))</f>
        <v>145812</v>
      </c>
      <c r="L33" s="58">
        <f>SUM(H33/12)</f>
        <v>12151</v>
      </c>
      <c r="M33" s="80">
        <f>IF(L33&gt;=80000,1600,SUM(L33*4%)/2)</f>
        <v>243.02</v>
      </c>
      <c r="N33" s="2"/>
      <c r="O33" s="58">
        <f>SUM(K33/12)</f>
        <v>12151</v>
      </c>
      <c r="P33" s="80">
        <f>IF(O33&gt;=80000,1600,SUM(O33*4%)/2)</f>
        <v>243.02</v>
      </c>
      <c r="R33" s="1">
        <f>SUM(O33-L33)</f>
        <v>0</v>
      </c>
    </row>
    <row r="34" spans="1:18" s="3" customFormat="1" ht="13.15" customHeight="1" outlineLevel="1">
      <c r="A34" s="65"/>
      <c r="B34" s="65"/>
      <c r="C34" s="83" t="s">
        <v>279</v>
      </c>
      <c r="D34" s="63"/>
      <c r="E34" s="60"/>
      <c r="F34" s="67"/>
      <c r="G34" s="60"/>
      <c r="H34" s="69"/>
      <c r="I34" s="68"/>
      <c r="J34" s="60"/>
      <c r="K34" s="67"/>
      <c r="L34" s="58"/>
      <c r="M34" s="80" t="s">
        <v>256</v>
      </c>
      <c r="N34" s="2"/>
      <c r="O34" s="58"/>
      <c r="P34" s="80" t="s">
        <v>256</v>
      </c>
      <c r="R34" s="1"/>
    </row>
    <row r="35" spans="1:18" s="3" customFormat="1" ht="13.15" customHeight="1" outlineLevel="1">
      <c r="A35" s="65" t="s">
        <v>275</v>
      </c>
      <c r="B35" s="65" t="s">
        <v>278</v>
      </c>
      <c r="C35" s="88" t="s">
        <v>277</v>
      </c>
      <c r="D35" s="63" t="s">
        <v>276</v>
      </c>
      <c r="E35" s="87" t="s">
        <v>126</v>
      </c>
      <c r="F35" s="67">
        <v>387060</v>
      </c>
      <c r="G35" s="87" t="s">
        <v>125</v>
      </c>
      <c r="H35" s="69">
        <f>IF(G35="ABOLISHED",0,(VLOOKUP(G35,$A$59:$C322,2,FALSE)*12))</f>
        <v>391428</v>
      </c>
      <c r="I35" s="68">
        <f>SUM(H35-F35)</f>
        <v>4368</v>
      </c>
      <c r="J35" s="87" t="s">
        <v>125</v>
      </c>
      <c r="K35" s="67">
        <f>IF(J35="ABOLISHED",0, (VLOOKUP(J35,$A$59:$C322,3,FALSE)*12))</f>
        <v>391428</v>
      </c>
      <c r="L35" s="58">
        <f>SUM(H35/12)</f>
        <v>32619</v>
      </c>
      <c r="M35" s="80">
        <f>IF(L35&gt;=80000,1600,SUM(L35*4%)/2)</f>
        <v>652.38</v>
      </c>
      <c r="N35" s="2"/>
      <c r="O35" s="58">
        <f>SUM(K35/12)</f>
        <v>32619</v>
      </c>
      <c r="P35" s="80">
        <f>IF(O35&gt;=80000,1600,SUM(O35*4%)/2)</f>
        <v>652.38</v>
      </c>
      <c r="R35" s="1">
        <f>SUM(O35-L35)</f>
        <v>0</v>
      </c>
    </row>
    <row r="36" spans="1:18" s="3" customFormat="1" ht="13.15" customHeight="1" outlineLevel="1">
      <c r="A36" s="65" t="s">
        <v>272</v>
      </c>
      <c r="B36" s="65" t="s">
        <v>275</v>
      </c>
      <c r="C36" s="90" t="s">
        <v>274</v>
      </c>
      <c r="D36" s="63" t="s">
        <v>273</v>
      </c>
      <c r="E36" s="87" t="s">
        <v>150</v>
      </c>
      <c r="F36" s="67">
        <v>300228</v>
      </c>
      <c r="G36" s="87" t="s">
        <v>149</v>
      </c>
      <c r="H36" s="69">
        <f>IF(G36="ABOLISHED",0,(VLOOKUP(G36,$A$59:$C323,2,FALSE)*12))</f>
        <v>303516</v>
      </c>
      <c r="I36" s="68">
        <f>SUM(H36-F36)</f>
        <v>3288</v>
      </c>
      <c r="J36" s="87" t="s">
        <v>149</v>
      </c>
      <c r="K36" s="67">
        <f>IF(J36="ABOLISHED",0, (VLOOKUP(J36,$A$59:$C323,3,FALSE)*12))</f>
        <v>303516</v>
      </c>
      <c r="L36" s="58">
        <f>SUM(H36/12)</f>
        <v>25293</v>
      </c>
      <c r="M36" s="80">
        <f>IF(L36&gt;=80000,1600,SUM(L36*4%)/2)</f>
        <v>505.86</v>
      </c>
      <c r="N36" s="2"/>
      <c r="O36" s="58">
        <f>SUM(K36/12)</f>
        <v>25293</v>
      </c>
      <c r="P36" s="80">
        <f>IF(O36&gt;=80000,1600,SUM(O36*4%)/2)</f>
        <v>505.86</v>
      </c>
      <c r="R36" s="1">
        <f>SUM(O36-L36)</f>
        <v>0</v>
      </c>
    </row>
    <row r="37" spans="1:18" s="3" customFormat="1" ht="13.15" customHeight="1" outlineLevel="1">
      <c r="A37" s="65" t="s">
        <v>268</v>
      </c>
      <c r="B37" s="65" t="s">
        <v>272</v>
      </c>
      <c r="C37" s="92" t="s">
        <v>271</v>
      </c>
      <c r="D37" s="91" t="s">
        <v>270</v>
      </c>
      <c r="E37" s="85" t="s">
        <v>198</v>
      </c>
      <c r="F37" s="67">
        <v>186108</v>
      </c>
      <c r="G37" s="85" t="s">
        <v>198</v>
      </c>
      <c r="H37" s="69">
        <f>IF(G37="ABOLISHED",0,(VLOOKUP(G37,$A$59:$C324,2,FALSE)*12))</f>
        <v>186108</v>
      </c>
      <c r="I37" s="71">
        <f>SUM(H37-F37)</f>
        <v>0</v>
      </c>
      <c r="J37" s="85" t="s">
        <v>198</v>
      </c>
      <c r="K37" s="67">
        <f>IF(J37="ABOLISHED",0, (VLOOKUP(J37,$A$59:$C324,3,FALSE)*12))</f>
        <v>186108</v>
      </c>
      <c r="L37" s="58">
        <f>SUM(H37/12)</f>
        <v>15509</v>
      </c>
      <c r="M37" s="80">
        <f>IF(L37&gt;=80000,1600,SUM(L37*4%)/2)</f>
        <v>310.18</v>
      </c>
      <c r="N37" s="2"/>
      <c r="O37" s="58">
        <f>SUM(K37/12)</f>
        <v>15509</v>
      </c>
      <c r="P37" s="80">
        <f>IF(O37&gt;=80000,1600,SUM(O37*4%)/2)</f>
        <v>310.18</v>
      </c>
      <c r="R37" s="1">
        <f>SUM(O37-L37)</f>
        <v>0</v>
      </c>
    </row>
    <row r="38" spans="1:18" s="3" customFormat="1" ht="13.15" customHeight="1" outlineLevel="1">
      <c r="A38" s="65"/>
      <c r="B38" s="65"/>
      <c r="C38" s="83" t="s">
        <v>269</v>
      </c>
      <c r="D38" s="63"/>
      <c r="E38" s="87"/>
      <c r="F38" s="67"/>
      <c r="G38" s="87"/>
      <c r="H38" s="69"/>
      <c r="I38" s="68"/>
      <c r="J38" s="87"/>
      <c r="K38" s="67"/>
      <c r="L38" s="58"/>
      <c r="M38" s="80" t="s">
        <v>256</v>
      </c>
      <c r="N38" s="2"/>
      <c r="O38" s="58"/>
      <c r="P38" s="80" t="s">
        <v>256</v>
      </c>
      <c r="R38" s="1"/>
    </row>
    <row r="39" spans="1:18" s="3" customFormat="1" ht="13.15" customHeight="1" outlineLevel="1">
      <c r="A39" s="65" t="s">
        <v>265</v>
      </c>
      <c r="B39" s="65" t="s">
        <v>268</v>
      </c>
      <c r="C39" s="90" t="s">
        <v>267</v>
      </c>
      <c r="D39" s="89" t="s">
        <v>266</v>
      </c>
      <c r="E39" s="87" t="s">
        <v>109</v>
      </c>
      <c r="F39" s="67">
        <v>466344</v>
      </c>
      <c r="G39" s="87" t="s">
        <v>109</v>
      </c>
      <c r="H39" s="69">
        <f>IF(G39="ABOLISHED",0,(VLOOKUP(G39,$A$59:$C326,2,FALSE)*12))</f>
        <v>466344</v>
      </c>
      <c r="I39" s="68">
        <f>SUM(H39-F39)</f>
        <v>0</v>
      </c>
      <c r="J39" s="87" t="s">
        <v>109</v>
      </c>
      <c r="K39" s="67">
        <f>IF(J39="ABOLISHED",0, (VLOOKUP(J39,$A$59:$C326,3,FALSE)*12))</f>
        <v>466344</v>
      </c>
      <c r="L39" s="58">
        <f>SUM(H39/12)</f>
        <v>38862</v>
      </c>
      <c r="M39" s="80">
        <f>IF(L39&gt;=80000,1600,SUM(L39*4%)/2)</f>
        <v>777.24</v>
      </c>
      <c r="N39" s="2"/>
      <c r="O39" s="58">
        <f>SUM(K39/12)</f>
        <v>38862</v>
      </c>
      <c r="P39" s="80">
        <f>IF(O39&gt;=80000,1600,SUM(O39*4%)/2)</f>
        <v>777.24</v>
      </c>
      <c r="R39" s="1">
        <f>SUM(O39-L39)</f>
        <v>0</v>
      </c>
    </row>
    <row r="40" spans="1:18" s="3" customFormat="1" ht="13.15" customHeight="1" outlineLevel="1">
      <c r="A40" s="65" t="s">
        <v>262</v>
      </c>
      <c r="B40" s="65" t="s">
        <v>265</v>
      </c>
      <c r="C40" s="64" t="s">
        <v>246</v>
      </c>
      <c r="D40" s="63" t="s">
        <v>264</v>
      </c>
      <c r="E40" s="60" t="s">
        <v>228</v>
      </c>
      <c r="F40" s="67">
        <v>149196</v>
      </c>
      <c r="G40" s="60" t="s">
        <v>228</v>
      </c>
      <c r="H40" s="69">
        <f>IF(G40="ABOLISHED",0,(VLOOKUP(G40,$A$59:$C327,2,FALSE)*12))</f>
        <v>149196</v>
      </c>
      <c r="I40" s="68">
        <f>SUM(H40-F40)</f>
        <v>0</v>
      </c>
      <c r="J40" s="60" t="s">
        <v>228</v>
      </c>
      <c r="K40" s="67">
        <f>IF(J40="ABOLISHED",0, (VLOOKUP(J40,$A$59:$C327,3,FALSE)*12))</f>
        <v>149196</v>
      </c>
      <c r="L40" s="58">
        <f>SUM(H40/12)</f>
        <v>12433</v>
      </c>
      <c r="M40" s="80">
        <f>IF(L40&gt;=80000,1600,SUM(L40*4%)/2)</f>
        <v>248.66</v>
      </c>
      <c r="N40" s="2"/>
      <c r="O40" s="58">
        <f>SUM(K40/12)</f>
        <v>12433</v>
      </c>
      <c r="P40" s="80">
        <f>IF(O40&gt;=80000,1600,SUM(O40*4%)/2)</f>
        <v>248.66</v>
      </c>
      <c r="R40" s="1">
        <f>SUM(O40-L40)</f>
        <v>0</v>
      </c>
    </row>
    <row r="41" spans="1:18" s="3" customFormat="1" ht="13.15" customHeight="1" outlineLevel="1">
      <c r="A41" s="65"/>
      <c r="B41" s="65"/>
      <c r="C41" s="83" t="s">
        <v>263</v>
      </c>
      <c r="D41" s="63"/>
      <c r="E41" s="60"/>
      <c r="F41" s="67"/>
      <c r="G41" s="60"/>
      <c r="H41" s="69"/>
      <c r="I41" s="68"/>
      <c r="J41" s="60"/>
      <c r="K41" s="67"/>
      <c r="L41" s="58"/>
      <c r="M41" s="80" t="s">
        <v>256</v>
      </c>
      <c r="N41" s="2"/>
      <c r="O41" s="58"/>
      <c r="P41" s="80" t="s">
        <v>256</v>
      </c>
      <c r="R41" s="1"/>
    </row>
    <row r="42" spans="1:18" s="3" customFormat="1" ht="13.15" customHeight="1" outlineLevel="1">
      <c r="A42" s="65" t="s">
        <v>260</v>
      </c>
      <c r="B42" s="65" t="s">
        <v>262</v>
      </c>
      <c r="C42" s="88" t="s">
        <v>253</v>
      </c>
      <c r="D42" s="63" t="s">
        <v>261</v>
      </c>
      <c r="E42" s="87" t="s">
        <v>190</v>
      </c>
      <c r="F42" s="67">
        <v>197340</v>
      </c>
      <c r="G42" s="87" t="s">
        <v>190</v>
      </c>
      <c r="H42" s="69">
        <f>IF(G42="ABOLISHED",0,(VLOOKUP(G42,$A$59:$C329,2,FALSE)*12))</f>
        <v>197340</v>
      </c>
      <c r="I42" s="68">
        <f>SUM(H42-F42)</f>
        <v>0</v>
      </c>
      <c r="J42" s="87" t="s">
        <v>190</v>
      </c>
      <c r="K42" s="67">
        <f>IF(J42="ABOLISHED",0, (VLOOKUP(J42,$A$59:$C329,3,FALSE)*12))</f>
        <v>197340</v>
      </c>
      <c r="L42" s="58">
        <f>SUM(H42/12)</f>
        <v>16445</v>
      </c>
      <c r="M42" s="80">
        <f>IF(L42&gt;=80000,1600,SUM(L42*4%)/2)</f>
        <v>328.90000000000003</v>
      </c>
      <c r="N42" s="2"/>
      <c r="O42" s="58">
        <f>SUM(K42/12)</f>
        <v>16445</v>
      </c>
      <c r="P42" s="80">
        <f>IF(O42&gt;=80000,1600,SUM(O42*4%)/2)</f>
        <v>328.90000000000003</v>
      </c>
      <c r="R42" s="1">
        <f>SUM(O42-L42)</f>
        <v>0</v>
      </c>
    </row>
    <row r="43" spans="1:18" s="3" customFormat="1" ht="13.15" customHeight="1" outlineLevel="1">
      <c r="A43" s="65" t="s">
        <v>254</v>
      </c>
      <c r="B43" s="65" t="s">
        <v>260</v>
      </c>
      <c r="C43" s="86" t="s">
        <v>259</v>
      </c>
      <c r="D43" s="63" t="s">
        <v>258</v>
      </c>
      <c r="E43" s="85" t="s">
        <v>198</v>
      </c>
      <c r="F43" s="67">
        <v>186108</v>
      </c>
      <c r="G43" s="85" t="s">
        <v>198</v>
      </c>
      <c r="H43" s="69">
        <f>IF(G43="ABOLISHED",0,(VLOOKUP(G43,$A$59:$C330,2,FALSE)*12))</f>
        <v>186108</v>
      </c>
      <c r="I43" s="71">
        <f>SUM(H43-F43)</f>
        <v>0</v>
      </c>
      <c r="J43" s="85" t="s">
        <v>198</v>
      </c>
      <c r="K43" s="67">
        <f>IF(J43="ABOLISHED",0, (VLOOKUP(J43,$A$59:$C330,3,FALSE)*12))</f>
        <v>186108</v>
      </c>
      <c r="L43" s="58">
        <f>SUM(H43/12)</f>
        <v>15509</v>
      </c>
      <c r="M43" s="80">
        <f>IF(L43&gt;=80000,1600,SUM(L43*4%)/2)</f>
        <v>310.18</v>
      </c>
      <c r="N43" s="2"/>
      <c r="O43" s="58">
        <f>SUM(K43/12)</f>
        <v>15509</v>
      </c>
      <c r="P43" s="80">
        <f>IF(O43&gt;=80000,1600,SUM(O43*4%)/2)</f>
        <v>310.18</v>
      </c>
      <c r="R43" s="1">
        <f>SUM(O43-L43)</f>
        <v>0</v>
      </c>
    </row>
    <row r="44" spans="1:18" s="3" customFormat="1" ht="13.15" customHeight="1" outlineLevel="1">
      <c r="A44" s="84"/>
      <c r="B44" s="84"/>
      <c r="C44" s="83" t="s">
        <v>257</v>
      </c>
      <c r="D44" s="63"/>
      <c r="E44" s="82"/>
      <c r="F44" s="81"/>
      <c r="G44" s="82"/>
      <c r="H44" s="69"/>
      <c r="I44" s="68"/>
      <c r="J44" s="82"/>
      <c r="K44" s="81"/>
      <c r="L44" s="58"/>
      <c r="M44" s="80" t="s">
        <v>256</v>
      </c>
      <c r="N44" s="2"/>
      <c r="O44" s="58"/>
      <c r="P44" s="80" t="s">
        <v>256</v>
      </c>
      <c r="R44" s="1"/>
    </row>
    <row r="45" spans="1:18" s="3" customFormat="1" ht="13.15" customHeight="1" outlineLevel="1">
      <c r="A45" s="65" t="s">
        <v>255</v>
      </c>
      <c r="B45" s="65" t="s">
        <v>254</v>
      </c>
      <c r="C45" s="79" t="s">
        <v>253</v>
      </c>
      <c r="D45" s="78" t="s">
        <v>245</v>
      </c>
      <c r="E45" s="77" t="s">
        <v>191</v>
      </c>
      <c r="F45" s="74">
        <v>195840</v>
      </c>
      <c r="G45" s="75" t="s">
        <v>252</v>
      </c>
      <c r="H45" s="69">
        <f>IF(G45="ABOLISHED",0,(VLOOKUP(G45,$A$59:$C332,2,FALSE)*12))</f>
        <v>0</v>
      </c>
      <c r="I45" s="76">
        <f>SUM(H45-F45)</f>
        <v>-195840</v>
      </c>
      <c r="J45" s="75" t="s">
        <v>252</v>
      </c>
      <c r="K45" s="74">
        <f>IF(J45="ABOLISHED",0, (VLOOKUP(J45,$A$59:$C332,3,FALSE)*12))</f>
        <v>0</v>
      </c>
      <c r="L45" s="58">
        <f>SUM(H45/12)</f>
        <v>0</v>
      </c>
      <c r="M45" s="66">
        <f>IF(L45&gt;=80000,1600,SUM(L45*4%)/2)</f>
        <v>0</v>
      </c>
      <c r="N45" s="2"/>
      <c r="O45" s="58">
        <f>SUM(K45/12)</f>
        <v>0</v>
      </c>
      <c r="P45" s="66">
        <f>IF(O45&gt;=80000,1600,SUM(O45*4%)/2)</f>
        <v>0</v>
      </c>
      <c r="R45" s="3">
        <f>SUM(O45-L45)</f>
        <v>0</v>
      </c>
    </row>
    <row r="46" spans="1:18" s="3" customFormat="1" ht="13.15" customHeight="1" outlineLevel="1">
      <c r="A46" s="65" t="s">
        <v>247</v>
      </c>
      <c r="B46" s="65" t="s">
        <v>247</v>
      </c>
      <c r="C46" s="64" t="s">
        <v>246</v>
      </c>
      <c r="D46" s="63" t="s">
        <v>251</v>
      </c>
      <c r="E46" s="60" t="s">
        <v>215</v>
      </c>
      <c r="F46" s="67">
        <v>164160</v>
      </c>
      <c r="G46" s="60" t="s">
        <v>215</v>
      </c>
      <c r="H46" s="69">
        <f>IF(G46="ABOLISHED",0,(VLOOKUP(G46,$A$59:$C334,2,FALSE)*12))</f>
        <v>164160</v>
      </c>
      <c r="I46" s="68">
        <f>SUM(H46-F46)</f>
        <v>0</v>
      </c>
      <c r="J46" s="60" t="s">
        <v>215</v>
      </c>
      <c r="K46" s="67">
        <f>IF(J46="ABOLISHED",0, (VLOOKUP(J46,$A$59:$C334,3,FALSE)*12))</f>
        <v>164160</v>
      </c>
      <c r="L46" s="58">
        <f>SUM(H46/12)</f>
        <v>13680</v>
      </c>
      <c r="M46" s="66">
        <f>IF(L46&gt;=80000,1600,SUM(L46*4%)/2)</f>
        <v>273.60000000000002</v>
      </c>
      <c r="N46" s="2"/>
      <c r="O46" s="58">
        <f>SUM(K46/12)</f>
        <v>13680</v>
      </c>
      <c r="P46" s="66">
        <f>IF(O46&gt;=80000,1600,SUM(O46*4%)/2)</f>
        <v>273.60000000000002</v>
      </c>
      <c r="R46" s="1">
        <f>SUM(O46-L46)</f>
        <v>0</v>
      </c>
    </row>
    <row r="47" spans="1:18" s="3" customFormat="1" ht="13.15" customHeight="1" outlineLevel="1">
      <c r="A47" s="65" t="s">
        <v>250</v>
      </c>
      <c r="B47" s="65" t="s">
        <v>250</v>
      </c>
      <c r="C47" s="73" t="s">
        <v>249</v>
      </c>
      <c r="D47" s="72" t="s">
        <v>248</v>
      </c>
      <c r="E47" s="70" t="s">
        <v>223</v>
      </c>
      <c r="F47" s="67">
        <v>154716</v>
      </c>
      <c r="G47" s="70" t="s">
        <v>223</v>
      </c>
      <c r="H47" s="69">
        <f>IF(G47="ABOLISHED",0,(VLOOKUP(G47,$A$59:$C333,2,FALSE)*12))</f>
        <v>154716</v>
      </c>
      <c r="I47" s="71">
        <f>SUM(H47-F47)</f>
        <v>0</v>
      </c>
      <c r="J47" s="70" t="s">
        <v>223</v>
      </c>
      <c r="K47" s="67">
        <f>IF(J47="ABOLISHED",0, (VLOOKUP(J47,$A$59:$C333,3,FALSE)*12))</f>
        <v>154716</v>
      </c>
      <c r="L47" s="58">
        <f>SUM(H47/12)</f>
        <v>12893</v>
      </c>
      <c r="M47" s="66">
        <f>IF(L47&gt;=80000,1600,SUM(L47*4%)/2)</f>
        <v>257.86</v>
      </c>
      <c r="N47" s="2"/>
      <c r="O47" s="58">
        <f>SUM(K47/12)</f>
        <v>12893</v>
      </c>
      <c r="P47" s="66">
        <f>IF(O47&gt;=80000,1600,SUM(O47*4%)/2)</f>
        <v>257.86</v>
      </c>
      <c r="R47" s="1">
        <f>SUM(O47-L47)</f>
        <v>0</v>
      </c>
    </row>
    <row r="48" spans="1:18" s="3" customFormat="1" ht="13.15" customHeight="1" outlineLevel="1">
      <c r="A48" s="65" t="s">
        <v>247</v>
      </c>
      <c r="B48" s="65" t="s">
        <v>247</v>
      </c>
      <c r="C48" s="64" t="s">
        <v>246</v>
      </c>
      <c r="D48" s="63" t="s">
        <v>245</v>
      </c>
      <c r="E48" s="60" t="s">
        <v>231</v>
      </c>
      <c r="F48" s="67">
        <v>145812</v>
      </c>
      <c r="G48" s="60" t="s">
        <v>231</v>
      </c>
      <c r="H48" s="69">
        <f>IF(G48="ABOLISHED",0,(VLOOKUP(G48,$A$59:$C336,2,FALSE)*12))</f>
        <v>145812</v>
      </c>
      <c r="I48" s="68">
        <f>SUM(H48-F48)</f>
        <v>0</v>
      </c>
      <c r="J48" s="60" t="s">
        <v>231</v>
      </c>
      <c r="K48" s="67">
        <f>IF(J48="ABOLISHED",0, (VLOOKUP(J48,$A$59:$C336,3,FALSE)*12))</f>
        <v>145812</v>
      </c>
      <c r="L48" s="58">
        <f>SUM(H48/12)</f>
        <v>12151</v>
      </c>
      <c r="M48" s="66">
        <f>IF(L48&gt;=80000,1600,SUM(L48*4%)/2)</f>
        <v>243.02</v>
      </c>
      <c r="N48" s="2"/>
      <c r="O48" s="58">
        <f>SUM(K48/12)</f>
        <v>12151</v>
      </c>
      <c r="P48" s="66">
        <f>IF(O48&gt;=80000,1600,SUM(O48*4%)/2)</f>
        <v>243.02</v>
      </c>
      <c r="R48" s="1">
        <f>SUM(O48-L48)</f>
        <v>0</v>
      </c>
    </row>
    <row r="49" spans="1:18" s="3" customFormat="1" ht="13.15" customHeight="1" outlineLevel="1">
      <c r="A49" s="65" t="s">
        <v>247</v>
      </c>
      <c r="B49" s="65" t="s">
        <v>247</v>
      </c>
      <c r="C49" s="64" t="s">
        <v>246</v>
      </c>
      <c r="D49" s="63" t="s">
        <v>245</v>
      </c>
      <c r="E49" s="60" t="s">
        <v>231</v>
      </c>
      <c r="F49" s="59">
        <v>145812</v>
      </c>
      <c r="G49" s="60" t="s">
        <v>231</v>
      </c>
      <c r="H49" s="62">
        <f>IF(G49="ABOLISHED",0,(VLOOKUP(G49,$A$59:$C337,2,FALSE)*12))</f>
        <v>145812</v>
      </c>
      <c r="I49" s="61">
        <f>SUM(H49-F49)</f>
        <v>0</v>
      </c>
      <c r="J49" s="60" t="s">
        <v>231</v>
      </c>
      <c r="K49" s="59">
        <f>IF(J49="ABOLISHED",0, (VLOOKUP(J49,$A$59:$C337,3,FALSE)*12))</f>
        <v>145812</v>
      </c>
      <c r="L49" s="58">
        <f>SUM(H49/12)</f>
        <v>12151</v>
      </c>
      <c r="M49" s="57">
        <f>IF(L49&gt;=80000,1600,SUM(L49*4%)/2)</f>
        <v>243.02</v>
      </c>
      <c r="N49" s="2"/>
      <c r="O49" s="58">
        <f>SUM(K49/12)</f>
        <v>12151</v>
      </c>
      <c r="P49" s="57">
        <f>IF(O49&gt;=80000,1600,SUM(O49*4%)/2)</f>
        <v>243.02</v>
      </c>
      <c r="R49" s="1">
        <f>SUM(O49-L49)</f>
        <v>0</v>
      </c>
    </row>
    <row r="50" spans="1:18" ht="16.149999999999999" customHeight="1">
      <c r="A50" s="56"/>
      <c r="B50" s="55" t="str">
        <f>B46</f>
        <v>24</v>
      </c>
      <c r="C50" s="54"/>
      <c r="D50" s="53" t="s">
        <v>244</v>
      </c>
      <c r="E50" s="52"/>
      <c r="F50" s="50">
        <f>SUM(F13:F49)</f>
        <v>7468728</v>
      </c>
      <c r="G50" s="51"/>
      <c r="H50" s="50">
        <f>SUM(H13:H49)</f>
        <v>7058316</v>
      </c>
      <c r="I50" s="50">
        <f>SUM(I13:I48)</f>
        <v>-410412</v>
      </c>
      <c r="J50" s="49"/>
      <c r="K50" s="48">
        <f>SUM(K13:K49)</f>
        <v>7058316</v>
      </c>
      <c r="L50" s="47"/>
      <c r="M50" s="39">
        <f>SUM(M13:M49)</f>
        <v>11485.020000000002</v>
      </c>
      <c r="N50" s="40"/>
      <c r="O50" s="47"/>
      <c r="P50" s="39">
        <f>SUM(P13:P49)</f>
        <v>11485.020000000002</v>
      </c>
    </row>
    <row r="51" spans="1:18" ht="16.149999999999999" customHeight="1">
      <c r="A51" s="46"/>
      <c r="B51" s="46"/>
      <c r="C51" s="39"/>
      <c r="D51" s="45"/>
      <c r="E51" s="42"/>
      <c r="F51" s="44"/>
      <c r="G51" s="18"/>
      <c r="H51" s="43"/>
      <c r="I51" s="42"/>
      <c r="J51" s="41"/>
      <c r="K51" s="41"/>
      <c r="M51" s="39">
        <v>12</v>
      </c>
      <c r="N51" s="40"/>
      <c r="P51" s="39">
        <v>12</v>
      </c>
    </row>
    <row r="52" spans="1:18" s="28" customFormat="1" ht="16.149999999999999" hidden="1" customHeight="1" thickBot="1">
      <c r="A52" s="38"/>
      <c r="B52" s="38"/>
      <c r="C52" s="37"/>
      <c r="D52" s="36"/>
      <c r="E52" s="35"/>
      <c r="F52" s="34"/>
      <c r="G52" s="33"/>
      <c r="H52" s="32"/>
      <c r="I52" s="32"/>
      <c r="J52" s="31"/>
      <c r="K52" s="31"/>
      <c r="M52" s="30">
        <f>ROUNDUP(SUM(M50*M51),0)</f>
        <v>137821</v>
      </c>
      <c r="N52" s="31"/>
      <c r="P52" s="30">
        <f>ROUNDUP(SUM(P50*P51),0)</f>
        <v>137821</v>
      </c>
      <c r="R52" s="29">
        <f>SUM(R13:R49)</f>
        <v>0</v>
      </c>
    </row>
    <row r="53" spans="1:18" ht="14.25" hidden="1" customHeight="1" thickTop="1">
      <c r="E53" s="27"/>
    </row>
    <row r="54" spans="1:18" ht="14.25" hidden="1" customHeight="1">
      <c r="E54" s="27"/>
    </row>
    <row r="55" spans="1:18" ht="14.25" hidden="1" customHeight="1">
      <c r="E55" s="27"/>
    </row>
    <row r="56" spans="1:18" ht="14.25" hidden="1" customHeight="1">
      <c r="C56" s="3"/>
      <c r="D56" s="3"/>
      <c r="E56" s="27"/>
      <c r="N56" s="1"/>
    </row>
    <row r="57" spans="1:18" hidden="1">
      <c r="A57" s="4606" t="s">
        <v>243</v>
      </c>
      <c r="B57" s="4606"/>
      <c r="C57" s="26"/>
      <c r="D57" s="3"/>
      <c r="N57" s="1"/>
    </row>
    <row r="58" spans="1:18" ht="15" hidden="1">
      <c r="A58" s="25" t="s">
        <v>242</v>
      </c>
      <c r="B58" s="24" t="s">
        <v>241</v>
      </c>
      <c r="C58" s="23" t="s">
        <v>240</v>
      </c>
      <c r="D58" s="3"/>
      <c r="N58" s="1"/>
    </row>
    <row r="59" spans="1:18" hidden="1">
      <c r="A59" s="21" t="s">
        <v>239</v>
      </c>
      <c r="B59" s="22">
        <v>11432</v>
      </c>
      <c r="C59" s="22">
        <v>11432</v>
      </c>
      <c r="D59" s="8"/>
      <c r="E59" s="16"/>
      <c r="F59" s="15"/>
      <c r="G59" s="17"/>
      <c r="H59" s="14"/>
      <c r="I59" s="14"/>
      <c r="J59" s="13"/>
      <c r="K59" s="13"/>
      <c r="N59" s="1"/>
    </row>
    <row r="60" spans="1:18" hidden="1">
      <c r="A60" s="12" t="s">
        <v>238</v>
      </c>
      <c r="B60" s="22">
        <v>11527</v>
      </c>
      <c r="C60" s="22">
        <v>11527</v>
      </c>
      <c r="D60" s="8"/>
      <c r="E60" s="16"/>
      <c r="F60" s="15"/>
      <c r="G60" s="17"/>
      <c r="H60" s="14"/>
      <c r="I60" s="14"/>
      <c r="J60" s="13"/>
      <c r="K60" s="13"/>
      <c r="N60" s="1"/>
    </row>
    <row r="61" spans="1:18" hidden="1">
      <c r="A61" s="21" t="s">
        <v>237</v>
      </c>
      <c r="B61" s="22">
        <v>11624</v>
      </c>
      <c r="C61" s="22">
        <v>11624</v>
      </c>
      <c r="D61" s="8"/>
      <c r="E61" s="16"/>
      <c r="F61" s="15"/>
      <c r="G61" s="17"/>
      <c r="N61" s="1"/>
    </row>
    <row r="62" spans="1:18" hidden="1">
      <c r="A62" s="12" t="s">
        <v>236</v>
      </c>
      <c r="B62" s="22">
        <v>11722</v>
      </c>
      <c r="C62" s="22">
        <v>11722</v>
      </c>
      <c r="D62" s="8"/>
      <c r="E62" s="16"/>
      <c r="F62" s="15"/>
      <c r="G62" s="17"/>
      <c r="H62" s="14"/>
      <c r="N62" s="1"/>
    </row>
    <row r="63" spans="1:18" hidden="1">
      <c r="A63" s="21" t="s">
        <v>235</v>
      </c>
      <c r="B63" s="22">
        <v>11820</v>
      </c>
      <c r="C63" s="22">
        <v>11820</v>
      </c>
      <c r="D63" s="8"/>
      <c r="E63" s="16"/>
      <c r="F63" s="15"/>
      <c r="G63" s="17"/>
      <c r="H63" s="14"/>
      <c r="I63" s="14"/>
      <c r="J63" s="13"/>
      <c r="K63" s="13"/>
      <c r="N63" s="1"/>
    </row>
    <row r="64" spans="1:18" hidden="1">
      <c r="A64" s="12" t="s">
        <v>234</v>
      </c>
      <c r="B64" s="22">
        <v>11918</v>
      </c>
      <c r="C64" s="22">
        <v>11918</v>
      </c>
      <c r="D64" s="8"/>
      <c r="E64" s="16"/>
      <c r="F64" s="15"/>
      <c r="G64" s="17"/>
      <c r="H64" s="14"/>
      <c r="N64" s="1"/>
    </row>
    <row r="65" spans="1:14" hidden="1">
      <c r="A65" s="21" t="s">
        <v>233</v>
      </c>
      <c r="B65" s="22">
        <v>12018</v>
      </c>
      <c r="C65" s="22">
        <v>12018</v>
      </c>
      <c r="D65" s="8"/>
      <c r="E65" s="16"/>
      <c r="F65" s="15"/>
      <c r="G65" s="14"/>
      <c r="H65" s="14"/>
      <c r="N65" s="1"/>
    </row>
    <row r="66" spans="1:14" hidden="1">
      <c r="A66" s="12" t="s">
        <v>232</v>
      </c>
      <c r="B66" s="22">
        <v>12118</v>
      </c>
      <c r="C66" s="22">
        <v>12118</v>
      </c>
      <c r="D66" s="8"/>
      <c r="E66" s="16"/>
      <c r="F66" s="15"/>
      <c r="G66" s="14"/>
      <c r="H66" s="14"/>
      <c r="I66" s="14"/>
      <c r="J66" s="13"/>
      <c r="K66" s="13"/>
      <c r="N66" s="1"/>
    </row>
    <row r="67" spans="1:14" hidden="1">
      <c r="A67" s="20" t="s">
        <v>231</v>
      </c>
      <c r="B67" s="9">
        <v>12151</v>
      </c>
      <c r="C67" s="9">
        <v>12151</v>
      </c>
      <c r="D67" s="8"/>
      <c r="E67" s="19"/>
      <c r="F67" s="15"/>
      <c r="G67" s="14"/>
      <c r="H67" s="14"/>
      <c r="N67" s="1"/>
    </row>
    <row r="68" spans="1:14" hidden="1">
      <c r="A68" s="10" t="s">
        <v>230</v>
      </c>
      <c r="B68" s="9">
        <v>12244</v>
      </c>
      <c r="C68" s="9">
        <v>12244</v>
      </c>
      <c r="D68" s="8"/>
      <c r="E68" s="19"/>
      <c r="F68" s="15"/>
      <c r="G68" s="14"/>
      <c r="H68" s="14"/>
      <c r="I68" s="14"/>
      <c r="J68" s="13"/>
      <c r="K68" s="13"/>
      <c r="N68" s="1"/>
    </row>
    <row r="69" spans="1:14" hidden="1">
      <c r="A69" s="20" t="s">
        <v>229</v>
      </c>
      <c r="B69" s="9">
        <v>12338</v>
      </c>
      <c r="C69" s="9">
        <v>12338</v>
      </c>
      <c r="D69" s="8"/>
      <c r="E69" s="19"/>
      <c r="F69" s="15"/>
      <c r="G69" s="14"/>
      <c r="N69" s="1"/>
    </row>
    <row r="70" spans="1:14" hidden="1">
      <c r="A70" s="10" t="s">
        <v>228</v>
      </c>
      <c r="B70" s="9">
        <v>12433</v>
      </c>
      <c r="C70" s="9">
        <v>12433</v>
      </c>
      <c r="D70" s="8"/>
      <c r="E70" s="19"/>
      <c r="F70" s="15"/>
      <c r="G70" s="14"/>
      <c r="H70" s="14"/>
      <c r="N70" s="1"/>
    </row>
    <row r="71" spans="1:14" hidden="1">
      <c r="A71" s="20" t="s">
        <v>227</v>
      </c>
      <c r="B71" s="9">
        <v>12528</v>
      </c>
      <c r="C71" s="9">
        <v>12528</v>
      </c>
      <c r="D71" s="8"/>
      <c r="E71" s="19"/>
      <c r="F71" s="15"/>
      <c r="G71" s="14"/>
      <c r="H71" s="14"/>
      <c r="I71" s="14"/>
      <c r="J71" s="13"/>
      <c r="K71" s="13"/>
      <c r="N71" s="1"/>
    </row>
    <row r="72" spans="1:14" hidden="1">
      <c r="A72" s="10" t="s">
        <v>226</v>
      </c>
      <c r="B72" s="9">
        <v>12624</v>
      </c>
      <c r="C72" s="9">
        <v>12624</v>
      </c>
      <c r="D72" s="8"/>
      <c r="E72" s="19"/>
      <c r="F72" s="15"/>
      <c r="G72" s="14"/>
      <c r="H72" s="14"/>
      <c r="I72" s="14"/>
      <c r="J72" s="13"/>
      <c r="K72" s="13"/>
      <c r="N72" s="1"/>
    </row>
    <row r="73" spans="1:14" hidden="1">
      <c r="A73" s="20" t="s">
        <v>225</v>
      </c>
      <c r="B73" s="9">
        <v>12721</v>
      </c>
      <c r="C73" s="9">
        <v>12721</v>
      </c>
      <c r="D73" s="8"/>
      <c r="E73" s="19"/>
      <c r="F73" s="15"/>
      <c r="G73" s="14"/>
      <c r="H73" s="14"/>
      <c r="I73" s="14"/>
      <c r="J73" s="13"/>
      <c r="K73" s="13"/>
      <c r="N73" s="1"/>
    </row>
    <row r="74" spans="1:14" hidden="1">
      <c r="A74" s="10" t="s">
        <v>224</v>
      </c>
      <c r="B74" s="9">
        <v>12818</v>
      </c>
      <c r="C74" s="9">
        <v>12818</v>
      </c>
      <c r="D74" s="8"/>
      <c r="E74" s="19"/>
      <c r="F74" s="15"/>
      <c r="G74" s="14"/>
      <c r="H74" s="14"/>
      <c r="N74" s="1"/>
    </row>
    <row r="75" spans="1:14" hidden="1">
      <c r="A75" s="21" t="s">
        <v>223</v>
      </c>
      <c r="B75" s="11">
        <v>12893</v>
      </c>
      <c r="C75" s="11">
        <v>12893</v>
      </c>
      <c r="D75" s="8"/>
      <c r="E75" s="16"/>
      <c r="F75" s="15"/>
      <c r="G75" s="14"/>
      <c r="H75" s="14"/>
      <c r="N75" s="1"/>
    </row>
    <row r="76" spans="1:14" hidden="1">
      <c r="A76" s="12" t="s">
        <v>222</v>
      </c>
      <c r="B76" s="11">
        <v>12993</v>
      </c>
      <c r="C76" s="11">
        <v>12993</v>
      </c>
      <c r="D76" s="8"/>
      <c r="E76" s="16"/>
      <c r="F76" s="15"/>
      <c r="G76" s="14"/>
      <c r="H76" s="14"/>
      <c r="I76" s="14"/>
      <c r="J76" s="13"/>
      <c r="K76" s="13"/>
      <c r="N76" s="1"/>
    </row>
    <row r="77" spans="1:14" hidden="1">
      <c r="A77" s="21" t="s">
        <v>221</v>
      </c>
      <c r="B77" s="11">
        <v>13092</v>
      </c>
      <c r="C77" s="11">
        <v>13092</v>
      </c>
      <c r="D77" s="8"/>
      <c r="E77" s="16"/>
      <c r="F77" s="15"/>
      <c r="G77" s="14"/>
      <c r="H77" s="14"/>
      <c r="I77" s="14"/>
      <c r="J77" s="13"/>
      <c r="K77" s="13"/>
      <c r="N77" s="1"/>
    </row>
    <row r="78" spans="1:14" hidden="1">
      <c r="A78" s="12" t="s">
        <v>220</v>
      </c>
      <c r="B78" s="11">
        <v>13194</v>
      </c>
      <c r="C78" s="11">
        <v>13194</v>
      </c>
      <c r="D78" s="8"/>
      <c r="E78" s="16"/>
      <c r="F78" s="15"/>
      <c r="G78" s="14"/>
      <c r="H78" s="14"/>
      <c r="N78" s="1"/>
    </row>
    <row r="79" spans="1:14" hidden="1">
      <c r="A79" s="21" t="s">
        <v>219</v>
      </c>
      <c r="B79" s="11">
        <v>13295</v>
      </c>
      <c r="C79" s="11">
        <v>13295</v>
      </c>
      <c r="D79" s="8"/>
      <c r="E79" s="16"/>
      <c r="F79" s="15"/>
      <c r="G79" s="14"/>
      <c r="H79" s="14"/>
      <c r="I79" s="14"/>
      <c r="J79" s="13"/>
      <c r="K79" s="13"/>
      <c r="N79" s="1"/>
    </row>
    <row r="80" spans="1:14" hidden="1">
      <c r="A80" s="12" t="s">
        <v>218</v>
      </c>
      <c r="B80" s="11">
        <v>13396</v>
      </c>
      <c r="C80" s="11">
        <v>13396</v>
      </c>
      <c r="D80" s="8"/>
      <c r="E80" s="16"/>
      <c r="F80" s="15"/>
      <c r="G80" s="14"/>
      <c r="H80" s="14"/>
      <c r="N80" s="1"/>
    </row>
    <row r="81" spans="1:14" hidden="1">
      <c r="A81" s="21" t="s">
        <v>217</v>
      </c>
      <c r="B81" s="11">
        <v>13500</v>
      </c>
      <c r="C81" s="11">
        <v>13500</v>
      </c>
      <c r="D81" s="8"/>
      <c r="E81" s="16"/>
      <c r="F81" s="15"/>
      <c r="G81" s="14"/>
      <c r="H81" s="14"/>
      <c r="N81" s="1"/>
    </row>
    <row r="82" spans="1:14" hidden="1">
      <c r="A82" s="12" t="s">
        <v>216</v>
      </c>
      <c r="B82" s="11">
        <v>13603</v>
      </c>
      <c r="C82" s="11">
        <v>13603</v>
      </c>
      <c r="D82" s="8"/>
      <c r="E82" s="16"/>
      <c r="F82" s="15"/>
      <c r="G82" s="14"/>
      <c r="H82" s="14"/>
      <c r="I82" s="14"/>
      <c r="J82" s="13"/>
      <c r="K82" s="13"/>
      <c r="N82" s="1"/>
    </row>
    <row r="83" spans="1:14" hidden="1">
      <c r="A83" s="20" t="s">
        <v>215</v>
      </c>
      <c r="B83" s="9">
        <v>13680</v>
      </c>
      <c r="C83" s="9">
        <v>13680</v>
      </c>
      <c r="D83" s="8"/>
      <c r="E83" s="16"/>
      <c r="F83" s="15"/>
      <c r="N83" s="1"/>
    </row>
    <row r="84" spans="1:14" hidden="1">
      <c r="A84" s="10" t="s">
        <v>214</v>
      </c>
      <c r="B84" s="9">
        <v>13785</v>
      </c>
      <c r="C84" s="9">
        <v>13785</v>
      </c>
      <c r="D84" s="8"/>
      <c r="E84" s="16"/>
      <c r="F84" s="15"/>
      <c r="N84" s="1"/>
    </row>
    <row r="85" spans="1:14" hidden="1">
      <c r="A85" s="20" t="s">
        <v>213</v>
      </c>
      <c r="B85" s="9">
        <v>13891</v>
      </c>
      <c r="C85" s="9">
        <v>13891</v>
      </c>
      <c r="D85" s="8"/>
      <c r="E85" s="16"/>
      <c r="F85" s="15"/>
      <c r="N85" s="1"/>
    </row>
    <row r="86" spans="1:14" hidden="1">
      <c r="A86" s="10" t="s">
        <v>212</v>
      </c>
      <c r="B86" s="9">
        <v>13998</v>
      </c>
      <c r="C86" s="9">
        <v>13998</v>
      </c>
      <c r="D86" s="8"/>
      <c r="E86" s="16"/>
      <c r="F86" s="15"/>
      <c r="N86" s="1"/>
    </row>
    <row r="87" spans="1:14" hidden="1">
      <c r="A87" s="20" t="s">
        <v>211</v>
      </c>
      <c r="B87" s="9">
        <v>14106</v>
      </c>
      <c r="C87" s="9">
        <v>14106</v>
      </c>
      <c r="D87" s="8"/>
      <c r="E87" s="16"/>
      <c r="F87" s="15"/>
      <c r="N87" s="1"/>
    </row>
    <row r="88" spans="1:14" hidden="1">
      <c r="A88" s="10" t="s">
        <v>210</v>
      </c>
      <c r="B88" s="9">
        <v>14213</v>
      </c>
      <c r="C88" s="9">
        <v>14213</v>
      </c>
      <c r="D88" s="8"/>
      <c r="E88" s="16"/>
      <c r="F88" s="15"/>
      <c r="N88" s="1"/>
    </row>
    <row r="89" spans="1:14" hidden="1">
      <c r="A89" s="20" t="s">
        <v>209</v>
      </c>
      <c r="B89" s="9">
        <v>14323</v>
      </c>
      <c r="C89" s="9">
        <v>14323</v>
      </c>
      <c r="D89" s="8"/>
      <c r="E89" s="16"/>
      <c r="F89" s="15"/>
      <c r="N89" s="1"/>
    </row>
    <row r="90" spans="1:14" hidden="1">
      <c r="A90" s="10" t="s">
        <v>208</v>
      </c>
      <c r="B90" s="9">
        <v>14432</v>
      </c>
      <c r="C90" s="9">
        <v>14432</v>
      </c>
      <c r="D90" s="8"/>
      <c r="E90" s="16"/>
      <c r="F90" s="15"/>
      <c r="N90" s="1"/>
    </row>
    <row r="91" spans="1:14" hidden="1">
      <c r="A91" s="12" t="s">
        <v>207</v>
      </c>
      <c r="B91" s="11">
        <v>14511</v>
      </c>
      <c r="C91" s="11">
        <v>14511</v>
      </c>
      <c r="D91" s="8"/>
      <c r="E91" s="16"/>
      <c r="F91" s="15"/>
      <c r="G91" s="14"/>
      <c r="H91" s="14"/>
      <c r="I91" s="14"/>
      <c r="J91" s="13"/>
      <c r="K91" s="13"/>
      <c r="N91" s="1"/>
    </row>
    <row r="92" spans="1:14" hidden="1">
      <c r="A92" s="12" t="s">
        <v>206</v>
      </c>
      <c r="B92" s="11">
        <v>14623</v>
      </c>
      <c r="C92" s="11">
        <v>14623</v>
      </c>
      <c r="D92" s="8"/>
      <c r="E92" s="16"/>
      <c r="F92" s="15"/>
      <c r="G92" s="14"/>
      <c r="H92" s="14"/>
      <c r="N92" s="1"/>
    </row>
    <row r="93" spans="1:14" hidden="1">
      <c r="A93" s="12" t="s">
        <v>205</v>
      </c>
      <c r="B93" s="11">
        <v>14735</v>
      </c>
      <c r="C93" s="11">
        <v>14735</v>
      </c>
      <c r="D93" s="8"/>
      <c r="E93" s="16"/>
      <c r="F93" s="15"/>
      <c r="G93" s="14"/>
      <c r="H93" s="14"/>
      <c r="N93" s="1"/>
    </row>
    <row r="94" spans="1:14" hidden="1">
      <c r="A94" s="12" t="s">
        <v>204</v>
      </c>
      <c r="B94" s="11">
        <v>14849</v>
      </c>
      <c r="C94" s="11">
        <v>14849</v>
      </c>
      <c r="D94" s="8"/>
      <c r="E94" s="16"/>
      <c r="F94" s="15"/>
      <c r="G94" s="14"/>
      <c r="H94" s="14"/>
      <c r="N94" s="1"/>
    </row>
    <row r="95" spans="1:14" hidden="1">
      <c r="A95" s="12" t="s">
        <v>203</v>
      </c>
      <c r="B95" s="11">
        <v>14963</v>
      </c>
      <c r="C95" s="11">
        <v>14963</v>
      </c>
      <c r="D95" s="8"/>
      <c r="E95" s="16"/>
      <c r="F95" s="15"/>
      <c r="G95" s="14"/>
      <c r="H95" s="14"/>
      <c r="N95" s="1"/>
    </row>
    <row r="96" spans="1:14" hidden="1">
      <c r="A96" s="12" t="s">
        <v>202</v>
      </c>
      <c r="B96" s="11">
        <v>15077</v>
      </c>
      <c r="C96" s="11">
        <v>15077</v>
      </c>
      <c r="D96" s="8"/>
      <c r="E96" s="16"/>
      <c r="F96" s="15"/>
      <c r="G96" s="14"/>
      <c r="H96" s="14"/>
      <c r="I96" s="14"/>
      <c r="J96" s="13"/>
      <c r="K96" s="13"/>
      <c r="N96" s="1"/>
    </row>
    <row r="97" spans="1:14" hidden="1">
      <c r="A97" s="12" t="s">
        <v>201</v>
      </c>
      <c r="B97" s="11">
        <v>15193</v>
      </c>
      <c r="C97" s="11">
        <v>15193</v>
      </c>
      <c r="D97" s="8"/>
      <c r="E97" s="16"/>
      <c r="F97" s="15"/>
      <c r="G97" s="14"/>
      <c r="H97" s="14"/>
      <c r="I97" s="14"/>
      <c r="J97" s="13"/>
      <c r="K97" s="13"/>
      <c r="N97" s="1"/>
    </row>
    <row r="98" spans="1:14" hidden="1">
      <c r="A98" s="12" t="s">
        <v>200</v>
      </c>
      <c r="B98" s="11">
        <v>15309</v>
      </c>
      <c r="C98" s="11">
        <v>15309</v>
      </c>
      <c r="D98" s="8"/>
      <c r="E98" s="16"/>
      <c r="F98" s="15"/>
      <c r="G98" s="14"/>
      <c r="H98" s="14"/>
      <c r="N98" s="1"/>
    </row>
    <row r="99" spans="1:14" hidden="1">
      <c r="A99" s="10" t="s">
        <v>199</v>
      </c>
      <c r="B99" s="9">
        <v>15390</v>
      </c>
      <c r="C99" s="9">
        <v>15390</v>
      </c>
      <c r="D99" s="8"/>
      <c r="E99" s="16"/>
      <c r="F99" s="15"/>
      <c r="G99" s="14"/>
      <c r="H99" s="14"/>
      <c r="I99" s="14"/>
      <c r="J99" s="13"/>
      <c r="K99" s="13"/>
      <c r="N99" s="1"/>
    </row>
    <row r="100" spans="1:14" hidden="1">
      <c r="A100" s="10" t="s">
        <v>198</v>
      </c>
      <c r="B100" s="9">
        <v>15509</v>
      </c>
      <c r="C100" s="9">
        <v>15509</v>
      </c>
      <c r="D100" s="8"/>
      <c r="E100" s="16"/>
      <c r="F100" s="15"/>
      <c r="G100" s="14"/>
      <c r="H100" s="14"/>
      <c r="I100" s="14"/>
      <c r="J100" s="13"/>
      <c r="K100" s="13"/>
      <c r="N100" s="1"/>
    </row>
    <row r="101" spans="1:14" hidden="1">
      <c r="A101" s="10" t="s">
        <v>197</v>
      </c>
      <c r="B101" s="9">
        <v>15628</v>
      </c>
      <c r="C101" s="9">
        <v>15628</v>
      </c>
      <c r="D101" s="8"/>
      <c r="E101" s="16"/>
      <c r="F101" s="15"/>
      <c r="G101" s="14"/>
      <c r="H101" s="14"/>
      <c r="I101" s="14"/>
      <c r="J101" s="13"/>
      <c r="K101" s="13"/>
      <c r="N101" s="1"/>
    </row>
    <row r="102" spans="1:14" hidden="1">
      <c r="A102" s="10" t="s">
        <v>196</v>
      </c>
      <c r="B102" s="9">
        <v>15748</v>
      </c>
      <c r="C102" s="9">
        <v>15748</v>
      </c>
      <c r="D102" s="8"/>
      <c r="E102" s="16"/>
      <c r="F102" s="15"/>
      <c r="G102" s="14"/>
      <c r="H102" s="14"/>
      <c r="I102" s="14"/>
      <c r="J102" s="13"/>
      <c r="K102" s="13"/>
      <c r="N102" s="1"/>
    </row>
    <row r="103" spans="1:14" hidden="1">
      <c r="A103" s="10" t="s">
        <v>195</v>
      </c>
      <c r="B103" s="9">
        <v>15869</v>
      </c>
      <c r="C103" s="9">
        <v>15869</v>
      </c>
      <c r="D103" s="8"/>
      <c r="E103" s="16"/>
      <c r="F103" s="15"/>
      <c r="G103" s="14"/>
      <c r="H103" s="14"/>
      <c r="I103" s="14"/>
      <c r="J103" s="13"/>
      <c r="K103" s="13"/>
      <c r="N103" s="1"/>
    </row>
    <row r="104" spans="1:14" hidden="1">
      <c r="A104" s="10" t="s">
        <v>194</v>
      </c>
      <c r="B104" s="9">
        <v>15990</v>
      </c>
      <c r="C104" s="9">
        <v>15990</v>
      </c>
      <c r="D104" s="8"/>
      <c r="E104" s="16"/>
      <c r="F104" s="15"/>
      <c r="G104" s="14"/>
      <c r="H104" s="14"/>
      <c r="N104" s="1"/>
    </row>
    <row r="105" spans="1:14" hidden="1">
      <c r="A105" s="10" t="s">
        <v>193</v>
      </c>
      <c r="B105" s="9">
        <v>16114</v>
      </c>
      <c r="C105" s="9">
        <v>16114</v>
      </c>
      <c r="D105" s="8"/>
      <c r="E105" s="16"/>
      <c r="F105" s="15"/>
      <c r="G105" s="14"/>
      <c r="H105" s="14"/>
      <c r="I105" s="14"/>
      <c r="J105" s="13"/>
      <c r="K105" s="13"/>
      <c r="N105" s="1"/>
    </row>
    <row r="106" spans="1:14" hidden="1">
      <c r="A106" s="10" t="s">
        <v>192</v>
      </c>
      <c r="B106" s="9">
        <v>16237</v>
      </c>
      <c r="C106" s="9">
        <v>16237</v>
      </c>
      <c r="D106" s="8"/>
      <c r="E106" s="16"/>
      <c r="F106" s="15"/>
      <c r="G106" s="14"/>
      <c r="H106" s="14"/>
      <c r="I106" s="14"/>
      <c r="J106" s="13"/>
      <c r="K106" s="13"/>
      <c r="N106" s="1"/>
    </row>
    <row r="107" spans="1:14" hidden="1">
      <c r="A107" s="12" t="s">
        <v>191</v>
      </c>
      <c r="B107" s="11">
        <v>16320</v>
      </c>
      <c r="C107" s="11">
        <v>16320</v>
      </c>
      <c r="D107" s="8"/>
      <c r="E107" s="16"/>
      <c r="F107" s="15"/>
      <c r="G107" s="14"/>
      <c r="H107" s="14"/>
      <c r="N107" s="1"/>
    </row>
    <row r="108" spans="1:14" hidden="1">
      <c r="A108" s="12" t="s">
        <v>190</v>
      </c>
      <c r="B108" s="11">
        <v>16445</v>
      </c>
      <c r="C108" s="11">
        <v>16445</v>
      </c>
      <c r="D108" s="8"/>
      <c r="E108" s="16"/>
      <c r="F108" s="15"/>
      <c r="G108" s="14"/>
      <c r="H108" s="14"/>
      <c r="I108" s="14"/>
      <c r="J108" s="13"/>
      <c r="K108" s="13"/>
      <c r="N108" s="1"/>
    </row>
    <row r="109" spans="1:14" hidden="1">
      <c r="A109" s="12" t="s">
        <v>189</v>
      </c>
      <c r="B109" s="11">
        <v>16572</v>
      </c>
      <c r="C109" s="11">
        <v>16572</v>
      </c>
      <c r="D109" s="8"/>
      <c r="E109" s="16"/>
      <c r="F109" s="15"/>
      <c r="G109" s="14"/>
      <c r="H109" s="14"/>
      <c r="I109" s="14"/>
      <c r="J109" s="13"/>
      <c r="K109" s="13"/>
      <c r="N109" s="1"/>
    </row>
    <row r="110" spans="1:14" hidden="1">
      <c r="A110" s="12" t="s">
        <v>188</v>
      </c>
      <c r="B110" s="11">
        <v>16699</v>
      </c>
      <c r="C110" s="11">
        <v>16699</v>
      </c>
      <c r="D110" s="8"/>
      <c r="E110" s="16"/>
      <c r="F110" s="15"/>
      <c r="G110" s="14"/>
      <c r="H110" s="14"/>
      <c r="I110" s="14"/>
      <c r="J110" s="13"/>
      <c r="K110" s="13"/>
      <c r="N110" s="1"/>
    </row>
    <row r="111" spans="1:14" hidden="1">
      <c r="A111" s="12" t="s">
        <v>187</v>
      </c>
      <c r="B111" s="11">
        <v>16827</v>
      </c>
      <c r="C111" s="11">
        <v>16827</v>
      </c>
      <c r="D111" s="8"/>
      <c r="E111" s="16"/>
      <c r="F111" s="15"/>
      <c r="G111" s="14"/>
      <c r="H111" s="14"/>
      <c r="I111" s="14"/>
      <c r="J111" s="13"/>
      <c r="K111" s="13"/>
      <c r="N111" s="1"/>
    </row>
    <row r="112" spans="1:14" hidden="1">
      <c r="A112" s="12" t="s">
        <v>186</v>
      </c>
      <c r="B112" s="11">
        <v>16957</v>
      </c>
      <c r="C112" s="11">
        <v>16957</v>
      </c>
      <c r="D112" s="8"/>
      <c r="E112" s="16"/>
      <c r="F112" s="15"/>
      <c r="G112" s="14"/>
      <c r="H112" s="14"/>
      <c r="N112" s="1"/>
    </row>
    <row r="113" spans="1:14" hidden="1">
      <c r="A113" s="12" t="s">
        <v>185</v>
      </c>
      <c r="B113" s="11">
        <v>17086</v>
      </c>
      <c r="C113" s="11">
        <v>17086</v>
      </c>
      <c r="D113" s="8"/>
      <c r="E113" s="16"/>
      <c r="F113" s="15"/>
      <c r="G113" s="14"/>
      <c r="H113" s="14"/>
      <c r="I113" s="14"/>
      <c r="J113" s="13"/>
      <c r="K113" s="13"/>
      <c r="N113" s="1"/>
    </row>
    <row r="114" spans="1:14" hidden="1">
      <c r="A114" s="12" t="s">
        <v>184</v>
      </c>
      <c r="B114" s="11">
        <v>17218</v>
      </c>
      <c r="C114" s="11">
        <v>17218</v>
      </c>
      <c r="D114" s="8"/>
      <c r="E114" s="16"/>
      <c r="F114" s="15"/>
      <c r="G114" s="14"/>
      <c r="H114" s="14"/>
      <c r="N114" s="1"/>
    </row>
    <row r="115" spans="1:14" hidden="1">
      <c r="A115" s="10" t="s">
        <v>183</v>
      </c>
      <c r="B115" s="9">
        <v>17338</v>
      </c>
      <c r="C115" s="9">
        <v>17338</v>
      </c>
      <c r="D115" s="8"/>
      <c r="E115" s="19"/>
      <c r="F115" s="15"/>
      <c r="G115" s="14"/>
      <c r="H115" s="14"/>
      <c r="I115" s="14"/>
      <c r="J115" s="13"/>
      <c r="K115" s="13"/>
      <c r="N115" s="1"/>
    </row>
    <row r="116" spans="1:14" hidden="1">
      <c r="A116" s="10" t="s">
        <v>182</v>
      </c>
      <c r="B116" s="9">
        <v>17496</v>
      </c>
      <c r="C116" s="9">
        <v>17496</v>
      </c>
      <c r="D116" s="8"/>
      <c r="E116" s="19"/>
      <c r="F116" s="15"/>
      <c r="G116" s="14"/>
      <c r="H116" s="14"/>
      <c r="I116" s="14"/>
      <c r="J116" s="13"/>
      <c r="K116" s="13"/>
      <c r="N116" s="1"/>
    </row>
    <row r="117" spans="1:14" hidden="1">
      <c r="A117" s="10" t="s">
        <v>181</v>
      </c>
      <c r="B117" s="9">
        <v>17654</v>
      </c>
      <c r="C117" s="9">
        <v>17654</v>
      </c>
      <c r="D117" s="8"/>
      <c r="E117" s="19"/>
      <c r="F117" s="15"/>
      <c r="G117" s="14"/>
      <c r="H117" s="14"/>
      <c r="I117" s="14"/>
      <c r="J117" s="13"/>
      <c r="K117" s="13"/>
      <c r="N117" s="1"/>
    </row>
    <row r="118" spans="1:14" hidden="1">
      <c r="A118" s="10" t="s">
        <v>180</v>
      </c>
      <c r="B118" s="9">
        <v>17813</v>
      </c>
      <c r="C118" s="9">
        <v>17813</v>
      </c>
      <c r="D118" s="8"/>
      <c r="E118" s="19"/>
      <c r="F118" s="15"/>
      <c r="G118" s="14"/>
      <c r="H118" s="14"/>
      <c r="I118" s="14"/>
      <c r="J118" s="13"/>
      <c r="K118" s="13"/>
      <c r="N118" s="1"/>
    </row>
    <row r="119" spans="1:14" hidden="1">
      <c r="A119" s="10" t="s">
        <v>179</v>
      </c>
      <c r="B119" s="9">
        <v>17974</v>
      </c>
      <c r="C119" s="9">
        <v>17974</v>
      </c>
      <c r="D119" s="8"/>
      <c r="E119" s="19"/>
      <c r="F119" s="15"/>
      <c r="G119" s="14"/>
      <c r="H119" s="14"/>
      <c r="I119" s="14"/>
      <c r="J119" s="13"/>
      <c r="K119" s="13"/>
      <c r="N119" s="1"/>
    </row>
    <row r="120" spans="1:14" hidden="1">
      <c r="A120" s="10" t="s">
        <v>178</v>
      </c>
      <c r="B120" s="9">
        <v>18136</v>
      </c>
      <c r="C120" s="9">
        <v>18136</v>
      </c>
      <c r="D120" s="8"/>
      <c r="E120" s="19"/>
      <c r="F120" s="15"/>
      <c r="G120" s="14"/>
      <c r="H120" s="14"/>
      <c r="I120" s="14"/>
      <c r="J120" s="13"/>
      <c r="K120" s="13"/>
      <c r="N120" s="1"/>
    </row>
    <row r="121" spans="1:14" hidden="1">
      <c r="A121" s="10" t="s">
        <v>177</v>
      </c>
      <c r="B121" s="9">
        <v>18301</v>
      </c>
      <c r="C121" s="9">
        <v>18301</v>
      </c>
      <c r="D121" s="8"/>
      <c r="E121" s="19"/>
      <c r="F121" s="15"/>
      <c r="G121" s="14"/>
      <c r="H121" s="14"/>
      <c r="I121" s="14"/>
      <c r="J121" s="13"/>
      <c r="K121" s="13"/>
      <c r="N121" s="1"/>
    </row>
    <row r="122" spans="1:14" hidden="1">
      <c r="A122" s="10" t="s">
        <v>176</v>
      </c>
      <c r="B122" s="9">
        <v>18466</v>
      </c>
      <c r="C122" s="9">
        <v>18466</v>
      </c>
      <c r="D122" s="8"/>
      <c r="E122" s="19"/>
      <c r="F122" s="15"/>
      <c r="G122" s="14"/>
      <c r="H122" s="14"/>
      <c r="I122" s="14"/>
      <c r="J122" s="13"/>
      <c r="K122" s="13"/>
      <c r="N122" s="1"/>
    </row>
    <row r="123" spans="1:14" hidden="1">
      <c r="A123" s="12" t="s">
        <v>175</v>
      </c>
      <c r="B123" s="11">
        <v>18613</v>
      </c>
      <c r="C123" s="11">
        <v>18613</v>
      </c>
      <c r="D123" s="8"/>
      <c r="E123" s="19"/>
      <c r="F123" s="15"/>
      <c r="G123" s="14"/>
      <c r="N123" s="1"/>
    </row>
    <row r="124" spans="1:14" hidden="1">
      <c r="A124" s="12" t="s">
        <v>174</v>
      </c>
      <c r="B124" s="11">
        <v>18769</v>
      </c>
      <c r="C124" s="11">
        <v>18769</v>
      </c>
      <c r="D124" s="8"/>
      <c r="E124" s="19"/>
      <c r="F124" s="15"/>
      <c r="G124" s="14"/>
      <c r="H124" s="14"/>
      <c r="N124" s="1"/>
    </row>
    <row r="125" spans="1:14" hidden="1">
      <c r="A125" s="12" t="s">
        <v>173</v>
      </c>
      <c r="B125" s="11">
        <v>18926</v>
      </c>
      <c r="C125" s="11">
        <v>18926</v>
      </c>
      <c r="D125" s="8"/>
      <c r="E125" s="19"/>
      <c r="F125" s="15"/>
      <c r="G125" s="14"/>
      <c r="H125" s="14"/>
      <c r="N125" s="1"/>
    </row>
    <row r="126" spans="1:14" hidden="1">
      <c r="A126" s="12" t="s">
        <v>172</v>
      </c>
      <c r="B126" s="11">
        <v>19085</v>
      </c>
      <c r="C126" s="11">
        <v>19085</v>
      </c>
      <c r="D126" s="8"/>
      <c r="E126" s="19"/>
      <c r="F126" s="15"/>
      <c r="G126" s="14"/>
      <c r="H126" s="14"/>
      <c r="N126" s="1"/>
    </row>
    <row r="127" spans="1:14" hidden="1">
      <c r="A127" s="12" t="s">
        <v>171</v>
      </c>
      <c r="B127" s="11">
        <v>19244</v>
      </c>
      <c r="C127" s="11">
        <v>19244</v>
      </c>
      <c r="D127" s="8"/>
      <c r="E127" s="19"/>
      <c r="F127" s="15"/>
      <c r="G127" s="14"/>
      <c r="H127" s="14"/>
      <c r="I127" s="14"/>
      <c r="J127" s="13"/>
      <c r="K127" s="13"/>
      <c r="N127" s="1"/>
    </row>
    <row r="128" spans="1:14" hidden="1">
      <c r="A128" s="12" t="s">
        <v>170</v>
      </c>
      <c r="B128" s="11">
        <v>19405</v>
      </c>
      <c r="C128" s="11">
        <v>19405</v>
      </c>
      <c r="D128" s="8"/>
      <c r="E128" s="19"/>
      <c r="F128" s="15"/>
      <c r="G128" s="14"/>
      <c r="H128" s="14"/>
      <c r="I128" s="14"/>
      <c r="J128" s="13"/>
      <c r="K128" s="13"/>
      <c r="N128" s="1"/>
    </row>
    <row r="129" spans="1:14" hidden="1">
      <c r="A129" s="12" t="s">
        <v>169</v>
      </c>
      <c r="B129" s="11">
        <v>19567</v>
      </c>
      <c r="C129" s="11">
        <v>19567</v>
      </c>
      <c r="D129" s="8"/>
      <c r="E129" s="19"/>
      <c r="F129" s="15"/>
      <c r="G129" s="14"/>
      <c r="H129" s="14"/>
      <c r="I129" s="14"/>
      <c r="J129" s="13"/>
      <c r="K129" s="13"/>
      <c r="N129" s="1"/>
    </row>
    <row r="130" spans="1:14" hidden="1">
      <c r="A130" s="12" t="s">
        <v>168</v>
      </c>
      <c r="B130" s="11">
        <v>19731</v>
      </c>
      <c r="C130" s="11">
        <v>19731</v>
      </c>
      <c r="D130" s="8"/>
      <c r="E130" s="19"/>
      <c r="F130" s="15"/>
      <c r="G130" s="14"/>
      <c r="H130" s="14"/>
      <c r="I130" s="14"/>
      <c r="J130" s="13"/>
      <c r="K130" s="13"/>
      <c r="N130" s="1"/>
    </row>
    <row r="131" spans="1:14" hidden="1">
      <c r="A131" s="10" t="s">
        <v>167</v>
      </c>
      <c r="B131" s="9">
        <v>20145</v>
      </c>
      <c r="C131" s="9">
        <v>20145</v>
      </c>
      <c r="D131" s="8"/>
      <c r="E131" s="16"/>
      <c r="F131" s="15"/>
      <c r="G131" s="14"/>
      <c r="N131" s="1"/>
    </row>
    <row r="132" spans="1:14" hidden="1">
      <c r="A132" s="10" t="s">
        <v>166</v>
      </c>
      <c r="B132" s="9">
        <v>20313</v>
      </c>
      <c r="C132" s="9">
        <v>20313</v>
      </c>
      <c r="D132" s="8"/>
      <c r="E132" s="16"/>
      <c r="F132" s="15"/>
      <c r="G132" s="14"/>
      <c r="N132" s="1"/>
    </row>
    <row r="133" spans="1:14" hidden="1">
      <c r="A133" s="10" t="s">
        <v>165</v>
      </c>
      <c r="B133" s="9">
        <v>20483</v>
      </c>
      <c r="C133" s="9">
        <v>20483</v>
      </c>
      <c r="D133" s="8"/>
      <c r="E133" s="16"/>
      <c r="F133" s="15"/>
      <c r="G133" s="14"/>
      <c r="H133" s="14"/>
      <c r="N133" s="1"/>
    </row>
    <row r="134" spans="1:14" hidden="1">
      <c r="A134" s="10" t="s">
        <v>164</v>
      </c>
      <c r="B134" s="9">
        <v>20654</v>
      </c>
      <c r="C134" s="9">
        <v>20654</v>
      </c>
      <c r="D134" s="8"/>
      <c r="E134" s="16"/>
      <c r="F134" s="15"/>
      <c r="G134" s="14"/>
      <c r="H134" s="14"/>
      <c r="N134" s="1"/>
    </row>
    <row r="135" spans="1:14" hidden="1">
      <c r="A135" s="10" t="s">
        <v>163</v>
      </c>
      <c r="B135" s="9">
        <v>20827</v>
      </c>
      <c r="C135" s="9">
        <v>20827</v>
      </c>
      <c r="D135" s="8"/>
      <c r="E135" s="16"/>
      <c r="F135" s="15"/>
      <c r="G135" s="14"/>
      <c r="H135" s="14"/>
      <c r="N135" s="1"/>
    </row>
    <row r="136" spans="1:14" hidden="1">
      <c r="A136" s="10" t="s">
        <v>162</v>
      </c>
      <c r="B136" s="9">
        <v>21001</v>
      </c>
      <c r="C136" s="9">
        <v>21001</v>
      </c>
      <c r="D136" s="8"/>
      <c r="E136" s="16"/>
      <c r="F136" s="15"/>
      <c r="G136" s="14"/>
      <c r="H136" s="14"/>
      <c r="I136" s="14"/>
      <c r="J136" s="13"/>
      <c r="K136" s="13"/>
      <c r="N136" s="1"/>
    </row>
    <row r="137" spans="1:14" hidden="1">
      <c r="A137" s="10" t="s">
        <v>161</v>
      </c>
      <c r="B137" s="9">
        <v>21176</v>
      </c>
      <c r="C137" s="9">
        <v>21176</v>
      </c>
      <c r="D137" s="8"/>
      <c r="E137" s="16"/>
      <c r="F137" s="15"/>
      <c r="G137" s="14"/>
      <c r="H137" s="17"/>
      <c r="I137" s="14"/>
      <c r="J137" s="13"/>
      <c r="K137" s="13"/>
      <c r="N137" s="1"/>
    </row>
    <row r="138" spans="1:14" hidden="1">
      <c r="A138" s="10" t="s">
        <v>160</v>
      </c>
      <c r="B138" s="9">
        <v>21353</v>
      </c>
      <c r="C138" s="9">
        <v>21353</v>
      </c>
      <c r="D138" s="8"/>
      <c r="E138" s="16"/>
      <c r="F138" s="15"/>
      <c r="G138" s="14"/>
      <c r="H138" s="18"/>
      <c r="N138" s="1"/>
    </row>
    <row r="139" spans="1:14" hidden="1">
      <c r="A139" s="12" t="s">
        <v>159</v>
      </c>
      <c r="B139" s="11">
        <v>22683</v>
      </c>
      <c r="C139" s="11">
        <v>22683</v>
      </c>
      <c r="D139" s="8"/>
      <c r="E139" s="16"/>
      <c r="F139" s="15"/>
      <c r="G139" s="14"/>
      <c r="H139" s="17"/>
      <c r="I139" s="14"/>
      <c r="J139" s="13"/>
      <c r="K139" s="13"/>
      <c r="N139" s="1"/>
    </row>
    <row r="140" spans="1:14" hidden="1">
      <c r="A140" s="12" t="s">
        <v>158</v>
      </c>
      <c r="B140" s="11">
        <v>22953</v>
      </c>
      <c r="C140" s="11">
        <v>22953</v>
      </c>
      <c r="D140" s="8"/>
      <c r="N140" s="1"/>
    </row>
    <row r="141" spans="1:14" hidden="1">
      <c r="A141" s="12" t="s">
        <v>157</v>
      </c>
      <c r="B141" s="11">
        <v>23228</v>
      </c>
      <c r="C141" s="11">
        <v>23228</v>
      </c>
      <c r="D141" s="8"/>
      <c r="N141" s="1"/>
    </row>
    <row r="142" spans="1:14" hidden="1">
      <c r="A142" s="12" t="s">
        <v>156</v>
      </c>
      <c r="B142" s="11">
        <v>23505</v>
      </c>
      <c r="C142" s="11">
        <v>23505</v>
      </c>
      <c r="D142" s="8"/>
      <c r="N142" s="1"/>
    </row>
    <row r="143" spans="1:14" hidden="1">
      <c r="A143" s="12" t="s">
        <v>155</v>
      </c>
      <c r="B143" s="11">
        <v>23786</v>
      </c>
      <c r="C143" s="11">
        <v>23786</v>
      </c>
      <c r="D143" s="8"/>
      <c r="N143" s="1"/>
    </row>
    <row r="144" spans="1:14" hidden="1">
      <c r="A144" s="12" t="s">
        <v>154</v>
      </c>
      <c r="B144" s="11">
        <v>24072</v>
      </c>
      <c r="C144" s="11">
        <v>24072</v>
      </c>
      <c r="D144" s="8"/>
      <c r="N144" s="1"/>
    </row>
    <row r="145" spans="1:116" hidden="1">
      <c r="A145" s="12" t="s">
        <v>153</v>
      </c>
      <c r="B145" s="11">
        <v>24361</v>
      </c>
      <c r="C145" s="11">
        <v>24361</v>
      </c>
      <c r="D145" s="8"/>
      <c r="N145" s="1"/>
    </row>
    <row r="146" spans="1:116" hidden="1">
      <c r="A146" s="12" t="s">
        <v>152</v>
      </c>
      <c r="B146" s="11">
        <v>24654</v>
      </c>
      <c r="C146" s="11">
        <v>24654</v>
      </c>
      <c r="D146" s="8"/>
      <c r="N146" s="1"/>
    </row>
    <row r="147" spans="1:116" hidden="1">
      <c r="A147" s="10" t="s">
        <v>151</v>
      </c>
      <c r="B147" s="9">
        <v>24749</v>
      </c>
      <c r="C147" s="9">
        <v>24749</v>
      </c>
      <c r="D147" s="8"/>
      <c r="N147" s="1"/>
    </row>
    <row r="148" spans="1:116" hidden="1">
      <c r="A148" s="10" t="s">
        <v>150</v>
      </c>
      <c r="B148" s="9">
        <v>25019</v>
      </c>
      <c r="C148" s="9">
        <v>25019</v>
      </c>
      <c r="D148" s="8"/>
      <c r="N148" s="1"/>
    </row>
    <row r="149" spans="1:116" hidden="1">
      <c r="A149" s="10" t="s">
        <v>149</v>
      </c>
      <c r="B149" s="9">
        <v>25293</v>
      </c>
      <c r="C149" s="9">
        <v>25293</v>
      </c>
      <c r="D149" s="8"/>
      <c r="F149" s="16"/>
      <c r="G149" s="15"/>
      <c r="H149" s="14"/>
      <c r="I149" s="14"/>
      <c r="J149" s="13"/>
      <c r="K149" s="13"/>
      <c r="N149" s="1"/>
    </row>
    <row r="150" spans="1:116" hidden="1">
      <c r="A150" s="10" t="s">
        <v>148</v>
      </c>
      <c r="B150" s="9">
        <v>25569</v>
      </c>
      <c r="C150" s="9">
        <v>25569</v>
      </c>
      <c r="D150" s="8"/>
      <c r="F150" s="16"/>
      <c r="G150" s="15"/>
      <c r="H150" s="14"/>
      <c r="I150" s="14"/>
      <c r="J150" s="13"/>
      <c r="K150" s="13"/>
      <c r="N150" s="1"/>
    </row>
    <row r="151" spans="1:116" hidden="1">
      <c r="A151" s="10" t="s">
        <v>147</v>
      </c>
      <c r="B151" s="9">
        <v>25850</v>
      </c>
      <c r="C151" s="9">
        <v>25850</v>
      </c>
      <c r="D151" s="8"/>
      <c r="F151" s="16"/>
      <c r="G151" s="15"/>
      <c r="H151" s="14"/>
      <c r="I151" s="14"/>
      <c r="J151" s="13"/>
      <c r="K151" s="13"/>
      <c r="N151" s="1"/>
    </row>
    <row r="152" spans="1:116" hidden="1">
      <c r="A152" s="10" t="s">
        <v>146</v>
      </c>
      <c r="B152" s="9">
        <v>26134</v>
      </c>
      <c r="C152" s="9">
        <v>26134</v>
      </c>
      <c r="D152" s="8"/>
      <c r="F152" s="16"/>
      <c r="G152" s="15"/>
      <c r="H152" s="14"/>
      <c r="I152" s="14"/>
      <c r="J152" s="13"/>
      <c r="K152" s="13"/>
      <c r="N152" s="1"/>
    </row>
    <row r="153" spans="1:116" hidden="1">
      <c r="A153" s="10" t="s">
        <v>145</v>
      </c>
      <c r="B153" s="9">
        <v>26420</v>
      </c>
      <c r="C153" s="9">
        <v>26420</v>
      </c>
      <c r="D153" s="8"/>
      <c r="F153" s="16"/>
      <c r="G153" s="15"/>
      <c r="H153" s="14"/>
      <c r="I153" s="14"/>
      <c r="J153" s="13"/>
      <c r="K153" s="13"/>
      <c r="N153" s="1"/>
    </row>
    <row r="154" spans="1:116" hidden="1">
      <c r="A154" s="10" t="s">
        <v>144</v>
      </c>
      <c r="B154" s="9">
        <v>26711</v>
      </c>
      <c r="C154" s="9">
        <v>26711</v>
      </c>
      <c r="D154" s="8"/>
      <c r="F154" s="16"/>
      <c r="G154" s="15"/>
      <c r="H154" s="14"/>
      <c r="I154" s="14"/>
      <c r="J154" s="13"/>
      <c r="K154" s="13"/>
      <c r="N154" s="1"/>
    </row>
    <row r="155" spans="1:116" hidden="1">
      <c r="A155" s="12" t="s">
        <v>143</v>
      </c>
      <c r="B155" s="11">
        <v>26862</v>
      </c>
      <c r="C155" s="11">
        <v>26862</v>
      </c>
      <c r="D155" s="8"/>
      <c r="N155" s="1"/>
    </row>
    <row r="156" spans="1:116" hidden="1">
      <c r="A156" s="12" t="s">
        <v>142</v>
      </c>
      <c r="B156" s="11">
        <v>27160</v>
      </c>
      <c r="C156" s="11">
        <v>27160</v>
      </c>
      <c r="D156" s="8"/>
      <c r="N156" s="1"/>
    </row>
    <row r="157" spans="1:116" hidden="1">
      <c r="A157" s="12" t="s">
        <v>141</v>
      </c>
      <c r="B157" s="11">
        <v>27460</v>
      </c>
      <c r="C157" s="11">
        <v>27460</v>
      </c>
      <c r="D157" s="8"/>
      <c r="N157" s="1"/>
    </row>
    <row r="158" spans="1:116" hidden="1">
      <c r="A158" s="12" t="s">
        <v>140</v>
      </c>
      <c r="B158" s="11">
        <v>27764</v>
      </c>
      <c r="C158" s="11">
        <v>27764</v>
      </c>
      <c r="D158" s="8"/>
      <c r="N158" s="1"/>
    </row>
    <row r="159" spans="1:116" hidden="1">
      <c r="A159" s="12" t="s">
        <v>139</v>
      </c>
      <c r="B159" s="11">
        <v>28073</v>
      </c>
      <c r="C159" s="11">
        <v>28073</v>
      </c>
      <c r="D159" s="8"/>
      <c r="N159" s="1"/>
    </row>
    <row r="160" spans="1:116" s="4" customFormat="1" hidden="1">
      <c r="A160" s="12" t="s">
        <v>138</v>
      </c>
      <c r="B160" s="11">
        <v>28384</v>
      </c>
      <c r="C160" s="11">
        <v>28384</v>
      </c>
      <c r="D160" s="8"/>
      <c r="F160" s="1"/>
      <c r="G160" s="1"/>
      <c r="H160" s="1"/>
      <c r="I160" s="1"/>
      <c r="J160" s="3"/>
      <c r="K160" s="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row>
    <row r="161" spans="1:116" s="4" customFormat="1" hidden="1">
      <c r="A161" s="12" t="s">
        <v>137</v>
      </c>
      <c r="B161" s="11">
        <v>28700</v>
      </c>
      <c r="C161" s="11">
        <v>28700</v>
      </c>
      <c r="D161" s="8"/>
      <c r="F161" s="1"/>
      <c r="G161" s="1"/>
      <c r="H161" s="1"/>
      <c r="I161" s="1"/>
      <c r="J161" s="3"/>
      <c r="K161" s="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row>
    <row r="162" spans="1:116" s="4" customFormat="1" hidden="1">
      <c r="A162" s="12" t="s">
        <v>136</v>
      </c>
      <c r="B162" s="11">
        <v>29020</v>
      </c>
      <c r="C162" s="11">
        <v>29020</v>
      </c>
      <c r="D162" s="8"/>
      <c r="F162" s="1"/>
      <c r="G162" s="1"/>
      <c r="H162" s="1"/>
      <c r="I162" s="1"/>
      <c r="J162" s="3"/>
      <c r="K162" s="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row>
    <row r="163" spans="1:116" s="4" customFormat="1" hidden="1">
      <c r="A163" s="10" t="s">
        <v>135</v>
      </c>
      <c r="B163" s="9">
        <v>29259</v>
      </c>
      <c r="C163" s="9">
        <v>29259</v>
      </c>
      <c r="D163" s="8"/>
      <c r="F163" s="1"/>
      <c r="G163" s="1"/>
      <c r="H163" s="1"/>
      <c r="I163" s="1"/>
      <c r="J163" s="3"/>
      <c r="K163" s="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row>
    <row r="164" spans="1:116" s="4" customFormat="1" hidden="1">
      <c r="A164" s="10" t="s">
        <v>134</v>
      </c>
      <c r="B164" s="9">
        <v>29586</v>
      </c>
      <c r="C164" s="9">
        <v>29586</v>
      </c>
      <c r="D164" s="8"/>
      <c r="F164" s="1"/>
      <c r="G164" s="1"/>
      <c r="H164" s="1"/>
      <c r="I164" s="1"/>
      <c r="J164" s="3"/>
      <c r="K164" s="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row>
    <row r="165" spans="1:116" s="4" customFormat="1" hidden="1">
      <c r="A165" s="10" t="s">
        <v>133</v>
      </c>
      <c r="B165" s="9">
        <v>29916</v>
      </c>
      <c r="C165" s="9">
        <v>29916</v>
      </c>
      <c r="D165" s="8"/>
      <c r="F165" s="1"/>
      <c r="G165" s="1"/>
      <c r="H165" s="1"/>
      <c r="I165" s="1"/>
      <c r="J165" s="3"/>
      <c r="K165" s="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row>
    <row r="166" spans="1:116" s="4" customFormat="1" hidden="1">
      <c r="A166" s="10" t="s">
        <v>132</v>
      </c>
      <c r="B166" s="9">
        <v>30252</v>
      </c>
      <c r="C166" s="9">
        <v>30252</v>
      </c>
      <c r="D166" s="8"/>
      <c r="F166" s="1"/>
      <c r="G166" s="1"/>
      <c r="H166" s="1"/>
      <c r="I166" s="1"/>
      <c r="J166" s="3"/>
      <c r="K166" s="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row>
    <row r="167" spans="1:116" s="4" customFormat="1" hidden="1">
      <c r="A167" s="10" t="s">
        <v>131</v>
      </c>
      <c r="B167" s="9">
        <v>30590</v>
      </c>
      <c r="C167" s="9">
        <v>30590</v>
      </c>
      <c r="D167" s="8"/>
      <c r="F167" s="1"/>
      <c r="G167" s="1"/>
      <c r="H167" s="1"/>
      <c r="I167" s="1"/>
      <c r="J167" s="3"/>
      <c r="K167" s="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row>
    <row r="168" spans="1:116" s="4" customFormat="1" hidden="1">
      <c r="A168" s="10" t="s">
        <v>130</v>
      </c>
      <c r="B168" s="9">
        <v>30933</v>
      </c>
      <c r="C168" s="9">
        <v>30933</v>
      </c>
      <c r="D168" s="8"/>
      <c r="F168" s="1"/>
      <c r="G168" s="1"/>
      <c r="H168" s="1"/>
      <c r="I168" s="1"/>
      <c r="J168" s="3"/>
      <c r="K168" s="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row>
    <row r="169" spans="1:116" s="4" customFormat="1" hidden="1">
      <c r="A169" s="10" t="s">
        <v>129</v>
      </c>
      <c r="B169" s="9">
        <v>31281</v>
      </c>
      <c r="C169" s="9">
        <v>31281</v>
      </c>
      <c r="D169" s="8"/>
      <c r="F169" s="1"/>
      <c r="G169" s="1"/>
      <c r="H169" s="1"/>
      <c r="I169" s="1"/>
      <c r="J169" s="3"/>
      <c r="K169" s="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row>
    <row r="170" spans="1:116" s="4" customFormat="1" hidden="1">
      <c r="A170" s="10" t="s">
        <v>128</v>
      </c>
      <c r="B170" s="9">
        <v>31632</v>
      </c>
      <c r="C170" s="9">
        <v>31632</v>
      </c>
      <c r="D170" s="8"/>
      <c r="F170" s="1"/>
      <c r="G170" s="1"/>
      <c r="H170" s="1"/>
      <c r="I170" s="1"/>
      <c r="J170" s="3"/>
      <c r="K170" s="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row>
    <row r="171" spans="1:116" s="4" customFormat="1" hidden="1">
      <c r="A171" s="12" t="s">
        <v>127</v>
      </c>
      <c r="B171" s="11">
        <v>31896</v>
      </c>
      <c r="C171" s="11">
        <v>31896</v>
      </c>
      <c r="D171" s="8"/>
      <c r="F171" s="1"/>
      <c r="G171" s="1"/>
      <c r="H171" s="1"/>
      <c r="I171" s="1"/>
      <c r="J171" s="3"/>
      <c r="K171" s="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row>
    <row r="172" spans="1:116" s="4" customFormat="1" hidden="1">
      <c r="A172" s="12" t="s">
        <v>126</v>
      </c>
      <c r="B172" s="11">
        <v>32255</v>
      </c>
      <c r="C172" s="11">
        <v>32255</v>
      </c>
      <c r="D172" s="8"/>
      <c r="F172" s="1"/>
      <c r="G172" s="1"/>
      <c r="H172" s="1"/>
      <c r="I172" s="1"/>
      <c r="J172" s="3"/>
      <c r="K172" s="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row>
    <row r="173" spans="1:116" s="4" customFormat="1" hidden="1">
      <c r="A173" s="12" t="s">
        <v>125</v>
      </c>
      <c r="B173" s="11">
        <v>32619</v>
      </c>
      <c r="C173" s="11">
        <v>32619</v>
      </c>
      <c r="D173" s="8"/>
      <c r="F173" s="1"/>
      <c r="G173" s="1"/>
      <c r="H173" s="1"/>
      <c r="I173" s="1"/>
      <c r="J173" s="3"/>
      <c r="K173" s="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row>
    <row r="174" spans="1:116" s="4" customFormat="1" hidden="1">
      <c r="A174" s="12" t="s">
        <v>124</v>
      </c>
      <c r="B174" s="11">
        <v>32988</v>
      </c>
      <c r="C174" s="11">
        <v>32988</v>
      </c>
      <c r="D174" s="8"/>
      <c r="F174" s="1"/>
      <c r="G174" s="1"/>
      <c r="H174" s="1"/>
      <c r="I174" s="1"/>
      <c r="J174" s="3"/>
      <c r="K174" s="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row>
    <row r="175" spans="1:116" s="4" customFormat="1" hidden="1">
      <c r="A175" s="12" t="s">
        <v>123</v>
      </c>
      <c r="B175" s="11">
        <v>33360</v>
      </c>
      <c r="C175" s="11">
        <v>33360</v>
      </c>
      <c r="D175" s="8"/>
      <c r="F175" s="1"/>
      <c r="G175" s="1"/>
      <c r="H175" s="1"/>
      <c r="I175" s="1"/>
      <c r="J175" s="3"/>
      <c r="K175" s="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row>
    <row r="176" spans="1:116" s="4" customFormat="1" hidden="1">
      <c r="A176" s="12" t="s">
        <v>122</v>
      </c>
      <c r="B176" s="11">
        <v>33737</v>
      </c>
      <c r="C176" s="11">
        <v>33737</v>
      </c>
      <c r="D176" s="8"/>
      <c r="F176" s="1"/>
      <c r="G176" s="1"/>
      <c r="H176" s="1"/>
      <c r="I176" s="1"/>
      <c r="J176" s="3"/>
      <c r="K176" s="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row>
    <row r="177" spans="1:116" s="4" customFormat="1" hidden="1">
      <c r="A177" s="12" t="s">
        <v>121</v>
      </c>
      <c r="B177" s="11">
        <v>34119</v>
      </c>
      <c r="C177" s="11">
        <v>34119</v>
      </c>
      <c r="D177" s="8"/>
      <c r="F177" s="1"/>
      <c r="G177" s="1"/>
      <c r="H177" s="1"/>
      <c r="I177" s="1"/>
      <c r="J177" s="3"/>
      <c r="K177" s="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row>
    <row r="178" spans="1:116" s="4" customFormat="1" hidden="1">
      <c r="A178" s="12" t="s">
        <v>120</v>
      </c>
      <c r="B178" s="11">
        <v>34507</v>
      </c>
      <c r="C178" s="11">
        <v>34507</v>
      </c>
      <c r="D178" s="8"/>
      <c r="F178" s="1"/>
      <c r="G178" s="1"/>
      <c r="H178" s="1"/>
      <c r="I178" s="1"/>
      <c r="J178" s="3"/>
      <c r="K178" s="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row>
    <row r="179" spans="1:116" s="4" customFormat="1" hidden="1">
      <c r="A179" s="10" t="s">
        <v>119</v>
      </c>
      <c r="B179" s="9">
        <v>34797</v>
      </c>
      <c r="C179" s="9">
        <v>34797</v>
      </c>
      <c r="D179" s="8"/>
      <c r="F179" s="1"/>
      <c r="G179" s="1"/>
      <c r="H179" s="1"/>
      <c r="I179" s="1"/>
      <c r="J179" s="3"/>
      <c r="K179" s="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row>
    <row r="180" spans="1:116" s="4" customFormat="1" hidden="1">
      <c r="A180" s="10" t="s">
        <v>118</v>
      </c>
      <c r="B180" s="9">
        <v>35192</v>
      </c>
      <c r="C180" s="9">
        <v>35192</v>
      </c>
      <c r="D180" s="8"/>
      <c r="F180" s="1"/>
      <c r="G180" s="1"/>
      <c r="H180" s="1"/>
      <c r="I180" s="1"/>
      <c r="J180" s="3"/>
      <c r="K180" s="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row>
    <row r="181" spans="1:116" s="4" customFormat="1" hidden="1">
      <c r="A181" s="10" t="s">
        <v>117</v>
      </c>
      <c r="B181" s="9">
        <v>35592</v>
      </c>
      <c r="C181" s="9">
        <v>35592</v>
      </c>
      <c r="D181" s="8"/>
      <c r="F181" s="1"/>
      <c r="G181" s="1"/>
      <c r="H181" s="1"/>
      <c r="I181" s="1"/>
      <c r="J181" s="3"/>
      <c r="K181" s="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row>
    <row r="182" spans="1:116" s="4" customFormat="1" hidden="1">
      <c r="A182" s="10" t="s">
        <v>116</v>
      </c>
      <c r="B182" s="9">
        <v>35996</v>
      </c>
      <c r="C182" s="9">
        <v>35996</v>
      </c>
      <c r="D182" s="8"/>
      <c r="F182" s="1"/>
      <c r="G182" s="1"/>
      <c r="H182" s="1"/>
      <c r="I182" s="1"/>
      <c r="J182" s="3"/>
      <c r="K182" s="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row>
    <row r="183" spans="1:116" s="4" customFormat="1" hidden="1">
      <c r="A183" s="10" t="s">
        <v>115</v>
      </c>
      <c r="B183" s="9">
        <v>36407</v>
      </c>
      <c r="C183" s="9">
        <v>36407</v>
      </c>
      <c r="D183" s="8"/>
      <c r="F183" s="1"/>
      <c r="G183" s="1"/>
      <c r="H183" s="1"/>
      <c r="I183" s="1"/>
      <c r="J183" s="3"/>
      <c r="K183" s="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row>
    <row r="184" spans="1:116" s="4" customFormat="1" hidden="1">
      <c r="A184" s="10" t="s">
        <v>114</v>
      </c>
      <c r="B184" s="9">
        <v>36822</v>
      </c>
      <c r="C184" s="9">
        <v>36822</v>
      </c>
      <c r="D184" s="8"/>
      <c r="F184" s="1"/>
      <c r="G184" s="1"/>
      <c r="H184" s="1"/>
      <c r="I184" s="1"/>
      <c r="J184" s="3"/>
      <c r="K184" s="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row>
    <row r="185" spans="1:116" s="4" customFormat="1" hidden="1">
      <c r="A185" s="10" t="s">
        <v>113</v>
      </c>
      <c r="B185" s="9">
        <v>37243</v>
      </c>
      <c r="C185" s="9">
        <v>37243</v>
      </c>
      <c r="D185" s="8"/>
      <c r="F185" s="1"/>
      <c r="G185" s="1"/>
      <c r="H185" s="1"/>
      <c r="I185" s="1"/>
      <c r="J185" s="3"/>
      <c r="K185" s="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row>
    <row r="186" spans="1:116" s="4" customFormat="1" hidden="1">
      <c r="A186" s="10" t="s">
        <v>112</v>
      </c>
      <c r="B186" s="9">
        <v>37668</v>
      </c>
      <c r="C186" s="9">
        <v>37668</v>
      </c>
      <c r="D186" s="8"/>
      <c r="F186" s="1"/>
      <c r="G186" s="1"/>
      <c r="H186" s="1"/>
      <c r="I186" s="1"/>
      <c r="J186" s="3"/>
      <c r="K186" s="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row>
    <row r="187" spans="1:116" s="4" customFormat="1" hidden="1">
      <c r="A187" s="12" t="s">
        <v>111</v>
      </c>
      <c r="B187" s="11">
        <v>37987</v>
      </c>
      <c r="C187" s="11">
        <v>37987</v>
      </c>
      <c r="D187" s="8"/>
      <c r="F187" s="1"/>
      <c r="G187" s="1"/>
      <c r="H187" s="1"/>
      <c r="I187" s="1"/>
      <c r="J187" s="3"/>
      <c r="K187" s="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row>
    <row r="188" spans="1:116" s="4" customFormat="1" hidden="1">
      <c r="A188" s="12" t="s">
        <v>110</v>
      </c>
      <c r="B188" s="11">
        <v>38422</v>
      </c>
      <c r="C188" s="11">
        <v>38422</v>
      </c>
      <c r="D188" s="8"/>
      <c r="F188" s="1"/>
      <c r="G188" s="1"/>
      <c r="H188" s="1"/>
      <c r="I188" s="1"/>
      <c r="J188" s="3"/>
      <c r="K188" s="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row>
    <row r="189" spans="1:116" s="4" customFormat="1" hidden="1">
      <c r="A189" s="12" t="s">
        <v>109</v>
      </c>
      <c r="B189" s="11">
        <v>38862</v>
      </c>
      <c r="C189" s="11">
        <v>38862</v>
      </c>
      <c r="D189" s="8"/>
      <c r="F189" s="1"/>
      <c r="G189" s="1"/>
      <c r="H189" s="1"/>
      <c r="I189" s="1"/>
      <c r="J189" s="3"/>
      <c r="K189" s="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row>
    <row r="190" spans="1:116" s="4" customFormat="1" hidden="1">
      <c r="A190" s="12" t="s">
        <v>108</v>
      </c>
      <c r="B190" s="11">
        <v>39307</v>
      </c>
      <c r="C190" s="11">
        <v>39307</v>
      </c>
      <c r="D190" s="8"/>
      <c r="F190" s="1"/>
      <c r="G190" s="1"/>
      <c r="H190" s="1"/>
      <c r="I190" s="1"/>
      <c r="J190" s="3"/>
      <c r="K190" s="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row>
    <row r="191" spans="1:116" s="4" customFormat="1" hidden="1">
      <c r="A191" s="12" t="s">
        <v>107</v>
      </c>
      <c r="B191" s="11">
        <v>39758</v>
      </c>
      <c r="C191" s="11">
        <v>39758</v>
      </c>
      <c r="D191" s="8"/>
      <c r="F191" s="1"/>
      <c r="G191" s="1"/>
      <c r="H191" s="1"/>
      <c r="I191" s="1"/>
      <c r="J191" s="3"/>
      <c r="K191" s="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row>
    <row r="192" spans="1:116" s="4" customFormat="1" hidden="1">
      <c r="A192" s="12" t="s">
        <v>106</v>
      </c>
      <c r="B192" s="11">
        <v>40215</v>
      </c>
      <c r="C192" s="11">
        <v>40215</v>
      </c>
      <c r="D192" s="8"/>
      <c r="F192" s="1"/>
      <c r="G192" s="1"/>
      <c r="H192" s="1"/>
      <c r="I192" s="1"/>
      <c r="J192" s="3"/>
      <c r="K192" s="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row>
    <row r="193" spans="1:116" s="4" customFormat="1" hidden="1">
      <c r="A193" s="12" t="s">
        <v>105</v>
      </c>
      <c r="B193" s="11">
        <v>40677</v>
      </c>
      <c r="C193" s="11">
        <v>40677</v>
      </c>
      <c r="D193" s="8"/>
      <c r="F193" s="1"/>
      <c r="G193" s="1"/>
      <c r="H193" s="1"/>
      <c r="I193" s="1"/>
      <c r="J193" s="3"/>
      <c r="K193" s="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row>
    <row r="194" spans="1:116" s="4" customFormat="1" hidden="1">
      <c r="A194" s="12" t="s">
        <v>104</v>
      </c>
      <c r="B194" s="11">
        <v>41145</v>
      </c>
      <c r="C194" s="11">
        <v>41145</v>
      </c>
      <c r="D194" s="8"/>
      <c r="F194" s="1"/>
      <c r="G194" s="1"/>
      <c r="H194" s="1"/>
      <c r="I194" s="1"/>
      <c r="J194" s="3"/>
      <c r="K194" s="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row>
    <row r="195" spans="1:116" s="4" customFormat="1" hidden="1">
      <c r="A195" s="10" t="s">
        <v>103</v>
      </c>
      <c r="B195" s="9">
        <v>41497</v>
      </c>
      <c r="C195" s="9">
        <v>41497</v>
      </c>
      <c r="D195" s="8"/>
      <c r="F195" s="1"/>
      <c r="G195" s="1"/>
      <c r="H195" s="1"/>
      <c r="I195" s="1"/>
      <c r="J195" s="3"/>
      <c r="K195" s="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row>
    <row r="196" spans="1:116" s="4" customFormat="1" hidden="1">
      <c r="A196" s="10" t="s">
        <v>102</v>
      </c>
      <c r="B196" s="9">
        <v>41975</v>
      </c>
      <c r="C196" s="9">
        <v>41975</v>
      </c>
      <c r="D196" s="8"/>
      <c r="F196" s="1"/>
      <c r="G196" s="1"/>
      <c r="H196" s="1"/>
      <c r="I196" s="1"/>
      <c r="J196" s="3"/>
      <c r="K196" s="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row>
    <row r="197" spans="1:116" s="4" customFormat="1" hidden="1">
      <c r="A197" s="10" t="s">
        <v>101</v>
      </c>
      <c r="B197" s="9">
        <v>42459</v>
      </c>
      <c r="C197" s="9">
        <v>42459</v>
      </c>
      <c r="D197" s="8"/>
      <c r="F197" s="1"/>
      <c r="G197" s="1"/>
      <c r="H197" s="1"/>
      <c r="I197" s="1"/>
      <c r="J197" s="3"/>
      <c r="K197" s="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row>
    <row r="198" spans="1:116" s="4" customFormat="1" hidden="1">
      <c r="A198" s="10" t="s">
        <v>100</v>
      </c>
      <c r="B198" s="9">
        <v>42949</v>
      </c>
      <c r="C198" s="9">
        <v>42949</v>
      </c>
      <c r="D198" s="8"/>
      <c r="F198" s="1"/>
      <c r="G198" s="1"/>
      <c r="H198" s="1"/>
      <c r="I198" s="1"/>
      <c r="J198" s="3"/>
      <c r="K198" s="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row>
    <row r="199" spans="1:116" s="4" customFormat="1" hidden="1">
      <c r="A199" s="10" t="s">
        <v>99</v>
      </c>
      <c r="B199" s="9">
        <v>43445</v>
      </c>
      <c r="C199" s="9">
        <v>43445</v>
      </c>
      <c r="D199" s="8"/>
      <c r="F199" s="1"/>
      <c r="G199" s="1"/>
      <c r="H199" s="1"/>
      <c r="I199" s="1"/>
      <c r="J199" s="3"/>
      <c r="K199" s="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row>
    <row r="200" spans="1:116" s="4" customFormat="1" hidden="1">
      <c r="A200" s="10" t="s">
        <v>98</v>
      </c>
      <c r="B200" s="9">
        <v>43948</v>
      </c>
      <c r="C200" s="9">
        <v>43948</v>
      </c>
      <c r="D200" s="8"/>
      <c r="F200" s="1"/>
      <c r="G200" s="1"/>
      <c r="H200" s="1"/>
      <c r="I200" s="1"/>
      <c r="J200" s="3"/>
      <c r="K200" s="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row>
    <row r="201" spans="1:116" s="4" customFormat="1" hidden="1">
      <c r="A201" s="10" t="s">
        <v>97</v>
      </c>
      <c r="B201" s="9">
        <v>44456</v>
      </c>
      <c r="C201" s="9">
        <v>44456</v>
      </c>
      <c r="D201" s="8"/>
      <c r="F201" s="1"/>
      <c r="G201" s="1"/>
      <c r="H201" s="1"/>
      <c r="I201" s="1"/>
      <c r="J201" s="3"/>
      <c r="K201" s="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row>
    <row r="202" spans="1:116" s="4" customFormat="1" hidden="1">
      <c r="A202" s="10" t="s">
        <v>96</v>
      </c>
      <c r="B202" s="9">
        <v>44971</v>
      </c>
      <c r="C202" s="9">
        <v>44971</v>
      </c>
      <c r="D202" s="8"/>
      <c r="F202" s="1"/>
      <c r="G202" s="1"/>
      <c r="H202" s="1"/>
      <c r="I202" s="1"/>
      <c r="J202" s="3"/>
      <c r="K202" s="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row>
    <row r="203" spans="1:116" s="4" customFormat="1" hidden="1">
      <c r="A203" s="12" t="s">
        <v>95</v>
      </c>
      <c r="B203" s="11">
        <v>45897</v>
      </c>
      <c r="C203" s="11">
        <v>45897</v>
      </c>
      <c r="D203" s="8"/>
      <c r="F203" s="1"/>
      <c r="G203" s="1"/>
      <c r="H203" s="1"/>
      <c r="I203" s="1"/>
      <c r="J203" s="3"/>
      <c r="K203" s="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row>
    <row r="204" spans="1:116" s="4" customFormat="1" hidden="1">
      <c r="A204" s="12" t="s">
        <v>94</v>
      </c>
      <c r="B204" s="11">
        <v>46599</v>
      </c>
      <c r="C204" s="11">
        <v>46599</v>
      </c>
      <c r="D204" s="8"/>
      <c r="F204" s="1"/>
      <c r="G204" s="1"/>
      <c r="H204" s="1"/>
      <c r="I204" s="1"/>
      <c r="J204" s="3"/>
      <c r="K204" s="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row>
    <row r="205" spans="1:116" s="4" customFormat="1" hidden="1">
      <c r="A205" s="12" t="s">
        <v>93</v>
      </c>
      <c r="B205" s="11">
        <v>47313</v>
      </c>
      <c r="C205" s="11">
        <v>47313</v>
      </c>
      <c r="D205" s="8"/>
      <c r="F205" s="1"/>
      <c r="G205" s="1"/>
      <c r="H205" s="1"/>
      <c r="I205" s="1"/>
      <c r="J205" s="3"/>
      <c r="K205" s="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row>
    <row r="206" spans="1:116" s="4" customFormat="1" hidden="1">
      <c r="A206" s="12" t="s">
        <v>92</v>
      </c>
      <c r="B206" s="11">
        <v>48038</v>
      </c>
      <c r="C206" s="11">
        <v>48038</v>
      </c>
      <c r="D206" s="8"/>
      <c r="F206" s="1"/>
      <c r="G206" s="1"/>
      <c r="H206" s="1"/>
      <c r="I206" s="1"/>
      <c r="J206" s="3"/>
      <c r="K206" s="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row>
    <row r="207" spans="1:116" s="4" customFormat="1" hidden="1">
      <c r="A207" s="12" t="s">
        <v>91</v>
      </c>
      <c r="B207" s="11">
        <v>48775</v>
      </c>
      <c r="C207" s="11">
        <v>48775</v>
      </c>
      <c r="D207" s="8"/>
      <c r="F207" s="1"/>
      <c r="G207" s="1"/>
      <c r="H207" s="1"/>
      <c r="I207" s="1"/>
      <c r="J207" s="3"/>
      <c r="K207" s="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row>
    <row r="208" spans="1:116" s="4" customFormat="1" hidden="1">
      <c r="A208" s="12" t="s">
        <v>90</v>
      </c>
      <c r="B208" s="11">
        <v>49524</v>
      </c>
      <c r="C208" s="11">
        <v>49524</v>
      </c>
      <c r="D208" s="8"/>
      <c r="F208" s="1"/>
      <c r="G208" s="1"/>
      <c r="H208" s="1"/>
      <c r="I208" s="1"/>
      <c r="J208" s="3"/>
      <c r="K208" s="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row>
    <row r="209" spans="1:116" s="4" customFormat="1" hidden="1">
      <c r="A209" s="12" t="s">
        <v>89</v>
      </c>
      <c r="B209" s="11">
        <v>50285</v>
      </c>
      <c r="C209" s="11">
        <v>50285</v>
      </c>
      <c r="D209" s="8"/>
      <c r="F209" s="1"/>
      <c r="G209" s="1"/>
      <c r="H209" s="1"/>
      <c r="I209" s="1"/>
      <c r="J209" s="3"/>
      <c r="K209" s="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row>
    <row r="210" spans="1:116" s="4" customFormat="1" hidden="1">
      <c r="A210" s="12" t="s">
        <v>88</v>
      </c>
      <c r="B210" s="11">
        <v>51059</v>
      </c>
      <c r="C210" s="11">
        <v>51059</v>
      </c>
      <c r="D210" s="8"/>
      <c r="F210" s="1"/>
      <c r="G210" s="1"/>
      <c r="H210" s="1"/>
      <c r="I210" s="1"/>
      <c r="J210" s="3"/>
      <c r="K210" s="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row>
    <row r="211" spans="1:116" s="4" customFormat="1" hidden="1">
      <c r="A211" s="10" t="s">
        <v>87</v>
      </c>
      <c r="B211" s="9">
        <v>51538</v>
      </c>
      <c r="C211" s="9">
        <v>51538</v>
      </c>
      <c r="D211" s="8"/>
      <c r="F211" s="1"/>
      <c r="G211" s="1"/>
      <c r="H211" s="1"/>
      <c r="I211" s="1"/>
      <c r="J211" s="3"/>
      <c r="K211" s="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row>
    <row r="212" spans="1:116" s="4" customFormat="1" hidden="1">
      <c r="A212" s="10" t="s">
        <v>86</v>
      </c>
      <c r="B212" s="9">
        <v>52331</v>
      </c>
      <c r="C212" s="9">
        <v>52331</v>
      </c>
      <c r="D212" s="8"/>
      <c r="F212" s="1"/>
      <c r="G212" s="1"/>
      <c r="H212" s="1"/>
      <c r="I212" s="1"/>
      <c r="J212" s="3"/>
      <c r="K212" s="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row>
    <row r="213" spans="1:116" s="4" customFormat="1" hidden="1">
      <c r="A213" s="10" t="s">
        <v>85</v>
      </c>
      <c r="B213" s="9">
        <v>53137</v>
      </c>
      <c r="C213" s="9">
        <v>53137</v>
      </c>
      <c r="D213" s="8"/>
      <c r="F213" s="1"/>
      <c r="G213" s="1"/>
      <c r="H213" s="1"/>
      <c r="I213" s="1"/>
      <c r="J213" s="3"/>
      <c r="K213" s="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row>
    <row r="214" spans="1:116" s="4" customFormat="1" hidden="1">
      <c r="A214" s="10" t="s">
        <v>84</v>
      </c>
      <c r="B214" s="9">
        <v>53956</v>
      </c>
      <c r="C214" s="9">
        <v>53956</v>
      </c>
      <c r="D214" s="8"/>
      <c r="F214" s="1"/>
      <c r="G214" s="1"/>
      <c r="H214" s="1"/>
      <c r="I214" s="1"/>
      <c r="J214" s="3"/>
      <c r="K214" s="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row>
    <row r="215" spans="1:116" s="4" customFormat="1" hidden="1">
      <c r="A215" s="10" t="s">
        <v>83</v>
      </c>
      <c r="B215" s="9">
        <v>54789</v>
      </c>
      <c r="C215" s="9">
        <v>54789</v>
      </c>
      <c r="D215" s="8"/>
      <c r="F215" s="1"/>
      <c r="G215" s="1"/>
      <c r="H215" s="1"/>
      <c r="I215" s="1"/>
      <c r="J215" s="3"/>
      <c r="K215" s="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row>
    <row r="216" spans="1:116" s="4" customFormat="1" hidden="1">
      <c r="A216" s="10" t="s">
        <v>82</v>
      </c>
      <c r="B216" s="9">
        <v>55636</v>
      </c>
      <c r="C216" s="9">
        <v>55636</v>
      </c>
      <c r="D216" s="8"/>
      <c r="F216" s="1"/>
      <c r="G216" s="1"/>
      <c r="H216" s="1"/>
      <c r="I216" s="1"/>
      <c r="J216" s="3"/>
      <c r="K216" s="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row>
    <row r="217" spans="1:116" s="4" customFormat="1" hidden="1">
      <c r="A217" s="10" t="s">
        <v>81</v>
      </c>
      <c r="B217" s="9">
        <v>56496</v>
      </c>
      <c r="C217" s="9">
        <v>56496</v>
      </c>
      <c r="D217" s="8"/>
      <c r="F217" s="1"/>
      <c r="G217" s="1"/>
      <c r="H217" s="1"/>
      <c r="I217" s="1"/>
      <c r="J217" s="3"/>
      <c r="K217" s="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row>
    <row r="218" spans="1:116" s="4" customFormat="1" hidden="1">
      <c r="A218" s="10" t="s">
        <v>80</v>
      </c>
      <c r="B218" s="9">
        <v>57370</v>
      </c>
      <c r="C218" s="9">
        <v>57370</v>
      </c>
      <c r="D218" s="8"/>
      <c r="F218" s="1"/>
      <c r="G218" s="1"/>
      <c r="H218" s="1"/>
      <c r="I218" s="1"/>
      <c r="J218" s="3"/>
      <c r="K218" s="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row>
    <row r="219" spans="1:116" s="4" customFormat="1" hidden="1">
      <c r="A219" s="12" t="s">
        <v>79</v>
      </c>
      <c r="B219" s="11">
        <v>57856</v>
      </c>
      <c r="C219" s="11">
        <v>57856</v>
      </c>
      <c r="D219" s="8"/>
      <c r="F219" s="1"/>
      <c r="G219" s="1"/>
      <c r="H219" s="1"/>
      <c r="I219" s="1"/>
      <c r="J219" s="3"/>
      <c r="K219" s="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row>
    <row r="220" spans="1:116" s="4" customFormat="1" hidden="1">
      <c r="A220" s="12" t="s">
        <v>78</v>
      </c>
      <c r="B220" s="11">
        <v>58752</v>
      </c>
      <c r="C220" s="11">
        <v>58752</v>
      </c>
      <c r="D220" s="8"/>
      <c r="F220" s="1"/>
      <c r="G220" s="1"/>
      <c r="H220" s="1"/>
      <c r="I220" s="1"/>
      <c r="J220" s="3"/>
      <c r="K220" s="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row>
    <row r="221" spans="1:116" s="4" customFormat="1" hidden="1">
      <c r="A221" s="12" t="s">
        <v>77</v>
      </c>
      <c r="B221" s="11">
        <v>59663</v>
      </c>
      <c r="C221" s="11">
        <v>59663</v>
      </c>
      <c r="D221" s="8"/>
      <c r="F221" s="1"/>
      <c r="G221" s="1"/>
      <c r="H221" s="1"/>
      <c r="I221" s="1"/>
      <c r="J221" s="3"/>
      <c r="K221" s="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row>
    <row r="222" spans="1:116" s="4" customFormat="1" hidden="1">
      <c r="A222" s="12" t="s">
        <v>76</v>
      </c>
      <c r="B222" s="11">
        <v>60588</v>
      </c>
      <c r="C222" s="11">
        <v>60588</v>
      </c>
      <c r="D222" s="8"/>
      <c r="F222" s="1"/>
      <c r="G222" s="1"/>
      <c r="H222" s="1"/>
      <c r="I222" s="1"/>
      <c r="J222" s="3"/>
      <c r="K222" s="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row>
    <row r="223" spans="1:116" s="4" customFormat="1" hidden="1">
      <c r="A223" s="12" t="s">
        <v>75</v>
      </c>
      <c r="B223" s="11">
        <v>61530</v>
      </c>
      <c r="C223" s="11">
        <v>61530</v>
      </c>
      <c r="D223" s="8"/>
      <c r="F223" s="1"/>
      <c r="G223" s="1"/>
      <c r="H223" s="1"/>
      <c r="I223" s="1"/>
      <c r="J223" s="3"/>
      <c r="K223" s="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row>
    <row r="224" spans="1:116" s="4" customFormat="1" hidden="1">
      <c r="A224" s="12" t="s">
        <v>74</v>
      </c>
      <c r="B224" s="11">
        <v>62485</v>
      </c>
      <c r="C224" s="11">
        <v>62485</v>
      </c>
      <c r="D224" s="8"/>
      <c r="F224" s="1"/>
      <c r="G224" s="1"/>
      <c r="H224" s="1"/>
      <c r="I224" s="1"/>
      <c r="J224" s="3"/>
      <c r="K224" s="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row>
    <row r="225" spans="1:116" s="4" customFormat="1" hidden="1">
      <c r="A225" s="12" t="s">
        <v>73</v>
      </c>
      <c r="B225" s="11">
        <v>63457</v>
      </c>
      <c r="C225" s="11">
        <v>63457</v>
      </c>
      <c r="D225" s="8"/>
      <c r="F225" s="1"/>
      <c r="G225" s="1"/>
      <c r="H225" s="1"/>
      <c r="I225" s="1"/>
      <c r="J225" s="3"/>
      <c r="K225" s="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row>
    <row r="226" spans="1:116" s="4" customFormat="1" hidden="1">
      <c r="A226" s="12" t="s">
        <v>72</v>
      </c>
      <c r="B226" s="11">
        <v>64445</v>
      </c>
      <c r="C226" s="11">
        <v>64445</v>
      </c>
      <c r="D226" s="8"/>
      <c r="F226" s="1"/>
      <c r="G226" s="1"/>
      <c r="H226" s="1"/>
      <c r="I226" s="1"/>
      <c r="J226" s="3"/>
      <c r="K226" s="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row>
    <row r="227" spans="1:116" s="4" customFormat="1" hidden="1">
      <c r="A227" s="10" t="s">
        <v>71</v>
      </c>
      <c r="B227" s="9">
        <v>64994</v>
      </c>
      <c r="C227" s="9">
        <v>64994</v>
      </c>
      <c r="D227" s="8"/>
      <c r="F227" s="1"/>
      <c r="G227" s="1"/>
      <c r="H227" s="1"/>
      <c r="I227" s="1"/>
      <c r="J227" s="3"/>
      <c r="K227" s="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row>
    <row r="228" spans="1:116" s="4" customFormat="1" hidden="1">
      <c r="A228" s="10" t="s">
        <v>70</v>
      </c>
      <c r="B228" s="9">
        <v>66007</v>
      </c>
      <c r="C228" s="9">
        <v>66007</v>
      </c>
      <c r="D228" s="8"/>
      <c r="F228" s="1"/>
      <c r="G228" s="1"/>
      <c r="H228" s="1"/>
      <c r="I228" s="1"/>
      <c r="J228" s="3"/>
      <c r="K228" s="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row>
    <row r="229" spans="1:116" s="4" customFormat="1" hidden="1">
      <c r="A229" s="10" t="s">
        <v>69</v>
      </c>
      <c r="B229" s="9">
        <v>67037</v>
      </c>
      <c r="C229" s="9">
        <v>67037</v>
      </c>
      <c r="D229" s="8"/>
      <c r="F229" s="1"/>
      <c r="G229" s="1"/>
      <c r="H229" s="1"/>
      <c r="I229" s="1"/>
      <c r="J229" s="3"/>
      <c r="K229" s="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row>
    <row r="230" spans="1:116" s="4" customFormat="1" hidden="1">
      <c r="A230" s="10" t="s">
        <v>68</v>
      </c>
      <c r="B230" s="9">
        <v>68083</v>
      </c>
      <c r="C230" s="9">
        <v>68083</v>
      </c>
      <c r="D230" s="8"/>
      <c r="F230" s="1"/>
      <c r="G230" s="1"/>
      <c r="H230" s="1"/>
      <c r="I230" s="1"/>
      <c r="J230" s="3"/>
      <c r="K230" s="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row>
    <row r="231" spans="1:116" s="4" customFormat="1" hidden="1">
      <c r="A231" s="10" t="s">
        <v>67</v>
      </c>
      <c r="B231" s="9">
        <v>69146</v>
      </c>
      <c r="C231" s="9">
        <v>69146</v>
      </c>
      <c r="D231" s="8"/>
      <c r="F231" s="1"/>
      <c r="G231" s="1"/>
      <c r="H231" s="1"/>
      <c r="I231" s="1"/>
      <c r="J231" s="3"/>
      <c r="K231" s="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row>
    <row r="232" spans="1:116" s="4" customFormat="1" hidden="1">
      <c r="A232" s="10" t="s">
        <v>66</v>
      </c>
      <c r="B232" s="9">
        <v>70227</v>
      </c>
      <c r="C232" s="9">
        <v>70227</v>
      </c>
      <c r="D232" s="8"/>
      <c r="F232" s="1"/>
      <c r="G232" s="1"/>
      <c r="H232" s="1"/>
      <c r="I232" s="1"/>
      <c r="J232" s="3"/>
      <c r="K232" s="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row>
    <row r="233" spans="1:116" s="4" customFormat="1" hidden="1">
      <c r="A233" s="10" t="s">
        <v>65</v>
      </c>
      <c r="B233" s="9">
        <v>71325</v>
      </c>
      <c r="C233" s="9">
        <v>71325</v>
      </c>
      <c r="D233" s="8"/>
      <c r="F233" s="1"/>
      <c r="G233" s="1"/>
      <c r="H233" s="1"/>
      <c r="I233" s="1"/>
      <c r="J233" s="3"/>
      <c r="K233" s="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row>
    <row r="234" spans="1:116" s="4" customFormat="1" hidden="1">
      <c r="A234" s="10" t="s">
        <v>64</v>
      </c>
      <c r="B234" s="9">
        <v>72440</v>
      </c>
      <c r="C234" s="9">
        <v>72440</v>
      </c>
      <c r="D234" s="8"/>
      <c r="F234" s="1"/>
      <c r="G234" s="1"/>
      <c r="H234" s="1"/>
      <c r="I234" s="1"/>
      <c r="J234" s="3"/>
      <c r="K234" s="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row>
    <row r="235" spans="1:116" s="4" customFormat="1" hidden="1">
      <c r="A235" s="12" t="s">
        <v>63</v>
      </c>
      <c r="B235" s="11">
        <v>73062</v>
      </c>
      <c r="C235" s="11">
        <v>73062</v>
      </c>
      <c r="D235" s="8"/>
      <c r="F235" s="1"/>
      <c r="G235" s="1"/>
      <c r="H235" s="1"/>
      <c r="I235" s="1"/>
      <c r="J235" s="3"/>
      <c r="K235" s="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row>
    <row r="236" spans="1:116" s="4" customFormat="1" hidden="1">
      <c r="A236" s="12" t="s">
        <v>62</v>
      </c>
      <c r="B236" s="11">
        <v>74205</v>
      </c>
      <c r="C236" s="11">
        <v>74205</v>
      </c>
      <c r="D236" s="8"/>
      <c r="F236" s="1"/>
      <c r="G236" s="1"/>
      <c r="H236" s="1"/>
      <c r="I236" s="1"/>
      <c r="J236" s="3"/>
      <c r="K236" s="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row>
    <row r="237" spans="1:116" s="4" customFormat="1" hidden="1">
      <c r="A237" s="12" t="s">
        <v>61</v>
      </c>
      <c r="B237" s="11">
        <v>75369</v>
      </c>
      <c r="C237" s="11">
        <v>75369</v>
      </c>
      <c r="D237" s="8"/>
      <c r="F237" s="1"/>
      <c r="G237" s="1"/>
      <c r="H237" s="1"/>
      <c r="I237" s="1"/>
      <c r="J237" s="3"/>
      <c r="K237" s="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row>
    <row r="238" spans="1:116" s="4" customFormat="1" hidden="1">
      <c r="A238" s="12" t="s">
        <v>60</v>
      </c>
      <c r="B238" s="11">
        <v>76554</v>
      </c>
      <c r="C238" s="11">
        <v>76554</v>
      </c>
      <c r="D238" s="8"/>
      <c r="F238" s="1"/>
      <c r="G238" s="1"/>
      <c r="H238" s="1"/>
      <c r="I238" s="1"/>
      <c r="J238" s="3"/>
      <c r="K238" s="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row>
    <row r="239" spans="1:116" s="4" customFormat="1" hidden="1">
      <c r="A239" s="12" t="s">
        <v>59</v>
      </c>
      <c r="B239" s="11">
        <v>77804</v>
      </c>
      <c r="C239" s="11">
        <v>77804</v>
      </c>
      <c r="D239" s="8"/>
      <c r="F239" s="1"/>
      <c r="G239" s="1"/>
      <c r="H239" s="1"/>
      <c r="I239" s="1"/>
      <c r="J239" s="3"/>
      <c r="K239" s="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row>
    <row r="240" spans="1:116" s="4" customFormat="1" hidden="1">
      <c r="A240" s="12" t="s">
        <v>58</v>
      </c>
      <c r="B240" s="11">
        <v>79073</v>
      </c>
      <c r="C240" s="11">
        <v>79073</v>
      </c>
      <c r="D240" s="8"/>
      <c r="F240" s="1"/>
      <c r="G240" s="1"/>
      <c r="H240" s="1"/>
      <c r="I240" s="1"/>
      <c r="J240" s="3"/>
      <c r="K240" s="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row>
    <row r="241" spans="1:116" s="4" customFormat="1" hidden="1">
      <c r="A241" s="12" t="s">
        <v>57</v>
      </c>
      <c r="B241" s="11">
        <v>80364</v>
      </c>
      <c r="C241" s="11">
        <v>80364</v>
      </c>
      <c r="D241" s="8"/>
      <c r="F241" s="1"/>
      <c r="G241" s="1"/>
      <c r="H241" s="1"/>
      <c r="I241" s="1"/>
      <c r="J241" s="3"/>
      <c r="K241" s="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row>
    <row r="242" spans="1:116" s="4" customFormat="1" hidden="1">
      <c r="A242" s="12" t="s">
        <v>56</v>
      </c>
      <c r="B242" s="11">
        <v>81676</v>
      </c>
      <c r="C242" s="11">
        <v>81676</v>
      </c>
      <c r="D242" s="8"/>
      <c r="F242" s="1"/>
      <c r="G242" s="1"/>
      <c r="H242" s="1"/>
      <c r="I242" s="1"/>
      <c r="J242" s="3"/>
      <c r="K242" s="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row>
    <row r="243" spans="1:116" s="4" customFormat="1" hidden="1">
      <c r="A243" s="10" t="s">
        <v>55</v>
      </c>
      <c r="B243" s="9">
        <v>82405</v>
      </c>
      <c r="C243" s="9">
        <v>82405</v>
      </c>
      <c r="D243" s="8"/>
      <c r="F243" s="1"/>
      <c r="G243" s="1"/>
      <c r="H243" s="1"/>
      <c r="I243" s="1"/>
      <c r="J243" s="3"/>
      <c r="K243" s="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row>
    <row r="244" spans="1:116" s="4" customFormat="1" hidden="1">
      <c r="A244" s="10" t="s">
        <v>54</v>
      </c>
      <c r="B244" s="9">
        <v>83750</v>
      </c>
      <c r="C244" s="9">
        <v>83750</v>
      </c>
      <c r="D244" s="8"/>
      <c r="F244" s="1"/>
      <c r="G244" s="1"/>
      <c r="H244" s="1"/>
      <c r="I244" s="1"/>
      <c r="J244" s="3"/>
      <c r="K244" s="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row>
    <row r="245" spans="1:116" s="4" customFormat="1" hidden="1">
      <c r="A245" s="10" t="s">
        <v>53</v>
      </c>
      <c r="B245" s="9">
        <v>85117</v>
      </c>
      <c r="C245" s="9">
        <v>85117</v>
      </c>
      <c r="D245" s="8"/>
      <c r="F245" s="1"/>
      <c r="G245" s="1"/>
      <c r="H245" s="1"/>
      <c r="I245" s="1"/>
      <c r="J245" s="3"/>
      <c r="K245" s="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row>
    <row r="246" spans="1:116" s="4" customFormat="1" hidden="1">
      <c r="A246" s="10" t="s">
        <v>52</v>
      </c>
      <c r="B246" s="9">
        <v>86506</v>
      </c>
      <c r="C246" s="9">
        <v>86506</v>
      </c>
      <c r="D246" s="8"/>
      <c r="F246" s="1"/>
      <c r="G246" s="1"/>
      <c r="H246" s="1"/>
      <c r="I246" s="1"/>
      <c r="J246" s="3"/>
      <c r="K246" s="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row>
    <row r="247" spans="1:116" s="4" customFormat="1" hidden="1">
      <c r="A247" s="10" t="s">
        <v>51</v>
      </c>
      <c r="B247" s="9">
        <v>87918</v>
      </c>
      <c r="C247" s="9">
        <v>87918</v>
      </c>
      <c r="D247" s="8"/>
      <c r="F247" s="1"/>
      <c r="G247" s="1"/>
      <c r="H247" s="1"/>
      <c r="I247" s="1"/>
      <c r="J247" s="3"/>
      <c r="K247" s="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row>
    <row r="248" spans="1:116" s="4" customFormat="1" hidden="1">
      <c r="A248" s="10" t="s">
        <v>50</v>
      </c>
      <c r="B248" s="9">
        <v>89354</v>
      </c>
      <c r="C248" s="9">
        <v>89354</v>
      </c>
      <c r="D248" s="8"/>
      <c r="F248" s="1"/>
      <c r="G248" s="1"/>
      <c r="H248" s="1"/>
      <c r="I248" s="1"/>
      <c r="J248" s="3"/>
      <c r="K248" s="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row>
    <row r="249" spans="1:116" s="4" customFormat="1" hidden="1">
      <c r="A249" s="10" t="s">
        <v>49</v>
      </c>
      <c r="B249" s="9">
        <v>90812</v>
      </c>
      <c r="C249" s="9">
        <v>90812</v>
      </c>
      <c r="D249" s="8"/>
      <c r="F249" s="1"/>
      <c r="G249" s="1"/>
      <c r="H249" s="1"/>
      <c r="I249" s="1"/>
      <c r="J249" s="3"/>
      <c r="K249" s="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row>
    <row r="250" spans="1:116" s="4" customFormat="1" hidden="1">
      <c r="A250" s="10" t="s">
        <v>48</v>
      </c>
      <c r="B250" s="9">
        <v>92294</v>
      </c>
      <c r="C250" s="9">
        <v>92294</v>
      </c>
      <c r="D250" s="8"/>
      <c r="F250" s="1"/>
      <c r="G250" s="1"/>
      <c r="H250" s="1"/>
      <c r="I250" s="1"/>
      <c r="J250" s="3"/>
      <c r="K250" s="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row>
    <row r="251" spans="1:116" s="4" customFormat="1" hidden="1">
      <c r="A251" s="12" t="s">
        <v>47</v>
      </c>
      <c r="B251" s="11">
        <v>93942</v>
      </c>
      <c r="C251" s="11">
        <v>93942</v>
      </c>
      <c r="D251" s="8"/>
      <c r="F251" s="1"/>
      <c r="G251" s="1"/>
      <c r="H251" s="1"/>
      <c r="I251" s="1"/>
      <c r="J251" s="3"/>
      <c r="K251" s="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row>
    <row r="252" spans="1:116" s="4" customFormat="1" hidden="1">
      <c r="A252" s="12" t="s">
        <v>46</v>
      </c>
      <c r="B252" s="11">
        <v>95475</v>
      </c>
      <c r="C252" s="11">
        <v>95475</v>
      </c>
      <c r="D252" s="8"/>
      <c r="F252" s="1"/>
      <c r="G252" s="1"/>
      <c r="H252" s="1"/>
      <c r="I252" s="1"/>
      <c r="J252" s="3"/>
      <c r="K252" s="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row>
    <row r="253" spans="1:116" s="4" customFormat="1" hidden="1">
      <c r="A253" s="12" t="s">
        <v>45</v>
      </c>
      <c r="B253" s="11">
        <v>97033</v>
      </c>
      <c r="C253" s="11">
        <v>97033</v>
      </c>
      <c r="D253" s="8"/>
      <c r="F253" s="1"/>
      <c r="G253" s="1"/>
      <c r="H253" s="1"/>
      <c r="I253" s="1"/>
      <c r="J253" s="3"/>
      <c r="K253" s="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row>
    <row r="254" spans="1:116" s="4" customFormat="1" hidden="1">
      <c r="A254" s="12" t="s">
        <v>44</v>
      </c>
      <c r="B254" s="11">
        <v>98618</v>
      </c>
      <c r="C254" s="11">
        <v>98618</v>
      </c>
      <c r="D254" s="8"/>
      <c r="F254" s="1"/>
      <c r="G254" s="1"/>
      <c r="H254" s="1"/>
      <c r="I254" s="1"/>
      <c r="J254" s="3"/>
      <c r="K254" s="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row>
    <row r="255" spans="1:116" s="4" customFormat="1" hidden="1">
      <c r="A255" s="12" t="s">
        <v>43</v>
      </c>
      <c r="B255" s="11">
        <v>100227</v>
      </c>
      <c r="C255" s="11">
        <v>100227</v>
      </c>
      <c r="D255" s="8"/>
      <c r="F255" s="1"/>
      <c r="G255" s="1"/>
      <c r="H255" s="1"/>
      <c r="I255" s="1"/>
      <c r="J255" s="3"/>
      <c r="K255" s="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row>
    <row r="256" spans="1:116" hidden="1">
      <c r="A256" s="12" t="s">
        <v>42</v>
      </c>
      <c r="B256" s="11">
        <v>101863</v>
      </c>
      <c r="C256" s="11">
        <v>101863</v>
      </c>
      <c r="D256" s="8"/>
      <c r="N256" s="1"/>
    </row>
    <row r="257" spans="1:116" hidden="1">
      <c r="A257" s="12" t="s">
        <v>41</v>
      </c>
      <c r="B257" s="11">
        <v>103525</v>
      </c>
      <c r="C257" s="11">
        <v>103525</v>
      </c>
      <c r="D257" s="8"/>
      <c r="N257" s="1"/>
    </row>
    <row r="258" spans="1:116" hidden="1">
      <c r="A258" s="12" t="s">
        <v>40</v>
      </c>
      <c r="B258" s="11">
        <v>105215</v>
      </c>
      <c r="C258" s="11">
        <v>105215</v>
      </c>
      <c r="D258" s="8"/>
      <c r="N258" s="1"/>
    </row>
    <row r="259" spans="1:116" hidden="1">
      <c r="A259" s="10" t="s">
        <v>39</v>
      </c>
      <c r="B259" s="9">
        <v>106155</v>
      </c>
      <c r="C259" s="9">
        <v>106155</v>
      </c>
      <c r="D259" s="8"/>
      <c r="F259" s="16"/>
      <c r="G259" s="15"/>
      <c r="H259" s="14"/>
      <c r="I259" s="14"/>
      <c r="J259" s="13"/>
      <c r="K259" s="13"/>
      <c r="N259" s="1"/>
    </row>
    <row r="260" spans="1:116" hidden="1">
      <c r="A260" s="10" t="s">
        <v>38</v>
      </c>
      <c r="B260" s="9">
        <v>107887</v>
      </c>
      <c r="C260" s="9">
        <v>107887</v>
      </c>
      <c r="D260" s="8"/>
      <c r="F260" s="16"/>
      <c r="G260" s="15"/>
      <c r="H260" s="14"/>
      <c r="I260" s="14"/>
      <c r="J260" s="13"/>
      <c r="K260" s="13"/>
      <c r="N260" s="1"/>
    </row>
    <row r="261" spans="1:116" hidden="1">
      <c r="A261" s="10" t="s">
        <v>37</v>
      </c>
      <c r="B261" s="9">
        <v>109648</v>
      </c>
      <c r="C261" s="9">
        <v>109648</v>
      </c>
      <c r="D261" s="8"/>
      <c r="N261" s="1"/>
    </row>
    <row r="262" spans="1:116" hidden="1">
      <c r="A262" s="10" t="s">
        <v>36</v>
      </c>
      <c r="B262" s="9">
        <v>111438</v>
      </c>
      <c r="C262" s="9">
        <v>111438</v>
      </c>
      <c r="D262" s="8"/>
      <c r="N262" s="1"/>
    </row>
    <row r="263" spans="1:116" hidden="1">
      <c r="A263" s="10" t="s">
        <v>35</v>
      </c>
      <c r="B263" s="9">
        <v>113256</v>
      </c>
      <c r="C263" s="9">
        <v>113256</v>
      </c>
      <c r="D263" s="8"/>
      <c r="N263" s="1"/>
    </row>
    <row r="264" spans="1:116" hidden="1">
      <c r="A264" s="10" t="s">
        <v>34</v>
      </c>
      <c r="B264" s="9">
        <v>115105</v>
      </c>
      <c r="C264" s="9">
        <v>115105</v>
      </c>
      <c r="D264" s="8"/>
      <c r="N264" s="1"/>
    </row>
    <row r="265" spans="1:116" hidden="1">
      <c r="A265" s="10" t="s">
        <v>33</v>
      </c>
      <c r="B265" s="9">
        <v>116983</v>
      </c>
      <c r="C265" s="9">
        <v>116983</v>
      </c>
      <c r="D265" s="8"/>
      <c r="N265" s="1"/>
    </row>
    <row r="266" spans="1:116" hidden="1">
      <c r="A266" s="10" t="s">
        <v>32</v>
      </c>
      <c r="B266" s="9">
        <v>118893</v>
      </c>
      <c r="C266" s="9">
        <v>118893</v>
      </c>
      <c r="D266" s="8"/>
      <c r="N266" s="1"/>
    </row>
    <row r="267" spans="1:116" hidden="1">
      <c r="A267" s="12" t="s">
        <v>31</v>
      </c>
      <c r="B267" s="11">
        <v>119954</v>
      </c>
      <c r="C267" s="11">
        <v>119954</v>
      </c>
      <c r="D267" s="8"/>
      <c r="N267" s="1"/>
    </row>
    <row r="268" spans="1:116" hidden="1">
      <c r="A268" s="12" t="s">
        <v>30</v>
      </c>
      <c r="B268" s="11">
        <v>121913</v>
      </c>
      <c r="C268" s="11">
        <v>121913</v>
      </c>
      <c r="D268" s="8"/>
      <c r="N268" s="1"/>
    </row>
    <row r="269" spans="1:116" hidden="1">
      <c r="A269" s="12" t="s">
        <v>29</v>
      </c>
      <c r="B269" s="11">
        <v>123902</v>
      </c>
      <c r="C269" s="11">
        <v>123902</v>
      </c>
      <c r="D269" s="8"/>
      <c r="N269" s="1"/>
    </row>
    <row r="270" spans="1:116" hidden="1">
      <c r="A270" s="12" t="s">
        <v>28</v>
      </c>
      <c r="B270" s="11">
        <v>125924</v>
      </c>
      <c r="C270" s="11">
        <v>125924</v>
      </c>
      <c r="D270" s="8"/>
      <c r="N270" s="1"/>
    </row>
    <row r="271" spans="1:116" hidden="1">
      <c r="A271" s="12" t="s">
        <v>27</v>
      </c>
      <c r="B271" s="11">
        <v>127979</v>
      </c>
      <c r="C271" s="11">
        <v>127979</v>
      </c>
      <c r="D271" s="8"/>
      <c r="N271" s="1"/>
    </row>
    <row r="272" spans="1:116" s="4" customFormat="1" hidden="1">
      <c r="A272" s="12" t="s">
        <v>26</v>
      </c>
      <c r="B272" s="11">
        <v>130068</v>
      </c>
      <c r="C272" s="11">
        <v>130068</v>
      </c>
      <c r="D272" s="8"/>
      <c r="F272" s="1"/>
      <c r="G272" s="1"/>
      <c r="H272" s="1"/>
      <c r="I272" s="1"/>
      <c r="J272" s="3"/>
      <c r="K272" s="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row>
    <row r="273" spans="1:116" s="4" customFormat="1" hidden="1">
      <c r="A273" s="12" t="s">
        <v>25</v>
      </c>
      <c r="B273" s="11">
        <v>132192</v>
      </c>
      <c r="C273" s="11">
        <v>132192</v>
      </c>
      <c r="D273" s="8"/>
      <c r="F273" s="1"/>
      <c r="G273" s="1"/>
      <c r="H273" s="1"/>
      <c r="I273" s="1"/>
      <c r="J273" s="3"/>
      <c r="K273" s="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row>
    <row r="274" spans="1:116" s="4" customFormat="1" hidden="1">
      <c r="A274" s="12" t="s">
        <v>24</v>
      </c>
      <c r="B274" s="11">
        <v>134349</v>
      </c>
      <c r="C274" s="11">
        <v>134349</v>
      </c>
      <c r="D274" s="8"/>
      <c r="F274" s="1"/>
      <c r="G274" s="1"/>
      <c r="H274" s="1"/>
      <c r="I274" s="1"/>
      <c r="J274" s="3"/>
      <c r="K274" s="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row>
    <row r="275" spans="1:116" s="4" customFormat="1" hidden="1">
      <c r="A275" s="10" t="s">
        <v>23</v>
      </c>
      <c r="B275" s="9">
        <v>135549</v>
      </c>
      <c r="C275" s="9">
        <v>135549</v>
      </c>
      <c r="D275" s="8"/>
      <c r="F275" s="1"/>
      <c r="G275" s="1"/>
      <c r="H275" s="1"/>
      <c r="I275" s="1"/>
      <c r="J275" s="3"/>
      <c r="K275" s="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row>
    <row r="276" spans="1:116" s="4" customFormat="1" hidden="1">
      <c r="A276" s="10" t="s">
        <v>22</v>
      </c>
      <c r="B276" s="9">
        <v>137760</v>
      </c>
      <c r="C276" s="9">
        <v>137760</v>
      </c>
      <c r="D276" s="8"/>
      <c r="F276" s="1"/>
      <c r="G276" s="1"/>
      <c r="H276" s="1"/>
      <c r="I276" s="1"/>
      <c r="J276" s="3"/>
      <c r="K276" s="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row>
    <row r="277" spans="1:116" s="4" customFormat="1" hidden="1">
      <c r="A277" s="10" t="s">
        <v>21</v>
      </c>
      <c r="B277" s="9">
        <v>140009</v>
      </c>
      <c r="C277" s="9">
        <v>140009</v>
      </c>
      <c r="D277" s="8"/>
      <c r="F277" s="1"/>
      <c r="G277" s="1"/>
      <c r="H277" s="1"/>
      <c r="I277" s="1"/>
      <c r="J277" s="3"/>
      <c r="K277" s="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row>
    <row r="278" spans="1:116" s="4" customFormat="1" hidden="1">
      <c r="A278" s="10" t="s">
        <v>20</v>
      </c>
      <c r="B278" s="9">
        <v>142295</v>
      </c>
      <c r="C278" s="9">
        <v>142295</v>
      </c>
      <c r="D278" s="8"/>
      <c r="F278" s="1"/>
      <c r="G278" s="1"/>
      <c r="H278" s="1"/>
      <c r="I278" s="1"/>
      <c r="J278" s="3"/>
      <c r="K278" s="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row>
    <row r="279" spans="1:116" s="4" customFormat="1" hidden="1">
      <c r="A279" s="10" t="s">
        <v>19</v>
      </c>
      <c r="B279" s="9">
        <v>144617</v>
      </c>
      <c r="C279" s="9">
        <v>144617</v>
      </c>
      <c r="D279" s="8"/>
      <c r="F279" s="1"/>
      <c r="G279" s="1"/>
      <c r="H279" s="1"/>
      <c r="I279" s="1"/>
      <c r="J279" s="3"/>
      <c r="K279" s="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row>
    <row r="280" spans="1:116" s="4" customFormat="1" hidden="1">
      <c r="A280" s="10" t="s">
        <v>18</v>
      </c>
      <c r="B280" s="9">
        <v>146978</v>
      </c>
      <c r="C280" s="9">
        <v>146978</v>
      </c>
      <c r="D280" s="8"/>
      <c r="F280" s="1"/>
      <c r="G280" s="1"/>
      <c r="H280" s="1"/>
      <c r="I280" s="1"/>
      <c r="J280" s="3"/>
      <c r="K280" s="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row>
    <row r="281" spans="1:116" s="4" customFormat="1" hidden="1">
      <c r="A281" s="10" t="s">
        <v>17</v>
      </c>
      <c r="B281" s="9">
        <v>149377</v>
      </c>
      <c r="C281" s="9">
        <v>149377</v>
      </c>
      <c r="D281" s="8"/>
      <c r="F281" s="1"/>
      <c r="G281" s="1"/>
      <c r="H281" s="1"/>
      <c r="I281" s="1"/>
      <c r="J281" s="3"/>
      <c r="K281" s="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row>
    <row r="282" spans="1:116" s="4" customFormat="1" hidden="1">
      <c r="A282" s="10" t="s">
        <v>16</v>
      </c>
      <c r="B282" s="9">
        <v>151814</v>
      </c>
      <c r="C282" s="9">
        <v>151814</v>
      </c>
      <c r="D282" s="8"/>
      <c r="F282" s="1"/>
      <c r="G282" s="1"/>
      <c r="H282" s="1"/>
      <c r="I282" s="1"/>
      <c r="J282" s="3"/>
      <c r="K282" s="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row>
    <row r="283" spans="1:116" s="4" customFormat="1" hidden="1">
      <c r="A283" s="12" t="s">
        <v>15</v>
      </c>
      <c r="B283" s="11">
        <v>153169</v>
      </c>
      <c r="C283" s="11">
        <v>153169</v>
      </c>
      <c r="D283" s="8"/>
      <c r="F283" s="1"/>
      <c r="G283" s="1"/>
      <c r="H283" s="1"/>
      <c r="I283" s="1"/>
      <c r="J283" s="3"/>
      <c r="K283" s="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row>
    <row r="284" spans="1:116" s="4" customFormat="1" hidden="1">
      <c r="A284" s="12" t="s">
        <v>14</v>
      </c>
      <c r="B284" s="11">
        <v>155670</v>
      </c>
      <c r="C284" s="11">
        <v>155670</v>
      </c>
      <c r="D284" s="8"/>
      <c r="F284" s="1"/>
      <c r="G284" s="1"/>
      <c r="H284" s="1"/>
      <c r="I284" s="1"/>
      <c r="J284" s="3"/>
      <c r="K284" s="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row>
    <row r="285" spans="1:116" s="4" customFormat="1" hidden="1">
      <c r="A285" s="12" t="s">
        <v>13</v>
      </c>
      <c r="B285" s="11">
        <v>158210</v>
      </c>
      <c r="C285" s="11">
        <v>158210</v>
      </c>
      <c r="D285" s="8"/>
      <c r="F285" s="1"/>
      <c r="G285" s="1"/>
      <c r="H285" s="1"/>
      <c r="I285" s="1"/>
      <c r="J285" s="3"/>
      <c r="K285" s="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row>
    <row r="286" spans="1:116" s="4" customFormat="1" hidden="1">
      <c r="A286" s="12" t="s">
        <v>12</v>
      </c>
      <c r="B286" s="11">
        <v>160793</v>
      </c>
      <c r="C286" s="11">
        <v>160793</v>
      </c>
      <c r="D286" s="8"/>
      <c r="F286" s="1"/>
      <c r="G286" s="1"/>
      <c r="H286" s="1"/>
      <c r="I286" s="1"/>
      <c r="J286" s="3"/>
      <c r="K286" s="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row>
    <row r="287" spans="1:116" s="4" customFormat="1" hidden="1">
      <c r="A287" s="12" t="s">
        <v>11</v>
      </c>
      <c r="B287" s="11">
        <v>163417</v>
      </c>
      <c r="C287" s="11">
        <v>163417</v>
      </c>
      <c r="D287" s="8"/>
      <c r="F287" s="1"/>
      <c r="G287" s="1"/>
      <c r="H287" s="1"/>
      <c r="I287" s="1"/>
      <c r="J287" s="3"/>
      <c r="K287" s="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row>
    <row r="288" spans="1:116" hidden="1">
      <c r="A288" s="12" t="s">
        <v>10</v>
      </c>
      <c r="B288" s="11">
        <v>166085</v>
      </c>
      <c r="C288" s="11">
        <v>166085</v>
      </c>
      <c r="D288" s="8"/>
      <c r="N288" s="1"/>
    </row>
    <row r="289" spans="1:14" hidden="1">
      <c r="A289" s="12" t="s">
        <v>9</v>
      </c>
      <c r="B289" s="11">
        <v>168795</v>
      </c>
      <c r="C289" s="11">
        <v>168795</v>
      </c>
      <c r="D289" s="8"/>
      <c r="N289" s="1"/>
    </row>
    <row r="290" spans="1:14" hidden="1">
      <c r="A290" s="12" t="s">
        <v>8</v>
      </c>
      <c r="B290" s="11">
        <v>171550</v>
      </c>
      <c r="C290" s="11">
        <v>171550</v>
      </c>
      <c r="D290" s="8"/>
      <c r="N290" s="1"/>
    </row>
    <row r="291" spans="1:14" hidden="1">
      <c r="A291" s="10" t="s">
        <v>7</v>
      </c>
      <c r="B291" s="9">
        <v>173081</v>
      </c>
      <c r="C291" s="9">
        <v>173081</v>
      </c>
      <c r="D291" s="8"/>
      <c r="N291" s="1"/>
    </row>
    <row r="292" spans="1:14" hidden="1">
      <c r="A292" s="10" t="s">
        <v>6</v>
      </c>
      <c r="B292" s="9">
        <v>175905</v>
      </c>
      <c r="C292" s="9">
        <v>175905</v>
      </c>
      <c r="D292" s="8"/>
      <c r="N292" s="1"/>
    </row>
    <row r="293" spans="1:14" hidden="1">
      <c r="A293" s="10" t="s">
        <v>5</v>
      </c>
      <c r="B293" s="9">
        <v>178778</v>
      </c>
      <c r="C293" s="9">
        <v>178778</v>
      </c>
      <c r="D293" s="8"/>
      <c r="N293" s="1"/>
    </row>
    <row r="294" spans="1:14" hidden="1">
      <c r="A294" s="10" t="s">
        <v>4</v>
      </c>
      <c r="B294" s="9">
        <v>181696</v>
      </c>
      <c r="C294" s="9">
        <v>181696</v>
      </c>
      <c r="D294" s="8"/>
      <c r="N294" s="1"/>
    </row>
    <row r="295" spans="1:14" hidden="1">
      <c r="A295" s="10" t="s">
        <v>3</v>
      </c>
      <c r="B295" s="9">
        <v>184661</v>
      </c>
      <c r="C295" s="9">
        <v>184661</v>
      </c>
      <c r="D295" s="8"/>
      <c r="N295" s="1"/>
    </row>
    <row r="296" spans="1:14" hidden="1">
      <c r="A296" s="10" t="s">
        <v>2</v>
      </c>
      <c r="B296" s="9">
        <v>187675</v>
      </c>
      <c r="C296" s="9">
        <v>187675</v>
      </c>
      <c r="D296" s="8"/>
      <c r="N296" s="1"/>
    </row>
    <row r="297" spans="1:14" hidden="1">
      <c r="A297" s="10" t="s">
        <v>1</v>
      </c>
      <c r="B297" s="9">
        <v>190738</v>
      </c>
      <c r="C297" s="9">
        <v>190738</v>
      </c>
      <c r="D297" s="8"/>
      <c r="N297" s="1"/>
    </row>
    <row r="298" spans="1:14" hidden="1">
      <c r="A298" s="10" t="s">
        <v>0</v>
      </c>
      <c r="B298" s="9">
        <v>193851</v>
      </c>
      <c r="C298" s="9">
        <v>193851</v>
      </c>
      <c r="D298" s="8"/>
      <c r="N298" s="1"/>
    </row>
    <row r="299" spans="1:14" s="3" customFormat="1" hidden="1">
      <c r="A299" s="4614"/>
      <c r="B299" s="4614"/>
      <c r="E299" s="5"/>
      <c r="N299" s="2"/>
    </row>
    <row r="300" spans="1:14" s="3" customFormat="1" ht="15" hidden="1">
      <c r="A300" s="7"/>
      <c r="B300" s="6"/>
      <c r="E300" s="5"/>
      <c r="N300" s="2"/>
    </row>
    <row r="301" spans="1:14" s="3" customFormat="1" ht="15" hidden="1">
      <c r="A301" s="7"/>
      <c r="B301" s="6"/>
      <c r="E301" s="5"/>
      <c r="N301" s="2"/>
    </row>
    <row r="302" spans="1:14" s="3" customFormat="1" ht="15" hidden="1">
      <c r="A302" s="7"/>
      <c r="B302" s="6"/>
      <c r="E302" s="5"/>
      <c r="N302" s="2"/>
    </row>
    <row r="303" spans="1:14" s="3" customFormat="1" ht="15" hidden="1">
      <c r="A303" s="7"/>
      <c r="B303" s="6"/>
      <c r="E303" s="5"/>
      <c r="N303" s="2"/>
    </row>
    <row r="304" spans="1:14" s="3" customFormat="1" ht="15" hidden="1">
      <c r="A304" s="7"/>
      <c r="B304" s="6"/>
      <c r="E304" s="5"/>
      <c r="N304" s="2"/>
    </row>
    <row r="305" spans="1:14" s="3" customFormat="1" ht="15" hidden="1">
      <c r="A305" s="7"/>
      <c r="B305" s="6"/>
      <c r="E305" s="5"/>
      <c r="N305" s="2"/>
    </row>
    <row r="306" spans="1:14" s="3" customFormat="1" ht="15" hidden="1">
      <c r="A306" s="7"/>
      <c r="B306" s="6"/>
      <c r="E306" s="5"/>
      <c r="N306" s="2"/>
    </row>
    <row r="307" spans="1:14" s="3" customFormat="1" ht="15" hidden="1">
      <c r="A307" s="7"/>
      <c r="B307" s="6"/>
      <c r="E307" s="5"/>
      <c r="N307" s="2"/>
    </row>
    <row r="308" spans="1:14" s="3" customFormat="1" ht="15" hidden="1">
      <c r="A308" s="7"/>
      <c r="B308" s="6"/>
      <c r="E308" s="5"/>
      <c r="N308" s="2"/>
    </row>
    <row r="309" spans="1:14" s="3" customFormat="1" ht="15" hidden="1">
      <c r="A309" s="7"/>
      <c r="B309" s="6"/>
      <c r="E309" s="5"/>
      <c r="N309" s="2"/>
    </row>
    <row r="310" spans="1:14" s="3" customFormat="1" ht="15" hidden="1">
      <c r="A310" s="7"/>
      <c r="B310" s="6"/>
      <c r="E310" s="5"/>
      <c r="N310" s="2"/>
    </row>
    <row r="311" spans="1:14" s="3" customFormat="1" ht="15" hidden="1">
      <c r="A311" s="7"/>
      <c r="B311" s="6"/>
      <c r="E311" s="5"/>
      <c r="N311" s="2"/>
    </row>
    <row r="312" spans="1:14" s="3" customFormat="1" ht="15" hidden="1">
      <c r="A312" s="7"/>
      <c r="B312" s="6"/>
      <c r="E312" s="5"/>
      <c r="N312" s="2"/>
    </row>
    <row r="313" spans="1:14" s="3" customFormat="1" ht="15" hidden="1">
      <c r="A313" s="7"/>
      <c r="B313" s="6"/>
      <c r="E313" s="5"/>
      <c r="N313" s="2"/>
    </row>
    <row r="314" spans="1:14" s="3" customFormat="1" ht="15" hidden="1">
      <c r="A314" s="7"/>
      <c r="B314" s="6"/>
      <c r="E314" s="5"/>
      <c r="N314" s="2"/>
    </row>
    <row r="315" spans="1:14" s="3" customFormat="1" ht="15" hidden="1">
      <c r="A315" s="7"/>
      <c r="B315" s="6"/>
      <c r="E315" s="5"/>
      <c r="N315" s="2"/>
    </row>
    <row r="316" spans="1:14" s="3" customFormat="1" ht="15" hidden="1">
      <c r="A316" s="7"/>
      <c r="B316" s="6"/>
      <c r="E316" s="5"/>
      <c r="N316" s="2"/>
    </row>
    <row r="317" spans="1:14" s="3" customFormat="1" ht="15" hidden="1">
      <c r="A317" s="7"/>
      <c r="B317" s="6"/>
      <c r="E317" s="5"/>
      <c r="N317" s="2"/>
    </row>
    <row r="318" spans="1:14" s="3" customFormat="1" ht="15" hidden="1">
      <c r="A318" s="7"/>
      <c r="B318" s="6"/>
      <c r="E318" s="5"/>
      <c r="N318" s="2"/>
    </row>
    <row r="319" spans="1:14" s="3" customFormat="1" ht="15" hidden="1">
      <c r="A319" s="7"/>
      <c r="B319" s="6"/>
      <c r="E319" s="5"/>
      <c r="N319" s="2"/>
    </row>
    <row r="320" spans="1:14" s="3" customFormat="1" ht="15" hidden="1">
      <c r="A320" s="7"/>
      <c r="B320" s="6"/>
      <c r="E320" s="5"/>
      <c r="N320" s="2"/>
    </row>
    <row r="321" spans="1:14" s="3" customFormat="1" ht="15" hidden="1">
      <c r="A321" s="7"/>
      <c r="B321" s="6"/>
      <c r="E321" s="5"/>
      <c r="N321" s="2"/>
    </row>
    <row r="322" spans="1:14" s="3" customFormat="1" ht="15" hidden="1">
      <c r="A322" s="7"/>
      <c r="B322" s="6"/>
      <c r="E322" s="5"/>
      <c r="N322" s="2"/>
    </row>
    <row r="323" spans="1:14" s="3" customFormat="1" ht="15" hidden="1">
      <c r="A323" s="7"/>
      <c r="B323" s="6"/>
      <c r="E323" s="5"/>
      <c r="N323" s="2"/>
    </row>
    <row r="324" spans="1:14" s="3" customFormat="1" ht="15" hidden="1">
      <c r="A324" s="7"/>
      <c r="B324" s="6"/>
      <c r="E324" s="5"/>
      <c r="N324" s="2"/>
    </row>
    <row r="325" spans="1:14" s="3" customFormat="1" ht="15" hidden="1">
      <c r="A325" s="7"/>
      <c r="B325" s="6"/>
      <c r="E325" s="5"/>
      <c r="N325" s="2"/>
    </row>
    <row r="326" spans="1:14" s="3" customFormat="1" ht="15">
      <c r="A326" s="7"/>
      <c r="B326" s="6"/>
      <c r="E326" s="5"/>
      <c r="N326" s="2"/>
    </row>
    <row r="327" spans="1:14" s="3" customFormat="1" ht="15">
      <c r="A327" s="7"/>
      <c r="B327" s="6"/>
      <c r="E327" s="5"/>
      <c r="N327" s="2"/>
    </row>
  </sheetData>
  <mergeCells count="21">
    <mergeCell ref="A299:B299"/>
    <mergeCell ref="O10:P10"/>
    <mergeCell ref="O11:P11"/>
    <mergeCell ref="A3:I3"/>
    <mergeCell ref="A4:I4"/>
    <mergeCell ref="A5:I5"/>
    <mergeCell ref="G6:H6"/>
    <mergeCell ref="J6:K6"/>
    <mergeCell ref="E7:F7"/>
    <mergeCell ref="G7:H7"/>
    <mergeCell ref="L11:M11"/>
    <mergeCell ref="L10:M10"/>
    <mergeCell ref="E9:F9"/>
    <mergeCell ref="G9:H9"/>
    <mergeCell ref="J9:K9"/>
    <mergeCell ref="A10:B10"/>
    <mergeCell ref="A57:B57"/>
    <mergeCell ref="J7:K7"/>
    <mergeCell ref="E8:F8"/>
    <mergeCell ref="G8:H8"/>
    <mergeCell ref="J8:K8"/>
  </mergeCells>
  <pageMargins left="0" right="0" top="0.25" bottom="0.25" header="0.5" footer="0.5"/>
  <pageSetup paperSize="5" orientation="landscape" verticalDpi="7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heetPr>
  <dimension ref="A1:ES31"/>
  <sheetViews>
    <sheetView showGridLines="0" showOutlineSymbols="0" workbookViewId="0">
      <selection activeCell="I1" sqref="I1:J1048576"/>
    </sheetView>
  </sheetViews>
  <sheetFormatPr defaultColWidth="12.5703125" defaultRowHeight="15" outlineLevelRow="1" outlineLevelCol="2"/>
  <cols>
    <col min="1" max="1" width="1.85546875" style="1002" customWidth="1"/>
    <col min="2" max="2" width="35" style="1002" customWidth="1"/>
    <col min="3" max="8" width="10.7109375" style="1002" customWidth="1"/>
    <col min="9" max="9" width="14.140625" style="1002" hidden="1" customWidth="1"/>
    <col min="10" max="10" width="0" style="1002" hidden="1" customWidth="1"/>
    <col min="11" max="48" width="12.5703125" style="1002"/>
    <col min="49" max="53" width="12.5703125" style="1002" outlineLevel="1"/>
    <col min="54" max="59" width="12.5703125" style="1002" outlineLevel="2"/>
    <col min="60" max="62" width="12.5703125" style="1002" outlineLevel="1"/>
    <col min="63" max="82" width="12.5703125" style="1002"/>
    <col min="83" max="86" width="12.5703125" style="1002" outlineLevel="1"/>
    <col min="87" max="134" width="12.5703125" style="1002"/>
    <col min="135" max="140" width="12.5703125" style="1002" outlineLevel="1"/>
    <col min="141" max="146" width="12.5703125" style="1002" outlineLevel="2"/>
    <col min="147" max="149" width="12.5703125" style="1002" outlineLevel="1"/>
    <col min="150" max="16384" width="12.5703125" style="1002"/>
  </cols>
  <sheetData>
    <row r="1" spans="1:8">
      <c r="A1" s="713" t="s">
        <v>473</v>
      </c>
      <c r="E1" s="1055"/>
      <c r="H1" s="1055"/>
    </row>
    <row r="2" spans="1:8" ht="14.25" customHeight="1">
      <c r="A2" s="712" t="s">
        <v>584</v>
      </c>
      <c r="E2" s="1054"/>
      <c r="H2" s="1054"/>
    </row>
    <row r="3" spans="1:8" ht="17.100000000000001" customHeight="1">
      <c r="A3" s="4705" t="s">
        <v>471</v>
      </c>
      <c r="B3" s="4705"/>
      <c r="C3" s="4705"/>
      <c r="D3" s="4705"/>
      <c r="E3" s="4705"/>
      <c r="F3" s="4705"/>
      <c r="G3" s="4705"/>
      <c r="H3" s="4705"/>
    </row>
    <row r="4" spans="1:8" ht="17.100000000000001" customHeight="1">
      <c r="A4" s="4692" t="s">
        <v>972</v>
      </c>
      <c r="B4" s="4706"/>
      <c r="C4" s="4706"/>
      <c r="D4" s="4706"/>
      <c r="E4" s="4706"/>
      <c r="F4" s="4706"/>
      <c r="G4" s="4706"/>
      <c r="H4" s="4706"/>
    </row>
    <row r="5" spans="1:8" ht="17.100000000000001" customHeight="1">
      <c r="A5" s="1010"/>
      <c r="B5" s="1010"/>
      <c r="C5" s="1010"/>
      <c r="D5" s="1010"/>
      <c r="E5" s="1010"/>
      <c r="F5" s="1010"/>
      <c r="G5" s="1010"/>
      <c r="H5" s="1010"/>
    </row>
    <row r="6" spans="1:8" ht="17.100000000000001" customHeight="1">
      <c r="A6" s="399" t="s">
        <v>959</v>
      </c>
      <c r="B6" s="134"/>
    </row>
    <row r="7" spans="1:8" ht="15" customHeight="1">
      <c r="A7" s="267"/>
      <c r="B7" s="1053" t="s">
        <v>971</v>
      </c>
    </row>
    <row r="8" spans="1:8" ht="18" customHeight="1">
      <c r="A8" s="1052"/>
      <c r="B8" s="1051"/>
    </row>
    <row r="9" spans="1:8" ht="14.25" customHeight="1">
      <c r="A9" s="4707" t="s">
        <v>468</v>
      </c>
      <c r="B9" s="4708"/>
      <c r="C9" s="1050" t="s">
        <v>467</v>
      </c>
      <c r="D9" s="264" t="s">
        <v>466</v>
      </c>
      <c r="E9" s="4632" t="s">
        <v>465</v>
      </c>
      <c r="F9" s="4633"/>
      <c r="G9" s="4634"/>
      <c r="H9" s="265" t="s">
        <v>464</v>
      </c>
    </row>
    <row r="10" spans="1:8" ht="14.25" customHeight="1">
      <c r="A10" s="4709"/>
      <c r="B10" s="4710"/>
      <c r="C10" s="1049" t="s">
        <v>463</v>
      </c>
      <c r="D10" s="262" t="s">
        <v>573</v>
      </c>
      <c r="E10" s="503" t="s">
        <v>462</v>
      </c>
      <c r="F10" s="503" t="s">
        <v>461</v>
      </c>
      <c r="G10" s="262" t="s">
        <v>244</v>
      </c>
      <c r="H10" s="262">
        <v>2022</v>
      </c>
    </row>
    <row r="11" spans="1:8" ht="14.25" customHeight="1">
      <c r="A11" s="4711"/>
      <c r="B11" s="4712"/>
      <c r="C11" s="1048"/>
      <c r="D11" s="258" t="s">
        <v>460</v>
      </c>
      <c r="E11" s="258" t="s">
        <v>460</v>
      </c>
      <c r="F11" s="258" t="s">
        <v>459</v>
      </c>
      <c r="G11" s="259"/>
      <c r="H11" s="258" t="s">
        <v>458</v>
      </c>
    </row>
    <row r="12" spans="1:8" ht="20.100000000000001" customHeight="1">
      <c r="A12" s="1047" t="s">
        <v>456</v>
      </c>
      <c r="B12" s="1045"/>
      <c r="C12" s="1046"/>
      <c r="D12" s="1046"/>
      <c r="E12" s="1046"/>
      <c r="F12" s="1045"/>
      <c r="G12" s="1045"/>
      <c r="H12" s="1045"/>
    </row>
    <row r="13" spans="1:8" ht="20.100000000000001" customHeight="1">
      <c r="A13" s="1044" t="s">
        <v>407</v>
      </c>
      <c r="B13" s="1043"/>
      <c r="C13" s="1042"/>
      <c r="D13" s="1041">
        <f>SUM(D14:D21)</f>
        <v>0</v>
      </c>
      <c r="E13" s="1041">
        <f>SUM(E14:E21)</f>
        <v>73200</v>
      </c>
      <c r="F13" s="1041">
        <f>SUM(F14:F21)</f>
        <v>116800</v>
      </c>
      <c r="G13" s="1041">
        <f>SUM(G14:G21)</f>
        <v>190000</v>
      </c>
      <c r="H13" s="186">
        <f>SUM(H14:H21)</f>
        <v>0</v>
      </c>
    </row>
    <row r="14" spans="1:8" ht="17.100000000000001" customHeight="1" outlineLevel="1">
      <c r="A14" s="178" t="s">
        <v>404</v>
      </c>
      <c r="B14" s="1040"/>
      <c r="C14" s="1039" t="s">
        <v>403</v>
      </c>
      <c r="D14" s="1034">
        <v>0</v>
      </c>
      <c r="E14" s="663">
        <v>0</v>
      </c>
      <c r="F14" s="547">
        <f>SUM(G14-E14)</f>
        <v>15700</v>
      </c>
      <c r="G14" s="157">
        <v>15700</v>
      </c>
      <c r="H14" s="157">
        <v>0</v>
      </c>
    </row>
    <row r="15" spans="1:8" s="363" customFormat="1" ht="18" customHeight="1" outlineLevel="1">
      <c r="A15" s="469" t="s">
        <v>389</v>
      </c>
      <c r="B15" s="1038"/>
      <c r="C15" s="1037" t="s">
        <v>388</v>
      </c>
      <c r="D15" s="1034">
        <v>0</v>
      </c>
      <c r="E15" s="663">
        <v>73200</v>
      </c>
      <c r="F15" s="1036">
        <f>SUM(G15-E15)</f>
        <v>99600</v>
      </c>
      <c r="G15" s="157">
        <v>172800</v>
      </c>
      <c r="H15" s="157">
        <v>0</v>
      </c>
    </row>
    <row r="16" spans="1:8" ht="17.100000000000001" customHeight="1" outlineLevel="1">
      <c r="A16" s="176" t="s">
        <v>368</v>
      </c>
      <c r="B16" s="1035"/>
      <c r="C16" s="997" t="s">
        <v>367</v>
      </c>
      <c r="D16" s="1034">
        <v>0</v>
      </c>
      <c r="E16" s="663">
        <v>0</v>
      </c>
      <c r="F16" s="1033">
        <f>SUM(G16-E16)</f>
        <v>1500</v>
      </c>
      <c r="G16" s="157">
        <v>1500</v>
      </c>
      <c r="H16" s="157">
        <v>0</v>
      </c>
    </row>
    <row r="17" spans="1:11" s="1031" customFormat="1" ht="17.100000000000001" customHeight="1" outlineLevel="1">
      <c r="A17" s="469"/>
      <c r="B17" s="1038"/>
      <c r="C17" s="1037"/>
      <c r="D17" s="1034"/>
      <c r="E17" s="663"/>
      <c r="F17" s="1036"/>
      <c r="G17" s="1032"/>
      <c r="H17" s="157"/>
    </row>
    <row r="18" spans="1:11" ht="17.100000000000001" customHeight="1" outlineLevel="1">
      <c r="A18" s="469"/>
      <c r="B18" s="1038"/>
      <c r="C18" s="1037"/>
      <c r="D18" s="1034"/>
      <c r="E18" s="663"/>
      <c r="F18" s="1036"/>
      <c r="G18" s="1032"/>
      <c r="H18" s="157"/>
    </row>
    <row r="19" spans="1:11" s="1031" customFormat="1" ht="17.100000000000001" customHeight="1" outlineLevel="1">
      <c r="A19" s="176"/>
      <c r="B19" s="1035"/>
      <c r="C19" s="997"/>
      <c r="D19" s="1034"/>
      <c r="E19" s="663"/>
      <c r="F19" s="1033"/>
      <c r="G19" s="1032"/>
      <c r="H19" s="157"/>
    </row>
    <row r="20" spans="1:11" ht="17.100000000000001" customHeight="1" outlineLevel="1">
      <c r="A20" s="1030"/>
      <c r="B20" s="1029"/>
      <c r="C20" s="1028"/>
      <c r="D20" s="1027"/>
      <c r="E20" s="1026"/>
      <c r="F20" s="480"/>
      <c r="G20" s="1025"/>
      <c r="H20" s="157"/>
    </row>
    <row r="21" spans="1:11" ht="17.100000000000001" customHeight="1" outlineLevel="1">
      <c r="A21" s="1030"/>
      <c r="B21" s="1029"/>
      <c r="C21" s="1028"/>
      <c r="D21" s="1027"/>
      <c r="E21" s="1026"/>
      <c r="F21" s="480"/>
      <c r="G21" s="1025"/>
      <c r="H21" s="157"/>
    </row>
    <row r="22" spans="1:11" ht="17.100000000000001" customHeight="1" outlineLevel="1">
      <c r="A22" s="1030"/>
      <c r="B22" s="1029"/>
      <c r="C22" s="1028"/>
      <c r="D22" s="1027"/>
      <c r="E22" s="1026"/>
      <c r="F22" s="480"/>
      <c r="G22" s="1025"/>
      <c r="H22" s="157"/>
    </row>
    <row r="23" spans="1:11" ht="17.100000000000001" customHeight="1" outlineLevel="1">
      <c r="A23" s="1030"/>
      <c r="B23" s="1029"/>
      <c r="C23" s="1028"/>
      <c r="D23" s="1027"/>
      <c r="E23" s="1026"/>
      <c r="F23" s="480"/>
      <c r="G23" s="1025"/>
      <c r="H23" s="157"/>
    </row>
    <row r="24" spans="1:11" ht="17.100000000000001" customHeight="1" outlineLevel="1">
      <c r="A24" s="1024"/>
      <c r="B24" s="1023"/>
      <c r="C24" s="1022"/>
      <c r="D24" s="1021"/>
      <c r="E24" s="1020"/>
      <c r="F24" s="1019"/>
      <c r="G24" s="1018"/>
      <c r="H24" s="149"/>
    </row>
    <row r="25" spans="1:11" s="1008" customFormat="1" ht="17.100000000000001" customHeight="1" outlineLevel="1" thickBot="1">
      <c r="A25" s="1017" t="s">
        <v>366</v>
      </c>
      <c r="B25" s="1017"/>
      <c r="C25" s="1016"/>
      <c r="D25" s="1015">
        <f>SUM(D13+D22)</f>
        <v>0</v>
      </c>
      <c r="E25" s="1015">
        <f>SUM(E13+E22)</f>
        <v>73200</v>
      </c>
      <c r="F25" s="1015">
        <f>SUM(F13+F22)</f>
        <v>116800</v>
      </c>
      <c r="G25" s="1014">
        <f>SUM(G13+G22)</f>
        <v>190000</v>
      </c>
      <c r="H25" s="1014">
        <f>SUM(H13+H22)</f>
        <v>0</v>
      </c>
      <c r="I25" s="965" t="s">
        <v>956</v>
      </c>
      <c r="J25" s="1008">
        <v>85000</v>
      </c>
    </row>
    <row r="26" spans="1:11" ht="19.149999999999999" customHeight="1" thickTop="1">
      <c r="A26" s="1002" t="s">
        <v>948</v>
      </c>
      <c r="B26" s="1013"/>
      <c r="C26" s="1012" t="s">
        <v>947</v>
      </c>
      <c r="D26" s="1012"/>
      <c r="E26" s="1012"/>
      <c r="F26" s="1011" t="s">
        <v>946</v>
      </c>
      <c r="G26" s="1011"/>
      <c r="I26" s="1010"/>
    </row>
    <row r="27" spans="1:11" ht="18" customHeight="1">
      <c r="C27" s="1009"/>
      <c r="D27" s="1007"/>
      <c r="E27" s="1008"/>
      <c r="F27" s="1008"/>
      <c r="G27" s="1008"/>
      <c r="H27" s="1007"/>
    </row>
    <row r="28" spans="1:11" ht="22.5" customHeight="1">
      <c r="A28" s="4651" t="s">
        <v>945</v>
      </c>
      <c r="B28" s="4651"/>
      <c r="C28" s="4635" t="s">
        <v>360</v>
      </c>
      <c r="D28" s="4635"/>
      <c r="E28" s="4635"/>
      <c r="F28" s="4630" t="s">
        <v>359</v>
      </c>
      <c r="G28" s="4630"/>
      <c r="H28" s="4630"/>
      <c r="I28" s="1006"/>
      <c r="J28" s="1006"/>
      <c r="K28" s="1006"/>
    </row>
    <row r="29" spans="1:11" s="1003" customFormat="1" ht="13.5">
      <c r="A29" s="4704" t="s">
        <v>944</v>
      </c>
      <c r="B29" s="4704"/>
      <c r="C29" s="4655" t="s">
        <v>357</v>
      </c>
      <c r="D29" s="4655"/>
      <c r="E29" s="4655"/>
      <c r="F29" s="4623" t="s">
        <v>356</v>
      </c>
      <c r="G29" s="4623"/>
      <c r="H29" s="4623"/>
      <c r="I29" s="1005"/>
      <c r="J29" s="1005"/>
      <c r="K29" s="1005"/>
    </row>
    <row r="30" spans="1:11" s="1003" customFormat="1" ht="13.5">
      <c r="A30" s="4704"/>
      <c r="B30" s="4704"/>
      <c r="C30" s="4655"/>
      <c r="D30" s="4655"/>
      <c r="E30" s="4655"/>
      <c r="F30" s="135"/>
      <c r="G30" s="137"/>
      <c r="H30" s="137"/>
      <c r="I30" s="1004"/>
      <c r="J30" s="1004"/>
      <c r="K30" s="1004"/>
    </row>
    <row r="31" spans="1:11">
      <c r="C31" s="135"/>
      <c r="D31" s="137"/>
      <c r="E31" s="137"/>
      <c r="F31" s="137"/>
      <c r="G31" s="137"/>
      <c r="H31" s="137"/>
    </row>
  </sheetData>
  <mergeCells count="12">
    <mergeCell ref="A30:B30"/>
    <mergeCell ref="C30:E30"/>
    <mergeCell ref="A3:H3"/>
    <mergeCell ref="A4:H4"/>
    <mergeCell ref="A9:B11"/>
    <mergeCell ref="E9:G9"/>
    <mergeCell ref="A28:B28"/>
    <mergeCell ref="C28:E28"/>
    <mergeCell ref="F28:H28"/>
    <mergeCell ref="A29:B29"/>
    <mergeCell ref="C29:E29"/>
    <mergeCell ref="F29:H29"/>
  </mergeCells>
  <pageMargins left="0.5" right="0" top="0.25" bottom="0" header="0.5" footer="0"/>
  <pageSetup paperSize="5"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outlinePr summaryBelow="0"/>
  </sheetPr>
  <dimension ref="A1:ES33"/>
  <sheetViews>
    <sheetView showGridLines="0" showOutlineSymbols="0" topLeftCell="A7" workbookViewId="0">
      <selection activeCell="I1" sqref="I1:I1048576"/>
    </sheetView>
  </sheetViews>
  <sheetFormatPr defaultColWidth="12.5703125" defaultRowHeight="15.75" outlineLevelRow="1" outlineLevelCol="2"/>
  <cols>
    <col min="1" max="1" width="1.85546875" style="363" customWidth="1"/>
    <col min="2" max="2" width="33.42578125" style="363" customWidth="1"/>
    <col min="3" max="3" width="10.7109375" style="363" customWidth="1"/>
    <col min="4" max="4" width="9.42578125" style="363" customWidth="1"/>
    <col min="5" max="8" width="10.7109375" style="363" customWidth="1"/>
    <col min="9" max="9" width="14.140625" style="363" hidden="1" customWidth="1"/>
    <col min="10" max="48" width="12.5703125" style="363"/>
    <col min="49" max="53" width="12.5703125" style="363" outlineLevel="1"/>
    <col min="54" max="59" width="12.5703125" style="363" outlineLevel="2"/>
    <col min="60" max="62" width="12.5703125" style="363" outlineLevel="1"/>
    <col min="63" max="82" width="12.5703125" style="363"/>
    <col min="83" max="86" width="12.5703125" style="363" outlineLevel="1"/>
    <col min="87" max="134" width="12.5703125" style="363"/>
    <col min="135" max="140" width="12.5703125" style="363" outlineLevel="1"/>
    <col min="141" max="146" width="12.5703125" style="363" outlineLevel="2"/>
    <col min="147" max="149" width="12.5703125" style="363" outlineLevel="1"/>
    <col min="150" max="16384" width="12.5703125" style="363"/>
  </cols>
  <sheetData>
    <row r="1" spans="1:9">
      <c r="A1" s="713" t="s">
        <v>473</v>
      </c>
      <c r="B1" s="579"/>
      <c r="C1" s="579"/>
      <c r="E1" s="713"/>
      <c r="H1" s="713"/>
    </row>
    <row r="2" spans="1:9" ht="14.25" customHeight="1">
      <c r="A2" s="712" t="s">
        <v>584</v>
      </c>
      <c r="B2" s="579"/>
      <c r="C2" s="579"/>
      <c r="E2" s="712"/>
      <c r="H2" s="712"/>
    </row>
    <row r="3" spans="1:9" ht="14.25" customHeight="1">
      <c r="A3" s="579"/>
      <c r="B3" s="579"/>
      <c r="C3" s="579"/>
      <c r="E3" s="712"/>
      <c r="F3" s="712"/>
      <c r="H3" s="712"/>
    </row>
    <row r="4" spans="1:9" ht="14.25" customHeight="1">
      <c r="A4" s="4713" t="s">
        <v>471</v>
      </c>
      <c r="B4" s="4713"/>
      <c r="C4" s="4713"/>
      <c r="D4" s="4713"/>
      <c r="E4" s="4713"/>
      <c r="F4" s="4713"/>
      <c r="G4" s="4713"/>
      <c r="H4" s="4713"/>
    </row>
    <row r="5" spans="1:9" ht="12" customHeight="1">
      <c r="A5" s="4714" t="s">
        <v>583</v>
      </c>
      <c r="B5" s="4664"/>
      <c r="C5" s="4664"/>
      <c r="D5" s="4664"/>
      <c r="E5" s="4664"/>
      <c r="F5" s="4664"/>
      <c r="G5" s="4664"/>
      <c r="H5" s="4664"/>
    </row>
    <row r="6" spans="1:9" ht="21" customHeight="1">
      <c r="A6" s="707"/>
      <c r="B6" s="707"/>
      <c r="C6" s="707"/>
      <c r="D6" s="707"/>
      <c r="E6" s="707"/>
      <c r="F6" s="707"/>
      <c r="G6" s="707"/>
      <c r="H6" s="707"/>
    </row>
    <row r="7" spans="1:9" ht="14.25" customHeight="1">
      <c r="A7" s="1094" t="s">
        <v>959</v>
      </c>
      <c r="B7" s="701"/>
      <c r="D7" s="579"/>
      <c r="E7" s="579"/>
      <c r="F7" s="579"/>
      <c r="G7" s="579"/>
      <c r="H7" s="579"/>
    </row>
    <row r="8" spans="1:9" ht="14.25" customHeight="1">
      <c r="A8" s="1092"/>
      <c r="B8" s="1093" t="s">
        <v>975</v>
      </c>
      <c r="D8" s="579"/>
      <c r="E8" s="579"/>
      <c r="F8" s="579"/>
      <c r="G8" s="579"/>
      <c r="H8" s="579"/>
    </row>
    <row r="9" spans="1:9" ht="15.75" customHeight="1">
      <c r="A9" s="1092"/>
      <c r="B9" s="701"/>
      <c r="D9" s="579"/>
      <c r="E9" s="579"/>
      <c r="F9" s="579"/>
      <c r="G9" s="579"/>
      <c r="H9" s="579"/>
    </row>
    <row r="10" spans="1:9" ht="14.25" customHeight="1">
      <c r="A10" s="4715" t="s">
        <v>468</v>
      </c>
      <c r="B10" s="4716"/>
      <c r="C10" s="264" t="s">
        <v>467</v>
      </c>
      <c r="D10" s="264" t="s">
        <v>466</v>
      </c>
      <c r="E10" s="4632" t="s">
        <v>465</v>
      </c>
      <c r="F10" s="4633"/>
      <c r="G10" s="4634"/>
      <c r="H10" s="265" t="s">
        <v>464</v>
      </c>
    </row>
    <row r="11" spans="1:9" ht="14.25" customHeight="1">
      <c r="A11" s="4717"/>
      <c r="B11" s="4718"/>
      <c r="C11" s="1091" t="s">
        <v>463</v>
      </c>
      <c r="D11" s="262" t="s">
        <v>573</v>
      </c>
      <c r="E11" s="503" t="s">
        <v>462</v>
      </c>
      <c r="F11" s="503" t="s">
        <v>461</v>
      </c>
      <c r="G11" s="262" t="s">
        <v>244</v>
      </c>
      <c r="H11" s="262">
        <v>2022</v>
      </c>
    </row>
    <row r="12" spans="1:9" ht="14.25" customHeight="1">
      <c r="A12" s="4719"/>
      <c r="B12" s="4720"/>
      <c r="C12" s="1090"/>
      <c r="D12" s="258" t="s">
        <v>460</v>
      </c>
      <c r="E12" s="258" t="s">
        <v>460</v>
      </c>
      <c r="F12" s="258" t="s">
        <v>459</v>
      </c>
      <c r="G12" s="259"/>
      <c r="H12" s="258" t="s">
        <v>458</v>
      </c>
    </row>
    <row r="13" spans="1:9" ht="20.100000000000001" customHeight="1">
      <c r="A13" s="1089" t="s">
        <v>456</v>
      </c>
      <c r="B13" s="1088"/>
      <c r="C13" s="253"/>
      <c r="D13" s="253"/>
      <c r="E13" s="253"/>
      <c r="F13" s="1087"/>
      <c r="G13" s="1087"/>
      <c r="H13" s="1087"/>
    </row>
    <row r="14" spans="1:9" ht="20.100000000000001" customHeight="1">
      <c r="A14" s="1086" t="s">
        <v>407</v>
      </c>
      <c r="B14" s="1085"/>
      <c r="C14" s="1084"/>
      <c r="D14" s="479">
        <f>SUM(D15:D26)</f>
        <v>149910.6</v>
      </c>
      <c r="E14" s="479">
        <f>SUM(E15:E26)</f>
        <v>0</v>
      </c>
      <c r="F14" s="479">
        <f>SUM(F15:F26)</f>
        <v>0</v>
      </c>
      <c r="G14" s="479">
        <f>SUM(G15:G26)</f>
        <v>0</v>
      </c>
      <c r="H14" s="479">
        <f>SUM(H15:H26)</f>
        <v>0</v>
      </c>
    </row>
    <row r="15" spans="1:9" ht="17.100000000000001" customHeight="1" outlineLevel="1">
      <c r="A15" s="1083" t="s">
        <v>397</v>
      </c>
      <c r="B15" s="468"/>
      <c r="C15" s="735" t="s">
        <v>396</v>
      </c>
      <c r="D15" s="1034">
        <v>0</v>
      </c>
      <c r="E15" s="1076">
        <v>0</v>
      </c>
      <c r="F15" s="547">
        <f>SUM(G15-E15)</f>
        <v>0</v>
      </c>
      <c r="G15" s="157">
        <v>0</v>
      </c>
      <c r="H15" s="157">
        <v>0</v>
      </c>
    </row>
    <row r="16" spans="1:9" ht="17.100000000000001" customHeight="1" outlineLevel="1">
      <c r="A16" s="469" t="s">
        <v>389</v>
      </c>
      <c r="B16" s="468"/>
      <c r="C16" s="979" t="s">
        <v>388</v>
      </c>
      <c r="D16" s="1034">
        <v>149910.6</v>
      </c>
      <c r="E16" s="1076">
        <v>0</v>
      </c>
      <c r="F16" s="547">
        <f>SUM(G16-E16)</f>
        <v>0</v>
      </c>
      <c r="G16" s="157">
        <v>0</v>
      </c>
      <c r="H16" s="157">
        <v>0</v>
      </c>
      <c r="I16" s="1082" t="s">
        <v>974</v>
      </c>
    </row>
    <row r="17" spans="1:11" s="579" customFormat="1" ht="17.100000000000001" customHeight="1" outlineLevel="1">
      <c r="A17" s="469" t="s">
        <v>368</v>
      </c>
      <c r="B17" s="468"/>
      <c r="C17" s="1037" t="s">
        <v>367</v>
      </c>
      <c r="D17" s="1034">
        <v>0</v>
      </c>
      <c r="E17" s="1076">
        <v>0</v>
      </c>
      <c r="F17" s="547">
        <f>SUM(G17-E17)</f>
        <v>0</v>
      </c>
      <c r="G17" s="157">
        <v>0</v>
      </c>
      <c r="H17" s="157">
        <v>0</v>
      </c>
    </row>
    <row r="18" spans="1:11" ht="17.100000000000001" customHeight="1" outlineLevel="1">
      <c r="A18" s="1083"/>
      <c r="B18" s="468"/>
      <c r="C18" s="735"/>
      <c r="D18" s="1034"/>
      <c r="E18" s="1076"/>
      <c r="F18" s="547"/>
      <c r="G18" s="743"/>
      <c r="H18" s="157"/>
    </row>
    <row r="19" spans="1:11" ht="17.100000000000001" customHeight="1" outlineLevel="1">
      <c r="A19" s="469"/>
      <c r="B19" s="468"/>
      <c r="C19" s="979"/>
      <c r="D19" s="1034"/>
      <c r="E19" s="1076"/>
      <c r="F19" s="547"/>
      <c r="G19" s="743"/>
      <c r="H19" s="157"/>
      <c r="I19" s="1082"/>
    </row>
    <row r="20" spans="1:11" s="579" customFormat="1" ht="17.100000000000001" customHeight="1" outlineLevel="1">
      <c r="A20" s="469"/>
      <c r="B20" s="468"/>
      <c r="C20" s="1037"/>
      <c r="D20" s="1034"/>
      <c r="E20" s="1076"/>
      <c r="F20" s="547"/>
      <c r="G20" s="743"/>
      <c r="H20" s="157"/>
    </row>
    <row r="21" spans="1:11" ht="17.100000000000001" customHeight="1" outlineLevel="1">
      <c r="A21" s="1081"/>
      <c r="B21" s="1080"/>
      <c r="C21" s="1079"/>
      <c r="D21" s="1034"/>
      <c r="E21" s="1076"/>
      <c r="F21" s="547"/>
      <c r="G21" s="646"/>
      <c r="H21" s="157"/>
    </row>
    <row r="22" spans="1:11" ht="17.100000000000001" customHeight="1" outlineLevel="1">
      <c r="A22" s="1081"/>
      <c r="B22" s="1080"/>
      <c r="C22" s="530"/>
      <c r="D22" s="1034"/>
      <c r="E22" s="1076"/>
      <c r="F22" s="547"/>
      <c r="G22" s="743"/>
      <c r="H22" s="157"/>
    </row>
    <row r="23" spans="1:11" ht="17.100000000000001" customHeight="1" outlineLevel="1">
      <c r="A23" s="469"/>
      <c r="B23" s="468"/>
      <c r="C23" s="1079"/>
      <c r="D23" s="1034"/>
      <c r="E23" s="1076"/>
      <c r="F23" s="547"/>
      <c r="G23" s="743"/>
      <c r="H23" s="157"/>
    </row>
    <row r="24" spans="1:11" s="490" customFormat="1" ht="17.100000000000001" customHeight="1" outlineLevel="1">
      <c r="A24" s="517"/>
      <c r="B24" s="1078"/>
      <c r="C24" s="1077"/>
      <c r="D24" s="1034"/>
      <c r="E24" s="1076"/>
      <c r="F24" s="547"/>
      <c r="G24" s="743"/>
      <c r="H24" s="157"/>
    </row>
    <row r="25" spans="1:11" s="490" customFormat="1" ht="17.100000000000001" customHeight="1" outlineLevel="1">
      <c r="A25" s="517"/>
      <c r="B25" s="516"/>
      <c r="C25" s="971"/>
      <c r="D25" s="1034"/>
      <c r="E25" s="1076"/>
      <c r="F25" s="547"/>
      <c r="G25" s="743"/>
      <c r="H25" s="157"/>
    </row>
    <row r="26" spans="1:11" s="490" customFormat="1" ht="17.100000000000001" customHeight="1" outlineLevel="1">
      <c r="A26" s="508"/>
      <c r="B26" s="1075"/>
      <c r="C26" s="970"/>
      <c r="D26" s="1074"/>
      <c r="E26" s="1073"/>
      <c r="F26" s="1072"/>
      <c r="G26" s="1071"/>
      <c r="H26" s="149"/>
    </row>
    <row r="27" spans="1:11" s="490" customFormat="1" ht="17.100000000000001" customHeight="1" outlineLevel="1" thickBot="1">
      <c r="A27" s="1070" t="s">
        <v>366</v>
      </c>
      <c r="B27" s="1069"/>
      <c r="C27" s="1068"/>
      <c r="D27" s="455">
        <f>SUM(D14)</f>
        <v>149910.6</v>
      </c>
      <c r="E27" s="455">
        <f>SUM(E14)</f>
        <v>0</v>
      </c>
      <c r="F27" s="1067">
        <f>SUM(F14)</f>
        <v>0</v>
      </c>
      <c r="G27" s="455">
        <f>SUM(G14)</f>
        <v>0</v>
      </c>
      <c r="H27" s="455">
        <f>SUM(H14)</f>
        <v>0</v>
      </c>
      <c r="I27" s="938" t="s">
        <v>973</v>
      </c>
    </row>
    <row r="28" spans="1:11" s="579" customFormat="1" ht="19.149999999999999" customHeight="1" thickTop="1">
      <c r="A28" s="579" t="s">
        <v>948</v>
      </c>
      <c r="B28" s="698"/>
      <c r="C28" s="1066" t="s">
        <v>947</v>
      </c>
      <c r="D28" s="1066"/>
      <c r="E28" s="1066"/>
      <c r="F28" s="1065" t="s">
        <v>946</v>
      </c>
      <c r="G28" s="1065"/>
      <c r="H28" s="938"/>
      <c r="I28" s="1064"/>
    </row>
    <row r="29" spans="1:11" s="579" customFormat="1" ht="18" customHeight="1">
      <c r="C29" s="1063"/>
      <c r="D29" s="490"/>
      <c r="E29" s="225"/>
      <c r="F29" s="225"/>
      <c r="G29" s="225"/>
      <c r="H29" s="490"/>
      <c r="I29" s="225"/>
    </row>
    <row r="30" spans="1:11" s="579" customFormat="1" ht="22.5" customHeight="1">
      <c r="A30" s="4651" t="s">
        <v>945</v>
      </c>
      <c r="B30" s="4651"/>
      <c r="C30" s="4635" t="s">
        <v>360</v>
      </c>
      <c r="D30" s="4635"/>
      <c r="E30" s="4635"/>
      <c r="F30" s="4630" t="s">
        <v>359</v>
      </c>
      <c r="G30" s="4630"/>
      <c r="H30" s="4630"/>
      <c r="I30" s="1062"/>
      <c r="J30" s="1061"/>
      <c r="K30" s="1061"/>
    </row>
    <row r="31" spans="1:11" s="1056" customFormat="1" ht="13.5">
      <c r="A31" s="4704" t="s">
        <v>944</v>
      </c>
      <c r="B31" s="4704"/>
      <c r="C31" s="4655" t="s">
        <v>357</v>
      </c>
      <c r="D31" s="4655"/>
      <c r="E31" s="4655"/>
      <c r="F31" s="4623" t="s">
        <v>356</v>
      </c>
      <c r="G31" s="4623"/>
      <c r="H31" s="4623"/>
      <c r="I31" s="1060"/>
      <c r="J31" s="1059"/>
      <c r="K31" s="1059"/>
    </row>
    <row r="32" spans="1:11" s="1056" customFormat="1" ht="13.5">
      <c r="A32" s="4704"/>
      <c r="B32" s="4704"/>
      <c r="C32" s="4655"/>
      <c r="D32" s="4655"/>
      <c r="E32" s="4655"/>
      <c r="F32" s="135"/>
      <c r="G32" s="137"/>
      <c r="H32" s="137"/>
      <c r="I32" s="1058"/>
      <c r="J32" s="1057"/>
      <c r="K32" s="1057"/>
    </row>
    <row r="33" spans="3:9">
      <c r="C33" s="135"/>
      <c r="D33" s="137"/>
      <c r="E33" s="137"/>
      <c r="F33" s="137"/>
      <c r="G33" s="137"/>
      <c r="H33" s="137"/>
      <c r="I33" s="490"/>
    </row>
  </sheetData>
  <mergeCells count="12">
    <mergeCell ref="A4:H4"/>
    <mergeCell ref="A5:H5"/>
    <mergeCell ref="A10:B12"/>
    <mergeCell ref="E10:G10"/>
    <mergeCell ref="A30:B30"/>
    <mergeCell ref="C30:E30"/>
    <mergeCell ref="F30:H30"/>
    <mergeCell ref="A31:B31"/>
    <mergeCell ref="C31:E31"/>
    <mergeCell ref="F31:H31"/>
    <mergeCell ref="A32:B32"/>
    <mergeCell ref="C32:E32"/>
  </mergeCells>
  <pageMargins left="0.5" right="0" top="0.25" bottom="0" header="0.5" footer="0"/>
  <pageSetup paperSize="5"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outlinePr summaryBelow="0"/>
  </sheetPr>
  <dimension ref="A1:ES31"/>
  <sheetViews>
    <sheetView showGridLines="0" showOutlineSymbols="0" workbookViewId="0">
      <selection activeCell="I1" sqref="I1:J1048576"/>
    </sheetView>
  </sheetViews>
  <sheetFormatPr defaultColWidth="12.5703125" defaultRowHeight="15" outlineLevelRow="1" outlineLevelCol="2"/>
  <cols>
    <col min="1" max="1" width="1.85546875" style="1002" customWidth="1"/>
    <col min="2" max="2" width="35" style="1002" customWidth="1"/>
    <col min="3" max="8" width="10.7109375" style="1002" customWidth="1"/>
    <col min="9" max="9" width="14.140625" style="1002" hidden="1" customWidth="1"/>
    <col min="10" max="10" width="0" style="1002" hidden="1" customWidth="1"/>
    <col min="11" max="48" width="12.5703125" style="1002"/>
    <col min="49" max="53" width="12.5703125" style="1002" outlineLevel="1"/>
    <col min="54" max="59" width="12.5703125" style="1002" outlineLevel="2"/>
    <col min="60" max="62" width="12.5703125" style="1002" outlineLevel="1"/>
    <col min="63" max="82" width="12.5703125" style="1002"/>
    <col min="83" max="86" width="12.5703125" style="1002" outlineLevel="1"/>
    <col min="87" max="134" width="12.5703125" style="1002"/>
    <col min="135" max="140" width="12.5703125" style="1002" outlineLevel="1"/>
    <col min="141" max="146" width="12.5703125" style="1002" outlineLevel="2"/>
    <col min="147" max="149" width="12.5703125" style="1002" outlineLevel="1"/>
    <col min="150" max="16384" width="12.5703125" style="1002"/>
  </cols>
  <sheetData>
    <row r="1" spans="1:8">
      <c r="A1" s="713" t="s">
        <v>473</v>
      </c>
      <c r="E1" s="1055"/>
      <c r="H1" s="1055"/>
    </row>
    <row r="2" spans="1:8" ht="14.25" customHeight="1">
      <c r="A2" s="712" t="s">
        <v>584</v>
      </c>
      <c r="E2" s="1054"/>
      <c r="H2" s="1054"/>
    </row>
    <row r="3" spans="1:8" ht="17.100000000000001" customHeight="1">
      <c r="A3" s="4705" t="s">
        <v>471</v>
      </c>
      <c r="B3" s="4705"/>
      <c r="C3" s="4705"/>
      <c r="D3" s="4705"/>
      <c r="E3" s="4705"/>
      <c r="F3" s="4705"/>
      <c r="G3" s="4705"/>
      <c r="H3" s="4705"/>
    </row>
    <row r="4" spans="1:8" ht="17.100000000000001" customHeight="1">
      <c r="A4" s="4692" t="s">
        <v>972</v>
      </c>
      <c r="B4" s="4706"/>
      <c r="C4" s="4706"/>
      <c r="D4" s="4706"/>
      <c r="E4" s="4706"/>
      <c r="F4" s="4706"/>
      <c r="G4" s="4706"/>
      <c r="H4" s="4706"/>
    </row>
    <row r="5" spans="1:8" ht="17.100000000000001" customHeight="1">
      <c r="A5" s="1010"/>
      <c r="B5" s="1010"/>
      <c r="C5" s="1010"/>
      <c r="D5" s="1010"/>
      <c r="E5" s="1010"/>
      <c r="F5" s="1010"/>
      <c r="G5" s="1010"/>
      <c r="H5" s="1010"/>
    </row>
    <row r="6" spans="1:8" ht="17.100000000000001" customHeight="1">
      <c r="A6" s="399" t="s">
        <v>959</v>
      </c>
      <c r="B6" s="134"/>
    </row>
    <row r="7" spans="1:8" ht="15" customHeight="1">
      <c r="A7" s="267"/>
      <c r="B7" s="1053" t="s">
        <v>977</v>
      </c>
    </row>
    <row r="8" spans="1:8" ht="18" customHeight="1">
      <c r="A8" s="1052"/>
      <c r="B8" s="1051"/>
    </row>
    <row r="9" spans="1:8" ht="14.25" customHeight="1">
      <c r="A9" s="4707" t="s">
        <v>468</v>
      </c>
      <c r="B9" s="4708"/>
      <c r="C9" s="1050" t="s">
        <v>467</v>
      </c>
      <c r="D9" s="264" t="s">
        <v>466</v>
      </c>
      <c r="E9" s="4632" t="s">
        <v>465</v>
      </c>
      <c r="F9" s="4633"/>
      <c r="G9" s="4634"/>
      <c r="H9" s="265" t="s">
        <v>464</v>
      </c>
    </row>
    <row r="10" spans="1:8" ht="14.25" customHeight="1">
      <c r="A10" s="4709"/>
      <c r="B10" s="4710"/>
      <c r="C10" s="1049" t="s">
        <v>463</v>
      </c>
      <c r="D10" s="262" t="s">
        <v>573</v>
      </c>
      <c r="E10" s="503" t="s">
        <v>462</v>
      </c>
      <c r="F10" s="503" t="s">
        <v>461</v>
      </c>
      <c r="G10" s="262" t="s">
        <v>244</v>
      </c>
      <c r="H10" s="262">
        <v>2022</v>
      </c>
    </row>
    <row r="11" spans="1:8" ht="14.25" customHeight="1">
      <c r="A11" s="4711"/>
      <c r="B11" s="4712"/>
      <c r="C11" s="1048"/>
      <c r="D11" s="258" t="s">
        <v>460</v>
      </c>
      <c r="E11" s="258" t="s">
        <v>460</v>
      </c>
      <c r="F11" s="258" t="s">
        <v>459</v>
      </c>
      <c r="G11" s="259"/>
      <c r="H11" s="258" t="s">
        <v>458</v>
      </c>
    </row>
    <row r="12" spans="1:8" ht="20.100000000000001" customHeight="1">
      <c r="A12" s="1047" t="s">
        <v>456</v>
      </c>
      <c r="B12" s="1045"/>
      <c r="C12" s="1046"/>
      <c r="D12" s="1046"/>
      <c r="E12" s="1046"/>
      <c r="F12" s="1045"/>
      <c r="G12" s="1045"/>
      <c r="H12" s="1045"/>
    </row>
    <row r="13" spans="1:8" ht="20.100000000000001" customHeight="1">
      <c r="A13" s="1044" t="s">
        <v>407</v>
      </c>
      <c r="B13" s="1105"/>
      <c r="C13" s="1042"/>
      <c r="D13" s="1104">
        <f>SUM(D14:D21)</f>
        <v>5000</v>
      </c>
      <c r="E13" s="1104">
        <f>SUM(E14:E21)</f>
        <v>0</v>
      </c>
      <c r="F13" s="1104">
        <f>SUM(F14:F21)</f>
        <v>0</v>
      </c>
      <c r="G13" s="1104">
        <f>SUM(G14:G21)</f>
        <v>0</v>
      </c>
      <c r="H13" s="535">
        <f>SUM(H14:H21)</f>
        <v>0</v>
      </c>
    </row>
    <row r="14" spans="1:8" ht="17.100000000000001" customHeight="1" outlineLevel="1">
      <c r="A14" s="178" t="s">
        <v>646</v>
      </c>
      <c r="B14" s="1103"/>
      <c r="C14" s="985" t="s">
        <v>405</v>
      </c>
      <c r="D14" s="1102">
        <v>0</v>
      </c>
      <c r="E14" s="1101">
        <v>0</v>
      </c>
      <c r="F14" s="1100">
        <f>SUM(G14-E14)</f>
        <v>0</v>
      </c>
      <c r="G14" s="1099">
        <v>0</v>
      </c>
      <c r="H14" s="982">
        <v>0</v>
      </c>
    </row>
    <row r="15" spans="1:8" ht="17.100000000000001" customHeight="1" outlineLevel="1">
      <c r="A15" s="178" t="s">
        <v>402</v>
      </c>
      <c r="B15" s="1098"/>
      <c r="C15" s="1039" t="s">
        <v>401</v>
      </c>
      <c r="D15" s="1027">
        <v>0</v>
      </c>
      <c r="E15" s="1026">
        <v>0</v>
      </c>
      <c r="F15" s="480">
        <f>SUM(G15-E15)</f>
        <v>0</v>
      </c>
      <c r="G15" s="547">
        <v>0</v>
      </c>
      <c r="H15" s="157">
        <v>0</v>
      </c>
    </row>
    <row r="16" spans="1:8" ht="17.100000000000001" customHeight="1" outlineLevel="1">
      <c r="A16" s="180" t="s">
        <v>397</v>
      </c>
      <c r="B16" s="1097"/>
      <c r="C16" s="735" t="s">
        <v>396</v>
      </c>
      <c r="D16" s="1027">
        <v>5000</v>
      </c>
      <c r="E16" s="1026">
        <v>0</v>
      </c>
      <c r="F16" s="480">
        <f>SUM(G16-E16)</f>
        <v>0</v>
      </c>
      <c r="G16" s="547">
        <v>0</v>
      </c>
      <c r="H16" s="157">
        <v>0</v>
      </c>
    </row>
    <row r="17" spans="1:11" ht="17.100000000000001" customHeight="1" outlineLevel="1">
      <c r="A17" s="469" t="s">
        <v>389</v>
      </c>
      <c r="B17" s="1038"/>
      <c r="C17" s="1037" t="s">
        <v>388</v>
      </c>
      <c r="D17" s="1027">
        <v>0</v>
      </c>
      <c r="E17" s="1026">
        <v>0</v>
      </c>
      <c r="F17" s="480">
        <f>SUM(G17-E17)</f>
        <v>0</v>
      </c>
      <c r="G17" s="547">
        <v>0</v>
      </c>
      <c r="H17" s="157">
        <v>0</v>
      </c>
    </row>
    <row r="18" spans="1:11" s="1031" customFormat="1" ht="17.100000000000001" customHeight="1" outlineLevel="1">
      <c r="A18" s="176" t="s">
        <v>368</v>
      </c>
      <c r="B18" s="1035"/>
      <c r="C18" s="997" t="s">
        <v>367</v>
      </c>
      <c r="D18" s="1096">
        <v>0</v>
      </c>
      <c r="E18" s="1026">
        <v>0</v>
      </c>
      <c r="F18" s="1095">
        <f>SUM(G18-E18)</f>
        <v>0</v>
      </c>
      <c r="G18" s="547">
        <v>0</v>
      </c>
      <c r="H18" s="157">
        <v>0</v>
      </c>
    </row>
    <row r="19" spans="1:11" s="1031" customFormat="1" ht="17.100000000000001" customHeight="1" outlineLevel="1">
      <c r="A19" s="176"/>
      <c r="B19" s="1035"/>
      <c r="C19" s="997"/>
      <c r="D19" s="1096"/>
      <c r="E19" s="1026"/>
      <c r="F19" s="1095"/>
      <c r="G19" s="547"/>
      <c r="H19" s="157"/>
    </row>
    <row r="20" spans="1:11" ht="17.100000000000001" customHeight="1" outlineLevel="1">
      <c r="A20" s="1030"/>
      <c r="B20" s="1029"/>
      <c r="C20" s="1028"/>
      <c r="D20" s="1027"/>
      <c r="E20" s="1026"/>
      <c r="F20" s="480"/>
      <c r="G20" s="1025"/>
      <c r="H20" s="157"/>
    </row>
    <row r="21" spans="1:11" ht="17.100000000000001" customHeight="1" outlineLevel="1">
      <c r="A21" s="1030"/>
      <c r="B21" s="1029"/>
      <c r="C21" s="1028"/>
      <c r="D21" s="1027"/>
      <c r="E21" s="1026"/>
      <c r="F21" s="480"/>
      <c r="G21" s="1025"/>
      <c r="H21" s="157"/>
    </row>
    <row r="22" spans="1:11" ht="17.100000000000001" customHeight="1" outlineLevel="1">
      <c r="A22" s="1030"/>
      <c r="B22" s="1029"/>
      <c r="C22" s="1028"/>
      <c r="D22" s="1027"/>
      <c r="E22" s="1026"/>
      <c r="F22" s="480"/>
      <c r="G22" s="1025"/>
      <c r="H22" s="157"/>
    </row>
    <row r="23" spans="1:11" ht="17.100000000000001" customHeight="1" outlineLevel="1">
      <c r="A23" s="1030"/>
      <c r="B23" s="1029"/>
      <c r="C23" s="1028"/>
      <c r="D23" s="1027"/>
      <c r="E23" s="1026"/>
      <c r="F23" s="480"/>
      <c r="G23" s="1025"/>
      <c r="H23" s="157"/>
    </row>
    <row r="24" spans="1:11" ht="17.100000000000001" customHeight="1" outlineLevel="1">
      <c r="A24" s="1024"/>
      <c r="B24" s="1023"/>
      <c r="C24" s="1022"/>
      <c r="D24" s="1021"/>
      <c r="E24" s="1020"/>
      <c r="F24" s="1019"/>
      <c r="G24" s="1018"/>
      <c r="H24" s="149"/>
    </row>
    <row r="25" spans="1:11" s="1008" customFormat="1" ht="17.100000000000001" customHeight="1" outlineLevel="1" thickBot="1">
      <c r="A25" s="1017" t="s">
        <v>366</v>
      </c>
      <c r="B25" s="1017"/>
      <c r="C25" s="1016"/>
      <c r="D25" s="1015">
        <f>SUM(D13+D22)</f>
        <v>5000</v>
      </c>
      <c r="E25" s="1015">
        <f>SUM(E13+E22)</f>
        <v>0</v>
      </c>
      <c r="F25" s="1015">
        <f>SUM(F13+F22)</f>
        <v>0</v>
      </c>
      <c r="G25" s="1014">
        <f>SUM(G13+G22)</f>
        <v>0</v>
      </c>
      <c r="H25" s="1014">
        <f>SUM(H13+H22)</f>
        <v>0</v>
      </c>
      <c r="I25" s="938" t="s">
        <v>976</v>
      </c>
      <c r="J25" s="1008">
        <v>85000</v>
      </c>
    </row>
    <row r="26" spans="1:11" ht="19.149999999999999" customHeight="1" thickTop="1">
      <c r="A26" s="1002" t="s">
        <v>948</v>
      </c>
      <c r="B26" s="1013"/>
      <c r="C26" s="1012" t="s">
        <v>947</v>
      </c>
      <c r="D26" s="1012"/>
      <c r="E26" s="1012"/>
      <c r="F26" s="1011" t="s">
        <v>946</v>
      </c>
      <c r="G26" s="1011"/>
      <c r="I26" s="1010"/>
    </row>
    <row r="27" spans="1:11" ht="18" customHeight="1">
      <c r="C27" s="1009"/>
      <c r="D27" s="1007"/>
      <c r="E27" s="1008"/>
      <c r="F27" s="1008"/>
      <c r="G27" s="1008"/>
      <c r="H27" s="1007"/>
    </row>
    <row r="28" spans="1:11" ht="22.5" customHeight="1">
      <c r="A28" s="4651" t="s">
        <v>945</v>
      </c>
      <c r="B28" s="4651"/>
      <c r="C28" s="4635" t="s">
        <v>360</v>
      </c>
      <c r="D28" s="4635"/>
      <c r="E28" s="4635"/>
      <c r="F28" s="4630" t="s">
        <v>359</v>
      </c>
      <c r="G28" s="4630"/>
      <c r="H28" s="4630"/>
      <c r="I28" s="1006"/>
      <c r="J28" s="1006"/>
      <c r="K28" s="1006"/>
    </row>
    <row r="29" spans="1:11" s="1003" customFormat="1" ht="13.5">
      <c r="A29" s="4704" t="s">
        <v>944</v>
      </c>
      <c r="B29" s="4704"/>
      <c r="C29" s="4655" t="s">
        <v>357</v>
      </c>
      <c r="D29" s="4655"/>
      <c r="E29" s="4655"/>
      <c r="F29" s="4623" t="s">
        <v>356</v>
      </c>
      <c r="G29" s="4623"/>
      <c r="H29" s="4623"/>
      <c r="I29" s="1005"/>
      <c r="J29" s="1005"/>
      <c r="K29" s="1005"/>
    </row>
    <row r="30" spans="1:11" s="1003" customFormat="1" ht="13.5">
      <c r="A30" s="4704"/>
      <c r="B30" s="4704"/>
      <c r="C30" s="4655"/>
      <c r="D30" s="4655"/>
      <c r="E30" s="4655"/>
      <c r="F30" s="135"/>
      <c r="G30" s="137"/>
      <c r="H30" s="137"/>
      <c r="I30" s="1004"/>
      <c r="J30" s="1004"/>
      <c r="K30" s="1004"/>
    </row>
    <row r="31" spans="1:11">
      <c r="C31" s="135"/>
      <c r="D31" s="137"/>
      <c r="E31" s="137"/>
      <c r="F31" s="137"/>
      <c r="G31" s="137"/>
      <c r="H31" s="137"/>
    </row>
  </sheetData>
  <mergeCells count="12">
    <mergeCell ref="A3:H3"/>
    <mergeCell ref="A4:H4"/>
    <mergeCell ref="A9:B11"/>
    <mergeCell ref="E9:G9"/>
    <mergeCell ref="A28:B28"/>
    <mergeCell ref="C28:E28"/>
    <mergeCell ref="F28:H28"/>
    <mergeCell ref="A30:B30"/>
    <mergeCell ref="A29:B29"/>
    <mergeCell ref="C29:E29"/>
    <mergeCell ref="F29:H29"/>
    <mergeCell ref="C30:E30"/>
  </mergeCells>
  <pageMargins left="0.5" right="0" top="0.25" bottom="0" header="0.5" footer="0"/>
  <pageSetup paperSize="5"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outlinePr summaryBelow="0"/>
  </sheetPr>
  <dimension ref="A1:ES33"/>
  <sheetViews>
    <sheetView showGridLines="0" showOutlineSymbols="0" topLeftCell="A7" workbookViewId="0">
      <selection activeCell="I1" sqref="I1:I1048576"/>
    </sheetView>
  </sheetViews>
  <sheetFormatPr defaultColWidth="12.5703125" defaultRowHeight="15.75" outlineLevelRow="1" outlineLevelCol="2"/>
  <cols>
    <col min="1" max="1" width="1.85546875" style="235" customWidth="1"/>
    <col min="2" max="2" width="34.85546875" style="235" customWidth="1"/>
    <col min="3" max="3" width="10.7109375" style="235" customWidth="1"/>
    <col min="4" max="4" width="11.5703125" style="235" customWidth="1"/>
    <col min="5" max="5" width="9.42578125" style="235" customWidth="1"/>
    <col min="6" max="6" width="10.7109375" style="235" customWidth="1"/>
    <col min="7" max="7" width="10.28515625" style="235" customWidth="1"/>
    <col min="8" max="8" width="10.7109375" style="235" customWidth="1"/>
    <col min="9" max="9" width="14.140625" style="235" hidden="1" customWidth="1"/>
    <col min="10"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9">
      <c r="A1" s="271" t="s">
        <v>473</v>
      </c>
      <c r="B1" s="134"/>
      <c r="C1" s="134"/>
      <c r="E1" s="271"/>
      <c r="H1" s="271"/>
    </row>
    <row r="2" spans="1:9" ht="14.25" customHeight="1">
      <c r="A2" s="270" t="s">
        <v>584</v>
      </c>
      <c r="B2" s="134"/>
      <c r="C2" s="134"/>
      <c r="E2" s="270"/>
      <c r="H2" s="270"/>
    </row>
    <row r="3" spans="1:9" ht="14.25" customHeight="1">
      <c r="A3" s="134"/>
      <c r="B3" s="134"/>
      <c r="C3" s="134"/>
      <c r="E3" s="270"/>
      <c r="F3" s="270"/>
      <c r="H3" s="270"/>
    </row>
    <row r="4" spans="1:9" ht="14.25" customHeight="1">
      <c r="A4" s="4630" t="s">
        <v>471</v>
      </c>
      <c r="B4" s="4630"/>
      <c r="C4" s="4630"/>
      <c r="D4" s="4630"/>
      <c r="E4" s="4630"/>
      <c r="F4" s="4630"/>
      <c r="G4" s="4630"/>
      <c r="H4" s="4630"/>
    </row>
    <row r="5" spans="1:9" ht="12" customHeight="1">
      <c r="A5" s="4623" t="s">
        <v>583</v>
      </c>
      <c r="B5" s="4631"/>
      <c r="C5" s="4631"/>
      <c r="D5" s="4631"/>
      <c r="E5" s="4631"/>
      <c r="F5" s="4631"/>
      <c r="G5" s="4631"/>
      <c r="H5" s="4631"/>
    </row>
    <row r="6" spans="1:9" ht="21" customHeight="1">
      <c r="A6" s="140"/>
      <c r="B6" s="140"/>
      <c r="C6" s="140"/>
      <c r="D6" s="140"/>
      <c r="E6" s="140"/>
      <c r="F6" s="140"/>
      <c r="G6" s="140"/>
      <c r="H6" s="140"/>
    </row>
    <row r="7" spans="1:9" ht="14.25" customHeight="1">
      <c r="A7" s="399" t="s">
        <v>959</v>
      </c>
      <c r="B7" s="397"/>
      <c r="D7" s="134"/>
      <c r="E7" s="134"/>
      <c r="F7" s="134"/>
      <c r="G7" s="134"/>
      <c r="H7" s="134"/>
    </row>
    <row r="8" spans="1:9" ht="14.25" customHeight="1">
      <c r="A8" s="398"/>
      <c r="B8" s="757" t="s">
        <v>978</v>
      </c>
      <c r="D8" s="134"/>
      <c r="E8" s="134"/>
      <c r="F8" s="134"/>
      <c r="G8" s="134"/>
      <c r="H8" s="134"/>
    </row>
    <row r="9" spans="1:9" ht="15.75" customHeight="1">
      <c r="A9" s="398"/>
      <c r="B9" s="397"/>
      <c r="D9" s="134"/>
      <c r="E9" s="134"/>
      <c r="F9" s="134"/>
      <c r="G9" s="134"/>
      <c r="H9" s="134"/>
    </row>
    <row r="10" spans="1:9" ht="14.25" customHeight="1">
      <c r="A10" s="4624" t="s">
        <v>468</v>
      </c>
      <c r="B10" s="4625"/>
      <c r="C10" s="265" t="s">
        <v>467</v>
      </c>
      <c r="D10" s="264" t="s">
        <v>466</v>
      </c>
      <c r="E10" s="4632" t="s">
        <v>465</v>
      </c>
      <c r="F10" s="4633"/>
      <c r="G10" s="4634"/>
      <c r="H10" s="265" t="s">
        <v>464</v>
      </c>
      <c r="I10" s="990"/>
    </row>
    <row r="11" spans="1:9" ht="14.25" customHeight="1">
      <c r="A11" s="4626"/>
      <c r="B11" s="4627"/>
      <c r="C11" s="261" t="s">
        <v>463</v>
      </c>
      <c r="D11" s="262" t="s">
        <v>573</v>
      </c>
      <c r="E11" s="503" t="s">
        <v>462</v>
      </c>
      <c r="F11" s="503" t="s">
        <v>461</v>
      </c>
      <c r="G11" s="262" t="s">
        <v>244</v>
      </c>
      <c r="H11" s="262">
        <v>2022</v>
      </c>
      <c r="I11" s="989"/>
    </row>
    <row r="12" spans="1:9" ht="14.25" customHeight="1">
      <c r="A12" s="4628"/>
      <c r="B12" s="4629"/>
      <c r="C12" s="260"/>
      <c r="D12" s="258" t="s">
        <v>460</v>
      </c>
      <c r="E12" s="258" t="s">
        <v>460</v>
      </c>
      <c r="F12" s="258" t="s">
        <v>459</v>
      </c>
      <c r="G12" s="259"/>
      <c r="H12" s="258" t="s">
        <v>458</v>
      </c>
      <c r="I12" s="988"/>
    </row>
    <row r="13" spans="1:9" ht="20.100000000000001" customHeight="1">
      <c r="A13" s="537" t="s">
        <v>456</v>
      </c>
      <c r="B13" s="566"/>
      <c r="C13" s="396"/>
      <c r="D13" s="396"/>
      <c r="E13" s="396"/>
      <c r="F13" s="536"/>
      <c r="G13" s="536"/>
      <c r="H13" s="536"/>
    </row>
    <row r="14" spans="1:9" ht="20.100000000000001" customHeight="1">
      <c r="A14" s="189" t="s">
        <v>407</v>
      </c>
      <c r="B14" s="366"/>
      <c r="C14" s="526"/>
      <c r="D14" s="535">
        <f>SUM(D15:D26)</f>
        <v>4166021.8</v>
      </c>
      <c r="E14" s="535">
        <f>SUM(E15:E26)</f>
        <v>0</v>
      </c>
      <c r="F14" s="535">
        <f>SUM(F15:F26)</f>
        <v>0</v>
      </c>
      <c r="G14" s="535">
        <f>SUM(G15:G26)</f>
        <v>0</v>
      </c>
      <c r="H14" s="535">
        <f>SUM(H15:H26)</f>
        <v>0</v>
      </c>
    </row>
    <row r="15" spans="1:9" ht="17.100000000000001" customHeight="1" outlineLevel="1">
      <c r="A15" s="180" t="s">
        <v>397</v>
      </c>
      <c r="B15" s="179"/>
      <c r="C15" s="735" t="s">
        <v>396</v>
      </c>
      <c r="D15" s="984">
        <v>20884.8</v>
      </c>
      <c r="E15" s="1107">
        <v>0</v>
      </c>
      <c r="F15" s="1108">
        <f t="shared" ref="F15:F20" si="0">SUM(G15-E15)</f>
        <v>0</v>
      </c>
      <c r="G15" s="1107">
        <v>0</v>
      </c>
      <c r="H15" s="982">
        <v>0</v>
      </c>
    </row>
    <row r="16" spans="1:9" ht="17.100000000000001" customHeight="1" outlineLevel="1">
      <c r="A16" s="178" t="s">
        <v>393</v>
      </c>
      <c r="B16" s="177"/>
      <c r="C16" s="1039" t="s">
        <v>392</v>
      </c>
      <c r="D16" s="951">
        <v>0</v>
      </c>
      <c r="E16" s="378">
        <v>0</v>
      </c>
      <c r="F16" s="191">
        <f t="shared" si="0"/>
        <v>0</v>
      </c>
      <c r="G16" s="389">
        <v>0</v>
      </c>
      <c r="H16" s="157">
        <v>0</v>
      </c>
    </row>
    <row r="17" spans="1:11" ht="17.100000000000001" customHeight="1" outlineLevel="1">
      <c r="A17" s="469" t="s">
        <v>389</v>
      </c>
      <c r="B17" s="468"/>
      <c r="C17" s="735" t="s">
        <v>388</v>
      </c>
      <c r="D17" s="951">
        <v>121350</v>
      </c>
      <c r="E17" s="378">
        <v>0</v>
      </c>
      <c r="F17" s="191">
        <f t="shared" si="0"/>
        <v>0</v>
      </c>
      <c r="G17" s="389">
        <v>0</v>
      </c>
      <c r="H17" s="157">
        <v>0</v>
      </c>
    </row>
    <row r="18" spans="1:11" ht="17.100000000000001" customHeight="1" outlineLevel="1">
      <c r="A18" s="166" t="s">
        <v>383</v>
      </c>
      <c r="B18" s="173"/>
      <c r="C18" s="345"/>
      <c r="D18" s="951"/>
      <c r="E18" s="378">
        <v>0</v>
      </c>
      <c r="F18" s="191">
        <f t="shared" si="0"/>
        <v>0</v>
      </c>
      <c r="G18" s="389">
        <v>0</v>
      </c>
      <c r="H18" s="157">
        <v>0</v>
      </c>
    </row>
    <row r="19" spans="1:11" ht="17.100000000000001" customHeight="1" outlineLevel="1">
      <c r="A19" s="163"/>
      <c r="B19" s="164" t="s">
        <v>381</v>
      </c>
      <c r="C19" s="735" t="s">
        <v>380</v>
      </c>
      <c r="D19" s="951">
        <v>9780</v>
      </c>
      <c r="E19" s="378">
        <v>0</v>
      </c>
      <c r="F19" s="191">
        <f t="shared" si="0"/>
        <v>0</v>
      </c>
      <c r="G19" s="389">
        <v>0</v>
      </c>
      <c r="H19" s="157">
        <v>0</v>
      </c>
    </row>
    <row r="20" spans="1:11" ht="17.100000000000001" customHeight="1" outlineLevel="1">
      <c r="A20" s="176" t="s">
        <v>368</v>
      </c>
      <c r="B20" s="175"/>
      <c r="C20" s="341" t="s">
        <v>367</v>
      </c>
      <c r="D20" s="951">
        <v>14007</v>
      </c>
      <c r="E20" s="378">
        <v>0</v>
      </c>
      <c r="F20" s="191">
        <f t="shared" si="0"/>
        <v>0</v>
      </c>
      <c r="G20" s="389">
        <v>0</v>
      </c>
      <c r="H20" s="157">
        <v>0</v>
      </c>
      <c r="I20" s="723" t="s">
        <v>963</v>
      </c>
    </row>
    <row r="21" spans="1:11" ht="17.100000000000001" customHeight="1" outlineLevel="1">
      <c r="A21" s="176" t="s">
        <v>368</v>
      </c>
      <c r="B21" s="973"/>
      <c r="C21" s="972"/>
      <c r="D21" s="951"/>
      <c r="E21" s="378"/>
      <c r="F21" s="191"/>
      <c r="G21" s="974"/>
      <c r="H21" s="157"/>
    </row>
    <row r="22" spans="1:11" ht="17.100000000000001" customHeight="1" outlineLevel="1">
      <c r="A22" s="512"/>
      <c r="B22" s="980" t="s">
        <v>962</v>
      </c>
      <c r="C22" s="979" t="s">
        <v>961</v>
      </c>
      <c r="D22" s="951">
        <v>0</v>
      </c>
      <c r="E22" s="1106">
        <v>0</v>
      </c>
      <c r="F22" s="191">
        <f>SUM(G22-E22)</f>
        <v>0</v>
      </c>
      <c r="G22" s="389">
        <v>0</v>
      </c>
      <c r="H22" s="157">
        <v>0</v>
      </c>
    </row>
    <row r="23" spans="1:11" ht="17.100000000000001" customHeight="1" outlineLevel="1">
      <c r="A23" s="512" t="s">
        <v>965</v>
      </c>
      <c r="B23" s="980"/>
      <c r="C23" s="979"/>
      <c r="D23" s="951">
        <v>4000000</v>
      </c>
      <c r="E23" s="1106">
        <v>0</v>
      </c>
      <c r="F23" s="191">
        <f>SUM(G23-E23)</f>
        <v>0</v>
      </c>
      <c r="G23" s="389">
        <v>0</v>
      </c>
      <c r="H23" s="157">
        <v>0</v>
      </c>
    </row>
    <row r="24" spans="1:11" ht="17.100000000000001" customHeight="1" outlineLevel="1">
      <c r="A24" s="512"/>
      <c r="B24" s="980"/>
      <c r="C24" s="979"/>
      <c r="D24" s="951"/>
      <c r="E24" s="1106"/>
      <c r="F24" s="191"/>
      <c r="G24" s="389"/>
      <c r="H24" s="157"/>
    </row>
    <row r="25" spans="1:11" s="344" customFormat="1" ht="17.100000000000001" customHeight="1" outlineLevel="1">
      <c r="A25" s="512"/>
      <c r="B25" s="980"/>
      <c r="C25" s="979"/>
      <c r="D25" s="951"/>
      <c r="E25" s="378"/>
      <c r="F25" s="191"/>
      <c r="G25" s="389"/>
      <c r="H25" s="157"/>
    </row>
    <row r="26" spans="1:11" s="344" customFormat="1" ht="17.100000000000001" customHeight="1" outlineLevel="1">
      <c r="A26" s="508"/>
      <c r="B26" s="507"/>
      <c r="C26" s="970"/>
      <c r="D26" s="969"/>
      <c r="E26" s="968"/>
      <c r="F26" s="191"/>
      <c r="G26" s="966"/>
      <c r="H26" s="149"/>
    </row>
    <row r="27" spans="1:11" s="344" customFormat="1" ht="17.100000000000001" customHeight="1" outlineLevel="1" thickBot="1">
      <c r="A27" s="732" t="s">
        <v>366</v>
      </c>
      <c r="B27" s="731"/>
      <c r="C27" s="146"/>
      <c r="D27" s="456">
        <f>SUM(D14)</f>
        <v>4166021.8</v>
      </c>
      <c r="E27" s="456">
        <f>SUM(E14)</f>
        <v>0</v>
      </c>
      <c r="F27" s="456">
        <f>SUM(F14)</f>
        <v>0</v>
      </c>
      <c r="G27" s="456">
        <f>SUM(G14)</f>
        <v>0</v>
      </c>
      <c r="H27" s="455">
        <f>SUM(H14)</f>
        <v>0</v>
      </c>
      <c r="I27" s="965"/>
    </row>
    <row r="28" spans="1:11" s="134" customFormat="1" ht="19.149999999999999" customHeight="1" thickTop="1">
      <c r="A28" s="134" t="s">
        <v>948</v>
      </c>
      <c r="B28" s="453"/>
      <c r="C28" s="940" t="s">
        <v>947</v>
      </c>
      <c r="D28" s="940"/>
      <c r="E28" s="940"/>
      <c r="F28" s="939" t="s">
        <v>946</v>
      </c>
      <c r="G28" s="939"/>
      <c r="H28" s="938"/>
      <c r="I28" s="937"/>
    </row>
    <row r="29" spans="1:11" s="134" customFormat="1" ht="18" customHeight="1">
      <c r="C29" s="964"/>
      <c r="D29" s="344"/>
      <c r="E29" s="148"/>
      <c r="F29" s="148"/>
      <c r="G29" s="148"/>
      <c r="H29" s="344"/>
      <c r="I29" s="148"/>
    </row>
    <row r="30" spans="1:11" s="134" customFormat="1" ht="24.75" customHeight="1">
      <c r="A30" s="4651" t="s">
        <v>945</v>
      </c>
      <c r="B30" s="4651"/>
      <c r="C30" s="4635" t="s">
        <v>360</v>
      </c>
      <c r="D30" s="4635"/>
      <c r="E30" s="4635"/>
      <c r="F30" s="4630" t="s">
        <v>359</v>
      </c>
      <c r="G30" s="4630"/>
      <c r="H30" s="4630"/>
      <c r="I30" s="963"/>
      <c r="J30" s="936"/>
      <c r="K30" s="936"/>
    </row>
    <row r="31" spans="1:11" s="135" customFormat="1" ht="13.5">
      <c r="A31" s="4704" t="s">
        <v>944</v>
      </c>
      <c r="B31" s="4704"/>
      <c r="C31" s="4655" t="s">
        <v>357</v>
      </c>
      <c r="D31" s="4655"/>
      <c r="E31" s="4655"/>
      <c r="F31" s="4623" t="s">
        <v>356</v>
      </c>
      <c r="G31" s="4623"/>
      <c r="H31" s="4623"/>
      <c r="I31" s="962"/>
      <c r="J31" s="935"/>
      <c r="K31" s="935"/>
    </row>
    <row r="32" spans="1:11" s="135" customFormat="1" ht="13.5">
      <c r="A32" s="4704"/>
      <c r="B32" s="4704"/>
      <c r="C32" s="4655"/>
      <c r="D32" s="4655"/>
      <c r="E32" s="4655"/>
      <c r="G32" s="137"/>
      <c r="H32" s="137"/>
      <c r="I32" s="961"/>
      <c r="J32" s="137"/>
      <c r="K32" s="137"/>
    </row>
    <row r="33" spans="3:9">
      <c r="C33" s="135"/>
      <c r="D33" s="137"/>
      <c r="E33" s="137"/>
      <c r="F33" s="137"/>
      <c r="G33" s="137"/>
      <c r="H33" s="137"/>
      <c r="I33" s="344"/>
    </row>
  </sheetData>
  <mergeCells count="12">
    <mergeCell ref="A4:H4"/>
    <mergeCell ref="A5:H5"/>
    <mergeCell ref="A10:B12"/>
    <mergeCell ref="E10:G10"/>
    <mergeCell ref="A30:B30"/>
    <mergeCell ref="C30:E30"/>
    <mergeCell ref="F30:H30"/>
    <mergeCell ref="A31:B31"/>
    <mergeCell ref="C31:E31"/>
    <mergeCell ref="F31:H31"/>
    <mergeCell ref="A32:B32"/>
    <mergeCell ref="C32:E32"/>
  </mergeCells>
  <pageMargins left="0.5" right="0" top="0.25" bottom="0" header="0.5" footer="0"/>
  <pageSetup paperSize="5"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outlinePr summaryBelow="0"/>
  </sheetPr>
  <dimension ref="A1:ES33"/>
  <sheetViews>
    <sheetView showGridLines="0" showOutlineSymbols="0" workbookViewId="0">
      <selection activeCell="I1" sqref="I1:I1048576"/>
    </sheetView>
  </sheetViews>
  <sheetFormatPr defaultColWidth="12.5703125" defaultRowHeight="15.75" outlineLevelRow="1" outlineLevelCol="2"/>
  <cols>
    <col min="1" max="1" width="1.85546875" style="363" customWidth="1"/>
    <col min="2" max="2" width="33.42578125" style="363" customWidth="1"/>
    <col min="3" max="3" width="10.7109375" style="363" customWidth="1"/>
    <col min="4" max="4" width="9.42578125" style="363" customWidth="1"/>
    <col min="5" max="8" width="10.7109375" style="363" customWidth="1"/>
    <col min="9" max="9" width="14.140625" style="363" hidden="1" customWidth="1"/>
    <col min="10" max="48" width="12.5703125" style="363"/>
    <col min="49" max="53" width="12.5703125" style="363" outlineLevel="1"/>
    <col min="54" max="59" width="12.5703125" style="363" outlineLevel="2"/>
    <col min="60" max="62" width="12.5703125" style="363" outlineLevel="1"/>
    <col min="63" max="82" width="12.5703125" style="363"/>
    <col min="83" max="86" width="12.5703125" style="363" outlineLevel="1"/>
    <col min="87" max="134" width="12.5703125" style="363"/>
    <col min="135" max="140" width="12.5703125" style="363" outlineLevel="1"/>
    <col min="141" max="146" width="12.5703125" style="363" outlineLevel="2"/>
    <col min="147" max="149" width="12.5703125" style="363" outlineLevel="1"/>
    <col min="150" max="16384" width="12.5703125" style="363"/>
  </cols>
  <sheetData>
    <row r="1" spans="1:8">
      <c r="A1" s="713" t="s">
        <v>473</v>
      </c>
      <c r="B1" s="579"/>
      <c r="C1" s="579"/>
      <c r="E1" s="713"/>
      <c r="H1" s="713"/>
    </row>
    <row r="2" spans="1:8" ht="14.25" customHeight="1">
      <c r="A2" s="712" t="s">
        <v>584</v>
      </c>
      <c r="B2" s="579"/>
      <c r="C2" s="579"/>
      <c r="E2" s="712"/>
      <c r="H2" s="712"/>
    </row>
    <row r="3" spans="1:8" ht="14.25" customHeight="1">
      <c r="A3" s="579"/>
      <c r="B3" s="579"/>
      <c r="C3" s="579"/>
      <c r="E3" s="712"/>
      <c r="F3" s="712"/>
      <c r="H3" s="712"/>
    </row>
    <row r="4" spans="1:8" ht="14.25" customHeight="1">
      <c r="A4" s="4713" t="s">
        <v>471</v>
      </c>
      <c r="B4" s="4713"/>
      <c r="C4" s="4713"/>
      <c r="D4" s="4713"/>
      <c r="E4" s="4713"/>
      <c r="F4" s="4713"/>
      <c r="G4" s="4713"/>
      <c r="H4" s="4713"/>
    </row>
    <row r="5" spans="1:8" ht="12" customHeight="1">
      <c r="A5" s="4714" t="s">
        <v>583</v>
      </c>
      <c r="B5" s="4664"/>
      <c r="C5" s="4664"/>
      <c r="D5" s="4664"/>
      <c r="E5" s="4664"/>
      <c r="F5" s="4664"/>
      <c r="G5" s="4664"/>
      <c r="H5" s="4664"/>
    </row>
    <row r="6" spans="1:8" ht="21" customHeight="1">
      <c r="A6" s="707"/>
      <c r="B6" s="707"/>
      <c r="C6" s="707"/>
      <c r="D6" s="707"/>
      <c r="E6" s="707"/>
      <c r="F6" s="707"/>
      <c r="G6" s="707"/>
      <c r="H6" s="707"/>
    </row>
    <row r="7" spans="1:8" ht="14.25" customHeight="1">
      <c r="A7" s="1094" t="s">
        <v>959</v>
      </c>
      <c r="B7" s="701"/>
      <c r="D7" s="579"/>
      <c r="E7" s="579"/>
      <c r="F7" s="579"/>
      <c r="G7" s="579"/>
      <c r="H7" s="579"/>
    </row>
    <row r="8" spans="1:8" ht="14.25" customHeight="1">
      <c r="A8" s="1092"/>
      <c r="B8" s="1093" t="s">
        <v>979</v>
      </c>
      <c r="D8" s="579"/>
      <c r="E8" s="579"/>
      <c r="F8" s="579"/>
      <c r="G8" s="579"/>
      <c r="H8" s="579"/>
    </row>
    <row r="9" spans="1:8" ht="15.75" customHeight="1">
      <c r="A9" s="1092"/>
      <c r="B9" s="701"/>
      <c r="D9" s="579"/>
      <c r="E9" s="579"/>
      <c r="F9" s="579"/>
      <c r="G9" s="579"/>
      <c r="H9" s="579"/>
    </row>
    <row r="10" spans="1:8" ht="14.25" customHeight="1">
      <c r="A10" s="4715" t="s">
        <v>468</v>
      </c>
      <c r="B10" s="4716"/>
      <c r="C10" s="264" t="s">
        <v>467</v>
      </c>
      <c r="D10" s="264" t="s">
        <v>466</v>
      </c>
      <c r="E10" s="4632" t="s">
        <v>465</v>
      </c>
      <c r="F10" s="4633"/>
      <c r="G10" s="4634"/>
      <c r="H10" s="265" t="s">
        <v>464</v>
      </c>
    </row>
    <row r="11" spans="1:8" ht="14.25" customHeight="1">
      <c r="A11" s="4717"/>
      <c r="B11" s="4718"/>
      <c r="C11" s="1091" t="s">
        <v>463</v>
      </c>
      <c r="D11" s="262" t="s">
        <v>573</v>
      </c>
      <c r="E11" s="503" t="s">
        <v>462</v>
      </c>
      <c r="F11" s="503" t="s">
        <v>461</v>
      </c>
      <c r="G11" s="262" t="s">
        <v>244</v>
      </c>
      <c r="H11" s="262">
        <v>2022</v>
      </c>
    </row>
    <row r="12" spans="1:8" ht="14.25" customHeight="1">
      <c r="A12" s="4719"/>
      <c r="B12" s="4720"/>
      <c r="C12" s="1090"/>
      <c r="D12" s="258" t="s">
        <v>460</v>
      </c>
      <c r="E12" s="258" t="s">
        <v>460</v>
      </c>
      <c r="F12" s="258" t="s">
        <v>459</v>
      </c>
      <c r="G12" s="259"/>
      <c r="H12" s="258" t="s">
        <v>458</v>
      </c>
    </row>
    <row r="13" spans="1:8" ht="20.100000000000001" customHeight="1">
      <c r="A13" s="1089" t="s">
        <v>456</v>
      </c>
      <c r="B13" s="1088"/>
      <c r="C13" s="253"/>
      <c r="D13" s="253"/>
      <c r="E13" s="253"/>
      <c r="F13" s="1087"/>
      <c r="G13" s="1087"/>
      <c r="H13" s="1087"/>
    </row>
    <row r="14" spans="1:8" ht="20.100000000000001" customHeight="1">
      <c r="A14" s="1086" t="s">
        <v>407</v>
      </c>
      <c r="B14" s="1085"/>
      <c r="C14" s="1084"/>
      <c r="D14" s="479">
        <f>SUM(D15:D26)</f>
        <v>130353.46</v>
      </c>
      <c r="E14" s="479">
        <f>SUM(E15:E26)</f>
        <v>93900</v>
      </c>
      <c r="F14" s="479">
        <f>SUM(F15:F26)</f>
        <v>81100</v>
      </c>
      <c r="G14" s="479">
        <f>SUM(G15:G26)</f>
        <v>175000</v>
      </c>
      <c r="H14" s="479">
        <f>SUM(H15:H26)</f>
        <v>175000</v>
      </c>
    </row>
    <row r="15" spans="1:8" ht="17.100000000000001" customHeight="1" outlineLevel="1">
      <c r="A15" s="1083" t="s">
        <v>397</v>
      </c>
      <c r="B15" s="468"/>
      <c r="C15" s="735" t="s">
        <v>396</v>
      </c>
      <c r="D15" s="1034">
        <v>1353.46</v>
      </c>
      <c r="E15" s="1076">
        <v>0</v>
      </c>
      <c r="F15" s="547">
        <f>SUM(G15-E15)</f>
        <v>0</v>
      </c>
      <c r="G15" s="743">
        <v>0</v>
      </c>
      <c r="H15" s="157">
        <v>0</v>
      </c>
    </row>
    <row r="16" spans="1:8" ht="17.100000000000001" customHeight="1" outlineLevel="1">
      <c r="A16" s="469" t="s">
        <v>389</v>
      </c>
      <c r="B16" s="468"/>
      <c r="C16" s="979" t="s">
        <v>388</v>
      </c>
      <c r="D16" s="1034">
        <v>129000</v>
      </c>
      <c r="E16" s="1076">
        <v>93900</v>
      </c>
      <c r="F16" s="547">
        <f>SUM(G16-E16)</f>
        <v>78900</v>
      </c>
      <c r="G16" s="743">
        <v>172800</v>
      </c>
      <c r="H16" s="157">
        <v>172800</v>
      </c>
    </row>
    <row r="17" spans="1:11" ht="17.100000000000001" customHeight="1" outlineLevel="1">
      <c r="A17" s="469" t="s">
        <v>368</v>
      </c>
      <c r="B17" s="468"/>
      <c r="C17" s="1037" t="s">
        <v>367</v>
      </c>
      <c r="D17" s="1034">
        <v>0</v>
      </c>
      <c r="E17" s="1076">
        <v>0</v>
      </c>
      <c r="F17" s="547">
        <f>SUM(G17-E17)</f>
        <v>2200</v>
      </c>
      <c r="G17" s="743">
        <v>2200</v>
      </c>
      <c r="H17" s="157">
        <v>2200</v>
      </c>
      <c r="I17" s="1082" t="s">
        <v>974</v>
      </c>
    </row>
    <row r="18" spans="1:11" ht="17.100000000000001" customHeight="1" outlineLevel="1">
      <c r="A18" s="469"/>
      <c r="B18" s="468"/>
      <c r="C18" s="979"/>
      <c r="D18" s="1034"/>
      <c r="E18" s="1076"/>
      <c r="F18" s="547"/>
      <c r="G18" s="743"/>
      <c r="H18" s="157"/>
    </row>
    <row r="19" spans="1:11" ht="17.100000000000001" customHeight="1" outlineLevel="1">
      <c r="A19" s="469"/>
      <c r="B19" s="468"/>
      <c r="C19" s="1037"/>
      <c r="D19" s="1034"/>
      <c r="E19" s="1076"/>
      <c r="F19" s="547"/>
      <c r="G19" s="743"/>
      <c r="H19" s="157"/>
      <c r="I19" s="1082"/>
    </row>
    <row r="20" spans="1:11" s="579" customFormat="1" ht="17.100000000000001" customHeight="1" outlineLevel="1">
      <c r="A20" s="469"/>
      <c r="B20" s="468"/>
      <c r="C20" s="1037"/>
      <c r="D20" s="1034"/>
      <c r="E20" s="1076"/>
      <c r="F20" s="547"/>
      <c r="G20" s="743"/>
      <c r="H20" s="157"/>
    </row>
    <row r="21" spans="1:11" ht="17.100000000000001" customHeight="1" outlineLevel="1">
      <c r="A21" s="1081"/>
      <c r="B21" s="1080"/>
      <c r="C21" s="1079"/>
      <c r="D21" s="1034"/>
      <c r="E21" s="1076"/>
      <c r="F21" s="547"/>
      <c r="G21" s="646"/>
      <c r="H21" s="157"/>
    </row>
    <row r="22" spans="1:11" ht="17.100000000000001" customHeight="1" outlineLevel="1">
      <c r="A22" s="1081"/>
      <c r="B22" s="1080"/>
      <c r="C22" s="530"/>
      <c r="D22" s="1034"/>
      <c r="E22" s="1076"/>
      <c r="F22" s="547"/>
      <c r="G22" s="743"/>
      <c r="H22" s="157"/>
    </row>
    <row r="23" spans="1:11" ht="17.100000000000001" customHeight="1" outlineLevel="1">
      <c r="A23" s="469"/>
      <c r="B23" s="468"/>
      <c r="C23" s="1079"/>
      <c r="D23" s="1034"/>
      <c r="E23" s="1076"/>
      <c r="F23" s="547"/>
      <c r="G23" s="743"/>
      <c r="H23" s="157"/>
    </row>
    <row r="24" spans="1:11" s="490" customFormat="1" ht="17.100000000000001" customHeight="1" outlineLevel="1">
      <c r="A24" s="517"/>
      <c r="B24" s="1078"/>
      <c r="C24" s="1077"/>
      <c r="D24" s="1034"/>
      <c r="E24" s="1076"/>
      <c r="F24" s="547"/>
      <c r="G24" s="743"/>
      <c r="H24" s="157"/>
    </row>
    <row r="25" spans="1:11" s="490" customFormat="1" ht="17.100000000000001" customHeight="1" outlineLevel="1">
      <c r="A25" s="517"/>
      <c r="B25" s="516"/>
      <c r="C25" s="971"/>
      <c r="D25" s="1034"/>
      <c r="E25" s="1076"/>
      <c r="F25" s="547"/>
      <c r="G25" s="743"/>
      <c r="H25" s="157"/>
    </row>
    <row r="26" spans="1:11" s="490" customFormat="1" ht="17.100000000000001" customHeight="1" outlineLevel="1">
      <c r="A26" s="508"/>
      <c r="B26" s="1075"/>
      <c r="C26" s="970"/>
      <c r="D26" s="1074"/>
      <c r="E26" s="1073"/>
      <c r="F26" s="1072"/>
      <c r="G26" s="1071"/>
      <c r="H26" s="149"/>
    </row>
    <row r="27" spans="1:11" s="490" customFormat="1" ht="17.100000000000001" customHeight="1" outlineLevel="1" thickBot="1">
      <c r="A27" s="1070" t="s">
        <v>366</v>
      </c>
      <c r="B27" s="1069"/>
      <c r="C27" s="1068"/>
      <c r="D27" s="455">
        <f>SUM(D14)</f>
        <v>130353.46</v>
      </c>
      <c r="E27" s="455">
        <f>SUM(E14)</f>
        <v>93900</v>
      </c>
      <c r="F27" s="1067">
        <f>SUM(F14)</f>
        <v>81100</v>
      </c>
      <c r="G27" s="455">
        <f>SUM(G14)</f>
        <v>175000</v>
      </c>
      <c r="H27" s="455">
        <f>SUM(H14)</f>
        <v>175000</v>
      </c>
      <c r="I27" s="938" t="s">
        <v>956</v>
      </c>
    </row>
    <row r="28" spans="1:11" s="579" customFormat="1" ht="19.149999999999999" customHeight="1" thickTop="1">
      <c r="A28" s="579" t="s">
        <v>948</v>
      </c>
      <c r="B28" s="698"/>
      <c r="C28" s="1066" t="s">
        <v>947</v>
      </c>
      <c r="D28" s="1066"/>
      <c r="E28" s="1066"/>
      <c r="F28" s="1065" t="s">
        <v>946</v>
      </c>
      <c r="G28" s="1065"/>
      <c r="H28" s="938"/>
      <c r="I28" s="1064"/>
    </row>
    <row r="29" spans="1:11" s="579" customFormat="1" ht="18" customHeight="1">
      <c r="C29" s="1063"/>
      <c r="D29" s="490"/>
      <c r="E29" s="225"/>
      <c r="F29" s="225"/>
      <c r="G29" s="225"/>
      <c r="H29" s="490"/>
      <c r="I29" s="225"/>
    </row>
    <row r="30" spans="1:11" s="579" customFormat="1" ht="22.5" customHeight="1">
      <c r="A30" s="4651" t="s">
        <v>945</v>
      </c>
      <c r="B30" s="4651"/>
      <c r="C30" s="4635" t="s">
        <v>360</v>
      </c>
      <c r="D30" s="4635"/>
      <c r="E30" s="4635"/>
      <c r="F30" s="4630" t="s">
        <v>359</v>
      </c>
      <c r="G30" s="4630"/>
      <c r="H30" s="4630"/>
      <c r="I30" s="1062"/>
      <c r="J30" s="1061"/>
      <c r="K30" s="1061"/>
    </row>
    <row r="31" spans="1:11" s="1056" customFormat="1" ht="13.5">
      <c r="A31" s="4704" t="s">
        <v>944</v>
      </c>
      <c r="B31" s="4704"/>
      <c r="C31" s="4655" t="s">
        <v>357</v>
      </c>
      <c r="D31" s="4655"/>
      <c r="E31" s="4655"/>
      <c r="F31" s="4623" t="s">
        <v>356</v>
      </c>
      <c r="G31" s="4623"/>
      <c r="H31" s="4623"/>
      <c r="I31" s="1060"/>
      <c r="J31" s="1059"/>
      <c r="K31" s="1059"/>
    </row>
    <row r="32" spans="1:11" s="1056" customFormat="1" ht="13.5">
      <c r="A32" s="4704"/>
      <c r="B32" s="4704"/>
      <c r="C32" s="4655"/>
      <c r="D32" s="4655"/>
      <c r="E32" s="4655"/>
      <c r="F32" s="135"/>
      <c r="G32" s="137"/>
      <c r="H32" s="137"/>
      <c r="I32" s="1058"/>
      <c r="J32" s="1057"/>
      <c r="K32" s="1057"/>
    </row>
    <row r="33" spans="3:9">
      <c r="C33" s="135"/>
      <c r="D33" s="137"/>
      <c r="E33" s="137"/>
      <c r="F33" s="137"/>
      <c r="G33" s="137"/>
      <c r="H33" s="137"/>
      <c r="I33" s="490"/>
    </row>
  </sheetData>
  <mergeCells count="12">
    <mergeCell ref="A4:H4"/>
    <mergeCell ref="A5:H5"/>
    <mergeCell ref="A10:B12"/>
    <mergeCell ref="E10:G10"/>
    <mergeCell ref="A30:B30"/>
    <mergeCell ref="C30:E30"/>
    <mergeCell ref="F30:H30"/>
    <mergeCell ref="A31:B31"/>
    <mergeCell ref="C31:E31"/>
    <mergeCell ref="F31:H31"/>
    <mergeCell ref="A32:B32"/>
    <mergeCell ref="C32:E32"/>
  </mergeCells>
  <pageMargins left="0.5" right="0" top="0.25" bottom="0" header="0.5" footer="0"/>
  <pageSetup paperSize="5"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outlinePr summaryBelow="0"/>
  </sheetPr>
  <dimension ref="A1:ES33"/>
  <sheetViews>
    <sheetView showGridLines="0" showOutlineSymbols="0" topLeftCell="A4" workbookViewId="0">
      <selection activeCell="L19" sqref="L19"/>
    </sheetView>
  </sheetViews>
  <sheetFormatPr defaultColWidth="12.5703125" defaultRowHeight="15.75" outlineLevelRow="1" outlineLevelCol="2"/>
  <cols>
    <col min="1" max="1" width="1.85546875" style="363" customWidth="1"/>
    <col min="2" max="2" width="33.42578125" style="363" customWidth="1"/>
    <col min="3" max="3" width="10.7109375" style="363" customWidth="1"/>
    <col min="4" max="4" width="9.42578125" style="363" customWidth="1"/>
    <col min="5" max="8" width="10.7109375" style="363" customWidth="1"/>
    <col min="9" max="9" width="14.140625" style="363" hidden="1" customWidth="1"/>
    <col min="10" max="48" width="12.5703125" style="363"/>
    <col min="49" max="53" width="12.5703125" style="363" outlineLevel="1"/>
    <col min="54" max="59" width="12.5703125" style="363" outlineLevel="2"/>
    <col min="60" max="62" width="12.5703125" style="363" outlineLevel="1"/>
    <col min="63" max="82" width="12.5703125" style="363"/>
    <col min="83" max="86" width="12.5703125" style="363" outlineLevel="1"/>
    <col min="87" max="134" width="12.5703125" style="363"/>
    <col min="135" max="140" width="12.5703125" style="363" outlineLevel="1"/>
    <col min="141" max="146" width="12.5703125" style="363" outlineLevel="2"/>
    <col min="147" max="149" width="12.5703125" style="363" outlineLevel="1"/>
    <col min="150" max="16384" width="12.5703125" style="363"/>
  </cols>
  <sheetData>
    <row r="1" spans="1:9">
      <c r="A1" s="713" t="s">
        <v>473</v>
      </c>
      <c r="B1" s="579"/>
      <c r="C1" s="579"/>
      <c r="E1" s="713"/>
      <c r="H1" s="713"/>
    </row>
    <row r="2" spans="1:9" ht="14.25" customHeight="1">
      <c r="A2" s="712" t="s">
        <v>584</v>
      </c>
      <c r="B2" s="579"/>
      <c r="C2" s="579"/>
      <c r="E2" s="712"/>
      <c r="H2" s="712"/>
    </row>
    <row r="3" spans="1:9" ht="14.25" customHeight="1">
      <c r="A3" s="579"/>
      <c r="B3" s="579"/>
      <c r="C3" s="579"/>
      <c r="E3" s="712"/>
      <c r="F3" s="712"/>
      <c r="H3" s="712"/>
    </row>
    <row r="4" spans="1:9" ht="14.25" customHeight="1">
      <c r="A4" s="4713" t="s">
        <v>471</v>
      </c>
      <c r="B4" s="4713"/>
      <c r="C4" s="4713"/>
      <c r="D4" s="4713"/>
      <c r="E4" s="4713"/>
      <c r="F4" s="4713"/>
      <c r="G4" s="4713"/>
      <c r="H4" s="4713"/>
    </row>
    <row r="5" spans="1:9" ht="12" customHeight="1">
      <c r="A5" s="4714" t="s">
        <v>583</v>
      </c>
      <c r="B5" s="4664"/>
      <c r="C5" s="4664"/>
      <c r="D5" s="4664"/>
      <c r="E5" s="4664"/>
      <c r="F5" s="4664"/>
      <c r="G5" s="4664"/>
      <c r="H5" s="4664"/>
    </row>
    <row r="6" spans="1:9" ht="21" customHeight="1">
      <c r="A6" s="707"/>
      <c r="B6" s="707"/>
      <c r="C6" s="707"/>
      <c r="D6" s="707"/>
      <c r="E6" s="707"/>
      <c r="F6" s="707"/>
      <c r="G6" s="707"/>
      <c r="H6" s="707"/>
    </row>
    <row r="7" spans="1:9" ht="14.25" customHeight="1">
      <c r="A7" s="1094" t="s">
        <v>959</v>
      </c>
      <c r="B7" s="701"/>
      <c r="D7" s="579"/>
      <c r="E7" s="579"/>
      <c r="F7" s="579"/>
      <c r="G7" s="579"/>
      <c r="H7" s="579"/>
    </row>
    <row r="8" spans="1:9" ht="14.25" customHeight="1">
      <c r="A8" s="1092"/>
      <c r="B8" s="1093" t="s">
        <v>981</v>
      </c>
      <c r="D8" s="579"/>
      <c r="E8" s="579"/>
      <c r="F8" s="579"/>
      <c r="G8" s="579"/>
      <c r="H8" s="579"/>
    </row>
    <row r="9" spans="1:9" ht="15.75" customHeight="1">
      <c r="A9" s="1092"/>
      <c r="B9" s="701"/>
      <c r="D9" s="579"/>
      <c r="E9" s="579"/>
      <c r="F9" s="579"/>
      <c r="G9" s="579"/>
      <c r="H9" s="579"/>
    </row>
    <row r="10" spans="1:9" ht="14.25" customHeight="1">
      <c r="A10" s="4715" t="s">
        <v>468</v>
      </c>
      <c r="B10" s="4716"/>
      <c r="C10" s="264" t="s">
        <v>467</v>
      </c>
      <c r="D10" s="264" t="s">
        <v>466</v>
      </c>
      <c r="E10" s="4632" t="s">
        <v>465</v>
      </c>
      <c r="F10" s="4633"/>
      <c r="G10" s="4634"/>
      <c r="H10" s="265" t="s">
        <v>464</v>
      </c>
    </row>
    <row r="11" spans="1:9" ht="14.25" customHeight="1">
      <c r="A11" s="4717"/>
      <c r="B11" s="4718"/>
      <c r="C11" s="1091" t="s">
        <v>463</v>
      </c>
      <c r="D11" s="262" t="s">
        <v>573</v>
      </c>
      <c r="E11" s="503" t="s">
        <v>462</v>
      </c>
      <c r="F11" s="503" t="s">
        <v>461</v>
      </c>
      <c r="G11" s="262" t="s">
        <v>244</v>
      </c>
      <c r="H11" s="262">
        <v>2022</v>
      </c>
    </row>
    <row r="12" spans="1:9" ht="14.25" customHeight="1">
      <c r="A12" s="4719"/>
      <c r="B12" s="4720"/>
      <c r="C12" s="1090"/>
      <c r="D12" s="258" t="s">
        <v>460</v>
      </c>
      <c r="E12" s="258" t="s">
        <v>460</v>
      </c>
      <c r="F12" s="258" t="s">
        <v>459</v>
      </c>
      <c r="G12" s="259"/>
      <c r="H12" s="258" t="s">
        <v>458</v>
      </c>
    </row>
    <row r="13" spans="1:9" ht="20.100000000000001" customHeight="1">
      <c r="A13" s="1089" t="s">
        <v>456</v>
      </c>
      <c r="B13" s="1088"/>
      <c r="C13" s="253"/>
      <c r="D13" s="253"/>
      <c r="E13" s="253"/>
      <c r="F13" s="1087"/>
      <c r="G13" s="1087"/>
      <c r="H13" s="1087"/>
    </row>
    <row r="14" spans="1:9" ht="20.100000000000001" customHeight="1">
      <c r="A14" s="1086" t="s">
        <v>407</v>
      </c>
      <c r="B14" s="1085"/>
      <c r="C14" s="1084"/>
      <c r="D14" s="479">
        <f>SUM(D15:D26)</f>
        <v>0</v>
      </c>
      <c r="E14" s="479">
        <f>SUM(E15:E26)</f>
        <v>0</v>
      </c>
      <c r="F14" s="479">
        <f>SUM(F15:F26)</f>
        <v>0</v>
      </c>
      <c r="G14" s="479">
        <f>SUM(G15:G26)</f>
        <v>0</v>
      </c>
      <c r="H14" s="479">
        <f>SUM(H15:H26)</f>
        <v>1000000</v>
      </c>
    </row>
    <row r="15" spans="1:9" ht="17.100000000000001" customHeight="1" outlineLevel="1">
      <c r="A15" s="1083" t="s">
        <v>646</v>
      </c>
      <c r="B15" s="468"/>
      <c r="C15" s="735" t="s">
        <v>405</v>
      </c>
      <c r="D15" s="1034">
        <v>0</v>
      </c>
      <c r="E15" s="1076">
        <v>0</v>
      </c>
      <c r="F15" s="547">
        <f>SUM(G15-E15)</f>
        <v>0</v>
      </c>
      <c r="G15" s="157">
        <v>0</v>
      </c>
      <c r="H15" s="157">
        <v>20000</v>
      </c>
    </row>
    <row r="16" spans="1:9" ht="17.100000000000001" customHeight="1" outlineLevel="1">
      <c r="A16" s="178" t="s">
        <v>404</v>
      </c>
      <c r="B16" s="1040"/>
      <c r="C16" s="1039" t="s">
        <v>403</v>
      </c>
      <c r="D16" s="1034">
        <v>0</v>
      </c>
      <c r="E16" s="1076">
        <v>0</v>
      </c>
      <c r="F16" s="547">
        <f>SUM(G16-E16)</f>
        <v>0</v>
      </c>
      <c r="G16" s="157">
        <v>0</v>
      </c>
      <c r="H16" s="157">
        <v>10000</v>
      </c>
      <c r="I16" s="1082" t="s">
        <v>974</v>
      </c>
    </row>
    <row r="17" spans="1:11" s="579" customFormat="1" ht="17.100000000000001" customHeight="1" outlineLevel="1">
      <c r="A17" s="469" t="s">
        <v>402</v>
      </c>
      <c r="B17" s="468"/>
      <c r="C17" s="1037" t="s">
        <v>401</v>
      </c>
      <c r="D17" s="1034">
        <v>0</v>
      </c>
      <c r="E17" s="1076">
        <v>0</v>
      </c>
      <c r="F17" s="547">
        <f>SUM(G17-E17)</f>
        <v>0</v>
      </c>
      <c r="G17" s="157">
        <v>0</v>
      </c>
      <c r="H17" s="157">
        <v>20000</v>
      </c>
    </row>
    <row r="18" spans="1:11" s="1002" customFormat="1" ht="17.100000000000001" customHeight="1" outlineLevel="1">
      <c r="A18" s="1083" t="s">
        <v>397</v>
      </c>
      <c r="B18" s="468"/>
      <c r="C18" s="735" t="s">
        <v>396</v>
      </c>
      <c r="D18" s="1034">
        <v>0</v>
      </c>
      <c r="E18" s="663">
        <v>0</v>
      </c>
      <c r="F18" s="547">
        <f>SUM(G18-E18)</f>
        <v>0</v>
      </c>
      <c r="G18" s="157">
        <v>0</v>
      </c>
      <c r="H18" s="157">
        <v>30000</v>
      </c>
    </row>
    <row r="19" spans="1:11" ht="17.100000000000001" customHeight="1" outlineLevel="1">
      <c r="A19" s="469" t="s">
        <v>389</v>
      </c>
      <c r="B19" s="468"/>
      <c r="C19" s="979" t="s">
        <v>388</v>
      </c>
      <c r="D19" s="1034">
        <v>0</v>
      </c>
      <c r="E19" s="663">
        <v>0</v>
      </c>
      <c r="F19" s="547">
        <f>SUM(G19-E19)</f>
        <v>0</v>
      </c>
      <c r="G19" s="157">
        <v>0</v>
      </c>
      <c r="H19" s="157">
        <v>237600</v>
      </c>
      <c r="I19" s="1082"/>
    </row>
    <row r="20" spans="1:11" s="579" customFormat="1" ht="17.100000000000001" customHeight="1" outlineLevel="1">
      <c r="A20" s="469" t="s">
        <v>566</v>
      </c>
      <c r="B20" s="468"/>
      <c r="C20" s="1037"/>
      <c r="D20" s="1034"/>
      <c r="E20" s="1076"/>
      <c r="F20" s="547"/>
      <c r="G20" s="743"/>
      <c r="H20" s="157"/>
    </row>
    <row r="21" spans="1:11" ht="17.100000000000001" customHeight="1" outlineLevel="1">
      <c r="A21" s="178" t="s">
        <v>980</v>
      </c>
      <c r="B21" s="1040"/>
      <c r="C21" s="735" t="s">
        <v>376</v>
      </c>
      <c r="D21" s="1034">
        <v>0</v>
      </c>
      <c r="E21" s="663">
        <v>0</v>
      </c>
      <c r="F21" s="547">
        <f>SUM(G21-E21)</f>
        <v>0</v>
      </c>
      <c r="G21" s="157">
        <v>0</v>
      </c>
      <c r="H21" s="157">
        <v>10000</v>
      </c>
    </row>
    <row r="22" spans="1:11" ht="17.100000000000001" customHeight="1" outlineLevel="1">
      <c r="A22" s="1081" t="s">
        <v>368</v>
      </c>
      <c r="B22" s="1080"/>
      <c r="C22" s="978" t="s">
        <v>367</v>
      </c>
      <c r="D22" s="1034">
        <v>0</v>
      </c>
      <c r="E22" s="663">
        <v>0</v>
      </c>
      <c r="F22" s="547">
        <f>SUM(G22-E22)</f>
        <v>0</v>
      </c>
      <c r="G22" s="157">
        <v>0</v>
      </c>
      <c r="H22" s="157">
        <v>672400</v>
      </c>
    </row>
    <row r="23" spans="1:11" ht="17.100000000000001" customHeight="1" outlineLevel="1">
      <c r="A23" s="469"/>
      <c r="B23" s="468"/>
      <c r="C23" s="1079"/>
      <c r="D23" s="1034"/>
      <c r="E23" s="1076"/>
      <c r="F23" s="547"/>
      <c r="G23" s="743"/>
      <c r="H23" s="157"/>
    </row>
    <row r="24" spans="1:11" s="490" customFormat="1" ht="17.100000000000001" customHeight="1" outlineLevel="1">
      <c r="A24" s="517"/>
      <c r="B24" s="1078"/>
      <c r="C24" s="1077"/>
      <c r="D24" s="1034"/>
      <c r="E24" s="1076"/>
      <c r="F24" s="547"/>
      <c r="G24" s="743"/>
      <c r="H24" s="157"/>
    </row>
    <row r="25" spans="1:11" s="490" customFormat="1" ht="17.100000000000001" customHeight="1" outlineLevel="1">
      <c r="A25" s="517"/>
      <c r="B25" s="516"/>
      <c r="C25" s="971"/>
      <c r="D25" s="1034"/>
      <c r="E25" s="1076"/>
      <c r="F25" s="547"/>
      <c r="G25" s="743"/>
      <c r="H25" s="157"/>
    </row>
    <row r="26" spans="1:11" s="490" customFormat="1" ht="17.100000000000001" customHeight="1" outlineLevel="1">
      <c r="A26" s="508"/>
      <c r="B26" s="1075"/>
      <c r="C26" s="970"/>
      <c r="D26" s="1074"/>
      <c r="E26" s="1073"/>
      <c r="F26" s="1072"/>
      <c r="G26" s="1071"/>
      <c r="H26" s="149"/>
    </row>
    <row r="27" spans="1:11" s="490" customFormat="1" ht="17.100000000000001" customHeight="1" outlineLevel="1" thickBot="1">
      <c r="A27" s="1070" t="s">
        <v>366</v>
      </c>
      <c r="B27" s="1069"/>
      <c r="C27" s="1068"/>
      <c r="D27" s="455">
        <f>SUM(D14)</f>
        <v>0</v>
      </c>
      <c r="E27" s="455">
        <f>SUM(E14)</f>
        <v>0</v>
      </c>
      <c r="F27" s="1067">
        <f>SUM(F14)</f>
        <v>0</v>
      </c>
      <c r="G27" s="455">
        <f>SUM(G14)</f>
        <v>0</v>
      </c>
      <c r="H27" s="455">
        <f>SUM(H14)</f>
        <v>1000000</v>
      </c>
      <c r="I27" s="938" t="s">
        <v>973</v>
      </c>
    </row>
    <row r="28" spans="1:11" s="579" customFormat="1" ht="19.149999999999999" customHeight="1" thickTop="1">
      <c r="A28" s="579" t="s">
        <v>948</v>
      </c>
      <c r="B28" s="698"/>
      <c r="C28" s="1066" t="s">
        <v>947</v>
      </c>
      <c r="D28" s="1066"/>
      <c r="E28" s="1066"/>
      <c r="F28" s="1065" t="s">
        <v>946</v>
      </c>
      <c r="G28" s="1065"/>
      <c r="H28" s="938"/>
      <c r="I28" s="1064"/>
    </row>
    <row r="29" spans="1:11" s="579" customFormat="1" ht="18" customHeight="1">
      <c r="C29" s="1063"/>
      <c r="D29" s="490"/>
      <c r="E29" s="225"/>
      <c r="F29" s="225"/>
      <c r="G29" s="225"/>
      <c r="H29" s="490"/>
      <c r="I29" s="225"/>
    </row>
    <row r="30" spans="1:11" s="579" customFormat="1" ht="22.5" customHeight="1">
      <c r="A30" s="4651" t="s">
        <v>945</v>
      </c>
      <c r="B30" s="4651"/>
      <c r="C30" s="4635" t="s">
        <v>360</v>
      </c>
      <c r="D30" s="4635"/>
      <c r="E30" s="4635"/>
      <c r="F30" s="4630" t="s">
        <v>359</v>
      </c>
      <c r="G30" s="4630"/>
      <c r="H30" s="4630"/>
      <c r="I30" s="1062"/>
      <c r="J30" s="1061"/>
      <c r="K30" s="1061"/>
    </row>
    <row r="31" spans="1:11" s="1056" customFormat="1" ht="13.5">
      <c r="A31" s="4704" t="s">
        <v>944</v>
      </c>
      <c r="B31" s="4704"/>
      <c r="C31" s="4655" t="s">
        <v>357</v>
      </c>
      <c r="D31" s="4655"/>
      <c r="E31" s="4655"/>
      <c r="F31" s="4623" t="s">
        <v>356</v>
      </c>
      <c r="G31" s="4623"/>
      <c r="H31" s="4623"/>
      <c r="I31" s="1060"/>
      <c r="J31" s="1059"/>
      <c r="K31" s="1059"/>
    </row>
    <row r="32" spans="1:11" s="1056" customFormat="1" ht="13.5">
      <c r="A32" s="4704"/>
      <c r="B32" s="4704"/>
      <c r="C32" s="4655"/>
      <c r="D32" s="4655"/>
      <c r="E32" s="4655"/>
      <c r="F32" s="135"/>
      <c r="G32" s="137"/>
      <c r="H32" s="137"/>
      <c r="I32" s="1058"/>
      <c r="J32" s="1057"/>
      <c r="K32" s="1057"/>
    </row>
    <row r="33" spans="3:9">
      <c r="C33" s="135"/>
      <c r="D33" s="137"/>
      <c r="E33" s="137"/>
      <c r="F33" s="137"/>
      <c r="G33" s="137"/>
      <c r="H33" s="137"/>
      <c r="I33" s="490"/>
    </row>
  </sheetData>
  <mergeCells count="12">
    <mergeCell ref="A32:B32"/>
    <mergeCell ref="C32:E32"/>
    <mergeCell ref="A4:H4"/>
    <mergeCell ref="A5:H5"/>
    <mergeCell ref="A10:B12"/>
    <mergeCell ref="E10:G10"/>
    <mergeCell ref="A30:B30"/>
    <mergeCell ref="C30:E30"/>
    <mergeCell ref="F30:H30"/>
    <mergeCell ref="A31:B31"/>
    <mergeCell ref="C31:E31"/>
    <mergeCell ref="F31:H31"/>
  </mergeCells>
  <pageMargins left="0.5" right="0" top="0.25" bottom="0" header="0.5" footer="0"/>
  <pageSetup paperSize="5"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outlinePr summaryBelow="0"/>
  </sheetPr>
  <dimension ref="A1:ES33"/>
  <sheetViews>
    <sheetView showGridLines="0" showOutlineSymbols="0" topLeftCell="A10" workbookViewId="0">
      <selection activeCell="I1" sqref="I1:I1048576"/>
    </sheetView>
  </sheetViews>
  <sheetFormatPr defaultColWidth="12.5703125" defaultRowHeight="15.75" outlineLevelRow="1" outlineLevelCol="2"/>
  <cols>
    <col min="1" max="1" width="1.85546875" style="363" customWidth="1"/>
    <col min="2" max="2" width="33.42578125" style="363" customWidth="1"/>
    <col min="3" max="3" width="10.7109375" style="363" customWidth="1"/>
    <col min="4" max="4" width="9.42578125" style="363" customWidth="1"/>
    <col min="5" max="8" width="10.7109375" style="363" customWidth="1"/>
    <col min="9" max="9" width="14.140625" style="363" hidden="1" customWidth="1"/>
    <col min="10" max="48" width="12.5703125" style="363"/>
    <col min="49" max="53" width="12.5703125" style="363" outlineLevel="1"/>
    <col min="54" max="59" width="12.5703125" style="363" outlineLevel="2"/>
    <col min="60" max="62" width="12.5703125" style="363" outlineLevel="1"/>
    <col min="63" max="82" width="12.5703125" style="363"/>
    <col min="83" max="86" width="12.5703125" style="363" outlineLevel="1"/>
    <col min="87" max="134" width="12.5703125" style="363"/>
    <col min="135" max="140" width="12.5703125" style="363" outlineLevel="1"/>
    <col min="141" max="146" width="12.5703125" style="363" outlineLevel="2"/>
    <col min="147" max="149" width="12.5703125" style="363" outlineLevel="1"/>
    <col min="150" max="16384" width="12.5703125" style="363"/>
  </cols>
  <sheetData>
    <row r="1" spans="1:9">
      <c r="A1" s="713" t="s">
        <v>473</v>
      </c>
      <c r="B1" s="579"/>
      <c r="C1" s="579"/>
      <c r="E1" s="713"/>
      <c r="H1" s="713"/>
    </row>
    <row r="2" spans="1:9" ht="14.25" customHeight="1">
      <c r="A2" s="712" t="s">
        <v>584</v>
      </c>
      <c r="B2" s="579"/>
      <c r="C2" s="579"/>
      <c r="E2" s="712"/>
      <c r="H2" s="712"/>
    </row>
    <row r="3" spans="1:9" ht="14.25" customHeight="1">
      <c r="A3" s="579"/>
      <c r="B3" s="579"/>
      <c r="C3" s="579"/>
      <c r="E3" s="712"/>
      <c r="F3" s="712"/>
      <c r="H3" s="712"/>
    </row>
    <row r="4" spans="1:9" ht="14.25" customHeight="1">
      <c r="A4" s="4713" t="s">
        <v>471</v>
      </c>
      <c r="B4" s="4713"/>
      <c r="C4" s="4713"/>
      <c r="D4" s="4713"/>
      <c r="E4" s="4713"/>
      <c r="F4" s="4713"/>
      <c r="G4" s="4713"/>
      <c r="H4" s="4713"/>
    </row>
    <row r="5" spans="1:9" ht="12" customHeight="1">
      <c r="A5" s="4714" t="s">
        <v>583</v>
      </c>
      <c r="B5" s="4664"/>
      <c r="C5" s="4664"/>
      <c r="D5" s="4664"/>
      <c r="E5" s="4664"/>
      <c r="F5" s="4664"/>
      <c r="G5" s="4664"/>
      <c r="H5" s="4664"/>
    </row>
    <row r="6" spans="1:9" ht="21" customHeight="1">
      <c r="A6" s="707"/>
      <c r="B6" s="707"/>
      <c r="C6" s="707"/>
      <c r="D6" s="707"/>
      <c r="E6" s="707"/>
      <c r="F6" s="707"/>
      <c r="G6" s="707"/>
      <c r="H6" s="707"/>
    </row>
    <row r="7" spans="1:9" ht="14.25" customHeight="1">
      <c r="A7" s="1094" t="s">
        <v>959</v>
      </c>
      <c r="B7" s="701"/>
      <c r="D7" s="579"/>
      <c r="E7" s="579"/>
      <c r="F7" s="579"/>
      <c r="G7" s="579"/>
      <c r="H7" s="579"/>
    </row>
    <row r="8" spans="1:9" ht="14.25" customHeight="1">
      <c r="A8" s="1092"/>
      <c r="B8" s="1093" t="s">
        <v>984</v>
      </c>
      <c r="D8" s="579"/>
      <c r="E8" s="579"/>
      <c r="F8" s="579"/>
      <c r="G8" s="579"/>
      <c r="H8" s="579"/>
    </row>
    <row r="9" spans="1:9" ht="15.75" customHeight="1">
      <c r="A9" s="1092"/>
      <c r="B9" s="701"/>
      <c r="D9" s="579"/>
      <c r="E9" s="579"/>
      <c r="F9" s="579"/>
      <c r="G9" s="579"/>
      <c r="H9" s="579"/>
    </row>
    <row r="10" spans="1:9" ht="14.25" customHeight="1">
      <c r="A10" s="4715" t="s">
        <v>468</v>
      </c>
      <c r="B10" s="4716"/>
      <c r="C10" s="264" t="s">
        <v>467</v>
      </c>
      <c r="D10" s="264" t="s">
        <v>466</v>
      </c>
      <c r="E10" s="4632" t="s">
        <v>465</v>
      </c>
      <c r="F10" s="4633"/>
      <c r="G10" s="4634"/>
      <c r="H10" s="265" t="s">
        <v>464</v>
      </c>
    </row>
    <row r="11" spans="1:9" ht="14.25" customHeight="1">
      <c r="A11" s="4717"/>
      <c r="B11" s="4718"/>
      <c r="C11" s="1091" t="s">
        <v>463</v>
      </c>
      <c r="D11" s="262" t="s">
        <v>573</v>
      </c>
      <c r="E11" s="503" t="s">
        <v>462</v>
      </c>
      <c r="F11" s="503" t="s">
        <v>461</v>
      </c>
      <c r="G11" s="262" t="s">
        <v>244</v>
      </c>
      <c r="H11" s="262">
        <v>2022</v>
      </c>
    </row>
    <row r="12" spans="1:9" ht="14.25" customHeight="1">
      <c r="A12" s="4719"/>
      <c r="B12" s="4720"/>
      <c r="C12" s="1090"/>
      <c r="D12" s="258" t="s">
        <v>460</v>
      </c>
      <c r="E12" s="258" t="s">
        <v>460</v>
      </c>
      <c r="F12" s="258" t="s">
        <v>459</v>
      </c>
      <c r="G12" s="259"/>
      <c r="H12" s="258" t="s">
        <v>458</v>
      </c>
    </row>
    <row r="13" spans="1:9" ht="20.100000000000001" customHeight="1">
      <c r="A13" s="1089" t="s">
        <v>456</v>
      </c>
      <c r="B13" s="1088"/>
      <c r="C13" s="253"/>
      <c r="D13" s="253"/>
      <c r="E13" s="253"/>
      <c r="F13" s="1087"/>
      <c r="G13" s="1087"/>
      <c r="H13" s="1087"/>
    </row>
    <row r="14" spans="1:9" ht="20.100000000000001" customHeight="1">
      <c r="A14" s="1086" t="s">
        <v>407</v>
      </c>
      <c r="B14" s="1085"/>
      <c r="C14" s="1084"/>
      <c r="D14" s="479">
        <f>SUM(D15:D26)</f>
        <v>0</v>
      </c>
      <c r="E14" s="479">
        <f>SUM(E15:E26)</f>
        <v>0</v>
      </c>
      <c r="F14" s="479">
        <f>SUM(F15:F26)</f>
        <v>0</v>
      </c>
      <c r="G14" s="479">
        <f>SUM(G15:G26)</f>
        <v>0</v>
      </c>
      <c r="H14" s="479">
        <f>SUM(H15:H26)</f>
        <v>750000</v>
      </c>
    </row>
    <row r="15" spans="1:9" ht="17.100000000000001" customHeight="1" outlineLevel="1">
      <c r="A15" s="1083" t="s">
        <v>646</v>
      </c>
      <c r="B15" s="468"/>
      <c r="C15" s="735" t="s">
        <v>405</v>
      </c>
      <c r="D15" s="1034">
        <v>0</v>
      </c>
      <c r="E15" s="1076">
        <v>0</v>
      </c>
      <c r="F15" s="547">
        <f t="shared" ref="F15:F20" si="0">SUM(G15-E15)</f>
        <v>0</v>
      </c>
      <c r="G15" s="157">
        <v>0</v>
      </c>
      <c r="H15" s="157">
        <v>60000</v>
      </c>
    </row>
    <row r="16" spans="1:9" ht="17.100000000000001" customHeight="1" outlineLevel="1">
      <c r="A16" s="469" t="s">
        <v>402</v>
      </c>
      <c r="B16" s="468"/>
      <c r="C16" s="1037" t="s">
        <v>401</v>
      </c>
      <c r="D16" s="1034">
        <v>0</v>
      </c>
      <c r="E16" s="1076">
        <v>0</v>
      </c>
      <c r="F16" s="547">
        <f t="shared" si="0"/>
        <v>0</v>
      </c>
      <c r="G16" s="157">
        <v>0</v>
      </c>
      <c r="H16" s="157">
        <v>10000</v>
      </c>
      <c r="I16" s="1082" t="s">
        <v>974</v>
      </c>
    </row>
    <row r="17" spans="1:11" s="579" customFormat="1" ht="17.100000000000001" customHeight="1" outlineLevel="1">
      <c r="A17" s="469" t="s">
        <v>878</v>
      </c>
      <c r="B17" s="468"/>
      <c r="C17" s="1037" t="s">
        <v>983</v>
      </c>
      <c r="D17" s="1034">
        <v>0</v>
      </c>
      <c r="E17" s="1076">
        <v>0</v>
      </c>
      <c r="F17" s="547">
        <f t="shared" si="0"/>
        <v>0</v>
      </c>
      <c r="G17" s="157">
        <v>0</v>
      </c>
      <c r="H17" s="157">
        <v>35000</v>
      </c>
    </row>
    <row r="18" spans="1:11" s="1002" customFormat="1" ht="17.100000000000001" customHeight="1" outlineLevel="1">
      <c r="A18" s="1083" t="s">
        <v>397</v>
      </c>
      <c r="B18" s="468"/>
      <c r="C18" s="735" t="s">
        <v>396</v>
      </c>
      <c r="D18" s="1034">
        <v>0</v>
      </c>
      <c r="E18" s="663">
        <v>0</v>
      </c>
      <c r="F18" s="547">
        <f t="shared" si="0"/>
        <v>0</v>
      </c>
      <c r="G18" s="157">
        <v>0</v>
      </c>
      <c r="H18" s="157">
        <v>15000</v>
      </c>
    </row>
    <row r="19" spans="1:11" ht="17.100000000000001" customHeight="1" outlineLevel="1">
      <c r="A19" s="469" t="s">
        <v>389</v>
      </c>
      <c r="B19" s="468"/>
      <c r="C19" s="979" t="s">
        <v>388</v>
      </c>
      <c r="D19" s="1034">
        <v>0</v>
      </c>
      <c r="E19" s="663">
        <v>0</v>
      </c>
      <c r="F19" s="547">
        <f t="shared" si="0"/>
        <v>0</v>
      </c>
      <c r="G19" s="157">
        <v>0</v>
      </c>
      <c r="H19" s="157">
        <v>600000</v>
      </c>
      <c r="I19" s="1082"/>
    </row>
    <row r="20" spans="1:11" ht="17.100000000000001" customHeight="1" outlineLevel="1">
      <c r="A20" s="1081" t="s">
        <v>368</v>
      </c>
      <c r="B20" s="1080"/>
      <c r="C20" s="978" t="s">
        <v>367</v>
      </c>
      <c r="D20" s="1034">
        <v>0</v>
      </c>
      <c r="E20" s="663">
        <v>0</v>
      </c>
      <c r="F20" s="547">
        <f t="shared" si="0"/>
        <v>0</v>
      </c>
      <c r="G20" s="157">
        <v>0</v>
      </c>
      <c r="H20" s="157">
        <v>30000</v>
      </c>
    </row>
    <row r="21" spans="1:11" ht="17.100000000000001" customHeight="1" outlineLevel="1">
      <c r="A21" s="469"/>
      <c r="B21" s="468"/>
      <c r="C21" s="1079"/>
      <c r="D21" s="1034"/>
      <c r="E21" s="1076"/>
      <c r="F21" s="547"/>
      <c r="G21" s="743"/>
      <c r="H21" s="157"/>
    </row>
    <row r="22" spans="1:11" ht="17.100000000000001" customHeight="1" outlineLevel="1">
      <c r="A22" s="469"/>
      <c r="B22" s="468"/>
      <c r="C22" s="1079"/>
      <c r="D22" s="1034"/>
      <c r="E22" s="1076"/>
      <c r="F22" s="547"/>
      <c r="G22" s="743"/>
      <c r="H22" s="157"/>
    </row>
    <row r="23" spans="1:11" ht="17.100000000000001" customHeight="1" outlineLevel="1">
      <c r="A23" s="469"/>
      <c r="B23" s="468"/>
      <c r="C23" s="1079"/>
      <c r="D23" s="1034"/>
      <c r="E23" s="1076"/>
      <c r="F23" s="547"/>
      <c r="G23" s="743"/>
      <c r="H23" s="157"/>
    </row>
    <row r="24" spans="1:11" s="490" customFormat="1" ht="17.100000000000001" customHeight="1" outlineLevel="1">
      <c r="A24" s="517"/>
      <c r="B24" s="1078"/>
      <c r="C24" s="1077"/>
      <c r="D24" s="1034"/>
      <c r="E24" s="1076"/>
      <c r="F24" s="547"/>
      <c r="G24" s="743"/>
      <c r="H24" s="157"/>
    </row>
    <row r="25" spans="1:11" s="490" customFormat="1" ht="17.100000000000001" customHeight="1" outlineLevel="1">
      <c r="A25" s="517"/>
      <c r="B25" s="516"/>
      <c r="C25" s="971"/>
      <c r="D25" s="1034"/>
      <c r="E25" s="1076"/>
      <c r="F25" s="547"/>
      <c r="G25" s="743"/>
      <c r="H25" s="157"/>
    </row>
    <row r="26" spans="1:11" s="490" customFormat="1" ht="17.100000000000001" customHeight="1" outlineLevel="1">
      <c r="A26" s="508"/>
      <c r="B26" s="1075"/>
      <c r="C26" s="970"/>
      <c r="D26" s="1074"/>
      <c r="E26" s="1073"/>
      <c r="F26" s="1072"/>
      <c r="G26" s="1071"/>
      <c r="H26" s="149"/>
    </row>
    <row r="27" spans="1:11" s="490" customFormat="1" ht="17.100000000000001" customHeight="1" outlineLevel="1" thickBot="1">
      <c r="A27" s="1070" t="s">
        <v>366</v>
      </c>
      <c r="B27" s="1069"/>
      <c r="C27" s="1068"/>
      <c r="D27" s="455">
        <f>SUM(D14)</f>
        <v>0</v>
      </c>
      <c r="E27" s="455">
        <f>SUM(E14)</f>
        <v>0</v>
      </c>
      <c r="F27" s="1067">
        <f>SUM(F14)</f>
        <v>0</v>
      </c>
      <c r="G27" s="455">
        <f>SUM(G14)</f>
        <v>0</v>
      </c>
      <c r="H27" s="455">
        <f>SUM(H14)</f>
        <v>750000</v>
      </c>
      <c r="I27" s="938" t="s">
        <v>982</v>
      </c>
    </row>
    <row r="28" spans="1:11" s="579" customFormat="1" ht="19.149999999999999" customHeight="1" thickTop="1">
      <c r="A28" s="579" t="s">
        <v>948</v>
      </c>
      <c r="B28" s="698"/>
      <c r="C28" s="1066" t="s">
        <v>947</v>
      </c>
      <c r="D28" s="1066"/>
      <c r="E28" s="1066"/>
      <c r="F28" s="1065" t="s">
        <v>946</v>
      </c>
      <c r="G28" s="1065"/>
      <c r="H28" s="938"/>
      <c r="I28" s="1064"/>
    </row>
    <row r="29" spans="1:11" s="579" customFormat="1" ht="18" customHeight="1">
      <c r="C29" s="1063"/>
      <c r="D29" s="490"/>
      <c r="E29" s="225"/>
      <c r="F29" s="225"/>
      <c r="G29" s="225"/>
      <c r="H29" s="490"/>
      <c r="I29" s="225"/>
    </row>
    <row r="30" spans="1:11" s="579" customFormat="1" ht="22.5" customHeight="1">
      <c r="A30" s="4651" t="s">
        <v>945</v>
      </c>
      <c r="B30" s="4651"/>
      <c r="C30" s="4635" t="s">
        <v>360</v>
      </c>
      <c r="D30" s="4635"/>
      <c r="E30" s="4635"/>
      <c r="F30" s="4630" t="s">
        <v>359</v>
      </c>
      <c r="G30" s="4630"/>
      <c r="H30" s="4630"/>
      <c r="I30" s="1062"/>
      <c r="J30" s="1061"/>
      <c r="K30" s="1061"/>
    </row>
    <row r="31" spans="1:11" s="1056" customFormat="1" ht="13.5">
      <c r="A31" s="4704" t="s">
        <v>944</v>
      </c>
      <c r="B31" s="4704"/>
      <c r="C31" s="4655" t="s">
        <v>357</v>
      </c>
      <c r="D31" s="4655"/>
      <c r="E31" s="4655"/>
      <c r="F31" s="4623" t="s">
        <v>356</v>
      </c>
      <c r="G31" s="4623"/>
      <c r="H31" s="4623"/>
      <c r="I31" s="1060"/>
      <c r="J31" s="1059"/>
      <c r="K31" s="1059"/>
    </row>
    <row r="32" spans="1:11" s="1056" customFormat="1" ht="13.5">
      <c r="A32" s="4704"/>
      <c r="B32" s="4704"/>
      <c r="C32" s="4655"/>
      <c r="D32" s="4655"/>
      <c r="E32" s="4655"/>
      <c r="F32" s="135"/>
      <c r="G32" s="137"/>
      <c r="H32" s="137"/>
      <c r="I32" s="1058"/>
      <c r="J32" s="1057"/>
      <c r="K32" s="1057"/>
    </row>
    <row r="33" spans="3:9">
      <c r="C33" s="135"/>
      <c r="D33" s="137"/>
      <c r="E33" s="137"/>
      <c r="F33" s="137"/>
      <c r="G33" s="137"/>
      <c r="H33" s="137"/>
      <c r="I33" s="490"/>
    </row>
  </sheetData>
  <mergeCells count="12">
    <mergeCell ref="A32:B32"/>
    <mergeCell ref="C32:E32"/>
    <mergeCell ref="A4:H4"/>
    <mergeCell ref="A5:H5"/>
    <mergeCell ref="A10:B12"/>
    <mergeCell ref="E10:G10"/>
    <mergeCell ref="A30:B30"/>
    <mergeCell ref="C30:E30"/>
    <mergeCell ref="F30:H30"/>
    <mergeCell ref="A31:B31"/>
    <mergeCell ref="C31:E31"/>
    <mergeCell ref="F31:H31"/>
  </mergeCells>
  <pageMargins left="0.5" right="0" top="0.25" bottom="0" header="0.5" footer="0"/>
  <pageSetup paperSize="5"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0"/>
  <sheetViews>
    <sheetView showGridLines="0" showOutlineSymbols="0" topLeftCell="A4" workbookViewId="0">
      <selection activeCell="I1" sqref="I1:I1048576"/>
    </sheetView>
  </sheetViews>
  <sheetFormatPr defaultColWidth="12.5703125" defaultRowHeight="15" outlineLevelRow="1" outlineLevelCol="2"/>
  <cols>
    <col min="1" max="1" width="1.85546875" style="1002" customWidth="1"/>
    <col min="2" max="2" width="35" style="1002" customWidth="1"/>
    <col min="3" max="8" width="10.7109375" style="1002" customWidth="1"/>
    <col min="9" max="9" width="14.140625" style="1002" hidden="1" customWidth="1"/>
    <col min="10" max="48" width="12.5703125" style="1002"/>
    <col min="49" max="53" width="12.5703125" style="1002" outlineLevel="1"/>
    <col min="54" max="59" width="12.5703125" style="1002" outlineLevel="2"/>
    <col min="60" max="62" width="12.5703125" style="1002" outlineLevel="1"/>
    <col min="63" max="82" width="12.5703125" style="1002"/>
    <col min="83" max="86" width="12.5703125" style="1002" outlineLevel="1"/>
    <col min="87" max="134" width="12.5703125" style="1002"/>
    <col min="135" max="140" width="12.5703125" style="1002" outlineLevel="1"/>
    <col min="141" max="146" width="12.5703125" style="1002" outlineLevel="2"/>
    <col min="147" max="149" width="12.5703125" style="1002" outlineLevel="1"/>
    <col min="150" max="16384" width="12.5703125" style="1002"/>
  </cols>
  <sheetData>
    <row r="1" spans="1:9">
      <c r="A1" s="713" t="s">
        <v>473</v>
      </c>
      <c r="E1" s="1055"/>
      <c r="F1" s="1055"/>
      <c r="H1" s="1055"/>
    </row>
    <row r="2" spans="1:9" ht="14.25" customHeight="1">
      <c r="A2" s="712" t="s">
        <v>584</v>
      </c>
      <c r="E2" s="1054"/>
      <c r="F2" s="1054"/>
      <c r="H2" s="1054"/>
    </row>
    <row r="3" spans="1:9" ht="17.100000000000001" customHeight="1">
      <c r="A3" s="4705" t="s">
        <v>471</v>
      </c>
      <c r="B3" s="4705"/>
      <c r="C3" s="4705"/>
      <c r="D3" s="4705"/>
      <c r="E3" s="4705"/>
      <c r="F3" s="4705"/>
      <c r="G3" s="4705"/>
      <c r="H3" s="4705"/>
    </row>
    <row r="4" spans="1:9" ht="17.100000000000001" customHeight="1">
      <c r="A4" s="4692" t="s">
        <v>972</v>
      </c>
      <c r="B4" s="4706"/>
      <c r="C4" s="4706"/>
      <c r="D4" s="4706"/>
      <c r="E4" s="4706"/>
      <c r="F4" s="4706"/>
      <c r="G4" s="4706"/>
      <c r="H4" s="4706"/>
    </row>
    <row r="5" spans="1:9" ht="17.100000000000001" customHeight="1">
      <c r="A5" s="1010"/>
      <c r="B5" s="1010"/>
      <c r="C5" s="1010"/>
      <c r="D5" s="1010"/>
      <c r="E5" s="1010"/>
      <c r="F5" s="1010"/>
      <c r="G5" s="1010"/>
      <c r="H5" s="1010"/>
    </row>
    <row r="6" spans="1:9" ht="17.100000000000001" customHeight="1">
      <c r="A6" s="399" t="s">
        <v>959</v>
      </c>
    </row>
    <row r="7" spans="1:9" ht="15" customHeight="1">
      <c r="A7" s="1052"/>
      <c r="B7" s="1053" t="s">
        <v>986</v>
      </c>
    </row>
    <row r="8" spans="1:9" ht="18" customHeight="1">
      <c r="A8" s="1052"/>
      <c r="B8" s="1051"/>
    </row>
    <row r="9" spans="1:9" ht="14.25" customHeight="1">
      <c r="A9" s="4707" t="s">
        <v>468</v>
      </c>
      <c r="B9" s="4708"/>
      <c r="C9" s="1131" t="s">
        <v>467</v>
      </c>
      <c r="D9" s="264" t="s">
        <v>466</v>
      </c>
      <c r="E9" s="4632" t="s">
        <v>465</v>
      </c>
      <c r="F9" s="4633"/>
      <c r="G9" s="4634"/>
      <c r="H9" s="265" t="s">
        <v>464</v>
      </c>
    </row>
    <row r="10" spans="1:9" ht="14.25" customHeight="1">
      <c r="A10" s="4709"/>
      <c r="B10" s="4710"/>
      <c r="C10" s="1130" t="s">
        <v>463</v>
      </c>
      <c r="D10" s="262" t="s">
        <v>573</v>
      </c>
      <c r="E10" s="503" t="s">
        <v>462</v>
      </c>
      <c r="F10" s="503" t="s">
        <v>461</v>
      </c>
      <c r="G10" s="262" t="s">
        <v>244</v>
      </c>
      <c r="H10" s="262">
        <v>2022</v>
      </c>
    </row>
    <row r="11" spans="1:9" ht="14.25" customHeight="1">
      <c r="A11" s="4711"/>
      <c r="B11" s="4712"/>
      <c r="C11" s="1129"/>
      <c r="D11" s="258" t="s">
        <v>460</v>
      </c>
      <c r="E11" s="258" t="s">
        <v>460</v>
      </c>
      <c r="F11" s="258" t="s">
        <v>459</v>
      </c>
      <c r="G11" s="259"/>
      <c r="H11" s="258" t="s">
        <v>458</v>
      </c>
    </row>
    <row r="12" spans="1:9" ht="20.100000000000001" customHeight="1">
      <c r="A12" s="537" t="s">
        <v>456</v>
      </c>
      <c r="B12" s="536"/>
      <c r="C12" s="536"/>
      <c r="D12" s="396"/>
      <c r="E12" s="396"/>
      <c r="F12" s="536"/>
      <c r="G12" s="536"/>
      <c r="H12" s="536"/>
    </row>
    <row r="13" spans="1:9" ht="20.100000000000001" customHeight="1">
      <c r="A13" s="1128" t="s">
        <v>407</v>
      </c>
      <c r="B13" s="527"/>
      <c r="C13" s="1127"/>
      <c r="D13" s="1126">
        <f>SUM(D14:D21)</f>
        <v>0</v>
      </c>
      <c r="E13" s="1126">
        <f>SUM(E14:E21)</f>
        <v>0</v>
      </c>
      <c r="F13" s="1126">
        <f>SUM(F14:F21)</f>
        <v>0</v>
      </c>
      <c r="G13" s="1126">
        <f>SUM(G14:G21)</f>
        <v>0</v>
      </c>
      <c r="H13" s="535">
        <f>SUM(H14:H21)</f>
        <v>0</v>
      </c>
      <c r="I13" s="1002">
        <v>295680</v>
      </c>
    </row>
    <row r="14" spans="1:9" ht="17.100000000000001" customHeight="1" outlineLevel="1">
      <c r="A14" s="178" t="s">
        <v>646</v>
      </c>
      <c r="B14" s="185"/>
      <c r="C14" s="1125" t="s">
        <v>405</v>
      </c>
      <c r="D14" s="984"/>
      <c r="E14" s="1107"/>
      <c r="F14" s="1108">
        <f>SUM(G14-E14)</f>
        <v>0</v>
      </c>
      <c r="G14" s="1107">
        <v>0</v>
      </c>
      <c r="H14" s="982">
        <v>0</v>
      </c>
    </row>
    <row r="15" spans="1:9" ht="17.100000000000001" customHeight="1" outlineLevel="1">
      <c r="A15" s="178" t="s">
        <v>402</v>
      </c>
      <c r="B15" s="177"/>
      <c r="C15" s="1124" t="s">
        <v>401</v>
      </c>
      <c r="D15" s="951"/>
      <c r="E15" s="378"/>
      <c r="F15" s="191">
        <f>SUM(G15-E15)</f>
        <v>0</v>
      </c>
      <c r="G15" s="389">
        <v>0</v>
      </c>
      <c r="H15" s="157">
        <v>0</v>
      </c>
    </row>
    <row r="16" spans="1:9" ht="17.100000000000001" customHeight="1" outlineLevel="1">
      <c r="A16" s="180" t="s">
        <v>397</v>
      </c>
      <c r="B16" s="179"/>
      <c r="C16" s="1123" t="s">
        <v>396</v>
      </c>
      <c r="D16" s="951"/>
      <c r="E16" s="378"/>
      <c r="F16" s="191">
        <f>SUM(G16-E16)</f>
        <v>0</v>
      </c>
      <c r="G16" s="389">
        <v>0</v>
      </c>
      <c r="H16" s="157">
        <v>0</v>
      </c>
    </row>
    <row r="17" spans="1:11" ht="17.100000000000001" customHeight="1" outlineLevel="1">
      <c r="A17" s="469" t="s">
        <v>389</v>
      </c>
      <c r="B17" s="468"/>
      <c r="C17" s="979" t="s">
        <v>388</v>
      </c>
      <c r="D17" s="1027"/>
      <c r="E17" s="378"/>
      <c r="F17" s="191">
        <f>SUM(G17-E17)</f>
        <v>0</v>
      </c>
      <c r="G17" s="389">
        <v>0</v>
      </c>
      <c r="H17" s="157">
        <v>0</v>
      </c>
    </row>
    <row r="18" spans="1:11" s="1031" customFormat="1" ht="17.100000000000001" customHeight="1" outlineLevel="1">
      <c r="A18" s="176" t="s">
        <v>368</v>
      </c>
      <c r="B18" s="175"/>
      <c r="C18" s="341" t="s">
        <v>367</v>
      </c>
      <c r="D18" s="1034"/>
      <c r="E18" s="378"/>
      <c r="F18" s="941">
        <f>SUM(G18-E18)</f>
        <v>0</v>
      </c>
      <c r="G18" s="389">
        <v>0</v>
      </c>
      <c r="H18" s="157">
        <v>0</v>
      </c>
    </row>
    <row r="19" spans="1:11" ht="17.100000000000001" customHeight="1" outlineLevel="1">
      <c r="A19" s="176"/>
      <c r="B19" s="175"/>
      <c r="C19" s="975"/>
      <c r="D19" s="951"/>
      <c r="E19" s="378"/>
      <c r="F19" s="191"/>
      <c r="G19" s="389"/>
      <c r="H19" s="157"/>
    </row>
    <row r="20" spans="1:11" ht="17.100000000000001" customHeight="1" outlineLevel="1">
      <c r="A20" s="519"/>
      <c r="B20" s="518"/>
      <c r="C20" s="1122"/>
      <c r="D20" s="951"/>
      <c r="E20" s="378"/>
      <c r="F20" s="191"/>
      <c r="G20" s="389"/>
      <c r="H20" s="157"/>
    </row>
    <row r="21" spans="1:11" ht="17.100000000000001" customHeight="1" outlineLevel="1">
      <c r="A21" s="517"/>
      <c r="B21" s="516"/>
      <c r="C21" s="1122"/>
      <c r="D21" s="951"/>
      <c r="E21" s="378"/>
      <c r="F21" s="191"/>
      <c r="G21" s="389"/>
      <c r="H21" s="157"/>
    </row>
    <row r="22" spans="1:11" s="1112" customFormat="1" ht="13.5">
      <c r="A22" s="1121" t="s">
        <v>775</v>
      </c>
      <c r="B22" s="1121"/>
      <c r="C22" s="1120"/>
      <c r="D22" s="1119">
        <f>SUM(D23)</f>
        <v>0</v>
      </c>
      <c r="E22" s="1119">
        <f>SUM(E23)</f>
        <v>0</v>
      </c>
      <c r="F22" s="1119">
        <f>SUM(F23)</f>
        <v>0</v>
      </c>
      <c r="G22" s="1119">
        <f>SUM(G23)</f>
        <v>0</v>
      </c>
      <c r="H22" s="1119">
        <f>SUM(H23)</f>
        <v>0</v>
      </c>
      <c r="I22" s="1113"/>
    </row>
    <row r="23" spans="1:11" s="1112" customFormat="1" ht="13.5">
      <c r="A23" s="1118" t="s">
        <v>950</v>
      </c>
      <c r="B23" s="1117"/>
      <c r="C23" s="975" t="s">
        <v>367</v>
      </c>
      <c r="D23" s="1116"/>
      <c r="E23" s="481"/>
      <c r="F23" s="941">
        <f>SUM(G23-E23)</f>
        <v>0</v>
      </c>
      <c r="G23" s="1115"/>
      <c r="H23" s="1114"/>
      <c r="I23" s="1113"/>
    </row>
    <row r="24" spans="1:11" s="1008" customFormat="1" ht="17.100000000000001" customHeight="1" outlineLevel="1" thickBot="1">
      <c r="A24" s="1017" t="s">
        <v>366</v>
      </c>
      <c r="B24" s="1017"/>
      <c r="C24" s="1111"/>
      <c r="D24" s="1110">
        <f>SUM(D13+D22)</f>
        <v>0</v>
      </c>
      <c r="E24" s="1110">
        <f>SUM(E13+E22)</f>
        <v>0</v>
      </c>
      <c r="F24" s="1110">
        <f>SUM(F13+F22)</f>
        <v>0</v>
      </c>
      <c r="G24" s="1110">
        <f>SUM(G13+G22)</f>
        <v>0</v>
      </c>
      <c r="H24" s="1110">
        <f>SUM(H13+H22)</f>
        <v>0</v>
      </c>
      <c r="I24" s="1008" t="e">
        <f>SUM(#REF!-H24)</f>
        <v>#REF!</v>
      </c>
    </row>
    <row r="25" spans="1:11" ht="20.45" customHeight="1" thickTop="1">
      <c r="A25" s="1002" t="s">
        <v>948</v>
      </c>
      <c r="B25" s="1013"/>
      <c r="C25" s="1012" t="s">
        <v>947</v>
      </c>
      <c r="D25" s="1012"/>
      <c r="E25" s="1012"/>
      <c r="F25" s="1109" t="s">
        <v>985</v>
      </c>
      <c r="G25" s="1011"/>
      <c r="H25" s="1011"/>
      <c r="I25" s="1010"/>
    </row>
    <row r="26" spans="1:11" ht="18" customHeight="1">
      <c r="C26" s="1009"/>
      <c r="D26" s="1007"/>
      <c r="E26" s="1008"/>
      <c r="F26" s="1008"/>
      <c r="G26" s="1008"/>
      <c r="H26" s="1007"/>
    </row>
    <row r="27" spans="1:11" ht="22.5" customHeight="1">
      <c r="A27" s="4651" t="s">
        <v>945</v>
      </c>
      <c r="B27" s="4651"/>
      <c r="C27" s="4635" t="s">
        <v>360</v>
      </c>
      <c r="D27" s="4635"/>
      <c r="E27" s="4635"/>
      <c r="F27" s="4630" t="s">
        <v>359</v>
      </c>
      <c r="G27" s="4630"/>
      <c r="H27" s="4630"/>
      <c r="I27" s="1006"/>
      <c r="J27" s="1006"/>
      <c r="K27" s="1006"/>
    </row>
    <row r="28" spans="1:11" s="1003" customFormat="1" ht="13.5">
      <c r="A28" s="4704" t="s">
        <v>944</v>
      </c>
      <c r="B28" s="4704"/>
      <c r="C28" s="4655" t="s">
        <v>357</v>
      </c>
      <c r="D28" s="4655"/>
      <c r="E28" s="4655"/>
      <c r="F28" s="4623" t="s">
        <v>356</v>
      </c>
      <c r="G28" s="4623"/>
      <c r="H28" s="4623"/>
      <c r="I28" s="1005"/>
      <c r="J28" s="1005"/>
      <c r="K28" s="1005"/>
    </row>
    <row r="29" spans="1:11" s="1003" customFormat="1" ht="13.5">
      <c r="A29" s="4704"/>
      <c r="B29" s="4704"/>
      <c r="C29" s="4655"/>
      <c r="D29" s="4655"/>
      <c r="E29" s="4655"/>
      <c r="F29" s="135"/>
      <c r="G29" s="137"/>
      <c r="H29" s="137"/>
      <c r="I29" s="1004"/>
      <c r="J29" s="1004"/>
      <c r="K29" s="1004"/>
    </row>
    <row r="30" spans="1:11">
      <c r="C30" s="135"/>
      <c r="D30" s="137"/>
      <c r="E30" s="137"/>
      <c r="F30" s="137"/>
      <c r="G30" s="137"/>
      <c r="H30" s="137"/>
    </row>
  </sheetData>
  <mergeCells count="12">
    <mergeCell ref="C29:E29"/>
    <mergeCell ref="A28:B28"/>
    <mergeCell ref="C28:E28"/>
    <mergeCell ref="F28:H28"/>
    <mergeCell ref="A9:B11"/>
    <mergeCell ref="A29:B29"/>
    <mergeCell ref="A3:H3"/>
    <mergeCell ref="A4:H4"/>
    <mergeCell ref="E9:G9"/>
    <mergeCell ref="A27:B27"/>
    <mergeCell ref="C27:E27"/>
    <mergeCell ref="F27:H27"/>
  </mergeCells>
  <pageMargins left="0.5" right="0" top="0.25" bottom="0" header="0.5" footer="0"/>
  <pageSetup paperSize="5" orientation="portrait"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3"/>
  <sheetViews>
    <sheetView showGridLines="0" showOutlineSymbols="0" workbookViewId="0">
      <selection activeCell="L17" sqref="L17"/>
    </sheetView>
  </sheetViews>
  <sheetFormatPr defaultColWidth="12.5703125" defaultRowHeight="15.75" outlineLevelRow="1" outlineLevelCol="2"/>
  <cols>
    <col min="1" max="1" width="1.85546875" style="235" customWidth="1"/>
    <col min="2" max="2" width="34.85546875" style="235" customWidth="1"/>
    <col min="3" max="3" width="10.7109375" style="235" customWidth="1"/>
    <col min="4" max="4" width="9.42578125" style="235" customWidth="1"/>
    <col min="5" max="8" width="10.7109375" style="235" customWidth="1"/>
    <col min="9" max="9" width="14.140625" style="235" hidden="1" customWidth="1"/>
    <col min="10"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8">
      <c r="A1" s="271" t="s">
        <v>473</v>
      </c>
      <c r="B1" s="134"/>
      <c r="C1" s="134"/>
      <c r="E1" s="271"/>
      <c r="H1" s="271"/>
    </row>
    <row r="2" spans="1:8" ht="14.25" customHeight="1">
      <c r="A2" s="270" t="s">
        <v>584</v>
      </c>
      <c r="B2" s="134"/>
      <c r="C2" s="134"/>
      <c r="E2" s="270"/>
      <c r="H2" s="270"/>
    </row>
    <row r="3" spans="1:8" ht="14.25" customHeight="1">
      <c r="A3" s="134"/>
      <c r="B3" s="134"/>
      <c r="C3" s="134"/>
      <c r="E3" s="270"/>
      <c r="F3" s="270"/>
      <c r="H3" s="270"/>
    </row>
    <row r="4" spans="1:8" ht="14.25" customHeight="1">
      <c r="A4" s="4630" t="s">
        <v>471</v>
      </c>
      <c r="B4" s="4630"/>
      <c r="C4" s="4630"/>
      <c r="D4" s="4630"/>
      <c r="E4" s="4630"/>
      <c r="F4" s="4630"/>
      <c r="G4" s="4630"/>
      <c r="H4" s="4630"/>
    </row>
    <row r="5" spans="1:8" ht="12" customHeight="1">
      <c r="A5" s="4623" t="s">
        <v>583</v>
      </c>
      <c r="B5" s="4631"/>
      <c r="C5" s="4631"/>
      <c r="D5" s="4631"/>
      <c r="E5" s="4631"/>
      <c r="F5" s="4631"/>
      <c r="G5" s="4631"/>
      <c r="H5" s="4631"/>
    </row>
    <row r="6" spans="1:8" ht="21" customHeight="1">
      <c r="A6" s="140"/>
      <c r="B6" s="140"/>
      <c r="C6" s="140"/>
      <c r="D6" s="140"/>
      <c r="E6" s="140"/>
      <c r="F6" s="140"/>
      <c r="G6" s="140"/>
      <c r="H6" s="140"/>
    </row>
    <row r="7" spans="1:8" ht="14.25" customHeight="1">
      <c r="A7" s="399" t="s">
        <v>959</v>
      </c>
      <c r="B7" s="397"/>
      <c r="D7" s="134"/>
      <c r="E7" s="134"/>
      <c r="F7" s="134"/>
      <c r="G7" s="134"/>
      <c r="H7" s="134"/>
    </row>
    <row r="8" spans="1:8" ht="14.25" customHeight="1">
      <c r="A8" s="398"/>
      <c r="B8" s="757" t="s">
        <v>988</v>
      </c>
      <c r="D8" s="134"/>
      <c r="E8" s="134"/>
      <c r="F8" s="134"/>
      <c r="G8" s="134"/>
      <c r="H8" s="134"/>
    </row>
    <row r="9" spans="1:8" ht="15.75" customHeight="1">
      <c r="A9" s="398"/>
      <c r="B9" s="397"/>
      <c r="D9" s="134"/>
      <c r="E9" s="134"/>
      <c r="F9" s="134"/>
      <c r="G9" s="134"/>
      <c r="H9" s="134"/>
    </row>
    <row r="10" spans="1:8" ht="14.25" customHeight="1">
      <c r="A10" s="4624" t="s">
        <v>468</v>
      </c>
      <c r="B10" s="4625"/>
      <c r="C10" s="265" t="s">
        <v>467</v>
      </c>
      <c r="D10" s="264" t="s">
        <v>466</v>
      </c>
      <c r="E10" s="4632" t="s">
        <v>465</v>
      </c>
      <c r="F10" s="4633"/>
      <c r="G10" s="4634"/>
      <c r="H10" s="265" t="s">
        <v>464</v>
      </c>
    </row>
    <row r="11" spans="1:8" ht="14.25" customHeight="1">
      <c r="A11" s="4626"/>
      <c r="B11" s="4627"/>
      <c r="C11" s="261" t="s">
        <v>463</v>
      </c>
      <c r="D11" s="262" t="s">
        <v>573</v>
      </c>
      <c r="E11" s="503" t="s">
        <v>462</v>
      </c>
      <c r="F11" s="503" t="s">
        <v>461</v>
      </c>
      <c r="G11" s="262" t="s">
        <v>244</v>
      </c>
      <c r="H11" s="262">
        <v>2022</v>
      </c>
    </row>
    <row r="12" spans="1:8" ht="14.25" customHeight="1">
      <c r="A12" s="4628"/>
      <c r="B12" s="4629"/>
      <c r="C12" s="260"/>
      <c r="D12" s="258" t="s">
        <v>460</v>
      </c>
      <c r="E12" s="258" t="s">
        <v>460</v>
      </c>
      <c r="F12" s="258" t="s">
        <v>459</v>
      </c>
      <c r="G12" s="259"/>
      <c r="H12" s="258" t="s">
        <v>458</v>
      </c>
    </row>
    <row r="13" spans="1:8" ht="20.100000000000001" customHeight="1">
      <c r="A13" s="537" t="s">
        <v>456</v>
      </c>
      <c r="B13" s="566"/>
      <c r="C13" s="396"/>
      <c r="D13" s="396"/>
      <c r="E13" s="396"/>
      <c r="F13" s="536"/>
      <c r="G13" s="536"/>
      <c r="H13" s="536"/>
    </row>
    <row r="14" spans="1:8" ht="20.100000000000001" customHeight="1">
      <c r="A14" s="189" t="s">
        <v>407</v>
      </c>
      <c r="B14" s="987"/>
      <c r="C14" s="526"/>
      <c r="D14" s="535">
        <f>SUM(D15:D26)</f>
        <v>144967.38999999998</v>
      </c>
      <c r="E14" s="535">
        <f>SUM(E15:E26)</f>
        <v>124738.15</v>
      </c>
      <c r="F14" s="535">
        <f>SUM(F15:F26)</f>
        <v>142861.85</v>
      </c>
      <c r="G14" s="535">
        <f>SUM(G15:G26)</f>
        <v>267600</v>
      </c>
      <c r="H14" s="535">
        <f>SUM(H15:H26)</f>
        <v>0</v>
      </c>
    </row>
    <row r="15" spans="1:8" ht="17.100000000000001" customHeight="1" outlineLevel="1">
      <c r="A15" s="178" t="s">
        <v>574</v>
      </c>
      <c r="B15" s="185"/>
      <c r="C15" s="985" t="s">
        <v>405</v>
      </c>
      <c r="D15" s="984">
        <v>40612.959999999992</v>
      </c>
      <c r="E15" s="1107">
        <v>18982</v>
      </c>
      <c r="F15" s="1108">
        <f t="shared" ref="F15:F20" si="0">SUM(G15-E15)</f>
        <v>36018</v>
      </c>
      <c r="G15" s="1107">
        <v>55000</v>
      </c>
      <c r="H15" s="982">
        <v>0</v>
      </c>
    </row>
    <row r="16" spans="1:8" ht="17.100000000000001" customHeight="1" outlineLevel="1">
      <c r="A16" s="178" t="s">
        <v>404</v>
      </c>
      <c r="B16" s="177"/>
      <c r="C16" s="1039" t="s">
        <v>403</v>
      </c>
      <c r="D16" s="951">
        <v>26925</v>
      </c>
      <c r="E16" s="378">
        <v>12285</v>
      </c>
      <c r="F16" s="191">
        <f t="shared" si="0"/>
        <v>27715</v>
      </c>
      <c r="G16" s="389">
        <v>40000</v>
      </c>
      <c r="H16" s="157">
        <v>0</v>
      </c>
    </row>
    <row r="17" spans="1:11" ht="17.100000000000001" customHeight="1" outlineLevel="1">
      <c r="A17" s="178" t="s">
        <v>402</v>
      </c>
      <c r="B17" s="177"/>
      <c r="C17" s="1039" t="s">
        <v>401</v>
      </c>
      <c r="D17" s="951">
        <v>3459.75</v>
      </c>
      <c r="E17" s="378">
        <v>1350</v>
      </c>
      <c r="F17" s="191">
        <f t="shared" si="0"/>
        <v>8650</v>
      </c>
      <c r="G17" s="389">
        <v>10000</v>
      </c>
      <c r="H17" s="157">
        <v>0</v>
      </c>
    </row>
    <row r="18" spans="1:11" ht="17.100000000000001" customHeight="1" outlineLevel="1">
      <c r="A18" s="180" t="s">
        <v>397</v>
      </c>
      <c r="B18" s="179"/>
      <c r="C18" s="735" t="s">
        <v>396</v>
      </c>
      <c r="D18" s="951">
        <v>35439.679999999993</v>
      </c>
      <c r="E18" s="378">
        <v>18381.150000000001</v>
      </c>
      <c r="F18" s="191">
        <f t="shared" si="0"/>
        <v>11618.849999999999</v>
      </c>
      <c r="G18" s="389">
        <v>30000</v>
      </c>
      <c r="H18" s="157">
        <v>0</v>
      </c>
    </row>
    <row r="19" spans="1:11" ht="17.100000000000001" customHeight="1" outlineLevel="1">
      <c r="A19" s="178" t="s">
        <v>393</v>
      </c>
      <c r="B19" s="177"/>
      <c r="C19" s="1039" t="s">
        <v>392</v>
      </c>
      <c r="D19" s="951">
        <v>730</v>
      </c>
      <c r="E19" s="378">
        <v>160</v>
      </c>
      <c r="F19" s="191">
        <f t="shared" si="0"/>
        <v>4840</v>
      </c>
      <c r="G19" s="389">
        <v>5000</v>
      </c>
      <c r="H19" s="157">
        <v>0</v>
      </c>
    </row>
    <row r="20" spans="1:11" ht="17.100000000000001" customHeight="1" outlineLevel="1">
      <c r="A20" s="469" t="s">
        <v>389</v>
      </c>
      <c r="B20" s="468"/>
      <c r="C20" s="735" t="s">
        <v>388</v>
      </c>
      <c r="D20" s="951">
        <v>37800</v>
      </c>
      <c r="E20" s="378">
        <v>70280</v>
      </c>
      <c r="F20" s="191">
        <f t="shared" si="0"/>
        <v>47320</v>
      </c>
      <c r="G20" s="389">
        <v>117600</v>
      </c>
      <c r="H20" s="157">
        <v>0</v>
      </c>
      <c r="I20" s="723" t="s">
        <v>987</v>
      </c>
    </row>
    <row r="21" spans="1:11" ht="17.100000000000001" customHeight="1" outlineLevel="1">
      <c r="A21" s="166" t="s">
        <v>383</v>
      </c>
      <c r="B21" s="173"/>
      <c r="C21" s="345"/>
      <c r="D21" s="951"/>
      <c r="E21" s="378"/>
      <c r="F21" s="191"/>
      <c r="G21" s="974"/>
      <c r="H21" s="157"/>
    </row>
    <row r="22" spans="1:11" ht="17.100000000000001" customHeight="1" outlineLevel="1">
      <c r="A22" s="163"/>
      <c r="B22" s="164" t="s">
        <v>381</v>
      </c>
      <c r="C22" s="735" t="s">
        <v>380</v>
      </c>
      <c r="D22" s="951">
        <v>0</v>
      </c>
      <c r="E22" s="378">
        <v>3300</v>
      </c>
      <c r="F22" s="191">
        <f>SUM(G22-E22)</f>
        <v>1700</v>
      </c>
      <c r="G22" s="389">
        <v>5000</v>
      </c>
      <c r="H22" s="157">
        <v>0</v>
      </c>
    </row>
    <row r="23" spans="1:11" ht="17.100000000000001" customHeight="1" outlineLevel="1">
      <c r="A23" s="176" t="s">
        <v>368</v>
      </c>
      <c r="B23" s="175"/>
      <c r="C23" s="341" t="s">
        <v>367</v>
      </c>
      <c r="D23" s="951">
        <v>0</v>
      </c>
      <c r="E23" s="378">
        <v>0</v>
      </c>
      <c r="F23" s="191">
        <f>SUM(G23-E23)</f>
        <v>5000</v>
      </c>
      <c r="G23" s="389">
        <v>5000</v>
      </c>
      <c r="H23" s="157">
        <v>0</v>
      </c>
    </row>
    <row r="24" spans="1:11" s="344" customFormat="1" ht="17.100000000000001" customHeight="1" outlineLevel="1">
      <c r="A24" s="512"/>
      <c r="B24" s="973"/>
      <c r="C24" s="972"/>
      <c r="D24" s="951"/>
      <c r="E24" s="378"/>
      <c r="F24" s="191"/>
      <c r="G24" s="389"/>
      <c r="H24" s="157"/>
    </row>
    <row r="25" spans="1:11" s="344" customFormat="1" ht="17.100000000000001" customHeight="1" outlineLevel="1">
      <c r="A25" s="512"/>
      <c r="B25" s="511"/>
      <c r="C25" s="1132"/>
      <c r="D25" s="951"/>
      <c r="E25" s="378"/>
      <c r="F25" s="191"/>
      <c r="G25" s="389"/>
      <c r="H25" s="157"/>
    </row>
    <row r="26" spans="1:11" s="344" customFormat="1" ht="17.100000000000001" customHeight="1" outlineLevel="1">
      <c r="A26" s="508"/>
      <c r="B26" s="507"/>
      <c r="C26" s="970"/>
      <c r="D26" s="969"/>
      <c r="E26" s="968"/>
      <c r="F26" s="967"/>
      <c r="G26" s="966"/>
      <c r="H26" s="149"/>
    </row>
    <row r="27" spans="1:11" s="344" customFormat="1" ht="17.100000000000001" customHeight="1" outlineLevel="1" thickBot="1">
      <c r="A27" s="732" t="s">
        <v>366</v>
      </c>
      <c r="B27" s="731"/>
      <c r="C27" s="146"/>
      <c r="D27" s="456">
        <f>SUM(D14)</f>
        <v>144967.38999999998</v>
      </c>
      <c r="E27" s="456">
        <f>SUM(E14)</f>
        <v>124738.15</v>
      </c>
      <c r="F27" s="456">
        <f>SUM(F14)</f>
        <v>142861.85</v>
      </c>
      <c r="G27" s="456">
        <f>SUM(G14)</f>
        <v>267600</v>
      </c>
      <c r="H27" s="456">
        <f>SUM(H14)</f>
        <v>0</v>
      </c>
    </row>
    <row r="28" spans="1:11" s="134" customFormat="1" ht="19.149999999999999" customHeight="1" thickTop="1">
      <c r="A28" s="134" t="s">
        <v>948</v>
      </c>
      <c r="B28" s="453"/>
      <c r="C28" s="940" t="s">
        <v>947</v>
      </c>
      <c r="D28" s="940"/>
      <c r="E28" s="940"/>
      <c r="F28" s="939" t="s">
        <v>946</v>
      </c>
      <c r="G28" s="939"/>
      <c r="H28" s="939"/>
      <c r="I28" s="937"/>
    </row>
    <row r="29" spans="1:11" s="134" customFormat="1" ht="18" customHeight="1">
      <c r="C29" s="964"/>
      <c r="D29" s="344"/>
      <c r="E29" s="148"/>
      <c r="F29" s="148"/>
      <c r="G29" s="148"/>
      <c r="H29" s="344"/>
      <c r="I29" s="148"/>
    </row>
    <row r="30" spans="1:11" s="134" customFormat="1" ht="22.5" customHeight="1">
      <c r="A30" s="4651" t="s">
        <v>945</v>
      </c>
      <c r="B30" s="4651"/>
      <c r="C30" s="4635" t="s">
        <v>360</v>
      </c>
      <c r="D30" s="4635"/>
      <c r="E30" s="4635"/>
      <c r="F30" s="4630" t="s">
        <v>359</v>
      </c>
      <c r="G30" s="4630"/>
      <c r="H30" s="4630"/>
      <c r="I30" s="963"/>
      <c r="J30" s="936"/>
      <c r="K30" s="936"/>
    </row>
    <row r="31" spans="1:11" s="135" customFormat="1" ht="13.5">
      <c r="A31" s="4704" t="s">
        <v>944</v>
      </c>
      <c r="B31" s="4704"/>
      <c r="C31" s="4655" t="s">
        <v>357</v>
      </c>
      <c r="D31" s="4655"/>
      <c r="E31" s="4655"/>
      <c r="F31" s="4623" t="s">
        <v>356</v>
      </c>
      <c r="G31" s="4623"/>
      <c r="H31" s="4623"/>
      <c r="I31" s="962"/>
      <c r="J31" s="935"/>
      <c r="K31" s="935"/>
    </row>
    <row r="32" spans="1:11" s="135" customFormat="1" ht="13.5">
      <c r="A32" s="4704"/>
      <c r="B32" s="4704"/>
      <c r="C32" s="4655"/>
      <c r="D32" s="4655"/>
      <c r="E32" s="4655"/>
      <c r="G32" s="137"/>
      <c r="H32" s="137"/>
      <c r="I32" s="961"/>
      <c r="J32" s="137"/>
      <c r="K32" s="137"/>
    </row>
    <row r="33" spans="3:9">
      <c r="C33" s="135"/>
      <c r="D33" s="137"/>
      <c r="E33" s="137"/>
      <c r="F33" s="137"/>
      <c r="G33" s="137"/>
      <c r="H33" s="137"/>
      <c r="I33" s="344"/>
    </row>
  </sheetData>
  <mergeCells count="12">
    <mergeCell ref="C32:E32"/>
    <mergeCell ref="A31:B31"/>
    <mergeCell ref="C31:E31"/>
    <mergeCell ref="F31:H31"/>
    <mergeCell ref="A10:B12"/>
    <mergeCell ref="A32:B32"/>
    <mergeCell ref="A4:H4"/>
    <mergeCell ref="A5:H5"/>
    <mergeCell ref="E10:G10"/>
    <mergeCell ref="A30:B30"/>
    <mergeCell ref="C30:E30"/>
    <mergeCell ref="F30:H30"/>
  </mergeCells>
  <pageMargins left="0.5" right="0" top="0.25" bottom="0" header="0.5" footer="0"/>
  <pageSetup paperSize="5"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3"/>
  <sheetViews>
    <sheetView showGridLines="0" showOutlineSymbols="0" workbookViewId="0">
      <selection activeCell="I1" sqref="I1:I1048576"/>
    </sheetView>
  </sheetViews>
  <sheetFormatPr defaultColWidth="12.5703125" defaultRowHeight="15.75" outlineLevelRow="1" outlineLevelCol="2"/>
  <cols>
    <col min="1" max="1" width="1.85546875" style="363" customWidth="1"/>
    <col min="2" max="2" width="33.42578125" style="363" customWidth="1"/>
    <col min="3" max="3" width="10.7109375" style="363" customWidth="1"/>
    <col min="4" max="4" width="9.42578125" style="363" customWidth="1"/>
    <col min="5" max="8" width="10.7109375" style="363" customWidth="1"/>
    <col min="9" max="9" width="14.140625" style="363" hidden="1" customWidth="1"/>
    <col min="10" max="48" width="12.5703125" style="363"/>
    <col min="49" max="53" width="12.5703125" style="363" outlineLevel="1"/>
    <col min="54" max="59" width="12.5703125" style="363" outlineLevel="2"/>
    <col min="60" max="62" width="12.5703125" style="363" outlineLevel="1"/>
    <col min="63" max="82" width="12.5703125" style="363"/>
    <col min="83" max="86" width="12.5703125" style="363" outlineLevel="1"/>
    <col min="87" max="134" width="12.5703125" style="363"/>
    <col min="135" max="140" width="12.5703125" style="363" outlineLevel="1"/>
    <col min="141" max="146" width="12.5703125" style="363" outlineLevel="2"/>
    <col min="147" max="149" width="12.5703125" style="363" outlineLevel="1"/>
    <col min="150" max="16384" width="12.5703125" style="363"/>
  </cols>
  <sheetData>
    <row r="1" spans="1:8">
      <c r="A1" s="713" t="s">
        <v>473</v>
      </c>
      <c r="B1" s="579"/>
      <c r="C1" s="579"/>
      <c r="E1" s="713"/>
      <c r="H1" s="713"/>
    </row>
    <row r="2" spans="1:8" ht="14.25" customHeight="1">
      <c r="A2" s="712" t="s">
        <v>584</v>
      </c>
      <c r="B2" s="579"/>
      <c r="C2" s="579"/>
      <c r="E2" s="712"/>
      <c r="H2" s="712"/>
    </row>
    <row r="3" spans="1:8" ht="14.25" customHeight="1">
      <c r="A3" s="579"/>
      <c r="B3" s="579"/>
      <c r="C3" s="579"/>
      <c r="E3" s="712"/>
      <c r="F3" s="712"/>
      <c r="H3" s="712"/>
    </row>
    <row r="4" spans="1:8" ht="14.25" customHeight="1">
      <c r="A4" s="4713" t="s">
        <v>471</v>
      </c>
      <c r="B4" s="4713"/>
      <c r="C4" s="4713"/>
      <c r="D4" s="4713"/>
      <c r="E4" s="4713"/>
      <c r="F4" s="4713"/>
      <c r="G4" s="4713"/>
      <c r="H4" s="4713"/>
    </row>
    <row r="5" spans="1:8" ht="12" customHeight="1">
      <c r="A5" s="4714" t="s">
        <v>583</v>
      </c>
      <c r="B5" s="4664"/>
      <c r="C5" s="4664"/>
      <c r="D5" s="4664"/>
      <c r="E5" s="4664"/>
      <c r="F5" s="4664"/>
      <c r="G5" s="4664"/>
      <c r="H5" s="4664"/>
    </row>
    <row r="6" spans="1:8" ht="21" customHeight="1">
      <c r="A6" s="707"/>
      <c r="B6" s="707"/>
      <c r="C6" s="707"/>
      <c r="D6" s="707"/>
      <c r="E6" s="707"/>
      <c r="F6" s="707"/>
      <c r="G6" s="707"/>
      <c r="H6" s="707"/>
    </row>
    <row r="7" spans="1:8" ht="14.25" customHeight="1">
      <c r="A7" s="1094" t="s">
        <v>959</v>
      </c>
      <c r="B7" s="701"/>
      <c r="D7" s="579"/>
      <c r="E7" s="579"/>
      <c r="F7" s="579"/>
      <c r="G7" s="579"/>
      <c r="H7" s="579"/>
    </row>
    <row r="8" spans="1:8" ht="14.25" customHeight="1">
      <c r="A8" s="1092"/>
      <c r="B8" s="1093" t="s">
        <v>989</v>
      </c>
      <c r="D8" s="579"/>
      <c r="E8" s="579"/>
      <c r="F8" s="579"/>
      <c r="G8" s="579"/>
      <c r="H8" s="579"/>
    </row>
    <row r="9" spans="1:8" ht="15.75" customHeight="1">
      <c r="A9" s="1092"/>
      <c r="B9" s="701"/>
      <c r="D9" s="579"/>
      <c r="E9" s="579"/>
      <c r="F9" s="579"/>
      <c r="G9" s="579"/>
      <c r="H9" s="579"/>
    </row>
    <row r="10" spans="1:8" ht="14.25" customHeight="1">
      <c r="A10" s="4715" t="s">
        <v>468</v>
      </c>
      <c r="B10" s="4716"/>
      <c r="C10" s="264" t="s">
        <v>467</v>
      </c>
      <c r="D10" s="264" t="s">
        <v>466</v>
      </c>
      <c r="E10" s="4632" t="s">
        <v>465</v>
      </c>
      <c r="F10" s="4633"/>
      <c r="G10" s="4634"/>
      <c r="H10" s="265" t="s">
        <v>464</v>
      </c>
    </row>
    <row r="11" spans="1:8" ht="14.25" customHeight="1">
      <c r="A11" s="4717"/>
      <c r="B11" s="4718"/>
      <c r="C11" s="1091" t="s">
        <v>463</v>
      </c>
      <c r="D11" s="262" t="s">
        <v>573</v>
      </c>
      <c r="E11" s="503" t="s">
        <v>462</v>
      </c>
      <c r="F11" s="503" t="s">
        <v>461</v>
      </c>
      <c r="G11" s="262" t="s">
        <v>244</v>
      </c>
      <c r="H11" s="262">
        <v>2022</v>
      </c>
    </row>
    <row r="12" spans="1:8" ht="14.25" customHeight="1">
      <c r="A12" s="4719"/>
      <c r="B12" s="4720"/>
      <c r="C12" s="1090"/>
      <c r="D12" s="258" t="s">
        <v>460</v>
      </c>
      <c r="E12" s="258" t="s">
        <v>460</v>
      </c>
      <c r="F12" s="258" t="s">
        <v>459</v>
      </c>
      <c r="G12" s="259"/>
      <c r="H12" s="258" t="s">
        <v>458</v>
      </c>
    </row>
    <row r="13" spans="1:8" ht="20.100000000000001" customHeight="1">
      <c r="A13" s="1089" t="s">
        <v>456</v>
      </c>
      <c r="B13" s="1088"/>
      <c r="C13" s="253"/>
      <c r="D13" s="253"/>
      <c r="E13" s="253"/>
      <c r="F13" s="1087"/>
      <c r="G13" s="1087"/>
      <c r="H13" s="1087"/>
    </row>
    <row r="14" spans="1:8" ht="20.100000000000001" customHeight="1">
      <c r="A14" s="1086" t="s">
        <v>407</v>
      </c>
      <c r="B14" s="1085"/>
      <c r="C14" s="1084"/>
      <c r="D14" s="479">
        <f>SUM(D15:D26)</f>
        <v>0</v>
      </c>
      <c r="E14" s="479">
        <f>SUM(E15:E26)</f>
        <v>0</v>
      </c>
      <c r="F14" s="479">
        <f>SUM(F15:F26)</f>
        <v>0</v>
      </c>
      <c r="G14" s="479">
        <f>SUM(G15:G26)</f>
        <v>0</v>
      </c>
      <c r="H14" s="479">
        <f>SUM(H15:H26)</f>
        <v>0</v>
      </c>
    </row>
    <row r="15" spans="1:8" ht="17.100000000000001" customHeight="1" outlineLevel="1">
      <c r="A15" s="1134" t="s">
        <v>646</v>
      </c>
      <c r="B15" s="1135"/>
      <c r="C15" s="735" t="s">
        <v>405</v>
      </c>
      <c r="D15" s="1034"/>
      <c r="E15" s="1076"/>
      <c r="F15" s="547">
        <f t="shared" ref="F15:F20" si="0">SUM(G15-E15)</f>
        <v>0</v>
      </c>
      <c r="G15" s="157"/>
      <c r="H15" s="157"/>
    </row>
    <row r="16" spans="1:8" ht="17.100000000000001" customHeight="1" outlineLevel="1">
      <c r="A16" s="1134" t="s">
        <v>704</v>
      </c>
      <c r="B16" s="1133"/>
      <c r="C16" s="1039" t="s">
        <v>403</v>
      </c>
      <c r="D16" s="1034"/>
      <c r="E16" s="1076"/>
      <c r="F16" s="547">
        <f t="shared" si="0"/>
        <v>0</v>
      </c>
      <c r="G16" s="157"/>
      <c r="H16" s="157"/>
    </row>
    <row r="17" spans="1:11" ht="17.100000000000001" customHeight="1" outlineLevel="1">
      <c r="A17" s="1134" t="s">
        <v>402</v>
      </c>
      <c r="B17" s="1133"/>
      <c r="C17" s="1039" t="s">
        <v>401</v>
      </c>
      <c r="D17" s="1034"/>
      <c r="E17" s="1076"/>
      <c r="F17" s="547">
        <f t="shared" si="0"/>
        <v>0</v>
      </c>
      <c r="G17" s="743"/>
      <c r="H17" s="157"/>
    </row>
    <row r="18" spans="1:11" ht="17.100000000000001" customHeight="1" outlineLevel="1">
      <c r="A18" s="1083" t="s">
        <v>397</v>
      </c>
      <c r="B18" s="468"/>
      <c r="C18" s="735" t="s">
        <v>396</v>
      </c>
      <c r="D18" s="1034"/>
      <c r="E18" s="1076"/>
      <c r="F18" s="547">
        <f t="shared" si="0"/>
        <v>0</v>
      </c>
      <c r="G18" s="743"/>
      <c r="H18" s="157"/>
    </row>
    <row r="19" spans="1:11" ht="17.100000000000001" customHeight="1" outlineLevel="1">
      <c r="A19" s="469" t="s">
        <v>389</v>
      </c>
      <c r="B19" s="468"/>
      <c r="C19" s="979" t="s">
        <v>388</v>
      </c>
      <c r="D19" s="1034"/>
      <c r="E19" s="1076"/>
      <c r="F19" s="547">
        <f t="shared" si="0"/>
        <v>0</v>
      </c>
      <c r="G19" s="743"/>
      <c r="H19" s="157"/>
      <c r="I19" s="1082" t="s">
        <v>974</v>
      </c>
    </row>
    <row r="20" spans="1:11" s="579" customFormat="1" ht="17.100000000000001" customHeight="1" outlineLevel="1">
      <c r="A20" s="469" t="s">
        <v>368</v>
      </c>
      <c r="B20" s="468"/>
      <c r="C20" s="1037" t="s">
        <v>367</v>
      </c>
      <c r="D20" s="1034"/>
      <c r="E20" s="1076"/>
      <c r="F20" s="547">
        <f t="shared" si="0"/>
        <v>0</v>
      </c>
      <c r="G20" s="743"/>
      <c r="H20" s="157"/>
    </row>
    <row r="21" spans="1:11" ht="17.100000000000001" customHeight="1" outlineLevel="1">
      <c r="A21" s="1081"/>
      <c r="B21" s="1080"/>
      <c r="C21" s="1079"/>
      <c r="D21" s="1034"/>
      <c r="E21" s="1076"/>
      <c r="F21" s="547"/>
      <c r="G21" s="646"/>
      <c r="H21" s="157"/>
    </row>
    <row r="22" spans="1:11" ht="17.100000000000001" customHeight="1" outlineLevel="1">
      <c r="A22" s="1081"/>
      <c r="B22" s="1080"/>
      <c r="C22" s="530"/>
      <c r="D22" s="1034"/>
      <c r="E22" s="1076"/>
      <c r="F22" s="547"/>
      <c r="G22" s="743"/>
      <c r="H22" s="157"/>
    </row>
    <row r="23" spans="1:11" ht="17.100000000000001" customHeight="1" outlineLevel="1">
      <c r="A23" s="469"/>
      <c r="B23" s="468"/>
      <c r="C23" s="1079"/>
      <c r="D23" s="1034"/>
      <c r="E23" s="1076"/>
      <c r="F23" s="547"/>
      <c r="G23" s="743"/>
      <c r="H23" s="157"/>
    </row>
    <row r="24" spans="1:11" s="490" customFormat="1" ht="17.100000000000001" customHeight="1" outlineLevel="1">
      <c r="A24" s="517"/>
      <c r="B24" s="1078"/>
      <c r="C24" s="1077"/>
      <c r="D24" s="1034"/>
      <c r="E24" s="1076"/>
      <c r="F24" s="547"/>
      <c r="G24" s="743"/>
      <c r="H24" s="157"/>
    </row>
    <row r="25" spans="1:11" s="490" customFormat="1" ht="17.100000000000001" customHeight="1" outlineLevel="1">
      <c r="A25" s="517"/>
      <c r="B25" s="516"/>
      <c r="C25" s="971"/>
      <c r="D25" s="1034"/>
      <c r="E25" s="1076"/>
      <c r="F25" s="547"/>
      <c r="G25" s="743"/>
      <c r="H25" s="157"/>
    </row>
    <row r="26" spans="1:11" s="490" customFormat="1" ht="17.100000000000001" customHeight="1" outlineLevel="1">
      <c r="A26" s="508"/>
      <c r="B26" s="1075"/>
      <c r="C26" s="970"/>
      <c r="D26" s="1074"/>
      <c r="E26" s="1073"/>
      <c r="F26" s="1072"/>
      <c r="G26" s="1071"/>
      <c r="H26" s="149"/>
    </row>
    <row r="27" spans="1:11" s="490" customFormat="1" ht="17.100000000000001" customHeight="1" outlineLevel="1" thickBot="1">
      <c r="A27" s="1070" t="s">
        <v>366</v>
      </c>
      <c r="B27" s="1069"/>
      <c r="C27" s="1068"/>
      <c r="D27" s="455">
        <f>SUM(D14)</f>
        <v>0</v>
      </c>
      <c r="E27" s="455">
        <f>SUM(E14)</f>
        <v>0</v>
      </c>
      <c r="F27" s="1067">
        <f>SUM(F14)</f>
        <v>0</v>
      </c>
      <c r="G27" s="455">
        <f>SUM(G14)</f>
        <v>0</v>
      </c>
      <c r="H27" s="455">
        <f>SUM(H14)</f>
        <v>0</v>
      </c>
    </row>
    <row r="28" spans="1:11" s="579" customFormat="1" ht="19.149999999999999" customHeight="1" thickTop="1">
      <c r="A28" s="579" t="s">
        <v>948</v>
      </c>
      <c r="B28" s="698"/>
      <c r="C28" s="1066" t="s">
        <v>947</v>
      </c>
      <c r="D28" s="1066"/>
      <c r="E28" s="1066"/>
      <c r="F28" s="1065" t="s">
        <v>946</v>
      </c>
      <c r="G28" s="1065"/>
      <c r="H28" s="1065"/>
      <c r="I28" s="1064"/>
    </row>
    <row r="29" spans="1:11" s="579" customFormat="1" ht="18" customHeight="1">
      <c r="C29" s="1063"/>
      <c r="D29" s="490"/>
      <c r="E29" s="225"/>
      <c r="F29" s="225"/>
      <c r="G29" s="225"/>
      <c r="H29" s="490"/>
      <c r="I29" s="225"/>
    </row>
    <row r="30" spans="1:11" s="579" customFormat="1" ht="22.5" customHeight="1">
      <c r="A30" s="4651" t="s">
        <v>945</v>
      </c>
      <c r="B30" s="4651"/>
      <c r="C30" s="4635" t="s">
        <v>360</v>
      </c>
      <c r="D30" s="4635"/>
      <c r="E30" s="4635"/>
      <c r="F30" s="4630" t="s">
        <v>359</v>
      </c>
      <c r="G30" s="4630"/>
      <c r="H30" s="4630"/>
      <c r="I30" s="1062"/>
      <c r="J30" s="1061"/>
      <c r="K30" s="1061"/>
    </row>
    <row r="31" spans="1:11" s="1056" customFormat="1" ht="13.5">
      <c r="A31" s="4704" t="s">
        <v>944</v>
      </c>
      <c r="B31" s="4704"/>
      <c r="C31" s="4655" t="s">
        <v>357</v>
      </c>
      <c r="D31" s="4655"/>
      <c r="E31" s="4655"/>
      <c r="F31" s="4623" t="s">
        <v>356</v>
      </c>
      <c r="G31" s="4623"/>
      <c r="H31" s="4623"/>
      <c r="I31" s="1060"/>
      <c r="J31" s="1059"/>
      <c r="K31" s="1059"/>
    </row>
    <row r="32" spans="1:11" s="1056" customFormat="1" ht="13.5">
      <c r="A32" s="4704"/>
      <c r="B32" s="4704"/>
      <c r="C32" s="4655"/>
      <c r="D32" s="4655"/>
      <c r="E32" s="4655"/>
      <c r="F32" s="135"/>
      <c r="G32" s="137"/>
      <c r="H32" s="137"/>
      <c r="I32" s="1058"/>
      <c r="J32" s="1057"/>
      <c r="K32" s="1057"/>
    </row>
    <row r="33" spans="3:9">
      <c r="C33" s="135"/>
      <c r="D33" s="137"/>
      <c r="E33" s="137"/>
      <c r="F33" s="137"/>
      <c r="G33" s="137"/>
      <c r="H33" s="137"/>
      <c r="I33" s="490"/>
    </row>
  </sheetData>
  <mergeCells count="12">
    <mergeCell ref="A32:B32"/>
    <mergeCell ref="C32:E32"/>
    <mergeCell ref="A4:H4"/>
    <mergeCell ref="A5:H5"/>
    <mergeCell ref="A10:B12"/>
    <mergeCell ref="E10:G10"/>
    <mergeCell ref="A30:B30"/>
    <mergeCell ref="C30:E30"/>
    <mergeCell ref="F30:H30"/>
    <mergeCell ref="A31:B31"/>
    <mergeCell ref="C31:E31"/>
    <mergeCell ref="F31:H31"/>
  </mergeCells>
  <pageMargins left="0.5" right="0" top="0.25" bottom="0" header="0.5" footer="0"/>
  <pageSetup paperSize="5"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R82"/>
  <sheetViews>
    <sheetView showGridLines="0" showOutlineSymbols="0" zoomScale="110" zoomScaleNormal="110" workbookViewId="0">
      <selection activeCell="A17" sqref="A17"/>
    </sheetView>
  </sheetViews>
  <sheetFormatPr defaultColWidth="12.5703125" defaultRowHeight="12.75" outlineLevelRow="2" outlineLevelCol="2"/>
  <cols>
    <col min="1" max="1" width="1.85546875" style="134" customWidth="1"/>
    <col min="2" max="2" width="34.140625" style="134" customWidth="1"/>
    <col min="3" max="4" width="10.7109375" style="134" customWidth="1"/>
    <col min="5" max="5" width="11.28515625" style="134" customWidth="1"/>
    <col min="6" max="6" width="10.42578125" style="134" customWidth="1"/>
    <col min="7" max="7" width="10.7109375" style="134" customWidth="1"/>
    <col min="8" max="8" width="11.28515625" style="134" customWidth="1"/>
    <col min="9" max="9" width="13.140625" style="134" hidden="1" customWidth="1"/>
    <col min="10" max="19" width="0" style="134" hidden="1" customWidth="1"/>
    <col min="20" max="47" width="12.5703125" style="134"/>
    <col min="48" max="52" width="12.5703125" style="134" outlineLevel="1"/>
    <col min="53" max="58" width="12.5703125" style="134" outlineLevel="2"/>
    <col min="59" max="61" width="12.5703125" style="134" outlineLevel="1"/>
    <col min="62" max="81" width="12.5703125" style="134"/>
    <col min="82" max="85" width="12.5703125" style="134" outlineLevel="1"/>
    <col min="86" max="133" width="12.5703125" style="134"/>
    <col min="134" max="139" width="12.5703125" style="134" outlineLevel="1"/>
    <col min="140" max="145" width="12.5703125" style="134" outlineLevel="2"/>
    <col min="146" max="148" width="12.5703125" style="134" outlineLevel="1"/>
    <col min="149" max="16384" width="12.5703125" style="134"/>
  </cols>
  <sheetData>
    <row r="1" spans="1:12" s="268" customFormat="1" ht="10.5" customHeight="1">
      <c r="A1" s="271" t="s">
        <v>473</v>
      </c>
    </row>
    <row r="2" spans="1:12" s="268" customFormat="1" ht="10.5" customHeight="1">
      <c r="A2" s="270" t="s">
        <v>472</v>
      </c>
      <c r="E2" s="269"/>
      <c r="G2" s="269"/>
      <c r="H2" s="269"/>
    </row>
    <row r="3" spans="1:12" ht="15.75" customHeight="1">
      <c r="A3" s="4630" t="s">
        <v>471</v>
      </c>
      <c r="B3" s="4630"/>
      <c r="C3" s="4630"/>
      <c r="D3" s="4630"/>
      <c r="E3" s="4630"/>
      <c r="F3" s="4630"/>
      <c r="G3" s="4630"/>
      <c r="H3" s="4630"/>
    </row>
    <row r="4" spans="1:12" ht="10.5" customHeight="1">
      <c r="A4" s="4631" t="s">
        <v>470</v>
      </c>
      <c r="B4" s="4631"/>
      <c r="C4" s="4631"/>
      <c r="D4" s="4631"/>
      <c r="E4" s="4631"/>
      <c r="F4" s="4631"/>
      <c r="G4" s="4631"/>
      <c r="H4" s="4631"/>
    </row>
    <row r="5" spans="1:12" ht="15.75" customHeight="1">
      <c r="A5" s="266" t="s">
        <v>469</v>
      </c>
    </row>
    <row r="6" spans="1:12" ht="7.5" customHeight="1">
      <c r="A6" s="267"/>
      <c r="B6" s="266"/>
    </row>
    <row r="7" spans="1:12" ht="14.85" customHeight="1">
      <c r="A7" s="4624" t="s">
        <v>468</v>
      </c>
      <c r="B7" s="4625"/>
      <c r="C7" s="265" t="s">
        <v>467</v>
      </c>
      <c r="D7" s="264" t="s">
        <v>466</v>
      </c>
      <c r="E7" s="4632" t="s">
        <v>465</v>
      </c>
      <c r="F7" s="4633"/>
      <c r="G7" s="4634"/>
      <c r="H7" s="265" t="s">
        <v>464</v>
      </c>
      <c r="I7" s="264" t="s">
        <v>464</v>
      </c>
    </row>
    <row r="8" spans="1:12" ht="14.85" customHeight="1">
      <c r="A8" s="4626"/>
      <c r="B8" s="4627"/>
      <c r="C8" s="261" t="s">
        <v>463</v>
      </c>
      <c r="D8" s="261">
        <v>2020</v>
      </c>
      <c r="E8" s="263" t="s">
        <v>462</v>
      </c>
      <c r="F8" s="263" t="s">
        <v>461</v>
      </c>
      <c r="G8" s="262" t="s">
        <v>244</v>
      </c>
      <c r="H8" s="261">
        <v>2022</v>
      </c>
      <c r="I8" s="261">
        <v>2022</v>
      </c>
    </row>
    <row r="9" spans="1:12" ht="14.85" customHeight="1">
      <c r="A9" s="4628"/>
      <c r="B9" s="4629"/>
      <c r="C9" s="260"/>
      <c r="D9" s="258" t="s">
        <v>460</v>
      </c>
      <c r="E9" s="258" t="s">
        <v>460</v>
      </c>
      <c r="F9" s="258" t="s">
        <v>459</v>
      </c>
      <c r="G9" s="259"/>
      <c r="H9" s="258" t="s">
        <v>458</v>
      </c>
      <c r="I9" s="257" t="s">
        <v>457</v>
      </c>
      <c r="J9" s="256">
        <v>0.1</v>
      </c>
      <c r="K9" s="148"/>
      <c r="L9" s="148"/>
    </row>
    <row r="10" spans="1:12" ht="14.85" customHeight="1">
      <c r="A10" s="255" t="s">
        <v>456</v>
      </c>
      <c r="B10" s="251"/>
      <c r="C10" s="254"/>
      <c r="D10" s="221"/>
      <c r="E10" s="221"/>
      <c r="F10" s="251"/>
      <c r="G10" s="251"/>
      <c r="H10" s="251"/>
      <c r="I10" s="253"/>
      <c r="J10" s="241"/>
      <c r="K10" s="148"/>
      <c r="L10" s="148"/>
    </row>
    <row r="11" spans="1:12" ht="15.95" customHeight="1">
      <c r="A11" s="252" t="s">
        <v>455</v>
      </c>
      <c r="B11" s="251"/>
      <c r="C11" s="250"/>
      <c r="D11" s="249">
        <f>SUM(D13:D35)</f>
        <v>9824203.1799999997</v>
      </c>
      <c r="E11" s="249">
        <f>SUM(E13:E35)</f>
        <v>4835204.120000001</v>
      </c>
      <c r="F11" s="249">
        <f>SUM(F13:F35)</f>
        <v>7108949.879999999</v>
      </c>
      <c r="G11" s="249">
        <f>SUM(G13:G35)</f>
        <v>11944154</v>
      </c>
      <c r="H11" s="249">
        <f>SUM(H13:H35)</f>
        <v>12152078</v>
      </c>
      <c r="I11" s="249">
        <f>SUM(I13:I34)</f>
        <v>12152078</v>
      </c>
      <c r="J11" s="248"/>
      <c r="K11" s="148"/>
      <c r="L11" s="148"/>
    </row>
    <row r="12" spans="1:12" ht="14.1" customHeight="1" outlineLevel="1">
      <c r="A12" s="215" t="s">
        <v>454</v>
      </c>
      <c r="B12" s="247"/>
      <c r="C12" s="246"/>
      <c r="D12" s="245"/>
      <c r="E12" s="244"/>
      <c r="F12" s="243"/>
      <c r="G12" s="243"/>
      <c r="H12" s="243"/>
      <c r="I12" s="242"/>
      <c r="J12" s="241"/>
      <c r="K12" s="148"/>
      <c r="L12" s="148"/>
    </row>
    <row r="13" spans="1:12" ht="14.1" customHeight="1" outlineLevel="1">
      <c r="A13" s="166" t="s">
        <v>426</v>
      </c>
      <c r="B13" s="148"/>
      <c r="C13" s="208" t="s">
        <v>453</v>
      </c>
      <c r="D13" s="195">
        <v>5651273.3700000001</v>
      </c>
      <c r="E13" s="150">
        <v>3214633.3000000007</v>
      </c>
      <c r="F13" s="150">
        <f>SUM(G13-E13)</f>
        <v>3953566.6999999993</v>
      </c>
      <c r="G13" s="193">
        <v>7168200</v>
      </c>
      <c r="H13" s="240">
        <f>'plantilla new'!H50</f>
        <v>7058316</v>
      </c>
      <c r="I13" s="240">
        <f>'plantilla new'!K50</f>
        <v>7058316</v>
      </c>
      <c r="J13" s="221">
        <f>SUM(H13*0.1)</f>
        <v>705831.60000000009</v>
      </c>
      <c r="K13" s="148"/>
      <c r="L13" s="148"/>
    </row>
    <row r="14" spans="1:12" ht="14.1" customHeight="1" outlineLevel="1">
      <c r="A14" s="215" t="s">
        <v>452</v>
      </c>
      <c r="B14" s="148"/>
      <c r="C14" s="208"/>
      <c r="D14" s="195"/>
      <c r="E14" s="150"/>
      <c r="F14" s="150"/>
      <c r="G14" s="234"/>
      <c r="H14" s="240"/>
      <c r="I14" s="240"/>
      <c r="J14" s="224"/>
      <c r="K14" s="148"/>
      <c r="L14" s="148"/>
    </row>
    <row r="15" spans="1:12" ht="14.1" customHeight="1" outlineLevel="1">
      <c r="A15" s="178" t="s">
        <v>451</v>
      </c>
      <c r="B15" s="207"/>
      <c r="C15" s="208" t="s">
        <v>450</v>
      </c>
      <c r="D15" s="195">
        <v>451161.3</v>
      </c>
      <c r="E15" s="150">
        <v>259928.57</v>
      </c>
      <c r="F15" s="150">
        <f t="shared" ref="F15:F23" si="0">SUM(G15-E15)</f>
        <v>316071.43</v>
      </c>
      <c r="G15" s="233">
        <v>576000</v>
      </c>
      <c r="H15" s="233">
        <f>'plantilla new'!B50*2000*12</f>
        <v>576000</v>
      </c>
      <c r="I15" s="233">
        <f>'plantilla new'!B50*2000*12</f>
        <v>576000</v>
      </c>
      <c r="J15" s="224"/>
      <c r="K15" s="148"/>
      <c r="L15" s="148"/>
    </row>
    <row r="16" spans="1:12" ht="14.1" customHeight="1" outlineLevel="1">
      <c r="A16" s="178" t="s">
        <v>449</v>
      </c>
      <c r="B16" s="207"/>
      <c r="C16" s="213" t="s">
        <v>448</v>
      </c>
      <c r="D16" s="195">
        <v>51062.5</v>
      </c>
      <c r="E16" s="150">
        <v>42750</v>
      </c>
      <c r="F16" s="150">
        <f t="shared" si="0"/>
        <v>42750</v>
      </c>
      <c r="G16" s="233">
        <v>85500</v>
      </c>
      <c r="H16" s="239">
        <f>7125*12</f>
        <v>85500</v>
      </c>
      <c r="I16" s="239">
        <f>7125*12</f>
        <v>85500</v>
      </c>
      <c r="J16" s="224"/>
      <c r="K16" s="211"/>
      <c r="L16" s="148"/>
    </row>
    <row r="17" spans="1:18" ht="14.1" customHeight="1" outlineLevel="1">
      <c r="A17" s="178" t="s">
        <v>447</v>
      </c>
      <c r="B17" s="207"/>
      <c r="C17" s="213" t="s">
        <v>446</v>
      </c>
      <c r="D17" s="195">
        <v>51062.5</v>
      </c>
      <c r="E17" s="150">
        <v>42750</v>
      </c>
      <c r="F17" s="150">
        <f t="shared" si="0"/>
        <v>42750</v>
      </c>
      <c r="G17" s="233">
        <v>85500</v>
      </c>
      <c r="H17" s="239">
        <f>7125*12</f>
        <v>85500</v>
      </c>
      <c r="I17" s="239">
        <f>7125*12</f>
        <v>85500</v>
      </c>
      <c r="J17" s="224"/>
    </row>
    <row r="18" spans="1:18" ht="14.1" customHeight="1" outlineLevel="1">
      <c r="A18" s="178" t="s">
        <v>445</v>
      </c>
      <c r="B18" s="207"/>
      <c r="C18" s="213" t="s">
        <v>444</v>
      </c>
      <c r="D18" s="195">
        <v>120000</v>
      </c>
      <c r="E18" s="150">
        <v>114000</v>
      </c>
      <c r="F18" s="150">
        <f t="shared" si="0"/>
        <v>30000</v>
      </c>
      <c r="G18" s="233">
        <v>144000</v>
      </c>
      <c r="H18" s="233">
        <f>'plantilla new'!B50*6000</f>
        <v>144000</v>
      </c>
      <c r="I18" s="233">
        <f>'plantilla new'!B50*6000</f>
        <v>144000</v>
      </c>
      <c r="J18" s="224"/>
    </row>
    <row r="19" spans="1:18" ht="14.1" customHeight="1" outlineLevel="1">
      <c r="A19" s="178" t="s">
        <v>443</v>
      </c>
      <c r="B19" s="207"/>
      <c r="C19" s="213" t="s">
        <v>442</v>
      </c>
      <c r="D19" s="195">
        <v>0</v>
      </c>
      <c r="E19" s="150">
        <v>0</v>
      </c>
      <c r="F19" s="150">
        <f t="shared" si="0"/>
        <v>12000</v>
      </c>
      <c r="G19" s="233">
        <v>12000</v>
      </c>
      <c r="H19" s="233">
        <v>0</v>
      </c>
      <c r="I19" s="233">
        <v>0</v>
      </c>
      <c r="J19" s="224"/>
    </row>
    <row r="20" spans="1:18" s="235" customFormat="1" ht="14.1" customHeight="1" outlineLevel="1">
      <c r="A20" s="178" t="s">
        <v>441</v>
      </c>
      <c r="B20" s="177"/>
      <c r="C20" s="213" t="s">
        <v>440</v>
      </c>
      <c r="D20" s="160">
        <v>104173.59</v>
      </c>
      <c r="E20" s="238">
        <v>182477.64</v>
      </c>
      <c r="F20" s="150">
        <f t="shared" si="0"/>
        <v>617522.36</v>
      </c>
      <c r="G20" s="237">
        <v>800000</v>
      </c>
      <c r="H20" s="236">
        <v>800000</v>
      </c>
      <c r="I20" s="236">
        <f>H20</f>
        <v>800000</v>
      </c>
      <c r="J20" s="224"/>
      <c r="K20" s="220"/>
      <c r="L20" s="225"/>
      <c r="M20" s="225"/>
      <c r="N20" s="134"/>
      <c r="O20" s="134"/>
      <c r="P20" s="134"/>
      <c r="Q20" s="148"/>
      <c r="R20" s="134"/>
    </row>
    <row r="21" spans="1:18" ht="14.1" customHeight="1" outlineLevel="1">
      <c r="A21" s="178" t="s">
        <v>424</v>
      </c>
      <c r="B21" s="207"/>
      <c r="C21" s="208" t="s">
        <v>439</v>
      </c>
      <c r="D21" s="195">
        <v>522915</v>
      </c>
      <c r="E21" s="150">
        <v>0</v>
      </c>
      <c r="F21" s="150">
        <f t="shared" si="0"/>
        <v>597350</v>
      </c>
      <c r="G21" s="234">
        <v>597350</v>
      </c>
      <c r="H21" s="234">
        <f>H13/12</f>
        <v>588193</v>
      </c>
      <c r="I21" s="234">
        <f>I13/12</f>
        <v>588193</v>
      </c>
      <c r="J21" s="221">
        <f>SUM(H21*0.1)</f>
        <v>58819.3</v>
      </c>
      <c r="K21" s="220"/>
      <c r="L21" s="225"/>
    </row>
    <row r="22" spans="1:18" ht="14.1" customHeight="1" outlineLevel="1">
      <c r="A22" s="178" t="s">
        <v>438</v>
      </c>
      <c r="B22" s="207"/>
      <c r="C22" s="208" t="s">
        <v>437</v>
      </c>
      <c r="D22" s="195">
        <v>100000</v>
      </c>
      <c r="E22" s="150">
        <v>0</v>
      </c>
      <c r="F22" s="150">
        <f t="shared" si="0"/>
        <v>120000</v>
      </c>
      <c r="G22" s="233">
        <v>120000</v>
      </c>
      <c r="H22" s="233">
        <f>'plantilla new'!B50*5000</f>
        <v>120000</v>
      </c>
      <c r="I22" s="233">
        <f>'plantilla new'!B50*5000</f>
        <v>120000</v>
      </c>
      <c r="J22" s="224"/>
      <c r="K22" s="225"/>
      <c r="L22" s="223"/>
    </row>
    <row r="23" spans="1:18" ht="14.1" customHeight="1" outlineLevel="1">
      <c r="A23" s="178" t="s">
        <v>436</v>
      </c>
      <c r="B23" s="207"/>
      <c r="C23" s="213" t="s">
        <v>435</v>
      </c>
      <c r="D23" s="195">
        <v>405952</v>
      </c>
      <c r="E23" s="150">
        <v>525127</v>
      </c>
      <c r="F23" s="150">
        <f t="shared" si="0"/>
        <v>72223</v>
      </c>
      <c r="G23" s="233">
        <v>597350</v>
      </c>
      <c r="H23" s="233">
        <f>SUM(H13/12)</f>
        <v>588193</v>
      </c>
      <c r="I23" s="233">
        <f>SUM(I13/12)</f>
        <v>588193</v>
      </c>
      <c r="J23" s="221">
        <f>SUM(H23*0.1)</f>
        <v>58819.3</v>
      </c>
      <c r="K23" s="220"/>
      <c r="L23" s="232"/>
      <c r="M23" s="231"/>
    </row>
    <row r="24" spans="1:18" ht="14.1" customHeight="1" outlineLevel="1">
      <c r="A24" s="230" t="s">
        <v>434</v>
      </c>
      <c r="B24" s="148"/>
      <c r="C24" s="229"/>
      <c r="D24" s="195"/>
      <c r="E24" s="150"/>
      <c r="F24" s="150"/>
      <c r="G24" s="228"/>
      <c r="H24" s="228"/>
      <c r="I24" s="228"/>
      <c r="J24" s="224"/>
      <c r="K24" s="220"/>
      <c r="L24" s="225"/>
    </row>
    <row r="25" spans="1:18" ht="14.1" customHeight="1" outlineLevel="1">
      <c r="A25" s="178" t="s">
        <v>421</v>
      </c>
      <c r="B25" s="148"/>
      <c r="C25" s="208" t="s">
        <v>433</v>
      </c>
      <c r="D25" s="195">
        <v>668553.62000000011</v>
      </c>
      <c r="E25" s="150">
        <v>383344.32</v>
      </c>
      <c r="F25" s="150">
        <f>SUM(G25-E25)</f>
        <v>476839.67999999999</v>
      </c>
      <c r="G25" s="227">
        <v>860184</v>
      </c>
      <c r="H25" s="226">
        <f>ROUND(H13*0.12,0)</f>
        <v>846998</v>
      </c>
      <c r="I25" s="226">
        <f>ROUND(I13*0.12,0)</f>
        <v>846998</v>
      </c>
      <c r="J25" s="221">
        <f>SUM(H25*0.1)</f>
        <v>84699.8</v>
      </c>
      <c r="K25" s="225"/>
      <c r="L25" s="223"/>
    </row>
    <row r="26" spans="1:18" ht="14.1" customHeight="1" outlineLevel="1">
      <c r="A26" s="178" t="s">
        <v>432</v>
      </c>
      <c r="B26" s="148"/>
      <c r="C26" s="208" t="s">
        <v>431</v>
      </c>
      <c r="D26" s="195">
        <v>22400</v>
      </c>
      <c r="E26" s="150">
        <v>11900</v>
      </c>
      <c r="F26" s="150">
        <f>SUM(G26-E26)</f>
        <v>16900</v>
      </c>
      <c r="G26" s="217">
        <v>28800</v>
      </c>
      <c r="H26" s="217">
        <f>'plantilla new'!B50*100*12</f>
        <v>28800</v>
      </c>
      <c r="I26" s="217">
        <f>'plantilla new'!B50*100*12</f>
        <v>28800</v>
      </c>
      <c r="J26" s="224"/>
      <c r="K26" s="220" t="str">
        <f>A5</f>
        <v>Office: CITY ADMINISTRATOR'S OFFICE (1031)</v>
      </c>
      <c r="L26" s="223"/>
      <c r="N26" s="148"/>
    </row>
    <row r="27" spans="1:18" ht="14.1" customHeight="1" outlineLevel="1">
      <c r="A27" s="178" t="s">
        <v>418</v>
      </c>
      <c r="B27" s="148"/>
      <c r="C27" s="208" t="s">
        <v>430</v>
      </c>
      <c r="D27" s="195">
        <v>79116.680000000008</v>
      </c>
      <c r="E27" s="150">
        <v>44080.040000000008</v>
      </c>
      <c r="F27" s="150">
        <f>SUM(G27-E27)</f>
        <v>76335.959999999992</v>
      </c>
      <c r="G27" s="222">
        <v>120416</v>
      </c>
      <c r="H27" s="211">
        <f>'plantilla new'!M52</f>
        <v>137821</v>
      </c>
      <c r="I27" s="222">
        <f>'plantilla new'!P52</f>
        <v>137821</v>
      </c>
      <c r="J27" s="221">
        <f>SUM(H27*0.1)</f>
        <v>13782.1</v>
      </c>
      <c r="K27" s="220" t="s">
        <v>429</v>
      </c>
      <c r="M27" s="219"/>
      <c r="N27" s="219"/>
    </row>
    <row r="28" spans="1:18" ht="14.1" customHeight="1" outlineLevel="1">
      <c r="A28" s="178" t="s">
        <v>428</v>
      </c>
      <c r="B28" s="148"/>
      <c r="C28" s="208" t="s">
        <v>427</v>
      </c>
      <c r="D28" s="195">
        <v>22400</v>
      </c>
      <c r="E28" s="150">
        <v>14213.25</v>
      </c>
      <c r="F28" s="150">
        <f>SUM(G28-E28)</f>
        <v>14586.75</v>
      </c>
      <c r="G28" s="217">
        <v>28800</v>
      </c>
      <c r="H28" s="218">
        <f>'plantilla new'!B50*100*12</f>
        <v>28800</v>
      </c>
      <c r="I28" s="217">
        <f>'plantilla new'!B50*100*12</f>
        <v>28800</v>
      </c>
      <c r="J28" s="216"/>
      <c r="K28" s="179" t="s">
        <v>426</v>
      </c>
      <c r="M28" s="134">
        <f>ROUND(J13,0)+1</f>
        <v>705833</v>
      </c>
    </row>
    <row r="29" spans="1:18" ht="14.1" customHeight="1" outlineLevel="1">
      <c r="A29" s="215" t="s">
        <v>425</v>
      </c>
      <c r="B29" s="148"/>
      <c r="C29" s="208"/>
      <c r="D29" s="195"/>
      <c r="E29" s="212"/>
      <c r="F29" s="150"/>
      <c r="G29" s="193"/>
      <c r="H29" s="209"/>
      <c r="I29" s="193"/>
      <c r="J29" s="214"/>
      <c r="K29" s="207" t="s">
        <v>424</v>
      </c>
      <c r="M29" s="134">
        <f>ROUND(J21,0)+1</f>
        <v>58820</v>
      </c>
    </row>
    <row r="30" spans="1:18" ht="14.1" customHeight="1" outlineLevel="1">
      <c r="A30" s="178" t="s">
        <v>423</v>
      </c>
      <c r="B30" s="148"/>
      <c r="C30" s="208" t="s">
        <v>422</v>
      </c>
      <c r="D30" s="195">
        <v>78867.899999999994</v>
      </c>
      <c r="E30" s="212">
        <v>0</v>
      </c>
      <c r="F30" s="150">
        <f t="shared" ref="F30:F35" si="1">SUM(G30-E30)</f>
        <v>1000</v>
      </c>
      <c r="G30" s="193">
        <v>1000</v>
      </c>
      <c r="H30" s="209">
        <v>1000</v>
      </c>
      <c r="I30" s="209">
        <v>1000</v>
      </c>
      <c r="J30" s="214"/>
      <c r="K30" s="207" t="s">
        <v>421</v>
      </c>
      <c r="L30" s="148"/>
      <c r="M30" s="134">
        <f>ROUND(J25,0)+1</f>
        <v>84701</v>
      </c>
    </row>
    <row r="31" spans="1:18" ht="14.1" customHeight="1" outlineLevel="1" thickBot="1">
      <c r="A31" s="197" t="s">
        <v>420</v>
      </c>
      <c r="B31" s="148"/>
      <c r="C31" s="213" t="s">
        <v>419</v>
      </c>
      <c r="D31" s="195">
        <v>1314264.72</v>
      </c>
      <c r="E31" s="212">
        <v>0</v>
      </c>
      <c r="F31" s="150">
        <f t="shared" si="1"/>
        <v>568054</v>
      </c>
      <c r="G31" s="193">
        <v>568054</v>
      </c>
      <c r="H31" s="211">
        <f>M34</f>
        <v>921957</v>
      </c>
      <c r="I31" s="211">
        <f>H31</f>
        <v>921957</v>
      </c>
      <c r="J31" s="210">
        <f>SUM(J13:J30)</f>
        <v>921952.10000000021</v>
      </c>
      <c r="K31" s="207" t="s">
        <v>418</v>
      </c>
      <c r="L31" s="148"/>
      <c r="M31" s="134">
        <f>ROUND(J27,0)+1</f>
        <v>13783</v>
      </c>
    </row>
    <row r="32" spans="1:18" ht="14.1" customHeight="1" outlineLevel="1" thickTop="1">
      <c r="A32" s="197" t="s">
        <v>417</v>
      </c>
      <c r="B32" s="148"/>
      <c r="C32" s="208" t="s">
        <v>416</v>
      </c>
      <c r="D32" s="195">
        <v>30000</v>
      </c>
      <c r="E32" s="194">
        <v>0</v>
      </c>
      <c r="F32" s="150">
        <f t="shared" si="1"/>
        <v>30000</v>
      </c>
      <c r="G32" s="193">
        <v>30000</v>
      </c>
      <c r="H32" s="209">
        <v>20000</v>
      </c>
      <c r="I32" s="209">
        <f>H32</f>
        <v>20000</v>
      </c>
      <c r="J32" s="191"/>
      <c r="K32" s="207" t="s">
        <v>415</v>
      </c>
      <c r="L32" s="148"/>
      <c r="M32" s="134">
        <f>ROUND(J23,0)+1</f>
        <v>58820</v>
      </c>
    </row>
    <row r="33" spans="1:14" ht="14.1" customHeight="1" outlineLevel="1">
      <c r="A33" s="197" t="s">
        <v>414</v>
      </c>
      <c r="B33" s="148"/>
      <c r="C33" s="208" t="s">
        <v>413</v>
      </c>
      <c r="D33" s="195">
        <v>0</v>
      </c>
      <c r="E33" s="194">
        <v>0</v>
      </c>
      <c r="F33" s="150">
        <f t="shared" si="1"/>
        <v>1000</v>
      </c>
      <c r="G33" s="193">
        <v>1000</v>
      </c>
      <c r="H33" s="192">
        <v>1000</v>
      </c>
      <c r="I33" s="192">
        <v>1000</v>
      </c>
      <c r="J33" s="191"/>
      <c r="K33" s="207"/>
      <c r="L33" s="148"/>
      <c r="M33" s="148"/>
    </row>
    <row r="34" spans="1:14" s="155" customFormat="1" ht="15.75" customHeight="1" outlineLevel="1" thickBot="1">
      <c r="A34" s="206" t="s">
        <v>412</v>
      </c>
      <c r="B34" s="156"/>
      <c r="C34" s="205" t="s">
        <v>411</v>
      </c>
      <c r="D34" s="204">
        <v>100000</v>
      </c>
      <c r="E34" s="203">
        <v>0</v>
      </c>
      <c r="F34" s="202">
        <f t="shared" si="1"/>
        <v>120000</v>
      </c>
      <c r="G34" s="201">
        <v>120000</v>
      </c>
      <c r="H34" s="201">
        <f>'plantilla new'!B50*5000</f>
        <v>120000</v>
      </c>
      <c r="I34" s="201">
        <f>'plantilla new'!B50*5000</f>
        <v>120000</v>
      </c>
      <c r="J34" s="200"/>
      <c r="K34" s="198" t="s">
        <v>410</v>
      </c>
      <c r="L34" s="198"/>
      <c r="M34" s="199">
        <f>SUM(M28:M33)</f>
        <v>921957</v>
      </c>
      <c r="N34" s="198"/>
    </row>
    <row r="35" spans="1:14" ht="14.1" customHeight="1" outlineLevel="1" thickTop="1">
      <c r="A35" s="197" t="s">
        <v>409</v>
      </c>
      <c r="B35" s="148"/>
      <c r="C35" s="196" t="s">
        <v>408</v>
      </c>
      <c r="D35" s="195">
        <v>51000</v>
      </c>
      <c r="E35" s="194">
        <v>0</v>
      </c>
      <c r="F35" s="150">
        <f t="shared" si="1"/>
        <v>0</v>
      </c>
      <c r="G35" s="193">
        <v>0</v>
      </c>
      <c r="H35" s="192">
        <v>0</v>
      </c>
      <c r="I35" s="192">
        <v>0</v>
      </c>
      <c r="J35" s="191"/>
      <c r="K35" s="190"/>
      <c r="L35" s="190"/>
      <c r="M35" s="190"/>
      <c r="N35" s="190"/>
    </row>
    <row r="36" spans="1:14" ht="16.5" customHeight="1" outlineLevel="1">
      <c r="A36" s="189" t="s">
        <v>407</v>
      </c>
      <c r="B36" s="188"/>
      <c r="C36" s="187"/>
      <c r="D36" s="186">
        <f>SUM(D37:D58)</f>
        <v>209271.65999999997</v>
      </c>
      <c r="E36" s="186">
        <f>SUM(E37:E58)</f>
        <v>107185.29000000001</v>
      </c>
      <c r="F36" s="186">
        <f>SUM(F37:F58)</f>
        <v>865614.71</v>
      </c>
      <c r="G36" s="186">
        <f>SUM(G37:G58)</f>
        <v>972800</v>
      </c>
      <c r="H36" s="186">
        <f>SUM(H37:H58)</f>
        <v>972800</v>
      </c>
      <c r="N36" s="148"/>
    </row>
    <row r="37" spans="1:14" ht="14.1" customHeight="1" outlineLevel="1">
      <c r="A37" s="178" t="s">
        <v>406</v>
      </c>
      <c r="B37" s="185"/>
      <c r="C37" s="165" t="s">
        <v>405</v>
      </c>
      <c r="D37" s="184">
        <v>4415.8500000000004</v>
      </c>
      <c r="E37" s="183">
        <v>1500</v>
      </c>
      <c r="F37" s="150">
        <f>SUM(G37-E37)</f>
        <v>78500</v>
      </c>
      <c r="G37" s="183">
        <v>80000</v>
      </c>
      <c r="H37" s="182">
        <v>80000</v>
      </c>
    </row>
    <row r="38" spans="1:14" s="155" customFormat="1" ht="14.1" customHeight="1" outlineLevel="1">
      <c r="A38" s="178" t="s">
        <v>404</v>
      </c>
      <c r="B38" s="177"/>
      <c r="C38" s="165" t="s">
        <v>403</v>
      </c>
      <c r="D38" s="160">
        <v>0</v>
      </c>
      <c r="E38" s="158">
        <v>0</v>
      </c>
      <c r="F38" s="150">
        <f>SUM(G38-E38)</f>
        <v>30000</v>
      </c>
      <c r="G38" s="158">
        <v>30000</v>
      </c>
      <c r="H38" s="157">
        <v>30000</v>
      </c>
      <c r="I38" s="156"/>
    </row>
    <row r="39" spans="1:14" s="155" customFormat="1" ht="14.1" customHeight="1" outlineLevel="1">
      <c r="A39" s="178" t="s">
        <v>402</v>
      </c>
      <c r="B39" s="177"/>
      <c r="C39" s="165" t="s">
        <v>401</v>
      </c>
      <c r="D39" s="160">
        <v>12850.58</v>
      </c>
      <c r="E39" s="158">
        <v>6581.55</v>
      </c>
      <c r="F39" s="150">
        <f>SUM(G39-E39)</f>
        <v>8418.4500000000007</v>
      </c>
      <c r="G39" s="158">
        <v>15000</v>
      </c>
      <c r="H39" s="157">
        <v>15000</v>
      </c>
      <c r="I39" s="156"/>
    </row>
    <row r="40" spans="1:14" s="155" customFormat="1" ht="14.1" customHeight="1" outlineLevel="1">
      <c r="A40" s="166" t="s">
        <v>400</v>
      </c>
      <c r="B40" s="162"/>
      <c r="C40" s="165"/>
      <c r="D40" s="160"/>
      <c r="E40" s="158"/>
      <c r="F40" s="150"/>
      <c r="G40" s="158"/>
      <c r="H40" s="157"/>
      <c r="I40" s="156"/>
    </row>
    <row r="41" spans="1:14" s="155" customFormat="1" ht="14.1" customHeight="1" outlineLevel="1">
      <c r="A41" s="181"/>
      <c r="B41" s="179" t="s">
        <v>399</v>
      </c>
      <c r="C41" s="161" t="s">
        <v>398</v>
      </c>
      <c r="D41" s="160">
        <v>3173.32</v>
      </c>
      <c r="E41" s="158">
        <v>5304.25</v>
      </c>
      <c r="F41" s="150">
        <f t="shared" ref="F41:F46" si="2">SUM(G41-E41)</f>
        <v>34695.75</v>
      </c>
      <c r="G41" s="158">
        <v>40000</v>
      </c>
      <c r="H41" s="157">
        <v>40000</v>
      </c>
      <c r="I41" s="156"/>
    </row>
    <row r="42" spans="1:14" s="155" customFormat="1" ht="14.1" customHeight="1" outlineLevel="1">
      <c r="A42" s="180" t="s">
        <v>397</v>
      </c>
      <c r="B42" s="179"/>
      <c r="C42" s="161" t="s">
        <v>396</v>
      </c>
      <c r="D42" s="160">
        <v>0</v>
      </c>
      <c r="E42" s="158">
        <v>0</v>
      </c>
      <c r="F42" s="150">
        <f t="shared" si="2"/>
        <v>270000</v>
      </c>
      <c r="G42" s="158">
        <v>270000</v>
      </c>
      <c r="H42" s="157">
        <v>270000</v>
      </c>
      <c r="I42" s="156"/>
    </row>
    <row r="43" spans="1:14" s="155" customFormat="1" ht="14.1" customHeight="1" outlineLevel="1">
      <c r="A43" s="166" t="s">
        <v>395</v>
      </c>
      <c r="B43" s="177"/>
      <c r="C43" s="174" t="s">
        <v>394</v>
      </c>
      <c r="D43" s="160">
        <v>3082.75</v>
      </c>
      <c r="E43" s="158">
        <v>0</v>
      </c>
      <c r="F43" s="150">
        <f t="shared" si="2"/>
        <v>5000</v>
      </c>
      <c r="G43" s="158">
        <v>5000</v>
      </c>
      <c r="H43" s="157">
        <v>5000</v>
      </c>
      <c r="I43" s="156"/>
    </row>
    <row r="44" spans="1:14" s="155" customFormat="1" ht="14.1" customHeight="1" outlineLevel="1">
      <c r="A44" s="178" t="s">
        <v>393</v>
      </c>
      <c r="B44" s="177"/>
      <c r="C44" s="165" t="s">
        <v>392</v>
      </c>
      <c r="D44" s="160">
        <v>0</v>
      </c>
      <c r="E44" s="158">
        <v>0</v>
      </c>
      <c r="F44" s="150">
        <f t="shared" si="2"/>
        <v>1000</v>
      </c>
      <c r="G44" s="158">
        <v>1000</v>
      </c>
      <c r="H44" s="157">
        <v>1000</v>
      </c>
      <c r="I44" s="156"/>
    </row>
    <row r="45" spans="1:14" s="155" customFormat="1" ht="14.1" customHeight="1" outlineLevel="1">
      <c r="A45" s="178" t="s">
        <v>391</v>
      </c>
      <c r="B45" s="177"/>
      <c r="C45" s="161" t="s">
        <v>390</v>
      </c>
      <c r="D45" s="160">
        <v>31891.880000000005</v>
      </c>
      <c r="E45" s="158">
        <v>23011.490000000005</v>
      </c>
      <c r="F45" s="150">
        <f t="shared" si="2"/>
        <v>44388.509999999995</v>
      </c>
      <c r="G45" s="158">
        <v>67400</v>
      </c>
      <c r="H45" s="157">
        <v>67400</v>
      </c>
      <c r="I45" s="156"/>
    </row>
    <row r="46" spans="1:14" s="155" customFormat="1" ht="14.1" customHeight="1" outlineLevel="1">
      <c r="A46" s="176" t="s">
        <v>389</v>
      </c>
      <c r="B46" s="175"/>
      <c r="C46" s="174" t="s">
        <v>388</v>
      </c>
      <c r="D46" s="160">
        <v>112232.47999999998</v>
      </c>
      <c r="E46" s="157">
        <v>68100</v>
      </c>
      <c r="F46" s="150">
        <f t="shared" si="2"/>
        <v>90300</v>
      </c>
      <c r="G46" s="158">
        <v>158400</v>
      </c>
      <c r="H46" s="157">
        <v>158400</v>
      </c>
      <c r="I46" s="156"/>
    </row>
    <row r="47" spans="1:14" s="155" customFormat="1" ht="14.1" customHeight="1" outlineLevel="1">
      <c r="A47" s="166" t="s">
        <v>383</v>
      </c>
      <c r="B47" s="173"/>
      <c r="C47" s="172"/>
      <c r="D47" s="160"/>
      <c r="E47" s="158"/>
      <c r="F47" s="150"/>
      <c r="G47" s="158"/>
      <c r="H47" s="157"/>
      <c r="I47" s="156"/>
      <c r="K47" s="170" t="s">
        <v>387</v>
      </c>
      <c r="L47" s="134">
        <f>'plantilla new'!B46*200</f>
        <v>4800</v>
      </c>
    </row>
    <row r="48" spans="1:14" s="155" customFormat="1" ht="14.1" customHeight="1" outlineLevel="1">
      <c r="A48" s="163"/>
      <c r="B48" s="164" t="s">
        <v>386</v>
      </c>
      <c r="C48" s="161" t="s">
        <v>385</v>
      </c>
      <c r="D48" s="160">
        <v>1304</v>
      </c>
      <c r="E48" s="159">
        <v>0</v>
      </c>
      <c r="F48" s="150">
        <f>SUM(G48-E48)</f>
        <v>5000</v>
      </c>
      <c r="G48" s="158">
        <v>5000</v>
      </c>
      <c r="H48" s="157">
        <v>5000</v>
      </c>
      <c r="I48" s="156"/>
      <c r="K48" s="170" t="s">
        <v>384</v>
      </c>
      <c r="L48" s="134">
        <f>'plantilla new'!B46*1720</f>
        <v>41280</v>
      </c>
      <c r="M48" s="134">
        <f>'plantilla new'!B50*2100</f>
        <v>50400</v>
      </c>
      <c r="N48" s="134">
        <f>SUM(M48-L48)</f>
        <v>9120</v>
      </c>
    </row>
    <row r="49" spans="1:14" s="155" customFormat="1" ht="14.1" customHeight="1" outlineLevel="1">
      <c r="A49" s="166" t="s">
        <v>383</v>
      </c>
      <c r="B49" s="173"/>
      <c r="C49" s="172"/>
      <c r="D49" s="160"/>
      <c r="E49" s="159"/>
      <c r="F49" s="150"/>
      <c r="G49" s="158"/>
      <c r="H49" s="157"/>
      <c r="I49" s="156"/>
      <c r="K49" s="170" t="s">
        <v>382</v>
      </c>
      <c r="L49" s="171">
        <f>SUM(L50-L47-L48)</f>
        <v>42920</v>
      </c>
      <c r="M49" s="134"/>
      <c r="N49" s="134"/>
    </row>
    <row r="50" spans="1:14" s="155" customFormat="1" ht="14.1" customHeight="1" outlineLevel="1" thickBot="1">
      <c r="A50" s="163"/>
      <c r="B50" s="164" t="s">
        <v>381</v>
      </c>
      <c r="C50" s="161" t="s">
        <v>380</v>
      </c>
      <c r="D50" s="160">
        <v>32580</v>
      </c>
      <c r="E50" s="159">
        <v>0</v>
      </c>
      <c r="F50" s="150">
        <f>SUM(G50-E50)</f>
        <v>40000</v>
      </c>
      <c r="G50" s="158">
        <v>40000</v>
      </c>
      <c r="H50" s="157">
        <v>40000</v>
      </c>
      <c r="I50" s="156"/>
      <c r="K50" s="170" t="s">
        <v>379</v>
      </c>
      <c r="L50" s="169">
        <f>H58</f>
        <v>89000</v>
      </c>
      <c r="M50" s="134"/>
      <c r="N50" s="168">
        <f>SUM(N48+L50)</f>
        <v>98120</v>
      </c>
    </row>
    <row r="51" spans="1:14" s="155" customFormat="1" ht="14.1" customHeight="1" outlineLevel="1" thickTop="1">
      <c r="A51" s="166" t="s">
        <v>373</v>
      </c>
      <c r="B51" s="162"/>
      <c r="C51" s="165"/>
      <c r="D51" s="160"/>
      <c r="E51" s="159"/>
      <c r="F51" s="150"/>
      <c r="G51" s="158"/>
      <c r="H51" s="157"/>
      <c r="I51" s="156"/>
      <c r="K51" s="167" t="s">
        <v>378</v>
      </c>
      <c r="L51" s="135"/>
    </row>
    <row r="52" spans="1:14" s="155" customFormat="1" ht="14.1" customHeight="1" outlineLevel="1">
      <c r="A52" s="163"/>
      <c r="B52" s="164" t="s">
        <v>377</v>
      </c>
      <c r="C52" s="161" t="s">
        <v>376</v>
      </c>
      <c r="D52" s="160">
        <v>0</v>
      </c>
      <c r="E52" s="159">
        <v>0</v>
      </c>
      <c r="F52" s="150">
        <f>SUM(G52-E52)</f>
        <v>40000</v>
      </c>
      <c r="G52" s="158">
        <v>40000</v>
      </c>
      <c r="H52" s="157">
        <v>40000</v>
      </c>
      <c r="I52" s="156"/>
    </row>
    <row r="53" spans="1:14" s="155" customFormat="1" ht="14.1" customHeight="1" outlineLevel="1">
      <c r="A53" s="166" t="s">
        <v>373</v>
      </c>
      <c r="B53" s="162"/>
      <c r="C53" s="165"/>
      <c r="D53" s="160"/>
      <c r="E53" s="159"/>
      <c r="F53" s="150"/>
      <c r="G53" s="158"/>
      <c r="H53" s="157"/>
      <c r="I53" s="156"/>
    </row>
    <row r="54" spans="1:14" s="155" customFormat="1" ht="14.1" customHeight="1" outlineLevel="1">
      <c r="A54" s="163"/>
      <c r="B54" s="164" t="s">
        <v>375</v>
      </c>
      <c r="C54" s="161" t="s">
        <v>374</v>
      </c>
      <c r="D54" s="160">
        <v>0</v>
      </c>
      <c r="E54" s="159">
        <v>0</v>
      </c>
      <c r="F54" s="150">
        <f>SUM(G54-E54)</f>
        <v>50000</v>
      </c>
      <c r="G54" s="158">
        <v>50000</v>
      </c>
      <c r="H54" s="157">
        <v>50000</v>
      </c>
      <c r="I54" s="156"/>
    </row>
    <row r="55" spans="1:14" s="155" customFormat="1" ht="14.1" customHeight="1" outlineLevel="1">
      <c r="A55" s="166" t="s">
        <v>373</v>
      </c>
      <c r="B55" s="162"/>
      <c r="C55" s="165"/>
      <c r="D55" s="160"/>
      <c r="E55" s="159"/>
      <c r="F55" s="150"/>
      <c r="G55" s="158"/>
      <c r="H55" s="157"/>
      <c r="I55" s="156"/>
    </row>
    <row r="56" spans="1:14" s="155" customFormat="1" ht="14.1" customHeight="1" outlineLevel="1">
      <c r="A56" s="163"/>
      <c r="B56" s="164" t="s">
        <v>372</v>
      </c>
      <c r="C56" s="161" t="s">
        <v>371</v>
      </c>
      <c r="D56" s="160">
        <v>0</v>
      </c>
      <c r="E56" s="159">
        <v>0</v>
      </c>
      <c r="F56" s="150">
        <f>SUM(G56-E56)</f>
        <v>80000</v>
      </c>
      <c r="G56" s="158">
        <v>80000</v>
      </c>
      <c r="H56" s="157">
        <v>80000</v>
      </c>
      <c r="I56" s="156"/>
    </row>
    <row r="57" spans="1:14" s="155" customFormat="1" ht="14.1" customHeight="1" outlineLevel="1">
      <c r="A57" s="163" t="s">
        <v>370</v>
      </c>
      <c r="B57" s="162"/>
      <c r="C57" s="161" t="s">
        <v>369</v>
      </c>
      <c r="D57" s="160">
        <v>0</v>
      </c>
      <c r="E57" s="159">
        <v>0</v>
      </c>
      <c r="F57" s="150">
        <f>SUM(G57-E57)</f>
        <v>2000</v>
      </c>
      <c r="G57" s="158">
        <v>2000</v>
      </c>
      <c r="H57" s="157">
        <v>2000</v>
      </c>
      <c r="I57" s="156"/>
    </row>
    <row r="58" spans="1:14" ht="14.1" customHeight="1" outlineLevel="1">
      <c r="A58" s="154" t="s">
        <v>368</v>
      </c>
      <c r="B58" s="153"/>
      <c r="C58" s="152" t="s">
        <v>367</v>
      </c>
      <c r="D58" s="151">
        <v>7740.8</v>
      </c>
      <c r="E58" s="149">
        <v>2688</v>
      </c>
      <c r="F58" s="150">
        <f>SUM(G58-E58)</f>
        <v>86312</v>
      </c>
      <c r="G58" s="149">
        <v>89000</v>
      </c>
      <c r="H58" s="149">
        <v>89000</v>
      </c>
      <c r="I58" s="148"/>
    </row>
    <row r="59" spans="1:14" ht="18" customHeight="1" outlineLevel="2" thickBot="1">
      <c r="A59" s="147" t="s">
        <v>366</v>
      </c>
      <c r="B59" s="147"/>
      <c r="C59" s="146"/>
      <c r="D59" s="145">
        <f>SUM(D11+D36)</f>
        <v>10033474.84</v>
      </c>
      <c r="E59" s="145">
        <f>SUM(E11+E36)</f>
        <v>4942389.4100000011</v>
      </c>
      <c r="F59" s="145">
        <f>SUM(F11+F36)</f>
        <v>7974564.5899999989</v>
      </c>
      <c r="G59" s="145">
        <f>SUM(G11+G36)</f>
        <v>12916954</v>
      </c>
      <c r="H59" s="144">
        <f>SUM(H11+H36)</f>
        <v>13124878</v>
      </c>
      <c r="I59" s="143" t="s">
        <v>365</v>
      </c>
    </row>
    <row r="60" spans="1:14" ht="19.5" customHeight="1" thickTop="1">
      <c r="A60" s="134" t="s">
        <v>364</v>
      </c>
      <c r="C60" s="141" t="s">
        <v>363</v>
      </c>
      <c r="E60" s="4631" t="s">
        <v>362</v>
      </c>
      <c r="F60" s="4631"/>
      <c r="H60" s="142"/>
    </row>
    <row r="61" spans="1:14" ht="19.5" customHeight="1">
      <c r="C61" s="141"/>
      <c r="E61" s="140"/>
      <c r="F61" s="140"/>
    </row>
    <row r="62" spans="1:14" ht="15" customHeight="1">
      <c r="A62" s="139" t="s">
        <v>361</v>
      </c>
      <c r="C62" s="4635" t="s">
        <v>360</v>
      </c>
      <c r="D62" s="4635"/>
      <c r="E62" s="4630" t="s">
        <v>359</v>
      </c>
      <c r="F62" s="4630"/>
      <c r="G62" s="4630"/>
      <c r="H62" s="4630"/>
    </row>
    <row r="63" spans="1:14" s="135" customFormat="1" ht="12.75" customHeight="1">
      <c r="A63" s="138" t="s">
        <v>358</v>
      </c>
      <c r="B63" s="136"/>
      <c r="C63" s="4622" t="s">
        <v>357</v>
      </c>
      <c r="D63" s="4622"/>
      <c r="E63" s="4623" t="s">
        <v>356</v>
      </c>
      <c r="F63" s="4623"/>
      <c r="G63" s="4623"/>
      <c r="H63" s="4623"/>
      <c r="I63" s="136"/>
    </row>
    <row r="64" spans="1:14" s="135" customFormat="1" ht="13.5" customHeight="1">
      <c r="A64" s="138"/>
      <c r="B64" s="136"/>
      <c r="C64" s="4621"/>
      <c r="D64" s="4621"/>
      <c r="E64" s="137"/>
      <c r="F64" s="137"/>
      <c r="G64" s="137"/>
      <c r="H64" s="137"/>
      <c r="I64" s="136"/>
    </row>
    <row r="65" spans="2:9" s="135" customFormat="1">
      <c r="B65" s="136"/>
      <c r="D65" s="137"/>
      <c r="E65" s="137"/>
      <c r="F65" s="137"/>
      <c r="G65" s="137"/>
      <c r="H65" s="137"/>
      <c r="I65" s="136"/>
    </row>
    <row r="66" spans="2:9" s="135" customFormat="1">
      <c r="B66" s="136"/>
      <c r="D66" s="137"/>
      <c r="E66" s="137"/>
      <c r="F66" s="137"/>
      <c r="G66" s="137"/>
      <c r="H66" s="137"/>
      <c r="I66" s="136"/>
    </row>
    <row r="67" spans="2:9" s="135" customFormat="1">
      <c r="B67" s="136"/>
      <c r="D67" s="137"/>
      <c r="E67" s="137"/>
      <c r="F67" s="137"/>
      <c r="G67" s="137"/>
      <c r="H67" s="137"/>
      <c r="I67" s="136"/>
    </row>
    <row r="68" spans="2:9" s="135" customFormat="1">
      <c r="B68" s="136"/>
      <c r="D68" s="137"/>
      <c r="E68" s="137"/>
      <c r="F68" s="137"/>
      <c r="G68" s="137"/>
      <c r="H68" s="137"/>
      <c r="I68" s="136"/>
    </row>
    <row r="69" spans="2:9" s="135" customFormat="1">
      <c r="B69" s="136"/>
      <c r="D69" s="137"/>
      <c r="E69" s="137"/>
      <c r="F69" s="137"/>
      <c r="G69" s="137"/>
      <c r="H69" s="137"/>
      <c r="I69" s="136"/>
    </row>
    <row r="70" spans="2:9" s="135" customFormat="1">
      <c r="D70" s="137"/>
      <c r="E70" s="137"/>
      <c r="F70" s="137"/>
      <c r="G70" s="137"/>
      <c r="H70" s="137"/>
      <c r="I70" s="136"/>
    </row>
    <row r="71" spans="2:9" s="135" customFormat="1">
      <c r="D71" s="137"/>
      <c r="E71" s="137"/>
      <c r="F71" s="137"/>
      <c r="G71" s="137"/>
      <c r="H71" s="137"/>
      <c r="I71" s="136"/>
    </row>
    <row r="72" spans="2:9" s="135" customFormat="1">
      <c r="D72" s="137"/>
      <c r="E72" s="137"/>
      <c r="F72" s="137"/>
      <c r="G72" s="137"/>
      <c r="H72" s="137"/>
      <c r="I72" s="136"/>
    </row>
    <row r="73" spans="2:9" s="135" customFormat="1">
      <c r="D73" s="137"/>
      <c r="E73" s="137"/>
      <c r="F73" s="137"/>
      <c r="G73" s="137"/>
      <c r="H73" s="137"/>
      <c r="I73" s="136"/>
    </row>
    <row r="74" spans="2:9" s="135" customFormat="1">
      <c r="D74" s="137"/>
      <c r="E74" s="137"/>
      <c r="F74" s="137"/>
      <c r="G74" s="137"/>
      <c r="H74" s="137"/>
      <c r="I74" s="136"/>
    </row>
    <row r="75" spans="2:9" s="135" customFormat="1">
      <c r="B75" s="136"/>
      <c r="D75" s="137"/>
      <c r="E75" s="137"/>
      <c r="F75" s="137"/>
      <c r="G75" s="137"/>
      <c r="H75" s="137"/>
      <c r="I75" s="136"/>
    </row>
    <row r="76" spans="2:9" s="135" customFormat="1">
      <c r="B76" s="136"/>
      <c r="D76" s="137"/>
      <c r="E76" s="137"/>
      <c r="F76" s="137"/>
      <c r="G76" s="137"/>
      <c r="H76" s="137"/>
      <c r="I76" s="136"/>
    </row>
    <row r="77" spans="2:9" ht="9" customHeight="1"/>
    <row r="78" spans="2:9" ht="9" customHeight="1"/>
    <row r="79" spans="2:9" ht="9" customHeight="1"/>
    <row r="80" spans="2:9" ht="9" customHeight="1"/>
    <row r="81" ht="9" customHeight="1"/>
    <row r="82" ht="9.9499999999999993" customHeight="1"/>
  </sheetData>
  <mergeCells count="10">
    <mergeCell ref="C64:D64"/>
    <mergeCell ref="C63:D63"/>
    <mergeCell ref="E63:H63"/>
    <mergeCell ref="A7:B9"/>
    <mergeCell ref="A3:H3"/>
    <mergeCell ref="A4:H4"/>
    <mergeCell ref="E7:G7"/>
    <mergeCell ref="E60:F60"/>
    <mergeCell ref="C62:D62"/>
    <mergeCell ref="E62:H62"/>
  </mergeCells>
  <pageMargins left="0.5" right="0" top="0.25" bottom="0" header="0.5" footer="0"/>
  <pageSetup paperSize="5" orientation="portrait"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G397"/>
  <sheetViews>
    <sheetView showGridLines="0" showOutlineSymbols="0" zoomScale="87" zoomScaleNormal="87" workbookViewId="0">
      <selection activeCell="G401" sqref="G401"/>
    </sheetView>
  </sheetViews>
  <sheetFormatPr defaultColWidth="12.5703125" defaultRowHeight="12.75" outlineLevelRow="1" outlineLevelCol="2"/>
  <cols>
    <col min="1" max="2" width="10.7109375" style="1" customWidth="1"/>
    <col min="3" max="3" width="31.140625" style="1" customWidth="1"/>
    <col min="4" max="4" width="30" style="1" customWidth="1"/>
    <col min="5" max="5" width="10.7109375" style="4" customWidth="1"/>
    <col min="6" max="6" width="15.7109375" style="1" customWidth="1" outlineLevel="1"/>
    <col min="7" max="7" width="10.7109375" style="1" customWidth="1" outlineLevel="1"/>
    <col min="8" max="9" width="15.7109375" style="1" customWidth="1" outlineLevel="1"/>
    <col min="10" max="10" width="10.140625" style="3" hidden="1" customWidth="1" outlineLevel="1"/>
    <col min="11" max="11" width="13.42578125" style="3" hidden="1" customWidth="1" outlineLevel="1"/>
    <col min="12" max="13" width="0" style="1" hidden="1" customWidth="1"/>
    <col min="14" max="14" width="2.28515625" style="1" hidden="1" customWidth="1"/>
    <col min="15" max="16" width="0" style="1" hidden="1" customWidth="1"/>
    <col min="17" max="17" width="4.85546875" style="1" hidden="1" customWidth="1"/>
    <col min="18" max="28" width="0" style="1" hidden="1" customWidth="1"/>
    <col min="29" max="98" width="12.5703125" style="1"/>
    <col min="99" max="102" width="12.5703125" style="1" outlineLevel="1"/>
    <col min="103" max="108" width="12.5703125" style="1" outlineLevel="2"/>
    <col min="109" max="111" width="12.5703125" style="1" outlineLevel="1"/>
    <col min="112" max="16384" width="12.5703125" style="1"/>
  </cols>
  <sheetData>
    <row r="1" spans="1:18">
      <c r="H1" s="133" t="s">
        <v>355</v>
      </c>
    </row>
    <row r="2" spans="1:18" ht="12.75" customHeight="1">
      <c r="H2" s="132" t="s">
        <v>354</v>
      </c>
    </row>
    <row r="3" spans="1:18" ht="15" customHeight="1">
      <c r="A3" s="4615" t="s">
        <v>353</v>
      </c>
      <c r="B3" s="4615"/>
      <c r="C3" s="4615"/>
      <c r="D3" s="4615"/>
      <c r="E3" s="4615"/>
      <c r="F3" s="4615"/>
      <c r="G3" s="4615"/>
      <c r="H3" s="4615"/>
      <c r="I3" s="4615"/>
      <c r="J3" s="131"/>
      <c r="K3" s="131"/>
    </row>
    <row r="4" spans="1:18" s="3" customFormat="1" ht="16.5" customHeight="1">
      <c r="A4" s="4616" t="s">
        <v>352</v>
      </c>
      <c r="B4" s="4616"/>
      <c r="C4" s="4616"/>
      <c r="D4" s="4616"/>
      <c r="E4" s="4616"/>
      <c r="F4" s="4616"/>
      <c r="G4" s="4616"/>
      <c r="H4" s="4616"/>
      <c r="I4" s="4616"/>
      <c r="J4" s="130"/>
      <c r="K4" s="130"/>
    </row>
    <row r="5" spans="1:18" ht="13.5" customHeight="1">
      <c r="A5" s="4617" t="s">
        <v>351</v>
      </c>
      <c r="B5" s="4617"/>
      <c r="C5" s="4617"/>
      <c r="D5" s="4617"/>
      <c r="E5" s="4617"/>
      <c r="F5" s="4617"/>
      <c r="G5" s="4617"/>
      <c r="H5" s="4617"/>
      <c r="I5" s="4617"/>
      <c r="J5" s="129"/>
      <c r="K5" s="129"/>
    </row>
    <row r="6" spans="1:18" ht="13.9" customHeight="1">
      <c r="A6" s="332" t="s">
        <v>350</v>
      </c>
      <c r="B6" s="333" t="s">
        <v>1125</v>
      </c>
      <c r="D6" s="279"/>
      <c r="G6" s="4618"/>
      <c r="H6" s="4618"/>
      <c r="I6" s="332"/>
      <c r="J6" s="4618" t="s">
        <v>457</v>
      </c>
      <c r="K6" s="4618"/>
    </row>
    <row r="7" spans="1:18" ht="13.5" customHeight="1">
      <c r="A7" s="123"/>
      <c r="B7" s="125"/>
      <c r="C7" s="124"/>
      <c r="D7" s="123"/>
      <c r="E7" s="4619" t="s">
        <v>348</v>
      </c>
      <c r="F7" s="4620"/>
      <c r="G7" s="4619" t="s">
        <v>347</v>
      </c>
      <c r="H7" s="4620"/>
      <c r="I7" s="115"/>
      <c r="J7" s="4607" t="s">
        <v>347</v>
      </c>
      <c r="K7" s="4608"/>
    </row>
    <row r="8" spans="1:18" ht="13.5" customHeight="1">
      <c r="A8" s="122"/>
      <c r="B8" s="121"/>
      <c r="C8" s="120"/>
      <c r="D8" s="119"/>
      <c r="E8" s="4604" t="s">
        <v>346</v>
      </c>
      <c r="F8" s="4605"/>
      <c r="G8" s="4604" t="s">
        <v>345</v>
      </c>
      <c r="H8" s="4605"/>
      <c r="I8" s="114"/>
      <c r="J8" s="4609" t="s">
        <v>345</v>
      </c>
      <c r="K8" s="4610"/>
    </row>
    <row r="9" spans="1:18" ht="13.5" customHeight="1">
      <c r="A9" s="122"/>
      <c r="B9" s="121"/>
      <c r="C9" s="120"/>
      <c r="D9" s="119"/>
      <c r="E9" s="4604" t="s">
        <v>344</v>
      </c>
      <c r="F9" s="4605"/>
      <c r="G9" s="4604" t="s">
        <v>344</v>
      </c>
      <c r="H9" s="4605"/>
      <c r="I9" s="114"/>
      <c r="J9" s="4609" t="s">
        <v>344</v>
      </c>
      <c r="K9" s="4610"/>
    </row>
    <row r="10" spans="1:18" ht="13.5" customHeight="1">
      <c r="A10" s="4604" t="s">
        <v>343</v>
      </c>
      <c r="B10" s="4605"/>
      <c r="C10" s="114" t="s">
        <v>342</v>
      </c>
      <c r="D10" s="112" t="s">
        <v>341</v>
      </c>
      <c r="E10" s="113" t="s">
        <v>339</v>
      </c>
      <c r="F10" s="118"/>
      <c r="G10" s="113" t="s">
        <v>339</v>
      </c>
      <c r="H10" s="118"/>
      <c r="I10" s="114" t="s">
        <v>340</v>
      </c>
      <c r="J10" s="1239" t="s">
        <v>339</v>
      </c>
      <c r="K10" s="1238"/>
      <c r="L10" s="4613" t="s">
        <v>338</v>
      </c>
      <c r="M10" s="4613"/>
      <c r="O10" s="4612" t="s">
        <v>338</v>
      </c>
      <c r="P10" s="4613"/>
    </row>
    <row r="11" spans="1:18" ht="14.25" customHeight="1">
      <c r="A11" s="116" t="s">
        <v>337</v>
      </c>
      <c r="B11" s="115" t="s">
        <v>336</v>
      </c>
      <c r="C11" s="114"/>
      <c r="D11" s="112"/>
      <c r="E11" s="113" t="s">
        <v>334</v>
      </c>
      <c r="F11" s="112" t="s">
        <v>333</v>
      </c>
      <c r="G11" s="113" t="s">
        <v>334</v>
      </c>
      <c r="H11" s="112" t="s">
        <v>333</v>
      </c>
      <c r="I11" s="111" t="s">
        <v>335</v>
      </c>
      <c r="J11" s="110" t="s">
        <v>334</v>
      </c>
      <c r="K11" s="109" t="s">
        <v>333</v>
      </c>
      <c r="L11" s="4611" t="s">
        <v>622</v>
      </c>
      <c r="M11" s="4611"/>
    </row>
    <row r="12" spans="1:18" s="99" customFormat="1" ht="14.25" customHeight="1">
      <c r="A12" s="1237" t="s">
        <v>331</v>
      </c>
      <c r="B12" s="330" t="s">
        <v>330</v>
      </c>
      <c r="C12" s="330" t="s">
        <v>329</v>
      </c>
      <c r="D12" s="329" t="s">
        <v>328</v>
      </c>
      <c r="E12" s="329" t="s">
        <v>327</v>
      </c>
      <c r="F12" s="330" t="s">
        <v>326</v>
      </c>
      <c r="G12" s="329" t="s">
        <v>324</v>
      </c>
      <c r="H12" s="105" t="s">
        <v>323</v>
      </c>
      <c r="I12" s="329" t="s">
        <v>325</v>
      </c>
      <c r="J12" s="1236" t="s">
        <v>324</v>
      </c>
      <c r="K12" s="103" t="s">
        <v>323</v>
      </c>
      <c r="L12" s="1235" t="s">
        <v>322</v>
      </c>
      <c r="M12" s="1234" t="s">
        <v>321</v>
      </c>
      <c r="O12" s="1235" t="s">
        <v>322</v>
      </c>
      <c r="P12" s="1234" t="s">
        <v>321</v>
      </c>
    </row>
    <row r="13" spans="1:18" ht="13.15" customHeight="1" outlineLevel="1">
      <c r="A13" s="326" t="s">
        <v>320</v>
      </c>
      <c r="B13" s="326" t="s">
        <v>320</v>
      </c>
      <c r="C13" s="1233" t="s">
        <v>1124</v>
      </c>
      <c r="D13" s="1232" t="s">
        <v>1123</v>
      </c>
      <c r="E13" s="1230" t="s">
        <v>43</v>
      </c>
      <c r="F13" s="1174">
        <v>1202724</v>
      </c>
      <c r="G13" s="1230" t="s">
        <v>43</v>
      </c>
      <c r="H13" s="1145">
        <f>IF(G13="ABOLISHED",0, (VLOOKUP(G13,$A$121:$B360,2,FALSE)*12))</f>
        <v>1202724</v>
      </c>
      <c r="I13" s="1231">
        <f>SUM(H13-F13)</f>
        <v>0</v>
      </c>
      <c r="J13" s="1230" t="s">
        <v>43</v>
      </c>
      <c r="K13" s="1174">
        <f>IF(J13="ABOLISHED",0, (VLOOKUP(J13,$A$121:$C360,3,FALSE)*12))</f>
        <v>1202724</v>
      </c>
      <c r="L13" s="3">
        <f>SUM(H13/12)</f>
        <v>100227</v>
      </c>
      <c r="M13" s="66">
        <f>IF(L13&gt;=80000,1600,SUM(L13*4%)/2)</f>
        <v>1600</v>
      </c>
      <c r="O13" s="3">
        <f>SUM(K13/12)</f>
        <v>100227</v>
      </c>
      <c r="P13" s="66">
        <f>IF(O13&gt;=80000,1600,SUM(O13*4%)/2)</f>
        <v>1600</v>
      </c>
      <c r="R13" s="1">
        <f>P13-M13</f>
        <v>0</v>
      </c>
    </row>
    <row r="14" spans="1:18" s="3" customFormat="1" ht="13.15" customHeight="1" outlineLevel="1">
      <c r="A14" s="293" t="s">
        <v>314</v>
      </c>
      <c r="B14" s="293" t="s">
        <v>314</v>
      </c>
      <c r="C14" s="1225" t="s">
        <v>1122</v>
      </c>
      <c r="D14" s="1228" t="s">
        <v>788</v>
      </c>
      <c r="E14" s="1200" t="s">
        <v>61</v>
      </c>
      <c r="F14" s="1174">
        <v>904428</v>
      </c>
      <c r="G14" s="1200" t="s">
        <v>61</v>
      </c>
      <c r="H14" s="1145">
        <f>IF(G14="ABOLISHED",0, (VLOOKUP(G14,$A$121:$C361,2,FALSE)*12))</f>
        <v>904428</v>
      </c>
      <c r="I14" s="1182">
        <f>SUM(H14-F14)</f>
        <v>0</v>
      </c>
      <c r="J14" s="1200" t="s">
        <v>61</v>
      </c>
      <c r="K14" s="1174">
        <f>IF(J14="ABOLISHED",0, (VLOOKUP(J14,$A$121:$C361,3,FALSE)*12))</f>
        <v>904428</v>
      </c>
      <c r="L14" s="3">
        <f>SUM(H14/12)</f>
        <v>75369</v>
      </c>
      <c r="M14" s="66">
        <f>IF(L14&gt;=80000,1600,SUM(L14*4%)/2)</f>
        <v>1507.38</v>
      </c>
      <c r="O14" s="3">
        <f>SUM(K14/12)</f>
        <v>75369</v>
      </c>
      <c r="P14" s="66">
        <f>IF(O14&gt;=80000,1600,SUM(O14*4%)/2)</f>
        <v>1507.38</v>
      </c>
      <c r="R14" s="1">
        <f>P14-M14</f>
        <v>0</v>
      </c>
    </row>
    <row r="15" spans="1:18" s="3" customFormat="1" ht="13.15" customHeight="1" outlineLevel="1">
      <c r="A15" s="1185"/>
      <c r="B15" s="1185"/>
      <c r="C15" s="1229" t="s">
        <v>1121</v>
      </c>
      <c r="D15" s="1183"/>
      <c r="E15" s="1204"/>
      <c r="F15" s="1174" t="s">
        <v>256</v>
      </c>
      <c r="G15" s="1204"/>
      <c r="H15" s="1145" t="s">
        <v>256</v>
      </c>
      <c r="I15" s="1182"/>
      <c r="J15" s="1204"/>
      <c r="K15" s="1174"/>
      <c r="M15" s="66"/>
      <c r="P15" s="66"/>
      <c r="R15" s="1"/>
    </row>
    <row r="16" spans="1:18" s="3" customFormat="1" ht="13.15" customHeight="1" outlineLevel="1">
      <c r="A16" s="1185"/>
      <c r="B16" s="1185"/>
      <c r="C16" s="1226" t="s">
        <v>1120</v>
      </c>
      <c r="D16" s="1228"/>
      <c r="E16" s="1200"/>
      <c r="F16" s="1174" t="s">
        <v>256</v>
      </c>
      <c r="G16" s="1200"/>
      <c r="H16" s="1145" t="s">
        <v>256</v>
      </c>
      <c r="I16" s="1182"/>
      <c r="J16" s="1200"/>
      <c r="K16" s="1174"/>
      <c r="M16" s="66"/>
      <c r="P16" s="66"/>
      <c r="R16" s="1"/>
    </row>
    <row r="17" spans="1:18" s="3" customFormat="1" ht="13.15" customHeight="1" outlineLevel="1">
      <c r="A17" s="293" t="s">
        <v>311</v>
      </c>
      <c r="B17" s="293" t="s">
        <v>311</v>
      </c>
      <c r="C17" s="1177" t="s">
        <v>1119</v>
      </c>
      <c r="D17" s="1183" t="s">
        <v>1118</v>
      </c>
      <c r="E17" s="1175" t="s">
        <v>103</v>
      </c>
      <c r="F17" s="1174">
        <v>497964</v>
      </c>
      <c r="G17" s="1175" t="s">
        <v>103</v>
      </c>
      <c r="H17" s="1145">
        <f>IF(G17="ABOLISHED",0, (VLOOKUP(G17,$A$121:$C432,2,FALSE)*12))</f>
        <v>497964</v>
      </c>
      <c r="I17" s="1176">
        <f>SUM(H17-F17)</f>
        <v>0</v>
      </c>
      <c r="J17" s="1175" t="s">
        <v>103</v>
      </c>
      <c r="K17" s="1174">
        <f>IF(J17="ABOLISHED",0, (VLOOKUP(J17,$A$121:$C432,3,FALSE)*12))</f>
        <v>497964</v>
      </c>
      <c r="L17" s="3">
        <f>SUM(H17/12)</f>
        <v>41497</v>
      </c>
      <c r="M17" s="66">
        <f>IF(L17&gt;=80000,1600,SUM(L17*4%)/2)</f>
        <v>829.94</v>
      </c>
      <c r="O17" s="3">
        <f>SUM(K17/12)</f>
        <v>41497</v>
      </c>
      <c r="P17" s="66">
        <f>IF(O17&gt;=80000,1600,SUM(O17*4%)/2)</f>
        <v>829.94</v>
      </c>
      <c r="R17" s="1">
        <f>P17-M17</f>
        <v>0</v>
      </c>
    </row>
    <row r="18" spans="1:18" s="3" customFormat="1" ht="13.15" customHeight="1" outlineLevel="1">
      <c r="A18" s="293" t="s">
        <v>307</v>
      </c>
      <c r="B18" s="293"/>
      <c r="C18" s="1227" t="s">
        <v>1117</v>
      </c>
      <c r="D18" s="1180" t="s">
        <v>245</v>
      </c>
      <c r="E18" s="1215" t="s">
        <v>127</v>
      </c>
      <c r="F18" s="1174">
        <v>382752</v>
      </c>
      <c r="G18" s="1215" t="s">
        <v>252</v>
      </c>
      <c r="H18" s="1145">
        <f>IF(G18="ABOLISHED",0, (VLOOKUP(G18,$A$121:$C364,2,FALSE)*12))</f>
        <v>0</v>
      </c>
      <c r="I18" s="1182">
        <f>SUM(H18-F18)</f>
        <v>-382752</v>
      </c>
      <c r="J18" s="1215" t="s">
        <v>252</v>
      </c>
      <c r="K18" s="1174">
        <f>IF(J18="ABOLISHED",0, (VLOOKUP(J18,$A$121:$C364,3,FALSE)*12))</f>
        <v>0</v>
      </c>
      <c r="L18" s="3">
        <f>SUM(H18/12)</f>
        <v>0</v>
      </c>
      <c r="M18" s="66">
        <f>IF(L18&gt;=80000,1600,SUM(L18*4%)/2)</f>
        <v>0</v>
      </c>
      <c r="O18" s="3">
        <f>SUM(K18/12)</f>
        <v>0</v>
      </c>
      <c r="P18" s="66">
        <f>IF(O18&gt;=80000,1600,SUM(O18*4%)/2)</f>
        <v>0</v>
      </c>
      <c r="R18" s="1">
        <f>P18-M18</f>
        <v>0</v>
      </c>
    </row>
    <row r="19" spans="1:18" s="3" customFormat="1" ht="13.15" customHeight="1" outlineLevel="1">
      <c r="A19" s="1185"/>
      <c r="B19" s="1185"/>
      <c r="C19" s="1226" t="s">
        <v>728</v>
      </c>
      <c r="D19" s="1145"/>
      <c r="E19" s="1200"/>
      <c r="F19" s="1174" t="s">
        <v>256</v>
      </c>
      <c r="G19" s="1200"/>
      <c r="H19" s="1145" t="s">
        <v>256</v>
      </c>
      <c r="I19" s="1182"/>
      <c r="J19" s="1200"/>
      <c r="K19" s="1174"/>
      <c r="M19" s="66"/>
      <c r="P19" s="66"/>
      <c r="R19" s="1"/>
    </row>
    <row r="20" spans="1:18" s="3" customFormat="1" ht="13.15" customHeight="1" outlineLevel="1">
      <c r="A20" s="293" t="s">
        <v>304</v>
      </c>
      <c r="B20" s="293" t="s">
        <v>307</v>
      </c>
      <c r="C20" s="1177" t="s">
        <v>1116</v>
      </c>
      <c r="D20" s="1201" t="s">
        <v>1115</v>
      </c>
      <c r="E20" s="1175" t="s">
        <v>159</v>
      </c>
      <c r="F20" s="1174">
        <v>272196</v>
      </c>
      <c r="G20" s="1175" t="s">
        <v>159</v>
      </c>
      <c r="H20" s="1145">
        <f>IF(G20="ABOLISHED",0, (VLOOKUP(G20,$A$121:$C433,2,FALSE)*12))</f>
        <v>272196</v>
      </c>
      <c r="I20" s="1176">
        <f t="shared" ref="I20:I25" si="0">SUM(H20-F20)</f>
        <v>0</v>
      </c>
      <c r="J20" s="1175" t="s">
        <v>159</v>
      </c>
      <c r="K20" s="1174">
        <f>IF(J20="ABOLISHED",0, (VLOOKUP(J20,$A$121:$C433,3,FALSE)*12))</f>
        <v>272196</v>
      </c>
      <c r="L20" s="3">
        <f t="shared" ref="L20:L25" si="1">SUM(H20/12)</f>
        <v>22683</v>
      </c>
      <c r="M20" s="66">
        <f t="shared" ref="M20:M25" si="2">IF(L20&gt;=80000,1600,SUM(L20*4%)/2)</f>
        <v>453.66</v>
      </c>
      <c r="O20" s="3">
        <f t="shared" ref="O20:O25" si="3">SUM(K20/12)</f>
        <v>22683</v>
      </c>
      <c r="P20" s="66">
        <f t="shared" ref="P20:P25" si="4">IF(O20&gt;=80000,1600,SUM(O20*4%)/2)</f>
        <v>453.66</v>
      </c>
      <c r="R20" s="1">
        <f t="shared" ref="R20:R25" si="5">P20-M20</f>
        <v>0</v>
      </c>
    </row>
    <row r="21" spans="1:18" s="3" customFormat="1" ht="13.15" customHeight="1" outlineLevel="1">
      <c r="A21" s="293" t="s">
        <v>1060</v>
      </c>
      <c r="B21" s="293" t="s">
        <v>304</v>
      </c>
      <c r="C21" s="1190" t="s">
        <v>512</v>
      </c>
      <c r="D21" s="1180" t="s">
        <v>1114</v>
      </c>
      <c r="E21" s="1187" t="s">
        <v>159</v>
      </c>
      <c r="F21" s="1174">
        <v>272196</v>
      </c>
      <c r="G21" s="1187" t="s">
        <v>159</v>
      </c>
      <c r="H21" s="1145">
        <f>IF(G21="ABOLISHED",0, (VLOOKUP(G21,$A$121:$C403,2,FALSE)*12))</f>
        <v>272196</v>
      </c>
      <c r="I21" s="1188">
        <f t="shared" si="0"/>
        <v>0</v>
      </c>
      <c r="J21" s="1187" t="s">
        <v>159</v>
      </c>
      <c r="K21" s="1174">
        <f>IF(J21="ABOLISHED",0, (VLOOKUP(J21,$A$121:$C403,3,FALSE)*12))</f>
        <v>272196</v>
      </c>
      <c r="L21" s="3">
        <f t="shared" si="1"/>
        <v>22683</v>
      </c>
      <c r="M21" s="66">
        <f t="shared" si="2"/>
        <v>453.66</v>
      </c>
      <c r="O21" s="3">
        <f t="shared" si="3"/>
        <v>22683</v>
      </c>
      <c r="P21" s="66">
        <f t="shared" si="4"/>
        <v>453.66</v>
      </c>
      <c r="R21" s="1">
        <f t="shared" si="5"/>
        <v>0</v>
      </c>
    </row>
    <row r="22" spans="1:18" s="3" customFormat="1" ht="13.15" customHeight="1" outlineLevel="1">
      <c r="A22" s="293" t="s">
        <v>308</v>
      </c>
      <c r="B22" s="293" t="s">
        <v>308</v>
      </c>
      <c r="C22" s="1225" t="s">
        <v>1098</v>
      </c>
      <c r="D22" s="1201" t="s">
        <v>245</v>
      </c>
      <c r="E22" s="1207" t="s">
        <v>182</v>
      </c>
      <c r="F22" s="1174">
        <v>209952</v>
      </c>
      <c r="G22" s="1207" t="s">
        <v>183</v>
      </c>
      <c r="H22" s="1145">
        <f>IF(G22="ABOLISHED",0, (VLOOKUP(G22,$A$121:$C366,2,FALSE)*12))</f>
        <v>208056</v>
      </c>
      <c r="I22" s="1182">
        <f t="shared" si="0"/>
        <v>-1896</v>
      </c>
      <c r="J22" s="1207" t="s">
        <v>183</v>
      </c>
      <c r="K22" s="1174">
        <f>IF(J22="ABOLISHED",0, (VLOOKUP(J22,$A$121:$C366,3,FALSE)*12))</f>
        <v>208056</v>
      </c>
      <c r="L22" s="3">
        <f t="shared" si="1"/>
        <v>17338</v>
      </c>
      <c r="M22" s="66">
        <f t="shared" si="2"/>
        <v>346.76</v>
      </c>
      <c r="O22" s="3">
        <f t="shared" si="3"/>
        <v>17338</v>
      </c>
      <c r="P22" s="66">
        <f t="shared" si="4"/>
        <v>346.76</v>
      </c>
      <c r="R22" s="1">
        <f t="shared" si="5"/>
        <v>0</v>
      </c>
    </row>
    <row r="23" spans="1:18" s="3" customFormat="1" ht="13.15" customHeight="1" outlineLevel="1">
      <c r="A23" s="65" t="s">
        <v>493</v>
      </c>
      <c r="B23" s="293" t="s">
        <v>294</v>
      </c>
      <c r="C23" s="1199" t="s">
        <v>886</v>
      </c>
      <c r="D23" s="1201" t="s">
        <v>1113</v>
      </c>
      <c r="E23" s="1175" t="s">
        <v>215</v>
      </c>
      <c r="F23" s="1186">
        <v>164160</v>
      </c>
      <c r="G23" s="1175" t="s">
        <v>215</v>
      </c>
      <c r="H23" s="1142">
        <f>IF(G23="ABOLISHED",0, (VLOOKUP(G23,$A$121:$C435,2,FALSE)*12))</f>
        <v>164160</v>
      </c>
      <c r="I23" s="1198">
        <f t="shared" si="0"/>
        <v>0</v>
      </c>
      <c r="J23" s="1175" t="s">
        <v>215</v>
      </c>
      <c r="K23" s="1186">
        <f>IF(J23="ABOLISHED",0, (VLOOKUP(J23,$A$121:$C435,3,FALSE)*12))</f>
        <v>164160</v>
      </c>
      <c r="L23" s="3">
        <f t="shared" si="1"/>
        <v>13680</v>
      </c>
      <c r="M23" s="66">
        <f t="shared" si="2"/>
        <v>273.60000000000002</v>
      </c>
      <c r="O23" s="3">
        <f t="shared" si="3"/>
        <v>13680</v>
      </c>
      <c r="P23" s="66">
        <f t="shared" si="4"/>
        <v>273.60000000000002</v>
      </c>
      <c r="R23" s="1">
        <f t="shared" si="5"/>
        <v>0</v>
      </c>
    </row>
    <row r="24" spans="1:18" s="3" customFormat="1" ht="13.15" customHeight="1" outlineLevel="1">
      <c r="A24" s="65" t="s">
        <v>301</v>
      </c>
      <c r="B24" s="65" t="s">
        <v>301</v>
      </c>
      <c r="C24" s="1208" t="s">
        <v>1112</v>
      </c>
      <c r="D24" s="1201" t="s">
        <v>245</v>
      </c>
      <c r="E24" s="1215" t="s">
        <v>231</v>
      </c>
      <c r="F24" s="1174">
        <v>145812</v>
      </c>
      <c r="G24" s="1215" t="s">
        <v>231</v>
      </c>
      <c r="H24" s="1145">
        <f>IF(G24="ABOLISHED",0, (VLOOKUP(G24,$A$121:$C368,2,FALSE)*12))</f>
        <v>145812</v>
      </c>
      <c r="I24" s="1179">
        <f t="shared" si="0"/>
        <v>0</v>
      </c>
      <c r="J24" s="1215" t="s">
        <v>231</v>
      </c>
      <c r="K24" s="1174">
        <f>IF(J24="ABOLISHED",0, (VLOOKUP(J24,$A$121:$C368,3,FALSE)*12))</f>
        <v>145812</v>
      </c>
      <c r="L24" s="3">
        <f t="shared" si="1"/>
        <v>12151</v>
      </c>
      <c r="M24" s="66">
        <f t="shared" si="2"/>
        <v>243.02</v>
      </c>
      <c r="O24" s="3">
        <f t="shared" si="3"/>
        <v>12151</v>
      </c>
      <c r="P24" s="66">
        <f t="shared" si="4"/>
        <v>243.02</v>
      </c>
      <c r="R24" s="1">
        <f t="shared" si="5"/>
        <v>0</v>
      </c>
    </row>
    <row r="25" spans="1:18" s="921" customFormat="1" ht="13.15" customHeight="1" outlineLevel="1">
      <c r="A25" s="65" t="s">
        <v>297</v>
      </c>
      <c r="B25" s="65" t="s">
        <v>297</v>
      </c>
      <c r="C25" s="1204" t="s">
        <v>246</v>
      </c>
      <c r="D25" s="1180" t="s">
        <v>1111</v>
      </c>
      <c r="E25" s="1178" t="s">
        <v>230</v>
      </c>
      <c r="F25" s="1174">
        <v>146928</v>
      </c>
      <c r="G25" s="1178" t="s">
        <v>230</v>
      </c>
      <c r="H25" s="1145">
        <f>IF(G25="ABOLISHED",0, (VLOOKUP(G25,$A$121:$C369,2,FALSE)*12))</f>
        <v>146928</v>
      </c>
      <c r="I25" s="1179">
        <f t="shared" si="0"/>
        <v>0</v>
      </c>
      <c r="J25" s="1178" t="s">
        <v>230</v>
      </c>
      <c r="K25" s="1174">
        <f>IF(J25="ABOLISHED",0, (VLOOKUP(J25,$A$121:$C369,3,FALSE)*12))</f>
        <v>146928</v>
      </c>
      <c r="L25" s="3">
        <f t="shared" si="1"/>
        <v>12244</v>
      </c>
      <c r="M25" s="66">
        <f t="shared" si="2"/>
        <v>244.88</v>
      </c>
      <c r="O25" s="3">
        <f t="shared" si="3"/>
        <v>12244</v>
      </c>
      <c r="P25" s="66">
        <f t="shared" si="4"/>
        <v>244.88</v>
      </c>
      <c r="R25" s="1">
        <f t="shared" si="5"/>
        <v>0</v>
      </c>
    </row>
    <row r="26" spans="1:18" s="3" customFormat="1" ht="13.15" customHeight="1" outlineLevel="1">
      <c r="A26" s="1185"/>
      <c r="B26" s="65"/>
      <c r="C26" s="1223" t="s">
        <v>1110</v>
      </c>
      <c r="D26" s="1201"/>
      <c r="E26" s="1215"/>
      <c r="F26" s="1174" t="s">
        <v>256</v>
      </c>
      <c r="G26" s="1215"/>
      <c r="H26" s="1145" t="s">
        <v>256</v>
      </c>
      <c r="I26" s="1179"/>
      <c r="J26" s="1215"/>
      <c r="K26" s="1174"/>
      <c r="M26" s="66"/>
      <c r="P26" s="66"/>
      <c r="R26" s="1"/>
    </row>
    <row r="27" spans="1:18" s="3" customFormat="1" ht="13.15" customHeight="1" outlineLevel="1">
      <c r="A27" s="65" t="s">
        <v>290</v>
      </c>
      <c r="B27" s="65" t="s">
        <v>290</v>
      </c>
      <c r="C27" s="1221" t="s">
        <v>1109</v>
      </c>
      <c r="D27" s="1205" t="s">
        <v>1108</v>
      </c>
      <c r="E27" s="1215" t="s">
        <v>214</v>
      </c>
      <c r="F27" s="1174">
        <v>165420</v>
      </c>
      <c r="G27" s="1215" t="s">
        <v>213</v>
      </c>
      <c r="H27" s="1145">
        <f>IF(G27="ABOLISHED",0, (VLOOKUP(G27,$A$121:$C371,2,FALSE)*12))</f>
        <v>166692</v>
      </c>
      <c r="I27" s="1179">
        <f>SUM(H27-F27)</f>
        <v>1272</v>
      </c>
      <c r="J27" s="1215" t="s">
        <v>213</v>
      </c>
      <c r="K27" s="1174">
        <f>IF(J27="ABOLISHED",0, (VLOOKUP(J27,$A$121:$C371,3,FALSE)*12))</f>
        <v>166692</v>
      </c>
      <c r="L27" s="3">
        <f>SUM(H27/12)</f>
        <v>13891</v>
      </c>
      <c r="M27" s="66">
        <f>IF(L27&gt;=80000,1600,SUM(L27*4%)/2)</f>
        <v>277.82</v>
      </c>
      <c r="O27" s="3">
        <f>SUM(K27/12)</f>
        <v>13891</v>
      </c>
      <c r="P27" s="66">
        <f>IF(O27&gt;=80000,1600,SUM(O27*4%)/2)</f>
        <v>277.82</v>
      </c>
      <c r="R27" s="1">
        <f>P27-M27</f>
        <v>0</v>
      </c>
    </row>
    <row r="28" spans="1:18" s="3" customFormat="1" ht="13.15" customHeight="1" outlineLevel="1">
      <c r="A28" s="65" t="s">
        <v>286</v>
      </c>
      <c r="B28" s="65" t="s">
        <v>286</v>
      </c>
      <c r="C28" s="1204" t="s">
        <v>246</v>
      </c>
      <c r="D28" s="1180" t="s">
        <v>1107</v>
      </c>
      <c r="E28" s="1178" t="s">
        <v>229</v>
      </c>
      <c r="F28" s="1174">
        <v>148056</v>
      </c>
      <c r="G28" s="1178" t="s">
        <v>229</v>
      </c>
      <c r="H28" s="1145">
        <f>IF(G28="ABOLISHED",0, (VLOOKUP(G28,$A$121:$C372,2,FALSE)*12))</f>
        <v>148056</v>
      </c>
      <c r="I28" s="1179">
        <f>SUM(H28-F28)</f>
        <v>0</v>
      </c>
      <c r="J28" s="1178" t="s">
        <v>229</v>
      </c>
      <c r="K28" s="1174">
        <f>IF(J28="ABOLISHED",0, (VLOOKUP(J28,$A$121:$C372,3,FALSE)*12))</f>
        <v>148056</v>
      </c>
      <c r="L28" s="3">
        <f>SUM(H28/12)</f>
        <v>12338</v>
      </c>
      <c r="M28" s="66">
        <f>IF(L28&gt;=80000,1600,SUM(L28*4%)/2)</f>
        <v>246.76000000000002</v>
      </c>
      <c r="O28" s="3">
        <f>SUM(K28/12)</f>
        <v>12338</v>
      </c>
      <c r="P28" s="66">
        <f>IF(O28&gt;=80000,1600,SUM(O28*4%)/2)</f>
        <v>246.76000000000002</v>
      </c>
      <c r="R28" s="1">
        <f>P28-M28</f>
        <v>0</v>
      </c>
    </row>
    <row r="29" spans="1:18" s="3" customFormat="1" ht="13.15" customHeight="1" outlineLevel="1">
      <c r="A29" s="1185"/>
      <c r="B29" s="1185"/>
      <c r="C29" s="1223" t="s">
        <v>719</v>
      </c>
      <c r="D29" s="1201"/>
      <c r="E29" s="1215"/>
      <c r="F29" s="1174" t="s">
        <v>256</v>
      </c>
      <c r="G29" s="1215"/>
      <c r="H29" s="1145" t="s">
        <v>256</v>
      </c>
      <c r="I29" s="1179"/>
      <c r="J29" s="1215"/>
      <c r="K29" s="1174"/>
      <c r="M29" s="66"/>
      <c r="P29" s="66"/>
      <c r="R29" s="1"/>
    </row>
    <row r="30" spans="1:18" s="3" customFormat="1" ht="13.15" customHeight="1" outlineLevel="1">
      <c r="A30" s="65" t="s">
        <v>283</v>
      </c>
      <c r="B30" s="65" t="s">
        <v>283</v>
      </c>
      <c r="C30" s="1221" t="s">
        <v>590</v>
      </c>
      <c r="D30" s="1205" t="s">
        <v>1106</v>
      </c>
      <c r="E30" s="1215" t="s">
        <v>214</v>
      </c>
      <c r="F30" s="1174">
        <v>165420</v>
      </c>
      <c r="G30" s="1215" t="s">
        <v>214</v>
      </c>
      <c r="H30" s="1145">
        <f>IF(G30="ABOLISHED",0, (VLOOKUP(G30,$A$121:$C374,2,FALSE)*12))</f>
        <v>165420</v>
      </c>
      <c r="I30" s="1179">
        <f>SUM(H30-F30)</f>
        <v>0</v>
      </c>
      <c r="J30" s="1215" t="s">
        <v>214</v>
      </c>
      <c r="K30" s="1174">
        <f>IF(J30="ABOLISHED",0, (VLOOKUP(J30,$A$121:$C374,3,FALSE)*12))</f>
        <v>165420</v>
      </c>
      <c r="L30" s="3">
        <f>SUM(H30/12)</f>
        <v>13785</v>
      </c>
      <c r="M30" s="66">
        <f>IF(L30&gt;=80000,1600,SUM(L30*4%)/2)</f>
        <v>275.7</v>
      </c>
      <c r="O30" s="3">
        <f>SUM(K30/12)</f>
        <v>13785</v>
      </c>
      <c r="P30" s="66">
        <f>IF(O30&gt;=80000,1600,SUM(O30*4%)/2)</f>
        <v>275.7</v>
      </c>
      <c r="R30" s="1">
        <f>P30-M30</f>
        <v>0</v>
      </c>
    </row>
    <row r="31" spans="1:18" s="3" customFormat="1" ht="13.15" customHeight="1" outlineLevel="1">
      <c r="A31" s="65"/>
      <c r="B31" s="65" t="s">
        <v>280</v>
      </c>
      <c r="C31" s="1204" t="s">
        <v>1105</v>
      </c>
      <c r="D31" s="1205" t="s">
        <v>245</v>
      </c>
      <c r="E31" s="1215"/>
      <c r="F31" s="1174"/>
      <c r="G31" s="1215" t="s">
        <v>223</v>
      </c>
      <c r="H31" s="1145">
        <f>IF(G31="ABOLISHED",0, (VLOOKUP(G31,$A$121:$C375,2,FALSE)*12))</f>
        <v>154716</v>
      </c>
      <c r="I31" s="1179">
        <f>SUM(H31-F31)</f>
        <v>154716</v>
      </c>
      <c r="J31" s="1215" t="s">
        <v>223</v>
      </c>
      <c r="K31" s="1174">
        <f>IF(J31="ABOLISHED",0, (VLOOKUP(J31,$A$121:$C375,3,FALSE)*12))</f>
        <v>154716</v>
      </c>
      <c r="L31" s="3">
        <f>SUM(H31/12)</f>
        <v>12893</v>
      </c>
      <c r="M31" s="66">
        <f>IF(L31&gt;=80000,1600,SUM(L31*4%)/2)</f>
        <v>257.86</v>
      </c>
      <c r="O31" s="3">
        <f>SUM(K31/12)</f>
        <v>12893</v>
      </c>
      <c r="P31" s="66">
        <f>IF(O31&gt;=80000,1600,SUM(O31*4%)/2)</f>
        <v>257.86</v>
      </c>
      <c r="R31" s="1">
        <f>P31-M31</f>
        <v>0</v>
      </c>
    </row>
    <row r="32" spans="1:18" s="921" customFormat="1" ht="13.15" customHeight="1" outlineLevel="1">
      <c r="A32" s="411" t="s">
        <v>280</v>
      </c>
      <c r="B32" s="411" t="s">
        <v>278</v>
      </c>
      <c r="C32" s="1224" t="s">
        <v>1104</v>
      </c>
      <c r="D32" s="1180" t="s">
        <v>1103</v>
      </c>
      <c r="E32" s="1219" t="s">
        <v>238</v>
      </c>
      <c r="F32" s="1174">
        <v>138324</v>
      </c>
      <c r="G32" s="1219" t="s">
        <v>238</v>
      </c>
      <c r="H32" s="1145">
        <f>IF(G32="ABOLISHED",0, (VLOOKUP(G32,$A$121:$C375,2,FALSE)*12))</f>
        <v>138324</v>
      </c>
      <c r="I32" s="1220">
        <f>SUM(H32-F32)</f>
        <v>0</v>
      </c>
      <c r="J32" s="1219" t="s">
        <v>238</v>
      </c>
      <c r="K32" s="1174">
        <f>IF(J32="ABOLISHED",0, (VLOOKUP(J32,$A$121:$C375,3,FALSE)*12))</f>
        <v>138324</v>
      </c>
      <c r="L32" s="921">
        <f>SUM(H32/12)</f>
        <v>11527</v>
      </c>
      <c r="M32" s="66">
        <f>IF(L32&gt;=80000,1600,SUM(L32*4%)/2)</f>
        <v>230.54</v>
      </c>
      <c r="O32" s="921">
        <f>SUM(K32/12)</f>
        <v>11527</v>
      </c>
      <c r="P32" s="66">
        <f>IF(O32&gt;=80000,1600,SUM(O32*4%)/2)</f>
        <v>230.54</v>
      </c>
      <c r="R32" s="1">
        <f>P32-M32</f>
        <v>0</v>
      </c>
    </row>
    <row r="33" spans="1:18" s="3" customFormat="1" ht="13.15" customHeight="1" outlineLevel="1">
      <c r="A33" s="1185"/>
      <c r="B33" s="1185"/>
      <c r="C33" s="1217" t="s">
        <v>1102</v>
      </c>
      <c r="D33" s="1201"/>
      <c r="E33" s="1215"/>
      <c r="F33" s="1174" t="s">
        <v>256</v>
      </c>
      <c r="G33" s="1215"/>
      <c r="H33" s="1145" t="s">
        <v>256</v>
      </c>
      <c r="I33" s="1179"/>
      <c r="J33" s="1215"/>
      <c r="K33" s="1174"/>
      <c r="M33" s="66"/>
      <c r="P33" s="66"/>
      <c r="R33" s="1"/>
    </row>
    <row r="34" spans="1:18" s="3" customFormat="1" ht="13.15" customHeight="1" outlineLevel="1">
      <c r="A34" s="1185"/>
      <c r="B34" s="1185"/>
      <c r="C34" s="1223" t="s">
        <v>1101</v>
      </c>
      <c r="D34" s="1201"/>
      <c r="E34" s="1215"/>
      <c r="F34" s="1174" t="s">
        <v>256</v>
      </c>
      <c r="G34" s="1215"/>
      <c r="H34" s="1145" t="s">
        <v>256</v>
      </c>
      <c r="I34" s="1179"/>
      <c r="J34" s="1215"/>
      <c r="K34" s="1174"/>
      <c r="M34" s="66"/>
      <c r="P34" s="66"/>
      <c r="R34" s="1"/>
    </row>
    <row r="35" spans="1:18" s="921" customFormat="1" ht="13.15" customHeight="1" outlineLevel="1">
      <c r="A35" s="65" t="s">
        <v>278</v>
      </c>
      <c r="B35" s="65" t="s">
        <v>275</v>
      </c>
      <c r="C35" s="1222" t="s">
        <v>1100</v>
      </c>
      <c r="D35" s="1180" t="s">
        <v>1099</v>
      </c>
      <c r="E35" s="1219" t="s">
        <v>158</v>
      </c>
      <c r="F35" s="1174">
        <v>275436</v>
      </c>
      <c r="G35" s="1219" t="s">
        <v>158</v>
      </c>
      <c r="H35" s="1145">
        <f>IF(G35="ABOLISHED",0, (VLOOKUP(G35,$A$121:$C412,2,FALSE)*12))</f>
        <v>275436</v>
      </c>
      <c r="I35" s="1220">
        <f>SUM(H35-F35)</f>
        <v>0</v>
      </c>
      <c r="J35" s="1219" t="s">
        <v>158</v>
      </c>
      <c r="K35" s="1174">
        <f>IF(J35="ABOLISHED",0, (VLOOKUP(J35,$A$121:$C412,3,FALSE)*12))</f>
        <v>275436</v>
      </c>
      <c r="L35" s="921">
        <f>SUM(H35/12)</f>
        <v>22953</v>
      </c>
      <c r="M35" s="66">
        <f>IF(L35&gt;=80000,1600,SUM(L35*4%)/2)</f>
        <v>459.06</v>
      </c>
      <c r="O35" s="921">
        <f>SUM(K35/12)</f>
        <v>22953</v>
      </c>
      <c r="P35" s="66">
        <f>IF(O35&gt;=80000,1600,SUM(O35*4%)/2)</f>
        <v>459.06</v>
      </c>
      <c r="R35" s="1">
        <f>P35-M35</f>
        <v>0</v>
      </c>
    </row>
    <row r="36" spans="1:18" s="3" customFormat="1" ht="13.15" customHeight="1" outlineLevel="1">
      <c r="A36" s="65" t="s">
        <v>275</v>
      </c>
      <c r="B36" s="65"/>
      <c r="C36" s="1221" t="s">
        <v>1098</v>
      </c>
      <c r="D36" s="1180" t="s">
        <v>245</v>
      </c>
      <c r="E36" s="1215" t="s">
        <v>183</v>
      </c>
      <c r="F36" s="1174">
        <v>208056</v>
      </c>
      <c r="G36" s="1215" t="s">
        <v>252</v>
      </c>
      <c r="H36" s="1145">
        <f>IF(G36="ABOLISHED",0, (VLOOKUP(G36,$A$121:$C378,2,FALSE)*12))</f>
        <v>0</v>
      </c>
      <c r="I36" s="1179">
        <f>SUM(H36-F36)</f>
        <v>-208056</v>
      </c>
      <c r="J36" s="1215" t="s">
        <v>252</v>
      </c>
      <c r="K36" s="1174">
        <f>IF(J36="ABOLISHED",0, (VLOOKUP(J36,$A$121:$C378,3,FALSE)*12))</f>
        <v>0</v>
      </c>
      <c r="L36" s="3">
        <f>SUM(H36/12)</f>
        <v>0</v>
      </c>
      <c r="M36" s="66">
        <f>IF(L36&gt;=80000,1600,SUM(L36*4%)/2)</f>
        <v>0</v>
      </c>
      <c r="O36" s="3">
        <f>SUM(K36/12)</f>
        <v>0</v>
      </c>
      <c r="P36" s="66">
        <f>IF(O36&gt;=80000,1600,SUM(O36*4%)/2)</f>
        <v>0</v>
      </c>
      <c r="R36" s="1">
        <f>P36-M36</f>
        <v>0</v>
      </c>
    </row>
    <row r="37" spans="1:18" s="3" customFormat="1" ht="13.15" customHeight="1" outlineLevel="1">
      <c r="A37" s="293" t="s">
        <v>272</v>
      </c>
      <c r="B37" s="293" t="s">
        <v>272</v>
      </c>
      <c r="C37" s="1177" t="s">
        <v>509</v>
      </c>
      <c r="D37" s="1201" t="s">
        <v>1097</v>
      </c>
      <c r="E37" s="1175" t="s">
        <v>199</v>
      </c>
      <c r="F37" s="1174">
        <v>184680</v>
      </c>
      <c r="G37" s="1175" t="s">
        <v>199</v>
      </c>
      <c r="H37" s="1145">
        <f>IF(G37="ABOLISHED",0, (VLOOKUP(G37,$A$121:$C434,2,FALSE)*12))</f>
        <v>184680</v>
      </c>
      <c r="I37" s="1176">
        <f>SUM(H37-F37)</f>
        <v>0</v>
      </c>
      <c r="J37" s="1175" t="s">
        <v>199</v>
      </c>
      <c r="K37" s="1174">
        <f>IF(J37="ABOLISHED",0, (VLOOKUP(J37,$A$121:$C434,3,FALSE)*12))</f>
        <v>184680</v>
      </c>
      <c r="L37" s="3">
        <f>SUM(H37/12)</f>
        <v>15390</v>
      </c>
      <c r="M37" s="66">
        <f>IF(L37&gt;=80000,1600,SUM(L37*4%)/2)</f>
        <v>307.8</v>
      </c>
      <c r="O37" s="3">
        <f>SUM(K37/12)</f>
        <v>15390</v>
      </c>
      <c r="P37" s="66">
        <f>IF(O37&gt;=80000,1600,SUM(O37*4%)/2)</f>
        <v>307.8</v>
      </c>
      <c r="R37" s="1">
        <f>P37-M37</f>
        <v>0</v>
      </c>
    </row>
    <row r="38" spans="1:18" s="3" customFormat="1" ht="13.15" customHeight="1" outlineLevel="1">
      <c r="A38" s="65" t="s">
        <v>268</v>
      </c>
      <c r="B38" s="65" t="s">
        <v>268</v>
      </c>
      <c r="C38" s="1181" t="s">
        <v>517</v>
      </c>
      <c r="D38" s="1180" t="s">
        <v>245</v>
      </c>
      <c r="E38" s="1200" t="s">
        <v>215</v>
      </c>
      <c r="F38" s="1174">
        <v>164160</v>
      </c>
      <c r="G38" s="1200" t="s">
        <v>215</v>
      </c>
      <c r="H38" s="1145">
        <f>IF(G38="ABOLISHED",0, (VLOOKUP(G38,$A$121:$C379,2,FALSE)*12))</f>
        <v>164160</v>
      </c>
      <c r="I38" s="1179">
        <f>SUM(H38-F38)</f>
        <v>0</v>
      </c>
      <c r="J38" s="1200" t="s">
        <v>215</v>
      </c>
      <c r="K38" s="1174">
        <f>IF(J38="ABOLISHED",0, (VLOOKUP(J38,$A$121:$C379,3,FALSE)*12))</f>
        <v>164160</v>
      </c>
      <c r="L38" s="3">
        <f>SUM(H38/12)</f>
        <v>13680</v>
      </c>
      <c r="M38" s="66">
        <f>IF(L38&gt;=80000,1600,SUM(L38*4%)/2)</f>
        <v>273.60000000000002</v>
      </c>
      <c r="O38" s="3">
        <f>SUM(K38/12)</f>
        <v>13680</v>
      </c>
      <c r="P38" s="66">
        <f>IF(O38&gt;=80000,1600,SUM(O38*4%)/2)</f>
        <v>273.60000000000002</v>
      </c>
      <c r="R38" s="1">
        <f>P38-M38</f>
        <v>0</v>
      </c>
    </row>
    <row r="39" spans="1:18" s="3" customFormat="1" ht="13.15" customHeight="1" outlineLevel="1">
      <c r="A39" s="1185"/>
      <c r="B39" s="1185"/>
      <c r="C39" s="1195" t="s">
        <v>1096</v>
      </c>
      <c r="D39" s="1201"/>
      <c r="E39" s="1200"/>
      <c r="F39" s="1174" t="s">
        <v>256</v>
      </c>
      <c r="G39" s="1200"/>
      <c r="H39" s="1145" t="s">
        <v>256</v>
      </c>
      <c r="I39" s="1179"/>
      <c r="J39" s="1200"/>
      <c r="K39" s="1174"/>
      <c r="M39" s="66"/>
      <c r="P39" s="66"/>
      <c r="R39" s="1"/>
    </row>
    <row r="40" spans="1:18" s="3" customFormat="1" ht="13.15" customHeight="1" outlineLevel="1">
      <c r="A40" s="65" t="s">
        <v>265</v>
      </c>
      <c r="B40" s="65" t="s">
        <v>265</v>
      </c>
      <c r="C40" s="1221" t="s">
        <v>1095</v>
      </c>
      <c r="D40" s="1201" t="s">
        <v>1094</v>
      </c>
      <c r="E40" s="1215" t="s">
        <v>191</v>
      </c>
      <c r="F40" s="1186">
        <v>195840</v>
      </c>
      <c r="G40" s="1215" t="s">
        <v>191</v>
      </c>
      <c r="H40" s="1142">
        <f>IF(G40="ABOLISHED",0, (VLOOKUP(G40,$A$121:$C380,2,FALSE)*12))</f>
        <v>195840</v>
      </c>
      <c r="I40" s="1179">
        <f>SUM(H40-F40)</f>
        <v>0</v>
      </c>
      <c r="J40" s="1215" t="s">
        <v>191</v>
      </c>
      <c r="K40" s="1186">
        <f>IF(J40="ABOLISHED",0, (VLOOKUP(J40,$A$121:$C380,3,FALSE)*12))</f>
        <v>195840</v>
      </c>
      <c r="L40" s="3">
        <f>SUM(H40/12)</f>
        <v>16320</v>
      </c>
      <c r="M40" s="66">
        <f>IF(L40&gt;=80000,1600,SUM(L40*4%)/2)</f>
        <v>326.40000000000003</v>
      </c>
      <c r="O40" s="3">
        <f>SUM(K40/12)</f>
        <v>16320</v>
      </c>
      <c r="P40" s="66">
        <f>IF(O40&gt;=80000,1600,SUM(O40*4%)/2)</f>
        <v>326.40000000000003</v>
      </c>
      <c r="R40" s="1">
        <f>P40-M40</f>
        <v>0</v>
      </c>
    </row>
    <row r="41" spans="1:18" s="3" customFormat="1" ht="13.15" customHeight="1" outlineLevel="1">
      <c r="A41" s="65" t="s">
        <v>260</v>
      </c>
      <c r="B41" s="65" t="s">
        <v>262</v>
      </c>
      <c r="C41" s="1221" t="s">
        <v>1093</v>
      </c>
      <c r="D41" s="1201" t="s">
        <v>245</v>
      </c>
      <c r="E41" s="1215" t="s">
        <v>212</v>
      </c>
      <c r="F41" s="1174">
        <v>167976</v>
      </c>
      <c r="G41" s="1215" t="s">
        <v>215</v>
      </c>
      <c r="H41" s="1145">
        <f>IF(G41="ABOLISHED",0, (VLOOKUP(G41,$A$121:$C381,2,FALSE)*12))</f>
        <v>164160</v>
      </c>
      <c r="I41" s="1179">
        <f>SUM(H41-F41)</f>
        <v>-3816</v>
      </c>
      <c r="J41" s="1215" t="s">
        <v>215</v>
      </c>
      <c r="K41" s="1174">
        <f>IF(J41="ABOLISHED",0, (VLOOKUP(J41,$A$121:$C381,3,FALSE)*12))</f>
        <v>164160</v>
      </c>
      <c r="L41" s="3">
        <f>SUM(H41/12)</f>
        <v>13680</v>
      </c>
      <c r="M41" s="66">
        <f>IF(L41&gt;=80000,1600,SUM(L41*4%)/2)</f>
        <v>273.60000000000002</v>
      </c>
      <c r="O41" s="3">
        <f>SUM(K41/12)</f>
        <v>13680</v>
      </c>
      <c r="P41" s="66">
        <f>IF(O41&gt;=80000,1600,SUM(O41*4%)/2)</f>
        <v>273.60000000000002</v>
      </c>
      <c r="R41" s="1">
        <f>P41-M41</f>
        <v>0</v>
      </c>
    </row>
    <row r="42" spans="1:18" s="3" customFormat="1" ht="13.15" customHeight="1" outlineLevel="1">
      <c r="A42" s="1185"/>
      <c r="B42" s="1185"/>
      <c r="C42" s="1217" t="s">
        <v>1092</v>
      </c>
      <c r="D42" s="1201"/>
      <c r="E42" s="1200"/>
      <c r="F42" s="1174" t="s">
        <v>256</v>
      </c>
      <c r="G42" s="1200"/>
      <c r="H42" s="1145" t="s">
        <v>256</v>
      </c>
      <c r="I42" s="1179"/>
      <c r="J42" s="1200"/>
      <c r="K42" s="1174"/>
      <c r="M42" s="66"/>
      <c r="P42" s="66"/>
      <c r="R42" s="1"/>
    </row>
    <row r="43" spans="1:18" s="3" customFormat="1" ht="13.15" customHeight="1" outlineLevel="1">
      <c r="A43" s="65" t="s">
        <v>254</v>
      </c>
      <c r="B43" s="65" t="s">
        <v>260</v>
      </c>
      <c r="C43" s="1208" t="s">
        <v>1091</v>
      </c>
      <c r="D43" s="1180" t="s">
        <v>1090</v>
      </c>
      <c r="E43" s="1215" t="s">
        <v>71</v>
      </c>
      <c r="F43" s="1186">
        <v>779928</v>
      </c>
      <c r="G43" s="1215" t="s">
        <v>70</v>
      </c>
      <c r="H43" s="1142">
        <f>IF(G43="ABOLISHED",0, (VLOOKUP(G43,$A$121:$C383,2,FALSE)*12))</f>
        <v>792084</v>
      </c>
      <c r="I43" s="1179">
        <f>SUM(H43-F43)</f>
        <v>12156</v>
      </c>
      <c r="J43" s="1215" t="s">
        <v>70</v>
      </c>
      <c r="K43" s="1186">
        <f>IF(J43="ABOLISHED",0, (VLOOKUP(J43,$A$121:$C383,3,FALSE)*12))</f>
        <v>792084</v>
      </c>
      <c r="L43" s="3">
        <f>SUM(H43/12)</f>
        <v>66007</v>
      </c>
      <c r="M43" s="66">
        <f>IF(L43&gt;=80000,1600,SUM(L43*4%)/2)</f>
        <v>1320.14</v>
      </c>
      <c r="O43" s="3">
        <f>SUM(K43/12)</f>
        <v>66007</v>
      </c>
      <c r="P43" s="66">
        <f>IF(O43&gt;=80000,1600,SUM(O43*4%)/2)</f>
        <v>1320.14</v>
      </c>
      <c r="R43" s="3">
        <f>P43-M43</f>
        <v>0</v>
      </c>
    </row>
    <row r="44" spans="1:18" s="3" customFormat="1" ht="13.15" customHeight="1" outlineLevel="1">
      <c r="A44" s="1185"/>
      <c r="B44" s="1185"/>
      <c r="C44" s="1195" t="s">
        <v>1089</v>
      </c>
      <c r="D44" s="1201"/>
      <c r="E44" s="1200"/>
      <c r="F44" s="1186" t="s">
        <v>256</v>
      </c>
      <c r="G44" s="1200"/>
      <c r="H44" s="1142" t="s">
        <v>256</v>
      </c>
      <c r="I44" s="1179"/>
      <c r="J44" s="1200"/>
      <c r="K44" s="1186"/>
      <c r="M44" s="66"/>
      <c r="P44" s="66"/>
    </row>
    <row r="45" spans="1:18" s="3" customFormat="1" ht="13.15" customHeight="1" outlineLevel="1">
      <c r="A45" s="65" t="s">
        <v>255</v>
      </c>
      <c r="B45" s="65" t="s">
        <v>254</v>
      </c>
      <c r="C45" s="1204" t="s">
        <v>1088</v>
      </c>
      <c r="D45" s="1180" t="s">
        <v>245</v>
      </c>
      <c r="E45" s="1178" t="s">
        <v>103</v>
      </c>
      <c r="F45" s="1186">
        <v>497964</v>
      </c>
      <c r="G45" s="1178" t="s">
        <v>103</v>
      </c>
      <c r="H45" s="1142">
        <f>IF(G45="ABOLISHED",0, (VLOOKUP(G45,$A$121:$C385,2,FALSE)*12))</f>
        <v>497964</v>
      </c>
      <c r="I45" s="1179">
        <f t="shared" ref="I45:I52" si="6">SUM(H45-F45)</f>
        <v>0</v>
      </c>
      <c r="J45" s="1178" t="s">
        <v>103</v>
      </c>
      <c r="K45" s="1186">
        <f>IF(J45="ABOLISHED",0, (VLOOKUP(J45,$A$121:$C385,3,FALSE)*12))</f>
        <v>497964</v>
      </c>
      <c r="L45" s="3">
        <f t="shared" ref="L45:L52" si="7">SUM(H45/12)</f>
        <v>41497</v>
      </c>
      <c r="M45" s="66">
        <f t="shared" ref="M45:M52" si="8">IF(L45&gt;=80000,1600,SUM(L45*4%)/2)</f>
        <v>829.94</v>
      </c>
      <c r="O45" s="3">
        <f t="shared" ref="O45:O52" si="9">SUM(K45/12)</f>
        <v>41497</v>
      </c>
      <c r="P45" s="66">
        <f t="shared" ref="P45:P52" si="10">IF(O45&gt;=80000,1600,SUM(O45*4%)/2)</f>
        <v>829.94</v>
      </c>
      <c r="R45" s="3">
        <f t="shared" ref="R45:R52" si="11">P45-M45</f>
        <v>0</v>
      </c>
    </row>
    <row r="46" spans="1:18" s="3" customFormat="1" ht="13.15" customHeight="1" outlineLevel="1">
      <c r="A46" s="65" t="s">
        <v>250</v>
      </c>
      <c r="B46" s="65" t="s">
        <v>255</v>
      </c>
      <c r="C46" s="1206" t="s">
        <v>1087</v>
      </c>
      <c r="D46" s="1205" t="s">
        <v>1086</v>
      </c>
      <c r="E46" s="1178" t="s">
        <v>191</v>
      </c>
      <c r="F46" s="1186">
        <v>195840</v>
      </c>
      <c r="G46" s="1178" t="s">
        <v>191</v>
      </c>
      <c r="H46" s="1142">
        <f>IF(G46="ABOLISHED",0, (VLOOKUP(G46,$A$121:$C383,2,FALSE)*12))</f>
        <v>195840</v>
      </c>
      <c r="I46" s="1179">
        <f t="shared" si="6"/>
        <v>0</v>
      </c>
      <c r="J46" s="1178" t="s">
        <v>191</v>
      </c>
      <c r="K46" s="1186">
        <f>IF(J46="ABOLISHED",0, (VLOOKUP(J46,$A$121:$C383,3,FALSE)*12))</f>
        <v>195840</v>
      </c>
      <c r="L46" s="3">
        <f t="shared" si="7"/>
        <v>16320</v>
      </c>
      <c r="M46" s="66">
        <f t="shared" si="8"/>
        <v>326.40000000000003</v>
      </c>
      <c r="O46" s="3">
        <f t="shared" si="9"/>
        <v>16320</v>
      </c>
      <c r="P46" s="66">
        <f t="shared" si="10"/>
        <v>326.40000000000003</v>
      </c>
      <c r="R46" s="3">
        <f t="shared" si="11"/>
        <v>0</v>
      </c>
    </row>
    <row r="47" spans="1:18" s="3" customFormat="1" ht="13.15" customHeight="1" outlineLevel="1">
      <c r="A47" s="65" t="s">
        <v>247</v>
      </c>
      <c r="B47" s="65" t="s">
        <v>250</v>
      </c>
      <c r="C47" s="1206" t="s">
        <v>1071</v>
      </c>
      <c r="D47" s="1205" t="s">
        <v>245</v>
      </c>
      <c r="E47" s="1200" t="s">
        <v>212</v>
      </c>
      <c r="F47" s="1186">
        <v>167976</v>
      </c>
      <c r="G47" s="1200" t="s">
        <v>215</v>
      </c>
      <c r="H47" s="1142">
        <f>IF(G47="ABOLISHED",0, (VLOOKUP(G47,$A$121:$C386,2,FALSE)*12))</f>
        <v>164160</v>
      </c>
      <c r="I47" s="1179">
        <f t="shared" si="6"/>
        <v>-3816</v>
      </c>
      <c r="J47" s="1200" t="s">
        <v>215</v>
      </c>
      <c r="K47" s="1186">
        <f>IF(J47="ABOLISHED",0, (VLOOKUP(J47,$A$121:$C386,3,FALSE)*12))</f>
        <v>164160</v>
      </c>
      <c r="L47" s="3">
        <f t="shared" si="7"/>
        <v>13680</v>
      </c>
      <c r="M47" s="66">
        <f t="shared" si="8"/>
        <v>273.60000000000002</v>
      </c>
      <c r="O47" s="3">
        <f t="shared" si="9"/>
        <v>13680</v>
      </c>
      <c r="P47" s="66">
        <f t="shared" si="10"/>
        <v>273.60000000000002</v>
      </c>
      <c r="R47" s="3">
        <f t="shared" si="11"/>
        <v>0</v>
      </c>
    </row>
    <row r="48" spans="1:18" s="3" customFormat="1" ht="13.15" customHeight="1" outlineLevel="1">
      <c r="A48" s="65" t="s">
        <v>247</v>
      </c>
      <c r="B48" s="65" t="s">
        <v>247</v>
      </c>
      <c r="C48" s="1206" t="s">
        <v>730</v>
      </c>
      <c r="D48" s="1205" t="s">
        <v>245</v>
      </c>
      <c r="E48" s="1200"/>
      <c r="F48" s="1186"/>
      <c r="G48" s="1200" t="s">
        <v>215</v>
      </c>
      <c r="H48" s="1142">
        <f>IF(G48="ABOLISHED",0, (VLOOKUP(G48,$A$121:$C387,2,FALSE)*12))</f>
        <v>164160</v>
      </c>
      <c r="I48" s="1179">
        <f t="shared" si="6"/>
        <v>164160</v>
      </c>
      <c r="J48" s="1200" t="s">
        <v>215</v>
      </c>
      <c r="K48" s="1186">
        <f>IF(J48="ABOLISHED",0, (VLOOKUP(J48,$A$121:$C387,3,FALSE)*12))</f>
        <v>164160</v>
      </c>
      <c r="L48" s="3">
        <f t="shared" si="7"/>
        <v>13680</v>
      </c>
      <c r="M48" s="66">
        <f t="shared" si="8"/>
        <v>273.60000000000002</v>
      </c>
      <c r="O48" s="3">
        <f t="shared" si="9"/>
        <v>13680</v>
      </c>
      <c r="P48" s="66">
        <f t="shared" si="10"/>
        <v>273.60000000000002</v>
      </c>
      <c r="R48" s="3">
        <f t="shared" si="11"/>
        <v>0</v>
      </c>
    </row>
    <row r="49" spans="1:18" s="3" customFormat="1" ht="13.15" customHeight="1" outlineLevel="1">
      <c r="A49" s="65" t="s">
        <v>302</v>
      </c>
      <c r="B49" s="65" t="s">
        <v>302</v>
      </c>
      <c r="C49" s="1208" t="s">
        <v>483</v>
      </c>
      <c r="D49" s="1201" t="s">
        <v>1085</v>
      </c>
      <c r="E49" s="1200" t="s">
        <v>229</v>
      </c>
      <c r="F49" s="1186">
        <v>148056</v>
      </c>
      <c r="G49" s="1200" t="s">
        <v>228</v>
      </c>
      <c r="H49" s="1142">
        <f>IF(G49="ABOLISHED",0, (VLOOKUP(G49,$A$121:$C387,2,FALSE)*12))</f>
        <v>149196</v>
      </c>
      <c r="I49" s="1179">
        <f t="shared" si="6"/>
        <v>1140</v>
      </c>
      <c r="J49" s="1200" t="s">
        <v>228</v>
      </c>
      <c r="K49" s="1186">
        <f>IF(J49="ABOLISHED",0, (VLOOKUP(J49,$A$121:$C387,3,FALSE)*12))</f>
        <v>149196</v>
      </c>
      <c r="L49" s="3">
        <f t="shared" si="7"/>
        <v>12433</v>
      </c>
      <c r="M49" s="66">
        <f t="shared" si="8"/>
        <v>248.66</v>
      </c>
      <c r="O49" s="3">
        <f t="shared" si="9"/>
        <v>12433</v>
      </c>
      <c r="P49" s="66">
        <f t="shared" si="10"/>
        <v>248.66</v>
      </c>
      <c r="R49" s="3">
        <f t="shared" si="11"/>
        <v>0</v>
      </c>
    </row>
    <row r="50" spans="1:18" s="3" customFormat="1" ht="13.15" customHeight="1" outlineLevel="1">
      <c r="A50" s="65" t="s">
        <v>507</v>
      </c>
      <c r="B50" s="65" t="s">
        <v>507</v>
      </c>
      <c r="C50" s="1204" t="s">
        <v>246</v>
      </c>
      <c r="D50" s="1180" t="s">
        <v>1084</v>
      </c>
      <c r="E50" s="1178" t="s">
        <v>230</v>
      </c>
      <c r="F50" s="1186">
        <v>146928</v>
      </c>
      <c r="G50" s="1178" t="s">
        <v>230</v>
      </c>
      <c r="H50" s="1142">
        <f>IF(G50="ABOLISHED",0, (VLOOKUP(G50,$A$121:$C388,2,FALSE)*12))</f>
        <v>146928</v>
      </c>
      <c r="I50" s="1179">
        <f t="shared" si="6"/>
        <v>0</v>
      </c>
      <c r="J50" s="1178" t="s">
        <v>230</v>
      </c>
      <c r="K50" s="1186">
        <f>IF(J50="ABOLISHED",0, (VLOOKUP(J50,$A$121:$C388,3,FALSE)*12))</f>
        <v>146928</v>
      </c>
      <c r="L50" s="3">
        <f t="shared" si="7"/>
        <v>12244</v>
      </c>
      <c r="M50" s="66">
        <f t="shared" si="8"/>
        <v>244.88</v>
      </c>
      <c r="O50" s="3">
        <f t="shared" si="9"/>
        <v>12244</v>
      </c>
      <c r="P50" s="66">
        <f t="shared" si="10"/>
        <v>244.88</v>
      </c>
      <c r="R50" s="3">
        <f t="shared" si="11"/>
        <v>0</v>
      </c>
    </row>
    <row r="51" spans="1:18" s="921" customFormat="1" ht="13.15" customHeight="1" outlineLevel="1">
      <c r="A51" s="65" t="s">
        <v>502</v>
      </c>
      <c r="B51" s="65" t="s">
        <v>502</v>
      </c>
      <c r="C51" s="1204" t="s">
        <v>246</v>
      </c>
      <c r="D51" s="1180" t="s">
        <v>1083</v>
      </c>
      <c r="E51" s="1178" t="s">
        <v>230</v>
      </c>
      <c r="F51" s="1186">
        <v>146928</v>
      </c>
      <c r="G51" s="1178" t="s">
        <v>230</v>
      </c>
      <c r="H51" s="1142">
        <f>IF(G51="ABOLISHED",0, (VLOOKUP(G51,$A$121:$C389,2,FALSE)*12))</f>
        <v>146928</v>
      </c>
      <c r="I51" s="1179">
        <f t="shared" si="6"/>
        <v>0</v>
      </c>
      <c r="J51" s="1178" t="s">
        <v>230</v>
      </c>
      <c r="K51" s="1186">
        <f>IF(J51="ABOLISHED",0, (VLOOKUP(J51,$A$121:$C389,3,FALSE)*12))</f>
        <v>146928</v>
      </c>
      <c r="L51" s="3">
        <f t="shared" si="7"/>
        <v>12244</v>
      </c>
      <c r="M51" s="66">
        <f t="shared" si="8"/>
        <v>244.88</v>
      </c>
      <c r="O51" s="3">
        <f t="shared" si="9"/>
        <v>12244</v>
      </c>
      <c r="P51" s="66">
        <f t="shared" si="10"/>
        <v>244.88</v>
      </c>
      <c r="R51" s="3">
        <f t="shared" si="11"/>
        <v>0</v>
      </c>
    </row>
    <row r="52" spans="1:18" s="921" customFormat="1" ht="13.15" customHeight="1" outlineLevel="1">
      <c r="A52" s="411" t="s">
        <v>498</v>
      </c>
      <c r="B52" s="65" t="s">
        <v>498</v>
      </c>
      <c r="C52" s="1204" t="s">
        <v>246</v>
      </c>
      <c r="D52" s="1180" t="s">
        <v>1082</v>
      </c>
      <c r="E52" s="1219" t="s">
        <v>231</v>
      </c>
      <c r="F52" s="1186">
        <v>145812</v>
      </c>
      <c r="G52" s="1219" t="s">
        <v>230</v>
      </c>
      <c r="H52" s="1142">
        <f>IF(G52="ABOLISHED",0, (VLOOKUP(G52,$A$121:$C390,2,FALSE)*12))</f>
        <v>146928</v>
      </c>
      <c r="I52" s="1220">
        <f t="shared" si="6"/>
        <v>1116</v>
      </c>
      <c r="J52" s="1219" t="s">
        <v>230</v>
      </c>
      <c r="K52" s="1186">
        <f>IF(J52="ABOLISHED",0, (VLOOKUP(J52,$A$121:$C390,3,FALSE)*12))</f>
        <v>146928</v>
      </c>
      <c r="L52" s="921">
        <f t="shared" si="7"/>
        <v>12244</v>
      </c>
      <c r="M52" s="66">
        <f t="shared" si="8"/>
        <v>244.88</v>
      </c>
      <c r="O52" s="921">
        <f t="shared" si="9"/>
        <v>12244</v>
      </c>
      <c r="P52" s="66">
        <f t="shared" si="10"/>
        <v>244.88</v>
      </c>
      <c r="R52" s="3">
        <f t="shared" si="11"/>
        <v>0</v>
      </c>
    </row>
    <row r="53" spans="1:18" s="3" customFormat="1" ht="13.15" customHeight="1" outlineLevel="1">
      <c r="A53" s="1185"/>
      <c r="B53" s="1185"/>
      <c r="C53" s="1218" t="s">
        <v>1081</v>
      </c>
      <c r="D53" s="1201"/>
      <c r="E53" s="1200"/>
      <c r="F53" s="1186" t="s">
        <v>256</v>
      </c>
      <c r="G53" s="1200"/>
      <c r="H53" s="1142" t="s">
        <v>256</v>
      </c>
      <c r="I53" s="1179"/>
      <c r="J53" s="1200"/>
      <c r="K53" s="1186"/>
      <c r="M53" s="66"/>
      <c r="P53" s="66"/>
    </row>
    <row r="54" spans="1:18" s="3" customFormat="1" ht="13.15" customHeight="1" outlineLevel="1">
      <c r="A54" s="65" t="s">
        <v>494</v>
      </c>
      <c r="B54" s="65" t="s">
        <v>510</v>
      </c>
      <c r="C54" s="1208" t="s">
        <v>1079</v>
      </c>
      <c r="D54" s="1201" t="s">
        <v>1080</v>
      </c>
      <c r="E54" s="1200" t="s">
        <v>131</v>
      </c>
      <c r="F54" s="1186">
        <v>367080</v>
      </c>
      <c r="G54" s="1200" t="s">
        <v>131</v>
      </c>
      <c r="H54" s="1142">
        <f>IF(G54="ABOLISHED",0, (VLOOKUP(G54,$A$121:$C393,2,FALSE)*12))</f>
        <v>367080</v>
      </c>
      <c r="I54" s="1179">
        <f t="shared" ref="I54:I62" si="12">SUM(H54-F54)</f>
        <v>0</v>
      </c>
      <c r="J54" s="1200" t="s">
        <v>131</v>
      </c>
      <c r="K54" s="1186">
        <f>IF(J54="ABOLISHED",0, (VLOOKUP(J54,$A$121:$C393,3,FALSE)*12))</f>
        <v>367080</v>
      </c>
      <c r="L54" s="3">
        <f t="shared" ref="L54:L62" si="13">SUM(H54/12)</f>
        <v>30590</v>
      </c>
      <c r="M54" s="66">
        <f t="shared" ref="M54:M62" si="14">IF(L54&gt;=80000,1600,SUM(L54*4%)/2)</f>
        <v>611.80000000000007</v>
      </c>
      <c r="O54" s="3">
        <f t="shared" ref="O54:O62" si="15">SUM(K54/12)</f>
        <v>30590</v>
      </c>
      <c r="P54" s="66">
        <f t="shared" ref="P54:P62" si="16">IF(O54&gt;=80000,1600,SUM(O54*4%)/2)</f>
        <v>611.80000000000007</v>
      </c>
      <c r="R54" s="3">
        <f t="shared" ref="R54:R62" si="17">P54-M54</f>
        <v>0</v>
      </c>
    </row>
    <row r="55" spans="1:18" s="3" customFormat="1" ht="13.15" customHeight="1" outlineLevel="1">
      <c r="A55" s="65" t="s">
        <v>510</v>
      </c>
      <c r="B55" s="65" t="s">
        <v>494</v>
      </c>
      <c r="C55" s="1208" t="s">
        <v>1079</v>
      </c>
      <c r="D55" s="1180" t="s">
        <v>1078</v>
      </c>
      <c r="E55" s="1200" t="s">
        <v>133</v>
      </c>
      <c r="F55" s="1186">
        <v>358992</v>
      </c>
      <c r="G55" s="1200" t="s">
        <v>133</v>
      </c>
      <c r="H55" s="1142">
        <f>IF(G55="ABOLISHED",0, (VLOOKUP(G55,$A$121:$C392,2,FALSE)*12))</f>
        <v>358992</v>
      </c>
      <c r="I55" s="1179">
        <f t="shared" si="12"/>
        <v>0</v>
      </c>
      <c r="J55" s="1200" t="s">
        <v>133</v>
      </c>
      <c r="K55" s="1186">
        <f>IF(J55="ABOLISHED",0, (VLOOKUP(J55,$A$121:$C392,3,FALSE)*12))</f>
        <v>358992</v>
      </c>
      <c r="L55" s="3">
        <f t="shared" si="13"/>
        <v>29916</v>
      </c>
      <c r="M55" s="66">
        <f t="shared" si="14"/>
        <v>598.32000000000005</v>
      </c>
      <c r="O55" s="3">
        <f t="shared" si="15"/>
        <v>29916</v>
      </c>
      <c r="P55" s="66">
        <f t="shared" si="16"/>
        <v>598.32000000000005</v>
      </c>
      <c r="R55" s="3">
        <f t="shared" si="17"/>
        <v>0</v>
      </c>
    </row>
    <row r="56" spans="1:18" s="3" customFormat="1" ht="13.15" customHeight="1" outlineLevel="1">
      <c r="A56" s="65" t="s">
        <v>1027</v>
      </c>
      <c r="B56" s="65" t="s">
        <v>501</v>
      </c>
      <c r="C56" s="1190" t="s">
        <v>1077</v>
      </c>
      <c r="D56" s="1189" t="s">
        <v>1076</v>
      </c>
      <c r="E56" s="1187" t="s">
        <v>167</v>
      </c>
      <c r="F56" s="1186">
        <v>241740</v>
      </c>
      <c r="G56" s="1187" t="s">
        <v>166</v>
      </c>
      <c r="H56" s="1142">
        <f>IF(G56="ABOLISHED",0, (VLOOKUP(G56,$A$121:$C427,2,FALSE)*12))</f>
        <v>243756</v>
      </c>
      <c r="I56" s="1188">
        <f t="shared" si="12"/>
        <v>2016</v>
      </c>
      <c r="J56" s="1187" t="s">
        <v>166</v>
      </c>
      <c r="K56" s="1186">
        <f>IF(J56="ABOLISHED",0, (VLOOKUP(J56,$A$121:$C427,3,FALSE)*12))</f>
        <v>243756</v>
      </c>
      <c r="L56" s="3">
        <f t="shared" si="13"/>
        <v>20313</v>
      </c>
      <c r="M56" s="66">
        <f t="shared" si="14"/>
        <v>406.26</v>
      </c>
      <c r="O56" s="3">
        <f t="shared" si="15"/>
        <v>20313</v>
      </c>
      <c r="P56" s="66">
        <f t="shared" si="16"/>
        <v>406.26</v>
      </c>
      <c r="R56" s="3">
        <f t="shared" si="17"/>
        <v>0</v>
      </c>
    </row>
    <row r="57" spans="1:18" s="3" customFormat="1" ht="13.15" customHeight="1" outlineLevel="1">
      <c r="A57" s="65" t="s">
        <v>501</v>
      </c>
      <c r="B57" s="65" t="s">
        <v>491</v>
      </c>
      <c r="C57" s="1208" t="s">
        <v>1075</v>
      </c>
      <c r="D57" s="1180" t="s">
        <v>1074</v>
      </c>
      <c r="E57" s="1200" t="s">
        <v>183</v>
      </c>
      <c r="F57" s="1186">
        <v>208056</v>
      </c>
      <c r="G57" s="1200" t="s">
        <v>182</v>
      </c>
      <c r="H57" s="1142">
        <f>IF(G57="ABOLISHED",0, (VLOOKUP(G57,$A$121:$C394,2,FALSE)*12))</f>
        <v>209952</v>
      </c>
      <c r="I57" s="1179">
        <f t="shared" si="12"/>
        <v>1896</v>
      </c>
      <c r="J57" s="1200" t="s">
        <v>182</v>
      </c>
      <c r="K57" s="1186">
        <f>IF(J57="ABOLISHED",0, (VLOOKUP(J57,$A$121:$C394,3,FALSE)*12))</f>
        <v>209952</v>
      </c>
      <c r="L57" s="3">
        <f t="shared" si="13"/>
        <v>17496</v>
      </c>
      <c r="M57" s="66">
        <f t="shared" si="14"/>
        <v>349.92</v>
      </c>
      <c r="O57" s="3">
        <f t="shared" si="15"/>
        <v>17496</v>
      </c>
      <c r="P57" s="66">
        <f t="shared" si="16"/>
        <v>349.92</v>
      </c>
      <c r="R57" s="3">
        <f t="shared" si="17"/>
        <v>0</v>
      </c>
    </row>
    <row r="58" spans="1:18" s="3" customFormat="1" ht="13.15" customHeight="1" outlineLevel="1">
      <c r="A58" s="65" t="s">
        <v>491</v>
      </c>
      <c r="B58" s="65" t="s">
        <v>493</v>
      </c>
      <c r="C58" s="1204" t="s">
        <v>1073</v>
      </c>
      <c r="D58" s="1180" t="s">
        <v>245</v>
      </c>
      <c r="E58" s="1200" t="s">
        <v>183</v>
      </c>
      <c r="F58" s="1186">
        <v>208056</v>
      </c>
      <c r="G58" s="1200" t="s">
        <v>183</v>
      </c>
      <c r="H58" s="1142">
        <f>IF(G58="ABOLISHED",0, (VLOOKUP(G58,$A$121:$C395,2,FALSE)*12))</f>
        <v>208056</v>
      </c>
      <c r="I58" s="1179">
        <f t="shared" si="12"/>
        <v>0</v>
      </c>
      <c r="J58" s="1200" t="s">
        <v>183</v>
      </c>
      <c r="K58" s="1186">
        <f>IF(J58="ABOLISHED",0, (VLOOKUP(J58,$A$121:$C395,3,FALSE)*12))</f>
        <v>208056</v>
      </c>
      <c r="L58" s="3">
        <f t="shared" si="13"/>
        <v>17338</v>
      </c>
      <c r="M58" s="66">
        <f t="shared" si="14"/>
        <v>346.76</v>
      </c>
      <c r="O58" s="3">
        <f t="shared" si="15"/>
        <v>17338</v>
      </c>
      <c r="P58" s="66">
        <f t="shared" si="16"/>
        <v>346.76</v>
      </c>
      <c r="R58" s="3">
        <f t="shared" si="17"/>
        <v>0</v>
      </c>
    </row>
    <row r="59" spans="1:18" s="3" customFormat="1" ht="13.15" customHeight="1" outlineLevel="1">
      <c r="A59" s="65" t="s">
        <v>1018</v>
      </c>
      <c r="B59" s="65"/>
      <c r="C59" s="1190" t="s">
        <v>1072</v>
      </c>
      <c r="D59" s="1189" t="s">
        <v>245</v>
      </c>
      <c r="E59" s="1187" t="s">
        <v>215</v>
      </c>
      <c r="F59" s="1186">
        <v>164160</v>
      </c>
      <c r="G59" s="1187" t="s">
        <v>252</v>
      </c>
      <c r="H59" s="1142">
        <f>IF(G59="ABOLISHED",0, (VLOOKUP(G59,$A$121:$C428,2,FALSE)*12))</f>
        <v>0</v>
      </c>
      <c r="I59" s="1188">
        <f t="shared" si="12"/>
        <v>-164160</v>
      </c>
      <c r="J59" s="1187" t="s">
        <v>252</v>
      </c>
      <c r="K59" s="1186">
        <f>IF(J59="ABOLISHED",0, (VLOOKUP(J59,$A$121:$C428,3,FALSE)*12))</f>
        <v>0</v>
      </c>
      <c r="L59" s="3">
        <f t="shared" si="13"/>
        <v>0</v>
      </c>
      <c r="M59" s="66">
        <f t="shared" si="14"/>
        <v>0</v>
      </c>
      <c r="O59" s="3">
        <f t="shared" si="15"/>
        <v>0</v>
      </c>
      <c r="P59" s="66">
        <f t="shared" si="16"/>
        <v>0</v>
      </c>
      <c r="R59" s="3">
        <f t="shared" si="17"/>
        <v>0</v>
      </c>
    </row>
    <row r="60" spans="1:18" s="3" customFormat="1" ht="13.15" customHeight="1" outlineLevel="1">
      <c r="A60" s="65" t="s">
        <v>493</v>
      </c>
      <c r="B60" s="65" t="s">
        <v>490</v>
      </c>
      <c r="C60" s="1204" t="s">
        <v>1071</v>
      </c>
      <c r="D60" s="1189" t="s">
        <v>245</v>
      </c>
      <c r="E60" s="1215" t="s">
        <v>215</v>
      </c>
      <c r="F60" s="1186">
        <v>164160</v>
      </c>
      <c r="G60" s="1215" t="s">
        <v>215</v>
      </c>
      <c r="H60" s="1142">
        <f>IF(G60="ABOLISHED",0, (VLOOKUP(G60,$A$121:$C396,2,FALSE)*12))</f>
        <v>164160</v>
      </c>
      <c r="I60" s="1179">
        <f t="shared" si="12"/>
        <v>0</v>
      </c>
      <c r="J60" s="1215" t="s">
        <v>215</v>
      </c>
      <c r="K60" s="1186">
        <f>IF(J60="ABOLISHED",0, (VLOOKUP(J60,$A$121:$C396,3,FALSE)*12))</f>
        <v>164160</v>
      </c>
      <c r="L60" s="3">
        <f t="shared" si="13"/>
        <v>13680</v>
      </c>
      <c r="M60" s="66">
        <f t="shared" si="14"/>
        <v>273.60000000000002</v>
      </c>
      <c r="O60" s="3">
        <f t="shared" si="15"/>
        <v>13680</v>
      </c>
      <c r="P60" s="66">
        <f t="shared" si="16"/>
        <v>273.60000000000002</v>
      </c>
      <c r="R60" s="3">
        <f t="shared" si="17"/>
        <v>0</v>
      </c>
    </row>
    <row r="61" spans="1:18" s="3" customFormat="1" ht="13.15" customHeight="1" outlineLevel="1">
      <c r="A61" s="65" t="s">
        <v>486</v>
      </c>
      <c r="B61" s="65" t="s">
        <v>486</v>
      </c>
      <c r="C61" s="1204" t="s">
        <v>246</v>
      </c>
      <c r="D61" s="1180" t="s">
        <v>1070</v>
      </c>
      <c r="E61" s="1178" t="s">
        <v>230</v>
      </c>
      <c r="F61" s="1186">
        <v>146928</v>
      </c>
      <c r="G61" s="1178" t="s">
        <v>230</v>
      </c>
      <c r="H61" s="1142">
        <f>IF(G61="ABOLISHED",0, (VLOOKUP(G61,$A$121:$C397,2,FALSE)*12))</f>
        <v>146928</v>
      </c>
      <c r="I61" s="1179">
        <f t="shared" si="12"/>
        <v>0</v>
      </c>
      <c r="J61" s="1178" t="s">
        <v>230</v>
      </c>
      <c r="K61" s="1186">
        <f>IF(J61="ABOLISHED",0, (VLOOKUP(J61,$A$121:$C397,3,FALSE)*12))</f>
        <v>146928</v>
      </c>
      <c r="L61" s="3">
        <f t="shared" si="13"/>
        <v>12244</v>
      </c>
      <c r="M61" s="66">
        <f t="shared" si="14"/>
        <v>244.88</v>
      </c>
      <c r="O61" s="3">
        <f t="shared" si="15"/>
        <v>12244</v>
      </c>
      <c r="P61" s="66">
        <f t="shared" si="16"/>
        <v>244.88</v>
      </c>
      <c r="R61" s="3">
        <f t="shared" si="17"/>
        <v>0</v>
      </c>
    </row>
    <row r="62" spans="1:18" s="921" customFormat="1" ht="13.15" customHeight="1" outlineLevel="1">
      <c r="A62" s="65" t="s">
        <v>298</v>
      </c>
      <c r="B62" s="65" t="s">
        <v>298</v>
      </c>
      <c r="C62" s="1204" t="s">
        <v>246</v>
      </c>
      <c r="D62" s="1180" t="s">
        <v>1069</v>
      </c>
      <c r="E62" s="1178" t="s">
        <v>230</v>
      </c>
      <c r="F62" s="1186">
        <v>146928</v>
      </c>
      <c r="G62" s="1178" t="s">
        <v>230</v>
      </c>
      <c r="H62" s="1142">
        <f>IF(G62="ABOLISHED",0, (VLOOKUP(G62,$A$121:$C398,2,FALSE)*12))</f>
        <v>146928</v>
      </c>
      <c r="I62" s="1179">
        <f t="shared" si="12"/>
        <v>0</v>
      </c>
      <c r="J62" s="1178" t="s">
        <v>230</v>
      </c>
      <c r="K62" s="1186">
        <f>IF(J62="ABOLISHED",0, (VLOOKUP(J62,$A$121:$C398,3,FALSE)*12))</f>
        <v>146928</v>
      </c>
      <c r="L62" s="3">
        <f t="shared" si="13"/>
        <v>12244</v>
      </c>
      <c r="M62" s="66">
        <f t="shared" si="14"/>
        <v>244.88</v>
      </c>
      <c r="O62" s="3">
        <f t="shared" si="15"/>
        <v>12244</v>
      </c>
      <c r="P62" s="66">
        <f t="shared" si="16"/>
        <v>244.88</v>
      </c>
      <c r="R62" s="3">
        <f t="shared" si="17"/>
        <v>0</v>
      </c>
    </row>
    <row r="63" spans="1:18" s="3" customFormat="1" ht="13.15" customHeight="1" outlineLevel="1">
      <c r="A63" s="1185"/>
      <c r="B63" s="1185"/>
      <c r="C63" s="1217" t="s">
        <v>1068</v>
      </c>
      <c r="D63" s="1201"/>
      <c r="E63" s="1200"/>
      <c r="F63" s="1186" t="s">
        <v>256</v>
      </c>
      <c r="G63" s="1200"/>
      <c r="H63" s="1142" t="s">
        <v>256</v>
      </c>
      <c r="I63" s="1179"/>
      <c r="J63" s="1200"/>
      <c r="K63" s="1186"/>
      <c r="M63" s="66"/>
      <c r="P63" s="66"/>
    </row>
    <row r="64" spans="1:18" s="3" customFormat="1" ht="13.15" customHeight="1" outlineLevel="1">
      <c r="A64" s="65" t="s">
        <v>482</v>
      </c>
      <c r="B64" s="65" t="s">
        <v>482</v>
      </c>
      <c r="C64" s="1181" t="s">
        <v>1048</v>
      </c>
      <c r="D64" s="1180" t="s">
        <v>1067</v>
      </c>
      <c r="E64" s="1178" t="s">
        <v>70</v>
      </c>
      <c r="F64" s="1186">
        <v>792084</v>
      </c>
      <c r="G64" s="1178" t="s">
        <v>70</v>
      </c>
      <c r="H64" s="1142">
        <f>IF(G64="ABOLISHED",0, (VLOOKUP(G64,$A$121:$C400,2,FALSE)*12))</f>
        <v>792084</v>
      </c>
      <c r="I64" s="1179">
        <f>SUM(H64-F64)</f>
        <v>0</v>
      </c>
      <c r="J64" s="1178" t="s">
        <v>70</v>
      </c>
      <c r="K64" s="1186">
        <f>IF(J64="ABOLISHED",0, (VLOOKUP(J64,$A$121:$C400,3,FALSE)*12))</f>
        <v>792084</v>
      </c>
      <c r="L64" s="3">
        <f>SUM(H64/12)</f>
        <v>66007</v>
      </c>
      <c r="M64" s="66">
        <f>IF(L64&gt;=80000,1600,SUM(L64*4%)/2)</f>
        <v>1320.14</v>
      </c>
      <c r="O64" s="3">
        <f>SUM(K64/12)</f>
        <v>66007</v>
      </c>
      <c r="P64" s="66">
        <f>IF(O64&gt;=80000,1600,SUM(O64*4%)/2)</f>
        <v>1320.14</v>
      </c>
      <c r="R64" s="3">
        <f>P64-M64</f>
        <v>0</v>
      </c>
    </row>
    <row r="65" spans="1:18" s="3" customFormat="1" ht="13.15" customHeight="1" outlineLevel="1">
      <c r="A65" s="1185"/>
      <c r="B65" s="1185"/>
      <c r="C65" s="1195" t="s">
        <v>1066</v>
      </c>
      <c r="D65" s="1201"/>
      <c r="E65" s="1200"/>
      <c r="F65" s="1186" t="s">
        <v>256</v>
      </c>
      <c r="G65" s="1200"/>
      <c r="H65" s="1142" t="s">
        <v>256</v>
      </c>
      <c r="I65" s="1179"/>
      <c r="J65" s="1200"/>
      <c r="K65" s="1186"/>
      <c r="M65" s="66"/>
      <c r="P65" s="66"/>
    </row>
    <row r="66" spans="1:18" s="3" customFormat="1" ht="13.15" customHeight="1" outlineLevel="1">
      <c r="A66" s="65" t="s">
        <v>479</v>
      </c>
      <c r="B66" s="65" t="s">
        <v>479</v>
      </c>
      <c r="C66" s="1208" t="s">
        <v>1065</v>
      </c>
      <c r="D66" s="1180" t="s">
        <v>1064</v>
      </c>
      <c r="E66" s="1215" t="s">
        <v>101</v>
      </c>
      <c r="F66" s="1186">
        <v>509508</v>
      </c>
      <c r="G66" s="1215" t="s">
        <v>101</v>
      </c>
      <c r="H66" s="1142">
        <f>IF(G66="ABOLISHED",0, (VLOOKUP(G66,$A$121:$C407,2,FALSE)*12))</f>
        <v>509508</v>
      </c>
      <c r="I66" s="1179">
        <f t="shared" ref="I66:I71" si="18">SUM(H66-F66)</f>
        <v>0</v>
      </c>
      <c r="J66" s="1215" t="s">
        <v>101</v>
      </c>
      <c r="K66" s="1186">
        <f>IF(J66="ABOLISHED",0, (VLOOKUP(J66,$A$121:$C407,3,FALSE)*12))</f>
        <v>509508</v>
      </c>
      <c r="L66" s="3">
        <f t="shared" ref="L66:L71" si="19">SUM(H66/12)</f>
        <v>42459</v>
      </c>
      <c r="M66" s="66">
        <f t="shared" ref="M66:M71" si="20">IF(L66&gt;=80000,1600,SUM(L66*4%)/2)</f>
        <v>849.18000000000006</v>
      </c>
      <c r="O66" s="3">
        <f t="shared" ref="O66:O71" si="21">SUM(K66/12)</f>
        <v>42459</v>
      </c>
      <c r="P66" s="66">
        <f t="shared" ref="P66:P71" si="22">IF(O66&gt;=80000,1600,SUM(O66*4%)/2)</f>
        <v>849.18000000000006</v>
      </c>
      <c r="R66" s="3">
        <f t="shared" ref="R66:R71" si="23">P66-M66</f>
        <v>0</v>
      </c>
    </row>
    <row r="67" spans="1:18" s="3" customFormat="1" ht="13.15" customHeight="1" outlineLevel="1">
      <c r="A67" s="65" t="s">
        <v>1063</v>
      </c>
      <c r="B67" s="65" t="s">
        <v>1063</v>
      </c>
      <c r="C67" s="1199" t="s">
        <v>1062</v>
      </c>
      <c r="D67" s="1180" t="s">
        <v>1061</v>
      </c>
      <c r="E67" s="1175" t="s">
        <v>127</v>
      </c>
      <c r="F67" s="1186">
        <v>382752</v>
      </c>
      <c r="G67" s="1175" t="s">
        <v>127</v>
      </c>
      <c r="H67" s="1142">
        <f>IF(G67="ABOLISHED",0, (VLOOKUP(G67,$A$121:$C436,2,FALSE)*12))</f>
        <v>382752</v>
      </c>
      <c r="I67" s="1198">
        <f t="shared" si="18"/>
        <v>0</v>
      </c>
      <c r="J67" s="1175" t="s">
        <v>127</v>
      </c>
      <c r="K67" s="1186">
        <f>IF(J67="ABOLISHED",0, (VLOOKUP(J67,$A$121:$C436,3,FALSE)*12))</f>
        <v>382752</v>
      </c>
      <c r="L67" s="3">
        <f t="shared" si="19"/>
        <v>31896</v>
      </c>
      <c r="M67" s="66">
        <f t="shared" si="20"/>
        <v>637.91999999999996</v>
      </c>
      <c r="O67" s="3">
        <f t="shared" si="21"/>
        <v>31896</v>
      </c>
      <c r="P67" s="66">
        <f t="shared" si="22"/>
        <v>637.91999999999996</v>
      </c>
      <c r="R67" s="3">
        <f t="shared" si="23"/>
        <v>0</v>
      </c>
    </row>
    <row r="68" spans="1:18" s="3" customFormat="1" ht="13.15" customHeight="1" outlineLevel="1">
      <c r="A68" s="65" t="s">
        <v>1060</v>
      </c>
      <c r="B68" s="65" t="s">
        <v>1060</v>
      </c>
      <c r="C68" s="1181" t="s">
        <v>1059</v>
      </c>
      <c r="D68" s="1180" t="s">
        <v>245</v>
      </c>
      <c r="E68" s="1178" t="s">
        <v>157</v>
      </c>
      <c r="F68" s="1186">
        <v>278736</v>
      </c>
      <c r="G68" s="1178" t="s">
        <v>159</v>
      </c>
      <c r="H68" s="1142">
        <f>IF(G68="ABOLISHED",0, (VLOOKUP(G68,$A$121:$C402,2,FALSE)*12))</f>
        <v>272196</v>
      </c>
      <c r="I68" s="1179">
        <f t="shared" si="18"/>
        <v>-6540</v>
      </c>
      <c r="J68" s="1178" t="s">
        <v>159</v>
      </c>
      <c r="K68" s="1186">
        <f>IF(J68="ABOLISHED",0, (VLOOKUP(J68,$A$121:$C402,3,FALSE)*12))</f>
        <v>272196</v>
      </c>
      <c r="L68" s="3">
        <f t="shared" si="19"/>
        <v>22683</v>
      </c>
      <c r="M68" s="66">
        <f t="shared" si="20"/>
        <v>453.66</v>
      </c>
      <c r="O68" s="3">
        <f t="shared" si="21"/>
        <v>22683</v>
      </c>
      <c r="P68" s="66">
        <f t="shared" si="22"/>
        <v>453.66</v>
      </c>
      <c r="R68" s="3">
        <f t="shared" si="23"/>
        <v>0</v>
      </c>
    </row>
    <row r="69" spans="1:18" s="3" customFormat="1" ht="13.15" customHeight="1" outlineLevel="1">
      <c r="A69" s="65" t="s">
        <v>247</v>
      </c>
      <c r="B69" s="65" t="s">
        <v>1058</v>
      </c>
      <c r="C69" s="1206" t="s">
        <v>730</v>
      </c>
      <c r="D69" s="1205" t="s">
        <v>245</v>
      </c>
      <c r="E69" s="1200"/>
      <c r="F69" s="1186"/>
      <c r="G69" s="1200" t="s">
        <v>215</v>
      </c>
      <c r="H69" s="1142">
        <f>IF(G69="ABOLISHED",0, (VLOOKUP(G69,$A$121:$C408,2,FALSE)*12))</f>
        <v>164160</v>
      </c>
      <c r="I69" s="1179">
        <f t="shared" si="18"/>
        <v>164160</v>
      </c>
      <c r="J69" s="1200" t="s">
        <v>215</v>
      </c>
      <c r="K69" s="1186">
        <f>IF(J69="ABOLISHED",0, (VLOOKUP(J69,$A$121:$C408,3,FALSE)*12))</f>
        <v>164160</v>
      </c>
      <c r="L69" s="3">
        <f t="shared" si="19"/>
        <v>13680</v>
      </c>
      <c r="M69" s="66">
        <f t="shared" si="20"/>
        <v>273.60000000000002</v>
      </c>
      <c r="O69" s="3">
        <f t="shared" si="21"/>
        <v>13680</v>
      </c>
      <c r="P69" s="66">
        <f t="shared" si="22"/>
        <v>273.60000000000002</v>
      </c>
      <c r="R69" s="3">
        <f t="shared" si="23"/>
        <v>0</v>
      </c>
    </row>
    <row r="70" spans="1:18" s="3" customFormat="1" ht="13.15" customHeight="1" outlineLevel="1">
      <c r="A70" s="65" t="s">
        <v>901</v>
      </c>
      <c r="B70" s="65"/>
      <c r="C70" s="1204" t="s">
        <v>736</v>
      </c>
      <c r="D70" s="1180" t="s">
        <v>245</v>
      </c>
      <c r="E70" s="1178" t="s">
        <v>171</v>
      </c>
      <c r="F70" s="1186">
        <v>230928</v>
      </c>
      <c r="G70" s="1178" t="s">
        <v>252</v>
      </c>
      <c r="H70" s="1142">
        <f>IF(G70="ABOLISHED",0, (VLOOKUP(G70,$A$121:$C403,2,FALSE)*12))</f>
        <v>0</v>
      </c>
      <c r="I70" s="1179">
        <f t="shared" si="18"/>
        <v>-230928</v>
      </c>
      <c r="J70" s="1178" t="s">
        <v>252</v>
      </c>
      <c r="K70" s="1186">
        <f>IF(J70="ABOLISHED",0, (VLOOKUP(J70,$A$121:$C403,3,FALSE)*12))</f>
        <v>0</v>
      </c>
      <c r="L70" s="3">
        <f t="shared" si="19"/>
        <v>0</v>
      </c>
      <c r="M70" s="66">
        <f t="shared" si="20"/>
        <v>0</v>
      </c>
      <c r="O70" s="3">
        <f t="shared" si="21"/>
        <v>0</v>
      </c>
      <c r="P70" s="66">
        <f t="shared" si="22"/>
        <v>0</v>
      </c>
      <c r="R70" s="3">
        <f t="shared" si="23"/>
        <v>0</v>
      </c>
    </row>
    <row r="71" spans="1:18" s="3" customFormat="1" ht="13.15" customHeight="1" outlineLevel="1">
      <c r="A71" s="65" t="s">
        <v>895</v>
      </c>
      <c r="B71" s="65" t="s">
        <v>901</v>
      </c>
      <c r="C71" s="1204" t="s">
        <v>246</v>
      </c>
      <c r="D71" s="1180" t="s">
        <v>1057</v>
      </c>
      <c r="E71" s="1178" t="s">
        <v>230</v>
      </c>
      <c r="F71" s="1186">
        <v>146928</v>
      </c>
      <c r="G71" s="1178" t="s">
        <v>230</v>
      </c>
      <c r="H71" s="1142">
        <f>IF(G71="ABOLISHED",0, (VLOOKUP(G71,$A$121:$C404,2,FALSE)*12))</f>
        <v>146928</v>
      </c>
      <c r="I71" s="1179">
        <f t="shared" si="18"/>
        <v>0</v>
      </c>
      <c r="J71" s="1178" t="s">
        <v>230</v>
      </c>
      <c r="K71" s="1186">
        <f>IF(J71="ABOLISHED",0, (VLOOKUP(J71,$A$121:$C404,3,FALSE)*12))</f>
        <v>146928</v>
      </c>
      <c r="L71" s="3">
        <f t="shared" si="19"/>
        <v>12244</v>
      </c>
      <c r="M71" s="66">
        <f t="shared" si="20"/>
        <v>244.88</v>
      </c>
      <c r="O71" s="3">
        <f t="shared" si="21"/>
        <v>12244</v>
      </c>
      <c r="P71" s="66">
        <f t="shared" si="22"/>
        <v>244.88</v>
      </c>
      <c r="R71" s="3">
        <f t="shared" si="23"/>
        <v>0</v>
      </c>
    </row>
    <row r="72" spans="1:18" s="3" customFormat="1" ht="13.15" customHeight="1" outlineLevel="1">
      <c r="A72" s="1185"/>
      <c r="B72" s="1185"/>
      <c r="C72" s="1195" t="s">
        <v>1056</v>
      </c>
      <c r="D72" s="1180"/>
      <c r="E72" s="1178"/>
      <c r="F72" s="1186" t="s">
        <v>256</v>
      </c>
      <c r="G72" s="1178"/>
      <c r="H72" s="1142" t="s">
        <v>256</v>
      </c>
      <c r="I72" s="1179"/>
      <c r="J72" s="1178"/>
      <c r="K72" s="1186"/>
      <c r="M72" s="66"/>
      <c r="P72" s="66"/>
    </row>
    <row r="73" spans="1:18" s="3" customFormat="1" ht="13.15" customHeight="1" outlineLevel="1">
      <c r="A73" s="65" t="s">
        <v>900</v>
      </c>
      <c r="B73" s="65" t="s">
        <v>895</v>
      </c>
      <c r="C73" s="1181" t="s">
        <v>1055</v>
      </c>
      <c r="D73" s="1214" t="s">
        <v>1054</v>
      </c>
      <c r="E73" s="1178" t="s">
        <v>103</v>
      </c>
      <c r="F73" s="1186">
        <v>497964</v>
      </c>
      <c r="G73" s="1178" t="s">
        <v>103</v>
      </c>
      <c r="H73" s="1142">
        <f>IF(G73="ABOLISHED",0, (VLOOKUP(G73,$A$121:$C406,2,FALSE)*12))</f>
        <v>497964</v>
      </c>
      <c r="I73" s="1179">
        <f>SUM(H73-F73)</f>
        <v>0</v>
      </c>
      <c r="J73" s="1178" t="s">
        <v>103</v>
      </c>
      <c r="K73" s="1186">
        <f>IF(J73="ABOLISHED",0, (VLOOKUP(J73,$A$121:$C406,3,FALSE)*12))</f>
        <v>497964</v>
      </c>
      <c r="L73" s="3">
        <f>SUM(H73/12)</f>
        <v>41497</v>
      </c>
      <c r="M73" s="66">
        <f>IF(L73&gt;=80000,1600,SUM(L73*4%)/2)</f>
        <v>829.94</v>
      </c>
      <c r="O73" s="3">
        <f>SUM(K73/12)</f>
        <v>41497</v>
      </c>
      <c r="P73" s="66">
        <f>IF(O73&gt;=80000,1600,SUM(O73*4%)/2)</f>
        <v>829.94</v>
      </c>
      <c r="R73" s="3">
        <f>P73-M73</f>
        <v>0</v>
      </c>
    </row>
    <row r="74" spans="1:18" s="3" customFormat="1" ht="13.15" customHeight="1" outlineLevel="1">
      <c r="A74" s="65" t="s">
        <v>1053</v>
      </c>
      <c r="B74" s="65" t="s">
        <v>900</v>
      </c>
      <c r="C74" s="1181" t="s">
        <v>1045</v>
      </c>
      <c r="D74" s="1214" t="s">
        <v>245</v>
      </c>
      <c r="E74" s="1202" t="s">
        <v>127</v>
      </c>
      <c r="F74" s="1186">
        <v>382752</v>
      </c>
      <c r="G74" s="1202" t="s">
        <v>127</v>
      </c>
      <c r="H74" s="1142">
        <f>IF(G74="ABOLISHED",0, (VLOOKUP(G74,$A$121:$C413,2,FALSE)*12))</f>
        <v>382752</v>
      </c>
      <c r="I74" s="1179">
        <f>SUM(H74-F74)</f>
        <v>0</v>
      </c>
      <c r="J74" s="1202" t="s">
        <v>127</v>
      </c>
      <c r="K74" s="1186">
        <f>IF(J74="ABOLISHED",0, (VLOOKUP(J74,$A$121:$C413,3,FALSE)*12))</f>
        <v>382752</v>
      </c>
      <c r="L74" s="3">
        <f>SUM(H74/12)</f>
        <v>31896</v>
      </c>
      <c r="M74" s="66">
        <f>IF(L74&gt;=80000,1600,SUM(L74*4%)/2)</f>
        <v>637.91999999999996</v>
      </c>
      <c r="O74" s="3">
        <f>SUM(K74/12)</f>
        <v>31896</v>
      </c>
      <c r="P74" s="66">
        <f>IF(O74&gt;=80000,1600,SUM(O74*4%)/2)</f>
        <v>637.91999999999996</v>
      </c>
      <c r="R74" s="3">
        <f>P74-M74</f>
        <v>0</v>
      </c>
    </row>
    <row r="75" spans="1:18" s="3" customFormat="1" ht="13.15" customHeight="1" outlineLevel="1">
      <c r="A75" s="65" t="s">
        <v>994</v>
      </c>
      <c r="B75" s="65" t="s">
        <v>1053</v>
      </c>
      <c r="C75" s="1181" t="s">
        <v>1001</v>
      </c>
      <c r="D75" s="1180" t="s">
        <v>1052</v>
      </c>
      <c r="E75" s="1178" t="s">
        <v>189</v>
      </c>
      <c r="F75" s="1186">
        <v>198864</v>
      </c>
      <c r="G75" s="1178" t="s">
        <v>189</v>
      </c>
      <c r="H75" s="1142">
        <f>IF(G75="ABOLISHED",0, (VLOOKUP(G75,$A$121:$C408,2,FALSE)*12))</f>
        <v>198864</v>
      </c>
      <c r="I75" s="1179">
        <f>SUM(H75-F75)</f>
        <v>0</v>
      </c>
      <c r="J75" s="1178" t="s">
        <v>189</v>
      </c>
      <c r="K75" s="1186">
        <f>IF(J75="ABOLISHED",0, (VLOOKUP(J75,$A$121:$C408,3,FALSE)*12))</f>
        <v>198864</v>
      </c>
      <c r="L75" s="3">
        <f>SUM(H75/12)</f>
        <v>16572</v>
      </c>
      <c r="M75" s="66">
        <f>IF(L75&gt;=80000,1600,SUM(L75*4%)/2)</f>
        <v>331.44</v>
      </c>
      <c r="O75" s="3">
        <f>SUM(K75/12)</f>
        <v>16572</v>
      </c>
      <c r="P75" s="66">
        <f>IF(O75&gt;=80000,1600,SUM(O75*4%)/2)</f>
        <v>331.44</v>
      </c>
      <c r="R75" s="3">
        <f>P75-M75</f>
        <v>0</v>
      </c>
    </row>
    <row r="76" spans="1:18" s="3" customFormat="1" ht="13.15" customHeight="1" outlineLevel="1">
      <c r="A76" s="65" t="s">
        <v>1049</v>
      </c>
      <c r="B76" s="65" t="s">
        <v>994</v>
      </c>
      <c r="C76" s="1204" t="s">
        <v>997</v>
      </c>
      <c r="D76" s="1180" t="s">
        <v>1051</v>
      </c>
      <c r="E76" s="1202" t="s">
        <v>206</v>
      </c>
      <c r="F76" s="1186">
        <v>175476</v>
      </c>
      <c r="G76" s="1202" t="s">
        <v>206</v>
      </c>
      <c r="H76" s="1142">
        <f>IF(G76="ABOLISHED",0, (VLOOKUP(G76,$A$121:$C414,2,FALSE)*12))</f>
        <v>175476</v>
      </c>
      <c r="I76" s="1179">
        <f>SUM(H76-F76)</f>
        <v>0</v>
      </c>
      <c r="J76" s="1202" t="s">
        <v>206</v>
      </c>
      <c r="K76" s="1186">
        <f>IF(J76="ABOLISHED",0, (VLOOKUP(J76,$A$121:$C414,3,FALSE)*12))</f>
        <v>175476</v>
      </c>
      <c r="L76" s="3">
        <f>SUM(H76/12)</f>
        <v>14623</v>
      </c>
      <c r="M76" s="66">
        <f>IF(L76&gt;=80000,1600,SUM(L76*4%)/2)</f>
        <v>292.45999999999998</v>
      </c>
      <c r="O76" s="3">
        <f>SUM(K76/12)</f>
        <v>14623</v>
      </c>
      <c r="P76" s="66">
        <f>IF(O76&gt;=80000,1600,SUM(O76*4%)/2)</f>
        <v>292.45999999999998</v>
      </c>
      <c r="R76" s="3">
        <f>P76-M76</f>
        <v>0</v>
      </c>
    </row>
    <row r="77" spans="1:18" s="3" customFormat="1" ht="13.15" customHeight="1" outlineLevel="1">
      <c r="A77" s="1185"/>
      <c r="B77" s="1185"/>
      <c r="C77" s="1217" t="s">
        <v>1050</v>
      </c>
      <c r="D77" s="1180"/>
      <c r="E77" s="1215"/>
      <c r="F77" s="1186" t="s">
        <v>256</v>
      </c>
      <c r="G77" s="1215"/>
      <c r="H77" s="1142" t="s">
        <v>256</v>
      </c>
      <c r="I77" s="1216"/>
      <c r="J77" s="1215"/>
      <c r="K77" s="1186"/>
      <c r="M77" s="66"/>
      <c r="P77" s="66"/>
    </row>
    <row r="78" spans="1:18" s="3" customFormat="1" ht="13.15" customHeight="1" outlineLevel="1">
      <c r="A78" s="65" t="s">
        <v>1046</v>
      </c>
      <c r="B78" s="65" t="s">
        <v>1049</v>
      </c>
      <c r="C78" s="1181" t="s">
        <v>1048</v>
      </c>
      <c r="D78" s="1214" t="s">
        <v>245</v>
      </c>
      <c r="E78" s="1178" t="s">
        <v>65</v>
      </c>
      <c r="F78" s="1186">
        <v>855900</v>
      </c>
      <c r="G78" s="1178" t="s">
        <v>71</v>
      </c>
      <c r="H78" s="1142">
        <f>IF(G78="ABOLISHED",0, (VLOOKUP(G78,$A$121:$C410,2,FALSE)*12))</f>
        <v>779928</v>
      </c>
      <c r="I78" s="1179">
        <f>SUM(H78-F78)</f>
        <v>-75972</v>
      </c>
      <c r="J78" s="1178" t="s">
        <v>71</v>
      </c>
      <c r="K78" s="1186">
        <f>IF(J78="ABOLISHED",0, (VLOOKUP(J78,$A$121:$C410,3,FALSE)*12))</f>
        <v>779928</v>
      </c>
      <c r="L78" s="3">
        <f>SUM(H78/12)</f>
        <v>64994</v>
      </c>
      <c r="M78" s="66">
        <f>IF(L78&gt;=80000,1600,SUM(L78*4%)/2)</f>
        <v>1299.8800000000001</v>
      </c>
      <c r="O78" s="3">
        <f>SUM(K78/12)</f>
        <v>64994</v>
      </c>
      <c r="P78" s="66">
        <f>IF(O78&gt;=80000,1600,SUM(O78*4%)/2)</f>
        <v>1299.8800000000001</v>
      </c>
      <c r="R78" s="3">
        <f>P78-M78</f>
        <v>0</v>
      </c>
    </row>
    <row r="79" spans="1:18" s="3" customFormat="1" ht="13.15" customHeight="1" outlineLevel="1">
      <c r="A79" s="1185"/>
      <c r="B79" s="1185"/>
      <c r="C79" s="1195" t="s">
        <v>1047</v>
      </c>
      <c r="D79" s="1214"/>
      <c r="E79" s="1178"/>
      <c r="F79" s="1186" t="s">
        <v>256</v>
      </c>
      <c r="G79" s="1178"/>
      <c r="H79" s="1142" t="s">
        <v>256</v>
      </c>
      <c r="I79" s="1179"/>
      <c r="J79" s="1178"/>
      <c r="K79" s="1186"/>
      <c r="M79" s="66"/>
      <c r="P79" s="66"/>
    </row>
    <row r="80" spans="1:18" s="3" customFormat="1" ht="13.15" customHeight="1" outlineLevel="1">
      <c r="A80" s="65" t="s">
        <v>1044</v>
      </c>
      <c r="B80" s="65" t="s">
        <v>1046</v>
      </c>
      <c r="C80" s="1181" t="s">
        <v>1045</v>
      </c>
      <c r="D80" s="1214" t="s">
        <v>245</v>
      </c>
      <c r="E80" s="1202" t="s">
        <v>127</v>
      </c>
      <c r="F80" s="1186">
        <v>382752</v>
      </c>
      <c r="G80" s="1202" t="s">
        <v>127</v>
      </c>
      <c r="H80" s="1142">
        <f>IF(G80="ABOLISHED",0, (VLOOKUP(G80,$A$121:$C419,2,FALSE)*12))</f>
        <v>382752</v>
      </c>
      <c r="I80" s="1179">
        <f t="shared" ref="I80:I91" si="24">SUM(H80-F80)</f>
        <v>0</v>
      </c>
      <c r="J80" s="1202" t="s">
        <v>127</v>
      </c>
      <c r="K80" s="1186">
        <f>IF(J80="ABOLISHED",0, (VLOOKUP(J80,$A$121:$C419,3,FALSE)*12))</f>
        <v>382752</v>
      </c>
      <c r="L80" s="3">
        <f t="shared" ref="L80:L91" si="25">SUM(H80/12)</f>
        <v>31896</v>
      </c>
      <c r="M80" s="66">
        <f t="shared" ref="M80:M91" si="26">IF(L80&gt;=80000,1600,SUM(L80*4%)/2)</f>
        <v>637.91999999999996</v>
      </c>
      <c r="O80" s="3">
        <f t="shared" ref="O80:O91" si="27">SUM(K80/12)</f>
        <v>31896</v>
      </c>
      <c r="P80" s="66">
        <f t="shared" ref="P80:P91" si="28">IF(O80&gt;=80000,1600,SUM(O80*4%)/2)</f>
        <v>637.91999999999996</v>
      </c>
      <c r="R80" s="3">
        <f t="shared" ref="R80:R91" si="29">P80-M80</f>
        <v>0</v>
      </c>
    </row>
    <row r="81" spans="1:18" s="3" customFormat="1" ht="13.15" customHeight="1" outlineLevel="1">
      <c r="A81" s="65" t="s">
        <v>1041</v>
      </c>
      <c r="B81" s="65" t="s">
        <v>1044</v>
      </c>
      <c r="C81" s="1190" t="s">
        <v>1043</v>
      </c>
      <c r="D81" s="1189" t="s">
        <v>1042</v>
      </c>
      <c r="E81" s="1187" t="s">
        <v>156</v>
      </c>
      <c r="F81" s="1186">
        <v>282060</v>
      </c>
      <c r="G81" s="1187" t="s">
        <v>156</v>
      </c>
      <c r="H81" s="1142">
        <f>IF(G81="ABOLISHED",0, (VLOOKUP(G81,$A$121:$C426,2,FALSE)*12))</f>
        <v>282060</v>
      </c>
      <c r="I81" s="1188">
        <f t="shared" si="24"/>
        <v>0</v>
      </c>
      <c r="J81" s="1187" t="s">
        <v>156</v>
      </c>
      <c r="K81" s="1186">
        <f>IF(J81="ABOLISHED",0, (VLOOKUP(J81,$A$121:$C426,3,FALSE)*12))</f>
        <v>282060</v>
      </c>
      <c r="L81" s="3">
        <f t="shared" si="25"/>
        <v>23505</v>
      </c>
      <c r="M81" s="66">
        <f t="shared" si="26"/>
        <v>470.1</v>
      </c>
      <c r="O81" s="3">
        <f t="shared" si="27"/>
        <v>23505</v>
      </c>
      <c r="P81" s="66">
        <f t="shared" si="28"/>
        <v>470.1</v>
      </c>
      <c r="R81" s="3">
        <f t="shared" si="29"/>
        <v>0</v>
      </c>
    </row>
    <row r="82" spans="1:18" s="3" customFormat="1" ht="13.15" customHeight="1" outlineLevel="1">
      <c r="A82" s="65" t="s">
        <v>1033</v>
      </c>
      <c r="B82" s="65" t="s">
        <v>1041</v>
      </c>
      <c r="C82" s="1203" t="s">
        <v>1040</v>
      </c>
      <c r="D82" s="1201" t="s">
        <v>245</v>
      </c>
      <c r="E82" s="1207" t="s">
        <v>170</v>
      </c>
      <c r="F82" s="1186">
        <v>232860</v>
      </c>
      <c r="G82" s="1207" t="s">
        <v>175</v>
      </c>
      <c r="H82" s="1142">
        <f>IF(G82="ABOLISHED",0, (VLOOKUP(G82,$A$121:$C421,2,FALSE)*12))</f>
        <v>223356</v>
      </c>
      <c r="I82" s="1179">
        <f t="shared" si="24"/>
        <v>-9504</v>
      </c>
      <c r="J82" s="1207" t="s">
        <v>175</v>
      </c>
      <c r="K82" s="1186">
        <f>IF(J82="ABOLISHED",0, (VLOOKUP(J82,$A$121:$C421,3,FALSE)*12))</f>
        <v>223356</v>
      </c>
      <c r="L82" s="3">
        <f t="shared" si="25"/>
        <v>18613</v>
      </c>
      <c r="M82" s="66">
        <f t="shared" si="26"/>
        <v>372.26</v>
      </c>
      <c r="O82" s="3">
        <f t="shared" si="27"/>
        <v>18613</v>
      </c>
      <c r="P82" s="66">
        <f t="shared" si="28"/>
        <v>372.26</v>
      </c>
      <c r="R82" s="3">
        <f t="shared" si="29"/>
        <v>0</v>
      </c>
    </row>
    <row r="83" spans="1:18" s="3" customFormat="1" ht="13.15" customHeight="1" outlineLevel="1">
      <c r="A83" s="65" t="s">
        <v>1024</v>
      </c>
      <c r="B83" s="65" t="s">
        <v>1025</v>
      </c>
      <c r="C83" s="1199" t="s">
        <v>1001</v>
      </c>
      <c r="D83" s="1180" t="s">
        <v>1039</v>
      </c>
      <c r="E83" s="1197" t="s">
        <v>191</v>
      </c>
      <c r="F83" s="1186">
        <v>195840</v>
      </c>
      <c r="G83" s="1197" t="s">
        <v>191</v>
      </c>
      <c r="H83" s="1142">
        <f>IF(G83="ABOLISHED",0, (VLOOKUP(G83,$A$121:$C426,2,FALSE)*12))</f>
        <v>195840</v>
      </c>
      <c r="I83" s="1198">
        <f t="shared" si="24"/>
        <v>0</v>
      </c>
      <c r="J83" s="1197" t="s">
        <v>191</v>
      </c>
      <c r="K83" s="1186">
        <f>IF(J83="ABOLISHED",0, (VLOOKUP(J83,$A$121:$C426,3,FALSE)*12))</f>
        <v>195840</v>
      </c>
      <c r="L83" s="3">
        <f t="shared" si="25"/>
        <v>16320</v>
      </c>
      <c r="M83" s="66">
        <f t="shared" si="26"/>
        <v>326.40000000000003</v>
      </c>
      <c r="O83" s="3">
        <f t="shared" si="27"/>
        <v>16320</v>
      </c>
      <c r="P83" s="66">
        <f t="shared" si="28"/>
        <v>326.40000000000003</v>
      </c>
      <c r="R83" s="3">
        <f t="shared" si="29"/>
        <v>0</v>
      </c>
    </row>
    <row r="84" spans="1:18" s="3" customFormat="1" ht="13.15" customHeight="1" outlineLevel="1">
      <c r="A84" s="1213" t="s">
        <v>490</v>
      </c>
      <c r="B84" s="1213" t="s">
        <v>1034</v>
      </c>
      <c r="C84" s="1212" t="s">
        <v>886</v>
      </c>
      <c r="D84" s="1180" t="s">
        <v>1038</v>
      </c>
      <c r="E84" s="1210" t="s">
        <v>215</v>
      </c>
      <c r="F84" s="1209">
        <v>164160</v>
      </c>
      <c r="G84" s="1210" t="s">
        <v>215</v>
      </c>
      <c r="H84" s="1209">
        <f>IF(G84="ABOLISHED",0, (VLOOKUP(G84,$A$121:$C437,2,FALSE)*12))</f>
        <v>164160</v>
      </c>
      <c r="I84" s="1211">
        <f t="shared" si="24"/>
        <v>0</v>
      </c>
      <c r="J84" s="1210" t="s">
        <v>215</v>
      </c>
      <c r="K84" s="1209">
        <f>IF(J84="ABOLISHED",0, (VLOOKUP(J84,$A$121:$C437,3,FALSE)*12))</f>
        <v>164160</v>
      </c>
      <c r="L84" s="3">
        <f t="shared" si="25"/>
        <v>13680</v>
      </c>
      <c r="M84" s="66">
        <f t="shared" si="26"/>
        <v>273.60000000000002</v>
      </c>
      <c r="O84" s="3">
        <f t="shared" si="27"/>
        <v>13680</v>
      </c>
      <c r="P84" s="66">
        <f t="shared" si="28"/>
        <v>273.60000000000002</v>
      </c>
      <c r="R84" s="3">
        <f t="shared" si="29"/>
        <v>0</v>
      </c>
    </row>
    <row r="85" spans="1:18" s="3" customFormat="1" ht="13.15" customHeight="1" outlineLevel="1">
      <c r="A85" s="65" t="s">
        <v>294</v>
      </c>
      <c r="B85" s="65" t="s">
        <v>1030</v>
      </c>
      <c r="C85" s="1208" t="s">
        <v>1037</v>
      </c>
      <c r="D85" s="1201" t="s">
        <v>1036</v>
      </c>
      <c r="E85" s="1207" t="s">
        <v>223</v>
      </c>
      <c r="F85" s="1186">
        <v>154716</v>
      </c>
      <c r="G85" s="1207" t="s">
        <v>222</v>
      </c>
      <c r="H85" s="1142">
        <f>IF(G85="ABOLISHED",0, (VLOOKUP(G85,$A$121:$C367,2,FALSE)*12))</f>
        <v>155916</v>
      </c>
      <c r="I85" s="1179">
        <f t="shared" si="24"/>
        <v>1200</v>
      </c>
      <c r="J85" s="1207" t="s">
        <v>222</v>
      </c>
      <c r="K85" s="1186">
        <f>IF(J85="ABOLISHED",0, (VLOOKUP(J85,$A$121:$C367,3,FALSE)*12))</f>
        <v>155916</v>
      </c>
      <c r="L85" s="3">
        <f t="shared" si="25"/>
        <v>12993</v>
      </c>
      <c r="M85" s="66">
        <f t="shared" si="26"/>
        <v>259.86</v>
      </c>
      <c r="O85" s="3">
        <f t="shared" si="27"/>
        <v>12993</v>
      </c>
      <c r="P85" s="66">
        <f t="shared" si="28"/>
        <v>259.86</v>
      </c>
      <c r="R85" s="3">
        <f t="shared" si="29"/>
        <v>0</v>
      </c>
    </row>
    <row r="86" spans="1:18" s="3" customFormat="1" ht="13.15" customHeight="1" outlineLevel="1">
      <c r="A86" s="65" t="s">
        <v>247</v>
      </c>
      <c r="B86" s="65" t="s">
        <v>1035</v>
      </c>
      <c r="C86" s="1206" t="s">
        <v>730</v>
      </c>
      <c r="D86" s="1205" t="s">
        <v>245</v>
      </c>
      <c r="E86" s="1200"/>
      <c r="F86" s="1186"/>
      <c r="G86" s="1200" t="s">
        <v>215</v>
      </c>
      <c r="H86" s="1142">
        <f>IF(G86="ABOLISHED",0, (VLOOKUP(G86,$A$121:$C425,2,FALSE)*12))</f>
        <v>164160</v>
      </c>
      <c r="I86" s="1179">
        <f t="shared" si="24"/>
        <v>164160</v>
      </c>
      <c r="J86" s="1200" t="s">
        <v>215</v>
      </c>
      <c r="K86" s="1186">
        <f>IF(J86="ABOLISHED",0, (VLOOKUP(J86,$A$121:$C425,3,FALSE)*12))</f>
        <v>164160</v>
      </c>
      <c r="L86" s="3">
        <f t="shared" si="25"/>
        <v>13680</v>
      </c>
      <c r="M86" s="66">
        <f t="shared" si="26"/>
        <v>273.60000000000002</v>
      </c>
      <c r="O86" s="3">
        <f t="shared" si="27"/>
        <v>13680</v>
      </c>
      <c r="P86" s="66">
        <f t="shared" si="28"/>
        <v>273.60000000000002</v>
      </c>
      <c r="R86" s="3">
        <f t="shared" si="29"/>
        <v>0</v>
      </c>
    </row>
    <row r="87" spans="1:18" s="3" customFormat="1" ht="13.15" customHeight="1" outlineLevel="1">
      <c r="A87" s="65" t="s">
        <v>247</v>
      </c>
      <c r="B87" s="65" t="s">
        <v>1028</v>
      </c>
      <c r="C87" s="1206" t="s">
        <v>730</v>
      </c>
      <c r="D87" s="1205" t="s">
        <v>245</v>
      </c>
      <c r="E87" s="1200"/>
      <c r="F87" s="1186"/>
      <c r="G87" s="1200" t="s">
        <v>215</v>
      </c>
      <c r="H87" s="1142">
        <f>IF(G87="ABOLISHED",0, (VLOOKUP(G87,$A$121:$C426,2,FALSE)*12))</f>
        <v>164160</v>
      </c>
      <c r="I87" s="1179">
        <f t="shared" si="24"/>
        <v>164160</v>
      </c>
      <c r="J87" s="1200" t="s">
        <v>215</v>
      </c>
      <c r="K87" s="1186">
        <f>IF(J87="ABOLISHED",0, (VLOOKUP(J87,$A$121:$C426,3,FALSE)*12))</f>
        <v>164160</v>
      </c>
      <c r="L87" s="3">
        <f t="shared" si="25"/>
        <v>13680</v>
      </c>
      <c r="M87" s="66">
        <f t="shared" si="26"/>
        <v>273.60000000000002</v>
      </c>
      <c r="O87" s="3">
        <f t="shared" si="27"/>
        <v>13680</v>
      </c>
      <c r="P87" s="66">
        <f t="shared" si="28"/>
        <v>273.60000000000002</v>
      </c>
      <c r="R87" s="3">
        <f t="shared" si="29"/>
        <v>0</v>
      </c>
    </row>
    <row r="88" spans="1:18" s="3" customFormat="1" ht="13.15" customHeight="1" outlineLevel="1">
      <c r="A88" s="65" t="s">
        <v>1034</v>
      </c>
      <c r="B88" s="65" t="s">
        <v>1033</v>
      </c>
      <c r="C88" s="1204" t="s">
        <v>246</v>
      </c>
      <c r="D88" s="1180" t="s">
        <v>1032</v>
      </c>
      <c r="E88" s="1202" t="s">
        <v>229</v>
      </c>
      <c r="F88" s="1186">
        <v>148056</v>
      </c>
      <c r="G88" s="1202" t="s">
        <v>229</v>
      </c>
      <c r="H88" s="1142">
        <f>IF(G88="ABOLISHED",0, (VLOOKUP(G88,$A$121:$C415,2,FALSE)*12))</f>
        <v>148056</v>
      </c>
      <c r="I88" s="1179">
        <f t="shared" si="24"/>
        <v>0</v>
      </c>
      <c r="J88" s="1202" t="s">
        <v>229</v>
      </c>
      <c r="K88" s="1186">
        <f>IF(J88="ABOLISHED",0, (VLOOKUP(J88,$A$121:$C415,3,FALSE)*12))</f>
        <v>148056</v>
      </c>
      <c r="L88" s="3">
        <f t="shared" si="25"/>
        <v>12338</v>
      </c>
      <c r="M88" s="66">
        <f t="shared" si="26"/>
        <v>246.76000000000002</v>
      </c>
      <c r="O88" s="3">
        <f t="shared" si="27"/>
        <v>12338</v>
      </c>
      <c r="P88" s="66">
        <f t="shared" si="28"/>
        <v>246.76000000000002</v>
      </c>
      <c r="R88" s="3">
        <f t="shared" si="29"/>
        <v>0</v>
      </c>
    </row>
    <row r="89" spans="1:18" s="3" customFormat="1" ht="13.15" customHeight="1" outlineLevel="1">
      <c r="A89" s="65" t="s">
        <v>1030</v>
      </c>
      <c r="B89" s="65" t="s">
        <v>1021</v>
      </c>
      <c r="C89" s="1204" t="s">
        <v>246</v>
      </c>
      <c r="D89" s="1180" t="s">
        <v>1031</v>
      </c>
      <c r="E89" s="1202" t="s">
        <v>230</v>
      </c>
      <c r="F89" s="1186">
        <v>146928</v>
      </c>
      <c r="G89" s="1202" t="s">
        <v>230</v>
      </c>
      <c r="H89" s="1142">
        <f>IF(G89="ABOLISHED",0, (VLOOKUP(G89,$A$121:$C415,2,FALSE)*12))</f>
        <v>146928</v>
      </c>
      <c r="I89" s="1179">
        <f t="shared" si="24"/>
        <v>0</v>
      </c>
      <c r="J89" s="1202" t="s">
        <v>230</v>
      </c>
      <c r="K89" s="1186">
        <f>IF(J89="ABOLISHED",0, (VLOOKUP(J89,$A$121:$C415,3,FALSE)*12))</f>
        <v>146928</v>
      </c>
      <c r="L89" s="3">
        <f t="shared" si="25"/>
        <v>12244</v>
      </c>
      <c r="M89" s="66">
        <f t="shared" si="26"/>
        <v>244.88</v>
      </c>
      <c r="O89" s="3">
        <f t="shared" si="27"/>
        <v>12244</v>
      </c>
      <c r="P89" s="66">
        <f t="shared" si="28"/>
        <v>244.88</v>
      </c>
      <c r="R89" s="3">
        <f t="shared" si="29"/>
        <v>0</v>
      </c>
    </row>
    <row r="90" spans="1:18" s="3" customFormat="1" ht="13.15" customHeight="1" outlineLevel="1">
      <c r="A90" s="65" t="s">
        <v>1030</v>
      </c>
      <c r="B90" s="65" t="s">
        <v>1019</v>
      </c>
      <c r="C90" s="1204" t="s">
        <v>246</v>
      </c>
      <c r="D90" s="1180" t="s">
        <v>1029</v>
      </c>
      <c r="E90" s="1202" t="s">
        <v>230</v>
      </c>
      <c r="F90" s="1186">
        <v>146928</v>
      </c>
      <c r="G90" s="1202" t="s">
        <v>230</v>
      </c>
      <c r="H90" s="1142">
        <f>IF(G90="ABOLISHED",0, (VLOOKUP(G90,$A$121:$C416,2,FALSE)*12))</f>
        <v>146928</v>
      </c>
      <c r="I90" s="1179">
        <f t="shared" si="24"/>
        <v>0</v>
      </c>
      <c r="J90" s="1202" t="s">
        <v>230</v>
      </c>
      <c r="K90" s="1186">
        <f>IF(J90="ABOLISHED",0, (VLOOKUP(J90,$A$121:$C416,3,FALSE)*12))</f>
        <v>146928</v>
      </c>
      <c r="L90" s="3">
        <f t="shared" si="25"/>
        <v>12244</v>
      </c>
      <c r="M90" s="66">
        <f t="shared" si="26"/>
        <v>244.88</v>
      </c>
      <c r="O90" s="3">
        <f t="shared" si="27"/>
        <v>12244</v>
      </c>
      <c r="P90" s="66">
        <f t="shared" si="28"/>
        <v>244.88</v>
      </c>
      <c r="R90" s="3">
        <f t="shared" si="29"/>
        <v>0</v>
      </c>
    </row>
    <row r="91" spans="1:18" s="921" customFormat="1" ht="13.15" customHeight="1" outlineLevel="1">
      <c r="A91" s="65" t="s">
        <v>1028</v>
      </c>
      <c r="B91" s="65" t="s">
        <v>1027</v>
      </c>
      <c r="C91" s="1204" t="s">
        <v>246</v>
      </c>
      <c r="D91" s="1180" t="s">
        <v>245</v>
      </c>
      <c r="E91" s="1178" t="s">
        <v>230</v>
      </c>
      <c r="F91" s="1186">
        <v>146928</v>
      </c>
      <c r="G91" s="1178" t="s">
        <v>231</v>
      </c>
      <c r="H91" s="1142">
        <f>IF(G91="ABOLISHED",0, (VLOOKUP(G91,$A$121:$C418,2,FALSE)*12))</f>
        <v>145812</v>
      </c>
      <c r="I91" s="1179">
        <f t="shared" si="24"/>
        <v>-1116</v>
      </c>
      <c r="J91" s="1178" t="s">
        <v>231</v>
      </c>
      <c r="K91" s="1186">
        <f>IF(J91="ABOLISHED",0, (VLOOKUP(J91,$A$121:$C418,3,FALSE)*12))</f>
        <v>145812</v>
      </c>
      <c r="L91" s="3">
        <f t="shared" si="25"/>
        <v>12151</v>
      </c>
      <c r="M91" s="66">
        <f t="shared" si="26"/>
        <v>243.02</v>
      </c>
      <c r="O91" s="3">
        <f t="shared" si="27"/>
        <v>12151</v>
      </c>
      <c r="P91" s="66">
        <f t="shared" si="28"/>
        <v>243.02</v>
      </c>
      <c r="R91" s="3">
        <f t="shared" si="29"/>
        <v>0</v>
      </c>
    </row>
    <row r="92" spans="1:18" s="3" customFormat="1" ht="13.15" customHeight="1" outlineLevel="1">
      <c r="A92" s="1185"/>
      <c r="B92" s="1185"/>
      <c r="C92" s="1195" t="s">
        <v>1026</v>
      </c>
      <c r="D92" s="1201"/>
      <c r="E92" s="1200"/>
      <c r="F92" s="1186" t="s">
        <v>256</v>
      </c>
      <c r="G92" s="1200"/>
      <c r="H92" s="1142" t="s">
        <v>256</v>
      </c>
      <c r="I92" s="1179"/>
      <c r="J92" s="1200"/>
      <c r="K92" s="1186"/>
      <c r="M92" s="66"/>
      <c r="P92" s="66"/>
    </row>
    <row r="93" spans="1:18" s="3" customFormat="1" ht="13.15" customHeight="1" outlineLevel="1">
      <c r="A93" s="65" t="s">
        <v>1025</v>
      </c>
      <c r="B93" s="65" t="s">
        <v>1024</v>
      </c>
      <c r="C93" s="1204" t="s">
        <v>997</v>
      </c>
      <c r="D93" s="1180" t="s">
        <v>245</v>
      </c>
      <c r="E93" s="1202" t="s">
        <v>207</v>
      </c>
      <c r="F93" s="1186">
        <v>174132</v>
      </c>
      <c r="G93" s="1202" t="s">
        <v>207</v>
      </c>
      <c r="H93" s="1142">
        <f>IF(G93="ABOLISHED",0, (VLOOKUP(G93,$A$121:$C428,2,FALSE)*12))</f>
        <v>174132</v>
      </c>
      <c r="I93" s="1179">
        <f>SUM(H93-F93)</f>
        <v>0</v>
      </c>
      <c r="J93" s="1202" t="s">
        <v>207</v>
      </c>
      <c r="K93" s="1186">
        <f>IF(J93="ABOLISHED",0, (VLOOKUP(J93,$A$121:$C428,3,FALSE)*12))</f>
        <v>174132</v>
      </c>
      <c r="L93" s="3">
        <f>SUM(H93/12)</f>
        <v>14511</v>
      </c>
      <c r="M93" s="66">
        <f>IF(L93&gt;=80000,1600,SUM(L93*4%)/2)</f>
        <v>290.22000000000003</v>
      </c>
      <c r="O93" s="3">
        <f>SUM(K93/12)</f>
        <v>14511</v>
      </c>
      <c r="P93" s="66">
        <f>IF(O93&gt;=80000,1600,SUM(O93*4%)/2)</f>
        <v>290.22000000000003</v>
      </c>
      <c r="R93" s="3">
        <f>P93-M93</f>
        <v>0</v>
      </c>
    </row>
    <row r="94" spans="1:18" s="3" customFormat="1" ht="13.15" customHeight="1" outlineLevel="1">
      <c r="A94" s="1185"/>
      <c r="B94" s="1185"/>
      <c r="C94" s="1195" t="s">
        <v>1023</v>
      </c>
      <c r="D94" s="1201"/>
      <c r="E94" s="1200"/>
      <c r="F94" s="1186" t="s">
        <v>256</v>
      </c>
      <c r="G94" s="1200"/>
      <c r="H94" s="1142" t="s">
        <v>256</v>
      </c>
      <c r="I94" s="1179"/>
      <c r="J94" s="1200"/>
      <c r="K94" s="1186"/>
      <c r="M94" s="66"/>
      <c r="P94" s="66"/>
    </row>
    <row r="95" spans="1:18" s="3" customFormat="1" ht="13.15" customHeight="1" outlineLevel="1">
      <c r="A95" s="1185"/>
      <c r="B95" s="1185"/>
      <c r="C95" s="1195" t="s">
        <v>1022</v>
      </c>
      <c r="D95" s="1201"/>
      <c r="E95" s="1200"/>
      <c r="F95" s="1186" t="s">
        <v>256</v>
      </c>
      <c r="G95" s="1200"/>
      <c r="H95" s="1142" t="s">
        <v>256</v>
      </c>
      <c r="I95" s="1179"/>
      <c r="J95" s="1200"/>
      <c r="K95" s="1186"/>
      <c r="M95" s="66"/>
      <c r="P95" s="66"/>
    </row>
    <row r="96" spans="1:18" s="3" customFormat="1" ht="13.15" customHeight="1" outlineLevel="1">
      <c r="A96" s="65" t="s">
        <v>1021</v>
      </c>
      <c r="B96" s="65" t="s">
        <v>1016</v>
      </c>
      <c r="C96" s="1181" t="s">
        <v>1003</v>
      </c>
      <c r="D96" s="1180" t="s">
        <v>1020</v>
      </c>
      <c r="E96" s="1202" t="s">
        <v>174</v>
      </c>
      <c r="F96" s="1186">
        <v>225228</v>
      </c>
      <c r="G96" s="1202" t="s">
        <v>174</v>
      </c>
      <c r="H96" s="1142">
        <f>IF(G96="ABOLISHED",0, (VLOOKUP(G96,$A$121:$C423,2,FALSE)*12))</f>
        <v>225228</v>
      </c>
      <c r="I96" s="1179">
        <f>SUM(H96-F96)</f>
        <v>0</v>
      </c>
      <c r="J96" s="1202" t="s">
        <v>174</v>
      </c>
      <c r="K96" s="1186">
        <f>IF(J96="ABOLISHED",0, (VLOOKUP(J96,$A$121:$C423,3,FALSE)*12))</f>
        <v>225228</v>
      </c>
      <c r="L96" s="3">
        <f>SUM(H96/12)</f>
        <v>18769</v>
      </c>
      <c r="M96" s="66">
        <f>IF(L96&gt;=80000,1600,SUM(L96*4%)/2)</f>
        <v>375.38</v>
      </c>
      <c r="O96" s="3">
        <f>SUM(K96/12)</f>
        <v>18769</v>
      </c>
      <c r="P96" s="66">
        <f>IF(O96&gt;=80000,1600,SUM(O96*4%)/2)</f>
        <v>375.38</v>
      </c>
      <c r="R96" s="3">
        <f>P96-M96</f>
        <v>0</v>
      </c>
    </row>
    <row r="97" spans="1:18" s="3" customFormat="1" ht="13.15" customHeight="1" outlineLevel="1">
      <c r="A97" s="65" t="s">
        <v>1019</v>
      </c>
      <c r="B97" s="65" t="s">
        <v>1018</v>
      </c>
      <c r="C97" s="1203" t="s">
        <v>993</v>
      </c>
      <c r="D97" s="1201" t="s">
        <v>245</v>
      </c>
      <c r="E97" s="1202" t="s">
        <v>206</v>
      </c>
      <c r="F97" s="1186">
        <v>175476</v>
      </c>
      <c r="G97" s="1202" t="s">
        <v>207</v>
      </c>
      <c r="H97" s="1142">
        <f>IF(G97="ABOLISHED",0, (VLOOKUP(G97,$A$121:$C424,2,FALSE)*12))</f>
        <v>174132</v>
      </c>
      <c r="I97" s="1179">
        <f>SUM(H97-F97)</f>
        <v>-1344</v>
      </c>
      <c r="J97" s="1202" t="s">
        <v>207</v>
      </c>
      <c r="K97" s="1186">
        <f>IF(J97="ABOLISHED",0, (VLOOKUP(J97,$A$121:$C424,3,FALSE)*12))</f>
        <v>174132</v>
      </c>
      <c r="L97" s="3">
        <f>SUM(H97/12)</f>
        <v>14511</v>
      </c>
      <c r="M97" s="66">
        <f>IF(L97&gt;=80000,1600,SUM(L97*4%)/2)</f>
        <v>290.22000000000003</v>
      </c>
      <c r="O97" s="3">
        <f>SUM(K97/12)</f>
        <v>14511</v>
      </c>
      <c r="P97" s="66">
        <f>IF(O97&gt;=80000,1600,SUM(O97*4%)/2)</f>
        <v>290.22000000000003</v>
      </c>
      <c r="R97" s="3">
        <f>P97-M97</f>
        <v>0</v>
      </c>
    </row>
    <row r="98" spans="1:18" s="3" customFormat="1" ht="13.15" customHeight="1" outlineLevel="1">
      <c r="A98" s="1185"/>
      <c r="B98" s="1185"/>
      <c r="C98" s="1195" t="s">
        <v>1017</v>
      </c>
      <c r="D98" s="1201"/>
      <c r="E98" s="1200"/>
      <c r="F98" s="1186" t="s">
        <v>256</v>
      </c>
      <c r="G98" s="1200"/>
      <c r="H98" s="1142" t="s">
        <v>256</v>
      </c>
      <c r="I98" s="1179"/>
      <c r="J98" s="1200"/>
      <c r="K98" s="1186"/>
      <c r="M98" s="66"/>
      <c r="P98" s="66"/>
    </row>
    <row r="99" spans="1:18" s="3" customFormat="1" ht="13.15" customHeight="1" outlineLevel="1">
      <c r="A99" s="65" t="s">
        <v>1016</v>
      </c>
      <c r="B99" s="65" t="s">
        <v>1014</v>
      </c>
      <c r="C99" s="1199" t="s">
        <v>1001</v>
      </c>
      <c r="D99" s="1189" t="s">
        <v>1015</v>
      </c>
      <c r="E99" s="1197" t="s">
        <v>191</v>
      </c>
      <c r="F99" s="1186">
        <v>195840</v>
      </c>
      <c r="G99" s="1197" t="s">
        <v>191</v>
      </c>
      <c r="H99" s="1142">
        <f>IF(G99="ABOLISHED",0, (VLOOKUP(G99,$A$121:$C427,2,FALSE)*12))</f>
        <v>195840</v>
      </c>
      <c r="I99" s="1198">
        <f>SUM(H99-F99)</f>
        <v>0</v>
      </c>
      <c r="J99" s="1197" t="s">
        <v>191</v>
      </c>
      <c r="K99" s="1186">
        <f>IF(J99="ABOLISHED",0, (VLOOKUP(J99,$A$121:$C427,3,FALSE)*12))</f>
        <v>195840</v>
      </c>
      <c r="L99" s="3">
        <f>SUM(H99/12)</f>
        <v>16320</v>
      </c>
      <c r="M99" s="66">
        <f>IF(L99&gt;=80000,1600,SUM(L99*4%)/2)</f>
        <v>326.40000000000003</v>
      </c>
      <c r="O99" s="3">
        <f>SUM(K99/12)</f>
        <v>16320</v>
      </c>
      <c r="P99" s="66">
        <f>IF(O99&gt;=80000,1600,SUM(O99*4%)/2)</f>
        <v>326.40000000000003</v>
      </c>
      <c r="R99" s="3">
        <f>P99-M99</f>
        <v>0</v>
      </c>
    </row>
    <row r="100" spans="1:18" s="3" customFormat="1" ht="13.15" customHeight="1" outlineLevel="1">
      <c r="A100" s="65" t="s">
        <v>1014</v>
      </c>
      <c r="B100" s="65"/>
      <c r="C100" s="1190" t="s">
        <v>1013</v>
      </c>
      <c r="D100" s="1189" t="s">
        <v>245</v>
      </c>
      <c r="E100" s="1187" t="s">
        <v>207</v>
      </c>
      <c r="F100" s="1186">
        <v>174132</v>
      </c>
      <c r="G100" s="1187" t="s">
        <v>252</v>
      </c>
      <c r="H100" s="1142">
        <f>IF(G100="ABOLISHED",0, (VLOOKUP(G100,$A$121:$C429,2,FALSE)*12))</f>
        <v>0</v>
      </c>
      <c r="I100" s="1188">
        <f>SUM(H100-F100)</f>
        <v>-174132</v>
      </c>
      <c r="J100" s="1187" t="s">
        <v>252</v>
      </c>
      <c r="K100" s="1186">
        <f>IF(J100="ABOLISHED",0, (VLOOKUP(J100,$A$121:$C429,3,FALSE)*12))</f>
        <v>0</v>
      </c>
      <c r="L100" s="3">
        <f>SUM(H100/12)</f>
        <v>0</v>
      </c>
      <c r="M100" s="66">
        <f>IF(L100&gt;=80000,1600,SUM(L100*4%)/2)</f>
        <v>0</v>
      </c>
      <c r="O100" s="3">
        <f>SUM(K100/12)</f>
        <v>0</v>
      </c>
      <c r="P100" s="66">
        <f>IF(O100&gt;=80000,1600,SUM(O100*4%)/2)</f>
        <v>0</v>
      </c>
      <c r="R100" s="3">
        <f>P100-M100</f>
        <v>0</v>
      </c>
    </row>
    <row r="101" spans="1:18" s="3" customFormat="1" ht="13.15" customHeight="1" outlineLevel="1">
      <c r="A101" s="65" t="s">
        <v>1011</v>
      </c>
      <c r="B101" s="65"/>
      <c r="C101" s="1190" t="s">
        <v>1013</v>
      </c>
      <c r="D101" s="1189" t="s">
        <v>245</v>
      </c>
      <c r="E101" s="1196" t="s">
        <v>207</v>
      </c>
      <c r="F101" s="1186">
        <v>174132</v>
      </c>
      <c r="G101" s="1196" t="s">
        <v>252</v>
      </c>
      <c r="H101" s="1142">
        <f>IF(G101="ABOLISHED",0, (VLOOKUP(G101,$A$121:$C430,2,FALSE)*12))</f>
        <v>0</v>
      </c>
      <c r="I101" s="1188">
        <f>SUM(H101-F101)</f>
        <v>-174132</v>
      </c>
      <c r="J101" s="1196" t="s">
        <v>252</v>
      </c>
      <c r="K101" s="1186">
        <f>IF(J101="ABOLISHED",0, (VLOOKUP(J101,$A$121:$C430,3,FALSE)*12))</f>
        <v>0</v>
      </c>
      <c r="L101" s="3">
        <f>SUM(H101/12)</f>
        <v>0</v>
      </c>
      <c r="M101" s="66">
        <f>IF(L101&gt;=80000,1600,SUM(L101*4%)/2)</f>
        <v>0</v>
      </c>
      <c r="O101" s="3">
        <f>SUM(K101/12)</f>
        <v>0</v>
      </c>
      <c r="P101" s="66">
        <f>IF(O101&gt;=80000,1600,SUM(O101*4%)/2)</f>
        <v>0</v>
      </c>
      <c r="R101" s="3">
        <f>P101-M101</f>
        <v>0</v>
      </c>
    </row>
    <row r="102" spans="1:18" s="3" customFormat="1" ht="13.15" customHeight="1" outlineLevel="1">
      <c r="A102" s="1185"/>
      <c r="B102" s="1185"/>
      <c r="C102" s="1195" t="s">
        <v>1012</v>
      </c>
      <c r="D102" s="1180"/>
      <c r="E102" s="1178"/>
      <c r="F102" s="1186" t="s">
        <v>256</v>
      </c>
      <c r="G102" s="1178"/>
      <c r="H102" s="1142" t="s">
        <v>256</v>
      </c>
      <c r="I102" s="1179"/>
      <c r="J102" s="1178"/>
      <c r="K102" s="1186"/>
      <c r="M102" s="66"/>
      <c r="P102" s="66"/>
    </row>
    <row r="103" spans="1:18" s="3" customFormat="1" ht="13.15" customHeight="1" outlineLevel="1">
      <c r="A103" s="65" t="s">
        <v>1008</v>
      </c>
      <c r="B103" s="65" t="s">
        <v>1011</v>
      </c>
      <c r="C103" s="1194" t="s">
        <v>1010</v>
      </c>
      <c r="D103" s="1193" t="s">
        <v>1009</v>
      </c>
      <c r="E103" s="1191" t="s">
        <v>100</v>
      </c>
      <c r="F103" s="1186">
        <v>515388</v>
      </c>
      <c r="G103" s="1191" t="s">
        <v>100</v>
      </c>
      <c r="H103" s="1142">
        <f>IF(G103="ABOLISHED",0, (VLOOKUP(G103,$A$121:$C432,2,FALSE)*12))</f>
        <v>515388</v>
      </c>
      <c r="I103" s="1192">
        <f>SUM(H103-F103)</f>
        <v>0</v>
      </c>
      <c r="J103" s="1191" t="s">
        <v>100</v>
      </c>
      <c r="K103" s="1186">
        <f>IF(J103="ABOLISHED",0, (VLOOKUP(J103,$A$121:$C432,3,FALSE)*12))</f>
        <v>515388</v>
      </c>
      <c r="L103" s="3">
        <f>SUM(H103/12)</f>
        <v>42949</v>
      </c>
      <c r="M103" s="66">
        <f>IF(L103&gt;=80000,1600,SUM(L103*4%)/2)</f>
        <v>858.98</v>
      </c>
      <c r="O103" s="3">
        <f>SUM(K103/12)</f>
        <v>42949</v>
      </c>
      <c r="P103" s="66">
        <f>IF(O103&gt;=80000,1600,SUM(O103*4%)/2)</f>
        <v>858.98</v>
      </c>
      <c r="R103" s="3">
        <f>P103-M103</f>
        <v>0</v>
      </c>
    </row>
    <row r="104" spans="1:18" s="3" customFormat="1" ht="13.15" customHeight="1" outlineLevel="1">
      <c r="A104" s="65" t="s">
        <v>1004</v>
      </c>
      <c r="B104" s="65" t="s">
        <v>1008</v>
      </c>
      <c r="C104" s="1190" t="s">
        <v>1007</v>
      </c>
      <c r="D104" s="1189" t="s">
        <v>1006</v>
      </c>
      <c r="E104" s="1187" t="s">
        <v>156</v>
      </c>
      <c r="F104" s="1186">
        <v>282060</v>
      </c>
      <c r="G104" s="1187" t="s">
        <v>156</v>
      </c>
      <c r="H104" s="1142">
        <f>IF(G104="ABOLISHED",0, (VLOOKUP(G104,$A$121:$C433,2,FALSE)*12))</f>
        <v>282060</v>
      </c>
      <c r="I104" s="1188">
        <f>SUM(H104-F104)</f>
        <v>0</v>
      </c>
      <c r="J104" s="1187" t="s">
        <v>156</v>
      </c>
      <c r="K104" s="1186">
        <f>IF(J104="ABOLISHED",0, (VLOOKUP(J104,$A$121:$C433,3,FALSE)*12))</f>
        <v>282060</v>
      </c>
      <c r="L104" s="3">
        <f>SUM(H104/12)</f>
        <v>23505</v>
      </c>
      <c r="M104" s="66">
        <f>IF(L104&gt;=80000,1600,SUM(L104*4%)/2)</f>
        <v>470.1</v>
      </c>
      <c r="O104" s="3">
        <f>SUM(K104/12)</f>
        <v>23505</v>
      </c>
      <c r="P104" s="66">
        <f>IF(O104&gt;=80000,1600,SUM(O104*4%)/2)</f>
        <v>470.1</v>
      </c>
      <c r="R104" s="3">
        <f>P104-M104</f>
        <v>0</v>
      </c>
    </row>
    <row r="105" spans="1:18" s="3" customFormat="1" ht="13.15" customHeight="1" outlineLevel="1">
      <c r="A105" s="1185"/>
      <c r="B105" s="1185"/>
      <c r="C105" s="1184" t="s">
        <v>1005</v>
      </c>
      <c r="D105" s="1183"/>
      <c r="E105" s="1178"/>
      <c r="F105" s="1174" t="s">
        <v>256</v>
      </c>
      <c r="G105" s="1178"/>
      <c r="H105" s="1145" t="s">
        <v>256</v>
      </c>
      <c r="I105" s="1182"/>
      <c r="J105" s="1178"/>
      <c r="K105" s="1174"/>
      <c r="M105" s="66"/>
      <c r="P105" s="66"/>
      <c r="R105" s="1"/>
    </row>
    <row r="106" spans="1:18" s="3" customFormat="1" ht="13.15" customHeight="1" outlineLevel="1">
      <c r="A106" s="65" t="s">
        <v>1002</v>
      </c>
      <c r="B106" s="65" t="s">
        <v>1004</v>
      </c>
      <c r="C106" s="1181" t="s">
        <v>1003</v>
      </c>
      <c r="D106" s="1180" t="s">
        <v>245</v>
      </c>
      <c r="E106" s="1178" t="s">
        <v>175</v>
      </c>
      <c r="F106" s="1174">
        <v>223356</v>
      </c>
      <c r="G106" s="1178" t="s">
        <v>175</v>
      </c>
      <c r="H106" s="1145">
        <f>IF(G106="ABOLISHED",0, (VLOOKUP(G106,$A$121:$C430,2,FALSE)*12))</f>
        <v>223356</v>
      </c>
      <c r="I106" s="1179">
        <f>SUM(H106-F106)</f>
        <v>0</v>
      </c>
      <c r="J106" s="1178" t="s">
        <v>175</v>
      </c>
      <c r="K106" s="1174">
        <f>IF(J106="ABOLISHED",0, (VLOOKUP(J106,$A$121:$C430,3,FALSE)*12))</f>
        <v>223356</v>
      </c>
      <c r="L106" s="3">
        <f>SUM(H106/12)</f>
        <v>18613</v>
      </c>
      <c r="M106" s="66">
        <f>IF(L106&gt;=80000,1600,SUM(L106*4%)/2)</f>
        <v>372.26</v>
      </c>
      <c r="O106" s="3">
        <f>SUM(K106/12)</f>
        <v>18613</v>
      </c>
      <c r="P106" s="66">
        <f>IF(O106&gt;=80000,1600,SUM(O106*4%)/2)</f>
        <v>372.26</v>
      </c>
      <c r="R106" s="1">
        <f>P106-M106</f>
        <v>0</v>
      </c>
    </row>
    <row r="107" spans="1:18" s="3" customFormat="1" ht="13.15" customHeight="1" outlineLevel="1">
      <c r="A107" s="293" t="s">
        <v>998</v>
      </c>
      <c r="B107" s="293" t="s">
        <v>1002</v>
      </c>
      <c r="C107" s="1177" t="s">
        <v>1001</v>
      </c>
      <c r="D107" s="1148" t="s">
        <v>1000</v>
      </c>
      <c r="E107" s="1175" t="s">
        <v>187</v>
      </c>
      <c r="F107" s="1174">
        <v>201924</v>
      </c>
      <c r="G107" s="1175" t="s">
        <v>187</v>
      </c>
      <c r="H107" s="1145">
        <f>IF(G107="ABOLISHED",0, (VLOOKUP(G107,$A$121:$C430,2,FALSE)*12))</f>
        <v>201924</v>
      </c>
      <c r="I107" s="1176">
        <f>SUM(H107-F107)</f>
        <v>0</v>
      </c>
      <c r="J107" s="1175" t="s">
        <v>187</v>
      </c>
      <c r="K107" s="1174">
        <f>IF(J107="ABOLISHED",0, (VLOOKUP(J107,$A$121:$C430,3,FALSE)*12))</f>
        <v>201924</v>
      </c>
      <c r="L107" s="3">
        <f>SUM(H107/12)</f>
        <v>16827</v>
      </c>
      <c r="M107" s="66">
        <f>IF(L107&gt;=80000,1600,SUM(L107*4%)/2)</f>
        <v>336.54</v>
      </c>
      <c r="O107" s="3">
        <f>SUM(K107/12)</f>
        <v>16827</v>
      </c>
      <c r="P107" s="66">
        <f>IF(O107&gt;=80000,1600,SUM(O107*4%)/2)</f>
        <v>336.54</v>
      </c>
      <c r="R107" s="1">
        <f>P107-M107</f>
        <v>0</v>
      </c>
    </row>
    <row r="108" spans="1:18" s="3" customFormat="1" ht="13.15" customHeight="1" outlineLevel="1">
      <c r="A108" s="293" t="s">
        <v>999</v>
      </c>
      <c r="B108" s="293" t="s">
        <v>998</v>
      </c>
      <c r="C108" s="1177" t="s">
        <v>997</v>
      </c>
      <c r="D108" s="1148" t="s">
        <v>996</v>
      </c>
      <c r="E108" s="1175" t="s">
        <v>205</v>
      </c>
      <c r="F108" s="1174">
        <v>176820</v>
      </c>
      <c r="G108" s="1175" t="s">
        <v>205</v>
      </c>
      <c r="H108" s="1145">
        <f>IF(G108="ABOLISHED",0, (VLOOKUP(G108,$A$121:$C431,2,FALSE)*12))</f>
        <v>176820</v>
      </c>
      <c r="I108" s="1176">
        <f>SUM(H108-F108)</f>
        <v>0</v>
      </c>
      <c r="J108" s="1175" t="s">
        <v>205</v>
      </c>
      <c r="K108" s="1174">
        <f>IF(J108="ABOLISHED",0, (VLOOKUP(J108,$A$121:$C431,3,FALSE)*12))</f>
        <v>176820</v>
      </c>
      <c r="L108" s="3">
        <f>SUM(H108/12)</f>
        <v>14735</v>
      </c>
      <c r="M108" s="66">
        <f>IF(L108&gt;=80000,1600,SUM(L108*4%)/2)</f>
        <v>294.7</v>
      </c>
      <c r="O108" s="3">
        <f>SUM(K108/12)</f>
        <v>14735</v>
      </c>
      <c r="P108" s="66">
        <f>IF(O108&gt;=80000,1600,SUM(O108*4%)/2)</f>
        <v>294.7</v>
      </c>
      <c r="R108" s="1">
        <f>P108-M108</f>
        <v>0</v>
      </c>
    </row>
    <row r="109" spans="1:18" s="3" customFormat="1" ht="13.15" customHeight="1" outlineLevel="1">
      <c r="A109" s="1173"/>
      <c r="B109" s="1173"/>
      <c r="C109" s="1172"/>
      <c r="D109" s="1171"/>
      <c r="E109" s="1168"/>
      <c r="F109" s="1167"/>
      <c r="G109" s="1168"/>
      <c r="H109" s="1170"/>
      <c r="I109" s="1169"/>
      <c r="J109" s="1168"/>
      <c r="K109" s="1167"/>
      <c r="M109" s="57"/>
      <c r="P109" s="57"/>
      <c r="R109" s="1"/>
    </row>
    <row r="110" spans="1:18" ht="16.149999999999999" customHeight="1">
      <c r="A110" s="1166"/>
      <c r="B110" s="1165" t="str">
        <f>B108</f>
        <v>68</v>
      </c>
      <c r="C110" s="1164"/>
      <c r="D110" s="1163" t="s">
        <v>244</v>
      </c>
      <c r="E110" s="1162"/>
      <c r="F110" s="50">
        <f>SUM(F13:F108)</f>
        <v>19219620</v>
      </c>
      <c r="G110" s="1160"/>
      <c r="H110" s="50">
        <f>SUM(H13:H108)</f>
        <v>18613608</v>
      </c>
      <c r="I110" s="1161">
        <f>SUM(I13:I108)</f>
        <v>-606012</v>
      </c>
      <c r="J110" s="1160"/>
      <c r="K110" s="48">
        <f>SUM(K13:K108)</f>
        <v>18613608</v>
      </c>
      <c r="M110" s="1159">
        <f>SUM(M13:M108)</f>
        <v>30618.139999999989</v>
      </c>
      <c r="P110" s="1159">
        <f>SUM(P13:P108)</f>
        <v>30618.139999999989</v>
      </c>
      <c r="R110" s="1159">
        <f>SUM(R13:R108)</f>
        <v>0</v>
      </c>
    </row>
    <row r="111" spans="1:18" ht="16.149999999999999" hidden="1" customHeight="1">
      <c r="A111" s="1158"/>
      <c r="B111" s="1158"/>
      <c r="C111" s="39"/>
      <c r="D111" s="45"/>
      <c r="E111" s="42"/>
      <c r="F111" s="44"/>
      <c r="G111" s="18"/>
      <c r="H111" s="403" t="s">
        <v>995</v>
      </c>
      <c r="I111" s="1157"/>
      <c r="J111" s="2"/>
      <c r="K111" s="41"/>
      <c r="M111" s="1156">
        <v>12</v>
      </c>
      <c r="P111" s="1156">
        <v>12</v>
      </c>
      <c r="R111" s="1156">
        <v>12</v>
      </c>
    </row>
    <row r="112" spans="1:18" s="3" customFormat="1" ht="16.149999999999999" hidden="1" customHeight="1" thickBot="1">
      <c r="A112" s="1155"/>
      <c r="B112" s="1155"/>
      <c r="C112" s="40"/>
      <c r="D112" s="1154"/>
      <c r="E112" s="41"/>
      <c r="F112" s="1153"/>
      <c r="G112" s="2"/>
      <c r="H112" s="41"/>
      <c r="I112" s="1152"/>
      <c r="J112" s="2"/>
      <c r="K112" s="41"/>
      <c r="M112" s="30">
        <f>ROUNDUP(SUM(M110*M111),0)</f>
        <v>367418</v>
      </c>
      <c r="P112" s="30">
        <f>ROUNDUP(SUM(P110*P111),0)</f>
        <v>367418</v>
      </c>
      <c r="R112" s="30">
        <f>ROUNDUP(SUM(R110*R111),0)</f>
        <v>0</v>
      </c>
    </row>
    <row r="113" spans="1:13" s="3" customFormat="1" ht="16.149999999999999" hidden="1" customHeight="1" thickTop="1">
      <c r="A113" s="1155"/>
      <c r="B113" s="1155"/>
      <c r="C113" s="40"/>
      <c r="D113" s="1154"/>
      <c r="E113" s="41"/>
      <c r="F113" s="1153"/>
      <c r="G113" s="2"/>
      <c r="H113" s="41"/>
      <c r="I113" s="1152"/>
      <c r="J113" s="2"/>
      <c r="K113" s="41"/>
      <c r="M113" s="1151"/>
    </row>
    <row r="114" spans="1:13" s="3" customFormat="1" ht="16.149999999999999" hidden="1" customHeight="1">
      <c r="A114" s="1155"/>
      <c r="B114" s="1155"/>
      <c r="C114" s="40"/>
      <c r="D114" s="1154"/>
      <c r="E114" s="41"/>
      <c r="F114" s="1153"/>
      <c r="G114" s="2"/>
      <c r="H114" s="41"/>
      <c r="I114" s="1152"/>
      <c r="J114" s="2"/>
      <c r="K114" s="41"/>
      <c r="M114" s="1151"/>
    </row>
    <row r="115" spans="1:13" s="2" customFormat="1" ht="13.15" hidden="1" customHeight="1" outlineLevel="1">
      <c r="A115" s="1150" t="s">
        <v>994</v>
      </c>
      <c r="B115" s="1150" t="s">
        <v>994</v>
      </c>
      <c r="C115" s="1149" t="s">
        <v>993</v>
      </c>
      <c r="D115" s="1148" t="s">
        <v>992</v>
      </c>
      <c r="E115" s="1147" t="s">
        <v>207</v>
      </c>
      <c r="F115" s="1146">
        <v>142368</v>
      </c>
      <c r="G115" s="1143" t="s">
        <v>206</v>
      </c>
      <c r="H115" s="1145">
        <f>VLOOKUP(G115,$A$121:$B$398,2)*12</f>
        <v>2326212</v>
      </c>
      <c r="I115" s="1144">
        <f>SUM(H115-F115)</f>
        <v>2183844</v>
      </c>
      <c r="J115" s="1143" t="s">
        <v>206</v>
      </c>
      <c r="K115" s="1142"/>
      <c r="L115" s="2">
        <f>SUM(H115/12)</f>
        <v>193851</v>
      </c>
      <c r="M115" s="66">
        <f>IF(L115&gt;=50000,687.5,SUM(L115*3%)/2)</f>
        <v>687.5</v>
      </c>
    </row>
    <row r="116" spans="1:13" ht="14.25" hidden="1" customHeight="1">
      <c r="E116" s="27"/>
    </row>
    <row r="117" spans="1:13" ht="14.25" hidden="1" customHeight="1">
      <c r="E117" s="27"/>
    </row>
    <row r="118" spans="1:13" ht="14.25" hidden="1" customHeight="1">
      <c r="A118" s="4636"/>
      <c r="B118" s="4636"/>
      <c r="D118" s="1141"/>
      <c r="E118" s="27"/>
    </row>
    <row r="119" spans="1:13" ht="15.75" hidden="1">
      <c r="A119" s="4637" t="s">
        <v>991</v>
      </c>
      <c r="B119" s="4638"/>
      <c r="C119" s="26" t="s">
        <v>457</v>
      </c>
      <c r="D119" s="1140" t="s">
        <v>990</v>
      </c>
      <c r="E119" s="4722" t="s">
        <v>990</v>
      </c>
      <c r="F119" s="4722"/>
    </row>
    <row r="120" spans="1:13" ht="15" hidden="1">
      <c r="A120" s="25" t="s">
        <v>242</v>
      </c>
      <c r="B120" s="24" t="s">
        <v>241</v>
      </c>
      <c r="C120" s="23" t="s">
        <v>240</v>
      </c>
      <c r="D120" s="1139" t="s">
        <v>585</v>
      </c>
      <c r="E120" s="4721" t="s">
        <v>240</v>
      </c>
      <c r="F120" s="4721"/>
      <c r="L120" s="430"/>
    </row>
    <row r="121" spans="1:13" hidden="1">
      <c r="A121" s="21" t="s">
        <v>239</v>
      </c>
      <c r="B121" s="22">
        <v>11432</v>
      </c>
      <c r="C121" s="22">
        <v>11432</v>
      </c>
      <c r="D121" s="22">
        <v>12034</v>
      </c>
      <c r="E121" s="22">
        <v>12034</v>
      </c>
      <c r="F121" s="15"/>
      <c r="G121" s="17"/>
      <c r="H121" s="14"/>
      <c r="I121" s="14"/>
      <c r="J121" s="13"/>
      <c r="K121" s="13"/>
    </row>
    <row r="122" spans="1:13" hidden="1">
      <c r="A122" s="12" t="s">
        <v>238</v>
      </c>
      <c r="B122" s="22">
        <v>11527</v>
      </c>
      <c r="C122" s="22">
        <v>11527</v>
      </c>
      <c r="D122" s="22">
        <v>12134</v>
      </c>
      <c r="E122" s="22">
        <v>12134</v>
      </c>
      <c r="F122" s="1137"/>
      <c r="G122" s="17"/>
      <c r="H122" s="14"/>
      <c r="I122" s="14"/>
      <c r="J122" s="13"/>
      <c r="K122" s="13"/>
    </row>
    <row r="123" spans="1:13" hidden="1">
      <c r="A123" s="21" t="s">
        <v>237</v>
      </c>
      <c r="B123" s="22">
        <v>11624</v>
      </c>
      <c r="C123" s="22">
        <v>11624</v>
      </c>
      <c r="D123" s="22">
        <v>12236</v>
      </c>
      <c r="E123" s="22">
        <v>12236</v>
      </c>
      <c r="F123" s="1137"/>
      <c r="G123" s="17"/>
    </row>
    <row r="124" spans="1:13" hidden="1">
      <c r="A124" s="12" t="s">
        <v>236</v>
      </c>
      <c r="B124" s="22">
        <v>11722</v>
      </c>
      <c r="C124" s="22">
        <v>11722</v>
      </c>
      <c r="D124" s="22">
        <v>12339</v>
      </c>
      <c r="E124" s="22">
        <v>12339</v>
      </c>
      <c r="F124" s="1137"/>
      <c r="G124" s="17"/>
      <c r="H124" s="14"/>
    </row>
    <row r="125" spans="1:13" hidden="1">
      <c r="A125" s="21" t="s">
        <v>235</v>
      </c>
      <c r="B125" s="22">
        <v>11820</v>
      </c>
      <c r="C125" s="22">
        <v>11820</v>
      </c>
      <c r="D125" s="22">
        <v>12442</v>
      </c>
      <c r="E125" s="22">
        <v>12442</v>
      </c>
      <c r="F125" s="1137"/>
      <c r="G125" s="17"/>
      <c r="H125" s="14"/>
      <c r="I125" s="14"/>
      <c r="J125" s="13"/>
      <c r="K125" s="13"/>
    </row>
    <row r="126" spans="1:13" hidden="1">
      <c r="A126" s="12" t="s">
        <v>234</v>
      </c>
      <c r="B126" s="22">
        <v>11918</v>
      </c>
      <c r="C126" s="22">
        <v>11918</v>
      </c>
      <c r="D126" s="22">
        <v>12545</v>
      </c>
      <c r="E126" s="22">
        <v>12545</v>
      </c>
      <c r="F126" s="1137"/>
      <c r="G126" s="17"/>
      <c r="H126" s="14"/>
    </row>
    <row r="127" spans="1:13" hidden="1">
      <c r="A127" s="21" t="s">
        <v>233</v>
      </c>
      <c r="B127" s="22">
        <v>12018</v>
      </c>
      <c r="C127" s="22">
        <v>12018</v>
      </c>
      <c r="D127" s="22">
        <v>12651</v>
      </c>
      <c r="E127" s="22">
        <v>12651</v>
      </c>
      <c r="F127" s="1137"/>
      <c r="G127" s="14"/>
      <c r="H127" s="14"/>
    </row>
    <row r="128" spans="1:13" hidden="1">
      <c r="A128" s="12" t="s">
        <v>232</v>
      </c>
      <c r="B128" s="22">
        <v>12118</v>
      </c>
      <c r="C128" s="22">
        <v>12118</v>
      </c>
      <c r="D128" s="22">
        <v>12756</v>
      </c>
      <c r="E128" s="22">
        <v>12756</v>
      </c>
      <c r="F128" s="1137"/>
      <c r="G128" s="14"/>
      <c r="H128" s="14"/>
      <c r="I128" s="14"/>
      <c r="J128" s="13"/>
      <c r="K128" s="13"/>
    </row>
    <row r="129" spans="1:11" hidden="1">
      <c r="A129" s="20" t="s">
        <v>231</v>
      </c>
      <c r="B129" s="9">
        <v>12151</v>
      </c>
      <c r="C129" s="9">
        <v>12151</v>
      </c>
      <c r="D129" s="9">
        <v>12790</v>
      </c>
      <c r="E129" s="9">
        <v>12790</v>
      </c>
      <c r="F129" s="1137"/>
      <c r="G129" s="14"/>
      <c r="H129" s="14"/>
    </row>
    <row r="130" spans="1:11" hidden="1">
      <c r="A130" s="10" t="s">
        <v>230</v>
      </c>
      <c r="B130" s="9">
        <v>12244</v>
      </c>
      <c r="C130" s="9">
        <v>12244</v>
      </c>
      <c r="D130" s="9">
        <v>12888</v>
      </c>
      <c r="E130" s="9">
        <v>12888</v>
      </c>
      <c r="F130" s="1137"/>
      <c r="G130" s="14"/>
      <c r="H130" s="14"/>
      <c r="I130" s="14"/>
      <c r="J130" s="13"/>
      <c r="K130" s="13"/>
    </row>
    <row r="131" spans="1:11" hidden="1">
      <c r="A131" s="20" t="s">
        <v>229</v>
      </c>
      <c r="B131" s="9">
        <v>12338</v>
      </c>
      <c r="C131" s="9">
        <v>12338</v>
      </c>
      <c r="D131" s="9">
        <v>12987</v>
      </c>
      <c r="E131" s="9">
        <v>12987</v>
      </c>
      <c r="F131" s="1137"/>
      <c r="G131" s="14"/>
    </row>
    <row r="132" spans="1:11" hidden="1">
      <c r="A132" s="10" t="s">
        <v>228</v>
      </c>
      <c r="B132" s="9">
        <v>12433</v>
      </c>
      <c r="C132" s="9">
        <v>12433</v>
      </c>
      <c r="D132" s="9">
        <v>13087</v>
      </c>
      <c r="E132" s="9">
        <v>13087</v>
      </c>
      <c r="F132" s="1137"/>
      <c r="G132" s="14"/>
      <c r="H132" s="14"/>
    </row>
    <row r="133" spans="1:11" hidden="1">
      <c r="A133" s="20" t="s">
        <v>227</v>
      </c>
      <c r="B133" s="9">
        <v>12528</v>
      </c>
      <c r="C133" s="9">
        <v>12528</v>
      </c>
      <c r="D133" s="9">
        <v>13187</v>
      </c>
      <c r="E133" s="9">
        <v>13187</v>
      </c>
      <c r="F133" s="1137"/>
      <c r="G133" s="14"/>
      <c r="H133" s="14"/>
      <c r="I133" s="14"/>
      <c r="J133" s="13"/>
      <c r="K133" s="13"/>
    </row>
    <row r="134" spans="1:11" hidden="1">
      <c r="A134" s="10" t="s">
        <v>226</v>
      </c>
      <c r="B134" s="9">
        <v>12624</v>
      </c>
      <c r="C134" s="9">
        <v>12624</v>
      </c>
      <c r="D134" s="9">
        <v>13288</v>
      </c>
      <c r="E134" s="9">
        <v>13288</v>
      </c>
      <c r="F134" s="1137"/>
      <c r="G134" s="14"/>
      <c r="H134" s="14"/>
      <c r="I134" s="14"/>
      <c r="J134" s="13"/>
      <c r="K134" s="13"/>
    </row>
    <row r="135" spans="1:11" hidden="1">
      <c r="A135" s="20" t="s">
        <v>225</v>
      </c>
      <c r="B135" s="9">
        <v>12721</v>
      </c>
      <c r="C135" s="9">
        <v>12721</v>
      </c>
      <c r="D135" s="9">
        <v>13390</v>
      </c>
      <c r="E135" s="9">
        <v>13390</v>
      </c>
      <c r="F135" s="1137"/>
      <c r="G135" s="14"/>
      <c r="H135" s="14"/>
      <c r="I135" s="14"/>
      <c r="J135" s="13"/>
      <c r="K135" s="13"/>
    </row>
    <row r="136" spans="1:11" hidden="1">
      <c r="A136" s="10" t="s">
        <v>224</v>
      </c>
      <c r="B136" s="9">
        <v>12818</v>
      </c>
      <c r="C136" s="9">
        <v>12818</v>
      </c>
      <c r="D136" s="9">
        <v>13493</v>
      </c>
      <c r="E136" s="9">
        <v>13493</v>
      </c>
      <c r="F136" s="1137"/>
      <c r="G136" s="14"/>
      <c r="H136" s="14"/>
    </row>
    <row r="137" spans="1:11" hidden="1">
      <c r="A137" s="21" t="s">
        <v>223</v>
      </c>
      <c r="B137" s="11">
        <v>12893</v>
      </c>
      <c r="C137" s="11">
        <v>12893</v>
      </c>
      <c r="D137" s="11">
        <v>13572</v>
      </c>
      <c r="E137" s="11">
        <v>13572</v>
      </c>
      <c r="F137" s="1137"/>
      <c r="G137" s="14"/>
      <c r="H137" s="14"/>
    </row>
    <row r="138" spans="1:11" hidden="1">
      <c r="A138" s="12" t="s">
        <v>222</v>
      </c>
      <c r="B138" s="11">
        <v>12993</v>
      </c>
      <c r="C138" s="11">
        <v>12993</v>
      </c>
      <c r="D138" s="11">
        <v>13677</v>
      </c>
      <c r="E138" s="11">
        <v>13677</v>
      </c>
      <c r="F138" s="1137"/>
      <c r="G138" s="14"/>
      <c r="H138" s="14"/>
      <c r="I138" s="14"/>
      <c r="J138" s="13"/>
      <c r="K138" s="13"/>
    </row>
    <row r="139" spans="1:11" hidden="1">
      <c r="A139" s="21" t="s">
        <v>221</v>
      </c>
      <c r="B139" s="11">
        <v>13092</v>
      </c>
      <c r="C139" s="11">
        <v>13092</v>
      </c>
      <c r="D139" s="11">
        <v>13781</v>
      </c>
      <c r="E139" s="11">
        <v>13781</v>
      </c>
      <c r="F139" s="1137"/>
      <c r="G139" s="14"/>
      <c r="H139" s="14"/>
      <c r="I139" s="14"/>
      <c r="J139" s="13"/>
      <c r="K139" s="13"/>
    </row>
    <row r="140" spans="1:11" hidden="1">
      <c r="A140" s="12" t="s">
        <v>220</v>
      </c>
      <c r="B140" s="11">
        <v>13194</v>
      </c>
      <c r="C140" s="11">
        <v>13194</v>
      </c>
      <c r="D140" s="11">
        <v>13888</v>
      </c>
      <c r="E140" s="11">
        <v>13888</v>
      </c>
      <c r="F140" s="1137"/>
      <c r="G140" s="14"/>
      <c r="H140" s="14"/>
    </row>
    <row r="141" spans="1:11" hidden="1">
      <c r="A141" s="21" t="s">
        <v>219</v>
      </c>
      <c r="B141" s="11">
        <v>13295</v>
      </c>
      <c r="C141" s="11">
        <v>13295</v>
      </c>
      <c r="D141" s="11">
        <v>13995</v>
      </c>
      <c r="E141" s="11">
        <v>13995</v>
      </c>
      <c r="F141" s="1137"/>
      <c r="G141" s="14"/>
      <c r="H141" s="14"/>
      <c r="I141" s="14"/>
      <c r="J141" s="13"/>
      <c r="K141" s="13"/>
    </row>
    <row r="142" spans="1:11" hidden="1">
      <c r="A142" s="12" t="s">
        <v>218</v>
      </c>
      <c r="B142" s="11">
        <v>13396</v>
      </c>
      <c r="C142" s="11">
        <v>13396</v>
      </c>
      <c r="D142" s="11">
        <v>14101</v>
      </c>
      <c r="E142" s="11">
        <v>14101</v>
      </c>
      <c r="F142" s="1137"/>
      <c r="G142" s="14"/>
      <c r="H142" s="14"/>
    </row>
    <row r="143" spans="1:11" hidden="1">
      <c r="A143" s="21" t="s">
        <v>217</v>
      </c>
      <c r="B143" s="11">
        <v>13500</v>
      </c>
      <c r="C143" s="11">
        <v>13500</v>
      </c>
      <c r="D143" s="11">
        <v>14210</v>
      </c>
      <c r="E143" s="11">
        <v>14210</v>
      </c>
      <c r="F143" s="1137"/>
      <c r="G143" s="14"/>
      <c r="H143" s="14"/>
    </row>
    <row r="144" spans="1:11" hidden="1">
      <c r="A144" s="12" t="s">
        <v>216</v>
      </c>
      <c r="B144" s="11">
        <v>13603</v>
      </c>
      <c r="C144" s="11">
        <v>13603</v>
      </c>
      <c r="D144" s="11">
        <v>14319</v>
      </c>
      <c r="E144" s="11">
        <v>14319</v>
      </c>
      <c r="F144" s="1137"/>
      <c r="G144" s="14"/>
      <c r="H144" s="14"/>
      <c r="I144" s="14"/>
      <c r="J144" s="13"/>
      <c r="K144" s="13"/>
    </row>
    <row r="145" spans="1:11" hidden="1">
      <c r="A145" s="20" t="s">
        <v>215</v>
      </c>
      <c r="B145" s="9">
        <v>13680</v>
      </c>
      <c r="C145" s="9">
        <v>13680</v>
      </c>
      <c r="D145" s="9">
        <v>14400</v>
      </c>
      <c r="E145" s="9">
        <v>14400</v>
      </c>
      <c r="F145" s="1137"/>
    </row>
    <row r="146" spans="1:11" hidden="1">
      <c r="A146" s="10" t="s">
        <v>214</v>
      </c>
      <c r="B146" s="9">
        <v>13785</v>
      </c>
      <c r="C146" s="9">
        <v>13785</v>
      </c>
      <c r="D146" s="9">
        <v>14511</v>
      </c>
      <c r="E146" s="9">
        <v>14511</v>
      </c>
      <c r="F146" s="1137"/>
    </row>
    <row r="147" spans="1:11" hidden="1">
      <c r="A147" s="20" t="s">
        <v>213</v>
      </c>
      <c r="B147" s="9">
        <v>13891</v>
      </c>
      <c r="C147" s="9">
        <v>13891</v>
      </c>
      <c r="D147" s="9">
        <v>14622</v>
      </c>
      <c r="E147" s="9">
        <v>14622</v>
      </c>
      <c r="F147" s="1137"/>
    </row>
    <row r="148" spans="1:11" hidden="1">
      <c r="A148" s="10" t="s">
        <v>212</v>
      </c>
      <c r="B148" s="9">
        <v>13998</v>
      </c>
      <c r="C148" s="9">
        <v>13998</v>
      </c>
      <c r="D148" s="9">
        <v>14735</v>
      </c>
      <c r="E148" s="9">
        <v>14735</v>
      </c>
      <c r="F148" s="1137"/>
    </row>
    <row r="149" spans="1:11" hidden="1">
      <c r="A149" s="20" t="s">
        <v>211</v>
      </c>
      <c r="B149" s="9">
        <v>14106</v>
      </c>
      <c r="C149" s="9">
        <v>14106</v>
      </c>
      <c r="D149" s="9">
        <v>14848</v>
      </c>
      <c r="E149" s="9">
        <v>14848</v>
      </c>
      <c r="F149" s="1137"/>
    </row>
    <row r="150" spans="1:11" hidden="1">
      <c r="A150" s="10" t="s">
        <v>210</v>
      </c>
      <c r="B150" s="9">
        <v>14213</v>
      </c>
      <c r="C150" s="9">
        <v>14213</v>
      </c>
      <c r="D150" s="9">
        <v>14961</v>
      </c>
      <c r="E150" s="9">
        <v>14961</v>
      </c>
      <c r="F150" s="1137"/>
    </row>
    <row r="151" spans="1:11" hidden="1">
      <c r="A151" s="20" t="s">
        <v>209</v>
      </c>
      <c r="B151" s="9">
        <v>14323</v>
      </c>
      <c r="C151" s="9">
        <v>14323</v>
      </c>
      <c r="D151" s="9">
        <v>15077</v>
      </c>
      <c r="E151" s="9">
        <v>15077</v>
      </c>
      <c r="F151" s="1137"/>
    </row>
    <row r="152" spans="1:11" hidden="1">
      <c r="A152" s="10" t="s">
        <v>208</v>
      </c>
      <c r="B152" s="9">
        <v>14432</v>
      </c>
      <c r="C152" s="9">
        <v>14432</v>
      </c>
      <c r="D152" s="9">
        <v>15192</v>
      </c>
      <c r="E152" s="9">
        <v>15192</v>
      </c>
      <c r="F152" s="1137"/>
    </row>
    <row r="153" spans="1:11" hidden="1">
      <c r="A153" s="12" t="s">
        <v>207</v>
      </c>
      <c r="B153" s="11">
        <v>14511</v>
      </c>
      <c r="C153" s="11">
        <v>14511</v>
      </c>
      <c r="D153" s="11">
        <v>15275</v>
      </c>
      <c r="E153" s="11">
        <v>15275</v>
      </c>
      <c r="F153" s="1137"/>
      <c r="G153" s="14"/>
      <c r="H153" s="14"/>
      <c r="I153" s="14"/>
      <c r="J153" s="13"/>
      <c r="K153" s="13"/>
    </row>
    <row r="154" spans="1:11" hidden="1">
      <c r="A154" s="12" t="s">
        <v>206</v>
      </c>
      <c r="B154" s="11">
        <v>14623</v>
      </c>
      <c r="C154" s="11">
        <v>14623</v>
      </c>
      <c r="D154" s="11">
        <v>15393</v>
      </c>
      <c r="E154" s="11">
        <v>15393</v>
      </c>
      <c r="F154" s="1137"/>
      <c r="G154" s="14"/>
      <c r="H154" s="14"/>
    </row>
    <row r="155" spans="1:11" hidden="1">
      <c r="A155" s="12" t="s">
        <v>205</v>
      </c>
      <c r="B155" s="11">
        <v>14735</v>
      </c>
      <c r="C155" s="11">
        <v>14735</v>
      </c>
      <c r="D155" s="11">
        <v>15511</v>
      </c>
      <c r="E155" s="11">
        <v>15511</v>
      </c>
      <c r="F155" s="1137"/>
      <c r="G155" s="14"/>
      <c r="H155" s="14"/>
    </row>
    <row r="156" spans="1:11" hidden="1">
      <c r="A156" s="12" t="s">
        <v>204</v>
      </c>
      <c r="B156" s="11">
        <v>14849</v>
      </c>
      <c r="C156" s="11">
        <v>14849</v>
      </c>
      <c r="D156" s="11">
        <v>15630</v>
      </c>
      <c r="E156" s="11">
        <v>15630</v>
      </c>
      <c r="F156" s="1137"/>
      <c r="G156" s="14"/>
      <c r="H156" s="14"/>
    </row>
    <row r="157" spans="1:11" hidden="1">
      <c r="A157" s="12" t="s">
        <v>203</v>
      </c>
      <c r="B157" s="11">
        <v>14963</v>
      </c>
      <c r="C157" s="11">
        <v>14963</v>
      </c>
      <c r="D157" s="11">
        <v>15750</v>
      </c>
      <c r="E157" s="11">
        <v>15750</v>
      </c>
      <c r="F157" s="1137"/>
      <c r="G157" s="14"/>
      <c r="H157" s="14"/>
    </row>
    <row r="158" spans="1:11" hidden="1">
      <c r="A158" s="12" t="s">
        <v>202</v>
      </c>
      <c r="B158" s="11">
        <v>15077</v>
      </c>
      <c r="C158" s="11">
        <v>15077</v>
      </c>
      <c r="D158" s="11">
        <v>15871</v>
      </c>
      <c r="E158" s="11">
        <v>15871</v>
      </c>
      <c r="F158" s="1137"/>
      <c r="G158" s="14"/>
      <c r="H158" s="14"/>
      <c r="I158" s="14"/>
      <c r="J158" s="13"/>
      <c r="K158" s="13"/>
    </row>
    <row r="159" spans="1:11" hidden="1">
      <c r="A159" s="12" t="s">
        <v>201</v>
      </c>
      <c r="B159" s="11">
        <v>15193</v>
      </c>
      <c r="C159" s="11">
        <v>15193</v>
      </c>
      <c r="D159" s="11">
        <v>15993</v>
      </c>
      <c r="E159" s="11">
        <v>15993</v>
      </c>
      <c r="F159" s="1137"/>
      <c r="G159" s="14"/>
      <c r="H159" s="14"/>
      <c r="I159" s="14"/>
      <c r="J159" s="13"/>
      <c r="K159" s="13"/>
    </row>
    <row r="160" spans="1:11" hidden="1">
      <c r="A160" s="12" t="s">
        <v>200</v>
      </c>
      <c r="B160" s="11">
        <v>15309</v>
      </c>
      <c r="C160" s="11">
        <v>15309</v>
      </c>
      <c r="D160" s="11">
        <v>16115</v>
      </c>
      <c r="E160" s="11">
        <v>16115</v>
      </c>
      <c r="F160" s="1137"/>
      <c r="G160" s="14"/>
      <c r="H160" s="14"/>
    </row>
    <row r="161" spans="1:11" hidden="1">
      <c r="A161" s="10" t="s">
        <v>199</v>
      </c>
      <c r="B161" s="9">
        <v>15390</v>
      </c>
      <c r="C161" s="9">
        <v>15390</v>
      </c>
      <c r="D161" s="9">
        <v>16200</v>
      </c>
      <c r="E161" s="9">
        <v>16200</v>
      </c>
      <c r="F161" s="1137"/>
      <c r="G161" s="14"/>
      <c r="H161" s="14"/>
      <c r="I161" s="14"/>
      <c r="J161" s="13"/>
      <c r="K161" s="13"/>
    </row>
    <row r="162" spans="1:11" hidden="1">
      <c r="A162" s="10" t="s">
        <v>198</v>
      </c>
      <c r="B162" s="9">
        <v>15509</v>
      </c>
      <c r="C162" s="9">
        <v>15509</v>
      </c>
      <c r="D162" s="9">
        <v>16325</v>
      </c>
      <c r="E162" s="9">
        <v>16325</v>
      </c>
      <c r="F162" s="1137"/>
      <c r="G162" s="14"/>
      <c r="H162" s="14"/>
      <c r="I162" s="14"/>
      <c r="J162" s="13"/>
      <c r="K162" s="13"/>
    </row>
    <row r="163" spans="1:11" hidden="1">
      <c r="A163" s="10" t="s">
        <v>197</v>
      </c>
      <c r="B163" s="9">
        <v>15628</v>
      </c>
      <c r="C163" s="9">
        <v>15628</v>
      </c>
      <c r="D163" s="9">
        <v>16450</v>
      </c>
      <c r="E163" s="9">
        <v>16450</v>
      </c>
      <c r="F163" s="1137"/>
      <c r="G163" s="14"/>
      <c r="H163" s="14"/>
      <c r="I163" s="14"/>
      <c r="J163" s="13"/>
      <c r="K163" s="13"/>
    </row>
    <row r="164" spans="1:11" hidden="1">
      <c r="A164" s="10" t="s">
        <v>196</v>
      </c>
      <c r="B164" s="9">
        <v>15748</v>
      </c>
      <c r="C164" s="9">
        <v>15748</v>
      </c>
      <c r="D164" s="9">
        <v>16577</v>
      </c>
      <c r="E164" s="9">
        <v>16577</v>
      </c>
      <c r="F164" s="1137"/>
      <c r="G164" s="14"/>
      <c r="H164" s="14"/>
      <c r="I164" s="14"/>
      <c r="J164" s="13"/>
      <c r="K164" s="13"/>
    </row>
    <row r="165" spans="1:11" hidden="1">
      <c r="A165" s="10" t="s">
        <v>195</v>
      </c>
      <c r="B165" s="9">
        <v>15869</v>
      </c>
      <c r="C165" s="9">
        <v>15869</v>
      </c>
      <c r="D165" s="9">
        <v>16704</v>
      </c>
      <c r="E165" s="9">
        <v>16704</v>
      </c>
      <c r="F165" s="1137"/>
      <c r="G165" s="14"/>
      <c r="H165" s="14"/>
      <c r="I165" s="14"/>
      <c r="J165" s="13"/>
      <c r="K165" s="13"/>
    </row>
    <row r="166" spans="1:11" hidden="1">
      <c r="A166" s="10" t="s">
        <v>194</v>
      </c>
      <c r="B166" s="9">
        <v>15990</v>
      </c>
      <c r="C166" s="9">
        <v>15990</v>
      </c>
      <c r="D166" s="9">
        <v>16832</v>
      </c>
      <c r="E166" s="9">
        <v>16832</v>
      </c>
      <c r="F166" s="1137"/>
      <c r="G166" s="14"/>
      <c r="H166" s="14"/>
    </row>
    <row r="167" spans="1:11" hidden="1">
      <c r="A167" s="10" t="s">
        <v>193</v>
      </c>
      <c r="B167" s="9">
        <v>16114</v>
      </c>
      <c r="C167" s="9">
        <v>16114</v>
      </c>
      <c r="D167" s="9">
        <v>16962</v>
      </c>
      <c r="E167" s="9">
        <v>16962</v>
      </c>
      <c r="F167" s="1137"/>
      <c r="G167" s="14"/>
      <c r="H167" s="14"/>
      <c r="I167" s="14"/>
      <c r="J167" s="13"/>
      <c r="K167" s="13"/>
    </row>
    <row r="168" spans="1:11" hidden="1">
      <c r="A168" s="10" t="s">
        <v>192</v>
      </c>
      <c r="B168" s="9">
        <v>16237</v>
      </c>
      <c r="C168" s="9">
        <v>16237</v>
      </c>
      <c r="D168" s="9">
        <v>17092</v>
      </c>
      <c r="E168" s="9">
        <v>17092</v>
      </c>
      <c r="F168" s="1137"/>
      <c r="G168" s="14"/>
      <c r="H168" s="14"/>
      <c r="I168" s="14"/>
      <c r="J168" s="13"/>
      <c r="K168" s="13"/>
    </row>
    <row r="169" spans="1:11" hidden="1">
      <c r="A169" s="12" t="s">
        <v>191</v>
      </c>
      <c r="B169" s="11">
        <v>16320</v>
      </c>
      <c r="C169" s="11">
        <v>16320</v>
      </c>
      <c r="D169" s="11">
        <v>17179</v>
      </c>
      <c r="E169" s="11">
        <v>17179</v>
      </c>
      <c r="F169" s="1137"/>
      <c r="G169" s="14"/>
      <c r="H169" s="14"/>
    </row>
    <row r="170" spans="1:11" hidden="1">
      <c r="A170" s="12" t="s">
        <v>190</v>
      </c>
      <c r="B170" s="11">
        <v>16445</v>
      </c>
      <c r="C170" s="11">
        <v>16445</v>
      </c>
      <c r="D170" s="11">
        <v>17311</v>
      </c>
      <c r="E170" s="11">
        <v>17311</v>
      </c>
      <c r="F170" s="1137"/>
      <c r="G170" s="14"/>
      <c r="H170" s="14"/>
      <c r="I170" s="14"/>
      <c r="J170" s="13"/>
      <c r="K170" s="13"/>
    </row>
    <row r="171" spans="1:11" hidden="1">
      <c r="A171" s="12" t="s">
        <v>189</v>
      </c>
      <c r="B171" s="11">
        <v>16572</v>
      </c>
      <c r="C171" s="11">
        <v>16572</v>
      </c>
      <c r="D171" s="11">
        <v>17444</v>
      </c>
      <c r="E171" s="11">
        <v>17444</v>
      </c>
      <c r="F171" s="1137"/>
      <c r="G171" s="14"/>
      <c r="H171" s="14"/>
      <c r="I171" s="14"/>
      <c r="J171" s="13"/>
      <c r="K171" s="13"/>
    </row>
    <row r="172" spans="1:11" hidden="1">
      <c r="A172" s="12" t="s">
        <v>188</v>
      </c>
      <c r="B172" s="11">
        <v>16699</v>
      </c>
      <c r="C172" s="11">
        <v>16699</v>
      </c>
      <c r="D172" s="11">
        <v>17578</v>
      </c>
      <c r="E172" s="11">
        <v>17578</v>
      </c>
      <c r="F172" s="1137"/>
      <c r="G172" s="14"/>
      <c r="H172" s="14"/>
      <c r="I172" s="14"/>
      <c r="J172" s="13"/>
      <c r="K172" s="13"/>
    </row>
    <row r="173" spans="1:11" hidden="1">
      <c r="A173" s="12" t="s">
        <v>187</v>
      </c>
      <c r="B173" s="11">
        <v>16827</v>
      </c>
      <c r="C173" s="11">
        <v>16827</v>
      </c>
      <c r="D173" s="11">
        <v>17713</v>
      </c>
      <c r="E173" s="11">
        <v>17713</v>
      </c>
      <c r="F173" s="1137"/>
      <c r="G173" s="14"/>
      <c r="H173" s="14"/>
      <c r="I173" s="14"/>
      <c r="J173" s="13"/>
      <c r="K173" s="13"/>
    </row>
    <row r="174" spans="1:11" hidden="1">
      <c r="A174" s="12" t="s">
        <v>186</v>
      </c>
      <c r="B174" s="11">
        <v>16957</v>
      </c>
      <c r="C174" s="11">
        <v>16957</v>
      </c>
      <c r="D174" s="11">
        <v>17849</v>
      </c>
      <c r="E174" s="11">
        <v>17849</v>
      </c>
      <c r="F174" s="1137"/>
      <c r="G174" s="14"/>
      <c r="H174" s="14"/>
    </row>
    <row r="175" spans="1:11" hidden="1">
      <c r="A175" s="12" t="s">
        <v>185</v>
      </c>
      <c r="B175" s="11">
        <v>17086</v>
      </c>
      <c r="C175" s="11">
        <v>17086</v>
      </c>
      <c r="D175" s="11">
        <v>17985</v>
      </c>
      <c r="E175" s="11">
        <v>17985</v>
      </c>
      <c r="F175" s="1137"/>
      <c r="G175" s="14"/>
      <c r="H175" s="14"/>
      <c r="I175" s="14"/>
      <c r="J175" s="13"/>
      <c r="K175" s="13"/>
    </row>
    <row r="176" spans="1:11" hidden="1">
      <c r="A176" s="12" t="s">
        <v>184</v>
      </c>
      <c r="B176" s="11">
        <v>17218</v>
      </c>
      <c r="C176" s="11">
        <v>17218</v>
      </c>
      <c r="D176" s="11">
        <v>18124</v>
      </c>
      <c r="E176" s="11">
        <v>18124</v>
      </c>
      <c r="F176" s="1137"/>
      <c r="G176" s="14"/>
      <c r="H176" s="14"/>
    </row>
    <row r="177" spans="1:11" hidden="1">
      <c r="A177" s="10" t="s">
        <v>183</v>
      </c>
      <c r="B177" s="9">
        <v>17338</v>
      </c>
      <c r="C177" s="9">
        <v>17338</v>
      </c>
      <c r="D177" s="9">
        <v>18251</v>
      </c>
      <c r="E177" s="9">
        <v>18251</v>
      </c>
      <c r="F177" s="1137"/>
      <c r="G177" s="14"/>
      <c r="H177" s="14"/>
      <c r="I177" s="14"/>
      <c r="J177" s="13"/>
      <c r="K177" s="13"/>
    </row>
    <row r="178" spans="1:11" hidden="1">
      <c r="A178" s="10" t="s">
        <v>182</v>
      </c>
      <c r="B178" s="9">
        <v>17496</v>
      </c>
      <c r="C178" s="9">
        <v>17496</v>
      </c>
      <c r="D178" s="9">
        <v>18417</v>
      </c>
      <c r="E178" s="9">
        <v>18417</v>
      </c>
      <c r="F178" s="1137"/>
      <c r="G178" s="14"/>
      <c r="H178" s="14"/>
      <c r="I178" s="14"/>
      <c r="J178" s="13"/>
      <c r="K178" s="13"/>
    </row>
    <row r="179" spans="1:11" hidden="1">
      <c r="A179" s="10" t="s">
        <v>181</v>
      </c>
      <c r="B179" s="9">
        <v>17654</v>
      </c>
      <c r="C179" s="9">
        <v>17654</v>
      </c>
      <c r="D179" s="9">
        <v>18583</v>
      </c>
      <c r="E179" s="9">
        <v>18583</v>
      </c>
      <c r="F179" s="1137"/>
      <c r="G179" s="14"/>
      <c r="H179" s="14"/>
      <c r="I179" s="14"/>
      <c r="J179" s="13"/>
      <c r="K179" s="13"/>
    </row>
    <row r="180" spans="1:11" hidden="1">
      <c r="A180" s="10" t="s">
        <v>180</v>
      </c>
      <c r="B180" s="9">
        <v>17813</v>
      </c>
      <c r="C180" s="9">
        <v>17813</v>
      </c>
      <c r="D180" s="9">
        <v>18751</v>
      </c>
      <c r="E180" s="9">
        <v>18751</v>
      </c>
      <c r="F180" s="1137"/>
      <c r="G180" s="14"/>
      <c r="H180" s="14"/>
      <c r="I180" s="14"/>
      <c r="J180" s="13"/>
      <c r="K180" s="13"/>
    </row>
    <row r="181" spans="1:11" hidden="1">
      <c r="A181" s="10" t="s">
        <v>179</v>
      </c>
      <c r="B181" s="9">
        <v>17974</v>
      </c>
      <c r="C181" s="9">
        <v>17974</v>
      </c>
      <c r="D181" s="9">
        <v>18920</v>
      </c>
      <c r="E181" s="9">
        <v>18920</v>
      </c>
      <c r="F181" s="1137"/>
      <c r="G181" s="14"/>
      <c r="H181" s="14"/>
      <c r="I181" s="14"/>
      <c r="J181" s="13"/>
      <c r="K181" s="13"/>
    </row>
    <row r="182" spans="1:11" hidden="1">
      <c r="A182" s="10" t="s">
        <v>178</v>
      </c>
      <c r="B182" s="9">
        <v>18136</v>
      </c>
      <c r="C182" s="9">
        <v>18136</v>
      </c>
      <c r="D182" s="9">
        <v>19091</v>
      </c>
      <c r="E182" s="9">
        <v>19091</v>
      </c>
      <c r="F182" s="1137"/>
      <c r="G182" s="14"/>
      <c r="H182" s="14"/>
      <c r="I182" s="14"/>
      <c r="J182" s="13"/>
      <c r="K182" s="13"/>
    </row>
    <row r="183" spans="1:11" hidden="1">
      <c r="A183" s="10" t="s">
        <v>177</v>
      </c>
      <c r="B183" s="9">
        <v>18301</v>
      </c>
      <c r="C183" s="9">
        <v>18301</v>
      </c>
      <c r="D183" s="9">
        <v>19264</v>
      </c>
      <c r="E183" s="9">
        <v>19264</v>
      </c>
      <c r="F183" s="1137"/>
      <c r="G183" s="14"/>
      <c r="H183" s="14"/>
      <c r="I183" s="14"/>
      <c r="J183" s="13"/>
      <c r="K183" s="13"/>
    </row>
    <row r="184" spans="1:11" hidden="1">
      <c r="A184" s="10" t="s">
        <v>176</v>
      </c>
      <c r="B184" s="9">
        <v>18466</v>
      </c>
      <c r="C184" s="9">
        <v>18466</v>
      </c>
      <c r="D184" s="9">
        <v>19438</v>
      </c>
      <c r="E184" s="9">
        <v>19438</v>
      </c>
      <c r="F184" s="1137"/>
      <c r="G184" s="14"/>
      <c r="H184" s="14"/>
      <c r="I184" s="14"/>
      <c r="J184" s="13"/>
      <c r="K184" s="13"/>
    </row>
    <row r="185" spans="1:11" hidden="1">
      <c r="A185" s="12" t="s">
        <v>175</v>
      </c>
      <c r="B185" s="11">
        <v>18613</v>
      </c>
      <c r="C185" s="11">
        <v>18613</v>
      </c>
      <c r="D185" s="11">
        <v>19593</v>
      </c>
      <c r="E185" s="11">
        <v>19593</v>
      </c>
      <c r="F185" s="1137"/>
      <c r="G185" s="14"/>
    </row>
    <row r="186" spans="1:11" hidden="1">
      <c r="A186" s="12" t="s">
        <v>174</v>
      </c>
      <c r="B186" s="11">
        <v>18769</v>
      </c>
      <c r="C186" s="11">
        <v>18769</v>
      </c>
      <c r="D186" s="11">
        <v>19757</v>
      </c>
      <c r="E186" s="11">
        <v>19757</v>
      </c>
      <c r="F186" s="1137"/>
      <c r="G186" s="14"/>
      <c r="H186" s="14"/>
    </row>
    <row r="187" spans="1:11" hidden="1">
      <c r="A187" s="12" t="s">
        <v>173</v>
      </c>
      <c r="B187" s="11">
        <v>18926</v>
      </c>
      <c r="C187" s="11">
        <v>18926</v>
      </c>
      <c r="D187" s="11">
        <v>19922</v>
      </c>
      <c r="E187" s="11">
        <v>19922</v>
      </c>
      <c r="F187" s="1137"/>
      <c r="G187" s="14"/>
      <c r="H187" s="14"/>
    </row>
    <row r="188" spans="1:11" hidden="1">
      <c r="A188" s="12" t="s">
        <v>172</v>
      </c>
      <c r="B188" s="11">
        <v>19085</v>
      </c>
      <c r="C188" s="11">
        <v>19085</v>
      </c>
      <c r="D188" s="11">
        <v>20089</v>
      </c>
      <c r="E188" s="11">
        <v>20089</v>
      </c>
      <c r="F188" s="1137"/>
      <c r="G188" s="1138"/>
      <c r="H188" s="14"/>
    </row>
    <row r="189" spans="1:11" hidden="1">
      <c r="A189" s="12" t="s">
        <v>171</v>
      </c>
      <c r="B189" s="11">
        <v>19244</v>
      </c>
      <c r="C189" s="11">
        <v>19244</v>
      </c>
      <c r="D189" s="11">
        <v>20257</v>
      </c>
      <c r="E189" s="11">
        <v>20257</v>
      </c>
      <c r="F189" s="1137"/>
      <c r="G189" s="14"/>
      <c r="H189" s="14"/>
      <c r="I189" s="14"/>
      <c r="J189" s="13"/>
      <c r="K189" s="13"/>
    </row>
    <row r="190" spans="1:11" hidden="1">
      <c r="A190" s="12" t="s">
        <v>170</v>
      </c>
      <c r="B190" s="11">
        <v>19405</v>
      </c>
      <c r="C190" s="11">
        <v>19405</v>
      </c>
      <c r="D190" s="11">
        <v>20426</v>
      </c>
      <c r="E190" s="11">
        <v>20426</v>
      </c>
      <c r="F190" s="1137"/>
      <c r="G190" s="14"/>
      <c r="H190" s="14"/>
      <c r="I190" s="14"/>
      <c r="J190" s="13"/>
      <c r="K190" s="13"/>
    </row>
    <row r="191" spans="1:11" hidden="1">
      <c r="A191" s="12" t="s">
        <v>169</v>
      </c>
      <c r="B191" s="11">
        <v>19567</v>
      </c>
      <c r="C191" s="11">
        <v>19567</v>
      </c>
      <c r="D191" s="11">
        <v>20597</v>
      </c>
      <c r="E191" s="11">
        <v>20597</v>
      </c>
      <c r="F191" s="1137"/>
      <c r="G191" s="14"/>
      <c r="H191" s="14"/>
      <c r="I191" s="14"/>
      <c r="J191" s="13"/>
      <c r="K191" s="13"/>
    </row>
    <row r="192" spans="1:11" hidden="1">
      <c r="A192" s="12" t="s">
        <v>168</v>
      </c>
      <c r="B192" s="11">
        <v>19731</v>
      </c>
      <c r="C192" s="11">
        <v>19731</v>
      </c>
      <c r="D192" s="11">
        <v>20769</v>
      </c>
      <c r="E192" s="11">
        <v>20769</v>
      </c>
      <c r="F192" s="1137"/>
      <c r="G192" s="14"/>
      <c r="H192" s="14"/>
      <c r="I192" s="14"/>
      <c r="J192" s="13"/>
      <c r="K192" s="13"/>
    </row>
    <row r="193" spans="1:11" hidden="1">
      <c r="A193" s="10" t="s">
        <v>167</v>
      </c>
      <c r="B193" s="9">
        <v>20145</v>
      </c>
      <c r="C193" s="9">
        <v>20145</v>
      </c>
      <c r="D193" s="9">
        <v>21205</v>
      </c>
      <c r="E193" s="9">
        <v>21205</v>
      </c>
      <c r="F193" s="1137"/>
      <c r="G193" s="14"/>
    </row>
    <row r="194" spans="1:11" hidden="1">
      <c r="A194" s="10" t="s">
        <v>166</v>
      </c>
      <c r="B194" s="9">
        <v>20313</v>
      </c>
      <c r="C194" s="9">
        <v>20313</v>
      </c>
      <c r="D194" s="9">
        <v>21382</v>
      </c>
      <c r="E194" s="9">
        <v>21382</v>
      </c>
      <c r="F194" s="1137"/>
      <c r="G194" s="14"/>
    </row>
    <row r="195" spans="1:11" hidden="1">
      <c r="A195" s="10" t="s">
        <v>165</v>
      </c>
      <c r="B195" s="9">
        <v>20483</v>
      </c>
      <c r="C195" s="9">
        <v>20483</v>
      </c>
      <c r="D195" s="9">
        <v>21561</v>
      </c>
      <c r="E195" s="9">
        <v>21561</v>
      </c>
      <c r="F195" s="1137"/>
      <c r="G195" s="14"/>
      <c r="H195" s="14"/>
    </row>
    <row r="196" spans="1:11" hidden="1">
      <c r="A196" s="10" t="s">
        <v>164</v>
      </c>
      <c r="B196" s="9">
        <v>20654</v>
      </c>
      <c r="C196" s="9">
        <v>20654</v>
      </c>
      <c r="D196" s="9">
        <v>21741</v>
      </c>
      <c r="E196" s="9">
        <v>21741</v>
      </c>
      <c r="F196" s="1137"/>
      <c r="G196" s="14"/>
      <c r="H196" s="14"/>
    </row>
    <row r="197" spans="1:11" hidden="1">
      <c r="A197" s="10" t="s">
        <v>163</v>
      </c>
      <c r="B197" s="9">
        <v>20827</v>
      </c>
      <c r="C197" s="9">
        <v>20827</v>
      </c>
      <c r="D197" s="9">
        <v>21923</v>
      </c>
      <c r="E197" s="9">
        <v>21923</v>
      </c>
      <c r="F197" s="1137"/>
      <c r="G197" s="14"/>
      <c r="H197" s="14"/>
    </row>
    <row r="198" spans="1:11" hidden="1">
      <c r="A198" s="10" t="s">
        <v>162</v>
      </c>
      <c r="B198" s="9">
        <v>21001</v>
      </c>
      <c r="C198" s="9">
        <v>21001</v>
      </c>
      <c r="D198" s="9">
        <v>22106</v>
      </c>
      <c r="E198" s="9">
        <v>22106</v>
      </c>
      <c r="F198" s="1137"/>
      <c r="G198" s="14"/>
      <c r="H198" s="14"/>
      <c r="I198" s="14"/>
      <c r="J198" s="13"/>
      <c r="K198" s="13"/>
    </row>
    <row r="199" spans="1:11" hidden="1">
      <c r="A199" s="10" t="s">
        <v>161</v>
      </c>
      <c r="B199" s="9">
        <v>21176</v>
      </c>
      <c r="C199" s="9">
        <v>21176</v>
      </c>
      <c r="D199" s="9">
        <v>22291</v>
      </c>
      <c r="E199" s="9">
        <v>22291</v>
      </c>
      <c r="F199" s="1137"/>
      <c r="G199" s="14"/>
      <c r="H199" s="17"/>
      <c r="I199" s="14"/>
      <c r="J199" s="13"/>
      <c r="K199" s="13"/>
    </row>
    <row r="200" spans="1:11" hidden="1">
      <c r="A200" s="10" t="s">
        <v>160</v>
      </c>
      <c r="B200" s="9">
        <v>21353</v>
      </c>
      <c r="C200" s="9">
        <v>21353</v>
      </c>
      <c r="D200" s="9">
        <v>22477</v>
      </c>
      <c r="E200" s="9">
        <v>22477</v>
      </c>
      <c r="F200" s="1137"/>
      <c r="G200" s="14"/>
      <c r="H200" s="18"/>
    </row>
    <row r="201" spans="1:11" hidden="1">
      <c r="A201" s="12" t="s">
        <v>159</v>
      </c>
      <c r="B201" s="11">
        <v>22683</v>
      </c>
      <c r="C201" s="11">
        <v>22683</v>
      </c>
      <c r="D201" s="11">
        <v>23877</v>
      </c>
      <c r="E201" s="11">
        <v>23877</v>
      </c>
      <c r="F201" s="1137"/>
      <c r="G201" s="14"/>
      <c r="H201" s="17"/>
      <c r="I201" s="14"/>
      <c r="J201" s="13"/>
      <c r="K201" s="13"/>
    </row>
    <row r="202" spans="1:11" hidden="1">
      <c r="A202" s="12" t="s">
        <v>158</v>
      </c>
      <c r="B202" s="11">
        <v>22953</v>
      </c>
      <c r="C202" s="11">
        <v>22953</v>
      </c>
      <c r="D202" s="11">
        <v>24161</v>
      </c>
      <c r="E202" s="11">
        <v>24161</v>
      </c>
      <c r="F202" s="1137"/>
    </row>
    <row r="203" spans="1:11" hidden="1">
      <c r="A203" s="12" t="s">
        <v>157</v>
      </c>
      <c r="B203" s="11">
        <v>23228</v>
      </c>
      <c r="C203" s="11">
        <v>23228</v>
      </c>
      <c r="D203" s="11">
        <v>24450</v>
      </c>
      <c r="E203" s="11">
        <v>24450</v>
      </c>
      <c r="F203" s="1137"/>
    </row>
    <row r="204" spans="1:11" hidden="1">
      <c r="A204" s="12" t="s">
        <v>156</v>
      </c>
      <c r="B204" s="11">
        <v>23505</v>
      </c>
      <c r="C204" s="11">
        <v>23505</v>
      </c>
      <c r="D204" s="11">
        <v>24742</v>
      </c>
      <c r="E204" s="11">
        <v>24742</v>
      </c>
      <c r="F204" s="1137"/>
    </row>
    <row r="205" spans="1:11" hidden="1">
      <c r="A205" s="12" t="s">
        <v>155</v>
      </c>
      <c r="B205" s="11">
        <v>23786</v>
      </c>
      <c r="C205" s="11">
        <v>23786</v>
      </c>
      <c r="D205" s="11">
        <v>25038</v>
      </c>
      <c r="E205" s="11">
        <v>25038</v>
      </c>
      <c r="F205" s="1137"/>
    </row>
    <row r="206" spans="1:11" hidden="1">
      <c r="A206" s="12" t="s">
        <v>154</v>
      </c>
      <c r="B206" s="11">
        <v>24072</v>
      </c>
      <c r="C206" s="11">
        <v>24072</v>
      </c>
      <c r="D206" s="11">
        <v>25339</v>
      </c>
      <c r="E206" s="11">
        <v>25339</v>
      </c>
      <c r="F206" s="1137"/>
    </row>
    <row r="207" spans="1:11" hidden="1">
      <c r="A207" s="12" t="s">
        <v>153</v>
      </c>
      <c r="B207" s="11">
        <v>24361</v>
      </c>
      <c r="C207" s="11">
        <v>24361</v>
      </c>
      <c r="D207" s="11">
        <v>25643</v>
      </c>
      <c r="E207" s="11">
        <v>25643</v>
      </c>
      <c r="F207" s="1137"/>
    </row>
    <row r="208" spans="1:11" hidden="1">
      <c r="A208" s="12" t="s">
        <v>152</v>
      </c>
      <c r="B208" s="11">
        <v>24654</v>
      </c>
      <c r="C208" s="11">
        <v>24654</v>
      </c>
      <c r="D208" s="11">
        <v>25952</v>
      </c>
      <c r="E208" s="11">
        <v>25952</v>
      </c>
      <c r="F208" s="1137"/>
    </row>
    <row r="209" spans="1:111" hidden="1">
      <c r="A209" s="10" t="s">
        <v>151</v>
      </c>
      <c r="B209" s="9">
        <v>24749</v>
      </c>
      <c r="C209" s="9">
        <v>24749</v>
      </c>
      <c r="D209" s="9">
        <v>26052</v>
      </c>
      <c r="E209" s="9">
        <v>26052</v>
      </c>
      <c r="F209" s="1137"/>
    </row>
    <row r="210" spans="1:111" hidden="1">
      <c r="A210" s="10" t="s">
        <v>150</v>
      </c>
      <c r="B210" s="9">
        <v>25019</v>
      </c>
      <c r="C210" s="9">
        <v>25019</v>
      </c>
      <c r="D210" s="9">
        <v>26336</v>
      </c>
      <c r="E210" s="9">
        <v>26336</v>
      </c>
      <c r="F210" s="1137"/>
    </row>
    <row r="211" spans="1:111" hidden="1">
      <c r="A211" s="10" t="s">
        <v>149</v>
      </c>
      <c r="B211" s="9">
        <v>25293</v>
      </c>
      <c r="C211" s="9">
        <v>25293</v>
      </c>
      <c r="D211" s="9">
        <v>26624</v>
      </c>
      <c r="E211" s="9">
        <v>26624</v>
      </c>
      <c r="F211" s="1137"/>
      <c r="G211" s="15"/>
      <c r="H211" s="14"/>
      <c r="I211" s="14"/>
      <c r="J211" s="13"/>
      <c r="K211" s="13"/>
    </row>
    <row r="212" spans="1:111" hidden="1">
      <c r="A212" s="10" t="s">
        <v>148</v>
      </c>
      <c r="B212" s="9">
        <v>25569</v>
      </c>
      <c r="C212" s="9">
        <v>25569</v>
      </c>
      <c r="D212" s="9">
        <v>26915</v>
      </c>
      <c r="E212" s="9">
        <v>26915</v>
      </c>
      <c r="F212" s="1137"/>
      <c r="G212" s="15"/>
      <c r="H212" s="14"/>
      <c r="I212" s="14"/>
      <c r="J212" s="13"/>
      <c r="K212" s="13"/>
    </row>
    <row r="213" spans="1:111" hidden="1">
      <c r="A213" s="10" t="s">
        <v>147</v>
      </c>
      <c r="B213" s="9">
        <v>25850</v>
      </c>
      <c r="C213" s="9">
        <v>25850</v>
      </c>
      <c r="D213" s="9">
        <v>27210</v>
      </c>
      <c r="E213" s="9">
        <v>27210</v>
      </c>
      <c r="F213" s="1137"/>
      <c r="G213" s="15"/>
      <c r="H213" s="14"/>
      <c r="I213" s="14"/>
      <c r="J213" s="13"/>
      <c r="K213" s="13"/>
    </row>
    <row r="214" spans="1:111" hidden="1">
      <c r="A214" s="10" t="s">
        <v>146</v>
      </c>
      <c r="B214" s="9">
        <v>26134</v>
      </c>
      <c r="C214" s="9">
        <v>26134</v>
      </c>
      <c r="D214" s="9">
        <v>27509</v>
      </c>
      <c r="E214" s="9">
        <v>27509</v>
      </c>
      <c r="F214" s="1137"/>
      <c r="G214" s="15"/>
      <c r="H214" s="14"/>
      <c r="I214" s="14"/>
      <c r="J214" s="13"/>
      <c r="K214" s="13"/>
    </row>
    <row r="215" spans="1:111" hidden="1">
      <c r="A215" s="10" t="s">
        <v>145</v>
      </c>
      <c r="B215" s="9">
        <v>26420</v>
      </c>
      <c r="C215" s="9">
        <v>26420</v>
      </c>
      <c r="D215" s="9">
        <v>27811</v>
      </c>
      <c r="E215" s="9">
        <v>27811</v>
      </c>
      <c r="F215" s="1137"/>
      <c r="G215" s="15"/>
      <c r="H215" s="14"/>
      <c r="I215" s="14"/>
      <c r="J215" s="13"/>
      <c r="K215" s="13"/>
    </row>
    <row r="216" spans="1:111" hidden="1">
      <c r="A216" s="10" t="s">
        <v>144</v>
      </c>
      <c r="B216" s="9">
        <v>26711</v>
      </c>
      <c r="C216" s="9">
        <v>26711</v>
      </c>
      <c r="D216" s="9">
        <v>28117</v>
      </c>
      <c r="E216" s="9">
        <v>28117</v>
      </c>
      <c r="F216" s="1137"/>
      <c r="G216" s="15"/>
      <c r="H216" s="14"/>
      <c r="I216" s="14"/>
      <c r="J216" s="13"/>
      <c r="K216" s="13"/>
    </row>
    <row r="217" spans="1:111" hidden="1">
      <c r="A217" s="12" t="s">
        <v>143</v>
      </c>
      <c r="B217" s="11">
        <v>26862</v>
      </c>
      <c r="C217" s="11">
        <v>26862</v>
      </c>
      <c r="D217" s="11">
        <v>28276</v>
      </c>
      <c r="E217" s="11">
        <v>28276</v>
      </c>
      <c r="F217" s="1137"/>
    </row>
    <row r="218" spans="1:111" hidden="1">
      <c r="A218" s="12" t="s">
        <v>142</v>
      </c>
      <c r="B218" s="11">
        <v>27160</v>
      </c>
      <c r="C218" s="11">
        <v>27160</v>
      </c>
      <c r="D218" s="11">
        <v>28589</v>
      </c>
      <c r="E218" s="11">
        <v>28589</v>
      </c>
      <c r="F218" s="1137"/>
    </row>
    <row r="219" spans="1:111" hidden="1">
      <c r="A219" s="12" t="s">
        <v>141</v>
      </c>
      <c r="B219" s="11">
        <v>27460</v>
      </c>
      <c r="C219" s="11">
        <v>27460</v>
      </c>
      <c r="D219" s="11">
        <v>28905</v>
      </c>
      <c r="E219" s="11">
        <v>28905</v>
      </c>
      <c r="F219" s="1137"/>
    </row>
    <row r="220" spans="1:111" hidden="1">
      <c r="A220" s="12" t="s">
        <v>140</v>
      </c>
      <c r="B220" s="11">
        <v>27764</v>
      </c>
      <c r="C220" s="11">
        <v>27764</v>
      </c>
      <c r="D220" s="11">
        <v>29225</v>
      </c>
      <c r="E220" s="11">
        <v>29225</v>
      </c>
      <c r="F220" s="1137"/>
    </row>
    <row r="221" spans="1:111" hidden="1">
      <c r="A221" s="12" t="s">
        <v>139</v>
      </c>
      <c r="B221" s="11">
        <v>28073</v>
      </c>
      <c r="C221" s="11">
        <v>28073</v>
      </c>
      <c r="D221" s="11">
        <v>29550</v>
      </c>
      <c r="E221" s="11">
        <v>29550</v>
      </c>
      <c r="F221" s="1137"/>
    </row>
    <row r="222" spans="1:111" s="4" customFormat="1" hidden="1">
      <c r="A222" s="12" t="s">
        <v>138</v>
      </c>
      <c r="B222" s="11">
        <v>28384</v>
      </c>
      <c r="C222" s="11">
        <v>28384</v>
      </c>
      <c r="D222" s="11">
        <v>29878</v>
      </c>
      <c r="E222" s="11">
        <v>29878</v>
      </c>
      <c r="F222" s="1137"/>
      <c r="G222" s="1"/>
      <c r="H222" s="1"/>
      <c r="I222" s="1"/>
      <c r="J222" s="3"/>
      <c r="K222" s="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row>
    <row r="223" spans="1:111" s="4" customFormat="1" hidden="1">
      <c r="A223" s="12" t="s">
        <v>137</v>
      </c>
      <c r="B223" s="11">
        <v>28700</v>
      </c>
      <c r="C223" s="11">
        <v>28700</v>
      </c>
      <c r="D223" s="11">
        <v>30210</v>
      </c>
      <c r="E223" s="11">
        <v>30210</v>
      </c>
      <c r="F223" s="1137"/>
      <c r="G223" s="1"/>
      <c r="H223" s="1"/>
      <c r="I223" s="1"/>
      <c r="J223" s="3"/>
      <c r="K223" s="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row>
    <row r="224" spans="1:111" s="4" customFormat="1" hidden="1">
      <c r="A224" s="12" t="s">
        <v>136</v>
      </c>
      <c r="B224" s="11">
        <v>29020</v>
      </c>
      <c r="C224" s="11">
        <v>29020</v>
      </c>
      <c r="D224" s="11">
        <v>30547</v>
      </c>
      <c r="E224" s="11">
        <v>30547</v>
      </c>
      <c r="F224" s="1137"/>
      <c r="G224" s="1"/>
      <c r="H224" s="1"/>
      <c r="I224" s="1"/>
      <c r="J224" s="3"/>
      <c r="K224" s="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row>
    <row r="225" spans="1:111" s="4" customFormat="1" hidden="1">
      <c r="A225" s="10" t="s">
        <v>135</v>
      </c>
      <c r="B225" s="9">
        <v>29259</v>
      </c>
      <c r="C225" s="9">
        <v>29259</v>
      </c>
      <c r="D225" s="9">
        <v>30799</v>
      </c>
      <c r="E225" s="9">
        <v>30799</v>
      </c>
      <c r="F225" s="1137"/>
      <c r="G225" s="1"/>
      <c r="H225" s="1"/>
      <c r="I225" s="1"/>
      <c r="J225" s="3"/>
      <c r="K225" s="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row>
    <row r="226" spans="1:111" s="4" customFormat="1" hidden="1">
      <c r="A226" s="10" t="s">
        <v>134</v>
      </c>
      <c r="B226" s="9">
        <v>29586</v>
      </c>
      <c r="C226" s="9">
        <v>29586</v>
      </c>
      <c r="D226" s="9">
        <v>31143</v>
      </c>
      <c r="E226" s="9">
        <v>31143</v>
      </c>
      <c r="F226" s="1137"/>
      <c r="G226" s="1"/>
      <c r="H226" s="1"/>
      <c r="I226" s="1"/>
      <c r="J226" s="3"/>
      <c r="K226" s="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row>
    <row r="227" spans="1:111" s="4" customFormat="1" hidden="1">
      <c r="A227" s="10" t="s">
        <v>133</v>
      </c>
      <c r="B227" s="9">
        <v>29916</v>
      </c>
      <c r="C227" s="9">
        <v>29916</v>
      </c>
      <c r="D227" s="9">
        <v>31491</v>
      </c>
      <c r="E227" s="9">
        <v>31491</v>
      </c>
      <c r="F227" s="1137"/>
      <c r="G227" s="1"/>
      <c r="H227" s="1"/>
      <c r="I227" s="1"/>
      <c r="J227" s="3"/>
      <c r="K227" s="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row>
    <row r="228" spans="1:111" s="4" customFormat="1" hidden="1">
      <c r="A228" s="10" t="s">
        <v>132</v>
      </c>
      <c r="B228" s="9">
        <v>30252</v>
      </c>
      <c r="C228" s="9">
        <v>30252</v>
      </c>
      <c r="D228" s="9">
        <v>31844</v>
      </c>
      <c r="E228" s="9">
        <v>31844</v>
      </c>
      <c r="F228" s="1137"/>
      <c r="G228" s="1"/>
      <c r="H228" s="1"/>
      <c r="I228" s="1"/>
      <c r="J228" s="3"/>
      <c r="K228" s="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row>
    <row r="229" spans="1:111" s="4" customFormat="1" hidden="1">
      <c r="A229" s="10" t="s">
        <v>131</v>
      </c>
      <c r="B229" s="9">
        <v>30590</v>
      </c>
      <c r="C229" s="9">
        <v>30590</v>
      </c>
      <c r="D229" s="9">
        <v>32200</v>
      </c>
      <c r="E229" s="9">
        <v>32200</v>
      </c>
      <c r="F229" s="1137"/>
      <c r="G229" s="1"/>
      <c r="H229" s="1"/>
      <c r="I229" s="1"/>
      <c r="J229" s="3"/>
      <c r="K229" s="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row>
    <row r="230" spans="1:111" s="4" customFormat="1" hidden="1">
      <c r="A230" s="10" t="s">
        <v>130</v>
      </c>
      <c r="B230" s="9">
        <v>30933</v>
      </c>
      <c r="C230" s="9">
        <v>30933</v>
      </c>
      <c r="D230" s="9">
        <v>32561</v>
      </c>
      <c r="E230" s="9">
        <v>32561</v>
      </c>
      <c r="F230" s="1137"/>
      <c r="G230" s="1"/>
      <c r="H230" s="1"/>
      <c r="I230" s="1"/>
      <c r="J230" s="3"/>
      <c r="K230" s="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row>
    <row r="231" spans="1:111" s="4" customFormat="1" hidden="1">
      <c r="A231" s="10" t="s">
        <v>129</v>
      </c>
      <c r="B231" s="9">
        <v>31281</v>
      </c>
      <c r="C231" s="9">
        <v>31281</v>
      </c>
      <c r="D231" s="9">
        <v>32927</v>
      </c>
      <c r="E231" s="9">
        <v>32927</v>
      </c>
      <c r="F231" s="1137"/>
      <c r="G231" s="1"/>
      <c r="H231" s="1"/>
      <c r="I231" s="1"/>
      <c r="J231" s="3"/>
      <c r="K231" s="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row>
    <row r="232" spans="1:111" s="4" customFormat="1" hidden="1">
      <c r="A232" s="10" t="s">
        <v>128</v>
      </c>
      <c r="B232" s="9">
        <v>31632</v>
      </c>
      <c r="C232" s="9">
        <v>31632</v>
      </c>
      <c r="D232" s="9">
        <v>33297</v>
      </c>
      <c r="E232" s="9">
        <v>33297</v>
      </c>
      <c r="F232" s="1137"/>
      <c r="G232" s="1"/>
      <c r="H232" s="1"/>
      <c r="I232" s="1"/>
      <c r="J232" s="3"/>
      <c r="K232" s="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row>
    <row r="233" spans="1:111" s="4" customFormat="1" hidden="1">
      <c r="A233" s="12" t="s">
        <v>127</v>
      </c>
      <c r="B233" s="11">
        <v>31896</v>
      </c>
      <c r="C233" s="11">
        <v>31896</v>
      </c>
      <c r="D233" s="11">
        <v>33575</v>
      </c>
      <c r="E233" s="11">
        <v>33575</v>
      </c>
      <c r="F233" s="1137"/>
      <c r="G233" s="1"/>
      <c r="H233" s="1"/>
      <c r="I233" s="1"/>
      <c r="J233" s="3"/>
      <c r="K233" s="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row>
    <row r="234" spans="1:111" s="4" customFormat="1" hidden="1">
      <c r="A234" s="12" t="s">
        <v>126</v>
      </c>
      <c r="B234" s="11">
        <v>32255</v>
      </c>
      <c r="C234" s="11">
        <v>32255</v>
      </c>
      <c r="D234" s="11">
        <v>33953</v>
      </c>
      <c r="E234" s="11">
        <v>33953</v>
      </c>
      <c r="F234" s="1137"/>
      <c r="G234" s="1"/>
      <c r="H234" s="1"/>
      <c r="I234" s="1"/>
      <c r="J234" s="3"/>
      <c r="K234" s="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row>
    <row r="235" spans="1:111" s="4" customFormat="1" hidden="1">
      <c r="A235" s="12" t="s">
        <v>125</v>
      </c>
      <c r="B235" s="11">
        <v>32619</v>
      </c>
      <c r="C235" s="11">
        <v>32619</v>
      </c>
      <c r="D235" s="11">
        <v>34336</v>
      </c>
      <c r="E235" s="11">
        <v>34336</v>
      </c>
      <c r="F235" s="1137"/>
      <c r="G235" s="1"/>
      <c r="H235" s="1"/>
      <c r="I235" s="1"/>
      <c r="J235" s="3"/>
      <c r="K235" s="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row>
    <row r="236" spans="1:111" s="4" customFormat="1" hidden="1">
      <c r="A236" s="12" t="s">
        <v>124</v>
      </c>
      <c r="B236" s="11">
        <v>32988</v>
      </c>
      <c r="C236" s="11">
        <v>32988</v>
      </c>
      <c r="D236" s="11">
        <v>34724</v>
      </c>
      <c r="E236" s="11">
        <v>34724</v>
      </c>
      <c r="F236" s="1137"/>
      <c r="G236" s="1"/>
      <c r="H236" s="1"/>
      <c r="I236" s="1"/>
      <c r="J236" s="3"/>
      <c r="K236" s="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row>
    <row r="237" spans="1:111" s="4" customFormat="1" hidden="1">
      <c r="A237" s="12" t="s">
        <v>123</v>
      </c>
      <c r="B237" s="11">
        <v>33360</v>
      </c>
      <c r="C237" s="11">
        <v>33360</v>
      </c>
      <c r="D237" s="11">
        <v>35116</v>
      </c>
      <c r="E237" s="11">
        <v>35116</v>
      </c>
      <c r="F237" s="1137"/>
      <c r="G237" s="1"/>
      <c r="H237" s="1"/>
      <c r="I237" s="1"/>
      <c r="J237" s="3"/>
      <c r="K237" s="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row>
    <row r="238" spans="1:111" s="4" customFormat="1" hidden="1">
      <c r="A238" s="12" t="s">
        <v>122</v>
      </c>
      <c r="B238" s="11">
        <v>33737</v>
      </c>
      <c r="C238" s="11">
        <v>33737</v>
      </c>
      <c r="D238" s="11">
        <v>35513</v>
      </c>
      <c r="E238" s="11">
        <v>35513</v>
      </c>
      <c r="F238" s="1137"/>
      <c r="G238" s="1"/>
      <c r="H238" s="1"/>
      <c r="I238" s="1"/>
      <c r="J238" s="3"/>
      <c r="K238" s="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row>
    <row r="239" spans="1:111" s="4" customFormat="1" hidden="1">
      <c r="A239" s="12" t="s">
        <v>121</v>
      </c>
      <c r="B239" s="11">
        <v>34119</v>
      </c>
      <c r="C239" s="11">
        <v>34119</v>
      </c>
      <c r="D239" s="11">
        <v>35915</v>
      </c>
      <c r="E239" s="11">
        <v>35915</v>
      </c>
      <c r="F239" s="1137"/>
      <c r="G239" s="1"/>
      <c r="H239" s="1"/>
      <c r="I239" s="1"/>
      <c r="J239" s="3"/>
      <c r="K239" s="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row>
    <row r="240" spans="1:111" s="4" customFormat="1" hidden="1">
      <c r="A240" s="12" t="s">
        <v>120</v>
      </c>
      <c r="B240" s="11">
        <v>34507</v>
      </c>
      <c r="C240" s="11">
        <v>34507</v>
      </c>
      <c r="D240" s="11">
        <v>36323</v>
      </c>
      <c r="E240" s="11">
        <v>36323</v>
      </c>
      <c r="F240" s="1137"/>
      <c r="G240" s="1"/>
      <c r="H240" s="1"/>
      <c r="I240" s="1"/>
      <c r="J240" s="3"/>
      <c r="K240" s="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row>
    <row r="241" spans="1:111" s="4" customFormat="1" hidden="1">
      <c r="A241" s="10" t="s">
        <v>119</v>
      </c>
      <c r="B241" s="9">
        <v>34797</v>
      </c>
      <c r="C241" s="9">
        <v>34797</v>
      </c>
      <c r="D241" s="9">
        <v>36628</v>
      </c>
      <c r="E241" s="9">
        <v>36628</v>
      </c>
      <c r="F241" s="1137"/>
      <c r="G241" s="1"/>
      <c r="H241" s="1"/>
      <c r="I241" s="1"/>
      <c r="J241" s="3"/>
      <c r="K241" s="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row>
    <row r="242" spans="1:111" s="4" customFormat="1" hidden="1">
      <c r="A242" s="10" t="s">
        <v>118</v>
      </c>
      <c r="B242" s="9">
        <v>35192</v>
      </c>
      <c r="C242" s="9">
        <v>35192</v>
      </c>
      <c r="D242" s="9">
        <v>37044</v>
      </c>
      <c r="E242" s="9">
        <v>37044</v>
      </c>
      <c r="F242" s="1137"/>
      <c r="G242" s="1"/>
      <c r="H242" s="1"/>
      <c r="I242" s="1"/>
      <c r="J242" s="3"/>
      <c r="K242" s="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row>
    <row r="243" spans="1:111" s="4" customFormat="1" hidden="1">
      <c r="A243" s="10" t="s">
        <v>117</v>
      </c>
      <c r="B243" s="9">
        <v>35592</v>
      </c>
      <c r="C243" s="9">
        <v>35592</v>
      </c>
      <c r="D243" s="9">
        <v>37465</v>
      </c>
      <c r="E243" s="9">
        <v>37465</v>
      </c>
      <c r="F243" s="1137"/>
      <c r="G243" s="1"/>
      <c r="H243" s="1"/>
      <c r="I243" s="1"/>
      <c r="J243" s="3"/>
      <c r="K243" s="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row>
    <row r="244" spans="1:111" s="4" customFormat="1" hidden="1">
      <c r="A244" s="10" t="s">
        <v>116</v>
      </c>
      <c r="B244" s="9">
        <v>35996</v>
      </c>
      <c r="C244" s="9">
        <v>35996</v>
      </c>
      <c r="D244" s="9">
        <v>37891</v>
      </c>
      <c r="E244" s="9">
        <v>37891</v>
      </c>
      <c r="F244" s="1137"/>
      <c r="G244" s="1"/>
      <c r="H244" s="1"/>
      <c r="I244" s="1"/>
      <c r="J244" s="3"/>
      <c r="K244" s="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row>
    <row r="245" spans="1:111" s="4" customFormat="1" hidden="1">
      <c r="A245" s="10" t="s">
        <v>115</v>
      </c>
      <c r="B245" s="9">
        <v>36407</v>
      </c>
      <c r="C245" s="9">
        <v>36407</v>
      </c>
      <c r="D245" s="9">
        <v>38323</v>
      </c>
      <c r="E245" s="9">
        <v>38323</v>
      </c>
      <c r="F245" s="1137"/>
      <c r="G245" s="1"/>
      <c r="H245" s="1"/>
      <c r="I245" s="1"/>
      <c r="J245" s="3"/>
      <c r="K245" s="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row>
    <row r="246" spans="1:111" s="4" customFormat="1" hidden="1">
      <c r="A246" s="10" t="s">
        <v>114</v>
      </c>
      <c r="B246" s="9">
        <v>36822</v>
      </c>
      <c r="C246" s="9">
        <v>36822</v>
      </c>
      <c r="D246" s="9">
        <v>38760</v>
      </c>
      <c r="E246" s="9">
        <v>38760</v>
      </c>
      <c r="F246" s="1137"/>
      <c r="G246" s="1"/>
      <c r="H246" s="1"/>
      <c r="I246" s="1"/>
      <c r="J246" s="3"/>
      <c r="K246" s="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row>
    <row r="247" spans="1:111" s="4" customFormat="1" hidden="1">
      <c r="A247" s="10" t="s">
        <v>113</v>
      </c>
      <c r="B247" s="9">
        <v>37243</v>
      </c>
      <c r="C247" s="9">
        <v>37243</v>
      </c>
      <c r="D247" s="9">
        <v>39203</v>
      </c>
      <c r="E247" s="9">
        <v>39203</v>
      </c>
      <c r="F247" s="1137"/>
      <c r="G247" s="1"/>
      <c r="H247" s="1"/>
      <c r="I247" s="1"/>
      <c r="J247" s="3"/>
      <c r="K247" s="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row>
    <row r="248" spans="1:111" s="4" customFormat="1" hidden="1">
      <c r="A248" s="10" t="s">
        <v>112</v>
      </c>
      <c r="B248" s="9">
        <v>37668</v>
      </c>
      <c r="C248" s="9">
        <v>37668</v>
      </c>
      <c r="D248" s="9">
        <v>39650</v>
      </c>
      <c r="E248" s="9">
        <v>39650</v>
      </c>
      <c r="F248" s="1137"/>
      <c r="G248" s="1"/>
      <c r="H248" s="1"/>
      <c r="I248" s="1"/>
      <c r="J248" s="3"/>
      <c r="K248" s="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row>
    <row r="249" spans="1:111" s="4" customFormat="1" hidden="1">
      <c r="A249" s="12" t="s">
        <v>111</v>
      </c>
      <c r="B249" s="11">
        <v>37987</v>
      </c>
      <c r="C249" s="11">
        <v>37987</v>
      </c>
      <c r="D249" s="11">
        <v>39986</v>
      </c>
      <c r="E249" s="11">
        <v>39986</v>
      </c>
      <c r="F249" s="1137"/>
      <c r="G249" s="1"/>
      <c r="H249" s="1"/>
      <c r="I249" s="1"/>
      <c r="J249" s="3"/>
      <c r="K249" s="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row>
    <row r="250" spans="1:111" s="4" customFormat="1" hidden="1">
      <c r="A250" s="12" t="s">
        <v>110</v>
      </c>
      <c r="B250" s="11">
        <v>38422</v>
      </c>
      <c r="C250" s="11">
        <v>38422</v>
      </c>
      <c r="D250" s="11">
        <v>40444</v>
      </c>
      <c r="E250" s="11">
        <v>40444</v>
      </c>
      <c r="F250" s="1137"/>
      <c r="G250" s="1"/>
      <c r="H250" s="1"/>
      <c r="I250" s="1"/>
      <c r="J250" s="3"/>
      <c r="K250" s="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row>
    <row r="251" spans="1:111" s="4" customFormat="1" hidden="1">
      <c r="A251" s="12" t="s">
        <v>109</v>
      </c>
      <c r="B251" s="11">
        <v>38862</v>
      </c>
      <c r="C251" s="11">
        <v>38862</v>
      </c>
      <c r="D251" s="11">
        <v>40907</v>
      </c>
      <c r="E251" s="11">
        <v>40907</v>
      </c>
      <c r="F251" s="1137"/>
      <c r="G251" s="1"/>
      <c r="H251" s="1"/>
      <c r="I251" s="1"/>
      <c r="J251" s="3"/>
      <c r="K251" s="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row>
    <row r="252" spans="1:111" s="4" customFormat="1" hidden="1">
      <c r="A252" s="12" t="s">
        <v>108</v>
      </c>
      <c r="B252" s="11">
        <v>39307</v>
      </c>
      <c r="C252" s="11">
        <v>39307</v>
      </c>
      <c r="D252" s="11">
        <v>41376</v>
      </c>
      <c r="E252" s="11">
        <v>41376</v>
      </c>
      <c r="F252" s="1137"/>
      <c r="G252" s="1"/>
      <c r="H252" s="1"/>
      <c r="I252" s="1"/>
      <c r="J252" s="3"/>
      <c r="K252" s="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row>
    <row r="253" spans="1:111" s="4" customFormat="1" hidden="1">
      <c r="A253" s="12" t="s">
        <v>107</v>
      </c>
      <c r="B253" s="11">
        <v>39758</v>
      </c>
      <c r="C253" s="11">
        <v>39758</v>
      </c>
      <c r="D253" s="11">
        <v>41851</v>
      </c>
      <c r="E253" s="11">
        <v>41851</v>
      </c>
      <c r="F253" s="1137"/>
      <c r="G253" s="1"/>
      <c r="H253" s="1"/>
      <c r="I253" s="1"/>
      <c r="J253" s="3"/>
      <c r="K253" s="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row>
    <row r="254" spans="1:111" s="4" customFormat="1" hidden="1">
      <c r="A254" s="12" t="s">
        <v>106</v>
      </c>
      <c r="B254" s="11">
        <v>40215</v>
      </c>
      <c r="C254" s="11">
        <v>40215</v>
      </c>
      <c r="D254" s="11">
        <v>42332</v>
      </c>
      <c r="E254" s="11">
        <v>42332</v>
      </c>
      <c r="F254" s="1137"/>
      <c r="G254" s="1"/>
      <c r="H254" s="1"/>
      <c r="I254" s="1"/>
      <c r="J254" s="3"/>
      <c r="K254" s="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row>
    <row r="255" spans="1:111" s="4" customFormat="1" hidden="1">
      <c r="A255" s="12" t="s">
        <v>105</v>
      </c>
      <c r="B255" s="11">
        <v>40677</v>
      </c>
      <c r="C255" s="11">
        <v>40677</v>
      </c>
      <c r="D255" s="11">
        <v>42818</v>
      </c>
      <c r="E255" s="11">
        <v>42818</v>
      </c>
      <c r="F255" s="1137"/>
      <c r="G255" s="1"/>
      <c r="H255" s="1"/>
      <c r="I255" s="1"/>
      <c r="J255" s="3"/>
      <c r="K255" s="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row>
    <row r="256" spans="1:111" s="4" customFormat="1" hidden="1">
      <c r="A256" s="12" t="s">
        <v>104</v>
      </c>
      <c r="B256" s="11">
        <v>41145</v>
      </c>
      <c r="C256" s="11">
        <v>41145</v>
      </c>
      <c r="D256" s="11">
        <v>43311</v>
      </c>
      <c r="E256" s="11">
        <v>43311</v>
      </c>
      <c r="F256" s="1137"/>
      <c r="G256" s="1"/>
      <c r="H256" s="1"/>
      <c r="I256" s="1"/>
      <c r="J256" s="3"/>
      <c r="K256" s="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row>
    <row r="257" spans="1:111" s="4" customFormat="1" hidden="1">
      <c r="A257" s="10" t="s">
        <v>103</v>
      </c>
      <c r="B257" s="9">
        <v>41497</v>
      </c>
      <c r="C257" s="9">
        <v>41497</v>
      </c>
      <c r="D257" s="9">
        <v>43681</v>
      </c>
      <c r="E257" s="9">
        <v>43681</v>
      </c>
      <c r="F257" s="1137"/>
      <c r="G257" s="1"/>
      <c r="H257" s="1"/>
      <c r="I257" s="1"/>
      <c r="J257" s="3"/>
      <c r="K257" s="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row>
    <row r="258" spans="1:111" s="4" customFormat="1" hidden="1">
      <c r="A258" s="10" t="s">
        <v>102</v>
      </c>
      <c r="B258" s="9">
        <v>41975</v>
      </c>
      <c r="C258" s="9">
        <v>41975</v>
      </c>
      <c r="D258" s="9">
        <v>44184</v>
      </c>
      <c r="E258" s="9">
        <v>44184</v>
      </c>
      <c r="F258" s="1137"/>
      <c r="G258" s="1"/>
      <c r="H258" s="1"/>
      <c r="I258" s="1"/>
      <c r="J258" s="3"/>
      <c r="K258" s="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row>
    <row r="259" spans="1:111" s="4" customFormat="1" hidden="1">
      <c r="A259" s="10" t="s">
        <v>101</v>
      </c>
      <c r="B259" s="9">
        <v>42459</v>
      </c>
      <c r="C259" s="9">
        <v>42459</v>
      </c>
      <c r="D259" s="9">
        <v>44694</v>
      </c>
      <c r="E259" s="9">
        <v>44694</v>
      </c>
      <c r="F259" s="1137"/>
      <c r="G259" s="1"/>
      <c r="H259" s="1"/>
      <c r="I259" s="1"/>
      <c r="J259" s="3"/>
      <c r="K259" s="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row>
    <row r="260" spans="1:111" s="4" customFormat="1" hidden="1">
      <c r="A260" s="10" t="s">
        <v>100</v>
      </c>
      <c r="B260" s="9">
        <v>42949</v>
      </c>
      <c r="C260" s="9">
        <v>42949</v>
      </c>
      <c r="D260" s="9">
        <v>45209</v>
      </c>
      <c r="E260" s="9">
        <v>45209</v>
      </c>
      <c r="F260" s="1137"/>
      <c r="G260" s="1"/>
      <c r="H260" s="1"/>
      <c r="I260" s="1"/>
      <c r="J260" s="3"/>
      <c r="K260" s="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row>
    <row r="261" spans="1:111" s="4" customFormat="1" hidden="1">
      <c r="A261" s="10" t="s">
        <v>99</v>
      </c>
      <c r="B261" s="9">
        <v>43445</v>
      </c>
      <c r="C261" s="9">
        <v>43445</v>
      </c>
      <c r="D261" s="9">
        <v>45732</v>
      </c>
      <c r="E261" s="9">
        <v>45732</v>
      </c>
      <c r="F261" s="1137"/>
      <c r="G261" s="1"/>
      <c r="H261" s="1"/>
      <c r="I261" s="1"/>
      <c r="J261" s="3"/>
      <c r="K261" s="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row>
    <row r="262" spans="1:111" s="4" customFormat="1" hidden="1">
      <c r="A262" s="10" t="s">
        <v>98</v>
      </c>
      <c r="B262" s="9">
        <v>43948</v>
      </c>
      <c r="C262" s="9">
        <v>43948</v>
      </c>
      <c r="D262" s="9">
        <v>46261</v>
      </c>
      <c r="E262" s="9">
        <v>46261</v>
      </c>
      <c r="F262" s="1137"/>
      <c r="G262" s="1"/>
      <c r="H262" s="1"/>
      <c r="I262" s="1"/>
      <c r="J262" s="3"/>
      <c r="K262" s="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row>
    <row r="263" spans="1:111" s="4" customFormat="1" hidden="1">
      <c r="A263" s="10" t="s">
        <v>97</v>
      </c>
      <c r="B263" s="9">
        <v>44456</v>
      </c>
      <c r="C263" s="9">
        <v>44456</v>
      </c>
      <c r="D263" s="9">
        <v>46796</v>
      </c>
      <c r="E263" s="9">
        <v>46796</v>
      </c>
      <c r="F263" s="1137"/>
      <c r="G263" s="1"/>
      <c r="H263" s="1"/>
      <c r="I263" s="1"/>
      <c r="J263" s="3"/>
      <c r="K263" s="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row>
    <row r="264" spans="1:111" s="4" customFormat="1" hidden="1">
      <c r="A264" s="10" t="s">
        <v>96</v>
      </c>
      <c r="B264" s="9">
        <v>44971</v>
      </c>
      <c r="C264" s="9">
        <v>44971</v>
      </c>
      <c r="D264" s="9">
        <v>47338</v>
      </c>
      <c r="E264" s="9">
        <v>47338</v>
      </c>
      <c r="F264" s="1137"/>
      <c r="G264" s="1"/>
      <c r="H264" s="1"/>
      <c r="I264" s="1"/>
      <c r="J264" s="3"/>
      <c r="K264" s="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row>
    <row r="265" spans="1:111" s="4" customFormat="1" hidden="1">
      <c r="A265" s="12" t="s">
        <v>95</v>
      </c>
      <c r="B265" s="11">
        <v>45897</v>
      </c>
      <c r="C265" s="11">
        <v>45897</v>
      </c>
      <c r="D265" s="11">
        <v>48313</v>
      </c>
      <c r="E265" s="11">
        <v>48313</v>
      </c>
      <c r="F265" s="1137"/>
      <c r="G265" s="1"/>
      <c r="H265" s="1"/>
      <c r="I265" s="1"/>
      <c r="J265" s="3"/>
      <c r="K265" s="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row>
    <row r="266" spans="1:111" s="4" customFormat="1" hidden="1">
      <c r="A266" s="12" t="s">
        <v>94</v>
      </c>
      <c r="B266" s="11">
        <v>46599</v>
      </c>
      <c r="C266" s="11">
        <v>46599</v>
      </c>
      <c r="D266" s="11">
        <v>49052</v>
      </c>
      <c r="E266" s="11">
        <v>49052</v>
      </c>
      <c r="F266" s="1137"/>
      <c r="G266" s="1"/>
      <c r="H266" s="1"/>
      <c r="I266" s="1"/>
      <c r="J266" s="3"/>
      <c r="K266" s="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row>
    <row r="267" spans="1:111" s="4" customFormat="1" hidden="1">
      <c r="A267" s="12" t="s">
        <v>93</v>
      </c>
      <c r="B267" s="11">
        <v>47313</v>
      </c>
      <c r="C267" s="11">
        <v>47313</v>
      </c>
      <c r="D267" s="11">
        <v>49803</v>
      </c>
      <c r="E267" s="11">
        <v>49803</v>
      </c>
      <c r="F267" s="1137"/>
      <c r="G267" s="1"/>
      <c r="H267" s="1"/>
      <c r="I267" s="1"/>
      <c r="J267" s="3"/>
      <c r="K267" s="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row>
    <row r="268" spans="1:111" s="4" customFormat="1" hidden="1">
      <c r="A268" s="12" t="s">
        <v>92</v>
      </c>
      <c r="B268" s="11">
        <v>48038</v>
      </c>
      <c r="C268" s="11">
        <v>48038</v>
      </c>
      <c r="D268" s="11">
        <v>50566</v>
      </c>
      <c r="E268" s="11">
        <v>50566</v>
      </c>
      <c r="F268" s="1137"/>
      <c r="G268" s="1"/>
      <c r="H268" s="1"/>
      <c r="I268" s="1"/>
      <c r="J268" s="3"/>
      <c r="K268" s="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row>
    <row r="269" spans="1:111" s="4" customFormat="1" hidden="1">
      <c r="A269" s="12" t="s">
        <v>91</v>
      </c>
      <c r="B269" s="11">
        <v>48775</v>
      </c>
      <c r="C269" s="11">
        <v>48775</v>
      </c>
      <c r="D269" s="11">
        <v>51342</v>
      </c>
      <c r="E269" s="11">
        <v>51342</v>
      </c>
      <c r="F269" s="1137"/>
      <c r="G269" s="1"/>
      <c r="H269" s="1"/>
      <c r="I269" s="1"/>
      <c r="J269" s="3"/>
      <c r="K269" s="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row>
    <row r="270" spans="1:111" s="4" customFormat="1" hidden="1">
      <c r="A270" s="12" t="s">
        <v>90</v>
      </c>
      <c r="B270" s="11">
        <v>49524</v>
      </c>
      <c r="C270" s="11">
        <v>49524</v>
      </c>
      <c r="D270" s="11">
        <v>52130</v>
      </c>
      <c r="E270" s="11">
        <v>52130</v>
      </c>
      <c r="F270" s="1137"/>
      <c r="G270" s="1"/>
      <c r="H270" s="1"/>
      <c r="I270" s="1"/>
      <c r="J270" s="3"/>
      <c r="K270" s="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row>
    <row r="271" spans="1:111" s="4" customFormat="1" hidden="1">
      <c r="A271" s="12" t="s">
        <v>89</v>
      </c>
      <c r="B271" s="11">
        <v>50285</v>
      </c>
      <c r="C271" s="11">
        <v>50285</v>
      </c>
      <c r="D271" s="11">
        <v>52932</v>
      </c>
      <c r="E271" s="11">
        <v>52932</v>
      </c>
      <c r="F271" s="1137"/>
      <c r="G271" s="1"/>
      <c r="H271" s="1"/>
      <c r="I271" s="1"/>
      <c r="J271" s="3"/>
      <c r="K271" s="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row>
    <row r="272" spans="1:111" s="4" customFormat="1" hidden="1">
      <c r="A272" s="12" t="s">
        <v>88</v>
      </c>
      <c r="B272" s="11">
        <v>51059</v>
      </c>
      <c r="C272" s="11">
        <v>51059</v>
      </c>
      <c r="D272" s="11">
        <v>53746</v>
      </c>
      <c r="E272" s="11">
        <v>53746</v>
      </c>
      <c r="F272" s="1137"/>
      <c r="G272" s="1"/>
      <c r="H272" s="1"/>
      <c r="I272" s="1"/>
      <c r="J272" s="3"/>
      <c r="K272" s="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row>
    <row r="273" spans="1:111" s="4" customFormat="1" hidden="1">
      <c r="A273" s="10" t="s">
        <v>87</v>
      </c>
      <c r="B273" s="9">
        <v>51538</v>
      </c>
      <c r="C273" s="9">
        <v>51538</v>
      </c>
      <c r="D273" s="9">
        <v>54251</v>
      </c>
      <c r="E273" s="9">
        <v>54251</v>
      </c>
      <c r="F273" s="1137"/>
      <c r="G273" s="1"/>
      <c r="H273" s="1"/>
      <c r="I273" s="1"/>
      <c r="J273" s="3"/>
      <c r="K273" s="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row>
    <row r="274" spans="1:111" s="4" customFormat="1" hidden="1">
      <c r="A274" s="10" t="s">
        <v>86</v>
      </c>
      <c r="B274" s="9">
        <v>52331</v>
      </c>
      <c r="C274" s="9">
        <v>52331</v>
      </c>
      <c r="D274" s="9">
        <v>55085</v>
      </c>
      <c r="E274" s="9">
        <v>55085</v>
      </c>
      <c r="F274" s="1137"/>
      <c r="G274" s="1"/>
      <c r="H274" s="1"/>
      <c r="I274" s="1"/>
      <c r="J274" s="3"/>
      <c r="K274" s="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row>
    <row r="275" spans="1:111" s="4" customFormat="1" hidden="1">
      <c r="A275" s="10" t="s">
        <v>85</v>
      </c>
      <c r="B275" s="9">
        <v>53137</v>
      </c>
      <c r="C275" s="9">
        <v>53137</v>
      </c>
      <c r="D275" s="9">
        <v>55934</v>
      </c>
      <c r="E275" s="9">
        <v>55934</v>
      </c>
      <c r="F275" s="1137"/>
      <c r="G275" s="1"/>
      <c r="H275" s="1"/>
      <c r="I275" s="1"/>
      <c r="J275" s="3"/>
      <c r="K275" s="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row>
    <row r="276" spans="1:111" s="4" customFormat="1" hidden="1">
      <c r="A276" s="10" t="s">
        <v>84</v>
      </c>
      <c r="B276" s="9">
        <v>53956</v>
      </c>
      <c r="C276" s="9">
        <v>53956</v>
      </c>
      <c r="D276" s="9">
        <v>56796</v>
      </c>
      <c r="E276" s="9">
        <v>56796</v>
      </c>
      <c r="F276" s="1137"/>
      <c r="G276" s="1"/>
      <c r="H276" s="1"/>
      <c r="I276" s="1"/>
      <c r="J276" s="3"/>
      <c r="K276" s="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row>
    <row r="277" spans="1:111" s="4" customFormat="1" hidden="1">
      <c r="A277" s="10" t="s">
        <v>83</v>
      </c>
      <c r="B277" s="9">
        <v>54789</v>
      </c>
      <c r="C277" s="9">
        <v>54789</v>
      </c>
      <c r="D277" s="9">
        <v>57673</v>
      </c>
      <c r="E277" s="9">
        <v>57673</v>
      </c>
      <c r="F277" s="1137"/>
      <c r="G277" s="1"/>
      <c r="H277" s="1"/>
      <c r="I277" s="1"/>
      <c r="J277" s="3"/>
      <c r="K277" s="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row>
    <row r="278" spans="1:111" s="4" customFormat="1" hidden="1">
      <c r="A278" s="10" t="s">
        <v>82</v>
      </c>
      <c r="B278" s="9">
        <v>55636</v>
      </c>
      <c r="C278" s="9">
        <v>55636</v>
      </c>
      <c r="D278" s="9">
        <v>58564</v>
      </c>
      <c r="E278" s="9">
        <v>58564</v>
      </c>
      <c r="F278" s="1137"/>
      <c r="G278" s="1"/>
      <c r="H278" s="1"/>
      <c r="I278" s="1"/>
      <c r="J278" s="3"/>
      <c r="K278" s="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row>
    <row r="279" spans="1:111" s="4" customFormat="1" hidden="1">
      <c r="A279" s="10" t="s">
        <v>81</v>
      </c>
      <c r="B279" s="9">
        <v>56496</v>
      </c>
      <c r="C279" s="9">
        <v>56496</v>
      </c>
      <c r="D279" s="9">
        <v>59469</v>
      </c>
      <c r="E279" s="9">
        <v>59469</v>
      </c>
      <c r="F279" s="1137"/>
      <c r="G279" s="1"/>
      <c r="H279" s="1"/>
      <c r="I279" s="1"/>
      <c r="J279" s="3"/>
      <c r="K279" s="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row>
    <row r="280" spans="1:111" s="4" customFormat="1" hidden="1">
      <c r="A280" s="10" t="s">
        <v>80</v>
      </c>
      <c r="B280" s="9">
        <v>57370</v>
      </c>
      <c r="C280" s="9">
        <v>57370</v>
      </c>
      <c r="D280" s="9">
        <v>60389</v>
      </c>
      <c r="E280" s="9">
        <v>60389</v>
      </c>
      <c r="F280" s="1137"/>
      <c r="G280" s="1"/>
      <c r="H280" s="1"/>
      <c r="I280" s="1"/>
      <c r="J280" s="3"/>
      <c r="K280" s="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row>
    <row r="281" spans="1:111" s="4" customFormat="1" hidden="1">
      <c r="A281" s="12" t="s">
        <v>79</v>
      </c>
      <c r="B281" s="11">
        <v>57856</v>
      </c>
      <c r="C281" s="11">
        <v>57856</v>
      </c>
      <c r="D281" s="11">
        <v>60901</v>
      </c>
      <c r="E281" s="11">
        <v>60901</v>
      </c>
      <c r="F281" s="1137"/>
      <c r="G281" s="1"/>
      <c r="H281" s="1"/>
      <c r="I281" s="1"/>
      <c r="J281" s="3"/>
      <c r="K281" s="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row>
    <row r="282" spans="1:111" s="4" customFormat="1" hidden="1">
      <c r="A282" s="12" t="s">
        <v>78</v>
      </c>
      <c r="B282" s="11">
        <v>58752</v>
      </c>
      <c r="C282" s="11">
        <v>58752</v>
      </c>
      <c r="D282" s="11">
        <v>61844</v>
      </c>
      <c r="E282" s="11">
        <v>61844</v>
      </c>
      <c r="F282" s="1137"/>
      <c r="G282" s="1"/>
      <c r="H282" s="1"/>
      <c r="I282" s="1"/>
      <c r="J282" s="3"/>
      <c r="K282" s="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row>
    <row r="283" spans="1:111" s="4" customFormat="1" hidden="1">
      <c r="A283" s="12" t="s">
        <v>77</v>
      </c>
      <c r="B283" s="11">
        <v>59663</v>
      </c>
      <c r="C283" s="11">
        <v>59663</v>
      </c>
      <c r="D283" s="11">
        <v>62803</v>
      </c>
      <c r="E283" s="11">
        <v>62803</v>
      </c>
      <c r="F283" s="1137"/>
      <c r="G283" s="1"/>
      <c r="H283" s="1"/>
      <c r="I283" s="1"/>
      <c r="J283" s="3"/>
      <c r="K283" s="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row>
    <row r="284" spans="1:111" s="4" customFormat="1" hidden="1">
      <c r="A284" s="12" t="s">
        <v>76</v>
      </c>
      <c r="B284" s="11">
        <v>60588</v>
      </c>
      <c r="C284" s="11">
        <v>60588</v>
      </c>
      <c r="D284" s="11">
        <v>63777</v>
      </c>
      <c r="E284" s="11">
        <v>63777</v>
      </c>
      <c r="F284" s="1137"/>
      <c r="G284" s="1"/>
      <c r="H284" s="1"/>
      <c r="I284" s="1"/>
      <c r="J284" s="3"/>
      <c r="K284" s="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row>
    <row r="285" spans="1:111" s="4" customFormat="1" hidden="1">
      <c r="A285" s="12" t="s">
        <v>75</v>
      </c>
      <c r="B285" s="11">
        <v>61530</v>
      </c>
      <c r="C285" s="11">
        <v>61530</v>
      </c>
      <c r="D285" s="11">
        <v>64768</v>
      </c>
      <c r="E285" s="11">
        <v>64768</v>
      </c>
      <c r="F285" s="1137"/>
      <c r="G285" s="1"/>
      <c r="H285" s="1"/>
      <c r="I285" s="1"/>
      <c r="J285" s="3"/>
      <c r="K285" s="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row>
    <row r="286" spans="1:111" s="4" customFormat="1" hidden="1">
      <c r="A286" s="12" t="s">
        <v>74</v>
      </c>
      <c r="B286" s="11">
        <v>62485</v>
      </c>
      <c r="C286" s="11">
        <v>62485</v>
      </c>
      <c r="D286" s="11">
        <v>65774</v>
      </c>
      <c r="E286" s="11">
        <v>65774</v>
      </c>
      <c r="F286" s="1137"/>
      <c r="G286" s="1"/>
      <c r="H286" s="1"/>
      <c r="I286" s="1"/>
      <c r="J286" s="3"/>
      <c r="K286" s="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row>
    <row r="287" spans="1:111" s="4" customFormat="1" hidden="1">
      <c r="A287" s="12" t="s">
        <v>73</v>
      </c>
      <c r="B287" s="11">
        <v>63457</v>
      </c>
      <c r="C287" s="11">
        <v>63457</v>
      </c>
      <c r="D287" s="11">
        <v>66797</v>
      </c>
      <c r="E287" s="11">
        <v>66797</v>
      </c>
      <c r="F287" s="1137"/>
      <c r="G287" s="1"/>
      <c r="H287" s="1"/>
      <c r="I287" s="1"/>
      <c r="J287" s="3"/>
      <c r="K287" s="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row>
    <row r="288" spans="1:111" s="4" customFormat="1" hidden="1">
      <c r="A288" s="12" t="s">
        <v>72</v>
      </c>
      <c r="B288" s="11">
        <v>64445</v>
      </c>
      <c r="C288" s="11">
        <v>64445</v>
      </c>
      <c r="D288" s="11">
        <v>67837</v>
      </c>
      <c r="E288" s="11">
        <v>67837</v>
      </c>
      <c r="F288" s="1137"/>
      <c r="G288" s="1"/>
      <c r="H288" s="1"/>
      <c r="I288" s="1"/>
      <c r="J288" s="3"/>
      <c r="K288" s="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row>
    <row r="289" spans="1:111" s="4" customFormat="1" hidden="1">
      <c r="A289" s="10" t="s">
        <v>71</v>
      </c>
      <c r="B289" s="9">
        <v>64994</v>
      </c>
      <c r="C289" s="9">
        <v>64994</v>
      </c>
      <c r="D289" s="9">
        <v>68415</v>
      </c>
      <c r="E289" s="9">
        <v>68415</v>
      </c>
      <c r="F289" s="1137"/>
      <c r="G289" s="1"/>
      <c r="H289" s="1"/>
      <c r="I289" s="1"/>
      <c r="J289" s="3"/>
      <c r="K289" s="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row>
    <row r="290" spans="1:111" s="4" customFormat="1" hidden="1">
      <c r="A290" s="10" t="s">
        <v>70</v>
      </c>
      <c r="B290" s="9">
        <v>66007</v>
      </c>
      <c r="C290" s="9">
        <v>66007</v>
      </c>
      <c r="D290" s="9">
        <v>69481</v>
      </c>
      <c r="E290" s="9">
        <v>69481</v>
      </c>
      <c r="F290" s="1137"/>
      <c r="G290" s="1"/>
      <c r="H290" s="1"/>
      <c r="I290" s="1"/>
      <c r="J290" s="3"/>
      <c r="K290" s="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row>
    <row r="291" spans="1:111" s="4" customFormat="1" hidden="1">
      <c r="A291" s="10" t="s">
        <v>69</v>
      </c>
      <c r="B291" s="9">
        <v>67037</v>
      </c>
      <c r="C291" s="9">
        <v>67037</v>
      </c>
      <c r="D291" s="9">
        <v>70565</v>
      </c>
      <c r="E291" s="9">
        <v>70565</v>
      </c>
      <c r="F291" s="1137"/>
      <c r="G291" s="1"/>
      <c r="H291" s="1"/>
      <c r="I291" s="1"/>
      <c r="J291" s="3"/>
      <c r="K291" s="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row>
    <row r="292" spans="1:111" s="4" customFormat="1" hidden="1">
      <c r="A292" s="10" t="s">
        <v>68</v>
      </c>
      <c r="B292" s="9">
        <v>68083</v>
      </c>
      <c r="C292" s="9">
        <v>68083</v>
      </c>
      <c r="D292" s="9">
        <v>71666</v>
      </c>
      <c r="E292" s="9">
        <v>71666</v>
      </c>
      <c r="F292" s="1137"/>
      <c r="G292" s="1"/>
      <c r="H292" s="1"/>
      <c r="I292" s="1"/>
      <c r="J292" s="3"/>
      <c r="K292" s="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row>
    <row r="293" spans="1:111" s="4" customFormat="1" hidden="1">
      <c r="A293" s="10" t="s">
        <v>67</v>
      </c>
      <c r="B293" s="9">
        <v>69146</v>
      </c>
      <c r="C293" s="9">
        <v>69146</v>
      </c>
      <c r="D293" s="9">
        <v>72785</v>
      </c>
      <c r="E293" s="9">
        <v>72785</v>
      </c>
      <c r="F293" s="1137"/>
      <c r="G293" s="1"/>
      <c r="H293" s="1"/>
      <c r="I293" s="1"/>
      <c r="J293" s="3"/>
      <c r="K293" s="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row>
    <row r="294" spans="1:111" s="4" customFormat="1" hidden="1">
      <c r="A294" s="10" t="s">
        <v>66</v>
      </c>
      <c r="B294" s="9">
        <v>70227</v>
      </c>
      <c r="C294" s="9">
        <v>70227</v>
      </c>
      <c r="D294" s="9">
        <v>73923</v>
      </c>
      <c r="E294" s="9">
        <v>73923</v>
      </c>
      <c r="F294" s="1137"/>
      <c r="G294" s="1"/>
      <c r="H294" s="1"/>
      <c r="I294" s="1"/>
      <c r="J294" s="3"/>
      <c r="K294" s="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row>
    <row r="295" spans="1:111" s="4" customFormat="1" hidden="1">
      <c r="A295" s="10" t="s">
        <v>65</v>
      </c>
      <c r="B295" s="9">
        <v>71325</v>
      </c>
      <c r="C295" s="9">
        <v>71325</v>
      </c>
      <c r="D295" s="9">
        <v>75079</v>
      </c>
      <c r="E295" s="9">
        <v>75079</v>
      </c>
      <c r="F295" s="1137"/>
      <c r="G295" s="1"/>
      <c r="H295" s="1"/>
      <c r="I295" s="1"/>
      <c r="J295" s="3"/>
      <c r="K295" s="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row>
    <row r="296" spans="1:111" s="4" customFormat="1" hidden="1">
      <c r="A296" s="10" t="s">
        <v>64</v>
      </c>
      <c r="B296" s="9">
        <v>72440</v>
      </c>
      <c r="C296" s="9">
        <v>72440</v>
      </c>
      <c r="D296" s="9">
        <v>76253</v>
      </c>
      <c r="E296" s="9">
        <v>76253</v>
      </c>
      <c r="F296" s="1137"/>
      <c r="G296" s="1"/>
      <c r="H296" s="1"/>
      <c r="I296" s="1"/>
      <c r="J296" s="3"/>
      <c r="K296" s="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row>
    <row r="297" spans="1:111" s="4" customFormat="1" hidden="1">
      <c r="A297" s="12" t="s">
        <v>63</v>
      </c>
      <c r="B297" s="11">
        <v>73062</v>
      </c>
      <c r="C297" s="11">
        <v>73062</v>
      </c>
      <c r="D297" s="11">
        <v>76907</v>
      </c>
      <c r="E297" s="11">
        <v>76907</v>
      </c>
      <c r="F297" s="1137"/>
      <c r="G297" s="1"/>
      <c r="H297" s="1"/>
      <c r="I297" s="1"/>
      <c r="J297" s="3"/>
      <c r="K297" s="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row>
    <row r="298" spans="1:111" s="4" customFormat="1" hidden="1">
      <c r="A298" s="12" t="s">
        <v>62</v>
      </c>
      <c r="B298" s="11">
        <v>74205</v>
      </c>
      <c r="C298" s="11">
        <v>74205</v>
      </c>
      <c r="D298" s="11">
        <v>78111</v>
      </c>
      <c r="E298" s="11">
        <v>78111</v>
      </c>
      <c r="F298" s="1137"/>
      <c r="G298" s="1"/>
      <c r="H298" s="1"/>
      <c r="I298" s="1"/>
      <c r="J298" s="3"/>
      <c r="K298" s="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row>
    <row r="299" spans="1:111" s="4" customFormat="1" hidden="1">
      <c r="A299" s="12" t="s">
        <v>61</v>
      </c>
      <c r="B299" s="11">
        <v>75369</v>
      </c>
      <c r="C299" s="11">
        <v>75369</v>
      </c>
      <c r="D299" s="11">
        <v>79336</v>
      </c>
      <c r="E299" s="11">
        <v>79336</v>
      </c>
      <c r="F299" s="1137"/>
      <c r="G299" s="1"/>
      <c r="H299" s="1"/>
      <c r="I299" s="1"/>
      <c r="J299" s="3"/>
      <c r="K299" s="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row>
    <row r="300" spans="1:111" s="4" customFormat="1" hidden="1">
      <c r="A300" s="12" t="s">
        <v>60</v>
      </c>
      <c r="B300" s="11">
        <v>76554</v>
      </c>
      <c r="C300" s="11">
        <v>76554</v>
      </c>
      <c r="D300" s="11">
        <v>80583</v>
      </c>
      <c r="E300" s="11">
        <v>80583</v>
      </c>
      <c r="F300" s="1137"/>
      <c r="G300" s="1"/>
      <c r="H300" s="1"/>
      <c r="I300" s="1"/>
      <c r="J300" s="3"/>
      <c r="K300" s="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row>
    <row r="301" spans="1:111" s="4" customFormat="1" hidden="1">
      <c r="A301" s="12" t="s">
        <v>59</v>
      </c>
      <c r="B301" s="11">
        <v>77804</v>
      </c>
      <c r="C301" s="11">
        <v>77804</v>
      </c>
      <c r="D301" s="11">
        <v>81899</v>
      </c>
      <c r="E301" s="11">
        <v>81899</v>
      </c>
      <c r="F301" s="1137"/>
      <c r="G301" s="1"/>
      <c r="H301" s="1"/>
      <c r="I301" s="1"/>
      <c r="J301" s="3"/>
      <c r="K301" s="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row>
    <row r="302" spans="1:111" s="4" customFormat="1" hidden="1">
      <c r="A302" s="12" t="s">
        <v>58</v>
      </c>
      <c r="B302" s="11">
        <v>79073</v>
      </c>
      <c r="C302" s="11">
        <v>79073</v>
      </c>
      <c r="D302" s="11">
        <v>83235</v>
      </c>
      <c r="E302" s="11">
        <v>83235</v>
      </c>
      <c r="F302" s="1137"/>
      <c r="G302" s="1"/>
      <c r="H302" s="1"/>
      <c r="I302" s="1"/>
      <c r="J302" s="3"/>
      <c r="K302" s="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row>
    <row r="303" spans="1:111" s="4" customFormat="1" hidden="1">
      <c r="A303" s="12" t="s">
        <v>57</v>
      </c>
      <c r="B303" s="11">
        <v>80364</v>
      </c>
      <c r="C303" s="11">
        <v>80364</v>
      </c>
      <c r="D303" s="11">
        <v>84594</v>
      </c>
      <c r="E303" s="11">
        <v>84594</v>
      </c>
      <c r="F303" s="1137"/>
      <c r="G303" s="1"/>
      <c r="H303" s="1"/>
      <c r="I303" s="1"/>
      <c r="J303" s="3"/>
      <c r="K303" s="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row>
    <row r="304" spans="1:111" s="4" customFormat="1" hidden="1">
      <c r="A304" s="12" t="s">
        <v>56</v>
      </c>
      <c r="B304" s="11">
        <v>81676</v>
      </c>
      <c r="C304" s="11">
        <v>81676</v>
      </c>
      <c r="D304" s="11">
        <v>85975</v>
      </c>
      <c r="E304" s="11">
        <v>85975</v>
      </c>
      <c r="F304" s="1137"/>
      <c r="G304" s="1"/>
      <c r="H304" s="1"/>
      <c r="I304" s="1"/>
      <c r="J304" s="3"/>
      <c r="K304" s="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row>
    <row r="305" spans="1:111" s="4" customFormat="1" hidden="1">
      <c r="A305" s="10" t="s">
        <v>55</v>
      </c>
      <c r="B305" s="9">
        <v>82405</v>
      </c>
      <c r="C305" s="9">
        <v>82405</v>
      </c>
      <c r="D305" s="9">
        <v>86742</v>
      </c>
      <c r="E305" s="9">
        <v>86742</v>
      </c>
      <c r="F305" s="1137"/>
      <c r="G305" s="1"/>
      <c r="H305" s="1"/>
      <c r="I305" s="1"/>
      <c r="J305" s="3"/>
      <c r="K305" s="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row>
    <row r="306" spans="1:111" s="4" customFormat="1" hidden="1">
      <c r="A306" s="10" t="s">
        <v>54</v>
      </c>
      <c r="B306" s="9">
        <v>83750</v>
      </c>
      <c r="C306" s="9">
        <v>83750</v>
      </c>
      <c r="D306" s="9">
        <v>88158</v>
      </c>
      <c r="E306" s="9">
        <v>88158</v>
      </c>
      <c r="F306" s="1137"/>
      <c r="G306" s="1"/>
      <c r="H306" s="1"/>
      <c r="I306" s="1"/>
      <c r="J306" s="3"/>
      <c r="K306" s="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row>
    <row r="307" spans="1:111" s="4" customFormat="1" hidden="1">
      <c r="A307" s="10" t="s">
        <v>53</v>
      </c>
      <c r="B307" s="9">
        <v>85117</v>
      </c>
      <c r="C307" s="9">
        <v>85117</v>
      </c>
      <c r="D307" s="9">
        <v>89597</v>
      </c>
      <c r="E307" s="9">
        <v>89597</v>
      </c>
      <c r="F307" s="1137"/>
      <c r="G307" s="1"/>
      <c r="H307" s="1"/>
      <c r="I307" s="1"/>
      <c r="J307" s="3"/>
      <c r="K307" s="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row>
    <row r="308" spans="1:111" s="4" customFormat="1" hidden="1">
      <c r="A308" s="10" t="s">
        <v>52</v>
      </c>
      <c r="B308" s="9">
        <v>86506</v>
      </c>
      <c r="C308" s="9">
        <v>86506</v>
      </c>
      <c r="D308" s="9">
        <v>91059</v>
      </c>
      <c r="E308" s="9">
        <v>91059</v>
      </c>
      <c r="F308" s="1137"/>
      <c r="G308" s="1"/>
      <c r="H308" s="1"/>
      <c r="I308" s="1"/>
      <c r="J308" s="3"/>
      <c r="K308" s="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row>
    <row r="309" spans="1:111" s="4" customFormat="1" hidden="1">
      <c r="A309" s="10" t="s">
        <v>51</v>
      </c>
      <c r="B309" s="9">
        <v>87918</v>
      </c>
      <c r="C309" s="9">
        <v>87918</v>
      </c>
      <c r="D309" s="9">
        <v>92545</v>
      </c>
      <c r="E309" s="9">
        <v>92545</v>
      </c>
      <c r="F309" s="1137"/>
      <c r="G309" s="1"/>
      <c r="H309" s="1"/>
      <c r="I309" s="1"/>
      <c r="J309" s="3"/>
      <c r="K309" s="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row>
    <row r="310" spans="1:111" s="4" customFormat="1" hidden="1">
      <c r="A310" s="10" t="s">
        <v>50</v>
      </c>
      <c r="B310" s="9">
        <v>89354</v>
      </c>
      <c r="C310" s="9">
        <v>89354</v>
      </c>
      <c r="D310" s="9">
        <v>94057</v>
      </c>
      <c r="E310" s="9">
        <v>94057</v>
      </c>
      <c r="F310" s="1137"/>
      <c r="G310" s="1"/>
      <c r="H310" s="1"/>
      <c r="I310" s="1"/>
      <c r="J310" s="3"/>
      <c r="K310" s="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row>
    <row r="311" spans="1:111" s="4" customFormat="1" hidden="1">
      <c r="A311" s="10" t="s">
        <v>49</v>
      </c>
      <c r="B311" s="9">
        <v>90812</v>
      </c>
      <c r="C311" s="9">
        <v>90812</v>
      </c>
      <c r="D311" s="9">
        <v>95592</v>
      </c>
      <c r="E311" s="9">
        <v>95592</v>
      </c>
      <c r="F311" s="1137"/>
      <c r="G311" s="1"/>
      <c r="H311" s="1"/>
      <c r="I311" s="1"/>
      <c r="J311" s="3"/>
      <c r="K311" s="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row>
    <row r="312" spans="1:111" s="4" customFormat="1" hidden="1">
      <c r="A312" s="10" t="s">
        <v>48</v>
      </c>
      <c r="B312" s="9">
        <v>92294</v>
      </c>
      <c r="C312" s="9">
        <v>92294</v>
      </c>
      <c r="D312" s="9">
        <v>97152</v>
      </c>
      <c r="E312" s="9">
        <v>97152</v>
      </c>
      <c r="F312" s="1137"/>
      <c r="G312" s="1"/>
      <c r="H312" s="1"/>
      <c r="I312" s="1"/>
      <c r="J312" s="3"/>
      <c r="K312" s="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row>
    <row r="313" spans="1:111" s="4" customFormat="1" hidden="1">
      <c r="A313" s="12" t="s">
        <v>47</v>
      </c>
      <c r="B313" s="11">
        <v>93942</v>
      </c>
      <c r="C313" s="11">
        <v>93942</v>
      </c>
      <c r="D313" s="11">
        <v>98886</v>
      </c>
      <c r="E313" s="11">
        <v>98886</v>
      </c>
      <c r="F313" s="1137"/>
      <c r="G313" s="1"/>
      <c r="H313" s="1"/>
      <c r="I313" s="1"/>
      <c r="J313" s="3"/>
      <c r="K313" s="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row>
    <row r="314" spans="1:111" s="4" customFormat="1" hidden="1">
      <c r="A314" s="12" t="s">
        <v>46</v>
      </c>
      <c r="B314" s="11">
        <v>95475</v>
      </c>
      <c r="C314" s="11">
        <v>95475</v>
      </c>
      <c r="D314" s="11">
        <v>100500</v>
      </c>
      <c r="E314" s="11">
        <v>100500</v>
      </c>
      <c r="F314" s="1137"/>
      <c r="G314" s="1"/>
      <c r="H314" s="1"/>
      <c r="I314" s="1"/>
      <c r="J314" s="3"/>
      <c r="K314" s="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row>
    <row r="315" spans="1:111" s="4" customFormat="1" hidden="1">
      <c r="A315" s="12" t="s">
        <v>45</v>
      </c>
      <c r="B315" s="11">
        <v>97033</v>
      </c>
      <c r="C315" s="11">
        <v>97033</v>
      </c>
      <c r="D315" s="11">
        <v>102140</v>
      </c>
      <c r="E315" s="11">
        <v>102140</v>
      </c>
      <c r="F315" s="1137"/>
      <c r="G315" s="1"/>
      <c r="H315" s="1"/>
      <c r="I315" s="1"/>
      <c r="J315" s="3"/>
      <c r="K315" s="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row>
    <row r="316" spans="1:111" s="4" customFormat="1" hidden="1">
      <c r="A316" s="12" t="s">
        <v>44</v>
      </c>
      <c r="B316" s="11">
        <v>98618</v>
      </c>
      <c r="C316" s="11">
        <v>98618</v>
      </c>
      <c r="D316" s="11">
        <v>103808</v>
      </c>
      <c r="E316" s="11">
        <v>103808</v>
      </c>
      <c r="F316" s="1137"/>
      <c r="G316" s="1"/>
      <c r="H316" s="1"/>
      <c r="I316" s="1"/>
      <c r="J316" s="3"/>
      <c r="K316" s="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row>
    <row r="317" spans="1:111" s="4" customFormat="1" hidden="1">
      <c r="A317" s="12" t="s">
        <v>43</v>
      </c>
      <c r="B317" s="11">
        <v>100227</v>
      </c>
      <c r="C317" s="11">
        <v>100227</v>
      </c>
      <c r="D317" s="11">
        <v>105502</v>
      </c>
      <c r="E317" s="11">
        <v>105502</v>
      </c>
      <c r="F317" s="1137"/>
      <c r="G317" s="1"/>
      <c r="H317" s="1"/>
      <c r="I317" s="1"/>
      <c r="J317" s="3"/>
      <c r="K317" s="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row>
    <row r="318" spans="1:111" hidden="1">
      <c r="A318" s="12" t="s">
        <v>42</v>
      </c>
      <c r="B318" s="11">
        <v>101863</v>
      </c>
      <c r="C318" s="11">
        <v>101863</v>
      </c>
      <c r="D318" s="11">
        <v>107224</v>
      </c>
      <c r="E318" s="11">
        <v>107224</v>
      </c>
      <c r="F318" s="1137"/>
    </row>
    <row r="319" spans="1:111" hidden="1">
      <c r="A319" s="12" t="s">
        <v>41</v>
      </c>
      <c r="B319" s="11">
        <v>103525</v>
      </c>
      <c r="C319" s="11">
        <v>103525</v>
      </c>
      <c r="D319" s="11">
        <v>108974</v>
      </c>
      <c r="E319" s="11">
        <v>108974</v>
      </c>
      <c r="F319" s="1137"/>
    </row>
    <row r="320" spans="1:111" hidden="1">
      <c r="A320" s="12" t="s">
        <v>40</v>
      </c>
      <c r="B320" s="11">
        <v>105215</v>
      </c>
      <c r="C320" s="11">
        <v>105215</v>
      </c>
      <c r="D320" s="11">
        <v>110753</v>
      </c>
      <c r="E320" s="11">
        <v>110753</v>
      </c>
      <c r="F320" s="1137"/>
    </row>
    <row r="321" spans="1:111" hidden="1">
      <c r="A321" s="10" t="s">
        <v>39</v>
      </c>
      <c r="B321" s="9">
        <v>106155</v>
      </c>
      <c r="C321" s="9">
        <v>106155</v>
      </c>
      <c r="D321" s="9">
        <v>111742</v>
      </c>
      <c r="E321" s="9">
        <v>111742</v>
      </c>
      <c r="F321" s="1137"/>
      <c r="G321" s="15"/>
      <c r="H321" s="14"/>
      <c r="I321" s="14"/>
      <c r="J321" s="13"/>
      <c r="K321" s="13"/>
    </row>
    <row r="322" spans="1:111" hidden="1">
      <c r="A322" s="10" t="s">
        <v>38</v>
      </c>
      <c r="B322" s="9">
        <v>107887</v>
      </c>
      <c r="C322" s="9">
        <v>107887</v>
      </c>
      <c r="D322" s="9">
        <v>113565</v>
      </c>
      <c r="E322" s="9">
        <v>113565</v>
      </c>
      <c r="F322" s="1137"/>
      <c r="G322" s="15"/>
      <c r="H322" s="14"/>
      <c r="I322" s="14"/>
      <c r="J322" s="13"/>
      <c r="K322" s="13"/>
    </row>
    <row r="323" spans="1:111" hidden="1">
      <c r="A323" s="10" t="s">
        <v>37</v>
      </c>
      <c r="B323" s="9">
        <v>109648</v>
      </c>
      <c r="C323" s="9">
        <v>109648</v>
      </c>
      <c r="D323" s="9">
        <v>115419</v>
      </c>
      <c r="E323" s="9">
        <v>115419</v>
      </c>
      <c r="F323" s="1137"/>
    </row>
    <row r="324" spans="1:111" hidden="1">
      <c r="A324" s="10" t="s">
        <v>36</v>
      </c>
      <c r="B324" s="9">
        <v>111438</v>
      </c>
      <c r="C324" s="9">
        <v>111438</v>
      </c>
      <c r="D324" s="9">
        <v>117303</v>
      </c>
      <c r="E324" s="9">
        <v>117303</v>
      </c>
      <c r="F324" s="1137"/>
    </row>
    <row r="325" spans="1:111" hidden="1">
      <c r="A325" s="10" t="s">
        <v>35</v>
      </c>
      <c r="B325" s="9">
        <v>113256</v>
      </c>
      <c r="C325" s="9">
        <v>113256</v>
      </c>
      <c r="D325" s="9">
        <v>119217</v>
      </c>
      <c r="E325" s="9">
        <v>119217</v>
      </c>
      <c r="F325" s="1137"/>
    </row>
    <row r="326" spans="1:111" hidden="1">
      <c r="A326" s="10" t="s">
        <v>34</v>
      </c>
      <c r="B326" s="9">
        <v>115105</v>
      </c>
      <c r="C326" s="9">
        <v>115105</v>
      </c>
      <c r="D326" s="9">
        <v>121163</v>
      </c>
      <c r="E326" s="9">
        <v>121163</v>
      </c>
      <c r="F326" s="1137"/>
    </row>
    <row r="327" spans="1:111" hidden="1">
      <c r="A327" s="10" t="s">
        <v>33</v>
      </c>
      <c r="B327" s="9">
        <v>116983</v>
      </c>
      <c r="C327" s="9">
        <v>116983</v>
      </c>
      <c r="D327" s="9">
        <v>123140</v>
      </c>
      <c r="E327" s="9">
        <v>123140</v>
      </c>
      <c r="F327" s="1137"/>
    </row>
    <row r="328" spans="1:111" hidden="1">
      <c r="A328" s="10" t="s">
        <v>32</v>
      </c>
      <c r="B328" s="9">
        <v>118893</v>
      </c>
      <c r="C328" s="9">
        <v>118893</v>
      </c>
      <c r="D328" s="9">
        <v>125150</v>
      </c>
      <c r="E328" s="9">
        <v>125150</v>
      </c>
      <c r="F328" s="1137"/>
    </row>
    <row r="329" spans="1:111" hidden="1">
      <c r="A329" s="12" t="s">
        <v>31</v>
      </c>
      <c r="B329" s="11">
        <v>119954</v>
      </c>
      <c r="C329" s="11">
        <v>119954</v>
      </c>
      <c r="D329" s="11">
        <v>126267</v>
      </c>
      <c r="E329" s="11">
        <v>126267</v>
      </c>
      <c r="F329" s="1137"/>
    </row>
    <row r="330" spans="1:111" hidden="1">
      <c r="A330" s="12" t="s">
        <v>30</v>
      </c>
      <c r="B330" s="11">
        <v>121913</v>
      </c>
      <c r="C330" s="11">
        <v>121913</v>
      </c>
      <c r="D330" s="11">
        <v>128329</v>
      </c>
      <c r="E330" s="11">
        <v>128329</v>
      </c>
      <c r="F330" s="1137"/>
    </row>
    <row r="331" spans="1:111" hidden="1">
      <c r="A331" s="12" t="s">
        <v>29</v>
      </c>
      <c r="B331" s="11">
        <v>123902</v>
      </c>
      <c r="C331" s="11">
        <v>123902</v>
      </c>
      <c r="D331" s="11">
        <v>130423</v>
      </c>
      <c r="E331" s="11">
        <v>130423</v>
      </c>
      <c r="F331" s="1137"/>
    </row>
    <row r="332" spans="1:111" hidden="1">
      <c r="A332" s="12" t="s">
        <v>28</v>
      </c>
      <c r="B332" s="11">
        <v>125924</v>
      </c>
      <c r="C332" s="11">
        <v>125924</v>
      </c>
      <c r="D332" s="11">
        <v>132552</v>
      </c>
      <c r="E332" s="11">
        <v>132552</v>
      </c>
      <c r="F332" s="1137"/>
    </row>
    <row r="333" spans="1:111" hidden="1">
      <c r="A333" s="12" t="s">
        <v>27</v>
      </c>
      <c r="B333" s="11">
        <v>127979</v>
      </c>
      <c r="C333" s="11">
        <v>127979</v>
      </c>
      <c r="D333" s="11">
        <v>134715</v>
      </c>
      <c r="E333" s="11">
        <v>134715</v>
      </c>
      <c r="F333" s="1137"/>
    </row>
    <row r="334" spans="1:111" s="4" customFormat="1" hidden="1">
      <c r="A334" s="12" t="s">
        <v>26</v>
      </c>
      <c r="B334" s="11">
        <v>130068</v>
      </c>
      <c r="C334" s="11">
        <v>130068</v>
      </c>
      <c r="D334" s="11">
        <v>136914</v>
      </c>
      <c r="E334" s="11">
        <v>136914</v>
      </c>
      <c r="F334" s="1137"/>
      <c r="G334" s="1"/>
      <c r="H334" s="1"/>
      <c r="I334" s="1"/>
      <c r="J334" s="3"/>
      <c r="K334" s="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row>
    <row r="335" spans="1:111" s="4" customFormat="1" hidden="1">
      <c r="A335" s="12" t="s">
        <v>25</v>
      </c>
      <c r="B335" s="11">
        <v>132192</v>
      </c>
      <c r="C335" s="11">
        <v>132192</v>
      </c>
      <c r="D335" s="11">
        <v>139149</v>
      </c>
      <c r="E335" s="11">
        <v>139149</v>
      </c>
      <c r="F335" s="1137"/>
      <c r="G335" s="1"/>
      <c r="H335" s="1"/>
      <c r="I335" s="1"/>
      <c r="J335" s="3"/>
      <c r="K335" s="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row>
    <row r="336" spans="1:111" s="4" customFormat="1" hidden="1">
      <c r="A336" s="12" t="s">
        <v>24</v>
      </c>
      <c r="B336" s="11">
        <v>134349</v>
      </c>
      <c r="C336" s="11">
        <v>134349</v>
      </c>
      <c r="D336" s="11">
        <v>141420</v>
      </c>
      <c r="E336" s="11">
        <v>141420</v>
      </c>
      <c r="F336" s="1137"/>
      <c r="G336" s="1"/>
      <c r="H336" s="1"/>
      <c r="I336" s="1"/>
      <c r="J336" s="3"/>
      <c r="K336" s="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row>
    <row r="337" spans="1:111" s="4" customFormat="1" hidden="1">
      <c r="A337" s="10" t="s">
        <v>23</v>
      </c>
      <c r="B337" s="9">
        <v>135549</v>
      </c>
      <c r="C337" s="9">
        <v>135549</v>
      </c>
      <c r="D337" s="9">
        <v>142683</v>
      </c>
      <c r="E337" s="9">
        <v>142683</v>
      </c>
      <c r="F337" s="1137"/>
      <c r="G337" s="1"/>
      <c r="H337" s="1"/>
      <c r="I337" s="1"/>
      <c r="J337" s="3"/>
      <c r="K337" s="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row>
    <row r="338" spans="1:111" s="4" customFormat="1" hidden="1">
      <c r="A338" s="10" t="s">
        <v>22</v>
      </c>
      <c r="B338" s="9">
        <v>137760</v>
      </c>
      <c r="C338" s="9">
        <v>137760</v>
      </c>
      <c r="D338" s="9">
        <v>145011</v>
      </c>
      <c r="E338" s="9">
        <v>145011</v>
      </c>
      <c r="F338" s="1137"/>
      <c r="G338" s="1"/>
      <c r="H338" s="1"/>
      <c r="I338" s="1"/>
      <c r="J338" s="3"/>
      <c r="K338" s="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row>
    <row r="339" spans="1:111" s="4" customFormat="1" hidden="1">
      <c r="A339" s="10" t="s">
        <v>21</v>
      </c>
      <c r="B339" s="9">
        <v>140009</v>
      </c>
      <c r="C339" s="9">
        <v>140009</v>
      </c>
      <c r="D339" s="9">
        <v>147378</v>
      </c>
      <c r="E339" s="9">
        <v>147378</v>
      </c>
      <c r="F339" s="1137"/>
      <c r="G339" s="1"/>
      <c r="H339" s="1"/>
      <c r="I339" s="1"/>
      <c r="J339" s="3"/>
      <c r="K339" s="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row>
    <row r="340" spans="1:111" s="4" customFormat="1" hidden="1">
      <c r="A340" s="10" t="s">
        <v>20</v>
      </c>
      <c r="B340" s="9">
        <v>142295</v>
      </c>
      <c r="C340" s="9">
        <v>142295</v>
      </c>
      <c r="D340" s="9">
        <v>149784</v>
      </c>
      <c r="E340" s="9">
        <v>149784</v>
      </c>
      <c r="F340" s="1137"/>
      <c r="G340" s="1"/>
      <c r="H340" s="1"/>
      <c r="I340" s="1"/>
      <c r="J340" s="3"/>
      <c r="K340" s="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row>
    <row r="341" spans="1:111" s="4" customFormat="1" hidden="1">
      <c r="A341" s="10" t="s">
        <v>19</v>
      </c>
      <c r="B341" s="9">
        <v>144617</v>
      </c>
      <c r="C341" s="9">
        <v>144617</v>
      </c>
      <c r="D341" s="9">
        <v>152228</v>
      </c>
      <c r="E341" s="9">
        <v>152228</v>
      </c>
      <c r="F341" s="1137"/>
      <c r="G341" s="1"/>
      <c r="H341" s="1"/>
      <c r="I341" s="1"/>
      <c r="J341" s="3"/>
      <c r="K341" s="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row>
    <row r="342" spans="1:111" s="4" customFormat="1" hidden="1">
      <c r="A342" s="10" t="s">
        <v>18</v>
      </c>
      <c r="B342" s="9">
        <v>146978</v>
      </c>
      <c r="C342" s="9">
        <v>146978</v>
      </c>
      <c r="D342" s="9">
        <v>154714</v>
      </c>
      <c r="E342" s="9">
        <v>154714</v>
      </c>
      <c r="F342" s="1137"/>
      <c r="G342" s="1"/>
      <c r="H342" s="1"/>
      <c r="I342" s="1"/>
      <c r="J342" s="3"/>
      <c r="K342" s="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row>
    <row r="343" spans="1:111" s="4" customFormat="1" hidden="1">
      <c r="A343" s="10" t="s">
        <v>17</v>
      </c>
      <c r="B343" s="9">
        <v>149377</v>
      </c>
      <c r="C343" s="9">
        <v>149377</v>
      </c>
      <c r="D343" s="9">
        <v>157239</v>
      </c>
      <c r="E343" s="9">
        <v>157239</v>
      </c>
      <c r="F343" s="1137"/>
      <c r="G343" s="1"/>
      <c r="H343" s="1"/>
      <c r="I343" s="1"/>
      <c r="J343" s="3"/>
      <c r="K343" s="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row>
    <row r="344" spans="1:111" s="4" customFormat="1" hidden="1">
      <c r="A344" s="10" t="s">
        <v>16</v>
      </c>
      <c r="B344" s="9">
        <v>151814</v>
      </c>
      <c r="C344" s="9">
        <v>151814</v>
      </c>
      <c r="D344" s="9">
        <v>159804</v>
      </c>
      <c r="E344" s="9">
        <v>159804</v>
      </c>
      <c r="F344" s="1137"/>
      <c r="G344" s="1"/>
      <c r="H344" s="1"/>
      <c r="I344" s="1"/>
      <c r="J344" s="3"/>
      <c r="K344" s="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row>
    <row r="345" spans="1:111" s="4" customFormat="1" hidden="1">
      <c r="A345" s="12" t="s">
        <v>15</v>
      </c>
      <c r="B345" s="11">
        <v>153169</v>
      </c>
      <c r="C345" s="11">
        <v>153169</v>
      </c>
      <c r="D345" s="11">
        <v>161231</v>
      </c>
      <c r="E345" s="11">
        <v>161231</v>
      </c>
      <c r="F345" s="1137"/>
      <c r="G345" s="1"/>
      <c r="H345" s="1"/>
      <c r="I345" s="1"/>
      <c r="J345" s="3"/>
      <c r="K345" s="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row>
    <row r="346" spans="1:111" s="4" customFormat="1" hidden="1">
      <c r="A346" s="12" t="s">
        <v>14</v>
      </c>
      <c r="B346" s="11">
        <v>155670</v>
      </c>
      <c r="C346" s="11">
        <v>155670</v>
      </c>
      <c r="D346" s="11">
        <v>163863</v>
      </c>
      <c r="E346" s="11">
        <v>163863</v>
      </c>
      <c r="F346" s="1137"/>
      <c r="G346" s="1"/>
      <c r="H346" s="1"/>
      <c r="I346" s="1"/>
      <c r="J346" s="3"/>
      <c r="K346" s="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row>
    <row r="347" spans="1:111" s="4" customFormat="1" hidden="1">
      <c r="A347" s="12" t="s">
        <v>13</v>
      </c>
      <c r="B347" s="11">
        <v>158210</v>
      </c>
      <c r="C347" s="11">
        <v>158210</v>
      </c>
      <c r="D347" s="11">
        <v>166537</v>
      </c>
      <c r="E347" s="11">
        <v>166537</v>
      </c>
      <c r="F347" s="1137"/>
      <c r="G347" s="1"/>
      <c r="H347" s="1"/>
      <c r="I347" s="1"/>
      <c r="J347" s="3"/>
      <c r="K347" s="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row>
    <row r="348" spans="1:111" s="4" customFormat="1" hidden="1">
      <c r="A348" s="12" t="s">
        <v>12</v>
      </c>
      <c r="B348" s="11">
        <v>160793</v>
      </c>
      <c r="C348" s="11">
        <v>160793</v>
      </c>
      <c r="D348" s="11">
        <v>169256</v>
      </c>
      <c r="E348" s="11">
        <v>169256</v>
      </c>
      <c r="F348" s="1137"/>
      <c r="G348" s="1"/>
      <c r="H348" s="1"/>
      <c r="I348" s="1"/>
      <c r="J348" s="3"/>
      <c r="K348" s="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row>
    <row r="349" spans="1:111" s="4" customFormat="1" hidden="1">
      <c r="A349" s="12" t="s">
        <v>11</v>
      </c>
      <c r="B349" s="11">
        <v>163417</v>
      </c>
      <c r="C349" s="11">
        <v>163417</v>
      </c>
      <c r="D349" s="11">
        <v>172018</v>
      </c>
      <c r="E349" s="11">
        <v>172018</v>
      </c>
      <c r="F349" s="1137"/>
      <c r="G349" s="1"/>
      <c r="H349" s="1"/>
      <c r="I349" s="1"/>
      <c r="J349" s="3"/>
      <c r="K349" s="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row>
    <row r="350" spans="1:111" hidden="1">
      <c r="A350" s="12" t="s">
        <v>10</v>
      </c>
      <c r="B350" s="11">
        <v>166085</v>
      </c>
      <c r="C350" s="11">
        <v>166085</v>
      </c>
      <c r="D350" s="11">
        <v>174826</v>
      </c>
      <c r="E350" s="11">
        <v>174826</v>
      </c>
      <c r="F350" s="1137"/>
    </row>
    <row r="351" spans="1:111" hidden="1">
      <c r="A351" s="12" t="s">
        <v>9</v>
      </c>
      <c r="B351" s="11">
        <v>168795</v>
      </c>
      <c r="C351" s="11">
        <v>168795</v>
      </c>
      <c r="D351" s="11">
        <v>177679</v>
      </c>
      <c r="E351" s="11">
        <v>177679</v>
      </c>
      <c r="F351" s="1137"/>
    </row>
    <row r="352" spans="1:111" hidden="1">
      <c r="A352" s="12" t="s">
        <v>8</v>
      </c>
      <c r="B352" s="11">
        <v>171550</v>
      </c>
      <c r="C352" s="11">
        <v>171550</v>
      </c>
      <c r="D352" s="11">
        <v>180579</v>
      </c>
      <c r="E352" s="11">
        <v>180579</v>
      </c>
      <c r="F352" s="1137"/>
    </row>
    <row r="353" spans="1:6" hidden="1">
      <c r="A353" s="10" t="s">
        <v>7</v>
      </c>
      <c r="B353" s="9">
        <v>173081</v>
      </c>
      <c r="C353" s="9">
        <v>173081</v>
      </c>
      <c r="D353" s="9">
        <v>182191</v>
      </c>
      <c r="E353" s="9">
        <v>182191</v>
      </c>
      <c r="F353" s="1137"/>
    </row>
    <row r="354" spans="1:6" hidden="1">
      <c r="A354" s="10" t="s">
        <v>6</v>
      </c>
      <c r="B354" s="9">
        <v>175905</v>
      </c>
      <c r="C354" s="9">
        <v>175905</v>
      </c>
      <c r="D354" s="9">
        <v>185165</v>
      </c>
      <c r="E354" s="9">
        <v>185165</v>
      </c>
      <c r="F354" s="1137"/>
    </row>
    <row r="355" spans="1:6" hidden="1">
      <c r="A355" s="10" t="s">
        <v>5</v>
      </c>
      <c r="B355" s="9">
        <v>178778</v>
      </c>
      <c r="C355" s="9">
        <v>178778</v>
      </c>
      <c r="D355" s="9">
        <v>188187</v>
      </c>
      <c r="E355" s="9">
        <v>188187</v>
      </c>
      <c r="F355" s="1137"/>
    </row>
    <row r="356" spans="1:6" hidden="1">
      <c r="A356" s="10" t="s">
        <v>4</v>
      </c>
      <c r="B356" s="9">
        <v>181696</v>
      </c>
      <c r="C356" s="9">
        <v>181696</v>
      </c>
      <c r="D356" s="9">
        <v>191259</v>
      </c>
      <c r="E356" s="9">
        <v>191259</v>
      </c>
      <c r="F356" s="1137"/>
    </row>
    <row r="357" spans="1:6" hidden="1">
      <c r="A357" s="10" t="s">
        <v>3</v>
      </c>
      <c r="B357" s="9">
        <v>184661</v>
      </c>
      <c r="C357" s="9">
        <v>184661</v>
      </c>
      <c r="D357" s="9">
        <v>194380</v>
      </c>
      <c r="E357" s="9">
        <v>194380</v>
      </c>
      <c r="F357" s="1137"/>
    </row>
    <row r="358" spans="1:6" hidden="1">
      <c r="A358" s="10" t="s">
        <v>2</v>
      </c>
      <c r="B358" s="9">
        <v>187675</v>
      </c>
      <c r="C358" s="9">
        <v>187675</v>
      </c>
      <c r="D358" s="9">
        <v>197553</v>
      </c>
      <c r="E358" s="9">
        <v>197553</v>
      </c>
      <c r="F358" s="1137"/>
    </row>
    <row r="359" spans="1:6" hidden="1">
      <c r="A359" s="10" t="s">
        <v>1</v>
      </c>
      <c r="B359" s="9">
        <v>190738</v>
      </c>
      <c r="C359" s="9">
        <v>190738</v>
      </c>
      <c r="D359" s="9">
        <v>200777</v>
      </c>
      <c r="E359" s="9">
        <v>200777</v>
      </c>
      <c r="F359" s="1137"/>
    </row>
    <row r="360" spans="1:6" hidden="1">
      <c r="A360" s="10" t="s">
        <v>0</v>
      </c>
      <c r="B360" s="9">
        <v>193851</v>
      </c>
      <c r="C360" s="9">
        <v>193851</v>
      </c>
      <c r="D360" s="9">
        <v>204054</v>
      </c>
      <c r="E360" s="9">
        <v>204054</v>
      </c>
      <c r="F360" s="1137"/>
    </row>
    <row r="361" spans="1:6" s="3" customFormat="1" ht="15" hidden="1">
      <c r="A361" s="1136"/>
      <c r="B361" s="6"/>
      <c r="E361" s="5"/>
    </row>
    <row r="362" spans="1:6" s="3" customFormat="1" ht="15" hidden="1">
      <c r="A362" s="1136"/>
      <c r="B362" s="6"/>
      <c r="E362" s="5"/>
    </row>
    <row r="363" spans="1:6" s="3" customFormat="1" ht="15" hidden="1">
      <c r="A363" s="1136"/>
      <c r="B363" s="6"/>
      <c r="E363" s="5"/>
    </row>
    <row r="364" spans="1:6" s="3" customFormat="1" ht="15" hidden="1">
      <c r="A364" s="1136"/>
      <c r="B364" s="6"/>
      <c r="E364" s="5"/>
    </row>
    <row r="365" spans="1:6" s="3" customFormat="1" ht="15" hidden="1">
      <c r="A365" s="1136"/>
      <c r="B365" s="6"/>
      <c r="E365" s="5"/>
    </row>
    <row r="366" spans="1:6" s="3" customFormat="1" ht="15" hidden="1">
      <c r="A366" s="1136"/>
      <c r="B366" s="6"/>
      <c r="E366" s="5"/>
    </row>
    <row r="367" spans="1:6" s="3" customFormat="1" ht="15" hidden="1">
      <c r="A367" s="1136"/>
      <c r="B367" s="6"/>
      <c r="E367" s="5"/>
    </row>
    <row r="368" spans="1:6" s="3" customFormat="1" ht="15" hidden="1">
      <c r="A368" s="1136"/>
      <c r="B368" s="6"/>
      <c r="E368" s="5"/>
    </row>
    <row r="369" spans="1:5" s="3" customFormat="1" ht="15" hidden="1">
      <c r="A369" s="1136"/>
      <c r="B369" s="6"/>
      <c r="E369" s="5"/>
    </row>
    <row r="370" spans="1:5" s="3" customFormat="1" ht="15" hidden="1">
      <c r="A370" s="1136"/>
      <c r="B370" s="6"/>
      <c r="E370" s="5"/>
    </row>
    <row r="371" spans="1:5" s="3" customFormat="1" ht="15" hidden="1">
      <c r="A371" s="1136"/>
      <c r="B371" s="6"/>
      <c r="E371" s="5"/>
    </row>
    <row r="372" spans="1:5" s="3" customFormat="1" ht="15" hidden="1">
      <c r="A372" s="1136"/>
      <c r="B372" s="6"/>
      <c r="E372" s="5"/>
    </row>
    <row r="373" spans="1:5" s="3" customFormat="1" ht="15" hidden="1">
      <c r="A373" s="1136"/>
      <c r="B373" s="6"/>
      <c r="E373" s="5"/>
    </row>
    <row r="374" spans="1:5" s="3" customFormat="1" ht="15" hidden="1">
      <c r="A374" s="1136"/>
      <c r="B374" s="6"/>
      <c r="E374" s="5"/>
    </row>
    <row r="375" spans="1:5" s="3" customFormat="1" ht="15" hidden="1">
      <c r="A375" s="1136"/>
      <c r="B375" s="6"/>
      <c r="E375" s="5"/>
    </row>
    <row r="376" spans="1:5" s="3" customFormat="1" ht="15" hidden="1">
      <c r="A376" s="1136"/>
      <c r="B376" s="6"/>
      <c r="E376" s="5"/>
    </row>
    <row r="377" spans="1:5" s="3" customFormat="1" ht="15" hidden="1">
      <c r="A377" s="1136"/>
      <c r="B377" s="6"/>
      <c r="E377" s="5"/>
    </row>
    <row r="378" spans="1:5" s="3" customFormat="1" ht="15" hidden="1">
      <c r="A378" s="1136"/>
      <c r="B378" s="6"/>
      <c r="E378" s="5"/>
    </row>
    <row r="379" spans="1:5" s="3" customFormat="1" ht="15" hidden="1">
      <c r="A379" s="1136"/>
      <c r="B379" s="6"/>
      <c r="E379" s="5"/>
    </row>
    <row r="380" spans="1:5" s="3" customFormat="1" ht="15" hidden="1">
      <c r="A380" s="1136"/>
      <c r="B380" s="6"/>
      <c r="E380" s="5"/>
    </row>
    <row r="381" spans="1:5" s="3" customFormat="1" ht="15" hidden="1">
      <c r="A381" s="1136"/>
      <c r="B381" s="6"/>
      <c r="E381" s="5"/>
    </row>
    <row r="382" spans="1:5" s="3" customFormat="1" ht="15" hidden="1">
      <c r="A382" s="1136"/>
      <c r="B382" s="6"/>
      <c r="E382" s="5"/>
    </row>
    <row r="383" spans="1:5" s="3" customFormat="1" ht="15" hidden="1">
      <c r="A383" s="1136"/>
      <c r="B383" s="6"/>
      <c r="E383" s="5"/>
    </row>
    <row r="384" spans="1:5" s="3" customFormat="1" ht="15" hidden="1">
      <c r="A384" s="1136"/>
      <c r="B384" s="6"/>
      <c r="E384" s="5"/>
    </row>
    <row r="385" spans="1:5" s="3" customFormat="1" ht="15" hidden="1">
      <c r="A385" s="1136"/>
      <c r="B385" s="6"/>
      <c r="E385" s="5"/>
    </row>
    <row r="386" spans="1:5" s="3" customFormat="1" ht="15" hidden="1">
      <c r="A386" s="1136"/>
      <c r="B386" s="6"/>
      <c r="E386" s="5"/>
    </row>
    <row r="387" spans="1:5" s="3" customFormat="1" ht="15" hidden="1">
      <c r="A387" s="1136"/>
      <c r="B387" s="6"/>
      <c r="E387" s="5"/>
    </row>
    <row r="388" spans="1:5" s="3" customFormat="1" ht="15" hidden="1">
      <c r="A388" s="1136"/>
      <c r="B388" s="6"/>
      <c r="E388" s="5"/>
    </row>
    <row r="389" spans="1:5" s="3" customFormat="1" ht="15" hidden="1">
      <c r="A389" s="1136"/>
      <c r="B389" s="6"/>
      <c r="E389" s="5"/>
    </row>
    <row r="390" spans="1:5" hidden="1"/>
    <row r="391" spans="1:5" hidden="1"/>
    <row r="392" spans="1:5" hidden="1"/>
    <row r="393" spans="1:5" hidden="1"/>
    <row r="394" spans="1:5" hidden="1"/>
    <row r="395" spans="1:5" hidden="1"/>
    <row r="396" spans="1:5" hidden="1"/>
    <row r="397" spans="1:5" hidden="1"/>
  </sheetData>
  <mergeCells count="22">
    <mergeCell ref="A119:B119"/>
    <mergeCell ref="E9:F9"/>
    <mergeCell ref="G9:H9"/>
    <mergeCell ref="J9:K9"/>
    <mergeCell ref="A10:B10"/>
    <mergeCell ref="A118:B118"/>
    <mergeCell ref="A3:I3"/>
    <mergeCell ref="A4:I4"/>
    <mergeCell ref="A5:I5"/>
    <mergeCell ref="G6:H6"/>
    <mergeCell ref="J6:K6"/>
    <mergeCell ref="L10:M10"/>
    <mergeCell ref="E120:F120"/>
    <mergeCell ref="E119:F119"/>
    <mergeCell ref="O10:P10"/>
    <mergeCell ref="L11:M11"/>
    <mergeCell ref="G7:H7"/>
    <mergeCell ref="J7:K7"/>
    <mergeCell ref="E8:F8"/>
    <mergeCell ref="G8:H8"/>
    <mergeCell ref="J8:K8"/>
    <mergeCell ref="E7:F7"/>
  </mergeCells>
  <printOptions horizontalCentered="1"/>
  <pageMargins left="0.5" right="0" top="0.25" bottom="0.25" header="0.5" footer="0.5"/>
  <pageSetup paperSize="5" orientation="landscape" verticalDpi="72"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83"/>
  <sheetViews>
    <sheetView showGridLines="0" showOutlineSymbols="0" topLeftCell="A43" workbookViewId="0">
      <selection activeCell="F66" sqref="F66"/>
    </sheetView>
  </sheetViews>
  <sheetFormatPr defaultColWidth="12.5703125" defaultRowHeight="15.75" outlineLevelRow="2" outlineLevelCol="2"/>
  <cols>
    <col min="1" max="1" width="1.85546875" style="235" customWidth="1"/>
    <col min="2" max="2" width="34.7109375" style="235" customWidth="1"/>
    <col min="3" max="3" width="10.28515625" style="235" customWidth="1"/>
    <col min="4" max="4" width="10.42578125" style="235" customWidth="1"/>
    <col min="5" max="5" width="10.5703125" style="235" customWidth="1"/>
    <col min="6" max="6" width="11.140625" style="235" customWidth="1"/>
    <col min="7" max="7" width="10.7109375" style="235" customWidth="1"/>
    <col min="8" max="8" width="11.140625" style="235" customWidth="1"/>
    <col min="9" max="9" width="12.7109375" style="235" hidden="1" customWidth="1"/>
    <col min="10" max="10" width="13.5703125" style="363" hidden="1" customWidth="1"/>
    <col min="11" max="11" width="0" style="235" hidden="1" customWidth="1"/>
    <col min="12" max="12" width="14.140625" style="235" hidden="1" customWidth="1"/>
    <col min="13" max="13" width="9.42578125" style="235" hidden="1" customWidth="1"/>
    <col min="14" max="14" width="14.7109375" style="235" hidden="1" customWidth="1"/>
    <col min="15" max="31" width="0" style="235" hidden="1" customWidth="1"/>
    <col min="32"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13">
      <c r="A1" s="271" t="s">
        <v>473</v>
      </c>
      <c r="B1" s="134"/>
      <c r="C1" s="134"/>
      <c r="E1" s="271"/>
      <c r="H1" s="271"/>
    </row>
    <row r="2" spans="1:13" ht="14.25" customHeight="1">
      <c r="A2" s="270" t="s">
        <v>584</v>
      </c>
      <c r="B2" s="134"/>
      <c r="C2" s="134"/>
      <c r="E2" s="270"/>
      <c r="H2" s="270"/>
    </row>
    <row r="3" spans="1:13" ht="14.25" customHeight="1">
      <c r="A3" s="4630" t="s">
        <v>471</v>
      </c>
      <c r="B3" s="4630"/>
      <c r="C3" s="4630"/>
      <c r="D3" s="4630"/>
      <c r="E3" s="4630"/>
      <c r="F3" s="4630"/>
      <c r="G3" s="4630"/>
      <c r="H3" s="4630"/>
    </row>
    <row r="4" spans="1:13" ht="14.25" customHeight="1">
      <c r="A4" s="4623" t="s">
        <v>583</v>
      </c>
      <c r="B4" s="4631"/>
      <c r="C4" s="4631"/>
      <c r="D4" s="4631"/>
      <c r="E4" s="4631"/>
      <c r="F4" s="4631"/>
      <c r="G4" s="4631"/>
      <c r="H4" s="4631"/>
    </row>
    <row r="5" spans="1:13" ht="6.75" customHeight="1">
      <c r="A5" s="140"/>
      <c r="B5" s="140"/>
      <c r="C5" s="140"/>
      <c r="D5" s="140"/>
      <c r="E5" s="140"/>
      <c r="F5" s="140"/>
      <c r="G5" s="140"/>
      <c r="H5" s="140"/>
    </row>
    <row r="6" spans="1:13" ht="18" customHeight="1">
      <c r="A6" s="1255" t="s">
        <v>1138</v>
      </c>
      <c r="D6" s="134"/>
      <c r="E6" s="134"/>
      <c r="F6" s="134"/>
      <c r="G6" s="134"/>
      <c r="H6" s="134"/>
    </row>
    <row r="7" spans="1:13" ht="6" customHeight="1">
      <c r="A7" s="1255"/>
      <c r="D7" s="134"/>
      <c r="E7" s="134"/>
      <c r="F7" s="134"/>
      <c r="G7" s="134"/>
      <c r="H7" s="134"/>
    </row>
    <row r="8" spans="1:13" ht="12.75" customHeight="1">
      <c r="A8" s="4624" t="s">
        <v>468</v>
      </c>
      <c r="B8" s="4625"/>
      <c r="C8" s="265" t="s">
        <v>467</v>
      </c>
      <c r="D8" s="264" t="s">
        <v>466</v>
      </c>
      <c r="E8" s="4632" t="s">
        <v>465</v>
      </c>
      <c r="F8" s="4633"/>
      <c r="G8" s="4634"/>
      <c r="H8" s="265" t="s">
        <v>464</v>
      </c>
      <c r="I8" s="265" t="s">
        <v>464</v>
      </c>
    </row>
    <row r="9" spans="1:13" ht="12.75" customHeight="1">
      <c r="A9" s="4626"/>
      <c r="B9" s="4627"/>
      <c r="C9" s="261" t="s">
        <v>463</v>
      </c>
      <c r="D9" s="262">
        <v>2020</v>
      </c>
      <c r="E9" s="263" t="s">
        <v>462</v>
      </c>
      <c r="F9" s="263" t="s">
        <v>461</v>
      </c>
      <c r="G9" s="262" t="s">
        <v>244</v>
      </c>
      <c r="H9" s="261">
        <v>2022</v>
      </c>
      <c r="I9" s="261">
        <v>2022</v>
      </c>
    </row>
    <row r="10" spans="1:13" ht="12.75" customHeight="1">
      <c r="A10" s="4628"/>
      <c r="B10" s="4629"/>
      <c r="C10" s="260"/>
      <c r="D10" s="258" t="s">
        <v>460</v>
      </c>
      <c r="E10" s="258" t="s">
        <v>460</v>
      </c>
      <c r="F10" s="258" t="s">
        <v>459</v>
      </c>
      <c r="G10" s="259"/>
      <c r="H10" s="258" t="s">
        <v>458</v>
      </c>
      <c r="I10" s="258" t="s">
        <v>457</v>
      </c>
      <c r="J10" s="256">
        <v>0.1</v>
      </c>
      <c r="K10" s="344"/>
      <c r="L10" s="344"/>
      <c r="M10" s="344"/>
    </row>
    <row r="11" spans="1:13" ht="15" customHeight="1">
      <c r="A11" s="255" t="s">
        <v>456</v>
      </c>
      <c r="B11" s="395"/>
      <c r="C11" s="221"/>
      <c r="D11" s="221"/>
      <c r="E11" s="221"/>
      <c r="F11" s="251"/>
      <c r="G11" s="251"/>
      <c r="H11" s="251"/>
      <c r="I11" s="396"/>
      <c r="J11" s="241"/>
      <c r="K11" s="344"/>
      <c r="L11" s="344"/>
      <c r="M11" s="344"/>
    </row>
    <row r="12" spans="1:13" ht="15" customHeight="1">
      <c r="A12" s="252" t="s">
        <v>455</v>
      </c>
      <c r="B12" s="395"/>
      <c r="C12" s="502"/>
      <c r="D12" s="249">
        <f t="shared" ref="D12:I12" si="0">SUM(D14:D35)</f>
        <v>22711427.449999999</v>
      </c>
      <c r="E12" s="249">
        <f t="shared" si="0"/>
        <v>10534058.01</v>
      </c>
      <c r="F12" s="249">
        <f t="shared" si="0"/>
        <v>19593921.990000002</v>
      </c>
      <c r="G12" s="249">
        <f t="shared" si="0"/>
        <v>30127980</v>
      </c>
      <c r="H12" s="249">
        <f t="shared" si="0"/>
        <v>30468125</v>
      </c>
      <c r="I12" s="249">
        <f t="shared" si="0"/>
        <v>30468125</v>
      </c>
      <c r="J12" s="248"/>
      <c r="K12" s="1254"/>
      <c r="L12" s="344"/>
      <c r="M12" s="344"/>
    </row>
    <row r="13" spans="1:13" ht="14.1" customHeight="1" outlineLevel="1">
      <c r="A13" s="215" t="s">
        <v>454</v>
      </c>
      <c r="B13" s="499"/>
      <c r="C13" s="752"/>
      <c r="D13" s="1253"/>
      <c r="E13" s="1253"/>
      <c r="F13" s="1252"/>
      <c r="G13" s="1252"/>
      <c r="H13" s="1252"/>
      <c r="I13" s="392"/>
      <c r="J13" s="241"/>
      <c r="K13" s="344"/>
      <c r="L13" s="344"/>
      <c r="M13" s="344"/>
    </row>
    <row r="14" spans="1:13" ht="14.1" customHeight="1" outlineLevel="1">
      <c r="A14" s="166" t="s">
        <v>426</v>
      </c>
      <c r="B14" s="162"/>
      <c r="C14" s="208" t="s">
        <v>453</v>
      </c>
      <c r="D14" s="1248">
        <v>12726156.5</v>
      </c>
      <c r="E14" s="238">
        <v>7114563.0299999993</v>
      </c>
      <c r="F14" s="238">
        <f>SUM(G14-E14)</f>
        <v>12105056.970000001</v>
      </c>
      <c r="G14" s="1251">
        <v>19219620</v>
      </c>
      <c r="H14" s="237">
        <f>'plantilla (4)'!H110</f>
        <v>18613608</v>
      </c>
      <c r="I14" s="237">
        <f>'plantilla (4)'!K110</f>
        <v>18613608</v>
      </c>
      <c r="J14" s="221">
        <f>SUM(H14*0.1)</f>
        <v>1861360.8</v>
      </c>
      <c r="K14" s="344"/>
      <c r="L14" s="344"/>
      <c r="M14" s="344"/>
    </row>
    <row r="15" spans="1:13" ht="14.1" customHeight="1" outlineLevel="1">
      <c r="A15" s="215" t="s">
        <v>452</v>
      </c>
      <c r="B15" s="162"/>
      <c r="C15" s="208"/>
      <c r="D15" s="1248"/>
      <c r="E15" s="238"/>
      <c r="F15" s="238"/>
      <c r="G15" s="390"/>
      <c r="H15" s="751"/>
      <c r="I15" s="751"/>
      <c r="J15" s="224"/>
      <c r="K15" s="344"/>
      <c r="L15" s="344"/>
      <c r="M15" s="344"/>
    </row>
    <row r="16" spans="1:13" ht="14.1" customHeight="1" outlineLevel="1">
      <c r="A16" s="178" t="s">
        <v>451</v>
      </c>
      <c r="B16" s="177"/>
      <c r="C16" s="208" t="s">
        <v>450</v>
      </c>
      <c r="D16" s="1248">
        <v>1173000</v>
      </c>
      <c r="E16" s="238">
        <v>628580.65</v>
      </c>
      <c r="F16" s="238">
        <f t="shared" ref="F16:F23" si="1">SUM(G16-E16)</f>
        <v>1027419.35</v>
      </c>
      <c r="G16" s="237">
        <v>1656000</v>
      </c>
      <c r="H16" s="237">
        <f>SUM('plantilla (4)'!B110*2000*12)</f>
        <v>1632000</v>
      </c>
      <c r="I16" s="237">
        <f>SUM('plantilla (4)'!B110*2000*12)</f>
        <v>1632000</v>
      </c>
      <c r="J16" s="224"/>
      <c r="K16" s="344"/>
      <c r="L16" s="344"/>
      <c r="M16" s="344"/>
    </row>
    <row r="17" spans="1:16" ht="14.1" customHeight="1" outlineLevel="1">
      <c r="A17" s="178" t="s">
        <v>449</v>
      </c>
      <c r="B17" s="177"/>
      <c r="C17" s="213" t="s">
        <v>448</v>
      </c>
      <c r="D17" s="1248">
        <v>143687.5</v>
      </c>
      <c r="E17" s="238">
        <v>42750</v>
      </c>
      <c r="F17" s="238">
        <f t="shared" si="1"/>
        <v>99750</v>
      </c>
      <c r="G17" s="237">
        <v>142500</v>
      </c>
      <c r="H17" s="1249">
        <f>(7125+4750)*12</f>
        <v>142500</v>
      </c>
      <c r="I17" s="1249">
        <f>(7125+4750)*12</f>
        <v>142500</v>
      </c>
      <c r="J17" s="224"/>
      <c r="K17" s="344"/>
      <c r="L17" s="344"/>
      <c r="M17" s="344"/>
    </row>
    <row r="18" spans="1:16" ht="14.1" customHeight="1" outlineLevel="1">
      <c r="A18" s="178" t="s">
        <v>447</v>
      </c>
      <c r="B18" s="177"/>
      <c r="C18" s="213" t="s">
        <v>446</v>
      </c>
      <c r="D18" s="1248">
        <v>142500</v>
      </c>
      <c r="E18" s="238">
        <v>42750</v>
      </c>
      <c r="F18" s="238">
        <f t="shared" si="1"/>
        <v>99750</v>
      </c>
      <c r="G18" s="1250">
        <v>142500</v>
      </c>
      <c r="H18" s="1249">
        <f>(7125+4750)*12</f>
        <v>142500</v>
      </c>
      <c r="I18" s="1249">
        <f>(7125+4750)*12</f>
        <v>142500</v>
      </c>
      <c r="J18" s="224"/>
      <c r="K18" s="344"/>
      <c r="L18" s="344"/>
      <c r="M18" s="344"/>
    </row>
    <row r="19" spans="1:16" ht="14.1" customHeight="1" outlineLevel="1">
      <c r="A19" s="178" t="s">
        <v>445</v>
      </c>
      <c r="B19" s="177"/>
      <c r="C19" s="213" t="s">
        <v>444</v>
      </c>
      <c r="D19" s="1248">
        <v>294000</v>
      </c>
      <c r="E19" s="238">
        <v>288000</v>
      </c>
      <c r="F19" s="238">
        <f t="shared" si="1"/>
        <v>126000</v>
      </c>
      <c r="G19" s="237">
        <v>414000</v>
      </c>
      <c r="H19" s="237">
        <f>'plantilla (4)'!B110*6000</f>
        <v>408000</v>
      </c>
      <c r="I19" s="237">
        <f>'plantilla (4)'!B110*6000</f>
        <v>408000</v>
      </c>
      <c r="J19" s="224"/>
      <c r="K19" s="344"/>
      <c r="L19" s="344"/>
      <c r="M19" s="344"/>
    </row>
    <row r="20" spans="1:16" ht="14.1" customHeight="1" outlineLevel="1">
      <c r="A20" s="178" t="s">
        <v>441</v>
      </c>
      <c r="B20" s="177"/>
      <c r="C20" s="213" t="s">
        <v>440</v>
      </c>
      <c r="D20" s="1248">
        <v>286644.34999999998</v>
      </c>
      <c r="E20" s="238">
        <v>157792.85999999999</v>
      </c>
      <c r="F20" s="238">
        <f t="shared" si="1"/>
        <v>142207.14000000001</v>
      </c>
      <c r="G20" s="237">
        <v>300000</v>
      </c>
      <c r="H20" s="237">
        <v>300000</v>
      </c>
      <c r="I20" s="237">
        <v>300000</v>
      </c>
      <c r="J20" s="224"/>
      <c r="K20" s="220"/>
      <c r="L20" s="490"/>
      <c r="M20" s="490"/>
    </row>
    <row r="21" spans="1:16" ht="14.1" customHeight="1" outlineLevel="1">
      <c r="A21" s="178" t="s">
        <v>424</v>
      </c>
      <c r="B21" s="177"/>
      <c r="C21" s="208" t="s">
        <v>439</v>
      </c>
      <c r="D21" s="1248">
        <v>1141640</v>
      </c>
      <c r="E21" s="238">
        <v>0</v>
      </c>
      <c r="F21" s="238">
        <f t="shared" si="1"/>
        <v>1601635</v>
      </c>
      <c r="G21" s="390">
        <v>1601635</v>
      </c>
      <c r="H21" s="390">
        <f>SUM(H14/12)</f>
        <v>1551134</v>
      </c>
      <c r="I21" s="390">
        <f>SUM(I14/12)</f>
        <v>1551134</v>
      </c>
      <c r="J21" s="221">
        <f>SUM(H21*0.1)</f>
        <v>155113.4</v>
      </c>
      <c r="K21" s="225"/>
      <c r="L21" s="223"/>
      <c r="M21" s="490"/>
    </row>
    <row r="22" spans="1:16" ht="14.1" customHeight="1" outlineLevel="1">
      <c r="A22" s="178" t="s">
        <v>438</v>
      </c>
      <c r="B22" s="177"/>
      <c r="C22" s="208" t="s">
        <v>437</v>
      </c>
      <c r="D22" s="1248">
        <v>245000</v>
      </c>
      <c r="E22" s="238">
        <v>0</v>
      </c>
      <c r="F22" s="238">
        <f t="shared" si="1"/>
        <v>345000</v>
      </c>
      <c r="G22" s="388">
        <v>345000</v>
      </c>
      <c r="H22" s="388">
        <f>'plantilla (4)'!B110*5000</f>
        <v>340000</v>
      </c>
      <c r="I22" s="388">
        <f>'plantilla (4)'!B110*5000</f>
        <v>340000</v>
      </c>
      <c r="J22" s="221"/>
      <c r="K22" s="225"/>
      <c r="L22" s="223"/>
      <c r="M22" s="490"/>
    </row>
    <row r="23" spans="1:16" ht="14.1" customHeight="1" outlineLevel="1">
      <c r="A23" s="180" t="s">
        <v>436</v>
      </c>
      <c r="B23" s="177"/>
      <c r="C23" s="213" t="s">
        <v>435</v>
      </c>
      <c r="D23" s="1248">
        <v>1126054</v>
      </c>
      <c r="E23" s="238">
        <v>1317355.2</v>
      </c>
      <c r="F23" s="238">
        <f t="shared" si="1"/>
        <v>311090.80000000005</v>
      </c>
      <c r="G23" s="238">
        <v>1628446</v>
      </c>
      <c r="H23" s="388">
        <f>SUM(H14/12)</f>
        <v>1551134</v>
      </c>
      <c r="I23" s="388">
        <f>SUM(I14/12)</f>
        <v>1551134</v>
      </c>
      <c r="J23" s="221">
        <f>SUM(H23*0.1)</f>
        <v>155113.4</v>
      </c>
      <c r="K23" s="220"/>
      <c r="L23" s="490"/>
      <c r="M23" s="490"/>
    </row>
    <row r="24" spans="1:16" ht="14.1" customHeight="1" outlineLevel="1">
      <c r="A24" s="230" t="s">
        <v>434</v>
      </c>
      <c r="B24" s="162"/>
      <c r="C24" s="229"/>
      <c r="D24" s="1248"/>
      <c r="E24" s="238"/>
      <c r="F24" s="238"/>
      <c r="G24" s="369"/>
      <c r="H24" s="369"/>
      <c r="I24" s="369"/>
      <c r="J24" s="224"/>
      <c r="K24" s="225"/>
      <c r="L24" s="223"/>
      <c r="M24" s="490"/>
    </row>
    <row r="25" spans="1:16" ht="14.1" customHeight="1" outlineLevel="1">
      <c r="A25" s="178" t="s">
        <v>421</v>
      </c>
      <c r="B25" s="162"/>
      <c r="C25" s="208" t="s">
        <v>433</v>
      </c>
      <c r="D25" s="1248">
        <v>1494851.1399999997</v>
      </c>
      <c r="E25" s="238">
        <v>717302.35000000009</v>
      </c>
      <c r="F25" s="238">
        <f>SUM(G25-E25)</f>
        <v>1513108.65</v>
      </c>
      <c r="G25" s="385">
        <v>2230411</v>
      </c>
      <c r="H25" s="226">
        <f>ROUND(H14*0.12,0)+1</f>
        <v>2233634</v>
      </c>
      <c r="I25" s="226">
        <f>ROUND(I14*0.12,0)+1</f>
        <v>2233634</v>
      </c>
      <c r="J25" s="221">
        <f>SUM(H25*0.1)</f>
        <v>223363.40000000002</v>
      </c>
      <c r="K25" s="225" t="str">
        <f>A6</f>
        <v>Office : CITY TREASURER'S OFFICE (1091)</v>
      </c>
      <c r="L25" s="223"/>
      <c r="M25" s="490"/>
    </row>
    <row r="26" spans="1:16" ht="14.1" customHeight="1" outlineLevel="1">
      <c r="A26" s="178" t="s">
        <v>432</v>
      </c>
      <c r="B26" s="162"/>
      <c r="C26" s="208" t="s">
        <v>431</v>
      </c>
      <c r="D26" s="1248">
        <v>53900</v>
      </c>
      <c r="E26" s="238">
        <v>40323.54</v>
      </c>
      <c r="F26" s="238">
        <f>SUM(G26-E26)</f>
        <v>42476.46</v>
      </c>
      <c r="G26" s="381">
        <v>82800</v>
      </c>
      <c r="H26" s="749">
        <f>'plantilla (4)'!B110*100*12</f>
        <v>81600</v>
      </c>
      <c r="I26" s="749">
        <f>'plantilla (4)'!B110*100*12</f>
        <v>81600</v>
      </c>
      <c r="J26" s="224"/>
      <c r="K26" s="220" t="s">
        <v>429</v>
      </c>
      <c r="N26" s="488"/>
      <c r="O26" s="488"/>
    </row>
    <row r="27" spans="1:16" ht="14.1" customHeight="1" outlineLevel="1">
      <c r="A27" s="178" t="s">
        <v>418</v>
      </c>
      <c r="B27" s="162"/>
      <c r="C27" s="208" t="s">
        <v>430</v>
      </c>
      <c r="D27" s="1248">
        <v>174884.83</v>
      </c>
      <c r="E27" s="238">
        <v>87527.74</v>
      </c>
      <c r="F27" s="238">
        <f>SUM(G27-E27)</f>
        <v>290194.26</v>
      </c>
      <c r="G27" s="383">
        <v>377722</v>
      </c>
      <c r="H27" s="743">
        <f>'plantilla (4)'!M112</f>
        <v>367418</v>
      </c>
      <c r="I27" s="743">
        <f>'plantilla (4)'!M112</f>
        <v>367418</v>
      </c>
      <c r="J27" s="221">
        <f>SUM(H27*0.1)</f>
        <v>36741.800000000003</v>
      </c>
      <c r="K27" s="179" t="s">
        <v>426</v>
      </c>
      <c r="N27" s="134">
        <f>ROUND(J14,0)+1</f>
        <v>1861362</v>
      </c>
    </row>
    <row r="28" spans="1:16" ht="14.1" customHeight="1" outlineLevel="1">
      <c r="A28" s="178" t="s">
        <v>428</v>
      </c>
      <c r="B28" s="162"/>
      <c r="C28" s="208" t="s">
        <v>427</v>
      </c>
      <c r="D28" s="1248">
        <v>53900</v>
      </c>
      <c r="E28" s="238">
        <v>23900</v>
      </c>
      <c r="F28" s="238">
        <f>SUM(G28-E28)</f>
        <v>58900</v>
      </c>
      <c r="G28" s="381">
        <v>82800</v>
      </c>
      <c r="H28" s="381">
        <f>SUM('plantilla (4)'!B110*100*12)</f>
        <v>81600</v>
      </c>
      <c r="I28" s="381">
        <f>SUM('plantilla (4)'!B110*100*12)</f>
        <v>81600</v>
      </c>
      <c r="J28" s="216"/>
      <c r="K28" s="207" t="s">
        <v>424</v>
      </c>
      <c r="N28" s="134">
        <f>ROUND(J23,0)+1</f>
        <v>155114</v>
      </c>
    </row>
    <row r="29" spans="1:16" ht="14.1" customHeight="1" outlineLevel="1">
      <c r="A29" s="215" t="s">
        <v>425</v>
      </c>
      <c r="B29" s="162"/>
      <c r="C29" s="208"/>
      <c r="D29" s="1248"/>
      <c r="E29" s="378"/>
      <c r="F29" s="238"/>
      <c r="G29" s="374"/>
      <c r="H29" s="374"/>
      <c r="I29" s="374"/>
      <c r="J29" s="214"/>
      <c r="K29" s="207" t="s">
        <v>421</v>
      </c>
      <c r="L29" s="344"/>
      <c r="M29" s="344"/>
      <c r="N29" s="134">
        <f>ROUND(J25,0)+1</f>
        <v>223364</v>
      </c>
      <c r="O29" s="344"/>
      <c r="P29" s="344"/>
    </row>
    <row r="30" spans="1:16" ht="14.1" customHeight="1" outlineLevel="1">
      <c r="A30" s="178" t="s">
        <v>423</v>
      </c>
      <c r="B30" s="162"/>
      <c r="C30" s="208" t="s">
        <v>422</v>
      </c>
      <c r="D30" s="1248">
        <v>0</v>
      </c>
      <c r="E30" s="378">
        <v>53212.639999999999</v>
      </c>
      <c r="F30" s="238">
        <f t="shared" ref="F30:F35" si="2">SUM(G30-E30)</f>
        <v>2487.3600000000006</v>
      </c>
      <c r="G30" s="374">
        <v>55700</v>
      </c>
      <c r="H30" s="747">
        <v>215300</v>
      </c>
      <c r="I30" s="747">
        <v>215300</v>
      </c>
      <c r="J30" s="214"/>
      <c r="K30" s="207" t="s">
        <v>418</v>
      </c>
      <c r="L30" s="344"/>
      <c r="M30" s="344"/>
      <c r="N30" s="134">
        <f>ROUND(J27,0)+1</f>
        <v>36743</v>
      </c>
      <c r="O30" s="344"/>
      <c r="P30" s="344"/>
    </row>
    <row r="31" spans="1:16" ht="14.1" customHeight="1" outlineLevel="1" thickBot="1">
      <c r="A31" s="197" t="s">
        <v>420</v>
      </c>
      <c r="B31" s="162"/>
      <c r="C31" s="213" t="s">
        <v>419</v>
      </c>
      <c r="D31" s="1248">
        <v>3263209.13</v>
      </c>
      <c r="E31" s="378">
        <v>0</v>
      </c>
      <c r="F31" s="238">
        <f t="shared" si="2"/>
        <v>1457846</v>
      </c>
      <c r="G31" s="374">
        <v>1457846</v>
      </c>
      <c r="H31" s="390">
        <f>N33</f>
        <v>2431697</v>
      </c>
      <c r="I31" s="390">
        <f>H31</f>
        <v>2431697</v>
      </c>
      <c r="J31" s="210">
        <f>SUM(J14:J30)</f>
        <v>2431692.7999999998</v>
      </c>
      <c r="K31" s="207" t="s">
        <v>1137</v>
      </c>
      <c r="L31" s="344"/>
      <c r="M31" s="344"/>
      <c r="N31" s="134">
        <f>ROUND(J23,0)+1</f>
        <v>155114</v>
      </c>
      <c r="O31" s="344"/>
      <c r="P31" s="344"/>
    </row>
    <row r="32" spans="1:16" ht="14.1" customHeight="1" outlineLevel="1" thickTop="1">
      <c r="A32" s="197" t="s">
        <v>417</v>
      </c>
      <c r="B32" s="162"/>
      <c r="C32" s="213" t="s">
        <v>416</v>
      </c>
      <c r="D32" s="1248">
        <v>0</v>
      </c>
      <c r="E32" s="370">
        <v>20000</v>
      </c>
      <c r="F32" s="238">
        <f t="shared" si="2"/>
        <v>25000</v>
      </c>
      <c r="G32" s="374">
        <v>45000</v>
      </c>
      <c r="H32" s="747">
        <v>35000</v>
      </c>
      <c r="I32" s="747">
        <v>35000</v>
      </c>
      <c r="J32" s="1095"/>
      <c r="K32" s="207"/>
      <c r="L32" s="344"/>
      <c r="M32" s="344"/>
      <c r="N32" s="148"/>
      <c r="O32" s="223"/>
      <c r="P32" s="344"/>
    </row>
    <row r="33" spans="1:27" ht="14.1" customHeight="1" outlineLevel="1" thickBot="1">
      <c r="A33" s="197" t="s">
        <v>414</v>
      </c>
      <c r="B33" s="162"/>
      <c r="C33" s="213" t="s">
        <v>413</v>
      </c>
      <c r="D33" s="1246">
        <v>0</v>
      </c>
      <c r="E33" s="370">
        <v>0</v>
      </c>
      <c r="F33" s="238">
        <f t="shared" si="2"/>
        <v>1000</v>
      </c>
      <c r="G33" s="374">
        <v>1000</v>
      </c>
      <c r="H33" s="745">
        <v>1000</v>
      </c>
      <c r="I33" s="745">
        <v>1000</v>
      </c>
      <c r="J33" s="1095"/>
      <c r="K33" s="190" t="s">
        <v>410</v>
      </c>
      <c r="L33" s="190"/>
      <c r="M33" s="190"/>
      <c r="N33" s="30">
        <f>SUM(N27:N32)</f>
        <v>2431697</v>
      </c>
      <c r="O33" s="190"/>
      <c r="P33" s="344"/>
    </row>
    <row r="34" spans="1:27" ht="14.1" customHeight="1" outlineLevel="1" thickTop="1">
      <c r="A34" s="197" t="s">
        <v>576</v>
      </c>
      <c r="B34" s="162"/>
      <c r="C34" s="213" t="s">
        <v>411</v>
      </c>
      <c r="D34" s="1246">
        <v>245000</v>
      </c>
      <c r="E34" s="370">
        <v>0</v>
      </c>
      <c r="F34" s="238">
        <f t="shared" si="2"/>
        <v>345000</v>
      </c>
      <c r="G34" s="374">
        <v>345000</v>
      </c>
      <c r="H34" s="745">
        <f>'plantilla (4)'!B110*5000</f>
        <v>340000</v>
      </c>
      <c r="I34" s="745">
        <f>'plantilla (4)'!B110*5000</f>
        <v>340000</v>
      </c>
      <c r="J34" s="1095"/>
      <c r="K34" s="190"/>
      <c r="L34" s="190"/>
      <c r="M34" s="190"/>
      <c r="N34" s="1247"/>
      <c r="O34" s="190"/>
      <c r="P34" s="344"/>
    </row>
    <row r="35" spans="1:27" ht="14.1" customHeight="1" outlineLevel="1">
      <c r="A35" s="956" t="s">
        <v>575</v>
      </c>
      <c r="B35" s="162"/>
      <c r="C35" s="482" t="s">
        <v>408</v>
      </c>
      <c r="D35" s="1246">
        <v>147000</v>
      </c>
      <c r="E35" s="370">
        <v>0</v>
      </c>
      <c r="F35" s="238">
        <f t="shared" si="2"/>
        <v>0</v>
      </c>
      <c r="G35" s="369">
        <v>0</v>
      </c>
      <c r="H35" s="745">
        <v>0</v>
      </c>
      <c r="I35" s="745">
        <v>0</v>
      </c>
      <c r="J35" s="1095"/>
      <c r="K35" s="344"/>
      <c r="L35" s="344"/>
      <c r="M35" s="344"/>
      <c r="N35" s="344"/>
      <c r="O35" s="344"/>
      <c r="P35" s="344"/>
      <c r="Q35" s="344"/>
      <c r="R35" s="344"/>
      <c r="S35" s="344"/>
      <c r="T35" s="344"/>
      <c r="U35" s="344"/>
      <c r="V35" s="344"/>
      <c r="W35" s="344"/>
      <c r="X35" s="344"/>
      <c r="Y35" s="344"/>
      <c r="Z35" s="344"/>
      <c r="AA35" s="344"/>
    </row>
    <row r="36" spans="1:27" ht="15" customHeight="1" outlineLevel="1">
      <c r="A36" s="189" t="s">
        <v>407</v>
      </c>
      <c r="B36" s="366"/>
      <c r="C36" s="365"/>
      <c r="D36" s="186">
        <f>SUM(D37:D59)</f>
        <v>3122116.67</v>
      </c>
      <c r="E36" s="186">
        <f>SUM(E37:E59)</f>
        <v>2817034</v>
      </c>
      <c r="F36" s="186">
        <f>SUM(F37:F59)</f>
        <v>2347166</v>
      </c>
      <c r="G36" s="186">
        <f>SUM(G37:G59)</f>
        <v>5164200</v>
      </c>
      <c r="H36" s="479">
        <f>SUM(H37:H59)</f>
        <v>6164200</v>
      </c>
    </row>
    <row r="37" spans="1:27" ht="14.1" customHeight="1" outlineLevel="1">
      <c r="A37" s="178" t="s">
        <v>646</v>
      </c>
      <c r="B37" s="185"/>
      <c r="C37" s="165" t="s">
        <v>405</v>
      </c>
      <c r="D37" s="184">
        <v>43798.01</v>
      </c>
      <c r="E37" s="183">
        <v>16220</v>
      </c>
      <c r="F37" s="238">
        <f>SUM(G37-E37)</f>
        <v>203780</v>
      </c>
      <c r="G37" s="183">
        <v>220000</v>
      </c>
      <c r="H37" s="182">
        <v>160000</v>
      </c>
    </row>
    <row r="38" spans="1:27" s="347" customFormat="1" ht="14.1" customHeight="1" outlineLevel="1">
      <c r="A38" s="178" t="s">
        <v>404</v>
      </c>
      <c r="B38" s="177"/>
      <c r="C38" s="165" t="s">
        <v>403</v>
      </c>
      <c r="D38" s="160">
        <v>74065.039999999994</v>
      </c>
      <c r="E38" s="158">
        <v>0</v>
      </c>
      <c r="F38" s="238">
        <f>SUM(G38-E38)</f>
        <v>200000</v>
      </c>
      <c r="G38" s="158">
        <v>200000</v>
      </c>
      <c r="H38" s="157">
        <v>160000</v>
      </c>
      <c r="I38" s="349"/>
      <c r="J38" s="464"/>
    </row>
    <row r="39" spans="1:27" s="347" customFormat="1" ht="14.1" customHeight="1" outlineLevel="1">
      <c r="A39" s="178" t="s">
        <v>402</v>
      </c>
      <c r="B39" s="177"/>
      <c r="C39" s="165" t="s">
        <v>401</v>
      </c>
      <c r="D39" s="160">
        <v>154142.65</v>
      </c>
      <c r="E39" s="158">
        <v>77443.149999999994</v>
      </c>
      <c r="F39" s="238">
        <f>SUM(G39-E39)</f>
        <v>142556.85</v>
      </c>
      <c r="G39" s="158">
        <v>220000</v>
      </c>
      <c r="H39" s="157">
        <v>220000</v>
      </c>
      <c r="I39" s="349"/>
      <c r="J39" s="464"/>
    </row>
    <row r="40" spans="1:27" s="347" customFormat="1" ht="14.1" customHeight="1" outlineLevel="1">
      <c r="A40" s="166" t="s">
        <v>572</v>
      </c>
      <c r="B40" s="162"/>
      <c r="C40" s="165"/>
      <c r="D40" s="160"/>
      <c r="E40" s="158"/>
      <c r="F40" s="238"/>
      <c r="G40" s="158"/>
      <c r="H40" s="157"/>
      <c r="I40" s="349"/>
      <c r="J40" s="464"/>
      <c r="K40" s="475" t="s">
        <v>1136</v>
      </c>
      <c r="L40" s="1243">
        <f>'plantilla (4)'!B110*200</f>
        <v>13600</v>
      </c>
    </row>
    <row r="41" spans="1:27" s="347" customFormat="1" ht="14.1" customHeight="1" outlineLevel="1">
      <c r="A41" s="181"/>
      <c r="B41" s="360" t="s">
        <v>571</v>
      </c>
      <c r="C41" s="161" t="s">
        <v>398</v>
      </c>
      <c r="D41" s="160">
        <v>77850.149999999994</v>
      </c>
      <c r="E41" s="158">
        <v>0</v>
      </c>
      <c r="F41" s="238">
        <f t="shared" ref="F41:F49" si="3">SUM(G41-E41)</f>
        <v>80000</v>
      </c>
      <c r="G41" s="158">
        <v>80000</v>
      </c>
      <c r="H41" s="157">
        <v>80000</v>
      </c>
      <c r="I41" s="349"/>
      <c r="J41" s="464"/>
      <c r="K41" s="475" t="s">
        <v>777</v>
      </c>
      <c r="L41" s="1243">
        <f>'plantilla (4)'!B110*2100</f>
        <v>142800</v>
      </c>
      <c r="M41" s="1245">
        <f>SUM('plantilla (4)'!B110*2100)</f>
        <v>142800</v>
      </c>
      <c r="N41" s="1242"/>
    </row>
    <row r="42" spans="1:27" s="347" customFormat="1" ht="14.1" customHeight="1" outlineLevel="1">
      <c r="A42" s="1244" t="s">
        <v>570</v>
      </c>
      <c r="B42" s="1080"/>
      <c r="C42" s="161" t="s">
        <v>569</v>
      </c>
      <c r="D42" s="160">
        <v>6825</v>
      </c>
      <c r="E42" s="158">
        <v>0</v>
      </c>
      <c r="F42" s="238">
        <f t="shared" si="3"/>
        <v>30000</v>
      </c>
      <c r="G42" s="158">
        <v>30000</v>
      </c>
      <c r="H42" s="157">
        <v>30000</v>
      </c>
      <c r="I42" s="349"/>
      <c r="J42" s="464"/>
      <c r="K42" s="475" t="s">
        <v>1135</v>
      </c>
      <c r="L42" s="471">
        <f>SUM(L43-L40-L41)</f>
        <v>90800</v>
      </c>
      <c r="M42" s="1243"/>
      <c r="N42" s="1242"/>
    </row>
    <row r="43" spans="1:27" s="347" customFormat="1" ht="14.1" customHeight="1" outlineLevel="1" thickBot="1">
      <c r="A43" s="163" t="s">
        <v>1134</v>
      </c>
      <c r="B43" s="162"/>
      <c r="C43" s="161" t="s">
        <v>1133</v>
      </c>
      <c r="D43" s="160">
        <v>1439000</v>
      </c>
      <c r="E43" s="158">
        <v>2109291.6</v>
      </c>
      <c r="F43" s="238">
        <f t="shared" si="3"/>
        <v>190708.39999999991</v>
      </c>
      <c r="G43" s="158">
        <v>2300000</v>
      </c>
      <c r="H43" s="157">
        <v>3300000</v>
      </c>
      <c r="I43" s="349"/>
      <c r="J43" s="464"/>
      <c r="K43" s="475" t="s">
        <v>379</v>
      </c>
      <c r="L43" s="474">
        <f>H59</f>
        <v>247200</v>
      </c>
      <c r="M43" s="1243"/>
      <c r="N43" s="1242"/>
    </row>
    <row r="44" spans="1:27" s="347" customFormat="1" ht="14.1" customHeight="1" outlineLevel="1" thickTop="1">
      <c r="A44" s="163" t="s">
        <v>1132</v>
      </c>
      <c r="B44" s="162"/>
      <c r="C44" s="161" t="s">
        <v>1131</v>
      </c>
      <c r="D44" s="160">
        <v>53480</v>
      </c>
      <c r="E44" s="158">
        <v>60060</v>
      </c>
      <c r="F44" s="238">
        <f t="shared" si="3"/>
        <v>7940</v>
      </c>
      <c r="G44" s="158">
        <v>68000</v>
      </c>
      <c r="H44" s="157">
        <v>68000</v>
      </c>
      <c r="I44" s="349"/>
      <c r="J44" s="464"/>
      <c r="K44" s="475" t="s">
        <v>1130</v>
      </c>
      <c r="L44" s="471"/>
    </row>
    <row r="45" spans="1:27" s="347" customFormat="1" ht="14.1" customHeight="1" outlineLevel="1">
      <c r="A45" s="180" t="s">
        <v>397</v>
      </c>
      <c r="B45" s="179"/>
      <c r="C45" s="161" t="s">
        <v>396</v>
      </c>
      <c r="D45" s="160">
        <v>95068.92</v>
      </c>
      <c r="E45" s="158">
        <v>13975.09</v>
      </c>
      <c r="F45" s="238">
        <f t="shared" si="3"/>
        <v>186024.91</v>
      </c>
      <c r="G45" s="158">
        <v>200000</v>
      </c>
      <c r="H45" s="157">
        <v>145000</v>
      </c>
      <c r="I45" s="349"/>
      <c r="J45" s="464"/>
    </row>
    <row r="46" spans="1:27" s="347" customFormat="1" ht="14.1" customHeight="1" outlineLevel="1">
      <c r="A46" s="166" t="s">
        <v>395</v>
      </c>
      <c r="B46" s="177"/>
      <c r="C46" s="174" t="s">
        <v>394</v>
      </c>
      <c r="D46" s="160">
        <v>14540</v>
      </c>
      <c r="E46" s="158">
        <v>11940</v>
      </c>
      <c r="F46" s="238">
        <f t="shared" si="3"/>
        <v>88060</v>
      </c>
      <c r="G46" s="158">
        <v>100000</v>
      </c>
      <c r="H46" s="157">
        <v>100000</v>
      </c>
      <c r="I46" s="349"/>
      <c r="J46" s="464"/>
    </row>
    <row r="47" spans="1:27" s="347" customFormat="1" ht="14.1" customHeight="1" outlineLevel="1">
      <c r="A47" s="178" t="s">
        <v>393</v>
      </c>
      <c r="B47" s="177"/>
      <c r="C47" s="165" t="s">
        <v>392</v>
      </c>
      <c r="D47" s="160">
        <v>2228</v>
      </c>
      <c r="E47" s="158">
        <v>16499</v>
      </c>
      <c r="F47" s="238">
        <f t="shared" si="3"/>
        <v>13501</v>
      </c>
      <c r="G47" s="158">
        <v>30000</v>
      </c>
      <c r="H47" s="157">
        <v>30000</v>
      </c>
      <c r="I47" s="349"/>
      <c r="J47" s="464"/>
    </row>
    <row r="48" spans="1:27" s="347" customFormat="1" ht="14.1" customHeight="1" outlineLevel="1">
      <c r="A48" s="178" t="s">
        <v>391</v>
      </c>
      <c r="B48" s="177"/>
      <c r="C48" s="161" t="s">
        <v>390</v>
      </c>
      <c r="D48" s="160">
        <v>66270.7</v>
      </c>
      <c r="E48" s="158">
        <v>11672.66</v>
      </c>
      <c r="F48" s="238">
        <f t="shared" si="3"/>
        <v>68727.34</v>
      </c>
      <c r="G48" s="158">
        <v>80400</v>
      </c>
      <c r="H48" s="157">
        <v>80400</v>
      </c>
      <c r="I48" s="349"/>
      <c r="J48" s="464"/>
    </row>
    <row r="49" spans="1:10" s="347" customFormat="1" ht="14.1" customHeight="1" outlineLevel="1">
      <c r="A49" s="176" t="s">
        <v>389</v>
      </c>
      <c r="B49" s="175"/>
      <c r="C49" s="174" t="s">
        <v>388</v>
      </c>
      <c r="D49" s="160">
        <v>578656.85</v>
      </c>
      <c r="E49" s="157">
        <v>386700</v>
      </c>
      <c r="F49" s="238">
        <f t="shared" si="3"/>
        <v>445100</v>
      </c>
      <c r="G49" s="158">
        <v>831800</v>
      </c>
      <c r="H49" s="157">
        <v>1044600</v>
      </c>
      <c r="I49" s="349">
        <v>7</v>
      </c>
      <c r="J49" s="464"/>
    </row>
    <row r="50" spans="1:10" s="347" customFormat="1" ht="14.1" customHeight="1" outlineLevel="1">
      <c r="A50" s="166" t="s">
        <v>383</v>
      </c>
      <c r="B50" s="173"/>
      <c r="C50" s="172"/>
      <c r="D50" s="160"/>
      <c r="E50" s="158"/>
      <c r="F50" s="238"/>
      <c r="G50" s="158"/>
      <c r="H50" s="157"/>
      <c r="I50" s="349"/>
      <c r="J50" s="464"/>
    </row>
    <row r="51" spans="1:10" s="347" customFormat="1" ht="14.1" customHeight="1" outlineLevel="1">
      <c r="A51" s="163"/>
      <c r="B51" s="164" t="s">
        <v>386</v>
      </c>
      <c r="C51" s="161" t="s">
        <v>385</v>
      </c>
      <c r="D51" s="160">
        <v>5400</v>
      </c>
      <c r="E51" s="158">
        <v>21600</v>
      </c>
      <c r="F51" s="238">
        <f>SUM(G51-E51)</f>
        <v>38400</v>
      </c>
      <c r="G51" s="158">
        <v>60000</v>
      </c>
      <c r="H51" s="157">
        <v>60000</v>
      </c>
      <c r="I51" s="349"/>
      <c r="J51" s="464"/>
    </row>
    <row r="52" spans="1:10" s="347" customFormat="1" ht="14.1" customHeight="1" outlineLevel="1">
      <c r="A52" s="166" t="s">
        <v>383</v>
      </c>
      <c r="B52" s="173"/>
      <c r="C52" s="172"/>
      <c r="D52" s="160"/>
      <c r="E52" s="158"/>
      <c r="F52" s="238"/>
      <c r="G52" s="158"/>
      <c r="H52" s="157"/>
      <c r="I52" s="349"/>
      <c r="J52" s="464"/>
    </row>
    <row r="53" spans="1:10" s="347" customFormat="1" ht="14.1" customHeight="1" outlineLevel="1">
      <c r="A53" s="163"/>
      <c r="B53" s="164" t="s">
        <v>381</v>
      </c>
      <c r="C53" s="161" t="s">
        <v>380</v>
      </c>
      <c r="D53" s="160">
        <v>55893.75</v>
      </c>
      <c r="E53" s="158">
        <v>36990</v>
      </c>
      <c r="F53" s="238">
        <f>SUM(G53-E53)</f>
        <v>68010</v>
      </c>
      <c r="G53" s="158">
        <v>105000</v>
      </c>
      <c r="H53" s="157">
        <v>50000</v>
      </c>
      <c r="I53" s="349"/>
      <c r="J53" s="464"/>
    </row>
    <row r="54" spans="1:10" s="347" customFormat="1" ht="14.1" customHeight="1" outlineLevel="1">
      <c r="A54" s="166" t="s">
        <v>373</v>
      </c>
      <c r="B54" s="162"/>
      <c r="C54" s="165"/>
      <c r="D54" s="160"/>
      <c r="E54" s="158"/>
      <c r="F54" s="238"/>
      <c r="G54" s="158"/>
      <c r="H54" s="157"/>
      <c r="I54" s="349"/>
      <c r="J54" s="464"/>
    </row>
    <row r="55" spans="1:10" s="347" customFormat="1" ht="14.1" customHeight="1" outlineLevel="1">
      <c r="A55" s="163"/>
      <c r="B55" s="164" t="s">
        <v>377</v>
      </c>
      <c r="C55" s="161" t="s">
        <v>376</v>
      </c>
      <c r="D55" s="160">
        <v>903.75</v>
      </c>
      <c r="E55" s="158">
        <v>0</v>
      </c>
      <c r="F55" s="238">
        <f>SUM(G55-E55)</f>
        <v>80000</v>
      </c>
      <c r="G55" s="158">
        <v>80000</v>
      </c>
      <c r="H55" s="157">
        <v>80000</v>
      </c>
      <c r="I55" s="349"/>
      <c r="J55" s="464"/>
    </row>
    <row r="56" spans="1:10" s="347" customFormat="1" ht="14.1" customHeight="1" outlineLevel="1">
      <c r="A56" s="166" t="s">
        <v>373</v>
      </c>
      <c r="B56" s="162"/>
      <c r="C56" s="165"/>
      <c r="D56" s="160"/>
      <c r="E56" s="158"/>
      <c r="F56" s="238"/>
      <c r="G56" s="158"/>
      <c r="H56" s="157"/>
      <c r="I56" s="349"/>
      <c r="J56" s="464"/>
    </row>
    <row r="57" spans="1:10" s="347" customFormat="1" ht="14.1" customHeight="1" outlineLevel="1">
      <c r="A57" s="163"/>
      <c r="B57" s="164" t="s">
        <v>372</v>
      </c>
      <c r="C57" s="461" t="s">
        <v>371</v>
      </c>
      <c r="D57" s="160">
        <v>61432</v>
      </c>
      <c r="E57" s="158">
        <v>0</v>
      </c>
      <c r="F57" s="238">
        <f>SUM(G57-E57)</f>
        <v>104000</v>
      </c>
      <c r="G57" s="158">
        <v>104000</v>
      </c>
      <c r="H57" s="157">
        <v>104000</v>
      </c>
      <c r="I57" s="349"/>
      <c r="J57" s="464"/>
    </row>
    <row r="58" spans="1:10" s="347" customFormat="1" ht="14.1" customHeight="1" outlineLevel="1">
      <c r="A58" s="163" t="s">
        <v>370</v>
      </c>
      <c r="B58" s="162"/>
      <c r="C58" s="161" t="s">
        <v>369</v>
      </c>
      <c r="D58" s="160">
        <v>178766.25</v>
      </c>
      <c r="E58" s="158">
        <v>36712.5</v>
      </c>
      <c r="F58" s="238">
        <f>SUM(G58-E58)</f>
        <v>168287.5</v>
      </c>
      <c r="G58" s="158">
        <v>205000</v>
      </c>
      <c r="H58" s="157">
        <v>205000</v>
      </c>
      <c r="I58" s="349"/>
      <c r="J58" s="464"/>
    </row>
    <row r="59" spans="1:10" ht="14.1" customHeight="1" outlineLevel="1">
      <c r="A59" s="154" t="s">
        <v>368</v>
      </c>
      <c r="B59" s="153"/>
      <c r="C59" s="174" t="s">
        <v>367</v>
      </c>
      <c r="D59" s="160">
        <v>213795.6</v>
      </c>
      <c r="E59" s="157">
        <v>17930</v>
      </c>
      <c r="F59" s="238">
        <f>SUM(G59-E59)</f>
        <v>232070</v>
      </c>
      <c r="G59" s="157">
        <v>250000</v>
      </c>
      <c r="H59" s="157">
        <v>247200</v>
      </c>
      <c r="I59" s="344"/>
    </row>
    <row r="60" spans="1:10" ht="15" customHeight="1" outlineLevel="2" thickBot="1">
      <c r="A60" s="147" t="s">
        <v>366</v>
      </c>
      <c r="B60" s="731"/>
      <c r="C60" s="146"/>
      <c r="D60" s="546">
        <f>SUM(D12+D36)</f>
        <v>25833544.119999997</v>
      </c>
      <c r="E60" s="546">
        <f>SUM(E12+E36)</f>
        <v>13351092.01</v>
      </c>
      <c r="F60" s="546">
        <f>SUM(F12+F36)</f>
        <v>21941087.990000002</v>
      </c>
      <c r="G60" s="546">
        <f>SUM(G12+G36)</f>
        <v>35292180</v>
      </c>
      <c r="H60" s="1241">
        <f>SUM(H12+H36)</f>
        <v>36632325</v>
      </c>
      <c r="I60" s="340" t="s">
        <v>995</v>
      </c>
    </row>
    <row r="61" spans="1:10" ht="19.149999999999999" customHeight="1" thickTop="1">
      <c r="A61" s="134" t="s">
        <v>364</v>
      </c>
      <c r="C61" s="141" t="s">
        <v>1129</v>
      </c>
      <c r="E61" s="4631" t="s">
        <v>1128</v>
      </c>
      <c r="F61" s="4631"/>
      <c r="G61" s="134"/>
    </row>
    <row r="62" spans="1:10" ht="16.5" customHeight="1">
      <c r="B62" s="134"/>
      <c r="C62" s="141"/>
      <c r="D62" s="134"/>
      <c r="E62" s="134"/>
      <c r="F62" s="134"/>
      <c r="G62" s="134"/>
    </row>
    <row r="63" spans="1:10" s="134" customFormat="1" ht="15.75" customHeight="1">
      <c r="A63" s="139" t="s">
        <v>1127</v>
      </c>
      <c r="C63" s="4635" t="s">
        <v>360</v>
      </c>
      <c r="D63" s="4635"/>
      <c r="E63" s="4630" t="s">
        <v>359</v>
      </c>
      <c r="F63" s="4630"/>
      <c r="G63" s="4630"/>
      <c r="H63" s="4630"/>
      <c r="J63" s="579"/>
    </row>
    <row r="64" spans="1:10" s="135" customFormat="1" ht="11.25" customHeight="1">
      <c r="A64" s="138" t="s">
        <v>1126</v>
      </c>
      <c r="B64" s="136"/>
      <c r="C64" s="4622" t="s">
        <v>357</v>
      </c>
      <c r="D64" s="4622"/>
      <c r="E64" s="4623" t="s">
        <v>356</v>
      </c>
      <c r="F64" s="4623"/>
      <c r="G64" s="4623"/>
      <c r="H64" s="4623"/>
      <c r="I64" s="136"/>
      <c r="J64" s="1056"/>
    </row>
    <row r="65" spans="2:10" s="135" customFormat="1" ht="13.5">
      <c r="B65" s="136"/>
      <c r="C65" s="4621"/>
      <c r="D65" s="4621"/>
      <c r="E65" s="137"/>
      <c r="F65" s="137"/>
      <c r="G65" s="137"/>
      <c r="H65" s="137"/>
      <c r="I65" s="136"/>
      <c r="J65" s="1056"/>
    </row>
    <row r="66" spans="2:10" s="135" customFormat="1" ht="12.75">
      <c r="B66" s="136"/>
      <c r="D66" s="137"/>
      <c r="E66" s="137"/>
      <c r="F66" s="137"/>
      <c r="G66" s="137"/>
      <c r="H66" s="137"/>
      <c r="I66" s="136"/>
      <c r="J66" s="1056"/>
    </row>
    <row r="67" spans="2:10" s="135" customFormat="1" ht="12.75">
      <c r="B67" s="136"/>
      <c r="D67" s="137"/>
      <c r="E67" s="137"/>
      <c r="F67" s="137"/>
      <c r="G67" s="137"/>
      <c r="H67" s="137"/>
      <c r="I67" s="136"/>
      <c r="J67" s="1056"/>
    </row>
    <row r="68" spans="2:10" s="135" customFormat="1" ht="12.75">
      <c r="E68" s="137"/>
      <c r="F68" s="137"/>
      <c r="G68" s="137"/>
      <c r="H68" s="137"/>
      <c r="I68" s="136"/>
      <c r="J68" s="1056"/>
    </row>
    <row r="69" spans="2:10" s="135" customFormat="1" ht="12.75">
      <c r="E69" s="137"/>
      <c r="F69" s="137"/>
      <c r="G69" s="137"/>
      <c r="H69" s="137"/>
      <c r="I69" s="136"/>
      <c r="J69" s="1056"/>
    </row>
    <row r="70" spans="2:10" s="135" customFormat="1" ht="12.75">
      <c r="E70" s="137"/>
      <c r="F70" s="137"/>
      <c r="G70" s="137"/>
      <c r="H70" s="137"/>
      <c r="I70" s="136"/>
      <c r="J70" s="1056"/>
    </row>
    <row r="71" spans="2:10" s="135" customFormat="1" ht="12.75">
      <c r="E71" s="137"/>
      <c r="F71" s="137"/>
      <c r="G71" s="137"/>
      <c r="H71" s="137"/>
      <c r="I71" s="136"/>
      <c r="J71" s="1056"/>
    </row>
    <row r="72" spans="2:10" s="135" customFormat="1" ht="16.5">
      <c r="D72" s="471"/>
      <c r="E72" s="137"/>
      <c r="F72" s="137"/>
      <c r="G72" s="137"/>
      <c r="H72" s="137"/>
      <c r="I72" s="136"/>
      <c r="J72" s="1056"/>
    </row>
    <row r="73" spans="2:10" s="135" customFormat="1" ht="12.75">
      <c r="B73" s="136"/>
      <c r="D73" s="137"/>
      <c r="E73" s="137"/>
      <c r="F73" s="137"/>
      <c r="G73" s="137"/>
      <c r="H73" s="137"/>
      <c r="I73" s="136"/>
      <c r="J73" s="1056"/>
    </row>
    <row r="74" spans="2:10" s="135" customFormat="1" ht="12.75">
      <c r="B74" s="136"/>
      <c r="D74" s="137"/>
      <c r="E74" s="137"/>
      <c r="F74" s="137"/>
      <c r="G74" s="137"/>
      <c r="H74" s="137"/>
      <c r="I74" s="136"/>
      <c r="J74" s="1056"/>
    </row>
    <row r="75" spans="2:10" s="135" customFormat="1" ht="12.75">
      <c r="B75" s="136"/>
      <c r="D75" s="137"/>
      <c r="E75" s="137"/>
      <c r="F75" s="137"/>
      <c r="G75" s="137"/>
      <c r="H75" s="137"/>
      <c r="I75" s="136"/>
      <c r="J75" s="1056"/>
    </row>
    <row r="76" spans="2:10" s="135" customFormat="1" ht="12.75">
      <c r="B76" s="136"/>
      <c r="D76" s="137"/>
      <c r="E76" s="137"/>
      <c r="F76" s="137"/>
      <c r="G76" s="137"/>
      <c r="H76" s="137"/>
      <c r="I76" s="136"/>
      <c r="J76" s="1056"/>
    </row>
    <row r="77" spans="2:10" s="135" customFormat="1" ht="12.75">
      <c r="B77" s="136"/>
      <c r="D77" s="137"/>
      <c r="E77" s="137"/>
      <c r="F77" s="137"/>
      <c r="G77" s="137"/>
      <c r="H77" s="137"/>
      <c r="I77" s="136"/>
      <c r="J77" s="1056"/>
    </row>
    <row r="78" spans="2:10" s="336" customFormat="1" ht="9" customHeight="1">
      <c r="J78" s="1240"/>
    </row>
    <row r="79" spans="2:10" s="336" customFormat="1" ht="9" customHeight="1">
      <c r="J79" s="1240"/>
    </row>
    <row r="80" spans="2:10" s="336" customFormat="1" ht="9" customHeight="1">
      <c r="J80" s="1240"/>
    </row>
    <row r="81" spans="10:10" s="336" customFormat="1" ht="9" customHeight="1">
      <c r="J81" s="1240"/>
    </row>
    <row r="82" spans="10:10" s="336" customFormat="1" ht="9" customHeight="1">
      <c r="J82" s="1240"/>
    </row>
    <row r="83" spans="10:10" s="336" customFormat="1" ht="9.9499999999999993" customHeight="1">
      <c r="J83" s="1240"/>
    </row>
  </sheetData>
  <mergeCells count="10">
    <mergeCell ref="C65:D65"/>
    <mergeCell ref="C64:D64"/>
    <mergeCell ref="E64:H64"/>
    <mergeCell ref="A8:B10"/>
    <mergeCell ref="A3:H3"/>
    <mergeCell ref="A4:H4"/>
    <mergeCell ref="E8:G8"/>
    <mergeCell ref="E61:F61"/>
    <mergeCell ref="C63:D63"/>
    <mergeCell ref="E63:H63"/>
  </mergeCells>
  <pageMargins left="0.5" right="0" top="0.25" bottom="0" header="0.5" footer="0"/>
  <pageSetup paperSize="5"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outlinePr summaryBelow="0"/>
  </sheetPr>
  <dimension ref="A1:DO370"/>
  <sheetViews>
    <sheetView showGridLines="0" showOutlineSymbols="0" zoomScale="110" zoomScaleNormal="110" workbookViewId="0">
      <selection activeCell="E368" sqref="E368"/>
    </sheetView>
  </sheetViews>
  <sheetFormatPr defaultColWidth="12.5703125" defaultRowHeight="12.75" outlineLevelRow="1" outlineLevelCol="2"/>
  <cols>
    <col min="1" max="2" width="10.7109375" style="1256" customWidth="1"/>
    <col min="3" max="3" width="31.140625" style="1256" customWidth="1"/>
    <col min="4" max="4" width="24.42578125" style="1256" customWidth="1"/>
    <col min="5" max="5" width="10.7109375" style="1258" customWidth="1"/>
    <col min="6" max="6" width="15.7109375" style="1256" customWidth="1" outlineLevel="1"/>
    <col min="7" max="7" width="10.7109375" style="1256" customWidth="1" outlineLevel="1"/>
    <col min="8" max="8" width="15.7109375" style="1256" customWidth="1" outlineLevel="1"/>
    <col min="9" max="9" width="12.42578125" style="1256" customWidth="1" outlineLevel="1"/>
    <col min="10" max="10" width="10.140625" style="1257" hidden="1" customWidth="1" outlineLevel="1"/>
    <col min="11" max="11" width="12.5703125" style="1257" hidden="1" customWidth="1" outlineLevel="1"/>
    <col min="12" max="12" width="11" style="1256" hidden="1" customWidth="1" outlineLevel="1"/>
    <col min="13" max="13" width="10.140625" style="1256" hidden="1" customWidth="1" outlineLevel="1"/>
    <col min="14" max="14" width="1.85546875" style="1257" hidden="1" customWidth="1" outlineLevel="1"/>
    <col min="15" max="15" width="11.42578125" style="1256" hidden="1" customWidth="1"/>
    <col min="16" max="29" width="0" style="1256" hidden="1" customWidth="1"/>
    <col min="30" max="106" width="12.5703125" style="1256"/>
    <col min="107" max="110" width="12.5703125" style="1256" outlineLevel="1"/>
    <col min="111" max="116" width="12.5703125" style="1256" outlineLevel="2"/>
    <col min="117" max="119" width="12.5703125" style="1256" outlineLevel="1"/>
    <col min="120" max="16384" width="12.5703125" style="1256"/>
  </cols>
  <sheetData>
    <row r="1" spans="1:18">
      <c r="H1" s="1389" t="s">
        <v>355</v>
      </c>
    </row>
    <row r="2" spans="1:18" ht="12.75" customHeight="1">
      <c r="H2" s="1388" t="s">
        <v>354</v>
      </c>
    </row>
    <row r="3" spans="1:18" ht="15" customHeight="1">
      <c r="A3" s="4727" t="s">
        <v>353</v>
      </c>
      <c r="B3" s="4727"/>
      <c r="C3" s="4727"/>
      <c r="D3" s="4727"/>
      <c r="E3" s="4727"/>
      <c r="F3" s="4727"/>
      <c r="G3" s="4727"/>
      <c r="H3" s="4727"/>
      <c r="I3" s="4727"/>
      <c r="J3" s="1386"/>
      <c r="K3" s="1386"/>
      <c r="L3" s="1387"/>
      <c r="M3" s="1387"/>
      <c r="N3" s="1386"/>
    </row>
    <row r="4" spans="1:18" s="1257" customFormat="1" ht="16.5" customHeight="1">
      <c r="A4" s="4728" t="s">
        <v>352</v>
      </c>
      <c r="B4" s="4728"/>
      <c r="C4" s="4728"/>
      <c r="D4" s="4728"/>
      <c r="E4" s="4728"/>
      <c r="F4" s="4728"/>
      <c r="G4" s="4728"/>
      <c r="H4" s="4728"/>
      <c r="I4" s="4728"/>
      <c r="J4" s="1385"/>
      <c r="K4" s="1385"/>
      <c r="L4" s="1385"/>
      <c r="M4" s="1385"/>
      <c r="N4" s="1385"/>
    </row>
    <row r="5" spans="1:18" ht="13.5" customHeight="1">
      <c r="A5" s="4729" t="s">
        <v>351</v>
      </c>
      <c r="B5" s="4729"/>
      <c r="C5" s="4729"/>
      <c r="D5" s="4729"/>
      <c r="E5" s="4729"/>
      <c r="F5" s="4729"/>
      <c r="G5" s="4729"/>
      <c r="H5" s="4729"/>
      <c r="I5" s="4729"/>
      <c r="J5" s="1383"/>
      <c r="K5" s="1383"/>
      <c r="L5" s="1384"/>
      <c r="M5" s="1384"/>
      <c r="N5" s="1383"/>
    </row>
    <row r="6" spans="1:18" ht="13.9" customHeight="1">
      <c r="A6" s="1380" t="s">
        <v>350</v>
      </c>
      <c r="B6" s="1382" t="s">
        <v>1228</v>
      </c>
      <c r="D6" s="1381"/>
      <c r="G6" s="4730"/>
      <c r="H6" s="4730"/>
      <c r="I6" s="1380"/>
      <c r="J6" s="4730" t="s">
        <v>457</v>
      </c>
      <c r="K6" s="4730"/>
      <c r="L6" s="1380"/>
      <c r="M6" s="1380"/>
      <c r="N6" s="1379"/>
    </row>
    <row r="7" spans="1:18" ht="13.5" customHeight="1">
      <c r="A7" s="1376"/>
      <c r="B7" s="1378"/>
      <c r="C7" s="1377"/>
      <c r="D7" s="1376"/>
      <c r="E7" s="4723" t="s">
        <v>348</v>
      </c>
      <c r="F7" s="4724"/>
      <c r="G7" s="4723" t="s">
        <v>347</v>
      </c>
      <c r="H7" s="4724"/>
      <c r="I7" s="1363"/>
      <c r="J7" s="4725" t="s">
        <v>347</v>
      </c>
      <c r="K7" s="4726"/>
      <c r="L7" s="1369"/>
      <c r="M7" s="1369"/>
      <c r="N7" s="1368"/>
    </row>
    <row r="8" spans="1:18" ht="13.5" customHeight="1">
      <c r="A8" s="1373"/>
      <c r="B8" s="1372"/>
      <c r="C8" s="1371"/>
      <c r="D8" s="1370"/>
      <c r="E8" s="4731" t="s">
        <v>346</v>
      </c>
      <c r="F8" s="4732"/>
      <c r="G8" s="4731" t="s">
        <v>345</v>
      </c>
      <c r="H8" s="4732"/>
      <c r="I8" s="1359"/>
      <c r="J8" s="4733" t="s">
        <v>345</v>
      </c>
      <c r="K8" s="4734"/>
      <c r="L8" s="1375"/>
      <c r="M8" s="1375"/>
      <c r="N8" s="1374"/>
    </row>
    <row r="9" spans="1:18" ht="13.5" customHeight="1">
      <c r="A9" s="1373"/>
      <c r="B9" s="1372"/>
      <c r="C9" s="1371"/>
      <c r="D9" s="1370"/>
      <c r="E9" s="4731" t="s">
        <v>344</v>
      </c>
      <c r="F9" s="4732"/>
      <c r="G9" s="4731" t="s">
        <v>344</v>
      </c>
      <c r="H9" s="4732"/>
      <c r="I9" s="1362"/>
      <c r="J9" s="4733" t="s">
        <v>344</v>
      </c>
      <c r="K9" s="4734"/>
      <c r="L9" s="1369"/>
      <c r="M9" s="1369"/>
      <c r="N9" s="1368"/>
    </row>
    <row r="10" spans="1:18" ht="13.5" customHeight="1">
      <c r="A10" s="4731" t="s">
        <v>343</v>
      </c>
      <c r="B10" s="4732"/>
      <c r="C10" s="1362" t="s">
        <v>342</v>
      </c>
      <c r="D10" s="1360" t="s">
        <v>341</v>
      </c>
      <c r="E10" s="1361" t="s">
        <v>339</v>
      </c>
      <c r="F10" s="1367"/>
      <c r="G10" s="1361" t="s">
        <v>339</v>
      </c>
      <c r="H10" s="1367"/>
      <c r="I10" s="1362" t="s">
        <v>340</v>
      </c>
      <c r="J10" s="1358" t="s">
        <v>339</v>
      </c>
      <c r="K10" s="1366"/>
      <c r="L10" s="4738" t="s">
        <v>338</v>
      </c>
      <c r="M10" s="4739"/>
      <c r="N10" s="1365"/>
      <c r="O10" s="4738" t="s">
        <v>338</v>
      </c>
      <c r="P10" s="4739"/>
    </row>
    <row r="11" spans="1:18" ht="14.25" customHeight="1">
      <c r="A11" s="1364" t="s">
        <v>337</v>
      </c>
      <c r="B11" s="1363" t="s">
        <v>336</v>
      </c>
      <c r="C11" s="1362"/>
      <c r="D11" s="1360"/>
      <c r="E11" s="1361" t="s">
        <v>334</v>
      </c>
      <c r="F11" s="1360" t="s">
        <v>333</v>
      </c>
      <c r="G11" s="1361" t="s">
        <v>334</v>
      </c>
      <c r="H11" s="1360" t="s">
        <v>333</v>
      </c>
      <c r="I11" s="1359" t="s">
        <v>335</v>
      </c>
      <c r="J11" s="1358" t="s">
        <v>334</v>
      </c>
      <c r="K11" s="1357" t="s">
        <v>333</v>
      </c>
      <c r="L11" s="4735" t="s">
        <v>1227</v>
      </c>
      <c r="M11" s="4735"/>
      <c r="N11" s="1356"/>
    </row>
    <row r="12" spans="1:18" s="1345" customFormat="1" ht="14.25" customHeight="1">
      <c r="A12" s="1355" t="s">
        <v>331</v>
      </c>
      <c r="B12" s="1354" t="s">
        <v>330</v>
      </c>
      <c r="C12" s="1354" t="s">
        <v>329</v>
      </c>
      <c r="D12" s="1353" t="s">
        <v>328</v>
      </c>
      <c r="E12" s="1353" t="s">
        <v>327</v>
      </c>
      <c r="F12" s="1354" t="s">
        <v>326</v>
      </c>
      <c r="G12" s="1353" t="s">
        <v>324</v>
      </c>
      <c r="H12" s="1353" t="s">
        <v>323</v>
      </c>
      <c r="I12" s="1353" t="s">
        <v>325</v>
      </c>
      <c r="J12" s="1352" t="s">
        <v>324</v>
      </c>
      <c r="K12" s="1351" t="s">
        <v>323</v>
      </c>
      <c r="L12" s="1350" t="s">
        <v>322</v>
      </c>
      <c r="M12" s="1349" t="s">
        <v>321</v>
      </c>
      <c r="N12" s="1348"/>
      <c r="O12" s="1347" t="s">
        <v>322</v>
      </c>
      <c r="P12" s="1346" t="s">
        <v>321</v>
      </c>
    </row>
    <row r="13" spans="1:18" ht="13.15" customHeight="1" outlineLevel="1">
      <c r="A13" s="1344" t="s">
        <v>320</v>
      </c>
      <c r="B13" s="1344" t="s">
        <v>320</v>
      </c>
      <c r="C13" s="1300" t="s">
        <v>940</v>
      </c>
      <c r="D13" s="1310" t="s">
        <v>1226</v>
      </c>
      <c r="E13" s="1336" t="s">
        <v>45</v>
      </c>
      <c r="F13" s="67">
        <v>1164396</v>
      </c>
      <c r="G13" s="1336" t="s">
        <v>44</v>
      </c>
      <c r="H13" s="1298">
        <f>VLOOKUP(G13,$A$102:$B$341,2,FALSE)*12</f>
        <v>1183416</v>
      </c>
      <c r="I13" s="1343">
        <f>SUM(H13-F13)</f>
        <v>19020</v>
      </c>
      <c r="J13" s="1336" t="s">
        <v>44</v>
      </c>
      <c r="K13" s="67">
        <f>IF(J13="ABOLISHED",0, (VLOOKUP(J13,$A$64:$C313,3,FALSE)*12))</f>
        <v>1183416</v>
      </c>
      <c r="L13" s="1257">
        <f>H13/12</f>
        <v>98618</v>
      </c>
      <c r="M13" s="1294">
        <f>IF(L13&lt;=80000,SUM(L13*4%)/2,1600)</f>
        <v>1600</v>
      </c>
      <c r="N13" s="1294"/>
      <c r="O13" s="1257">
        <f>K13/12</f>
        <v>98618</v>
      </c>
      <c r="P13" s="1294">
        <f>IF(O13&lt;=80000,SUM(O13*4%)/2,1600)</f>
        <v>1600</v>
      </c>
      <c r="R13" s="1256">
        <f>SUM(O13-L13)</f>
        <v>0</v>
      </c>
    </row>
    <row r="14" spans="1:18" s="1257" customFormat="1" ht="13.15" customHeight="1" outlineLevel="1">
      <c r="A14" s="1301" t="s">
        <v>314</v>
      </c>
      <c r="B14" s="1301" t="s">
        <v>314</v>
      </c>
      <c r="C14" s="1300" t="s">
        <v>1225</v>
      </c>
      <c r="D14" s="1299" t="s">
        <v>1224</v>
      </c>
      <c r="E14" s="1341" t="s">
        <v>63</v>
      </c>
      <c r="F14" s="67">
        <v>876744</v>
      </c>
      <c r="G14" s="1341" t="s">
        <v>63</v>
      </c>
      <c r="H14" s="1298">
        <f>VLOOKUP(G14,$A$102:$B$341,2,FALSE)*12</f>
        <v>876744</v>
      </c>
      <c r="I14" s="1297">
        <f>SUM(H14-F14)</f>
        <v>0</v>
      </c>
      <c r="J14" s="1341" t="s">
        <v>63</v>
      </c>
      <c r="K14" s="67">
        <f>IF(J14="ABOLISHED",0, (VLOOKUP(J14,$A$64:$C314,3,FALSE)*12))</f>
        <v>876744</v>
      </c>
      <c r="L14" s="1257">
        <f>H14/12</f>
        <v>73062</v>
      </c>
      <c r="M14" s="1294">
        <f>IF(L14&lt;=80000,SUM(L14*4%)/2,1600)</f>
        <v>1461.24</v>
      </c>
      <c r="N14" s="1294"/>
      <c r="O14" s="1257">
        <f>K14/12</f>
        <v>73062</v>
      </c>
      <c r="P14" s="1294">
        <f>IF(O14&lt;=80000,SUM(O14*4%)/2,1600)</f>
        <v>1461.24</v>
      </c>
      <c r="R14" s="1256">
        <f>SUM(O14-L14)</f>
        <v>0</v>
      </c>
    </row>
    <row r="15" spans="1:18" s="1257" customFormat="1" ht="13.15" customHeight="1" outlineLevel="1">
      <c r="A15" s="1301"/>
      <c r="B15" s="1301"/>
      <c r="C15" s="1315" t="s">
        <v>1223</v>
      </c>
      <c r="D15" s="1342"/>
      <c r="E15" s="1341"/>
      <c r="F15" s="1298"/>
      <c r="G15" s="1341"/>
      <c r="H15" s="1298"/>
      <c r="I15" s="1297"/>
      <c r="J15" s="1341"/>
      <c r="K15" s="1298"/>
      <c r="M15" s="1294"/>
      <c r="N15" s="1294"/>
      <c r="P15" s="1294"/>
      <c r="R15" s="1256"/>
    </row>
    <row r="16" spans="1:18" s="1257" customFormat="1" ht="13.15" customHeight="1" outlineLevel="1">
      <c r="A16" s="1301" t="s">
        <v>311</v>
      </c>
      <c r="B16" s="1301"/>
      <c r="C16" s="1300" t="s">
        <v>1222</v>
      </c>
      <c r="D16" s="1299" t="s">
        <v>245</v>
      </c>
      <c r="E16" s="1341" t="s">
        <v>70</v>
      </c>
      <c r="F16" s="67">
        <v>792084</v>
      </c>
      <c r="G16" s="1341" t="s">
        <v>597</v>
      </c>
      <c r="H16" s="1298"/>
      <c r="I16" s="1297">
        <f>SUM(H16-F16)</f>
        <v>-792084</v>
      </c>
      <c r="J16" s="1341" t="s">
        <v>597</v>
      </c>
      <c r="K16" s="67">
        <f>IF(J16="ABOLISHED",0, (VLOOKUP(J16,$A$64:$C316,3,FALSE)*12))</f>
        <v>0</v>
      </c>
      <c r="L16" s="1257">
        <f>H16/12</f>
        <v>0</v>
      </c>
      <c r="M16" s="1294">
        <f>IF(L16&lt;=80000,SUM(L16*4%)/2,1600)</f>
        <v>0</v>
      </c>
      <c r="N16" s="1294"/>
      <c r="O16" s="1257">
        <f>K16/12</f>
        <v>0</v>
      </c>
      <c r="P16" s="1294">
        <f>IF(O16&lt;=80000,SUM(O16*4%)/2,1600)</f>
        <v>0</v>
      </c>
      <c r="R16" s="1256">
        <f>SUM(O16-L16)</f>
        <v>0</v>
      </c>
    </row>
    <row r="17" spans="1:18" s="1257" customFormat="1" ht="13.15" customHeight="1" outlineLevel="1">
      <c r="A17" s="1301" t="s">
        <v>307</v>
      </c>
      <c r="B17" s="1301" t="s">
        <v>311</v>
      </c>
      <c r="C17" s="1300" t="s">
        <v>1182</v>
      </c>
      <c r="D17" s="1337" t="s">
        <v>1221</v>
      </c>
      <c r="E17" s="1341" t="s">
        <v>119</v>
      </c>
      <c r="F17" s="67">
        <v>417564</v>
      </c>
      <c r="G17" s="1341" t="s">
        <v>119</v>
      </c>
      <c r="H17" s="1298">
        <f>VLOOKUP(G17,$A$102:$B$341,2,FALSE)*12</f>
        <v>417564</v>
      </c>
      <c r="I17" s="1297">
        <f>SUM(H17-F17)</f>
        <v>0</v>
      </c>
      <c r="J17" s="1341" t="s">
        <v>119</v>
      </c>
      <c r="K17" s="67">
        <f>IF(J17="ABOLISHED",0, (VLOOKUP(J17,$A$64:$C317,3,FALSE)*12))</f>
        <v>417564</v>
      </c>
      <c r="L17" s="1257">
        <f>H17/12</f>
        <v>34797</v>
      </c>
      <c r="M17" s="1294">
        <f>IF(L17&lt;=80000,SUM(L17*4%)/2,1600)</f>
        <v>695.94</v>
      </c>
      <c r="N17" s="1294"/>
      <c r="O17" s="1257">
        <f>K17/12</f>
        <v>34797</v>
      </c>
      <c r="P17" s="1294">
        <f>IF(O17&lt;=80000,SUM(O17*4%)/2,1600)</f>
        <v>695.94</v>
      </c>
      <c r="R17" s="1256">
        <f>SUM(O17-L17)</f>
        <v>0</v>
      </c>
    </row>
    <row r="18" spans="1:18" s="1257" customFormat="1" ht="13.15" customHeight="1" outlineLevel="1">
      <c r="A18" s="1301"/>
      <c r="B18" s="1301"/>
      <c r="C18" s="1315" t="s">
        <v>1220</v>
      </c>
      <c r="D18" s="1342"/>
      <c r="E18" s="1341"/>
      <c r="F18" s="1298"/>
      <c r="G18" s="1341"/>
      <c r="H18" s="1298"/>
      <c r="I18" s="1297"/>
      <c r="J18" s="1341"/>
      <c r="K18" s="1298"/>
      <c r="M18" s="1294" t="s">
        <v>256</v>
      </c>
      <c r="N18" s="1294"/>
      <c r="P18" s="1294" t="s">
        <v>256</v>
      </c>
      <c r="R18" s="1256"/>
    </row>
    <row r="19" spans="1:18" s="1257" customFormat="1" ht="13.15" customHeight="1" outlineLevel="1">
      <c r="A19" s="1301" t="s">
        <v>304</v>
      </c>
      <c r="B19" s="1301"/>
      <c r="C19" s="1340" t="s">
        <v>1219</v>
      </c>
      <c r="D19" s="1337" t="s">
        <v>245</v>
      </c>
      <c r="E19" s="1318" t="s">
        <v>132</v>
      </c>
      <c r="F19" s="67">
        <v>363024</v>
      </c>
      <c r="G19" s="1318" t="s">
        <v>597</v>
      </c>
      <c r="H19" s="1298"/>
      <c r="I19" s="1297">
        <f t="shared" ref="I19:I29" si="0">SUM(H19-F19)</f>
        <v>-363024</v>
      </c>
      <c r="J19" s="1318" t="s">
        <v>597</v>
      </c>
      <c r="K19" s="67">
        <f>IF(J19="ABOLISHED",0, (VLOOKUP(J19,$A$64:$C319,3,FALSE)*12))</f>
        <v>0</v>
      </c>
      <c r="L19" s="1257">
        <f t="shared" ref="L19:L29" si="1">H19/12</f>
        <v>0</v>
      </c>
      <c r="M19" s="1294">
        <f t="shared" ref="M19:M29" si="2">IF(L19&lt;=80000,SUM(L19*4%)/2,1600)</f>
        <v>0</v>
      </c>
      <c r="N19" s="1294"/>
      <c r="O19" s="1257">
        <f t="shared" ref="O19:O29" si="3">K19/12</f>
        <v>0</v>
      </c>
      <c r="P19" s="1294">
        <f t="shared" ref="P19:P29" si="4">IF(O19&lt;=80000,SUM(O19*4%)/2,1600)</f>
        <v>0</v>
      </c>
      <c r="R19" s="1256">
        <f t="shared" ref="R19:R29" si="5">SUM(O19-L19)</f>
        <v>0</v>
      </c>
    </row>
    <row r="20" spans="1:18" s="1257" customFormat="1" ht="13.15" customHeight="1" outlineLevel="1">
      <c r="A20" s="1301" t="s">
        <v>308</v>
      </c>
      <c r="B20" s="1301" t="s">
        <v>307</v>
      </c>
      <c r="C20" s="1300" t="s">
        <v>1216</v>
      </c>
      <c r="D20" s="1299" t="s">
        <v>1218</v>
      </c>
      <c r="E20" s="1318" t="s">
        <v>208</v>
      </c>
      <c r="F20" s="67">
        <v>173184</v>
      </c>
      <c r="G20" s="1318" t="s">
        <v>208</v>
      </c>
      <c r="H20" s="1298">
        <f t="shared" ref="H20:H29" si="6">VLOOKUP(G20,$A$102:$B$341,2,FALSE)*12</f>
        <v>173184</v>
      </c>
      <c r="I20" s="1297">
        <f t="shared" si="0"/>
        <v>0</v>
      </c>
      <c r="J20" s="1318" t="s">
        <v>208</v>
      </c>
      <c r="K20" s="67">
        <f>IF(J20="ABOLISHED",0, (VLOOKUP(J20,$A$64:$C320,3,FALSE)*12))</f>
        <v>173184</v>
      </c>
      <c r="L20" s="1257">
        <f t="shared" si="1"/>
        <v>14432</v>
      </c>
      <c r="M20" s="1294">
        <f t="shared" si="2"/>
        <v>288.64</v>
      </c>
      <c r="N20" s="1294"/>
      <c r="O20" s="1257">
        <f t="shared" si="3"/>
        <v>14432</v>
      </c>
      <c r="P20" s="1294">
        <f t="shared" si="4"/>
        <v>288.64</v>
      </c>
      <c r="R20" s="1256">
        <f t="shared" si="5"/>
        <v>0</v>
      </c>
    </row>
    <row r="21" spans="1:18" s="1257" customFormat="1" ht="13.15" customHeight="1" outlineLevel="1">
      <c r="A21" s="1301" t="s">
        <v>294</v>
      </c>
      <c r="B21" s="1301" t="s">
        <v>304</v>
      </c>
      <c r="C21" s="1300" t="s">
        <v>1216</v>
      </c>
      <c r="D21" s="1299" t="s">
        <v>1217</v>
      </c>
      <c r="E21" s="1318" t="s">
        <v>209</v>
      </c>
      <c r="F21" s="67">
        <v>171876</v>
      </c>
      <c r="G21" s="1318" t="s">
        <v>209</v>
      </c>
      <c r="H21" s="1298">
        <f t="shared" si="6"/>
        <v>171876</v>
      </c>
      <c r="I21" s="1297">
        <f t="shared" si="0"/>
        <v>0</v>
      </c>
      <c r="J21" s="1318" t="s">
        <v>209</v>
      </c>
      <c r="K21" s="67">
        <f>IF(J21="ABOLISHED",0, (VLOOKUP(J21,$A$64:$C321,3,FALSE)*12))</f>
        <v>171876</v>
      </c>
      <c r="L21" s="1257">
        <f t="shared" si="1"/>
        <v>14323</v>
      </c>
      <c r="M21" s="1294">
        <f t="shared" si="2"/>
        <v>286.45999999999998</v>
      </c>
      <c r="N21" s="1294"/>
      <c r="O21" s="1257">
        <f t="shared" si="3"/>
        <v>14323</v>
      </c>
      <c r="P21" s="1294">
        <f t="shared" si="4"/>
        <v>286.45999999999998</v>
      </c>
      <c r="R21" s="1256">
        <f t="shared" si="5"/>
        <v>0</v>
      </c>
    </row>
    <row r="22" spans="1:18" s="1257" customFormat="1" ht="13.15" customHeight="1" outlineLevel="1">
      <c r="A22" s="1301" t="s">
        <v>297</v>
      </c>
      <c r="B22" s="1301" t="s">
        <v>308</v>
      </c>
      <c r="C22" s="1300" t="s">
        <v>1216</v>
      </c>
      <c r="D22" s="1299" t="s">
        <v>1215</v>
      </c>
      <c r="E22" s="1318" t="s">
        <v>209</v>
      </c>
      <c r="F22" s="67">
        <v>171876</v>
      </c>
      <c r="G22" s="1318" t="s">
        <v>209</v>
      </c>
      <c r="H22" s="1298">
        <f t="shared" si="6"/>
        <v>171876</v>
      </c>
      <c r="I22" s="1297">
        <f t="shared" si="0"/>
        <v>0</v>
      </c>
      <c r="J22" s="1318" t="s">
        <v>209</v>
      </c>
      <c r="K22" s="67">
        <f>IF(J22="ABOLISHED",0, (VLOOKUP(J22,$A$64:$C322,3,FALSE)*12))</f>
        <v>171876</v>
      </c>
      <c r="L22" s="1257">
        <f t="shared" si="1"/>
        <v>14323</v>
      </c>
      <c r="M22" s="1294">
        <f t="shared" si="2"/>
        <v>286.45999999999998</v>
      </c>
      <c r="N22" s="1294"/>
      <c r="O22" s="1257">
        <f t="shared" si="3"/>
        <v>14323</v>
      </c>
      <c r="P22" s="1294">
        <f t="shared" si="4"/>
        <v>286.45999999999998</v>
      </c>
      <c r="R22" s="1256">
        <f t="shared" si="5"/>
        <v>0</v>
      </c>
    </row>
    <row r="23" spans="1:18" s="1257" customFormat="1" ht="13.15" customHeight="1" outlineLevel="1">
      <c r="A23" s="1301" t="s">
        <v>290</v>
      </c>
      <c r="B23" s="1301" t="s">
        <v>294</v>
      </c>
      <c r="C23" s="1300" t="s">
        <v>1212</v>
      </c>
      <c r="D23" s="1299" t="s">
        <v>1214</v>
      </c>
      <c r="E23" s="1311" t="s">
        <v>215</v>
      </c>
      <c r="F23" s="67">
        <v>164160</v>
      </c>
      <c r="G23" s="1311" t="s">
        <v>215</v>
      </c>
      <c r="H23" s="1298">
        <f t="shared" si="6"/>
        <v>164160</v>
      </c>
      <c r="I23" s="1297">
        <f t="shared" si="0"/>
        <v>0</v>
      </c>
      <c r="J23" s="1311" t="s">
        <v>215</v>
      </c>
      <c r="K23" s="67">
        <f>IF(J23="ABOLISHED",0, (VLOOKUP(J23,$A$64:$C323,3,FALSE)*12))</f>
        <v>164160</v>
      </c>
      <c r="L23" s="1257">
        <f t="shared" si="1"/>
        <v>13680</v>
      </c>
      <c r="M23" s="1294">
        <f t="shared" si="2"/>
        <v>273.60000000000002</v>
      </c>
      <c r="N23" s="1294"/>
      <c r="O23" s="1257">
        <f t="shared" si="3"/>
        <v>13680</v>
      </c>
      <c r="P23" s="1294">
        <f t="shared" si="4"/>
        <v>273.60000000000002</v>
      </c>
      <c r="R23" s="1256">
        <f t="shared" si="5"/>
        <v>0</v>
      </c>
    </row>
    <row r="24" spans="1:18" s="1257" customFormat="1" ht="13.15" customHeight="1" outlineLevel="1">
      <c r="A24" s="1301" t="s">
        <v>286</v>
      </c>
      <c r="B24" s="1301" t="s">
        <v>301</v>
      </c>
      <c r="C24" s="1300" t="s">
        <v>1212</v>
      </c>
      <c r="D24" s="1299" t="s">
        <v>1213</v>
      </c>
      <c r="E24" s="1311" t="s">
        <v>215</v>
      </c>
      <c r="F24" s="67">
        <v>164160</v>
      </c>
      <c r="G24" s="1311" t="s">
        <v>215</v>
      </c>
      <c r="H24" s="1298">
        <f t="shared" si="6"/>
        <v>164160</v>
      </c>
      <c r="I24" s="1297">
        <f t="shared" si="0"/>
        <v>0</v>
      </c>
      <c r="J24" s="1311" t="s">
        <v>215</v>
      </c>
      <c r="K24" s="67">
        <f>IF(J24="ABOLISHED",0, (VLOOKUP(J24,$A$64:$C324,3,FALSE)*12))</f>
        <v>164160</v>
      </c>
      <c r="L24" s="1257">
        <f t="shared" si="1"/>
        <v>13680</v>
      </c>
      <c r="M24" s="1294">
        <f t="shared" si="2"/>
        <v>273.60000000000002</v>
      </c>
      <c r="N24" s="1294"/>
      <c r="O24" s="1257">
        <f t="shared" si="3"/>
        <v>13680</v>
      </c>
      <c r="P24" s="1294">
        <f t="shared" si="4"/>
        <v>273.60000000000002</v>
      </c>
      <c r="R24" s="1256">
        <f t="shared" si="5"/>
        <v>0</v>
      </c>
    </row>
    <row r="25" spans="1:18" s="1257" customFormat="1" ht="13.15" customHeight="1" outlineLevel="1">
      <c r="A25" s="1301" t="s">
        <v>301</v>
      </c>
      <c r="B25" s="1301" t="s">
        <v>297</v>
      </c>
      <c r="C25" s="1300" t="s">
        <v>1212</v>
      </c>
      <c r="D25" s="1299" t="s">
        <v>245</v>
      </c>
      <c r="E25" s="1311" t="s">
        <v>215</v>
      </c>
      <c r="F25" s="67">
        <v>164160</v>
      </c>
      <c r="G25" s="1311" t="s">
        <v>215</v>
      </c>
      <c r="H25" s="1298">
        <f t="shared" si="6"/>
        <v>164160</v>
      </c>
      <c r="I25" s="1297">
        <f t="shared" si="0"/>
        <v>0</v>
      </c>
      <c r="J25" s="1311" t="s">
        <v>215</v>
      </c>
      <c r="K25" s="67">
        <f>IF(J25="ABOLISHED",0, (VLOOKUP(J25,$A$64:$C325,3,FALSE)*12))</f>
        <v>164160</v>
      </c>
      <c r="L25" s="1257">
        <f t="shared" si="1"/>
        <v>13680</v>
      </c>
      <c r="M25" s="1294">
        <f t="shared" si="2"/>
        <v>273.60000000000002</v>
      </c>
      <c r="N25" s="1294"/>
      <c r="O25" s="1257">
        <f t="shared" si="3"/>
        <v>13680</v>
      </c>
      <c r="P25" s="1294">
        <f t="shared" si="4"/>
        <v>273.60000000000002</v>
      </c>
      <c r="R25" s="1256">
        <f t="shared" si="5"/>
        <v>0</v>
      </c>
    </row>
    <row r="26" spans="1:18" s="1257" customFormat="1" ht="13.15" customHeight="1" outlineLevel="1">
      <c r="A26" s="1301" t="s">
        <v>283</v>
      </c>
      <c r="B26" s="1301" t="s">
        <v>290</v>
      </c>
      <c r="C26" s="1300" t="s">
        <v>1208</v>
      </c>
      <c r="D26" s="1299" t="s">
        <v>1211</v>
      </c>
      <c r="E26" s="1311" t="s">
        <v>208</v>
      </c>
      <c r="F26" s="67">
        <v>173184</v>
      </c>
      <c r="G26" s="1311" t="s">
        <v>208</v>
      </c>
      <c r="H26" s="1298">
        <f t="shared" si="6"/>
        <v>173184</v>
      </c>
      <c r="I26" s="1297">
        <f t="shared" si="0"/>
        <v>0</v>
      </c>
      <c r="J26" s="1311" t="s">
        <v>208</v>
      </c>
      <c r="K26" s="67">
        <f>IF(J26="ABOLISHED",0, (VLOOKUP(J26,$A$64:$C326,3,FALSE)*12))</f>
        <v>173184</v>
      </c>
      <c r="L26" s="1257">
        <f t="shared" si="1"/>
        <v>14432</v>
      </c>
      <c r="M26" s="1294">
        <f t="shared" si="2"/>
        <v>288.64</v>
      </c>
      <c r="N26" s="1294"/>
      <c r="O26" s="1257">
        <f t="shared" si="3"/>
        <v>14432</v>
      </c>
      <c r="P26" s="1294">
        <f t="shared" si="4"/>
        <v>288.64</v>
      </c>
      <c r="R26" s="1256">
        <f t="shared" si="5"/>
        <v>0</v>
      </c>
    </row>
    <row r="27" spans="1:18" s="1257" customFormat="1" ht="13.15" customHeight="1" outlineLevel="1">
      <c r="A27" s="1301" t="s">
        <v>280</v>
      </c>
      <c r="B27" s="1301" t="s">
        <v>286</v>
      </c>
      <c r="C27" s="1300" t="s">
        <v>1208</v>
      </c>
      <c r="D27" s="1299" t="s">
        <v>1210</v>
      </c>
      <c r="E27" s="1311" t="s">
        <v>215</v>
      </c>
      <c r="F27" s="67">
        <v>164160</v>
      </c>
      <c r="G27" s="1311" t="s">
        <v>215</v>
      </c>
      <c r="H27" s="1298">
        <f t="shared" si="6"/>
        <v>164160</v>
      </c>
      <c r="I27" s="1297">
        <f t="shared" si="0"/>
        <v>0</v>
      </c>
      <c r="J27" s="1311" t="s">
        <v>215</v>
      </c>
      <c r="K27" s="67">
        <f>IF(J27="ABOLISHED",0, (VLOOKUP(J27,$A$64:$C327,3,FALSE)*12))</f>
        <v>164160</v>
      </c>
      <c r="L27" s="1257">
        <f t="shared" si="1"/>
        <v>13680</v>
      </c>
      <c r="M27" s="1294">
        <f t="shared" si="2"/>
        <v>273.60000000000002</v>
      </c>
      <c r="N27" s="1294"/>
      <c r="O27" s="1257">
        <f t="shared" si="3"/>
        <v>13680</v>
      </c>
      <c r="P27" s="1294">
        <f t="shared" si="4"/>
        <v>273.60000000000002</v>
      </c>
      <c r="R27" s="1256">
        <f t="shared" si="5"/>
        <v>0</v>
      </c>
    </row>
    <row r="28" spans="1:18" s="1257" customFormat="1" ht="13.15" customHeight="1" outlineLevel="1">
      <c r="A28" s="1301" t="s">
        <v>278</v>
      </c>
      <c r="B28" s="1301" t="s">
        <v>283</v>
      </c>
      <c r="C28" s="1300" t="s">
        <v>1208</v>
      </c>
      <c r="D28" s="1299" t="s">
        <v>1209</v>
      </c>
      <c r="E28" s="1311" t="s">
        <v>215</v>
      </c>
      <c r="F28" s="67">
        <v>164160</v>
      </c>
      <c r="G28" s="1311" t="s">
        <v>215</v>
      </c>
      <c r="H28" s="1298">
        <f t="shared" si="6"/>
        <v>164160</v>
      </c>
      <c r="I28" s="1297">
        <f t="shared" si="0"/>
        <v>0</v>
      </c>
      <c r="J28" s="1311" t="s">
        <v>215</v>
      </c>
      <c r="K28" s="67">
        <f>IF(J28="ABOLISHED",0, (VLOOKUP(J28,$A$64:$C328,3,FALSE)*12))</f>
        <v>164160</v>
      </c>
      <c r="L28" s="1257">
        <f t="shared" si="1"/>
        <v>13680</v>
      </c>
      <c r="M28" s="1294">
        <f t="shared" si="2"/>
        <v>273.60000000000002</v>
      </c>
      <c r="N28" s="1294"/>
      <c r="O28" s="1257">
        <f t="shared" si="3"/>
        <v>13680</v>
      </c>
      <c r="P28" s="1294">
        <f t="shared" si="4"/>
        <v>273.60000000000002</v>
      </c>
      <c r="R28" s="1256">
        <f t="shared" si="5"/>
        <v>0</v>
      </c>
    </row>
    <row r="29" spans="1:18" s="1257" customFormat="1" ht="13.15" customHeight="1" outlineLevel="1">
      <c r="A29" s="1301" t="s">
        <v>275</v>
      </c>
      <c r="B29" s="1301" t="s">
        <v>280</v>
      </c>
      <c r="C29" s="1300" t="s">
        <v>1208</v>
      </c>
      <c r="D29" s="1299" t="s">
        <v>1207</v>
      </c>
      <c r="E29" s="1311" t="s">
        <v>215</v>
      </c>
      <c r="F29" s="67">
        <v>164160</v>
      </c>
      <c r="G29" s="1311" t="s">
        <v>215</v>
      </c>
      <c r="H29" s="1298">
        <f t="shared" si="6"/>
        <v>164160</v>
      </c>
      <c r="I29" s="1297">
        <f t="shared" si="0"/>
        <v>0</v>
      </c>
      <c r="J29" s="1311" t="s">
        <v>215</v>
      </c>
      <c r="K29" s="67">
        <f>IF(J29="ABOLISHED",0, (VLOOKUP(J29,$A$64:$C329,3,FALSE)*12))</f>
        <v>164160</v>
      </c>
      <c r="L29" s="1257">
        <f t="shared" si="1"/>
        <v>13680</v>
      </c>
      <c r="M29" s="1294">
        <f t="shared" si="2"/>
        <v>273.60000000000002</v>
      </c>
      <c r="N29" s="1294"/>
      <c r="O29" s="1257">
        <f t="shared" si="3"/>
        <v>13680</v>
      </c>
      <c r="P29" s="1294">
        <f t="shared" si="4"/>
        <v>273.60000000000002</v>
      </c>
      <c r="R29" s="1256">
        <f t="shared" si="5"/>
        <v>0</v>
      </c>
    </row>
    <row r="30" spans="1:18" s="1257" customFormat="1" ht="13.15" customHeight="1" outlineLevel="1">
      <c r="A30" s="1301"/>
      <c r="B30" s="1301"/>
      <c r="C30" s="1315" t="s">
        <v>1206</v>
      </c>
      <c r="D30" s="1314"/>
      <c r="E30" s="1311"/>
      <c r="F30" s="1298"/>
      <c r="G30" s="1311"/>
      <c r="H30" s="1298"/>
      <c r="I30" s="1297"/>
      <c r="J30" s="1311"/>
      <c r="K30" s="1298"/>
      <c r="M30" s="1294" t="s">
        <v>256</v>
      </c>
      <c r="N30" s="1294"/>
      <c r="P30" s="1294" t="s">
        <v>256</v>
      </c>
      <c r="R30" s="1256"/>
    </row>
    <row r="31" spans="1:18" s="1257" customFormat="1" ht="12" customHeight="1" outlineLevel="1">
      <c r="A31" s="1301" t="s">
        <v>272</v>
      </c>
      <c r="B31" s="1301" t="s">
        <v>278</v>
      </c>
      <c r="C31" s="1300" t="s">
        <v>1205</v>
      </c>
      <c r="D31" s="1310" t="s">
        <v>1204</v>
      </c>
      <c r="E31" s="1296" t="s">
        <v>158</v>
      </c>
      <c r="F31" s="67">
        <v>275436</v>
      </c>
      <c r="G31" s="1296" t="s">
        <v>158</v>
      </c>
      <c r="H31" s="1298">
        <f>VLOOKUP(G31,$A$102:$B$341,2,FALSE)*12</f>
        <v>275436</v>
      </c>
      <c r="I31" s="1297">
        <f>SUM(H31-F31)</f>
        <v>0</v>
      </c>
      <c r="J31" s="1296" t="s">
        <v>158</v>
      </c>
      <c r="K31" s="67">
        <f>IF(J31="ABOLISHED",0, (VLOOKUP(J31,$A$64:$C332,3,FALSE)*12))</f>
        <v>275436</v>
      </c>
      <c r="L31" s="1257">
        <f>H31/12</f>
        <v>22953</v>
      </c>
      <c r="M31" s="1294">
        <f>IF(L31&lt;=80000,SUM(L31*4%)/2,1600)</f>
        <v>459.06</v>
      </c>
      <c r="N31" s="1294"/>
      <c r="O31" s="1257">
        <f>K31/12</f>
        <v>22953</v>
      </c>
      <c r="P31" s="1294">
        <f>IF(O31&lt;=80000,SUM(O31*4%)/2,1600)</f>
        <v>459.06</v>
      </c>
      <c r="R31" s="1256">
        <f>SUM(O31-L31)</f>
        <v>0</v>
      </c>
    </row>
    <row r="32" spans="1:18" s="1257" customFormat="1" ht="12" customHeight="1" outlineLevel="1">
      <c r="A32" s="1325" t="s">
        <v>265</v>
      </c>
      <c r="B32" s="1301"/>
      <c r="C32" s="1324" t="s">
        <v>1203</v>
      </c>
      <c r="D32" s="1339" t="s">
        <v>245</v>
      </c>
      <c r="E32" s="1326" t="s">
        <v>159</v>
      </c>
      <c r="F32" s="67">
        <v>272196</v>
      </c>
      <c r="G32" s="1326" t="s">
        <v>597</v>
      </c>
      <c r="H32" s="1322"/>
      <c r="I32" s="1321">
        <f>SUM(H32-F32)</f>
        <v>-272196</v>
      </c>
      <c r="J32" s="1326" t="s">
        <v>597</v>
      </c>
      <c r="K32" s="67">
        <f>IF(J32="ABOLISHED",0, (VLOOKUP(J32,$A$64:$C331,3,FALSE)*12))</f>
        <v>0</v>
      </c>
      <c r="L32" s="1257">
        <f>H32/12</f>
        <v>0</v>
      </c>
      <c r="M32" s="1294">
        <f>IF(L32&lt;=80000,SUM(L32*4%)/2,1600)</f>
        <v>0</v>
      </c>
      <c r="N32" s="1294"/>
      <c r="O32" s="1257">
        <f>K32/12</f>
        <v>0</v>
      </c>
      <c r="P32" s="1294">
        <f>IF(O32&lt;=80000,SUM(O32*4%)/2,1600)</f>
        <v>0</v>
      </c>
      <c r="R32" s="1257">
        <f>SUM(O32-L32)</f>
        <v>0</v>
      </c>
    </row>
    <row r="33" spans="1:18" s="1257" customFormat="1" ht="13.15" customHeight="1" outlineLevel="1">
      <c r="A33" s="1301" t="s">
        <v>262</v>
      </c>
      <c r="B33" s="1301" t="s">
        <v>275</v>
      </c>
      <c r="C33" s="1300" t="s">
        <v>1202</v>
      </c>
      <c r="D33" s="1299" t="s">
        <v>1201</v>
      </c>
      <c r="E33" s="1311" t="s">
        <v>196</v>
      </c>
      <c r="F33" s="67">
        <v>188976</v>
      </c>
      <c r="G33" s="1311" t="s">
        <v>195</v>
      </c>
      <c r="H33" s="1298">
        <f>VLOOKUP(G33,$A$102:$B$341,2,FALSE)*12</f>
        <v>190428</v>
      </c>
      <c r="I33" s="1297">
        <f>SUM(H33-F33)</f>
        <v>1452</v>
      </c>
      <c r="J33" s="1311" t="s">
        <v>195</v>
      </c>
      <c r="K33" s="67">
        <f>IF(J33="ABOLISHED",0, (VLOOKUP(J33,$A$64:$C333,3,FALSE)*12))</f>
        <v>190428</v>
      </c>
      <c r="L33" s="1257">
        <f>H33/12</f>
        <v>15869</v>
      </c>
      <c r="M33" s="1294">
        <f>IF(L33&lt;=80000,SUM(L33*4%)/2,1600)</f>
        <v>317.38</v>
      </c>
      <c r="N33" s="1294"/>
      <c r="O33" s="1257">
        <f>K33/12</f>
        <v>15869</v>
      </c>
      <c r="P33" s="1294">
        <f>IF(O33&lt;=80000,SUM(O33*4%)/2,1600)</f>
        <v>317.38</v>
      </c>
      <c r="R33" s="1256">
        <f>SUM(O33-L33)</f>
        <v>0</v>
      </c>
    </row>
    <row r="34" spans="1:18" s="1257" customFormat="1" ht="13.15" customHeight="1" outlineLevel="1">
      <c r="A34" s="1301" t="s">
        <v>1002</v>
      </c>
      <c r="B34" s="1301" t="s">
        <v>272</v>
      </c>
      <c r="C34" s="1300" t="s">
        <v>1200</v>
      </c>
      <c r="D34" s="1299" t="s">
        <v>1199</v>
      </c>
      <c r="E34" s="1318" t="s">
        <v>212</v>
      </c>
      <c r="F34" s="67">
        <v>167976</v>
      </c>
      <c r="G34" s="1318" t="s">
        <v>212</v>
      </c>
      <c r="H34" s="1298">
        <f>VLOOKUP(G34,$A$102:$B$341,2,FALSE)*12</f>
        <v>167976</v>
      </c>
      <c r="I34" s="1297">
        <f>SUM(H34-F34)</f>
        <v>0</v>
      </c>
      <c r="J34" s="1318" t="s">
        <v>212</v>
      </c>
      <c r="K34" s="67">
        <f>IF(J34="ABOLISHED",0, (VLOOKUP(J34,$A$64:$C334,3,FALSE)*12))</f>
        <v>167976</v>
      </c>
      <c r="L34" s="1257">
        <f>H34/12</f>
        <v>13998</v>
      </c>
      <c r="M34" s="1294">
        <f>IF(L34&lt;=80000,SUM(L34*4%)/2,1600)</f>
        <v>279.95999999999998</v>
      </c>
      <c r="N34" s="1294"/>
      <c r="O34" s="1257">
        <f>K34/12</f>
        <v>13998</v>
      </c>
      <c r="P34" s="1294">
        <f>IF(O34&lt;=80000,SUM(O34*4%)/2,1600)</f>
        <v>279.95999999999998</v>
      </c>
      <c r="R34" s="1256">
        <f>SUM(O34-L34)</f>
        <v>0</v>
      </c>
    </row>
    <row r="35" spans="1:18" s="1257" customFormat="1" ht="13.15" customHeight="1" outlineLevel="1">
      <c r="A35" s="1301"/>
      <c r="B35" s="1301" t="s">
        <v>268</v>
      </c>
      <c r="C35" s="1300" t="s">
        <v>603</v>
      </c>
      <c r="D35" s="1310" t="s">
        <v>245</v>
      </c>
      <c r="E35" s="1296"/>
      <c r="F35" s="67"/>
      <c r="G35" s="1296" t="s">
        <v>223</v>
      </c>
      <c r="H35" s="1298">
        <f>VLOOKUP(G35,$A$102:$B$341,2,FALSE)*12</f>
        <v>154716</v>
      </c>
      <c r="I35" s="1297">
        <f>SUM(H35-F35)</f>
        <v>154716</v>
      </c>
      <c r="J35" s="1296" t="s">
        <v>223</v>
      </c>
      <c r="K35" s="67">
        <f>IF(J35="ABOLISHED",0, (VLOOKUP(J35,$A$64:$C374,3,FALSE)*12))</f>
        <v>154716</v>
      </c>
      <c r="L35" s="1257">
        <f>H35/12</f>
        <v>12893</v>
      </c>
      <c r="M35" s="1294">
        <f>IF(L35&lt;=80000,SUM(L35*4%)/2,1600)</f>
        <v>257.86</v>
      </c>
      <c r="N35" s="1295"/>
      <c r="O35" s="1257">
        <f>K35/12</f>
        <v>12893</v>
      </c>
      <c r="P35" s="1294">
        <f>IF(O35&lt;=80000,SUM(O35*4%)/2,1600)</f>
        <v>257.86</v>
      </c>
      <c r="R35" s="1256">
        <f>SUM(O35-L35)</f>
        <v>0</v>
      </c>
    </row>
    <row r="36" spans="1:18" s="1257" customFormat="1" ht="13.15" customHeight="1" outlineLevel="1">
      <c r="A36" s="1301"/>
      <c r="B36" s="1301"/>
      <c r="C36" s="1315" t="s">
        <v>1198</v>
      </c>
      <c r="D36" s="1314"/>
      <c r="E36" s="1311"/>
      <c r="F36" s="1298"/>
      <c r="G36" s="1311"/>
      <c r="H36" s="1298"/>
      <c r="I36" s="1297"/>
      <c r="J36" s="1311"/>
      <c r="K36" s="1298"/>
      <c r="M36" s="1294" t="s">
        <v>256</v>
      </c>
      <c r="N36" s="1294"/>
      <c r="P36" s="1294" t="s">
        <v>256</v>
      </c>
      <c r="R36" s="1256"/>
    </row>
    <row r="37" spans="1:18" s="1257" customFormat="1" ht="13.15" customHeight="1" outlineLevel="1">
      <c r="A37" s="1301" t="s">
        <v>260</v>
      </c>
      <c r="B37" s="1301" t="s">
        <v>265</v>
      </c>
      <c r="C37" s="1300" t="s">
        <v>1197</v>
      </c>
      <c r="D37" s="1299" t="s">
        <v>1196</v>
      </c>
      <c r="E37" s="1338" t="s">
        <v>115</v>
      </c>
      <c r="F37" s="67">
        <v>436884</v>
      </c>
      <c r="G37" s="1338" t="s">
        <v>115</v>
      </c>
      <c r="H37" s="1298">
        <f>VLOOKUP(G37,$A$102:$B$341,2,FALSE)*12</f>
        <v>436884</v>
      </c>
      <c r="I37" s="1297">
        <f>SUM(H37-F37)</f>
        <v>0</v>
      </c>
      <c r="J37" s="1338" t="s">
        <v>115</v>
      </c>
      <c r="K37" s="67">
        <f>IF(J37="ABOLISHED",0, (VLOOKUP(J37,$A$64:$C336,3,FALSE)*12))</f>
        <v>436884</v>
      </c>
      <c r="L37" s="1257">
        <f>H37/12</f>
        <v>36407</v>
      </c>
      <c r="M37" s="1294">
        <f>IF(L37&lt;=80000,SUM(L37*4%)/2,1600)</f>
        <v>728.14</v>
      </c>
      <c r="N37" s="1294"/>
      <c r="O37" s="1257">
        <f>K37/12</f>
        <v>36407</v>
      </c>
      <c r="P37" s="1294">
        <f>IF(O37&lt;=80000,SUM(O37*4%)/2,1600)</f>
        <v>728.14</v>
      </c>
      <c r="R37" s="1256">
        <f>SUM(O37-L37)</f>
        <v>0</v>
      </c>
    </row>
    <row r="38" spans="1:18" s="1257" customFormat="1" ht="13.15" customHeight="1" outlineLevel="1">
      <c r="A38" s="1301" t="s">
        <v>254</v>
      </c>
      <c r="B38" s="1301"/>
      <c r="C38" s="1312" t="s">
        <v>913</v>
      </c>
      <c r="D38" s="1337" t="s">
        <v>245</v>
      </c>
      <c r="E38" s="1296" t="s">
        <v>151</v>
      </c>
      <c r="F38" s="67">
        <v>296988</v>
      </c>
      <c r="G38" s="1296" t="s">
        <v>597</v>
      </c>
      <c r="H38" s="1298">
        <v>0</v>
      </c>
      <c r="I38" s="1297">
        <f>SUM(H38-F38)</f>
        <v>-296988</v>
      </c>
      <c r="J38" s="1296" t="s">
        <v>597</v>
      </c>
      <c r="K38" s="67">
        <f>IF(J38="ABOLISHED",0, (VLOOKUP(J38,$A$64:$C338,3,FALSE)*12))</f>
        <v>0</v>
      </c>
      <c r="L38" s="1257">
        <f>H38/12</f>
        <v>0</v>
      </c>
      <c r="M38" s="1294">
        <f>IF(L38&lt;=80000,SUM(L38*4%)/2,1600)</f>
        <v>0</v>
      </c>
      <c r="N38" s="1294"/>
      <c r="O38" s="1257">
        <f>K38/12</f>
        <v>0</v>
      </c>
      <c r="P38" s="1294">
        <f>IF(O38&lt;=80000,SUM(O38*4%)/2,1600)</f>
        <v>0</v>
      </c>
      <c r="R38" s="1256">
        <f>SUM(O38-L38)</f>
        <v>0</v>
      </c>
    </row>
    <row r="39" spans="1:18" s="1257" customFormat="1" ht="12" customHeight="1" outlineLevel="1">
      <c r="A39" s="1301" t="s">
        <v>255</v>
      </c>
      <c r="B39" s="1301" t="s">
        <v>262</v>
      </c>
      <c r="C39" s="1300" t="s">
        <v>1195</v>
      </c>
      <c r="D39" s="1310" t="s">
        <v>1194</v>
      </c>
      <c r="E39" s="1311" t="s">
        <v>215</v>
      </c>
      <c r="F39" s="67">
        <v>164160</v>
      </c>
      <c r="G39" s="1311" t="s">
        <v>214</v>
      </c>
      <c r="H39" s="1298">
        <f>VLOOKUP(G39,$A$102:$B$341,2,FALSE)*12</f>
        <v>165420</v>
      </c>
      <c r="I39" s="1297">
        <f>SUM(H39-F39)</f>
        <v>1260</v>
      </c>
      <c r="J39" s="1311" t="s">
        <v>214</v>
      </c>
      <c r="K39" s="67">
        <f>IF(J39="ABOLISHED",0, (VLOOKUP(J39,$A$64:$C339,3,FALSE)*12))</f>
        <v>165420</v>
      </c>
      <c r="L39" s="1257">
        <f>H39/12</f>
        <v>13785</v>
      </c>
      <c r="M39" s="1294">
        <f>IF(L39&lt;=80000,SUM(L39*4%)/2,1600)</f>
        <v>275.7</v>
      </c>
      <c r="N39" s="1294"/>
      <c r="O39" s="1257">
        <f>K39/12</f>
        <v>13785</v>
      </c>
      <c r="P39" s="1294">
        <f>IF(O39&lt;=80000,SUM(O39*4%)/2,1600)</f>
        <v>275.7</v>
      </c>
      <c r="R39" s="1256">
        <f>SUM(O39-L39)</f>
        <v>0</v>
      </c>
    </row>
    <row r="40" spans="1:18" s="1257" customFormat="1" ht="13.15" customHeight="1" outlineLevel="1">
      <c r="A40" s="1301" t="s">
        <v>1034</v>
      </c>
      <c r="B40" s="1301" t="s">
        <v>260</v>
      </c>
      <c r="C40" s="1300" t="s">
        <v>603</v>
      </c>
      <c r="D40" s="1310" t="s">
        <v>245</v>
      </c>
      <c r="E40" s="1296" t="s">
        <v>223</v>
      </c>
      <c r="F40" s="67">
        <v>154716</v>
      </c>
      <c r="G40" s="1296" t="s">
        <v>223</v>
      </c>
      <c r="H40" s="1298">
        <f>VLOOKUP(G40,$A$102:$B$341,2,FALSE)*12</f>
        <v>154716</v>
      </c>
      <c r="I40" s="1297">
        <f>SUM(H40-F40)</f>
        <v>0</v>
      </c>
      <c r="J40" s="1296" t="s">
        <v>223</v>
      </c>
      <c r="K40" s="67">
        <f>IF(J40="ABOLISHED",0, (VLOOKUP(J40,$A$64:$C379,3,FALSE)*12))</f>
        <v>154716</v>
      </c>
      <c r="L40" s="1257">
        <f>H40/12</f>
        <v>12893</v>
      </c>
      <c r="M40" s="1294">
        <f>IF(L40&lt;=80000,SUM(L40*4%)/2,1600)</f>
        <v>257.86</v>
      </c>
      <c r="N40" s="1295"/>
      <c r="O40" s="1257">
        <f>K40/12</f>
        <v>12893</v>
      </c>
      <c r="P40" s="1294">
        <f>IF(O40&lt;=80000,SUM(O40*4%)/2,1600)</f>
        <v>257.86</v>
      </c>
      <c r="R40" s="1256">
        <f>SUM(O40-L40)</f>
        <v>0</v>
      </c>
    </row>
    <row r="41" spans="1:18" s="1257" customFormat="1" ht="13.15" customHeight="1" outlineLevel="1">
      <c r="A41" s="1301" t="s">
        <v>1004</v>
      </c>
      <c r="B41" s="1301" t="s">
        <v>254</v>
      </c>
      <c r="C41" s="1300" t="s">
        <v>603</v>
      </c>
      <c r="D41" s="1310" t="s">
        <v>1163</v>
      </c>
      <c r="E41" s="1296"/>
      <c r="F41" s="67"/>
      <c r="G41" s="1296" t="s">
        <v>223</v>
      </c>
      <c r="H41" s="1298">
        <f>VLOOKUP(G41,$A$102:$B$341,2,FALSE)*12</f>
        <v>154716</v>
      </c>
      <c r="I41" s="1297">
        <f>SUM(H41-F41)</f>
        <v>154716</v>
      </c>
      <c r="J41" s="1296" t="s">
        <v>223</v>
      </c>
      <c r="K41" s="67">
        <f>IF(J41="ABOLISHED",0, (VLOOKUP(J41,$A$64:$C351,3,FALSE)*12))</f>
        <v>154716</v>
      </c>
      <c r="L41" s="1257">
        <f>H41/12</f>
        <v>12893</v>
      </c>
      <c r="M41" s="1294">
        <f>IF(L41&lt;=80000,SUM(L41*4%)/2,1600)</f>
        <v>257.86</v>
      </c>
      <c r="N41" s="1295"/>
      <c r="O41" s="1257">
        <f>K41/12</f>
        <v>12893</v>
      </c>
      <c r="P41" s="1294">
        <f>IF(O41&lt;=80000,SUM(O41*4%)/2,1600)</f>
        <v>257.86</v>
      </c>
      <c r="R41" s="1256">
        <f>SUM(O41-L41)</f>
        <v>0</v>
      </c>
    </row>
    <row r="42" spans="1:18" s="1257" customFormat="1" ht="13.15" customHeight="1" outlineLevel="1">
      <c r="A42" s="1301"/>
      <c r="B42" s="1301"/>
      <c r="C42" s="1315" t="s">
        <v>1193</v>
      </c>
      <c r="D42" s="1314"/>
      <c r="E42" s="1311"/>
      <c r="F42" s="1298"/>
      <c r="G42" s="1311"/>
      <c r="H42" s="1298"/>
      <c r="I42" s="1297"/>
      <c r="J42" s="1311"/>
      <c r="K42" s="1298"/>
      <c r="M42" s="1294" t="s">
        <v>256</v>
      </c>
      <c r="N42" s="1294"/>
      <c r="P42" s="1294" t="s">
        <v>256</v>
      </c>
      <c r="R42" s="1256"/>
    </row>
    <row r="43" spans="1:18" s="1257" customFormat="1" ht="13.15" customHeight="1" outlineLevel="1">
      <c r="A43" s="1301" t="s">
        <v>250</v>
      </c>
      <c r="B43" s="1301" t="s">
        <v>255</v>
      </c>
      <c r="C43" s="1300" t="s">
        <v>1192</v>
      </c>
      <c r="D43" s="1299" t="s">
        <v>1191</v>
      </c>
      <c r="E43" s="1336" t="s">
        <v>155</v>
      </c>
      <c r="F43" s="67">
        <v>285432</v>
      </c>
      <c r="G43" s="1336" t="s">
        <v>155</v>
      </c>
      <c r="H43" s="1298">
        <f>VLOOKUP(G43,$A$102:$B$341,2,FALSE)*12</f>
        <v>285432</v>
      </c>
      <c r="I43" s="1297">
        <f t="shared" ref="I43:I49" si="7">SUM(H43-F43)</f>
        <v>0</v>
      </c>
      <c r="J43" s="1336" t="s">
        <v>155</v>
      </c>
      <c r="K43" s="67">
        <f>IF(J43="ABOLISHED",0, (VLOOKUP(J43,$A$64:$C341,3,FALSE)*12))</f>
        <v>285432</v>
      </c>
      <c r="L43" s="1257">
        <f t="shared" ref="L43:L49" si="8">H43/12</f>
        <v>23786</v>
      </c>
      <c r="M43" s="1294">
        <f t="shared" ref="M43:M49" si="9">IF(L43&lt;=80000,SUM(L43*4%)/2,1600)</f>
        <v>475.72</v>
      </c>
      <c r="N43" s="1294"/>
      <c r="O43" s="1257">
        <f t="shared" ref="O43:O49" si="10">K43/12</f>
        <v>23786</v>
      </c>
      <c r="P43" s="1294">
        <f t="shared" ref="P43:P49" si="11">IF(O43&lt;=80000,SUM(O43*4%)/2,1600)</f>
        <v>475.72</v>
      </c>
      <c r="R43" s="1256">
        <f t="shared" ref="R43:R49" si="12">SUM(O43-L43)</f>
        <v>0</v>
      </c>
    </row>
    <row r="44" spans="1:18" s="1257" customFormat="1" ht="13.15" customHeight="1" outlineLevel="1">
      <c r="A44" s="1301" t="s">
        <v>247</v>
      </c>
      <c r="B44" s="1301"/>
      <c r="C44" s="1300" t="s">
        <v>1190</v>
      </c>
      <c r="D44" s="1299" t="s">
        <v>245</v>
      </c>
      <c r="E44" s="1311" t="s">
        <v>183</v>
      </c>
      <c r="F44" s="67">
        <v>208056</v>
      </c>
      <c r="G44" s="1311" t="s">
        <v>597</v>
      </c>
      <c r="H44" s="1298">
        <v>0</v>
      </c>
      <c r="I44" s="1297">
        <f t="shared" si="7"/>
        <v>-208056</v>
      </c>
      <c r="J44" s="1311" t="s">
        <v>597</v>
      </c>
      <c r="K44" s="67">
        <f>IF(J44="ABOLISHED",0, (VLOOKUP(J44,$A$64:$C342,3,FALSE)*12))</f>
        <v>0</v>
      </c>
      <c r="L44" s="1257">
        <f t="shared" si="8"/>
        <v>0</v>
      </c>
      <c r="M44" s="1294">
        <f t="shared" si="9"/>
        <v>0</v>
      </c>
      <c r="N44" s="1294"/>
      <c r="O44" s="1257">
        <f t="shared" si="10"/>
        <v>0</v>
      </c>
      <c r="P44" s="1294">
        <f t="shared" si="11"/>
        <v>0</v>
      </c>
      <c r="R44" s="1256">
        <f t="shared" si="12"/>
        <v>0</v>
      </c>
    </row>
    <row r="45" spans="1:18" s="1257" customFormat="1" ht="13.15" customHeight="1" outlineLevel="1">
      <c r="A45" s="1301" t="s">
        <v>502</v>
      </c>
      <c r="B45" s="1301" t="s">
        <v>250</v>
      </c>
      <c r="C45" s="1300" t="s">
        <v>1176</v>
      </c>
      <c r="D45" s="1299" t="s">
        <v>1189</v>
      </c>
      <c r="E45" s="1311" t="s">
        <v>200</v>
      </c>
      <c r="F45" s="67">
        <v>183708</v>
      </c>
      <c r="G45" s="1311" t="s">
        <v>200</v>
      </c>
      <c r="H45" s="1298">
        <f>VLOOKUP(G45,$A$102:$B$341,2,FALSE)*12</f>
        <v>183708</v>
      </c>
      <c r="I45" s="1297">
        <f t="shared" si="7"/>
        <v>0</v>
      </c>
      <c r="J45" s="1311" t="s">
        <v>200</v>
      </c>
      <c r="K45" s="67">
        <f>IF(J45="ABOLISHED",0, (VLOOKUP(J45,$A$64:$C344,3,FALSE)*12))</f>
        <v>183708</v>
      </c>
      <c r="L45" s="1257">
        <f t="shared" si="8"/>
        <v>15309</v>
      </c>
      <c r="M45" s="1294">
        <f t="shared" si="9"/>
        <v>306.18</v>
      </c>
      <c r="N45" s="1294"/>
      <c r="O45" s="1257">
        <f t="shared" si="10"/>
        <v>15309</v>
      </c>
      <c r="P45" s="1294">
        <f t="shared" si="11"/>
        <v>306.18</v>
      </c>
      <c r="R45" s="1256">
        <f t="shared" si="12"/>
        <v>0</v>
      </c>
    </row>
    <row r="46" spans="1:18" s="1257" customFormat="1" ht="13.15" customHeight="1" outlineLevel="1">
      <c r="A46" s="1301" t="s">
        <v>302</v>
      </c>
      <c r="B46" s="1301" t="s">
        <v>247</v>
      </c>
      <c r="C46" s="1300" t="s">
        <v>1176</v>
      </c>
      <c r="D46" s="1299" t="s">
        <v>1188</v>
      </c>
      <c r="E46" s="1318" t="s">
        <v>203</v>
      </c>
      <c r="F46" s="67">
        <v>179556</v>
      </c>
      <c r="G46" s="1318" t="s">
        <v>203</v>
      </c>
      <c r="H46" s="1298">
        <f>VLOOKUP(G46,$A$102:$B$341,2,FALSE)*12</f>
        <v>179556</v>
      </c>
      <c r="I46" s="1297">
        <f t="shared" si="7"/>
        <v>0</v>
      </c>
      <c r="J46" s="1318" t="s">
        <v>203</v>
      </c>
      <c r="K46" s="67">
        <f>IF(J46="ABOLISHED",0, (VLOOKUP(J46,$A$64:$C345,3,FALSE)*12))</f>
        <v>179556</v>
      </c>
      <c r="L46" s="1257">
        <f t="shared" si="8"/>
        <v>14963</v>
      </c>
      <c r="M46" s="1294">
        <f t="shared" si="9"/>
        <v>299.26</v>
      </c>
      <c r="N46" s="1294"/>
      <c r="O46" s="1257">
        <f t="shared" si="10"/>
        <v>14963</v>
      </c>
      <c r="P46" s="1294">
        <f t="shared" si="11"/>
        <v>299.26</v>
      </c>
      <c r="R46" s="1256">
        <f t="shared" si="12"/>
        <v>0</v>
      </c>
    </row>
    <row r="47" spans="1:18" s="1257" customFormat="1" ht="13.15" customHeight="1" outlineLevel="1">
      <c r="A47" s="1301" t="s">
        <v>507</v>
      </c>
      <c r="B47" s="1301" t="s">
        <v>302</v>
      </c>
      <c r="C47" s="1300" t="s">
        <v>1176</v>
      </c>
      <c r="D47" s="1299" t="s">
        <v>245</v>
      </c>
      <c r="E47" s="1318" t="s">
        <v>200</v>
      </c>
      <c r="F47" s="67">
        <v>183708</v>
      </c>
      <c r="G47" s="1318" t="s">
        <v>207</v>
      </c>
      <c r="H47" s="1298">
        <f>VLOOKUP(G47,$A$102:$B$341,2,FALSE)*12</f>
        <v>174132</v>
      </c>
      <c r="I47" s="1297">
        <f t="shared" si="7"/>
        <v>-9576</v>
      </c>
      <c r="J47" s="1318" t="s">
        <v>207</v>
      </c>
      <c r="K47" s="67">
        <f>IF(J47="ABOLISHED",0, (VLOOKUP(J47,$A$64:$C343,3,FALSE)*12))</f>
        <v>174132</v>
      </c>
      <c r="L47" s="1257">
        <f t="shared" si="8"/>
        <v>14511</v>
      </c>
      <c r="M47" s="1294">
        <f t="shared" si="9"/>
        <v>290.22000000000003</v>
      </c>
      <c r="N47" s="1294"/>
      <c r="O47" s="1257">
        <f t="shared" si="10"/>
        <v>14511</v>
      </c>
      <c r="P47" s="1294">
        <f t="shared" si="11"/>
        <v>290.22000000000003</v>
      </c>
      <c r="R47" s="1256">
        <f t="shared" si="12"/>
        <v>0</v>
      </c>
    </row>
    <row r="48" spans="1:18" s="1257" customFormat="1" ht="13.15" customHeight="1" outlineLevel="1">
      <c r="A48" s="1301" t="s">
        <v>1018</v>
      </c>
      <c r="B48" s="1301" t="s">
        <v>507</v>
      </c>
      <c r="C48" s="1300" t="s">
        <v>1176</v>
      </c>
      <c r="D48" s="1299" t="s">
        <v>245</v>
      </c>
      <c r="E48" s="1318"/>
      <c r="F48" s="67"/>
      <c r="G48" s="1318" t="s">
        <v>223</v>
      </c>
      <c r="H48" s="1298">
        <f>VLOOKUP(G48,$A$102:$B$341,2,FALSE)*12</f>
        <v>154716</v>
      </c>
      <c r="I48" s="1297">
        <f t="shared" si="7"/>
        <v>154716</v>
      </c>
      <c r="J48" s="1318" t="s">
        <v>223</v>
      </c>
      <c r="K48" s="67">
        <f>IF(J48="ABOLISHED",0, (VLOOKUP(J48,$A$64:$C344,3,FALSE)*12))</f>
        <v>154716</v>
      </c>
      <c r="L48" s="1257">
        <f t="shared" si="8"/>
        <v>12893</v>
      </c>
      <c r="M48" s="1294">
        <f t="shared" si="9"/>
        <v>257.86</v>
      </c>
      <c r="N48" s="1294"/>
      <c r="O48" s="1257">
        <f t="shared" si="10"/>
        <v>12893</v>
      </c>
      <c r="P48" s="1294">
        <f t="shared" si="11"/>
        <v>257.86</v>
      </c>
      <c r="R48" s="1256">
        <f t="shared" si="12"/>
        <v>0</v>
      </c>
    </row>
    <row r="49" spans="1:18" s="1257" customFormat="1" ht="13.15" customHeight="1" outlineLevel="1">
      <c r="A49" s="1301" t="s">
        <v>1014</v>
      </c>
      <c r="B49" s="1301" t="s">
        <v>502</v>
      </c>
      <c r="C49" s="1300" t="s">
        <v>1165</v>
      </c>
      <c r="D49" s="1299" t="s">
        <v>245</v>
      </c>
      <c r="E49" s="1318"/>
      <c r="F49" s="67"/>
      <c r="G49" s="1318" t="s">
        <v>223</v>
      </c>
      <c r="H49" s="1298">
        <f>VLOOKUP(G49,$A$102:$B$341,2,FALSE)*12</f>
        <v>154716</v>
      </c>
      <c r="I49" s="1297">
        <f t="shared" si="7"/>
        <v>154716</v>
      </c>
      <c r="J49" s="1318" t="s">
        <v>223</v>
      </c>
      <c r="K49" s="67">
        <f>IF(J49="ABOLISHED",0, (VLOOKUP(J49,$A$64:$C345,3,FALSE)*12))</f>
        <v>154716</v>
      </c>
      <c r="L49" s="1257">
        <f t="shared" si="8"/>
        <v>12893</v>
      </c>
      <c r="M49" s="1294">
        <f t="shared" si="9"/>
        <v>257.86</v>
      </c>
      <c r="N49" s="1294"/>
      <c r="O49" s="1257">
        <f t="shared" si="10"/>
        <v>12893</v>
      </c>
      <c r="P49" s="1294">
        <f t="shared" si="11"/>
        <v>257.86</v>
      </c>
      <c r="R49" s="1256">
        <f t="shared" si="12"/>
        <v>0</v>
      </c>
    </row>
    <row r="50" spans="1:18" s="1257" customFormat="1" ht="13.15" customHeight="1" outlineLevel="1">
      <c r="A50" s="1301"/>
      <c r="B50" s="1325"/>
      <c r="C50" s="1315" t="s">
        <v>1187</v>
      </c>
      <c r="D50" s="1299"/>
      <c r="E50" s="1296"/>
      <c r="F50" s="1298"/>
      <c r="G50" s="1296"/>
      <c r="H50" s="1298"/>
      <c r="I50" s="1297"/>
      <c r="J50" s="1296"/>
      <c r="K50" s="1298"/>
      <c r="M50" s="1294"/>
      <c r="N50" s="1294"/>
      <c r="P50" s="1294"/>
      <c r="R50" s="1256"/>
    </row>
    <row r="51" spans="1:18" s="1257" customFormat="1" ht="13.15" customHeight="1" outlineLevel="1">
      <c r="A51" s="1301" t="s">
        <v>501</v>
      </c>
      <c r="B51" s="1325" t="s">
        <v>498</v>
      </c>
      <c r="C51" s="1300" t="s">
        <v>1186</v>
      </c>
      <c r="D51" s="1299" t="s">
        <v>1185</v>
      </c>
      <c r="E51" s="1296" t="s">
        <v>100</v>
      </c>
      <c r="F51" s="67">
        <v>515388</v>
      </c>
      <c r="G51" s="1296" t="s">
        <v>99</v>
      </c>
      <c r="H51" s="1298">
        <f>VLOOKUP(G51,$A$102:$B$341,2,FALSE)*12</f>
        <v>521340</v>
      </c>
      <c r="I51" s="1297">
        <f>SUM(H51-F51)</f>
        <v>5952</v>
      </c>
      <c r="J51" s="1296" t="s">
        <v>99</v>
      </c>
      <c r="K51" s="67">
        <f>IF(J51="ABOLISHED",0, (VLOOKUP(J51,$A$64:$C350,3,FALSE)*12))</f>
        <v>521340</v>
      </c>
      <c r="L51" s="1257">
        <f>H51/12</f>
        <v>43445</v>
      </c>
      <c r="M51" s="1294">
        <f>IF(L51&lt;=80000,SUM(L51*4%)/2,1600)</f>
        <v>868.9</v>
      </c>
      <c r="N51" s="1294"/>
      <c r="O51" s="1257">
        <f>K51/12</f>
        <v>43445</v>
      </c>
      <c r="P51" s="1294">
        <f>IF(O51&lt;=80000,SUM(O51*4%)/2,1600)</f>
        <v>868.9</v>
      </c>
      <c r="R51" s="1256">
        <f>SUM(O51-L51)</f>
        <v>0</v>
      </c>
    </row>
    <row r="52" spans="1:18" s="1257" customFormat="1" ht="13.15" customHeight="1" outlineLevel="1">
      <c r="A52" s="1301"/>
      <c r="B52" s="1301"/>
      <c r="C52" s="1315" t="s">
        <v>1184</v>
      </c>
      <c r="D52" s="1335"/>
      <c r="E52" s="1334"/>
      <c r="F52" s="1298"/>
      <c r="G52" s="1334"/>
      <c r="H52" s="1298"/>
      <c r="I52" s="1297"/>
      <c r="J52" s="1334"/>
      <c r="K52" s="1298"/>
      <c r="M52" s="1294" t="s">
        <v>256</v>
      </c>
      <c r="N52" s="1294"/>
      <c r="P52" s="1294" t="s">
        <v>256</v>
      </c>
      <c r="R52" s="1256"/>
    </row>
    <row r="53" spans="1:18" s="1257" customFormat="1" ht="12" customHeight="1" outlineLevel="1">
      <c r="A53" s="1301"/>
      <c r="B53" s="1301"/>
      <c r="C53" s="1315" t="s">
        <v>1183</v>
      </c>
      <c r="D53" s="1314"/>
      <c r="E53" s="1311"/>
      <c r="F53" s="1298"/>
      <c r="G53" s="1311"/>
      <c r="H53" s="1298"/>
      <c r="I53" s="1297"/>
      <c r="J53" s="1311"/>
      <c r="K53" s="1298"/>
      <c r="M53" s="1294" t="s">
        <v>256</v>
      </c>
      <c r="N53" s="1294"/>
      <c r="P53" s="1294" t="s">
        <v>256</v>
      </c>
      <c r="R53" s="1256"/>
    </row>
    <row r="54" spans="1:18" s="1257" customFormat="1" ht="12" customHeight="1" outlineLevel="1">
      <c r="A54" s="1301" t="s">
        <v>494</v>
      </c>
      <c r="B54" s="1301" t="s">
        <v>510</v>
      </c>
      <c r="C54" s="1312" t="s">
        <v>1182</v>
      </c>
      <c r="D54" s="1299" t="s">
        <v>1181</v>
      </c>
      <c r="E54" s="1296" t="s">
        <v>116</v>
      </c>
      <c r="F54" s="67">
        <v>431952</v>
      </c>
      <c r="G54" s="1296" t="s">
        <v>115</v>
      </c>
      <c r="H54" s="1298">
        <f>VLOOKUP(G54,$A$102:$B$341,2,FALSE)*12</f>
        <v>436884</v>
      </c>
      <c r="I54" s="1297">
        <f t="shared" ref="I54:I59" si="13">SUM(H54-F54)</f>
        <v>4932</v>
      </c>
      <c r="J54" s="1296" t="s">
        <v>115</v>
      </c>
      <c r="K54" s="67">
        <f>IF(J54="ABOLISHED",0, (VLOOKUP(J54,$A$64:$C354,3,FALSE)*12))</f>
        <v>436884</v>
      </c>
      <c r="L54" s="1257">
        <f t="shared" ref="L54:L59" si="14">H54/12</f>
        <v>36407</v>
      </c>
      <c r="M54" s="1294">
        <f t="shared" ref="M54:M59" si="15">IF(L54&lt;=80000,SUM(L54*4%)/2,1600)</f>
        <v>728.14</v>
      </c>
      <c r="N54" s="1294"/>
      <c r="O54" s="1257">
        <f t="shared" ref="O54:O59" si="16">K54/12</f>
        <v>36407</v>
      </c>
      <c r="P54" s="1294">
        <f t="shared" ref="P54:P59" si="17">IF(O54&lt;=80000,SUM(O54*4%)/2,1600)</f>
        <v>728.14</v>
      </c>
      <c r="R54" s="1256">
        <f t="shared" ref="R54:R59" si="18">SUM(O54-L54)</f>
        <v>0</v>
      </c>
    </row>
    <row r="55" spans="1:18" s="1257" customFormat="1" ht="13.15" customHeight="1" outlineLevel="1">
      <c r="A55" s="1325" t="s">
        <v>501</v>
      </c>
      <c r="B55" s="1301" t="s">
        <v>494</v>
      </c>
      <c r="C55" s="1333" t="s">
        <v>1180</v>
      </c>
      <c r="D55" s="1332" t="s">
        <v>1179</v>
      </c>
      <c r="E55" s="1320" t="s">
        <v>150</v>
      </c>
      <c r="F55" s="67">
        <v>300228</v>
      </c>
      <c r="G55" s="1320" t="s">
        <v>150</v>
      </c>
      <c r="H55" s="1298">
        <f>VLOOKUP(G55,$A$102:$B$341,2,FALSE)*12</f>
        <v>300228</v>
      </c>
      <c r="I55" s="1321">
        <f t="shared" si="13"/>
        <v>0</v>
      </c>
      <c r="J55" s="1320" t="s">
        <v>150</v>
      </c>
      <c r="K55" s="67">
        <f>IF(J55="ABOLISHED",0, (VLOOKUP(J55,$A$64:$C352,3,FALSE)*12))</f>
        <v>300228</v>
      </c>
      <c r="L55" s="1257">
        <f t="shared" si="14"/>
        <v>25019</v>
      </c>
      <c r="M55" s="1294">
        <f t="shared" si="15"/>
        <v>500.38</v>
      </c>
      <c r="N55" s="1294"/>
      <c r="O55" s="1257">
        <f t="shared" si="16"/>
        <v>25019</v>
      </c>
      <c r="P55" s="1294">
        <f t="shared" si="17"/>
        <v>500.38</v>
      </c>
      <c r="R55" s="1256">
        <f t="shared" si="18"/>
        <v>0</v>
      </c>
    </row>
    <row r="56" spans="1:18" s="1257" customFormat="1" ht="12" customHeight="1" outlineLevel="1">
      <c r="A56" s="1301" t="s">
        <v>491</v>
      </c>
      <c r="B56" s="1301" t="s">
        <v>501</v>
      </c>
      <c r="C56" s="1300" t="s">
        <v>594</v>
      </c>
      <c r="D56" s="1299" t="s">
        <v>1178</v>
      </c>
      <c r="E56" s="1311" t="s">
        <v>180</v>
      </c>
      <c r="F56" s="67">
        <v>213756</v>
      </c>
      <c r="G56" s="1311" t="s">
        <v>179</v>
      </c>
      <c r="H56" s="1298">
        <f>VLOOKUP(G56,$A$102:$B$341,2,FALSE)*12</f>
        <v>215688</v>
      </c>
      <c r="I56" s="1297">
        <f t="shared" si="13"/>
        <v>1932</v>
      </c>
      <c r="J56" s="1311" t="s">
        <v>179</v>
      </c>
      <c r="K56" s="67">
        <f>IF(J56="ABOLISHED",0, (VLOOKUP(J56,$A$64:$C356,3,FALSE)*12))</f>
        <v>215688</v>
      </c>
      <c r="L56" s="1257">
        <f t="shared" si="14"/>
        <v>17974</v>
      </c>
      <c r="M56" s="1294">
        <f t="shared" si="15"/>
        <v>359.48</v>
      </c>
      <c r="N56" s="1294"/>
      <c r="O56" s="1257">
        <f t="shared" si="16"/>
        <v>17974</v>
      </c>
      <c r="P56" s="1294">
        <f t="shared" si="17"/>
        <v>359.48</v>
      </c>
      <c r="R56" s="1256">
        <f t="shared" si="18"/>
        <v>0</v>
      </c>
    </row>
    <row r="57" spans="1:18" s="1257" customFormat="1" ht="12" customHeight="1" outlineLevel="1">
      <c r="A57" s="1301" t="s">
        <v>493</v>
      </c>
      <c r="B57" s="1301"/>
      <c r="C57" s="1300" t="s">
        <v>1177</v>
      </c>
      <c r="D57" s="1299" t="s">
        <v>245</v>
      </c>
      <c r="E57" s="1311" t="s">
        <v>183</v>
      </c>
      <c r="F57" s="67">
        <v>208056</v>
      </c>
      <c r="G57" s="1311" t="s">
        <v>597</v>
      </c>
      <c r="H57" s="1298">
        <v>0</v>
      </c>
      <c r="I57" s="1297">
        <f t="shared" si="13"/>
        <v>-208056</v>
      </c>
      <c r="J57" s="1311" t="s">
        <v>597</v>
      </c>
      <c r="K57" s="67">
        <f>IF(J57="ABOLISHED",0, (VLOOKUP(J57,$A$64:$C355,3,FALSE)*12))</f>
        <v>0</v>
      </c>
      <c r="L57" s="1257">
        <f t="shared" si="14"/>
        <v>0</v>
      </c>
      <c r="M57" s="1294">
        <f t="shared" si="15"/>
        <v>0</v>
      </c>
      <c r="N57" s="1294"/>
      <c r="O57" s="1257">
        <f t="shared" si="16"/>
        <v>0</v>
      </c>
      <c r="P57" s="1294">
        <f t="shared" si="17"/>
        <v>0</v>
      </c>
      <c r="R57" s="1256">
        <f t="shared" si="18"/>
        <v>0</v>
      </c>
    </row>
    <row r="58" spans="1:18" s="1257" customFormat="1" ht="13.15" customHeight="1" outlineLevel="1">
      <c r="A58" s="1301" t="s">
        <v>490</v>
      </c>
      <c r="B58" s="1301" t="s">
        <v>491</v>
      </c>
      <c r="C58" s="1300" t="s">
        <v>1176</v>
      </c>
      <c r="D58" s="1299" t="s">
        <v>245</v>
      </c>
      <c r="E58" s="1318" t="s">
        <v>207</v>
      </c>
      <c r="F58" s="67">
        <v>174132</v>
      </c>
      <c r="G58" s="1318" t="s">
        <v>207</v>
      </c>
      <c r="H58" s="1298">
        <f>VLOOKUP(G58,$A$102:$B$341,2,FALSE)*12</f>
        <v>174132</v>
      </c>
      <c r="I58" s="1297">
        <f t="shared" si="13"/>
        <v>0</v>
      </c>
      <c r="J58" s="1318" t="s">
        <v>207</v>
      </c>
      <c r="K58" s="67">
        <f>IF(J58="ABOLISHED",0, (VLOOKUP(J58,$A$64:$C346,3,FALSE)*12))</f>
        <v>174132</v>
      </c>
      <c r="L58" s="1257">
        <f t="shared" si="14"/>
        <v>14511</v>
      </c>
      <c r="M58" s="1294">
        <f t="shared" si="15"/>
        <v>290.22000000000003</v>
      </c>
      <c r="N58" s="1294"/>
      <c r="O58" s="1257">
        <f t="shared" si="16"/>
        <v>14511</v>
      </c>
      <c r="P58" s="1294">
        <f t="shared" si="17"/>
        <v>290.22000000000003</v>
      </c>
      <c r="R58" s="1256">
        <f t="shared" si="18"/>
        <v>0</v>
      </c>
    </row>
    <row r="59" spans="1:18" s="1257" customFormat="1" ht="13.15" customHeight="1" outlineLevel="1">
      <c r="A59" s="1301" t="s">
        <v>1046</v>
      </c>
      <c r="B59" s="1301" t="s">
        <v>493</v>
      </c>
      <c r="C59" s="1300" t="s">
        <v>1175</v>
      </c>
      <c r="D59" s="1299" t="s">
        <v>1174</v>
      </c>
      <c r="E59" s="1311" t="s">
        <v>220</v>
      </c>
      <c r="F59" s="67">
        <v>158328</v>
      </c>
      <c r="G59" s="1311" t="s">
        <v>220</v>
      </c>
      <c r="H59" s="1298">
        <f>VLOOKUP(G59,$A$102:$B$341,2,FALSE)*12</f>
        <v>158328</v>
      </c>
      <c r="I59" s="1297">
        <f t="shared" si="13"/>
        <v>0</v>
      </c>
      <c r="J59" s="1311" t="s">
        <v>220</v>
      </c>
      <c r="K59" s="67">
        <f>IF(J59="ABOLISHED",0, (VLOOKUP(J59,$A$64:$C372,3,FALSE)*12))</f>
        <v>158328</v>
      </c>
      <c r="L59" s="1257">
        <f t="shared" si="14"/>
        <v>13194</v>
      </c>
      <c r="M59" s="1294">
        <f t="shared" si="15"/>
        <v>263.88</v>
      </c>
      <c r="N59" s="1294"/>
      <c r="O59" s="1257">
        <f t="shared" si="16"/>
        <v>13194</v>
      </c>
      <c r="P59" s="1294">
        <f t="shared" si="17"/>
        <v>263.88</v>
      </c>
      <c r="R59" s="1256">
        <f t="shared" si="18"/>
        <v>0</v>
      </c>
    </row>
    <row r="60" spans="1:18" s="1257" customFormat="1" ht="12" customHeight="1" outlineLevel="1">
      <c r="A60" s="1301"/>
      <c r="B60" s="1301"/>
      <c r="C60" s="1315" t="s">
        <v>1173</v>
      </c>
      <c r="D60" s="1314"/>
      <c r="E60" s="1331"/>
      <c r="F60" s="1298"/>
      <c r="G60" s="1331"/>
      <c r="H60" s="1298"/>
      <c r="I60" s="1297"/>
      <c r="J60" s="1331"/>
      <c r="K60" s="1298"/>
      <c r="M60" s="1294" t="s">
        <v>256</v>
      </c>
      <c r="N60" s="1294"/>
      <c r="P60" s="1294" t="s">
        <v>256</v>
      </c>
      <c r="R60" s="1256"/>
    </row>
    <row r="61" spans="1:18" s="1257" customFormat="1" ht="12" customHeight="1" outlineLevel="1">
      <c r="A61" s="1301" t="s">
        <v>486</v>
      </c>
      <c r="B61" s="1301" t="s">
        <v>490</v>
      </c>
      <c r="C61" s="1300" t="s">
        <v>1172</v>
      </c>
      <c r="D61" s="1310" t="s">
        <v>1171</v>
      </c>
      <c r="E61" s="1311" t="s">
        <v>66</v>
      </c>
      <c r="F61" s="67">
        <v>842724</v>
      </c>
      <c r="G61" s="1311" t="s">
        <v>65</v>
      </c>
      <c r="H61" s="1298">
        <f>VLOOKUP(G61,$A$102:$B$341,2,FALSE)*12</f>
        <v>855900</v>
      </c>
      <c r="I61" s="1297">
        <f>SUM(H61-F61)</f>
        <v>13176</v>
      </c>
      <c r="J61" s="1311" t="s">
        <v>65</v>
      </c>
      <c r="K61" s="67">
        <f>IF(J61="ABOLISHED",0, (VLOOKUP(J61,$A$64:$C358,3,FALSE)*12))</f>
        <v>855900</v>
      </c>
      <c r="L61" s="1257">
        <f>H61/12</f>
        <v>71325</v>
      </c>
      <c r="M61" s="1294">
        <f>IF(L61&lt;=80000,SUM(L61*4%)/2,1600)</f>
        <v>1426.5</v>
      </c>
      <c r="N61" s="1294"/>
      <c r="O61" s="1257">
        <f>K61/12</f>
        <v>71325</v>
      </c>
      <c r="P61" s="1294">
        <f>IF(O61&lt;=80000,SUM(O61*4%)/2,1600)</f>
        <v>1426.5</v>
      </c>
      <c r="R61" s="1256">
        <f>SUM(O61-L61)</f>
        <v>0</v>
      </c>
    </row>
    <row r="62" spans="1:18" s="1257" customFormat="1" ht="13.15" customHeight="1" outlineLevel="1">
      <c r="A62" s="1325"/>
      <c r="B62" s="1325"/>
      <c r="C62" s="1330" t="s">
        <v>1170</v>
      </c>
      <c r="D62" s="1329"/>
      <c r="E62" s="1328"/>
      <c r="F62" s="1322"/>
      <c r="G62" s="1328"/>
      <c r="H62" s="1322"/>
      <c r="I62" s="1321"/>
      <c r="J62" s="1328"/>
      <c r="K62" s="1322"/>
      <c r="M62" s="1294" t="s">
        <v>256</v>
      </c>
      <c r="N62" s="1294"/>
      <c r="P62" s="1294" t="s">
        <v>256</v>
      </c>
    </row>
    <row r="63" spans="1:18" s="1257" customFormat="1" ht="13.15" customHeight="1" outlineLevel="1">
      <c r="A63" s="1325" t="s">
        <v>298</v>
      </c>
      <c r="B63" s="1325"/>
      <c r="C63" s="1327" t="s">
        <v>1169</v>
      </c>
      <c r="D63" s="1323" t="s">
        <v>245</v>
      </c>
      <c r="E63" s="1326" t="s">
        <v>159</v>
      </c>
      <c r="F63" s="74">
        <v>272196</v>
      </c>
      <c r="G63" s="1326" t="s">
        <v>597</v>
      </c>
      <c r="H63" s="1322">
        <v>0</v>
      </c>
      <c r="I63" s="1321">
        <f t="shared" ref="I63:I72" si="19">SUM(H63-F63)</f>
        <v>-272196</v>
      </c>
      <c r="J63" s="1326" t="s">
        <v>597</v>
      </c>
      <c r="K63" s="74">
        <f>IF(J63="ABOLISHED",0, (VLOOKUP(J63,$A$64:$C360,3,FALSE)*12))</f>
        <v>0</v>
      </c>
      <c r="L63" s="1257">
        <f t="shared" ref="L63:L72" si="20">H63/12</f>
        <v>0</v>
      </c>
      <c r="M63" s="1294">
        <f t="shared" ref="M63:M72" si="21">IF(L63&lt;=80000,SUM(L63*4%)/2,1600)</f>
        <v>0</v>
      </c>
      <c r="N63" s="1294"/>
      <c r="O63" s="1257">
        <f t="shared" ref="O63:O72" si="22">K63/12</f>
        <v>0</v>
      </c>
      <c r="P63" s="1294">
        <f t="shared" ref="P63:P72" si="23">IF(O63&lt;=80000,SUM(O63*4%)/2,1600)</f>
        <v>0</v>
      </c>
      <c r="R63" s="1257">
        <f t="shared" ref="R63:R72" si="24">SUM(O63-L63)</f>
        <v>0</v>
      </c>
    </row>
    <row r="64" spans="1:18" s="1257" customFormat="1" ht="13.15" customHeight="1" outlineLevel="1">
      <c r="A64" s="1325" t="s">
        <v>482</v>
      </c>
      <c r="B64" s="1325" t="s">
        <v>486</v>
      </c>
      <c r="C64" s="1327" t="s">
        <v>1168</v>
      </c>
      <c r="D64" s="1323" t="s">
        <v>1167</v>
      </c>
      <c r="E64" s="1326" t="s">
        <v>174</v>
      </c>
      <c r="F64" s="74">
        <v>225228</v>
      </c>
      <c r="G64" s="1326" t="s">
        <v>174</v>
      </c>
      <c r="H64" s="1322">
        <f t="shared" ref="H64:H72" si="25">VLOOKUP(G64,$A$102:$B$341,2,FALSE)*12</f>
        <v>225228</v>
      </c>
      <c r="I64" s="1321">
        <f t="shared" si="19"/>
        <v>0</v>
      </c>
      <c r="J64" s="1326" t="s">
        <v>174</v>
      </c>
      <c r="K64" s="74">
        <f>IF(J64="ABOLISHED",0, (VLOOKUP(J64,$A$64:$C361,3,FALSE)*12))</f>
        <v>225228</v>
      </c>
      <c r="L64" s="1257">
        <f t="shared" si="20"/>
        <v>18769</v>
      </c>
      <c r="M64" s="1294">
        <f t="shared" si="21"/>
        <v>375.38</v>
      </c>
      <c r="N64" s="1294"/>
      <c r="O64" s="1257">
        <f t="shared" si="22"/>
        <v>18769</v>
      </c>
      <c r="P64" s="1294">
        <f t="shared" si="23"/>
        <v>375.38</v>
      </c>
      <c r="R64" s="1257">
        <f t="shared" si="24"/>
        <v>0</v>
      </c>
    </row>
    <row r="65" spans="1:18" s="1257" customFormat="1" ht="13.15" customHeight="1" outlineLevel="1">
      <c r="A65" s="1325" t="s">
        <v>1028</v>
      </c>
      <c r="B65" s="1325" t="s">
        <v>298</v>
      </c>
      <c r="C65" s="1324" t="s">
        <v>1151</v>
      </c>
      <c r="D65" s="1323" t="s">
        <v>245</v>
      </c>
      <c r="E65" s="1320"/>
      <c r="F65" s="74"/>
      <c r="G65" s="1320" t="s">
        <v>223</v>
      </c>
      <c r="H65" s="1322">
        <f t="shared" si="25"/>
        <v>154716</v>
      </c>
      <c r="I65" s="1321">
        <f t="shared" si="19"/>
        <v>154716</v>
      </c>
      <c r="J65" s="1320" t="s">
        <v>223</v>
      </c>
      <c r="K65" s="74">
        <f>IF(J65="ABOLISHED",0, (VLOOKUP(J65,$A$64:$C378,3,FALSE)*12))</f>
        <v>154716</v>
      </c>
      <c r="L65" s="1257">
        <f t="shared" si="20"/>
        <v>12893</v>
      </c>
      <c r="M65" s="1294">
        <f t="shared" si="21"/>
        <v>257.86</v>
      </c>
      <c r="N65" s="1294"/>
      <c r="O65" s="1257">
        <f t="shared" si="22"/>
        <v>12893</v>
      </c>
      <c r="P65" s="1294">
        <f t="shared" si="23"/>
        <v>257.86</v>
      </c>
      <c r="R65" s="1257">
        <f t="shared" si="24"/>
        <v>0</v>
      </c>
    </row>
    <row r="66" spans="1:18" s="1257" customFormat="1" ht="13.15" customHeight="1" outlineLevel="1">
      <c r="A66" s="1301" t="s">
        <v>1033</v>
      </c>
      <c r="B66" s="1301" t="s">
        <v>482</v>
      </c>
      <c r="C66" s="1300" t="s">
        <v>1151</v>
      </c>
      <c r="D66" s="1299" t="s">
        <v>245</v>
      </c>
      <c r="E66" s="1311"/>
      <c r="F66" s="67"/>
      <c r="G66" s="1311" t="s">
        <v>223</v>
      </c>
      <c r="H66" s="1298">
        <f t="shared" si="25"/>
        <v>154716</v>
      </c>
      <c r="I66" s="1297">
        <f t="shared" si="19"/>
        <v>154716</v>
      </c>
      <c r="J66" s="1311" t="s">
        <v>223</v>
      </c>
      <c r="K66" s="67">
        <f>IF(J66="ABOLISHED",0, (VLOOKUP(J66,$A$64:$C379,3,FALSE)*12))</f>
        <v>154716</v>
      </c>
      <c r="L66" s="1257">
        <f t="shared" si="20"/>
        <v>12893</v>
      </c>
      <c r="M66" s="1294">
        <f t="shared" si="21"/>
        <v>257.86</v>
      </c>
      <c r="N66" s="1294"/>
      <c r="O66" s="1257">
        <f t="shared" si="22"/>
        <v>12893</v>
      </c>
      <c r="P66" s="1294">
        <f t="shared" si="23"/>
        <v>257.86</v>
      </c>
      <c r="R66" s="1256">
        <f t="shared" si="24"/>
        <v>0</v>
      </c>
    </row>
    <row r="67" spans="1:18" s="1257" customFormat="1" ht="13.15" customHeight="1" outlineLevel="1">
      <c r="A67" s="1301" t="s">
        <v>1019</v>
      </c>
      <c r="B67" s="1301" t="s">
        <v>479</v>
      </c>
      <c r="C67" s="1300" t="s">
        <v>1141</v>
      </c>
      <c r="D67" s="1299" t="s">
        <v>245</v>
      </c>
      <c r="E67" s="1311"/>
      <c r="F67" s="67"/>
      <c r="G67" s="1311" t="s">
        <v>231</v>
      </c>
      <c r="H67" s="1298">
        <f t="shared" si="25"/>
        <v>145812</v>
      </c>
      <c r="I67" s="1297">
        <f t="shared" si="19"/>
        <v>145812</v>
      </c>
      <c r="J67" s="1311" t="s">
        <v>231</v>
      </c>
      <c r="K67" s="67">
        <f>IF(J67="ABOLISHED",0, (VLOOKUP(J67,$A$64:$C380,3,FALSE)*12))</f>
        <v>145812</v>
      </c>
      <c r="L67" s="1257">
        <f t="shared" si="20"/>
        <v>12151</v>
      </c>
      <c r="M67" s="1294">
        <f t="shared" si="21"/>
        <v>243.02</v>
      </c>
      <c r="N67" s="1294"/>
      <c r="O67" s="1257">
        <f t="shared" si="22"/>
        <v>12151</v>
      </c>
      <c r="P67" s="1294">
        <f t="shared" si="23"/>
        <v>243.02</v>
      </c>
      <c r="R67" s="1256">
        <f t="shared" si="24"/>
        <v>0</v>
      </c>
    </row>
    <row r="68" spans="1:18" s="1257" customFormat="1" ht="13.15" customHeight="1" outlineLevel="1">
      <c r="A68" s="1301" t="s">
        <v>1027</v>
      </c>
      <c r="B68" s="1301" t="s">
        <v>1063</v>
      </c>
      <c r="C68" s="1300" t="s">
        <v>1141</v>
      </c>
      <c r="D68" s="1299" t="s">
        <v>245</v>
      </c>
      <c r="E68" s="1311"/>
      <c r="F68" s="67"/>
      <c r="G68" s="1311" t="s">
        <v>231</v>
      </c>
      <c r="H68" s="1298">
        <f t="shared" si="25"/>
        <v>145812</v>
      </c>
      <c r="I68" s="1297">
        <f t="shared" si="19"/>
        <v>145812</v>
      </c>
      <c r="J68" s="1311" t="s">
        <v>231</v>
      </c>
      <c r="K68" s="67">
        <f>IF(J68="ABOLISHED",0, (VLOOKUP(J68,$A$64:$C381,3,FALSE)*12))</f>
        <v>145812</v>
      </c>
      <c r="L68" s="1257">
        <f t="shared" si="20"/>
        <v>12151</v>
      </c>
      <c r="M68" s="1294">
        <f t="shared" si="21"/>
        <v>243.02</v>
      </c>
      <c r="N68" s="1294"/>
      <c r="O68" s="1257">
        <f t="shared" si="22"/>
        <v>12151</v>
      </c>
      <c r="P68" s="1294">
        <f t="shared" si="23"/>
        <v>243.02</v>
      </c>
      <c r="R68" s="1256">
        <f t="shared" si="24"/>
        <v>0</v>
      </c>
    </row>
    <row r="69" spans="1:18" s="1257" customFormat="1" ht="13.15" customHeight="1" outlineLevel="1">
      <c r="A69" s="1301" t="s">
        <v>1024</v>
      </c>
      <c r="B69" s="1301" t="s">
        <v>1060</v>
      </c>
      <c r="C69" s="1300" t="s">
        <v>1141</v>
      </c>
      <c r="D69" s="1299" t="s">
        <v>245</v>
      </c>
      <c r="E69" s="1311"/>
      <c r="F69" s="67"/>
      <c r="G69" s="1311" t="s">
        <v>231</v>
      </c>
      <c r="H69" s="1298">
        <f t="shared" si="25"/>
        <v>145812</v>
      </c>
      <c r="I69" s="1297">
        <f t="shared" si="19"/>
        <v>145812</v>
      </c>
      <c r="J69" s="1311" t="s">
        <v>231</v>
      </c>
      <c r="K69" s="67">
        <f>IF(J69="ABOLISHED",0, (VLOOKUP(J69,$A$64:$C382,3,FALSE)*12))</f>
        <v>145812</v>
      </c>
      <c r="L69" s="1257">
        <f t="shared" si="20"/>
        <v>12151</v>
      </c>
      <c r="M69" s="1294">
        <f t="shared" si="21"/>
        <v>243.02</v>
      </c>
      <c r="N69" s="1294"/>
      <c r="O69" s="1257">
        <f t="shared" si="22"/>
        <v>12151</v>
      </c>
      <c r="P69" s="1294">
        <f t="shared" si="23"/>
        <v>243.02</v>
      </c>
      <c r="R69" s="1256">
        <f t="shared" si="24"/>
        <v>0</v>
      </c>
    </row>
    <row r="70" spans="1:18" s="1257" customFormat="1" ht="13.15" customHeight="1" outlineLevel="1">
      <c r="A70" s="1301" t="s">
        <v>479</v>
      </c>
      <c r="B70" s="1301" t="s">
        <v>1058</v>
      </c>
      <c r="C70" s="1300" t="s">
        <v>1165</v>
      </c>
      <c r="D70" s="1299" t="s">
        <v>1166</v>
      </c>
      <c r="E70" s="1318" t="s">
        <v>223</v>
      </c>
      <c r="F70" s="67">
        <v>154716</v>
      </c>
      <c r="G70" s="1318" t="s">
        <v>223</v>
      </c>
      <c r="H70" s="1298">
        <f t="shared" si="25"/>
        <v>154716</v>
      </c>
      <c r="I70" s="1297">
        <f t="shared" si="19"/>
        <v>0</v>
      </c>
      <c r="J70" s="1318" t="s">
        <v>223</v>
      </c>
      <c r="K70" s="67">
        <f>IF(J70="ABOLISHED",0, (VLOOKUP(J70,$A$64:$C347,3,FALSE)*12))</f>
        <v>154716</v>
      </c>
      <c r="L70" s="1257">
        <f t="shared" si="20"/>
        <v>12893</v>
      </c>
      <c r="M70" s="1294">
        <f t="shared" si="21"/>
        <v>257.86</v>
      </c>
      <c r="N70" s="1294"/>
      <c r="O70" s="1257">
        <f t="shared" si="22"/>
        <v>12893</v>
      </c>
      <c r="P70" s="1294">
        <f t="shared" si="23"/>
        <v>257.86</v>
      </c>
      <c r="R70" s="1256">
        <f t="shared" si="24"/>
        <v>0</v>
      </c>
    </row>
    <row r="71" spans="1:18" s="1257" customFormat="1" ht="13.15" customHeight="1" outlineLevel="1">
      <c r="A71" s="1301" t="s">
        <v>1063</v>
      </c>
      <c r="B71" s="1301" t="s">
        <v>901</v>
      </c>
      <c r="C71" s="1300" t="s">
        <v>1165</v>
      </c>
      <c r="D71" s="1299" t="s">
        <v>1164</v>
      </c>
      <c r="E71" s="1318" t="s">
        <v>223</v>
      </c>
      <c r="F71" s="67">
        <v>154716</v>
      </c>
      <c r="G71" s="1318" t="s">
        <v>223</v>
      </c>
      <c r="H71" s="1298">
        <f t="shared" si="25"/>
        <v>154716</v>
      </c>
      <c r="I71" s="1297">
        <f t="shared" si="19"/>
        <v>0</v>
      </c>
      <c r="J71" s="1318" t="s">
        <v>223</v>
      </c>
      <c r="K71" s="67">
        <f>IF(J71="ABOLISHED",0, (VLOOKUP(J71,$A$64:$C348,3,FALSE)*12))</f>
        <v>154716</v>
      </c>
      <c r="L71" s="1257">
        <f t="shared" si="20"/>
        <v>12893</v>
      </c>
      <c r="M71" s="1294">
        <f t="shared" si="21"/>
        <v>257.86</v>
      </c>
      <c r="N71" s="1294"/>
      <c r="O71" s="1257">
        <f t="shared" si="22"/>
        <v>12893</v>
      </c>
      <c r="P71" s="1294">
        <f t="shared" si="23"/>
        <v>257.86</v>
      </c>
      <c r="R71" s="1256">
        <f t="shared" si="24"/>
        <v>0</v>
      </c>
    </row>
    <row r="72" spans="1:18" s="1257" customFormat="1" ht="13.15" customHeight="1" outlineLevel="1">
      <c r="A72" s="1301" t="s">
        <v>1060</v>
      </c>
      <c r="B72" s="1301" t="s">
        <v>895</v>
      </c>
      <c r="C72" s="1300" t="s">
        <v>603</v>
      </c>
      <c r="D72" s="1310" t="s">
        <v>1163</v>
      </c>
      <c r="E72" s="1296" t="s">
        <v>223</v>
      </c>
      <c r="F72" s="67">
        <v>154716</v>
      </c>
      <c r="G72" s="1296" t="s">
        <v>223</v>
      </c>
      <c r="H72" s="1298">
        <f t="shared" si="25"/>
        <v>154716</v>
      </c>
      <c r="I72" s="1297">
        <f t="shared" si="19"/>
        <v>0</v>
      </c>
      <c r="J72" s="1296" t="s">
        <v>223</v>
      </c>
      <c r="K72" s="67">
        <f>IF(J72="ABOLISHED",0, (VLOOKUP(J72,$A$64:$C380,3,FALSE)*12))</f>
        <v>154716</v>
      </c>
      <c r="L72" s="1257">
        <f t="shared" si="20"/>
        <v>12893</v>
      </c>
      <c r="M72" s="1294">
        <f t="shared" si="21"/>
        <v>257.86</v>
      </c>
      <c r="N72" s="1295"/>
      <c r="O72" s="1257">
        <f t="shared" si="22"/>
        <v>12893</v>
      </c>
      <c r="P72" s="1294">
        <f t="shared" si="23"/>
        <v>257.86</v>
      </c>
      <c r="R72" s="1256">
        <f t="shared" si="24"/>
        <v>0</v>
      </c>
    </row>
    <row r="73" spans="1:18" s="1257" customFormat="1" ht="12" customHeight="1" outlineLevel="1">
      <c r="A73" s="1301"/>
      <c r="B73" s="1301"/>
      <c r="C73" s="1315" t="s">
        <v>1162</v>
      </c>
      <c r="D73" s="1314"/>
      <c r="E73" s="1311"/>
      <c r="F73" s="1298"/>
      <c r="G73" s="1311"/>
      <c r="H73" s="1298"/>
      <c r="I73" s="1297"/>
      <c r="J73" s="1311"/>
      <c r="K73" s="1298"/>
      <c r="M73" s="1294" t="s">
        <v>256</v>
      </c>
      <c r="N73" s="1294"/>
      <c r="P73" s="1294" t="s">
        <v>256</v>
      </c>
      <c r="R73" s="1256"/>
    </row>
    <row r="74" spans="1:18" s="1257" customFormat="1" ht="12" customHeight="1" outlineLevel="1">
      <c r="A74" s="1301" t="s">
        <v>1058</v>
      </c>
      <c r="B74" s="1301" t="s">
        <v>900</v>
      </c>
      <c r="C74" s="1319" t="s">
        <v>512</v>
      </c>
      <c r="D74" s="1310" t="s">
        <v>1161</v>
      </c>
      <c r="E74" s="1296" t="s">
        <v>158</v>
      </c>
      <c r="F74" s="67">
        <v>275436</v>
      </c>
      <c r="G74" s="1296" t="s">
        <v>157</v>
      </c>
      <c r="H74" s="1298">
        <f t="shared" ref="H74:H79" si="26">VLOOKUP(G74,$A$102:$B$341,2,FALSE)*12</f>
        <v>278736</v>
      </c>
      <c r="I74" s="1297">
        <f t="shared" ref="I74:I79" si="27">SUM(H74-F74)</f>
        <v>3300</v>
      </c>
      <c r="J74" s="1296" t="s">
        <v>157</v>
      </c>
      <c r="K74" s="67">
        <f>IF(J74="ABOLISHED",0, (VLOOKUP(J74,$A$64:$C363,3,FALSE)*12))</f>
        <v>278736</v>
      </c>
      <c r="L74" s="1257">
        <f t="shared" ref="L74:L79" si="28">H74/12</f>
        <v>23228</v>
      </c>
      <c r="M74" s="1294">
        <f t="shared" ref="M74:M79" si="29">IF(L74&lt;=80000,SUM(L74*4%)/2,1600)</f>
        <v>464.56</v>
      </c>
      <c r="N74" s="1294"/>
      <c r="O74" s="1257">
        <f t="shared" ref="O74:O79" si="30">K74/12</f>
        <v>23228</v>
      </c>
      <c r="P74" s="1294">
        <f t="shared" ref="P74:P79" si="31">IF(O74&lt;=80000,SUM(O74*4%)/2,1600)</f>
        <v>464.56</v>
      </c>
      <c r="R74" s="1256">
        <f t="shared" ref="R74:R79" si="32">SUM(O74-L74)</f>
        <v>0</v>
      </c>
    </row>
    <row r="75" spans="1:18" s="1257" customFormat="1" ht="12" customHeight="1" outlineLevel="1">
      <c r="A75" s="1301" t="s">
        <v>901</v>
      </c>
      <c r="B75" s="1301" t="s">
        <v>1053</v>
      </c>
      <c r="C75" s="1300" t="s">
        <v>1159</v>
      </c>
      <c r="D75" s="1299" t="s">
        <v>1160</v>
      </c>
      <c r="E75" s="1311" t="s">
        <v>195</v>
      </c>
      <c r="F75" s="67">
        <v>190428</v>
      </c>
      <c r="G75" s="1311" t="s">
        <v>195</v>
      </c>
      <c r="H75" s="1298">
        <f t="shared" si="26"/>
        <v>190428</v>
      </c>
      <c r="I75" s="1297">
        <f t="shared" si="27"/>
        <v>0</v>
      </c>
      <c r="J75" s="1311" t="s">
        <v>195</v>
      </c>
      <c r="K75" s="67">
        <f>IF(J75="ABOLISHED",0, (VLOOKUP(J75,$A$64:$C364,3,FALSE)*12))</f>
        <v>190428</v>
      </c>
      <c r="L75" s="1257">
        <f t="shared" si="28"/>
        <v>15869</v>
      </c>
      <c r="M75" s="1294">
        <f t="shared" si="29"/>
        <v>317.38</v>
      </c>
      <c r="N75" s="1294"/>
      <c r="O75" s="1257">
        <f t="shared" si="30"/>
        <v>15869</v>
      </c>
      <c r="P75" s="1294">
        <f t="shared" si="31"/>
        <v>317.38</v>
      </c>
      <c r="R75" s="1256">
        <f t="shared" si="32"/>
        <v>0</v>
      </c>
    </row>
    <row r="76" spans="1:18" s="1257" customFormat="1" ht="12" customHeight="1" outlineLevel="1">
      <c r="A76" s="1301" t="s">
        <v>895</v>
      </c>
      <c r="B76" s="1301" t="s">
        <v>994</v>
      </c>
      <c r="C76" s="1300" t="s">
        <v>1159</v>
      </c>
      <c r="D76" s="1299" t="s">
        <v>245</v>
      </c>
      <c r="E76" s="1311" t="s">
        <v>195</v>
      </c>
      <c r="F76" s="67">
        <v>190428</v>
      </c>
      <c r="G76" s="1311" t="s">
        <v>199</v>
      </c>
      <c r="H76" s="1298">
        <f t="shared" si="26"/>
        <v>184680</v>
      </c>
      <c r="I76" s="1297">
        <f t="shared" si="27"/>
        <v>-5748</v>
      </c>
      <c r="J76" s="1311" t="s">
        <v>199</v>
      </c>
      <c r="K76" s="67">
        <f>IF(J76="ABOLISHED",0, (VLOOKUP(J76,$A$64:$C365,3,FALSE)*12))</f>
        <v>184680</v>
      </c>
      <c r="L76" s="1257">
        <f t="shared" si="28"/>
        <v>15390</v>
      </c>
      <c r="M76" s="1294">
        <f t="shared" si="29"/>
        <v>307.8</v>
      </c>
      <c r="N76" s="1294"/>
      <c r="O76" s="1257">
        <f t="shared" si="30"/>
        <v>15390</v>
      </c>
      <c r="P76" s="1294">
        <f t="shared" si="31"/>
        <v>307.8</v>
      </c>
      <c r="R76" s="1256">
        <f t="shared" si="32"/>
        <v>0</v>
      </c>
    </row>
    <row r="77" spans="1:18" s="1257" customFormat="1" ht="12" customHeight="1" outlineLevel="1">
      <c r="A77" s="1301" t="s">
        <v>900</v>
      </c>
      <c r="B77" s="1301" t="s">
        <v>1049</v>
      </c>
      <c r="C77" s="1300" t="s">
        <v>1159</v>
      </c>
      <c r="D77" s="1310" t="s">
        <v>1158</v>
      </c>
      <c r="E77" s="1311" t="s">
        <v>209</v>
      </c>
      <c r="F77" s="67">
        <v>171876</v>
      </c>
      <c r="G77" s="1311" t="s">
        <v>213</v>
      </c>
      <c r="H77" s="1298">
        <f t="shared" si="26"/>
        <v>166692</v>
      </c>
      <c r="I77" s="1297">
        <f t="shared" si="27"/>
        <v>-5184</v>
      </c>
      <c r="J77" s="1311" t="s">
        <v>213</v>
      </c>
      <c r="K77" s="67">
        <f>IF(J77="ABOLISHED",0, (VLOOKUP(J77,$A$64:$C366,3,FALSE)*12))</f>
        <v>166692</v>
      </c>
      <c r="L77" s="1257">
        <f t="shared" si="28"/>
        <v>13891</v>
      </c>
      <c r="M77" s="1294">
        <f t="shared" si="29"/>
        <v>277.82</v>
      </c>
      <c r="N77" s="1294"/>
      <c r="O77" s="1257">
        <f t="shared" si="30"/>
        <v>13891</v>
      </c>
      <c r="P77" s="1294">
        <f t="shared" si="31"/>
        <v>277.82</v>
      </c>
      <c r="R77" s="1256">
        <f t="shared" si="32"/>
        <v>0</v>
      </c>
    </row>
    <row r="78" spans="1:18" s="1257" customFormat="1" ht="12" customHeight="1" outlineLevel="1">
      <c r="A78" s="1301" t="s">
        <v>1053</v>
      </c>
      <c r="B78" s="1301" t="s">
        <v>1046</v>
      </c>
      <c r="C78" s="1300" t="s">
        <v>1157</v>
      </c>
      <c r="D78" s="1299" t="s">
        <v>245</v>
      </c>
      <c r="E78" s="1311" t="s">
        <v>214</v>
      </c>
      <c r="F78" s="67">
        <v>165420</v>
      </c>
      <c r="G78" s="1311" t="s">
        <v>215</v>
      </c>
      <c r="H78" s="1298">
        <f t="shared" si="26"/>
        <v>164160</v>
      </c>
      <c r="I78" s="1297">
        <f t="shared" si="27"/>
        <v>-1260</v>
      </c>
      <c r="J78" s="1311" t="s">
        <v>215</v>
      </c>
      <c r="K78" s="67">
        <f>IF(J78="ABOLISHED",0, (VLOOKUP(J78,$A$64:$C367,3,FALSE)*12))</f>
        <v>164160</v>
      </c>
      <c r="L78" s="1257">
        <f t="shared" si="28"/>
        <v>13680</v>
      </c>
      <c r="M78" s="1294">
        <f t="shared" si="29"/>
        <v>273.60000000000002</v>
      </c>
      <c r="N78" s="1294"/>
      <c r="O78" s="1257">
        <f t="shared" si="30"/>
        <v>13680</v>
      </c>
      <c r="P78" s="1294">
        <f t="shared" si="31"/>
        <v>273.60000000000002</v>
      </c>
      <c r="R78" s="1256">
        <f t="shared" si="32"/>
        <v>0</v>
      </c>
    </row>
    <row r="79" spans="1:18" s="1257" customFormat="1" ht="13.15" customHeight="1" outlineLevel="1">
      <c r="A79" s="1301" t="s">
        <v>1011</v>
      </c>
      <c r="B79" s="1301" t="s">
        <v>1044</v>
      </c>
      <c r="C79" s="1300" t="s">
        <v>1157</v>
      </c>
      <c r="D79" s="1299" t="s">
        <v>245</v>
      </c>
      <c r="E79" s="1318"/>
      <c r="F79" s="67"/>
      <c r="G79" s="1318" t="s">
        <v>215</v>
      </c>
      <c r="H79" s="1298">
        <f t="shared" si="26"/>
        <v>164160</v>
      </c>
      <c r="I79" s="1297">
        <f t="shared" si="27"/>
        <v>164160</v>
      </c>
      <c r="J79" s="1318" t="s">
        <v>215</v>
      </c>
      <c r="K79" s="67">
        <f>IF(J79="ABOLISHED",0, (VLOOKUP(J79,$A$64:$C356,3,FALSE)*12))</f>
        <v>164160</v>
      </c>
      <c r="L79" s="1257">
        <f t="shared" si="28"/>
        <v>13680</v>
      </c>
      <c r="M79" s="1294">
        <f t="shared" si="29"/>
        <v>273.60000000000002</v>
      </c>
      <c r="N79" s="1294"/>
      <c r="O79" s="1257">
        <f t="shared" si="30"/>
        <v>13680</v>
      </c>
      <c r="P79" s="1294">
        <f t="shared" si="31"/>
        <v>273.60000000000002</v>
      </c>
      <c r="R79" s="1256">
        <f t="shared" si="32"/>
        <v>0</v>
      </c>
    </row>
    <row r="80" spans="1:18" s="1257" customFormat="1" ht="13.15" customHeight="1" outlineLevel="1">
      <c r="A80" s="1301"/>
      <c r="B80" s="1301"/>
      <c r="C80" s="1315" t="s">
        <v>1156</v>
      </c>
      <c r="D80" s="1314"/>
      <c r="E80" s="1313"/>
      <c r="F80" s="1298"/>
      <c r="G80" s="1313"/>
      <c r="H80" s="1298"/>
      <c r="I80" s="1297"/>
      <c r="J80" s="1313"/>
      <c r="K80" s="1298"/>
      <c r="M80" s="1294" t="s">
        <v>256</v>
      </c>
      <c r="N80" s="1294"/>
      <c r="P80" s="1294" t="s">
        <v>256</v>
      </c>
      <c r="R80" s="1256"/>
    </row>
    <row r="81" spans="1:18" s="1257" customFormat="1" ht="13.15" customHeight="1" outlineLevel="1">
      <c r="A81" s="1301" t="s">
        <v>994</v>
      </c>
      <c r="B81" s="1301" t="s">
        <v>1041</v>
      </c>
      <c r="C81" s="1300" t="s">
        <v>1098</v>
      </c>
      <c r="D81" s="1310" t="s">
        <v>1155</v>
      </c>
      <c r="E81" s="1296" t="s">
        <v>179</v>
      </c>
      <c r="F81" s="67">
        <v>215688</v>
      </c>
      <c r="G81" s="1296" t="s">
        <v>179</v>
      </c>
      <c r="H81" s="1298">
        <f>VLOOKUP(G81,$A$102:$B$341,2,FALSE)*12</f>
        <v>215688</v>
      </c>
      <c r="I81" s="1297">
        <f>SUM(H81-F81)</f>
        <v>0</v>
      </c>
      <c r="J81" s="1296" t="s">
        <v>179</v>
      </c>
      <c r="K81" s="67">
        <f>IF(J81="ABOLISHED",0, (VLOOKUP(J81,$A$64:$C369,3,FALSE)*12))</f>
        <v>215688</v>
      </c>
      <c r="L81" s="1257">
        <f>H81/12</f>
        <v>17974</v>
      </c>
      <c r="M81" s="1294">
        <f>IF(L81&lt;=80000,SUM(L81*4%)/2,1600)</f>
        <v>359.48</v>
      </c>
      <c r="N81" s="1294"/>
      <c r="O81" s="1257">
        <f>K81/12</f>
        <v>17974</v>
      </c>
      <c r="P81" s="1294">
        <f>IF(O81&lt;=80000,SUM(O81*4%)/2,1600)</f>
        <v>359.48</v>
      </c>
      <c r="R81" s="1256">
        <f>SUM(O81-L81)</f>
        <v>0</v>
      </c>
    </row>
    <row r="82" spans="1:18" s="1257" customFormat="1" ht="13.15" customHeight="1" outlineLevel="1">
      <c r="A82" s="1301" t="s">
        <v>1016</v>
      </c>
      <c r="B82" s="1301" t="s">
        <v>1025</v>
      </c>
      <c r="C82" s="1300" t="s">
        <v>1141</v>
      </c>
      <c r="D82" s="1299" t="s">
        <v>245</v>
      </c>
      <c r="E82" s="1311"/>
      <c r="F82" s="67"/>
      <c r="G82" s="1311" t="s">
        <v>231</v>
      </c>
      <c r="H82" s="1298">
        <f>VLOOKUP(G82,$A$102:$B$341,2,FALSE)*12</f>
        <v>145812</v>
      </c>
      <c r="I82" s="1297">
        <f>SUM(H82-F82)</f>
        <v>145812</v>
      </c>
      <c r="J82" s="1311" t="s">
        <v>231</v>
      </c>
      <c r="K82" s="67">
        <f>IF(J82="ABOLISHED",0, (VLOOKUP(J82,$A$64:$C395,3,FALSE)*12))</f>
        <v>145812</v>
      </c>
      <c r="L82" s="1257">
        <f>H82/12</f>
        <v>12151</v>
      </c>
      <c r="M82" s="1294">
        <f>IF(L82&lt;=80000,SUM(L82*4%)/2,1600)</f>
        <v>243.02</v>
      </c>
      <c r="N82" s="1294"/>
      <c r="O82" s="1257">
        <f>K82/12</f>
        <v>12151</v>
      </c>
      <c r="P82" s="1294">
        <f>IF(O82&lt;=80000,SUM(O82*4%)/2,1600)</f>
        <v>243.02</v>
      </c>
      <c r="R82" s="1256">
        <f>SUM(O82-L82)</f>
        <v>0</v>
      </c>
    </row>
    <row r="83" spans="1:18" s="1257" customFormat="1" ht="13.15" customHeight="1" outlineLevel="1">
      <c r="A83" s="1301"/>
      <c r="B83" s="1301"/>
      <c r="C83" s="1315" t="s">
        <v>1154</v>
      </c>
      <c r="D83" s="1314"/>
      <c r="E83" s="1313"/>
      <c r="F83" s="1298"/>
      <c r="G83" s="1313"/>
      <c r="H83" s="1298"/>
      <c r="I83" s="1297"/>
      <c r="J83" s="1313"/>
      <c r="K83" s="1298"/>
      <c r="M83" s="1294" t="s">
        <v>256</v>
      </c>
      <c r="N83" s="1294"/>
      <c r="P83" s="1294" t="s">
        <v>256</v>
      </c>
      <c r="R83" s="1256"/>
    </row>
    <row r="84" spans="1:18" s="1257" customFormat="1" ht="13.15" customHeight="1" outlineLevel="1">
      <c r="A84" s="1301" t="s">
        <v>1049</v>
      </c>
      <c r="B84" s="1301" t="s">
        <v>1034</v>
      </c>
      <c r="C84" s="1317" t="s">
        <v>1153</v>
      </c>
      <c r="D84" s="1307" t="s">
        <v>1152</v>
      </c>
      <c r="E84" s="1316" t="s">
        <v>198</v>
      </c>
      <c r="F84" s="67">
        <v>186108</v>
      </c>
      <c r="G84" s="1316" t="s">
        <v>197</v>
      </c>
      <c r="H84" s="1298">
        <f>VLOOKUP(G84,$A$102:$B$341,2,FALSE)*12</f>
        <v>187536</v>
      </c>
      <c r="I84" s="1297">
        <f>SUM(H84-F84)</f>
        <v>1428</v>
      </c>
      <c r="J84" s="1316" t="s">
        <v>197</v>
      </c>
      <c r="K84" s="67">
        <f>IF(J84="ABOLISHED",0, (VLOOKUP(J84,$A$64:$C371,3,FALSE)*12))</f>
        <v>187536</v>
      </c>
      <c r="L84" s="1257">
        <f>H84/12</f>
        <v>15628</v>
      </c>
      <c r="M84" s="1294">
        <f>IF(L84&lt;=80000,SUM(L84*4%)/2,1600)</f>
        <v>312.56</v>
      </c>
      <c r="N84" s="1294"/>
      <c r="O84" s="1257">
        <f>K84/12</f>
        <v>15628</v>
      </c>
      <c r="P84" s="1294">
        <f>IF(O84&lt;=80000,SUM(O84*4%)/2,1600)</f>
        <v>312.56</v>
      </c>
      <c r="R84" s="1256">
        <f>SUM(O84-L84)</f>
        <v>0</v>
      </c>
    </row>
    <row r="85" spans="1:18" s="1257" customFormat="1" ht="13.15" customHeight="1" outlineLevel="1">
      <c r="A85" s="1301" t="s">
        <v>1021</v>
      </c>
      <c r="B85" s="1301" t="s">
        <v>1030</v>
      </c>
      <c r="C85" s="1300" t="s">
        <v>1151</v>
      </c>
      <c r="D85" s="1299" t="s">
        <v>245</v>
      </c>
      <c r="E85" s="1311"/>
      <c r="F85" s="67"/>
      <c r="G85" s="1311" t="s">
        <v>223</v>
      </c>
      <c r="H85" s="1298">
        <f>VLOOKUP(G85,$A$102:$B$341,2,FALSE)*12</f>
        <v>154716</v>
      </c>
      <c r="I85" s="1297">
        <f>SUM(H85-F85)</f>
        <v>154716</v>
      </c>
      <c r="J85" s="1311" t="s">
        <v>223</v>
      </c>
      <c r="K85" s="67">
        <f>IF(J85="ABOLISHED",0, (VLOOKUP(J85,$A$64:$C398,3,FALSE)*12))</f>
        <v>154716</v>
      </c>
      <c r="L85" s="1257">
        <f>H85/12</f>
        <v>12893</v>
      </c>
      <c r="M85" s="1294">
        <f>IF(L85&lt;=80000,SUM(L85*4%)/2,1600)</f>
        <v>257.86</v>
      </c>
      <c r="N85" s="1294"/>
      <c r="O85" s="1257">
        <f>K85/12</f>
        <v>12893</v>
      </c>
      <c r="P85" s="1294">
        <f>IF(O85&lt;=80000,SUM(O85*4%)/2,1600)</f>
        <v>257.86</v>
      </c>
      <c r="R85" s="1256">
        <f>SUM(O85-L85)</f>
        <v>0</v>
      </c>
    </row>
    <row r="86" spans="1:18" s="1257" customFormat="1" ht="13.15" customHeight="1" outlineLevel="1">
      <c r="A86" s="1301" t="s">
        <v>1008</v>
      </c>
      <c r="B86" s="1301" t="s">
        <v>1035</v>
      </c>
      <c r="C86" s="1300" t="s">
        <v>1141</v>
      </c>
      <c r="D86" s="1299" t="s">
        <v>245</v>
      </c>
      <c r="E86" s="1311"/>
      <c r="F86" s="67"/>
      <c r="G86" s="1311" t="s">
        <v>231</v>
      </c>
      <c r="H86" s="1298">
        <f>VLOOKUP(G86,$A$102:$B$341,2,FALSE)*12</f>
        <v>145812</v>
      </c>
      <c r="I86" s="1297">
        <f>SUM(H86-F86)</f>
        <v>145812</v>
      </c>
      <c r="J86" s="1311" t="s">
        <v>231</v>
      </c>
      <c r="K86" s="67">
        <f>IF(J86="ABOLISHED",0, (VLOOKUP(J86,$A$64:$C399,3,FALSE)*12))</f>
        <v>145812</v>
      </c>
      <c r="L86" s="1257">
        <f>H86/12</f>
        <v>12151</v>
      </c>
      <c r="M86" s="1294">
        <f>IF(L86&lt;=80000,SUM(L86*4%)/2,1600)</f>
        <v>243.02</v>
      </c>
      <c r="N86" s="1294"/>
      <c r="O86" s="1257">
        <f>K86/12</f>
        <v>12151</v>
      </c>
      <c r="P86" s="1294">
        <f>IF(O86&lt;=80000,SUM(O86*4%)/2,1600)</f>
        <v>243.02</v>
      </c>
      <c r="R86" s="1256">
        <f>SUM(O86-L86)</f>
        <v>0</v>
      </c>
    </row>
    <row r="87" spans="1:18" s="1257" customFormat="1" ht="13.15" customHeight="1" outlineLevel="1">
      <c r="A87" s="1301"/>
      <c r="B87" s="1301"/>
      <c r="C87" s="1315" t="s">
        <v>1150</v>
      </c>
      <c r="D87" s="1314"/>
      <c r="E87" s="1313"/>
      <c r="F87" s="1298"/>
      <c r="G87" s="1313"/>
      <c r="H87" s="1298"/>
      <c r="I87" s="1297"/>
      <c r="J87" s="1313"/>
      <c r="K87" s="1298"/>
      <c r="M87" s="1294" t="s">
        <v>256</v>
      </c>
      <c r="N87" s="1294"/>
      <c r="P87" s="1294" t="s">
        <v>256</v>
      </c>
      <c r="R87" s="1256"/>
    </row>
    <row r="88" spans="1:18" s="1257" customFormat="1" ht="13.15" customHeight="1" outlineLevel="1">
      <c r="A88" s="1301" t="s">
        <v>1041</v>
      </c>
      <c r="B88" s="1301" t="s">
        <v>1028</v>
      </c>
      <c r="C88" s="1312" t="s">
        <v>736</v>
      </c>
      <c r="D88" s="1299" t="s">
        <v>1149</v>
      </c>
      <c r="E88" s="1296" t="s">
        <v>172</v>
      </c>
      <c r="F88" s="67">
        <v>229020</v>
      </c>
      <c r="G88" s="1296" t="s">
        <v>172</v>
      </c>
      <c r="H88" s="1298">
        <f t="shared" ref="H88:H94" si="33">VLOOKUP(G88,$A$102:$B$341,2,FALSE)*12</f>
        <v>229020</v>
      </c>
      <c r="I88" s="1297">
        <f t="shared" ref="I88:I94" si="34">SUM(H88-F88)</f>
        <v>0</v>
      </c>
      <c r="J88" s="1296" t="s">
        <v>172</v>
      </c>
      <c r="K88" s="67">
        <f>IF(J88="ABOLISHED",0, (VLOOKUP(J88,$A$64:$C375,3,FALSE)*12))</f>
        <v>229020</v>
      </c>
      <c r="L88" s="1257">
        <f t="shared" ref="L88:L94" si="35">H88/12</f>
        <v>19085</v>
      </c>
      <c r="M88" s="1294">
        <f t="shared" ref="M88:M94" si="36">IF(L88&lt;=80000,SUM(L88*4%)/2,1600)</f>
        <v>381.7</v>
      </c>
      <c r="N88" s="1294"/>
      <c r="O88" s="1257">
        <f t="shared" ref="O88:O94" si="37">K88/12</f>
        <v>19085</v>
      </c>
      <c r="P88" s="1294">
        <f t="shared" ref="P88:P94" si="38">IF(O88&lt;=80000,SUM(O88*4%)/2,1600)</f>
        <v>381.7</v>
      </c>
      <c r="R88" s="1256">
        <f t="shared" ref="R88:R94" si="39">SUM(O88-L88)</f>
        <v>0</v>
      </c>
    </row>
    <row r="89" spans="1:18" s="1257" customFormat="1" ht="13.15" customHeight="1" outlineLevel="1">
      <c r="A89" s="1301" t="s">
        <v>1044</v>
      </c>
      <c r="B89" s="1301" t="s">
        <v>1033</v>
      </c>
      <c r="C89" s="1300" t="s">
        <v>1148</v>
      </c>
      <c r="D89" s="1299" t="s">
        <v>1147</v>
      </c>
      <c r="E89" s="1296" t="s">
        <v>180</v>
      </c>
      <c r="F89" s="67">
        <v>213756</v>
      </c>
      <c r="G89" s="1296" t="s">
        <v>179</v>
      </c>
      <c r="H89" s="1298">
        <f t="shared" si="33"/>
        <v>215688</v>
      </c>
      <c r="I89" s="1297">
        <f t="shared" si="34"/>
        <v>1932</v>
      </c>
      <c r="J89" s="1296" t="s">
        <v>179</v>
      </c>
      <c r="K89" s="67">
        <f>IF(J89="ABOLISHED",0, (VLOOKUP(J89,$A$64:$C374,3,FALSE)*12))</f>
        <v>215688</v>
      </c>
      <c r="L89" s="1257">
        <f t="shared" si="35"/>
        <v>17974</v>
      </c>
      <c r="M89" s="1294">
        <f t="shared" si="36"/>
        <v>359.48</v>
      </c>
      <c r="N89" s="1294"/>
      <c r="O89" s="1257">
        <f t="shared" si="37"/>
        <v>17974</v>
      </c>
      <c r="P89" s="1294">
        <f t="shared" si="38"/>
        <v>359.48</v>
      </c>
      <c r="R89" s="1256">
        <f t="shared" si="39"/>
        <v>0</v>
      </c>
    </row>
    <row r="90" spans="1:18" s="1257" customFormat="1" ht="13.15" customHeight="1" outlineLevel="1">
      <c r="A90" s="1301" t="s">
        <v>1025</v>
      </c>
      <c r="B90" s="1301" t="s">
        <v>1021</v>
      </c>
      <c r="C90" s="1300" t="s">
        <v>1145</v>
      </c>
      <c r="D90" s="1310" t="s">
        <v>1146</v>
      </c>
      <c r="E90" s="1311" t="s">
        <v>208</v>
      </c>
      <c r="F90" s="67">
        <v>173184</v>
      </c>
      <c r="G90" s="1311" t="s">
        <v>208</v>
      </c>
      <c r="H90" s="1298">
        <f t="shared" si="33"/>
        <v>173184</v>
      </c>
      <c r="I90" s="1297">
        <f t="shared" si="34"/>
        <v>0</v>
      </c>
      <c r="J90" s="1311" t="s">
        <v>208</v>
      </c>
      <c r="K90" s="67">
        <f>IF(J90="ABOLISHED",0, (VLOOKUP(J90,$A$64:$C376,3,FALSE)*12))</f>
        <v>173184</v>
      </c>
      <c r="L90" s="1257">
        <f t="shared" si="35"/>
        <v>14432</v>
      </c>
      <c r="M90" s="1294">
        <f t="shared" si="36"/>
        <v>288.64</v>
      </c>
      <c r="N90" s="1294"/>
      <c r="O90" s="1257">
        <f t="shared" si="37"/>
        <v>14432</v>
      </c>
      <c r="P90" s="1294">
        <f t="shared" si="38"/>
        <v>288.64</v>
      </c>
      <c r="R90" s="1256">
        <f t="shared" si="39"/>
        <v>0</v>
      </c>
    </row>
    <row r="91" spans="1:18" s="1257" customFormat="1" ht="13.15" customHeight="1" outlineLevel="1">
      <c r="A91" s="1301" t="s">
        <v>1034</v>
      </c>
      <c r="B91" s="1301" t="s">
        <v>1019</v>
      </c>
      <c r="C91" s="1300" t="s">
        <v>1145</v>
      </c>
      <c r="D91" s="1310" t="s">
        <v>1144</v>
      </c>
      <c r="E91" s="1296" t="s">
        <v>212</v>
      </c>
      <c r="F91" s="67">
        <v>167976</v>
      </c>
      <c r="G91" s="1296" t="s">
        <v>212</v>
      </c>
      <c r="H91" s="1298">
        <f t="shared" si="33"/>
        <v>167976</v>
      </c>
      <c r="I91" s="1297">
        <f t="shared" si="34"/>
        <v>0</v>
      </c>
      <c r="J91" s="1296" t="s">
        <v>212</v>
      </c>
      <c r="K91" s="67">
        <f>IF(J91="ABOLISHED",0, (VLOOKUP(J91,$A$64:$C377,3,FALSE)*12))</f>
        <v>167976</v>
      </c>
      <c r="L91" s="1257">
        <f t="shared" si="35"/>
        <v>13998</v>
      </c>
      <c r="M91" s="1294">
        <f t="shared" si="36"/>
        <v>279.95999999999998</v>
      </c>
      <c r="N91" s="1295"/>
      <c r="O91" s="1257">
        <f t="shared" si="37"/>
        <v>13998</v>
      </c>
      <c r="P91" s="1294">
        <f t="shared" si="38"/>
        <v>279.95999999999998</v>
      </c>
      <c r="R91" s="1256">
        <f t="shared" si="39"/>
        <v>0</v>
      </c>
    </row>
    <row r="92" spans="1:18" s="1257" customFormat="1" ht="13.15" customHeight="1" outlineLevel="1">
      <c r="A92" s="1301" t="s">
        <v>1030</v>
      </c>
      <c r="B92" s="1301" t="s">
        <v>1027</v>
      </c>
      <c r="C92" s="1300" t="s">
        <v>1143</v>
      </c>
      <c r="D92" s="1310" t="s">
        <v>245</v>
      </c>
      <c r="E92" s="1296" t="s">
        <v>223</v>
      </c>
      <c r="F92" s="67">
        <v>154716</v>
      </c>
      <c r="G92" s="1296" t="s">
        <v>223</v>
      </c>
      <c r="H92" s="1298">
        <f t="shared" si="33"/>
        <v>154716</v>
      </c>
      <c r="I92" s="1297">
        <f t="shared" si="34"/>
        <v>0</v>
      </c>
      <c r="J92" s="1296" t="s">
        <v>223</v>
      </c>
      <c r="K92" s="67">
        <f>IF(J92="ABOLISHED",0, (VLOOKUP(J92,$A$64:$C378,3,FALSE)*12))</f>
        <v>154716</v>
      </c>
      <c r="L92" s="1257">
        <f t="shared" si="35"/>
        <v>12893</v>
      </c>
      <c r="M92" s="1294">
        <f t="shared" si="36"/>
        <v>257.86</v>
      </c>
      <c r="N92" s="1295"/>
      <c r="O92" s="1257">
        <f t="shared" si="37"/>
        <v>12893</v>
      </c>
      <c r="P92" s="1294">
        <f t="shared" si="38"/>
        <v>257.86</v>
      </c>
      <c r="R92" s="1256">
        <f t="shared" si="39"/>
        <v>0</v>
      </c>
    </row>
    <row r="93" spans="1:18" s="1302" customFormat="1" ht="13.15" customHeight="1" outlineLevel="1">
      <c r="A93" s="1309" t="s">
        <v>1035</v>
      </c>
      <c r="B93" s="1309" t="s">
        <v>1024</v>
      </c>
      <c r="C93" s="1308" t="s">
        <v>603</v>
      </c>
      <c r="D93" s="1307" t="s">
        <v>1142</v>
      </c>
      <c r="E93" s="1304" t="s">
        <v>223</v>
      </c>
      <c r="F93" s="1303">
        <v>154716</v>
      </c>
      <c r="G93" s="1304" t="s">
        <v>223</v>
      </c>
      <c r="H93" s="1306">
        <f t="shared" si="33"/>
        <v>154716</v>
      </c>
      <c r="I93" s="1305">
        <f t="shared" si="34"/>
        <v>0</v>
      </c>
      <c r="J93" s="1304" t="s">
        <v>223</v>
      </c>
      <c r="K93" s="1303">
        <f>IF(J93="ABOLISHED",0, (VLOOKUP(J93,$A$64:$C380,3,FALSE)*12))</f>
        <v>154716</v>
      </c>
      <c r="L93" s="1302">
        <f t="shared" si="35"/>
        <v>12893</v>
      </c>
      <c r="M93" s="1294">
        <f t="shared" si="36"/>
        <v>257.86</v>
      </c>
      <c r="N93" s="1295"/>
      <c r="O93" s="1302">
        <f t="shared" si="37"/>
        <v>12893</v>
      </c>
      <c r="P93" s="1294">
        <f t="shared" si="38"/>
        <v>257.86</v>
      </c>
      <c r="R93" s="1269">
        <f t="shared" si="39"/>
        <v>0</v>
      </c>
    </row>
    <row r="94" spans="1:18" s="1257" customFormat="1" ht="13.15" customHeight="1" outlineLevel="1">
      <c r="A94" s="1301" t="s">
        <v>1004</v>
      </c>
      <c r="B94" s="1301" t="s">
        <v>1016</v>
      </c>
      <c r="C94" s="1300" t="s">
        <v>1141</v>
      </c>
      <c r="D94" s="1299" t="s">
        <v>245</v>
      </c>
      <c r="E94" s="1296"/>
      <c r="F94" s="67"/>
      <c r="G94" s="1296" t="s">
        <v>231</v>
      </c>
      <c r="H94" s="1298">
        <f t="shared" si="33"/>
        <v>145812</v>
      </c>
      <c r="I94" s="1297">
        <f t="shared" si="34"/>
        <v>145812</v>
      </c>
      <c r="J94" s="1296" t="s">
        <v>231</v>
      </c>
      <c r="K94" s="67">
        <f>IF(J94="ABOLISHED",0, (VLOOKUP(J94,$A$64:$C381,3,FALSE)*12))</f>
        <v>145812</v>
      </c>
      <c r="L94" s="1257">
        <f t="shared" si="35"/>
        <v>12151</v>
      </c>
      <c r="M94" s="1294">
        <f t="shared" si="36"/>
        <v>243.02</v>
      </c>
      <c r="N94" s="1295"/>
      <c r="O94" s="1257">
        <f t="shared" si="37"/>
        <v>12151</v>
      </c>
      <c r="P94" s="1294">
        <f t="shared" si="38"/>
        <v>243.02</v>
      </c>
      <c r="R94" s="1256">
        <f t="shared" si="39"/>
        <v>0</v>
      </c>
    </row>
    <row r="95" spans="1:18" ht="16.149999999999999" customHeight="1">
      <c r="A95" s="1293"/>
      <c r="B95" s="1292">
        <v>61</v>
      </c>
      <c r="C95" s="1291"/>
      <c r="D95" s="1290" t="s">
        <v>244</v>
      </c>
      <c r="E95" s="1289"/>
      <c r="F95" s="1288">
        <f>SUM(F13:F94)</f>
        <v>14581572</v>
      </c>
      <c r="G95" s="1286"/>
      <c r="H95" s="1288">
        <f>SUM(H13:H94)</f>
        <v>14323632</v>
      </c>
      <c r="I95" s="1287">
        <f>SUM(I13:I94)</f>
        <v>-257940</v>
      </c>
      <c r="J95" s="1286"/>
      <c r="K95" s="1285">
        <f>SUM(K13:K94)</f>
        <v>14323632</v>
      </c>
      <c r="L95" s="1278"/>
      <c r="M95" s="1277">
        <f>SUM(M13:M94)</f>
        <v>23500.360000000004</v>
      </c>
      <c r="N95" s="1279"/>
      <c r="O95" s="1278"/>
      <c r="P95" s="1277">
        <f>SUM(P13:P94)</f>
        <v>23500.360000000004</v>
      </c>
    </row>
    <row r="96" spans="1:18" ht="16.149999999999999" hidden="1" customHeight="1">
      <c r="A96" s="1284"/>
      <c r="B96" s="1284"/>
      <c r="C96" s="1277"/>
      <c r="D96" s="1283"/>
      <c r="E96" s="1282"/>
      <c r="F96" s="1281"/>
      <c r="G96" s="1269"/>
      <c r="H96" s="1280" t="s">
        <v>1140</v>
      </c>
      <c r="I96" s="1278"/>
      <c r="J96" s="1279"/>
      <c r="K96" s="1279"/>
      <c r="L96" s="1278"/>
      <c r="M96" s="1277">
        <v>12</v>
      </c>
      <c r="N96" s="1279"/>
      <c r="O96" s="1278"/>
      <c r="P96" s="1277">
        <v>12</v>
      </c>
    </row>
    <row r="97" spans="1:18" ht="14.25" hidden="1" customHeight="1" thickBot="1">
      <c r="E97" s="1274"/>
      <c r="M97" s="1276">
        <f>ROUNDUP(SUM(M95*M96),0)</f>
        <v>282005</v>
      </c>
      <c r="P97" s="1276">
        <f>ROUNDUP(SUM(P95*P96),0)</f>
        <v>282005</v>
      </c>
      <c r="R97" s="1256">
        <f>SUM(M97-P97)</f>
        <v>0</v>
      </c>
    </row>
    <row r="98" spans="1:18" ht="14.25" hidden="1" customHeight="1" thickTop="1">
      <c r="E98" s="1274"/>
      <c r="R98" s="1256">
        <v>9185</v>
      </c>
    </row>
    <row r="99" spans="1:18" ht="14.25" hidden="1" customHeight="1">
      <c r="A99" s="4740"/>
      <c r="B99" s="4740"/>
      <c r="C99" s="1275"/>
      <c r="D99" s="1257"/>
      <c r="E99" s="1274"/>
      <c r="R99" s="1256">
        <v>9137</v>
      </c>
    </row>
    <row r="100" spans="1:18" hidden="1">
      <c r="A100" s="4736" t="s">
        <v>1139</v>
      </c>
      <c r="B100" s="4737"/>
      <c r="C100" s="1273"/>
      <c r="D100" s="1257"/>
      <c r="R100" s="1256">
        <f>SUM(R98-R99)</f>
        <v>48</v>
      </c>
    </row>
    <row r="101" spans="1:18" ht="15" hidden="1">
      <c r="A101" s="25" t="s">
        <v>242</v>
      </c>
      <c r="B101" s="24" t="s">
        <v>241</v>
      </c>
      <c r="C101" s="23" t="s">
        <v>240</v>
      </c>
      <c r="D101" s="1257"/>
    </row>
    <row r="102" spans="1:18" hidden="1">
      <c r="A102" s="21" t="s">
        <v>239</v>
      </c>
      <c r="B102" s="1272">
        <v>11432</v>
      </c>
      <c r="C102" s="1272">
        <v>11432</v>
      </c>
      <c r="D102" s="1261"/>
      <c r="E102" s="1267"/>
      <c r="F102" s="1266"/>
      <c r="G102" s="1268"/>
      <c r="H102" s="1265"/>
      <c r="I102" s="1265"/>
      <c r="J102" s="1264"/>
      <c r="K102" s="1264"/>
      <c r="L102" s="1265"/>
      <c r="M102" s="1265"/>
      <c r="N102" s="1264"/>
    </row>
    <row r="103" spans="1:18" hidden="1">
      <c r="A103" s="12" t="s">
        <v>238</v>
      </c>
      <c r="B103" s="1272">
        <v>11527</v>
      </c>
      <c r="C103" s="1272">
        <v>11527</v>
      </c>
      <c r="D103" s="1261"/>
      <c r="E103" s="1267"/>
      <c r="F103" s="1266"/>
      <c r="G103" s="1268"/>
      <c r="H103" s="1265"/>
      <c r="I103" s="1265"/>
      <c r="J103" s="1264"/>
      <c r="K103" s="1264"/>
      <c r="L103" s="1265"/>
      <c r="M103" s="1265"/>
      <c r="N103" s="1264"/>
    </row>
    <row r="104" spans="1:18" hidden="1">
      <c r="A104" s="21" t="s">
        <v>237</v>
      </c>
      <c r="B104" s="1272">
        <v>11624</v>
      </c>
      <c r="C104" s="1272">
        <v>11624</v>
      </c>
      <c r="D104" s="1261"/>
      <c r="E104" s="1267"/>
      <c r="F104" s="1266"/>
      <c r="G104" s="1268"/>
    </row>
    <row r="105" spans="1:18" hidden="1">
      <c r="A105" s="12" t="s">
        <v>236</v>
      </c>
      <c r="B105" s="1272">
        <v>11722</v>
      </c>
      <c r="C105" s="1272">
        <v>11722</v>
      </c>
      <c r="D105" s="1261"/>
      <c r="E105" s="1267"/>
      <c r="F105" s="1266"/>
      <c r="G105" s="1268"/>
      <c r="H105" s="1265"/>
    </row>
    <row r="106" spans="1:18" hidden="1">
      <c r="A106" s="21" t="s">
        <v>235</v>
      </c>
      <c r="B106" s="1272">
        <v>11820</v>
      </c>
      <c r="C106" s="1272">
        <v>11820</v>
      </c>
      <c r="D106" s="1261"/>
      <c r="E106" s="1267"/>
      <c r="F106" s="1266"/>
      <c r="G106" s="1268"/>
      <c r="H106" s="1265"/>
      <c r="I106" s="1265"/>
      <c r="J106" s="1264"/>
      <c r="K106" s="1264"/>
      <c r="L106" s="1265"/>
      <c r="M106" s="1265"/>
      <c r="N106" s="1264"/>
    </row>
    <row r="107" spans="1:18" hidden="1">
      <c r="A107" s="12" t="s">
        <v>234</v>
      </c>
      <c r="B107" s="1272">
        <v>11918</v>
      </c>
      <c r="C107" s="1272">
        <v>11918</v>
      </c>
      <c r="D107" s="1261"/>
      <c r="E107" s="1267"/>
      <c r="F107" s="1266"/>
      <c r="G107" s="1268"/>
      <c r="H107" s="1265"/>
    </row>
    <row r="108" spans="1:18" hidden="1">
      <c r="A108" s="21" t="s">
        <v>233</v>
      </c>
      <c r="B108" s="1272">
        <v>12018</v>
      </c>
      <c r="C108" s="1272">
        <v>12018</v>
      </c>
      <c r="D108" s="1261"/>
      <c r="E108" s="1267"/>
      <c r="F108" s="1266"/>
      <c r="G108" s="1265"/>
      <c r="H108" s="1265"/>
    </row>
    <row r="109" spans="1:18" hidden="1">
      <c r="A109" s="12" t="s">
        <v>232</v>
      </c>
      <c r="B109" s="1272">
        <v>12118</v>
      </c>
      <c r="C109" s="1272">
        <v>12118</v>
      </c>
      <c r="D109" s="1261"/>
      <c r="E109" s="1267"/>
      <c r="F109" s="1266"/>
      <c r="G109" s="1265"/>
      <c r="H109" s="1265"/>
      <c r="I109" s="1265"/>
      <c r="J109" s="1264"/>
      <c r="K109" s="1264"/>
      <c r="L109" s="1265"/>
      <c r="M109" s="1265"/>
      <c r="N109" s="1264"/>
    </row>
    <row r="110" spans="1:18" hidden="1">
      <c r="A110" s="20" t="s">
        <v>231</v>
      </c>
      <c r="B110" s="1262">
        <v>12151</v>
      </c>
      <c r="C110" s="1262">
        <v>12151</v>
      </c>
      <c r="D110" s="1261"/>
      <c r="E110" s="1271"/>
      <c r="F110" s="1266"/>
      <c r="G110" s="1265"/>
      <c r="H110" s="1265"/>
    </row>
    <row r="111" spans="1:18" hidden="1">
      <c r="A111" s="10" t="s">
        <v>230</v>
      </c>
      <c r="B111" s="1262">
        <v>12244</v>
      </c>
      <c r="C111" s="1262">
        <v>12244</v>
      </c>
      <c r="D111" s="1261"/>
      <c r="E111" s="1271"/>
      <c r="F111" s="1266"/>
      <c r="G111" s="1265"/>
      <c r="H111" s="1265"/>
      <c r="I111" s="1265"/>
      <c r="J111" s="1264"/>
      <c r="K111" s="1264"/>
      <c r="L111" s="1265"/>
      <c r="M111" s="1265"/>
      <c r="N111" s="1264"/>
    </row>
    <row r="112" spans="1:18" hidden="1">
      <c r="A112" s="20" t="s">
        <v>229</v>
      </c>
      <c r="B112" s="1262">
        <v>12338</v>
      </c>
      <c r="C112" s="1262">
        <v>12338</v>
      </c>
      <c r="D112" s="1261"/>
      <c r="E112" s="1271"/>
      <c r="F112" s="1266"/>
      <c r="G112" s="1265"/>
    </row>
    <row r="113" spans="1:14" hidden="1">
      <c r="A113" s="10" t="s">
        <v>228</v>
      </c>
      <c r="B113" s="1262">
        <v>12433</v>
      </c>
      <c r="C113" s="1262">
        <v>12433</v>
      </c>
      <c r="D113" s="1261"/>
      <c r="E113" s="1271"/>
      <c r="F113" s="1266"/>
      <c r="G113" s="1265"/>
      <c r="H113" s="1265"/>
    </row>
    <row r="114" spans="1:14" hidden="1">
      <c r="A114" s="20" t="s">
        <v>227</v>
      </c>
      <c r="B114" s="1262">
        <v>12528</v>
      </c>
      <c r="C114" s="1262">
        <v>12528</v>
      </c>
      <c r="D114" s="1261"/>
      <c r="E114" s="1271"/>
      <c r="F114" s="1266"/>
      <c r="G114" s="1265"/>
      <c r="H114" s="1265"/>
      <c r="I114" s="1265"/>
      <c r="J114" s="1264"/>
      <c r="K114" s="1264"/>
      <c r="L114" s="1265"/>
      <c r="M114" s="1265"/>
      <c r="N114" s="1264"/>
    </row>
    <row r="115" spans="1:14" hidden="1">
      <c r="A115" s="10" t="s">
        <v>226</v>
      </c>
      <c r="B115" s="1262">
        <v>12624</v>
      </c>
      <c r="C115" s="1262">
        <v>12624</v>
      </c>
      <c r="D115" s="1261"/>
      <c r="E115" s="1271"/>
      <c r="F115" s="1266"/>
      <c r="G115" s="1265"/>
      <c r="H115" s="1265"/>
      <c r="I115" s="1265"/>
      <c r="J115" s="1264"/>
      <c r="K115" s="1264"/>
      <c r="L115" s="1265"/>
      <c r="M115" s="1265"/>
      <c r="N115" s="1264"/>
    </row>
    <row r="116" spans="1:14" hidden="1">
      <c r="A116" s="20" t="s">
        <v>225</v>
      </c>
      <c r="B116" s="1262">
        <v>12721</v>
      </c>
      <c r="C116" s="1262">
        <v>12721</v>
      </c>
      <c r="D116" s="1261"/>
      <c r="E116" s="1271"/>
      <c r="F116" s="1266"/>
      <c r="G116" s="1265"/>
      <c r="H116" s="1265"/>
      <c r="I116" s="1265"/>
      <c r="J116" s="1264"/>
      <c r="K116" s="1264"/>
      <c r="L116" s="1265"/>
      <c r="M116" s="1265"/>
      <c r="N116" s="1264"/>
    </row>
    <row r="117" spans="1:14" hidden="1">
      <c r="A117" s="10" t="s">
        <v>224</v>
      </c>
      <c r="B117" s="1262">
        <v>12818</v>
      </c>
      <c r="C117" s="1262">
        <v>12818</v>
      </c>
      <c r="D117" s="1261"/>
      <c r="E117" s="1271"/>
      <c r="F117" s="1266"/>
      <c r="G117" s="1265"/>
      <c r="H117" s="1265"/>
    </row>
    <row r="118" spans="1:14" hidden="1">
      <c r="A118" s="21" t="s">
        <v>223</v>
      </c>
      <c r="B118" s="1263">
        <v>12893</v>
      </c>
      <c r="C118" s="1263">
        <v>12893</v>
      </c>
      <c r="D118" s="1261"/>
      <c r="E118" s="1267"/>
      <c r="F118" s="1266"/>
      <c r="G118" s="1265"/>
      <c r="H118" s="1265"/>
    </row>
    <row r="119" spans="1:14" hidden="1">
      <c r="A119" s="12" t="s">
        <v>222</v>
      </c>
      <c r="B119" s="1263">
        <v>12993</v>
      </c>
      <c r="C119" s="1263">
        <v>12993</v>
      </c>
      <c r="D119" s="1261"/>
      <c r="E119" s="1267"/>
      <c r="F119" s="1266"/>
      <c r="G119" s="1265"/>
      <c r="H119" s="1265"/>
      <c r="I119" s="1265"/>
      <c r="J119" s="1264"/>
      <c r="K119" s="1264"/>
      <c r="L119" s="1265"/>
      <c r="M119" s="1265"/>
      <c r="N119" s="1264"/>
    </row>
    <row r="120" spans="1:14" hidden="1">
      <c r="A120" s="21" t="s">
        <v>221</v>
      </c>
      <c r="B120" s="1263">
        <v>13092</v>
      </c>
      <c r="C120" s="1263">
        <v>13092</v>
      </c>
      <c r="D120" s="1261"/>
      <c r="E120" s="1267"/>
      <c r="F120" s="1266"/>
      <c r="G120" s="1265"/>
      <c r="H120" s="1265"/>
      <c r="I120" s="1265"/>
      <c r="J120" s="1264"/>
      <c r="K120" s="1264"/>
      <c r="L120" s="1265"/>
      <c r="M120" s="1265"/>
      <c r="N120" s="1264"/>
    </row>
    <row r="121" spans="1:14" hidden="1">
      <c r="A121" s="12" t="s">
        <v>220</v>
      </c>
      <c r="B121" s="1263">
        <v>13194</v>
      </c>
      <c r="C121" s="1263">
        <v>13194</v>
      </c>
      <c r="D121" s="1261"/>
      <c r="E121" s="1267"/>
      <c r="F121" s="1266"/>
      <c r="G121" s="1265"/>
      <c r="H121" s="1265"/>
    </row>
    <row r="122" spans="1:14" hidden="1">
      <c r="A122" s="21" t="s">
        <v>219</v>
      </c>
      <c r="B122" s="1263">
        <v>13295</v>
      </c>
      <c r="C122" s="1263">
        <v>13295</v>
      </c>
      <c r="D122" s="1261"/>
      <c r="E122" s="1267"/>
      <c r="F122" s="1266"/>
      <c r="G122" s="1265"/>
      <c r="H122" s="1265"/>
      <c r="I122" s="1265"/>
      <c r="J122" s="1264"/>
      <c r="K122" s="1264"/>
      <c r="L122" s="1265"/>
      <c r="M122" s="1265"/>
      <c r="N122" s="1264"/>
    </row>
    <row r="123" spans="1:14" hidden="1">
      <c r="A123" s="12" t="s">
        <v>218</v>
      </c>
      <c r="B123" s="1263">
        <v>13396</v>
      </c>
      <c r="C123" s="1263">
        <v>13396</v>
      </c>
      <c r="D123" s="1261"/>
      <c r="E123" s="1267"/>
      <c r="F123" s="1266"/>
      <c r="G123" s="1265"/>
      <c r="H123" s="1265"/>
    </row>
    <row r="124" spans="1:14" hidden="1">
      <c r="A124" s="21" t="s">
        <v>217</v>
      </c>
      <c r="B124" s="1263">
        <v>13500</v>
      </c>
      <c r="C124" s="1263">
        <v>13500</v>
      </c>
      <c r="D124" s="1261"/>
      <c r="E124" s="1267"/>
      <c r="F124" s="1266"/>
      <c r="G124" s="1265"/>
      <c r="H124" s="1265"/>
    </row>
    <row r="125" spans="1:14" hidden="1">
      <c r="A125" s="12" t="s">
        <v>216</v>
      </c>
      <c r="B125" s="1263">
        <v>13603</v>
      </c>
      <c r="C125" s="1263">
        <v>13603</v>
      </c>
      <c r="D125" s="1261"/>
      <c r="E125" s="1267"/>
      <c r="F125" s="1266"/>
      <c r="G125" s="1265"/>
      <c r="H125" s="1265"/>
      <c r="I125" s="1265"/>
      <c r="J125" s="1264"/>
      <c r="K125" s="1264"/>
      <c r="L125" s="1265"/>
      <c r="M125" s="1265"/>
      <c r="N125" s="1264"/>
    </row>
    <row r="126" spans="1:14" hidden="1">
      <c r="A126" s="20" t="s">
        <v>215</v>
      </c>
      <c r="B126" s="1262">
        <v>13680</v>
      </c>
      <c r="C126" s="1262">
        <v>13680</v>
      </c>
      <c r="D126" s="1261"/>
      <c r="E126" s="1267"/>
      <c r="F126" s="1266"/>
    </row>
    <row r="127" spans="1:14" hidden="1">
      <c r="A127" s="10" t="s">
        <v>214</v>
      </c>
      <c r="B127" s="1262">
        <v>13785</v>
      </c>
      <c r="C127" s="1262">
        <v>13785</v>
      </c>
      <c r="D127" s="1261"/>
      <c r="E127" s="1267"/>
      <c r="F127" s="1266"/>
    </row>
    <row r="128" spans="1:14" hidden="1">
      <c r="A128" s="20" t="s">
        <v>213</v>
      </c>
      <c r="B128" s="1262">
        <v>13891</v>
      </c>
      <c r="C128" s="1262">
        <v>13891</v>
      </c>
      <c r="D128" s="1261"/>
      <c r="E128" s="1267"/>
      <c r="F128" s="1266"/>
    </row>
    <row r="129" spans="1:14" hidden="1">
      <c r="A129" s="10" t="s">
        <v>212</v>
      </c>
      <c r="B129" s="1262">
        <v>13998</v>
      </c>
      <c r="C129" s="1262">
        <v>13998</v>
      </c>
      <c r="D129" s="1261"/>
      <c r="E129" s="1267"/>
      <c r="F129" s="1266"/>
    </row>
    <row r="130" spans="1:14" hidden="1">
      <c r="A130" s="20" t="s">
        <v>211</v>
      </c>
      <c r="B130" s="1262">
        <v>14106</v>
      </c>
      <c r="C130" s="1262">
        <v>14106</v>
      </c>
      <c r="D130" s="1261"/>
      <c r="E130" s="1267"/>
      <c r="F130" s="1266"/>
    </row>
    <row r="131" spans="1:14" hidden="1">
      <c r="A131" s="10" t="s">
        <v>210</v>
      </c>
      <c r="B131" s="1262">
        <v>14213</v>
      </c>
      <c r="C131" s="1262">
        <v>14213</v>
      </c>
      <c r="D131" s="1261"/>
      <c r="E131" s="1267"/>
      <c r="F131" s="1266"/>
    </row>
    <row r="132" spans="1:14" hidden="1">
      <c r="A132" s="20" t="s">
        <v>209</v>
      </c>
      <c r="B132" s="1262">
        <v>14323</v>
      </c>
      <c r="C132" s="1262">
        <v>14323</v>
      </c>
      <c r="D132" s="1261"/>
      <c r="E132" s="1267"/>
      <c r="F132" s="1266"/>
    </row>
    <row r="133" spans="1:14" hidden="1">
      <c r="A133" s="10" t="s">
        <v>208</v>
      </c>
      <c r="B133" s="1262">
        <v>14432</v>
      </c>
      <c r="C133" s="1262">
        <v>14432</v>
      </c>
      <c r="D133" s="1261"/>
      <c r="E133" s="1267"/>
      <c r="F133" s="1266"/>
    </row>
    <row r="134" spans="1:14" hidden="1">
      <c r="A134" s="12" t="s">
        <v>207</v>
      </c>
      <c r="B134" s="1263">
        <v>14511</v>
      </c>
      <c r="C134" s="1263">
        <v>14511</v>
      </c>
      <c r="D134" s="1261"/>
      <c r="E134" s="1267"/>
      <c r="F134" s="1266"/>
      <c r="G134" s="1265"/>
      <c r="H134" s="1265"/>
      <c r="I134" s="1265"/>
      <c r="J134" s="1264"/>
      <c r="K134" s="1264"/>
      <c r="L134" s="1265"/>
      <c r="M134" s="1265"/>
      <c r="N134" s="1264"/>
    </row>
    <row r="135" spans="1:14" hidden="1">
      <c r="A135" s="12" t="s">
        <v>206</v>
      </c>
      <c r="B135" s="1263">
        <v>14623</v>
      </c>
      <c r="C135" s="1263">
        <v>14623</v>
      </c>
      <c r="D135" s="1261"/>
      <c r="E135" s="1267"/>
      <c r="F135" s="1266"/>
      <c r="G135" s="1265"/>
      <c r="H135" s="1265"/>
    </row>
    <row r="136" spans="1:14" hidden="1">
      <c r="A136" s="12" t="s">
        <v>205</v>
      </c>
      <c r="B136" s="1263">
        <v>14735</v>
      </c>
      <c r="C136" s="1263">
        <v>14735</v>
      </c>
      <c r="D136" s="1261"/>
      <c r="E136" s="1267"/>
      <c r="F136" s="1266"/>
      <c r="G136" s="1265"/>
      <c r="H136" s="1265"/>
    </row>
    <row r="137" spans="1:14" hidden="1">
      <c r="A137" s="12" t="s">
        <v>204</v>
      </c>
      <c r="B137" s="1263">
        <v>14849</v>
      </c>
      <c r="C137" s="1263">
        <v>14849</v>
      </c>
      <c r="D137" s="1261"/>
      <c r="E137" s="1267"/>
      <c r="F137" s="1266"/>
      <c r="G137" s="1265"/>
      <c r="H137" s="1265"/>
    </row>
    <row r="138" spans="1:14" hidden="1">
      <c r="A138" s="12" t="s">
        <v>203</v>
      </c>
      <c r="B138" s="1263">
        <v>14963</v>
      </c>
      <c r="C138" s="1263">
        <v>14963</v>
      </c>
      <c r="D138" s="1261"/>
      <c r="E138" s="1267"/>
      <c r="F138" s="1266"/>
      <c r="G138" s="1265"/>
      <c r="H138" s="1265"/>
    </row>
    <row r="139" spans="1:14" hidden="1">
      <c r="A139" s="12" t="s">
        <v>202</v>
      </c>
      <c r="B139" s="1263">
        <v>15077</v>
      </c>
      <c r="C139" s="1263">
        <v>15077</v>
      </c>
      <c r="D139" s="1261"/>
      <c r="E139" s="1267"/>
      <c r="F139" s="1266"/>
      <c r="G139" s="1265"/>
      <c r="H139" s="1265"/>
      <c r="I139" s="1265"/>
      <c r="J139" s="1264"/>
      <c r="K139" s="1264"/>
      <c r="L139" s="1265"/>
      <c r="M139" s="1265"/>
      <c r="N139" s="1264"/>
    </row>
    <row r="140" spans="1:14" hidden="1">
      <c r="A140" s="12" t="s">
        <v>201</v>
      </c>
      <c r="B140" s="1263">
        <v>15193</v>
      </c>
      <c r="C140" s="1263">
        <v>15193</v>
      </c>
      <c r="D140" s="1261"/>
      <c r="E140" s="1267"/>
      <c r="F140" s="1266"/>
      <c r="G140" s="1265"/>
      <c r="H140" s="1265"/>
      <c r="I140" s="1265"/>
      <c r="J140" s="1264"/>
      <c r="K140" s="1264"/>
      <c r="L140" s="1265"/>
      <c r="M140" s="1265"/>
      <c r="N140" s="1264"/>
    </row>
    <row r="141" spans="1:14" hidden="1">
      <c r="A141" s="12" t="s">
        <v>200</v>
      </c>
      <c r="B141" s="1263">
        <v>15309</v>
      </c>
      <c r="C141" s="1263">
        <v>15309</v>
      </c>
      <c r="D141" s="1261"/>
      <c r="E141" s="1267"/>
      <c r="F141" s="1266"/>
      <c r="G141" s="1265"/>
      <c r="H141" s="1265"/>
    </row>
    <row r="142" spans="1:14" hidden="1">
      <c r="A142" s="10" t="s">
        <v>199</v>
      </c>
      <c r="B142" s="1262">
        <v>15390</v>
      </c>
      <c r="C142" s="1262">
        <v>15390</v>
      </c>
      <c r="D142" s="1261"/>
      <c r="E142" s="1270"/>
      <c r="F142" s="1266"/>
      <c r="G142" s="1265"/>
      <c r="H142" s="1265"/>
      <c r="I142" s="1265"/>
      <c r="J142" s="1264"/>
      <c r="K142" s="1264"/>
      <c r="L142" s="1265"/>
      <c r="M142" s="1265"/>
      <c r="N142" s="1264"/>
    </row>
    <row r="143" spans="1:14" hidden="1">
      <c r="A143" s="10" t="s">
        <v>198</v>
      </c>
      <c r="B143" s="1262">
        <v>15509</v>
      </c>
      <c r="C143" s="1262">
        <v>15509</v>
      </c>
      <c r="D143" s="1261"/>
      <c r="E143" s="1270"/>
      <c r="F143" s="1266"/>
      <c r="G143" s="1265"/>
      <c r="H143" s="1265"/>
      <c r="I143" s="1265"/>
      <c r="J143" s="1264"/>
      <c r="K143" s="1264"/>
      <c r="L143" s="1265"/>
      <c r="M143" s="1265"/>
      <c r="N143" s="1264"/>
    </row>
    <row r="144" spans="1:14" hidden="1">
      <c r="A144" s="10" t="s">
        <v>197</v>
      </c>
      <c r="B144" s="1262">
        <v>15628</v>
      </c>
      <c r="C144" s="1262">
        <v>15628</v>
      </c>
      <c r="D144" s="1261"/>
      <c r="E144" s="1270"/>
      <c r="F144" s="1266"/>
      <c r="G144" s="1265"/>
      <c r="H144" s="1265"/>
      <c r="I144" s="1265"/>
      <c r="J144" s="1264"/>
      <c r="K144" s="1264"/>
      <c r="L144" s="1265"/>
      <c r="M144" s="1265"/>
      <c r="N144" s="1264"/>
    </row>
    <row r="145" spans="1:14" hidden="1">
      <c r="A145" s="10" t="s">
        <v>196</v>
      </c>
      <c r="B145" s="1262">
        <v>15748</v>
      </c>
      <c r="C145" s="1262">
        <v>15748</v>
      </c>
      <c r="D145" s="1261"/>
      <c r="E145" s="1270"/>
      <c r="F145" s="1266"/>
      <c r="G145" s="1265"/>
      <c r="H145" s="1265"/>
      <c r="I145" s="1265"/>
      <c r="J145" s="1264"/>
      <c r="K145" s="1264"/>
      <c r="L145" s="1265"/>
      <c r="M145" s="1265"/>
      <c r="N145" s="1264"/>
    </row>
    <row r="146" spans="1:14" hidden="1">
      <c r="A146" s="10" t="s">
        <v>195</v>
      </c>
      <c r="B146" s="1262">
        <v>15869</v>
      </c>
      <c r="C146" s="1262">
        <v>15869</v>
      </c>
      <c r="D146" s="1261"/>
      <c r="E146" s="1270"/>
      <c r="F146" s="1266"/>
      <c r="G146" s="1265"/>
      <c r="H146" s="1265"/>
      <c r="I146" s="1265"/>
      <c r="J146" s="1264"/>
      <c r="K146" s="1264"/>
      <c r="L146" s="1265"/>
      <c r="M146" s="1265"/>
      <c r="N146" s="1264"/>
    </row>
    <row r="147" spans="1:14" hidden="1">
      <c r="A147" s="10" t="s">
        <v>194</v>
      </c>
      <c r="B147" s="1262">
        <v>15990</v>
      </c>
      <c r="C147" s="1262">
        <v>15990</v>
      </c>
      <c r="D147" s="1261"/>
      <c r="E147" s="1270"/>
      <c r="F147" s="1266"/>
      <c r="G147" s="1265"/>
      <c r="H147" s="1265"/>
    </row>
    <row r="148" spans="1:14" hidden="1">
      <c r="A148" s="10" t="s">
        <v>193</v>
      </c>
      <c r="B148" s="1262">
        <v>16114</v>
      </c>
      <c r="C148" s="1262">
        <v>16114</v>
      </c>
      <c r="D148" s="1261"/>
      <c r="E148" s="1270"/>
      <c r="F148" s="1266"/>
      <c r="G148" s="1265"/>
      <c r="H148" s="1265"/>
      <c r="I148" s="1265"/>
      <c r="J148" s="1264"/>
      <c r="K148" s="1264"/>
      <c r="L148" s="1265"/>
      <c r="M148" s="1265"/>
      <c r="N148" s="1264"/>
    </row>
    <row r="149" spans="1:14" hidden="1">
      <c r="A149" s="10" t="s">
        <v>192</v>
      </c>
      <c r="B149" s="1262">
        <v>16237</v>
      </c>
      <c r="C149" s="1262">
        <v>16237</v>
      </c>
      <c r="D149" s="1261"/>
      <c r="E149" s="1270"/>
      <c r="F149" s="1266"/>
      <c r="G149" s="1265"/>
      <c r="H149" s="1265"/>
      <c r="I149" s="1265"/>
      <c r="J149" s="1264"/>
      <c r="K149" s="1264"/>
      <c r="L149" s="1265"/>
      <c r="M149" s="1265"/>
      <c r="N149" s="1264"/>
    </row>
    <row r="150" spans="1:14" hidden="1">
      <c r="A150" s="12" t="s">
        <v>191</v>
      </c>
      <c r="B150" s="1263">
        <v>16320</v>
      </c>
      <c r="C150" s="1263">
        <v>16320</v>
      </c>
      <c r="D150" s="1261"/>
      <c r="E150" s="1270"/>
      <c r="F150" s="1266"/>
      <c r="G150" s="1265"/>
      <c r="H150" s="1265"/>
    </row>
    <row r="151" spans="1:14" hidden="1">
      <c r="A151" s="12" t="s">
        <v>190</v>
      </c>
      <c r="B151" s="1263">
        <v>16445</v>
      </c>
      <c r="C151" s="1263">
        <v>16445</v>
      </c>
      <c r="D151" s="1261"/>
      <c r="E151" s="1270"/>
      <c r="F151" s="1266"/>
      <c r="G151" s="1265"/>
      <c r="H151" s="1265"/>
      <c r="I151" s="1265"/>
      <c r="J151" s="1264"/>
      <c r="K151" s="1264"/>
      <c r="L151" s="1265"/>
      <c r="M151" s="1265"/>
      <c r="N151" s="1264"/>
    </row>
    <row r="152" spans="1:14" hidden="1">
      <c r="A152" s="12" t="s">
        <v>189</v>
      </c>
      <c r="B152" s="1263">
        <v>16572</v>
      </c>
      <c r="C152" s="1263">
        <v>16572</v>
      </c>
      <c r="D152" s="1261"/>
      <c r="E152" s="1270"/>
      <c r="F152" s="1266"/>
      <c r="G152" s="1265"/>
      <c r="H152" s="1265"/>
      <c r="I152" s="1265"/>
      <c r="J152" s="1264"/>
      <c r="K152" s="1264"/>
      <c r="L152" s="1265"/>
      <c r="M152" s="1265"/>
      <c r="N152" s="1264"/>
    </row>
    <row r="153" spans="1:14" hidden="1">
      <c r="A153" s="12" t="s">
        <v>188</v>
      </c>
      <c r="B153" s="1263">
        <v>16699</v>
      </c>
      <c r="C153" s="1263">
        <v>16699</v>
      </c>
      <c r="D153" s="1261"/>
      <c r="E153" s="1270"/>
      <c r="F153" s="1266"/>
      <c r="G153" s="1265"/>
      <c r="H153" s="1265"/>
      <c r="I153" s="1265"/>
      <c r="J153" s="1264"/>
      <c r="K153" s="1264"/>
      <c r="L153" s="1265"/>
      <c r="M153" s="1265"/>
      <c r="N153" s="1264"/>
    </row>
    <row r="154" spans="1:14" hidden="1">
      <c r="A154" s="12" t="s">
        <v>187</v>
      </c>
      <c r="B154" s="1263">
        <v>16827</v>
      </c>
      <c r="C154" s="1263">
        <v>16827</v>
      </c>
      <c r="D154" s="1261"/>
      <c r="E154" s="1270"/>
      <c r="F154" s="1266"/>
      <c r="G154" s="1265"/>
      <c r="H154" s="1265"/>
      <c r="I154" s="1265"/>
      <c r="J154" s="1264"/>
      <c r="K154" s="1264"/>
      <c r="L154" s="1265"/>
      <c r="M154" s="1265"/>
      <c r="N154" s="1264"/>
    </row>
    <row r="155" spans="1:14" hidden="1">
      <c r="A155" s="12" t="s">
        <v>186</v>
      </c>
      <c r="B155" s="1263">
        <v>16957</v>
      </c>
      <c r="C155" s="1263">
        <v>16957</v>
      </c>
      <c r="D155" s="1261"/>
      <c r="E155" s="1270"/>
      <c r="F155" s="1266"/>
      <c r="G155" s="1265"/>
      <c r="H155" s="1265"/>
    </row>
    <row r="156" spans="1:14" hidden="1">
      <c r="A156" s="12" t="s">
        <v>185</v>
      </c>
      <c r="B156" s="1263">
        <v>17086</v>
      </c>
      <c r="C156" s="1263">
        <v>17086</v>
      </c>
      <c r="D156" s="1261"/>
      <c r="E156" s="1270"/>
      <c r="F156" s="1266"/>
      <c r="G156" s="1265"/>
      <c r="H156" s="1265"/>
      <c r="I156" s="1265"/>
      <c r="J156" s="1264"/>
      <c r="K156" s="1264"/>
      <c r="L156" s="1265"/>
      <c r="M156" s="1265"/>
      <c r="N156" s="1264"/>
    </row>
    <row r="157" spans="1:14" hidden="1">
      <c r="A157" s="12" t="s">
        <v>184</v>
      </c>
      <c r="B157" s="1263">
        <v>17218</v>
      </c>
      <c r="C157" s="1263">
        <v>17218</v>
      </c>
      <c r="D157" s="1261"/>
      <c r="E157" s="1270"/>
      <c r="F157" s="1266"/>
      <c r="G157" s="1265"/>
      <c r="H157" s="1265"/>
    </row>
    <row r="158" spans="1:14" hidden="1">
      <c r="A158" s="10" t="s">
        <v>183</v>
      </c>
      <c r="B158" s="1262">
        <v>17338</v>
      </c>
      <c r="C158" s="1262">
        <v>17338</v>
      </c>
      <c r="D158" s="1261"/>
      <c r="E158" s="1271"/>
      <c r="F158" s="1266"/>
      <c r="G158" s="1265"/>
      <c r="H158" s="1265"/>
      <c r="I158" s="1265"/>
      <c r="J158" s="1264"/>
      <c r="K158" s="1264"/>
      <c r="L158" s="1265"/>
      <c r="M158" s="1265"/>
      <c r="N158" s="1264"/>
    </row>
    <row r="159" spans="1:14" hidden="1">
      <c r="A159" s="10" t="s">
        <v>182</v>
      </c>
      <c r="B159" s="1262">
        <v>17496</v>
      </c>
      <c r="C159" s="1262">
        <v>17496</v>
      </c>
      <c r="D159" s="1261"/>
      <c r="E159" s="1271"/>
      <c r="F159" s="1266"/>
      <c r="G159" s="1265"/>
      <c r="H159" s="1265"/>
      <c r="I159" s="1265"/>
      <c r="J159" s="1264"/>
      <c r="K159" s="1264"/>
      <c r="L159" s="1265"/>
      <c r="M159" s="1265"/>
      <c r="N159" s="1264"/>
    </row>
    <row r="160" spans="1:14" hidden="1">
      <c r="A160" s="10" t="s">
        <v>181</v>
      </c>
      <c r="B160" s="1262">
        <v>17654</v>
      </c>
      <c r="C160" s="1262">
        <v>17654</v>
      </c>
      <c r="D160" s="1261"/>
      <c r="E160" s="1271"/>
      <c r="F160" s="1266"/>
      <c r="G160" s="1265"/>
      <c r="H160" s="1265"/>
      <c r="I160" s="1265"/>
      <c r="J160" s="1264"/>
      <c r="K160" s="1264"/>
      <c r="L160" s="1265"/>
      <c r="M160" s="1265"/>
      <c r="N160" s="1264"/>
    </row>
    <row r="161" spans="1:14" hidden="1">
      <c r="A161" s="10" t="s">
        <v>180</v>
      </c>
      <c r="B161" s="1262">
        <v>17813</v>
      </c>
      <c r="C161" s="1262">
        <v>17813</v>
      </c>
      <c r="D161" s="1261"/>
      <c r="E161" s="1271"/>
      <c r="F161" s="1266"/>
      <c r="G161" s="1265"/>
      <c r="H161" s="1265"/>
      <c r="I161" s="1265"/>
      <c r="J161" s="1264"/>
      <c r="K161" s="1264"/>
      <c r="L161" s="1265"/>
      <c r="M161" s="1265"/>
      <c r="N161" s="1264"/>
    </row>
    <row r="162" spans="1:14" hidden="1">
      <c r="A162" s="10" t="s">
        <v>179</v>
      </c>
      <c r="B162" s="1262">
        <v>17974</v>
      </c>
      <c r="C162" s="1262">
        <v>17974</v>
      </c>
      <c r="D162" s="1261"/>
      <c r="E162" s="1271"/>
      <c r="F162" s="1266"/>
      <c r="G162" s="1265"/>
      <c r="H162" s="1265"/>
      <c r="I162" s="1265"/>
      <c r="J162" s="1264"/>
      <c r="K162" s="1264"/>
      <c r="L162" s="1265"/>
      <c r="M162" s="1265"/>
      <c r="N162" s="1264"/>
    </row>
    <row r="163" spans="1:14" hidden="1">
      <c r="A163" s="10" t="s">
        <v>178</v>
      </c>
      <c r="B163" s="1262">
        <v>18136</v>
      </c>
      <c r="C163" s="1262">
        <v>18136</v>
      </c>
      <c r="D163" s="1261"/>
      <c r="E163" s="1271"/>
      <c r="F163" s="1266"/>
      <c r="G163" s="1265"/>
      <c r="H163" s="1265"/>
      <c r="I163" s="1265"/>
      <c r="J163" s="1264"/>
      <c r="K163" s="1264"/>
      <c r="L163" s="1265"/>
      <c r="M163" s="1265"/>
      <c r="N163" s="1264"/>
    </row>
    <row r="164" spans="1:14" hidden="1">
      <c r="A164" s="10" t="s">
        <v>177</v>
      </c>
      <c r="B164" s="1262">
        <v>18301</v>
      </c>
      <c r="C164" s="1262">
        <v>18301</v>
      </c>
      <c r="D164" s="1261"/>
      <c r="E164" s="1271"/>
      <c r="F164" s="1266"/>
      <c r="G164" s="1265"/>
      <c r="H164" s="1265"/>
      <c r="I164" s="1265"/>
      <c r="J164" s="1264"/>
      <c r="K164" s="1264"/>
      <c r="L164" s="1265"/>
      <c r="M164" s="1265"/>
      <c r="N164" s="1264"/>
    </row>
    <row r="165" spans="1:14" hidden="1">
      <c r="A165" s="10" t="s">
        <v>176</v>
      </c>
      <c r="B165" s="1262">
        <v>18466</v>
      </c>
      <c r="C165" s="1262">
        <v>18466</v>
      </c>
      <c r="D165" s="1261"/>
      <c r="E165" s="1271"/>
      <c r="F165" s="1266"/>
      <c r="G165" s="1265"/>
      <c r="H165" s="1265"/>
      <c r="I165" s="1265"/>
      <c r="J165" s="1264"/>
      <c r="K165" s="1264"/>
      <c r="L165" s="1265"/>
      <c r="M165" s="1265"/>
      <c r="N165" s="1264"/>
    </row>
    <row r="166" spans="1:14" hidden="1">
      <c r="A166" s="12" t="s">
        <v>175</v>
      </c>
      <c r="B166" s="1263">
        <v>18613</v>
      </c>
      <c r="C166" s="1263">
        <v>18613</v>
      </c>
      <c r="D166" s="1261"/>
      <c r="E166" s="1271"/>
      <c r="F166" s="1266"/>
      <c r="G166" s="1265"/>
    </row>
    <row r="167" spans="1:14" hidden="1">
      <c r="A167" s="12" t="s">
        <v>174</v>
      </c>
      <c r="B167" s="1263">
        <v>18769</v>
      </c>
      <c r="C167" s="1263">
        <v>18769</v>
      </c>
      <c r="D167" s="1261"/>
      <c r="E167" s="1271"/>
      <c r="F167" s="1266"/>
      <c r="G167" s="1265"/>
      <c r="H167" s="1265"/>
    </row>
    <row r="168" spans="1:14" hidden="1">
      <c r="A168" s="12" t="s">
        <v>173</v>
      </c>
      <c r="B168" s="1263">
        <v>18926</v>
      </c>
      <c r="C168" s="1263">
        <v>18926</v>
      </c>
      <c r="D168" s="1261"/>
      <c r="E168" s="1271"/>
      <c r="F168" s="1266"/>
      <c r="G168" s="1265"/>
      <c r="H168" s="1265"/>
    </row>
    <row r="169" spans="1:14" hidden="1">
      <c r="A169" s="12" t="s">
        <v>172</v>
      </c>
      <c r="B169" s="1263">
        <v>19085</v>
      </c>
      <c r="C169" s="1263">
        <v>19085</v>
      </c>
      <c r="D169" s="1261"/>
      <c r="E169" s="1271"/>
      <c r="F169" s="1266"/>
      <c r="G169" s="1265"/>
      <c r="H169" s="1265"/>
    </row>
    <row r="170" spans="1:14" hidden="1">
      <c r="A170" s="12" t="s">
        <v>171</v>
      </c>
      <c r="B170" s="1263">
        <v>19244</v>
      </c>
      <c r="C170" s="1263">
        <v>19244</v>
      </c>
      <c r="D170" s="1261"/>
      <c r="E170" s="1271"/>
      <c r="F170" s="1266"/>
      <c r="G170" s="1265"/>
      <c r="H170" s="1265"/>
      <c r="I170" s="1265"/>
      <c r="J170" s="1264"/>
      <c r="K170" s="1264"/>
      <c r="L170" s="1265"/>
      <c r="M170" s="1265"/>
      <c r="N170" s="1264"/>
    </row>
    <row r="171" spans="1:14" hidden="1">
      <c r="A171" s="12" t="s">
        <v>170</v>
      </c>
      <c r="B171" s="1263">
        <v>19405</v>
      </c>
      <c r="C171" s="1263">
        <v>19405</v>
      </c>
      <c r="D171" s="1261"/>
      <c r="E171" s="1271"/>
      <c r="F171" s="1266"/>
      <c r="G171" s="1265"/>
      <c r="H171" s="1265"/>
      <c r="I171" s="1265"/>
      <c r="J171" s="1264"/>
      <c r="K171" s="1264"/>
      <c r="L171" s="1265"/>
      <c r="M171" s="1265"/>
      <c r="N171" s="1264"/>
    </row>
    <row r="172" spans="1:14" hidden="1">
      <c r="A172" s="12" t="s">
        <v>169</v>
      </c>
      <c r="B172" s="1263">
        <v>19567</v>
      </c>
      <c r="C172" s="1263">
        <v>19567</v>
      </c>
      <c r="D172" s="1261"/>
      <c r="E172" s="1271"/>
      <c r="F172" s="1266"/>
      <c r="G172" s="1265"/>
      <c r="H172" s="1265"/>
      <c r="I172" s="1265"/>
      <c r="J172" s="1264"/>
      <c r="K172" s="1264"/>
      <c r="L172" s="1265"/>
      <c r="M172" s="1265"/>
      <c r="N172" s="1264"/>
    </row>
    <row r="173" spans="1:14" hidden="1">
      <c r="A173" s="12" t="s">
        <v>168</v>
      </c>
      <c r="B173" s="1263">
        <v>19731</v>
      </c>
      <c r="C173" s="1263">
        <v>19731</v>
      </c>
      <c r="D173" s="1261"/>
      <c r="E173" s="1271"/>
      <c r="F173" s="1266"/>
      <c r="G173" s="1265"/>
      <c r="H173" s="1265"/>
      <c r="I173" s="1265"/>
      <c r="J173" s="1264"/>
      <c r="K173" s="1264"/>
      <c r="L173" s="1265"/>
      <c r="M173" s="1265"/>
      <c r="N173" s="1264"/>
    </row>
    <row r="174" spans="1:14" hidden="1">
      <c r="A174" s="10" t="s">
        <v>167</v>
      </c>
      <c r="B174" s="1262">
        <v>20145</v>
      </c>
      <c r="C174" s="1262">
        <v>20145</v>
      </c>
      <c r="D174" s="1261"/>
      <c r="E174" s="1270"/>
      <c r="F174" s="1266"/>
      <c r="G174" s="1265"/>
    </row>
    <row r="175" spans="1:14" hidden="1">
      <c r="A175" s="10" t="s">
        <v>166</v>
      </c>
      <c r="B175" s="1262">
        <v>20313</v>
      </c>
      <c r="C175" s="1262">
        <v>20313</v>
      </c>
      <c r="D175" s="1261"/>
      <c r="E175" s="1270"/>
      <c r="F175" s="1266"/>
      <c r="G175" s="1265"/>
    </row>
    <row r="176" spans="1:14" hidden="1">
      <c r="A176" s="10" t="s">
        <v>165</v>
      </c>
      <c r="B176" s="1262">
        <v>20483</v>
      </c>
      <c r="C176" s="1262">
        <v>20483</v>
      </c>
      <c r="D176" s="1261"/>
      <c r="E176" s="1270"/>
      <c r="F176" s="1266"/>
      <c r="G176" s="1265"/>
      <c r="H176" s="1265"/>
    </row>
    <row r="177" spans="1:14" hidden="1">
      <c r="A177" s="10" t="s">
        <v>164</v>
      </c>
      <c r="B177" s="1262">
        <v>20654</v>
      </c>
      <c r="C177" s="1262">
        <v>20654</v>
      </c>
      <c r="D177" s="1261"/>
      <c r="E177" s="1270"/>
      <c r="F177" s="1266"/>
      <c r="G177" s="1265"/>
      <c r="H177" s="1265"/>
    </row>
    <row r="178" spans="1:14" hidden="1">
      <c r="A178" s="10" t="s">
        <v>163</v>
      </c>
      <c r="B178" s="1262">
        <v>20827</v>
      </c>
      <c r="C178" s="1262">
        <v>20827</v>
      </c>
      <c r="D178" s="1261"/>
      <c r="E178" s="1270"/>
      <c r="F178" s="1266"/>
      <c r="G178" s="1265"/>
      <c r="H178" s="1265"/>
    </row>
    <row r="179" spans="1:14" hidden="1">
      <c r="A179" s="10" t="s">
        <v>162</v>
      </c>
      <c r="B179" s="1262">
        <v>21001</v>
      </c>
      <c r="C179" s="1262">
        <v>21001</v>
      </c>
      <c r="D179" s="1261"/>
      <c r="E179" s="1270"/>
      <c r="F179" s="1266"/>
      <c r="G179" s="1265"/>
      <c r="H179" s="1265"/>
      <c r="I179" s="1265"/>
      <c r="J179" s="1264"/>
      <c r="K179" s="1264"/>
      <c r="L179" s="1265"/>
      <c r="M179" s="1265"/>
      <c r="N179" s="1264"/>
    </row>
    <row r="180" spans="1:14" hidden="1">
      <c r="A180" s="10" t="s">
        <v>161</v>
      </c>
      <c r="B180" s="1262">
        <v>21176</v>
      </c>
      <c r="C180" s="1262">
        <v>21176</v>
      </c>
      <c r="D180" s="1261"/>
      <c r="E180" s="1270"/>
      <c r="F180" s="1266"/>
      <c r="G180" s="1265"/>
      <c r="H180" s="1268"/>
      <c r="I180" s="1265"/>
      <c r="J180" s="1264"/>
      <c r="K180" s="1264"/>
      <c r="L180" s="1265"/>
      <c r="M180" s="1265"/>
      <c r="N180" s="1264"/>
    </row>
    <row r="181" spans="1:14" hidden="1">
      <c r="A181" s="10" t="s">
        <v>160</v>
      </c>
      <c r="B181" s="1262">
        <v>21353</v>
      </c>
      <c r="C181" s="1262">
        <v>21353</v>
      </c>
      <c r="D181" s="1261"/>
      <c r="E181" s="1270"/>
      <c r="F181" s="1266"/>
      <c r="G181" s="1265"/>
      <c r="H181" s="1269"/>
    </row>
    <row r="182" spans="1:14" hidden="1">
      <c r="A182" s="12" t="s">
        <v>159</v>
      </c>
      <c r="B182" s="1263">
        <v>22683</v>
      </c>
      <c r="C182" s="1263">
        <v>22683</v>
      </c>
      <c r="D182" s="1261"/>
      <c r="E182" s="1267"/>
      <c r="F182" s="1266"/>
      <c r="G182" s="1265"/>
      <c r="H182" s="1268"/>
      <c r="I182" s="1265"/>
      <c r="J182" s="1264"/>
      <c r="K182" s="1264"/>
      <c r="L182" s="1265"/>
      <c r="M182" s="1265"/>
      <c r="N182" s="1264"/>
    </row>
    <row r="183" spans="1:14" hidden="1">
      <c r="A183" s="12" t="s">
        <v>158</v>
      </c>
      <c r="B183" s="1263">
        <v>22953</v>
      </c>
      <c r="C183" s="1263">
        <v>22953</v>
      </c>
      <c r="D183" s="1261"/>
    </row>
    <row r="184" spans="1:14" hidden="1">
      <c r="A184" s="12" t="s">
        <v>157</v>
      </c>
      <c r="B184" s="1263">
        <v>23228</v>
      </c>
      <c r="C184" s="1263">
        <v>23228</v>
      </c>
      <c r="D184" s="1261"/>
    </row>
    <row r="185" spans="1:14" hidden="1">
      <c r="A185" s="12" t="s">
        <v>156</v>
      </c>
      <c r="B185" s="1263">
        <v>23505</v>
      </c>
      <c r="C185" s="1263">
        <v>23505</v>
      </c>
      <c r="D185" s="1261"/>
    </row>
    <row r="186" spans="1:14" hidden="1">
      <c r="A186" s="12" t="s">
        <v>155</v>
      </c>
      <c r="B186" s="1263">
        <v>23786</v>
      </c>
      <c r="C186" s="1263">
        <v>23786</v>
      </c>
      <c r="D186" s="1261"/>
    </row>
    <row r="187" spans="1:14" hidden="1">
      <c r="A187" s="12" t="s">
        <v>154</v>
      </c>
      <c r="B187" s="1263">
        <v>24072</v>
      </c>
      <c r="C187" s="1263">
        <v>24072</v>
      </c>
      <c r="D187" s="1261"/>
    </row>
    <row r="188" spans="1:14" hidden="1">
      <c r="A188" s="12" t="s">
        <v>153</v>
      </c>
      <c r="B188" s="1263">
        <v>24361</v>
      </c>
      <c r="C188" s="1263">
        <v>24361</v>
      </c>
      <c r="D188" s="1261"/>
    </row>
    <row r="189" spans="1:14" hidden="1">
      <c r="A189" s="12" t="s">
        <v>152</v>
      </c>
      <c r="B189" s="1263">
        <v>24654</v>
      </c>
      <c r="C189" s="1263">
        <v>24654</v>
      </c>
      <c r="D189" s="1261"/>
    </row>
    <row r="190" spans="1:14" hidden="1">
      <c r="A190" s="10" t="s">
        <v>151</v>
      </c>
      <c r="B190" s="1262">
        <v>24749</v>
      </c>
      <c r="C190" s="1262">
        <v>24749</v>
      </c>
      <c r="D190" s="1261"/>
    </row>
    <row r="191" spans="1:14" hidden="1">
      <c r="A191" s="10" t="s">
        <v>150</v>
      </c>
      <c r="B191" s="1262">
        <v>25019</v>
      </c>
      <c r="C191" s="1262">
        <v>25019</v>
      </c>
      <c r="D191" s="1261"/>
    </row>
    <row r="192" spans="1:14" hidden="1">
      <c r="A192" s="10" t="s">
        <v>149</v>
      </c>
      <c r="B192" s="1262">
        <v>25293</v>
      </c>
      <c r="C192" s="1262">
        <v>25293</v>
      </c>
      <c r="D192" s="1261"/>
      <c r="F192" s="1267"/>
      <c r="G192" s="1266"/>
      <c r="H192" s="1265"/>
      <c r="I192" s="1265"/>
      <c r="J192" s="1264"/>
      <c r="K192" s="1264"/>
      <c r="L192" s="1265"/>
      <c r="M192" s="1265"/>
      <c r="N192" s="1264"/>
    </row>
    <row r="193" spans="1:119" hidden="1">
      <c r="A193" s="10" t="s">
        <v>148</v>
      </c>
      <c r="B193" s="1262">
        <v>25569</v>
      </c>
      <c r="C193" s="1262">
        <v>25569</v>
      </c>
      <c r="D193" s="1261"/>
      <c r="F193" s="1267"/>
      <c r="G193" s="1266"/>
      <c r="H193" s="1265"/>
      <c r="I193" s="1265"/>
      <c r="J193" s="1264"/>
      <c r="K193" s="1264"/>
      <c r="L193" s="1265"/>
      <c r="M193" s="1265"/>
      <c r="N193" s="1264"/>
    </row>
    <row r="194" spans="1:119" hidden="1">
      <c r="A194" s="10" t="s">
        <v>147</v>
      </c>
      <c r="B194" s="1262">
        <v>25850</v>
      </c>
      <c r="C194" s="1262">
        <v>25850</v>
      </c>
      <c r="D194" s="1261"/>
      <c r="F194" s="1267"/>
      <c r="G194" s="1266"/>
      <c r="H194" s="1265"/>
      <c r="I194" s="1265"/>
      <c r="J194" s="1264"/>
      <c r="K194" s="1264"/>
      <c r="L194" s="1265"/>
      <c r="M194" s="1265"/>
      <c r="N194" s="1264"/>
    </row>
    <row r="195" spans="1:119" hidden="1">
      <c r="A195" s="10" t="s">
        <v>146</v>
      </c>
      <c r="B195" s="1262">
        <v>26134</v>
      </c>
      <c r="C195" s="1262">
        <v>26134</v>
      </c>
      <c r="D195" s="1261"/>
      <c r="F195" s="1267"/>
      <c r="G195" s="1266"/>
      <c r="H195" s="1265"/>
      <c r="I195" s="1265"/>
      <c r="J195" s="1264"/>
      <c r="K195" s="1264"/>
      <c r="L195" s="1265"/>
      <c r="M195" s="1265"/>
      <c r="N195" s="1264"/>
    </row>
    <row r="196" spans="1:119" hidden="1">
      <c r="A196" s="10" t="s">
        <v>145</v>
      </c>
      <c r="B196" s="1262">
        <v>26420</v>
      </c>
      <c r="C196" s="1262">
        <v>26420</v>
      </c>
      <c r="D196" s="1261"/>
      <c r="F196" s="1267"/>
      <c r="G196" s="1266"/>
      <c r="H196" s="1265"/>
      <c r="I196" s="1265"/>
      <c r="J196" s="1264"/>
      <c r="K196" s="1264"/>
      <c r="L196" s="1265"/>
      <c r="M196" s="1265"/>
      <c r="N196" s="1264"/>
    </row>
    <row r="197" spans="1:119" hidden="1">
      <c r="A197" s="10" t="s">
        <v>144</v>
      </c>
      <c r="B197" s="1262">
        <v>26711</v>
      </c>
      <c r="C197" s="1262">
        <v>26711</v>
      </c>
      <c r="D197" s="1261"/>
      <c r="F197" s="1267"/>
      <c r="G197" s="1266"/>
      <c r="H197" s="1265"/>
      <c r="I197" s="1265"/>
      <c r="J197" s="1264"/>
      <c r="K197" s="1264"/>
      <c r="L197" s="1265"/>
      <c r="M197" s="1265"/>
      <c r="N197" s="1264"/>
    </row>
    <row r="198" spans="1:119" hidden="1">
      <c r="A198" s="12" t="s">
        <v>143</v>
      </c>
      <c r="B198" s="1263">
        <v>26862</v>
      </c>
      <c r="C198" s="1263">
        <v>26862</v>
      </c>
      <c r="D198" s="1261"/>
    </row>
    <row r="199" spans="1:119" hidden="1">
      <c r="A199" s="12" t="s">
        <v>142</v>
      </c>
      <c r="B199" s="1263">
        <v>27160</v>
      </c>
      <c r="C199" s="1263">
        <v>27160</v>
      </c>
      <c r="D199" s="1261"/>
    </row>
    <row r="200" spans="1:119" hidden="1">
      <c r="A200" s="12" t="s">
        <v>141</v>
      </c>
      <c r="B200" s="1263">
        <v>27460</v>
      </c>
      <c r="C200" s="1263">
        <v>27460</v>
      </c>
      <c r="D200" s="1261"/>
    </row>
    <row r="201" spans="1:119" hidden="1">
      <c r="A201" s="12" t="s">
        <v>140</v>
      </c>
      <c r="B201" s="1263">
        <v>27764</v>
      </c>
      <c r="C201" s="1263">
        <v>27764</v>
      </c>
      <c r="D201" s="1261"/>
    </row>
    <row r="202" spans="1:119" hidden="1">
      <c r="A202" s="12" t="s">
        <v>139</v>
      </c>
      <c r="B202" s="1263">
        <v>28073</v>
      </c>
      <c r="C202" s="1263">
        <v>28073</v>
      </c>
      <c r="D202" s="1261"/>
    </row>
    <row r="203" spans="1:119" s="1258" customFormat="1" hidden="1">
      <c r="A203" s="12" t="s">
        <v>138</v>
      </c>
      <c r="B203" s="1263">
        <v>28384</v>
      </c>
      <c r="C203" s="1263">
        <v>28384</v>
      </c>
      <c r="D203" s="1261"/>
      <c r="F203" s="1256"/>
      <c r="G203" s="1256"/>
      <c r="H203" s="1256"/>
      <c r="I203" s="1256"/>
      <c r="J203" s="1257"/>
      <c r="K203" s="1257"/>
      <c r="L203" s="1256"/>
      <c r="M203" s="1256"/>
      <c r="N203" s="1257"/>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c r="CB203" s="1256"/>
      <c r="CC203" s="1256"/>
      <c r="CD203" s="1256"/>
      <c r="CE203" s="1256"/>
      <c r="CF203" s="1256"/>
      <c r="CG203" s="1256"/>
      <c r="CH203" s="1256"/>
      <c r="CI203" s="1256"/>
      <c r="CJ203" s="1256"/>
      <c r="CK203" s="1256"/>
      <c r="CL203" s="1256"/>
      <c r="CM203" s="1256"/>
      <c r="CN203" s="1256"/>
      <c r="CO203" s="1256"/>
      <c r="CP203" s="1256"/>
      <c r="CQ203" s="1256"/>
      <c r="CR203" s="1256"/>
      <c r="CS203" s="1256"/>
      <c r="CT203" s="1256"/>
      <c r="CU203" s="1256"/>
      <c r="CV203" s="1256"/>
      <c r="CW203" s="1256"/>
      <c r="CX203" s="1256"/>
      <c r="CY203" s="1256"/>
      <c r="CZ203" s="1256"/>
      <c r="DA203" s="1256"/>
      <c r="DB203" s="1256"/>
      <c r="DC203" s="1256"/>
      <c r="DD203" s="1256"/>
      <c r="DE203" s="1256"/>
      <c r="DF203" s="1256"/>
      <c r="DG203" s="1256"/>
      <c r="DH203" s="1256"/>
      <c r="DI203" s="1256"/>
      <c r="DJ203" s="1256"/>
      <c r="DK203" s="1256"/>
      <c r="DL203" s="1256"/>
      <c r="DM203" s="1256"/>
      <c r="DN203" s="1256"/>
      <c r="DO203" s="1256"/>
    </row>
    <row r="204" spans="1:119" s="1258" customFormat="1" hidden="1">
      <c r="A204" s="12" t="s">
        <v>137</v>
      </c>
      <c r="B204" s="1263">
        <v>28700</v>
      </c>
      <c r="C204" s="1263">
        <v>28700</v>
      </c>
      <c r="D204" s="1261"/>
      <c r="F204" s="1256"/>
      <c r="G204" s="1256"/>
      <c r="H204" s="1256"/>
      <c r="I204" s="1256"/>
      <c r="J204" s="1257"/>
      <c r="K204" s="1257"/>
      <c r="L204" s="1256"/>
      <c r="M204" s="1256"/>
      <c r="N204" s="1257"/>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c r="CB204" s="1256"/>
      <c r="CC204" s="1256"/>
      <c r="CD204" s="1256"/>
      <c r="CE204" s="1256"/>
      <c r="CF204" s="1256"/>
      <c r="CG204" s="1256"/>
      <c r="CH204" s="1256"/>
      <c r="CI204" s="1256"/>
      <c r="CJ204" s="1256"/>
      <c r="CK204" s="1256"/>
      <c r="CL204" s="1256"/>
      <c r="CM204" s="1256"/>
      <c r="CN204" s="1256"/>
      <c r="CO204" s="1256"/>
      <c r="CP204" s="1256"/>
      <c r="CQ204" s="1256"/>
      <c r="CR204" s="1256"/>
      <c r="CS204" s="1256"/>
      <c r="CT204" s="1256"/>
      <c r="CU204" s="1256"/>
      <c r="CV204" s="1256"/>
      <c r="CW204" s="1256"/>
      <c r="CX204" s="1256"/>
      <c r="CY204" s="1256"/>
      <c r="CZ204" s="1256"/>
      <c r="DA204" s="1256"/>
      <c r="DB204" s="1256"/>
      <c r="DC204" s="1256"/>
      <c r="DD204" s="1256"/>
      <c r="DE204" s="1256"/>
      <c r="DF204" s="1256"/>
      <c r="DG204" s="1256"/>
      <c r="DH204" s="1256"/>
      <c r="DI204" s="1256"/>
      <c r="DJ204" s="1256"/>
      <c r="DK204" s="1256"/>
      <c r="DL204" s="1256"/>
      <c r="DM204" s="1256"/>
      <c r="DN204" s="1256"/>
      <c r="DO204" s="1256"/>
    </row>
    <row r="205" spans="1:119" s="1258" customFormat="1" hidden="1">
      <c r="A205" s="12" t="s">
        <v>136</v>
      </c>
      <c r="B205" s="1263">
        <v>29020</v>
      </c>
      <c r="C205" s="1263">
        <v>29020</v>
      </c>
      <c r="D205" s="1261"/>
      <c r="F205" s="1256"/>
      <c r="G205" s="1256"/>
      <c r="H205" s="1256"/>
      <c r="I205" s="1256"/>
      <c r="J205" s="1257"/>
      <c r="K205" s="1257"/>
      <c r="L205" s="1256"/>
      <c r="M205" s="1256"/>
      <c r="N205" s="1257"/>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c r="CB205" s="1256"/>
      <c r="CC205" s="1256"/>
      <c r="CD205" s="1256"/>
      <c r="CE205" s="1256"/>
      <c r="CF205" s="1256"/>
      <c r="CG205" s="1256"/>
      <c r="CH205" s="1256"/>
      <c r="CI205" s="1256"/>
      <c r="CJ205" s="1256"/>
      <c r="CK205" s="1256"/>
      <c r="CL205" s="1256"/>
      <c r="CM205" s="1256"/>
      <c r="CN205" s="1256"/>
      <c r="CO205" s="1256"/>
      <c r="CP205" s="1256"/>
      <c r="CQ205" s="1256"/>
      <c r="CR205" s="1256"/>
      <c r="CS205" s="1256"/>
      <c r="CT205" s="1256"/>
      <c r="CU205" s="1256"/>
      <c r="CV205" s="1256"/>
      <c r="CW205" s="1256"/>
      <c r="CX205" s="1256"/>
      <c r="CY205" s="1256"/>
      <c r="CZ205" s="1256"/>
      <c r="DA205" s="1256"/>
      <c r="DB205" s="1256"/>
      <c r="DC205" s="1256"/>
      <c r="DD205" s="1256"/>
      <c r="DE205" s="1256"/>
      <c r="DF205" s="1256"/>
      <c r="DG205" s="1256"/>
      <c r="DH205" s="1256"/>
      <c r="DI205" s="1256"/>
      <c r="DJ205" s="1256"/>
      <c r="DK205" s="1256"/>
      <c r="DL205" s="1256"/>
      <c r="DM205" s="1256"/>
      <c r="DN205" s="1256"/>
      <c r="DO205" s="1256"/>
    </row>
    <row r="206" spans="1:119" s="1258" customFormat="1" hidden="1">
      <c r="A206" s="10" t="s">
        <v>135</v>
      </c>
      <c r="B206" s="1262">
        <v>29259</v>
      </c>
      <c r="C206" s="1262">
        <v>29259</v>
      </c>
      <c r="D206" s="1261"/>
      <c r="F206" s="1256"/>
      <c r="G206" s="1256"/>
      <c r="H206" s="1256"/>
      <c r="I206" s="1256"/>
      <c r="J206" s="1257"/>
      <c r="K206" s="1257"/>
      <c r="L206" s="1256"/>
      <c r="M206" s="1256"/>
      <c r="N206" s="1257"/>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c r="CB206" s="1256"/>
      <c r="CC206" s="1256"/>
      <c r="CD206" s="1256"/>
      <c r="CE206" s="1256"/>
      <c r="CF206" s="1256"/>
      <c r="CG206" s="1256"/>
      <c r="CH206" s="1256"/>
      <c r="CI206" s="1256"/>
      <c r="CJ206" s="1256"/>
      <c r="CK206" s="1256"/>
      <c r="CL206" s="1256"/>
      <c r="CM206" s="1256"/>
      <c r="CN206" s="1256"/>
      <c r="CO206" s="1256"/>
      <c r="CP206" s="1256"/>
      <c r="CQ206" s="1256"/>
      <c r="CR206" s="1256"/>
      <c r="CS206" s="1256"/>
      <c r="CT206" s="1256"/>
      <c r="CU206" s="1256"/>
      <c r="CV206" s="1256"/>
      <c r="CW206" s="1256"/>
      <c r="CX206" s="1256"/>
      <c r="CY206" s="1256"/>
      <c r="CZ206" s="1256"/>
      <c r="DA206" s="1256"/>
      <c r="DB206" s="1256"/>
      <c r="DC206" s="1256"/>
      <c r="DD206" s="1256"/>
      <c r="DE206" s="1256"/>
      <c r="DF206" s="1256"/>
      <c r="DG206" s="1256"/>
      <c r="DH206" s="1256"/>
      <c r="DI206" s="1256"/>
      <c r="DJ206" s="1256"/>
      <c r="DK206" s="1256"/>
      <c r="DL206" s="1256"/>
      <c r="DM206" s="1256"/>
      <c r="DN206" s="1256"/>
      <c r="DO206" s="1256"/>
    </row>
    <row r="207" spans="1:119" s="1258" customFormat="1" hidden="1">
      <c r="A207" s="10" t="s">
        <v>134</v>
      </c>
      <c r="B207" s="1262">
        <v>29586</v>
      </c>
      <c r="C207" s="1262">
        <v>29586</v>
      </c>
      <c r="D207" s="1261"/>
      <c r="F207" s="1256"/>
      <c r="G207" s="1256"/>
      <c r="H207" s="1256"/>
      <c r="I207" s="1256"/>
      <c r="J207" s="1257"/>
      <c r="K207" s="1257"/>
      <c r="L207" s="1256"/>
      <c r="M207" s="1256"/>
      <c r="N207" s="1257"/>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c r="CB207" s="1256"/>
      <c r="CC207" s="1256"/>
      <c r="CD207" s="1256"/>
      <c r="CE207" s="1256"/>
      <c r="CF207" s="1256"/>
      <c r="CG207" s="1256"/>
      <c r="CH207" s="1256"/>
      <c r="CI207" s="1256"/>
      <c r="CJ207" s="1256"/>
      <c r="CK207" s="1256"/>
      <c r="CL207" s="1256"/>
      <c r="CM207" s="1256"/>
      <c r="CN207" s="1256"/>
      <c r="CO207" s="1256"/>
      <c r="CP207" s="1256"/>
      <c r="CQ207" s="1256"/>
      <c r="CR207" s="1256"/>
      <c r="CS207" s="1256"/>
      <c r="CT207" s="1256"/>
      <c r="CU207" s="1256"/>
      <c r="CV207" s="1256"/>
      <c r="CW207" s="1256"/>
      <c r="CX207" s="1256"/>
      <c r="CY207" s="1256"/>
      <c r="CZ207" s="1256"/>
      <c r="DA207" s="1256"/>
      <c r="DB207" s="1256"/>
      <c r="DC207" s="1256"/>
      <c r="DD207" s="1256"/>
      <c r="DE207" s="1256"/>
      <c r="DF207" s="1256"/>
      <c r="DG207" s="1256"/>
      <c r="DH207" s="1256"/>
      <c r="DI207" s="1256"/>
      <c r="DJ207" s="1256"/>
      <c r="DK207" s="1256"/>
      <c r="DL207" s="1256"/>
      <c r="DM207" s="1256"/>
      <c r="DN207" s="1256"/>
      <c r="DO207" s="1256"/>
    </row>
    <row r="208" spans="1:119" s="1258" customFormat="1" hidden="1">
      <c r="A208" s="10" t="s">
        <v>133</v>
      </c>
      <c r="B208" s="1262">
        <v>29916</v>
      </c>
      <c r="C208" s="1262">
        <v>29916</v>
      </c>
      <c r="D208" s="1261"/>
      <c r="F208" s="1256"/>
      <c r="G208" s="1256"/>
      <c r="H208" s="1256"/>
      <c r="I208" s="1256"/>
      <c r="J208" s="1257"/>
      <c r="K208" s="1257"/>
      <c r="L208" s="1256"/>
      <c r="M208" s="1256"/>
      <c r="N208" s="1257"/>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c r="CB208" s="1256"/>
      <c r="CC208" s="1256"/>
      <c r="CD208" s="1256"/>
      <c r="CE208" s="1256"/>
      <c r="CF208" s="1256"/>
      <c r="CG208" s="1256"/>
      <c r="CH208" s="1256"/>
      <c r="CI208" s="1256"/>
      <c r="CJ208" s="1256"/>
      <c r="CK208" s="1256"/>
      <c r="CL208" s="1256"/>
      <c r="CM208" s="1256"/>
      <c r="CN208" s="1256"/>
      <c r="CO208" s="1256"/>
      <c r="CP208" s="1256"/>
      <c r="CQ208" s="1256"/>
      <c r="CR208" s="1256"/>
      <c r="CS208" s="1256"/>
      <c r="CT208" s="1256"/>
      <c r="CU208" s="1256"/>
      <c r="CV208" s="1256"/>
      <c r="CW208" s="1256"/>
      <c r="CX208" s="1256"/>
      <c r="CY208" s="1256"/>
      <c r="CZ208" s="1256"/>
      <c r="DA208" s="1256"/>
      <c r="DB208" s="1256"/>
      <c r="DC208" s="1256"/>
      <c r="DD208" s="1256"/>
      <c r="DE208" s="1256"/>
      <c r="DF208" s="1256"/>
      <c r="DG208" s="1256"/>
      <c r="DH208" s="1256"/>
      <c r="DI208" s="1256"/>
      <c r="DJ208" s="1256"/>
      <c r="DK208" s="1256"/>
      <c r="DL208" s="1256"/>
      <c r="DM208" s="1256"/>
      <c r="DN208" s="1256"/>
      <c r="DO208" s="1256"/>
    </row>
    <row r="209" spans="1:119" s="1258" customFormat="1" hidden="1">
      <c r="A209" s="10" t="s">
        <v>132</v>
      </c>
      <c r="B209" s="1262">
        <v>30252</v>
      </c>
      <c r="C209" s="1262">
        <v>30252</v>
      </c>
      <c r="D209" s="1261"/>
      <c r="F209" s="1256"/>
      <c r="G209" s="1256"/>
      <c r="H209" s="1256"/>
      <c r="I209" s="1256"/>
      <c r="J209" s="1257"/>
      <c r="K209" s="1257"/>
      <c r="L209" s="1256"/>
      <c r="M209" s="1256"/>
      <c r="N209" s="1257"/>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c r="CB209" s="1256"/>
      <c r="CC209" s="1256"/>
      <c r="CD209" s="1256"/>
      <c r="CE209" s="1256"/>
      <c r="CF209" s="1256"/>
      <c r="CG209" s="1256"/>
      <c r="CH209" s="1256"/>
      <c r="CI209" s="1256"/>
      <c r="CJ209" s="1256"/>
      <c r="CK209" s="1256"/>
      <c r="CL209" s="1256"/>
      <c r="CM209" s="1256"/>
      <c r="CN209" s="1256"/>
      <c r="CO209" s="1256"/>
      <c r="CP209" s="1256"/>
      <c r="CQ209" s="1256"/>
      <c r="CR209" s="1256"/>
      <c r="CS209" s="1256"/>
      <c r="CT209" s="1256"/>
      <c r="CU209" s="1256"/>
      <c r="CV209" s="1256"/>
      <c r="CW209" s="1256"/>
      <c r="CX209" s="1256"/>
      <c r="CY209" s="1256"/>
      <c r="CZ209" s="1256"/>
      <c r="DA209" s="1256"/>
      <c r="DB209" s="1256"/>
      <c r="DC209" s="1256"/>
      <c r="DD209" s="1256"/>
      <c r="DE209" s="1256"/>
      <c r="DF209" s="1256"/>
      <c r="DG209" s="1256"/>
      <c r="DH209" s="1256"/>
      <c r="DI209" s="1256"/>
      <c r="DJ209" s="1256"/>
      <c r="DK209" s="1256"/>
      <c r="DL209" s="1256"/>
      <c r="DM209" s="1256"/>
      <c r="DN209" s="1256"/>
      <c r="DO209" s="1256"/>
    </row>
    <row r="210" spans="1:119" s="1258" customFormat="1" hidden="1">
      <c r="A210" s="10" t="s">
        <v>131</v>
      </c>
      <c r="B210" s="1262">
        <v>30590</v>
      </c>
      <c r="C210" s="1262">
        <v>30590</v>
      </c>
      <c r="D210" s="1261"/>
      <c r="F210" s="1256"/>
      <c r="G210" s="1256"/>
      <c r="H210" s="1256"/>
      <c r="I210" s="1256"/>
      <c r="J210" s="1257"/>
      <c r="K210" s="1257"/>
      <c r="L210" s="1256"/>
      <c r="M210" s="1256"/>
      <c r="N210" s="1257"/>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c r="CB210" s="1256"/>
      <c r="CC210" s="1256"/>
      <c r="CD210" s="1256"/>
      <c r="CE210" s="1256"/>
      <c r="CF210" s="1256"/>
      <c r="CG210" s="1256"/>
      <c r="CH210" s="1256"/>
      <c r="CI210" s="1256"/>
      <c r="CJ210" s="1256"/>
      <c r="CK210" s="1256"/>
      <c r="CL210" s="1256"/>
      <c r="CM210" s="1256"/>
      <c r="CN210" s="1256"/>
      <c r="CO210" s="1256"/>
      <c r="CP210" s="1256"/>
      <c r="CQ210" s="1256"/>
      <c r="CR210" s="1256"/>
      <c r="CS210" s="1256"/>
      <c r="CT210" s="1256"/>
      <c r="CU210" s="1256"/>
      <c r="CV210" s="1256"/>
      <c r="CW210" s="1256"/>
      <c r="CX210" s="1256"/>
      <c r="CY210" s="1256"/>
      <c r="CZ210" s="1256"/>
      <c r="DA210" s="1256"/>
      <c r="DB210" s="1256"/>
      <c r="DC210" s="1256"/>
      <c r="DD210" s="1256"/>
      <c r="DE210" s="1256"/>
      <c r="DF210" s="1256"/>
      <c r="DG210" s="1256"/>
      <c r="DH210" s="1256"/>
      <c r="DI210" s="1256"/>
      <c r="DJ210" s="1256"/>
      <c r="DK210" s="1256"/>
      <c r="DL210" s="1256"/>
      <c r="DM210" s="1256"/>
      <c r="DN210" s="1256"/>
      <c r="DO210" s="1256"/>
    </row>
    <row r="211" spans="1:119" s="1258" customFormat="1" hidden="1">
      <c r="A211" s="10" t="s">
        <v>130</v>
      </c>
      <c r="B211" s="1262">
        <v>30933</v>
      </c>
      <c r="C211" s="1262">
        <v>30933</v>
      </c>
      <c r="D211" s="1261"/>
      <c r="F211" s="1256"/>
      <c r="G211" s="1256"/>
      <c r="H211" s="1256"/>
      <c r="I211" s="1256"/>
      <c r="J211" s="1257"/>
      <c r="K211" s="1257"/>
      <c r="L211" s="1256"/>
      <c r="M211" s="1256"/>
      <c r="N211" s="1257"/>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c r="CB211" s="1256"/>
      <c r="CC211" s="1256"/>
      <c r="CD211" s="1256"/>
      <c r="CE211" s="1256"/>
      <c r="CF211" s="1256"/>
      <c r="CG211" s="1256"/>
      <c r="CH211" s="1256"/>
      <c r="CI211" s="1256"/>
      <c r="CJ211" s="1256"/>
      <c r="CK211" s="1256"/>
      <c r="CL211" s="1256"/>
      <c r="CM211" s="1256"/>
      <c r="CN211" s="1256"/>
      <c r="CO211" s="1256"/>
      <c r="CP211" s="1256"/>
      <c r="CQ211" s="1256"/>
      <c r="CR211" s="1256"/>
      <c r="CS211" s="1256"/>
      <c r="CT211" s="1256"/>
      <c r="CU211" s="1256"/>
      <c r="CV211" s="1256"/>
      <c r="CW211" s="1256"/>
      <c r="CX211" s="1256"/>
      <c r="CY211" s="1256"/>
      <c r="CZ211" s="1256"/>
      <c r="DA211" s="1256"/>
      <c r="DB211" s="1256"/>
      <c r="DC211" s="1256"/>
      <c r="DD211" s="1256"/>
      <c r="DE211" s="1256"/>
      <c r="DF211" s="1256"/>
      <c r="DG211" s="1256"/>
      <c r="DH211" s="1256"/>
      <c r="DI211" s="1256"/>
      <c r="DJ211" s="1256"/>
      <c r="DK211" s="1256"/>
      <c r="DL211" s="1256"/>
      <c r="DM211" s="1256"/>
      <c r="DN211" s="1256"/>
      <c r="DO211" s="1256"/>
    </row>
    <row r="212" spans="1:119" s="1258" customFormat="1" hidden="1">
      <c r="A212" s="10" t="s">
        <v>129</v>
      </c>
      <c r="B212" s="1262">
        <v>31281</v>
      </c>
      <c r="C212" s="1262">
        <v>31281</v>
      </c>
      <c r="D212" s="1261"/>
      <c r="F212" s="1256"/>
      <c r="G212" s="1256"/>
      <c r="H212" s="1256"/>
      <c r="I212" s="1256"/>
      <c r="J212" s="1257"/>
      <c r="K212" s="1257"/>
      <c r="L212" s="1256"/>
      <c r="M212" s="1256"/>
      <c r="N212" s="1257"/>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c r="CB212" s="1256"/>
      <c r="CC212" s="1256"/>
      <c r="CD212" s="1256"/>
      <c r="CE212" s="1256"/>
      <c r="CF212" s="1256"/>
      <c r="CG212" s="1256"/>
      <c r="CH212" s="1256"/>
      <c r="CI212" s="1256"/>
      <c r="CJ212" s="1256"/>
      <c r="CK212" s="1256"/>
      <c r="CL212" s="1256"/>
      <c r="CM212" s="1256"/>
      <c r="CN212" s="1256"/>
      <c r="CO212" s="1256"/>
      <c r="CP212" s="1256"/>
      <c r="CQ212" s="1256"/>
      <c r="CR212" s="1256"/>
      <c r="CS212" s="1256"/>
      <c r="CT212" s="1256"/>
      <c r="CU212" s="1256"/>
      <c r="CV212" s="1256"/>
      <c r="CW212" s="1256"/>
      <c r="CX212" s="1256"/>
      <c r="CY212" s="1256"/>
      <c r="CZ212" s="1256"/>
      <c r="DA212" s="1256"/>
      <c r="DB212" s="1256"/>
      <c r="DC212" s="1256"/>
      <c r="DD212" s="1256"/>
      <c r="DE212" s="1256"/>
      <c r="DF212" s="1256"/>
      <c r="DG212" s="1256"/>
      <c r="DH212" s="1256"/>
      <c r="DI212" s="1256"/>
      <c r="DJ212" s="1256"/>
      <c r="DK212" s="1256"/>
      <c r="DL212" s="1256"/>
      <c r="DM212" s="1256"/>
      <c r="DN212" s="1256"/>
      <c r="DO212" s="1256"/>
    </row>
    <row r="213" spans="1:119" s="1258" customFormat="1" hidden="1">
      <c r="A213" s="10" t="s">
        <v>128</v>
      </c>
      <c r="B213" s="1262">
        <v>31632</v>
      </c>
      <c r="C213" s="1262">
        <v>31632</v>
      </c>
      <c r="D213" s="1261"/>
      <c r="F213" s="1256"/>
      <c r="G213" s="1256"/>
      <c r="H213" s="1256"/>
      <c r="I213" s="1256"/>
      <c r="J213" s="1257"/>
      <c r="K213" s="1257"/>
      <c r="L213" s="1256"/>
      <c r="M213" s="1256"/>
      <c r="N213" s="1257"/>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c r="CB213" s="1256"/>
      <c r="CC213" s="1256"/>
      <c r="CD213" s="1256"/>
      <c r="CE213" s="1256"/>
      <c r="CF213" s="1256"/>
      <c r="CG213" s="1256"/>
      <c r="CH213" s="1256"/>
      <c r="CI213" s="1256"/>
      <c r="CJ213" s="1256"/>
      <c r="CK213" s="1256"/>
      <c r="CL213" s="1256"/>
      <c r="CM213" s="1256"/>
      <c r="CN213" s="1256"/>
      <c r="CO213" s="1256"/>
      <c r="CP213" s="1256"/>
      <c r="CQ213" s="1256"/>
      <c r="CR213" s="1256"/>
      <c r="CS213" s="1256"/>
      <c r="CT213" s="1256"/>
      <c r="CU213" s="1256"/>
      <c r="CV213" s="1256"/>
      <c r="CW213" s="1256"/>
      <c r="CX213" s="1256"/>
      <c r="CY213" s="1256"/>
      <c r="CZ213" s="1256"/>
      <c r="DA213" s="1256"/>
      <c r="DB213" s="1256"/>
      <c r="DC213" s="1256"/>
      <c r="DD213" s="1256"/>
      <c r="DE213" s="1256"/>
      <c r="DF213" s="1256"/>
      <c r="DG213" s="1256"/>
      <c r="DH213" s="1256"/>
      <c r="DI213" s="1256"/>
      <c r="DJ213" s="1256"/>
      <c r="DK213" s="1256"/>
      <c r="DL213" s="1256"/>
      <c r="DM213" s="1256"/>
      <c r="DN213" s="1256"/>
      <c r="DO213" s="1256"/>
    </row>
    <row r="214" spans="1:119" s="1258" customFormat="1" hidden="1">
      <c r="A214" s="12" t="s">
        <v>127</v>
      </c>
      <c r="B214" s="1263">
        <v>31896</v>
      </c>
      <c r="C214" s="1263">
        <v>31896</v>
      </c>
      <c r="D214" s="1261"/>
      <c r="F214" s="1256"/>
      <c r="G214" s="1256"/>
      <c r="H214" s="1256"/>
      <c r="I214" s="1256"/>
      <c r="J214" s="1257"/>
      <c r="K214" s="1257"/>
      <c r="L214" s="1256"/>
      <c r="M214" s="1256"/>
      <c r="N214" s="1257"/>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c r="CB214" s="1256"/>
      <c r="CC214" s="1256"/>
      <c r="CD214" s="1256"/>
      <c r="CE214" s="1256"/>
      <c r="CF214" s="1256"/>
      <c r="CG214" s="1256"/>
      <c r="CH214" s="1256"/>
      <c r="CI214" s="1256"/>
      <c r="CJ214" s="1256"/>
      <c r="CK214" s="1256"/>
      <c r="CL214" s="1256"/>
      <c r="CM214" s="1256"/>
      <c r="CN214" s="1256"/>
      <c r="CO214" s="1256"/>
      <c r="CP214" s="1256"/>
      <c r="CQ214" s="1256"/>
      <c r="CR214" s="1256"/>
      <c r="CS214" s="1256"/>
      <c r="CT214" s="1256"/>
      <c r="CU214" s="1256"/>
      <c r="CV214" s="1256"/>
      <c r="CW214" s="1256"/>
      <c r="CX214" s="1256"/>
      <c r="CY214" s="1256"/>
      <c r="CZ214" s="1256"/>
      <c r="DA214" s="1256"/>
      <c r="DB214" s="1256"/>
      <c r="DC214" s="1256"/>
      <c r="DD214" s="1256"/>
      <c r="DE214" s="1256"/>
      <c r="DF214" s="1256"/>
      <c r="DG214" s="1256"/>
      <c r="DH214" s="1256"/>
      <c r="DI214" s="1256"/>
      <c r="DJ214" s="1256"/>
      <c r="DK214" s="1256"/>
      <c r="DL214" s="1256"/>
      <c r="DM214" s="1256"/>
      <c r="DN214" s="1256"/>
      <c r="DO214" s="1256"/>
    </row>
    <row r="215" spans="1:119" s="1258" customFormat="1" hidden="1">
      <c r="A215" s="12" t="s">
        <v>126</v>
      </c>
      <c r="B215" s="1263">
        <v>32255</v>
      </c>
      <c r="C215" s="1263">
        <v>32255</v>
      </c>
      <c r="D215" s="1261"/>
      <c r="F215" s="1256"/>
      <c r="G215" s="1256"/>
      <c r="H215" s="1256"/>
      <c r="I215" s="1256"/>
      <c r="J215" s="1257"/>
      <c r="K215" s="1257"/>
      <c r="L215" s="1256"/>
      <c r="M215" s="1256"/>
      <c r="N215" s="1257"/>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c r="CB215" s="1256"/>
      <c r="CC215" s="1256"/>
      <c r="CD215" s="1256"/>
      <c r="CE215" s="1256"/>
      <c r="CF215" s="1256"/>
      <c r="CG215" s="1256"/>
      <c r="CH215" s="1256"/>
      <c r="CI215" s="1256"/>
      <c r="CJ215" s="1256"/>
      <c r="CK215" s="1256"/>
      <c r="CL215" s="1256"/>
      <c r="CM215" s="1256"/>
      <c r="CN215" s="1256"/>
      <c r="CO215" s="1256"/>
      <c r="CP215" s="1256"/>
      <c r="CQ215" s="1256"/>
      <c r="CR215" s="1256"/>
      <c r="CS215" s="1256"/>
      <c r="CT215" s="1256"/>
      <c r="CU215" s="1256"/>
      <c r="CV215" s="1256"/>
      <c r="CW215" s="1256"/>
      <c r="CX215" s="1256"/>
      <c r="CY215" s="1256"/>
      <c r="CZ215" s="1256"/>
      <c r="DA215" s="1256"/>
      <c r="DB215" s="1256"/>
      <c r="DC215" s="1256"/>
      <c r="DD215" s="1256"/>
      <c r="DE215" s="1256"/>
      <c r="DF215" s="1256"/>
      <c r="DG215" s="1256"/>
      <c r="DH215" s="1256"/>
      <c r="DI215" s="1256"/>
      <c r="DJ215" s="1256"/>
      <c r="DK215" s="1256"/>
      <c r="DL215" s="1256"/>
      <c r="DM215" s="1256"/>
      <c r="DN215" s="1256"/>
      <c r="DO215" s="1256"/>
    </row>
    <row r="216" spans="1:119" s="1258" customFormat="1" hidden="1">
      <c r="A216" s="12" t="s">
        <v>125</v>
      </c>
      <c r="B216" s="1263">
        <v>32619</v>
      </c>
      <c r="C216" s="1263">
        <v>32619</v>
      </c>
      <c r="D216" s="1261"/>
      <c r="F216" s="1256"/>
      <c r="G216" s="1256"/>
      <c r="H216" s="1256"/>
      <c r="I216" s="1256"/>
      <c r="J216" s="1257"/>
      <c r="K216" s="1257"/>
      <c r="L216" s="1256"/>
      <c r="M216" s="1256"/>
      <c r="N216" s="1257"/>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c r="CB216" s="1256"/>
      <c r="CC216" s="1256"/>
      <c r="CD216" s="1256"/>
      <c r="CE216" s="1256"/>
      <c r="CF216" s="1256"/>
      <c r="CG216" s="1256"/>
      <c r="CH216" s="1256"/>
      <c r="CI216" s="1256"/>
      <c r="CJ216" s="1256"/>
      <c r="CK216" s="1256"/>
      <c r="CL216" s="1256"/>
      <c r="CM216" s="1256"/>
      <c r="CN216" s="1256"/>
      <c r="CO216" s="1256"/>
      <c r="CP216" s="1256"/>
      <c r="CQ216" s="1256"/>
      <c r="CR216" s="1256"/>
      <c r="CS216" s="1256"/>
      <c r="CT216" s="1256"/>
      <c r="CU216" s="1256"/>
      <c r="CV216" s="1256"/>
      <c r="CW216" s="1256"/>
      <c r="CX216" s="1256"/>
      <c r="CY216" s="1256"/>
      <c r="CZ216" s="1256"/>
      <c r="DA216" s="1256"/>
      <c r="DB216" s="1256"/>
      <c r="DC216" s="1256"/>
      <c r="DD216" s="1256"/>
      <c r="DE216" s="1256"/>
      <c r="DF216" s="1256"/>
      <c r="DG216" s="1256"/>
      <c r="DH216" s="1256"/>
      <c r="DI216" s="1256"/>
      <c r="DJ216" s="1256"/>
      <c r="DK216" s="1256"/>
      <c r="DL216" s="1256"/>
      <c r="DM216" s="1256"/>
      <c r="DN216" s="1256"/>
      <c r="DO216" s="1256"/>
    </row>
    <row r="217" spans="1:119" s="1258" customFormat="1" hidden="1">
      <c r="A217" s="12" t="s">
        <v>124</v>
      </c>
      <c r="B217" s="1263">
        <v>32988</v>
      </c>
      <c r="C217" s="1263">
        <v>32988</v>
      </c>
      <c r="D217" s="1261"/>
      <c r="F217" s="1256"/>
      <c r="G217" s="1256"/>
      <c r="H217" s="1256"/>
      <c r="I217" s="1256"/>
      <c r="J217" s="1257"/>
      <c r="K217" s="1257"/>
      <c r="L217" s="1256"/>
      <c r="M217" s="1256"/>
      <c r="N217" s="1257"/>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c r="CB217" s="1256"/>
      <c r="CC217" s="1256"/>
      <c r="CD217" s="1256"/>
      <c r="CE217" s="1256"/>
      <c r="CF217" s="1256"/>
      <c r="CG217" s="1256"/>
      <c r="CH217" s="1256"/>
      <c r="CI217" s="1256"/>
      <c r="CJ217" s="1256"/>
      <c r="CK217" s="1256"/>
      <c r="CL217" s="1256"/>
      <c r="CM217" s="1256"/>
      <c r="CN217" s="1256"/>
      <c r="CO217" s="1256"/>
      <c r="CP217" s="1256"/>
      <c r="CQ217" s="1256"/>
      <c r="CR217" s="1256"/>
      <c r="CS217" s="1256"/>
      <c r="CT217" s="1256"/>
      <c r="CU217" s="1256"/>
      <c r="CV217" s="1256"/>
      <c r="CW217" s="1256"/>
      <c r="CX217" s="1256"/>
      <c r="CY217" s="1256"/>
      <c r="CZ217" s="1256"/>
      <c r="DA217" s="1256"/>
      <c r="DB217" s="1256"/>
      <c r="DC217" s="1256"/>
      <c r="DD217" s="1256"/>
      <c r="DE217" s="1256"/>
      <c r="DF217" s="1256"/>
      <c r="DG217" s="1256"/>
      <c r="DH217" s="1256"/>
      <c r="DI217" s="1256"/>
      <c r="DJ217" s="1256"/>
      <c r="DK217" s="1256"/>
      <c r="DL217" s="1256"/>
      <c r="DM217" s="1256"/>
      <c r="DN217" s="1256"/>
      <c r="DO217" s="1256"/>
    </row>
    <row r="218" spans="1:119" s="1258" customFormat="1" hidden="1">
      <c r="A218" s="12" t="s">
        <v>123</v>
      </c>
      <c r="B218" s="1263">
        <v>33360</v>
      </c>
      <c r="C218" s="1263">
        <v>33360</v>
      </c>
      <c r="D218" s="1261"/>
      <c r="F218" s="1256"/>
      <c r="G218" s="1256"/>
      <c r="H218" s="1256"/>
      <c r="I218" s="1256"/>
      <c r="J218" s="1257"/>
      <c r="K218" s="1257"/>
      <c r="L218" s="1256"/>
      <c r="M218" s="1256"/>
      <c r="N218" s="1257"/>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c r="CB218" s="1256"/>
      <c r="CC218" s="1256"/>
      <c r="CD218" s="1256"/>
      <c r="CE218" s="1256"/>
      <c r="CF218" s="1256"/>
      <c r="CG218" s="1256"/>
      <c r="CH218" s="1256"/>
      <c r="CI218" s="1256"/>
      <c r="CJ218" s="1256"/>
      <c r="CK218" s="1256"/>
      <c r="CL218" s="1256"/>
      <c r="CM218" s="1256"/>
      <c r="CN218" s="1256"/>
      <c r="CO218" s="1256"/>
      <c r="CP218" s="1256"/>
      <c r="CQ218" s="1256"/>
      <c r="CR218" s="1256"/>
      <c r="CS218" s="1256"/>
      <c r="CT218" s="1256"/>
      <c r="CU218" s="1256"/>
      <c r="CV218" s="1256"/>
      <c r="CW218" s="1256"/>
      <c r="CX218" s="1256"/>
      <c r="CY218" s="1256"/>
      <c r="CZ218" s="1256"/>
      <c r="DA218" s="1256"/>
      <c r="DB218" s="1256"/>
      <c r="DC218" s="1256"/>
      <c r="DD218" s="1256"/>
      <c r="DE218" s="1256"/>
      <c r="DF218" s="1256"/>
      <c r="DG218" s="1256"/>
      <c r="DH218" s="1256"/>
      <c r="DI218" s="1256"/>
      <c r="DJ218" s="1256"/>
      <c r="DK218" s="1256"/>
      <c r="DL218" s="1256"/>
      <c r="DM218" s="1256"/>
      <c r="DN218" s="1256"/>
      <c r="DO218" s="1256"/>
    </row>
    <row r="219" spans="1:119" s="1258" customFormat="1" hidden="1">
      <c r="A219" s="12" t="s">
        <v>122</v>
      </c>
      <c r="B219" s="1263">
        <v>33737</v>
      </c>
      <c r="C219" s="1263">
        <v>33737</v>
      </c>
      <c r="D219" s="1261"/>
      <c r="F219" s="1256"/>
      <c r="G219" s="1256"/>
      <c r="H219" s="1256"/>
      <c r="I219" s="1256"/>
      <c r="J219" s="1257"/>
      <c r="K219" s="1257"/>
      <c r="L219" s="1256"/>
      <c r="M219" s="1256"/>
      <c r="N219" s="1257"/>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c r="CB219" s="1256"/>
      <c r="CC219" s="1256"/>
      <c r="CD219" s="1256"/>
      <c r="CE219" s="1256"/>
      <c r="CF219" s="1256"/>
      <c r="CG219" s="1256"/>
      <c r="CH219" s="1256"/>
      <c r="CI219" s="1256"/>
      <c r="CJ219" s="1256"/>
      <c r="CK219" s="1256"/>
      <c r="CL219" s="1256"/>
      <c r="CM219" s="1256"/>
      <c r="CN219" s="1256"/>
      <c r="CO219" s="1256"/>
      <c r="CP219" s="1256"/>
      <c r="CQ219" s="1256"/>
      <c r="CR219" s="1256"/>
      <c r="CS219" s="1256"/>
      <c r="CT219" s="1256"/>
      <c r="CU219" s="1256"/>
      <c r="CV219" s="1256"/>
      <c r="CW219" s="1256"/>
      <c r="CX219" s="1256"/>
      <c r="CY219" s="1256"/>
      <c r="CZ219" s="1256"/>
      <c r="DA219" s="1256"/>
      <c r="DB219" s="1256"/>
      <c r="DC219" s="1256"/>
      <c r="DD219" s="1256"/>
      <c r="DE219" s="1256"/>
      <c r="DF219" s="1256"/>
      <c r="DG219" s="1256"/>
      <c r="DH219" s="1256"/>
      <c r="DI219" s="1256"/>
      <c r="DJ219" s="1256"/>
      <c r="DK219" s="1256"/>
      <c r="DL219" s="1256"/>
      <c r="DM219" s="1256"/>
      <c r="DN219" s="1256"/>
      <c r="DO219" s="1256"/>
    </row>
    <row r="220" spans="1:119" s="1258" customFormat="1" hidden="1">
      <c r="A220" s="12" t="s">
        <v>121</v>
      </c>
      <c r="B220" s="1263">
        <v>34119</v>
      </c>
      <c r="C220" s="1263">
        <v>34119</v>
      </c>
      <c r="D220" s="1261"/>
      <c r="F220" s="1256"/>
      <c r="G220" s="1256"/>
      <c r="H220" s="1256"/>
      <c r="I220" s="1256"/>
      <c r="J220" s="1257"/>
      <c r="K220" s="1257"/>
      <c r="L220" s="1256"/>
      <c r="M220" s="1256"/>
      <c r="N220" s="1257"/>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c r="CB220" s="1256"/>
      <c r="CC220" s="1256"/>
      <c r="CD220" s="1256"/>
      <c r="CE220" s="1256"/>
      <c r="CF220" s="1256"/>
      <c r="CG220" s="1256"/>
      <c r="CH220" s="1256"/>
      <c r="CI220" s="1256"/>
      <c r="CJ220" s="1256"/>
      <c r="CK220" s="1256"/>
      <c r="CL220" s="1256"/>
      <c r="CM220" s="1256"/>
      <c r="CN220" s="1256"/>
      <c r="CO220" s="1256"/>
      <c r="CP220" s="1256"/>
      <c r="CQ220" s="1256"/>
      <c r="CR220" s="1256"/>
      <c r="CS220" s="1256"/>
      <c r="CT220" s="1256"/>
      <c r="CU220" s="1256"/>
      <c r="CV220" s="1256"/>
      <c r="CW220" s="1256"/>
      <c r="CX220" s="1256"/>
      <c r="CY220" s="1256"/>
      <c r="CZ220" s="1256"/>
      <c r="DA220" s="1256"/>
      <c r="DB220" s="1256"/>
      <c r="DC220" s="1256"/>
      <c r="DD220" s="1256"/>
      <c r="DE220" s="1256"/>
      <c r="DF220" s="1256"/>
      <c r="DG220" s="1256"/>
      <c r="DH220" s="1256"/>
      <c r="DI220" s="1256"/>
      <c r="DJ220" s="1256"/>
      <c r="DK220" s="1256"/>
      <c r="DL220" s="1256"/>
      <c r="DM220" s="1256"/>
      <c r="DN220" s="1256"/>
      <c r="DO220" s="1256"/>
    </row>
    <row r="221" spans="1:119" s="1258" customFormat="1" hidden="1">
      <c r="A221" s="12" t="s">
        <v>120</v>
      </c>
      <c r="B221" s="1263">
        <v>34507</v>
      </c>
      <c r="C221" s="1263">
        <v>34507</v>
      </c>
      <c r="D221" s="1261"/>
      <c r="F221" s="1256"/>
      <c r="G221" s="1256"/>
      <c r="H221" s="1256"/>
      <c r="I221" s="1256"/>
      <c r="J221" s="1257"/>
      <c r="K221" s="1257"/>
      <c r="L221" s="1256"/>
      <c r="M221" s="1256"/>
      <c r="N221" s="1257"/>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c r="CB221" s="1256"/>
      <c r="CC221" s="1256"/>
      <c r="CD221" s="1256"/>
      <c r="CE221" s="1256"/>
      <c r="CF221" s="1256"/>
      <c r="CG221" s="1256"/>
      <c r="CH221" s="1256"/>
      <c r="CI221" s="1256"/>
      <c r="CJ221" s="1256"/>
      <c r="CK221" s="1256"/>
      <c r="CL221" s="1256"/>
      <c r="CM221" s="1256"/>
      <c r="CN221" s="1256"/>
      <c r="CO221" s="1256"/>
      <c r="CP221" s="1256"/>
      <c r="CQ221" s="1256"/>
      <c r="CR221" s="1256"/>
      <c r="CS221" s="1256"/>
      <c r="CT221" s="1256"/>
      <c r="CU221" s="1256"/>
      <c r="CV221" s="1256"/>
      <c r="CW221" s="1256"/>
      <c r="CX221" s="1256"/>
      <c r="CY221" s="1256"/>
      <c r="CZ221" s="1256"/>
      <c r="DA221" s="1256"/>
      <c r="DB221" s="1256"/>
      <c r="DC221" s="1256"/>
      <c r="DD221" s="1256"/>
      <c r="DE221" s="1256"/>
      <c r="DF221" s="1256"/>
      <c r="DG221" s="1256"/>
      <c r="DH221" s="1256"/>
      <c r="DI221" s="1256"/>
      <c r="DJ221" s="1256"/>
      <c r="DK221" s="1256"/>
      <c r="DL221" s="1256"/>
      <c r="DM221" s="1256"/>
      <c r="DN221" s="1256"/>
      <c r="DO221" s="1256"/>
    </row>
    <row r="222" spans="1:119" s="1258" customFormat="1" hidden="1">
      <c r="A222" s="10" t="s">
        <v>119</v>
      </c>
      <c r="B222" s="1262">
        <v>34797</v>
      </c>
      <c r="C222" s="1262">
        <v>34797</v>
      </c>
      <c r="D222" s="1261"/>
      <c r="F222" s="1256"/>
      <c r="G222" s="1256"/>
      <c r="H222" s="1256"/>
      <c r="I222" s="1256"/>
      <c r="J222" s="1257"/>
      <c r="K222" s="1257"/>
      <c r="L222" s="1256"/>
      <c r="M222" s="1256"/>
      <c r="N222" s="1257"/>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c r="CB222" s="1256"/>
      <c r="CC222" s="1256"/>
      <c r="CD222" s="1256"/>
      <c r="CE222" s="1256"/>
      <c r="CF222" s="1256"/>
      <c r="CG222" s="1256"/>
      <c r="CH222" s="1256"/>
      <c r="CI222" s="1256"/>
      <c r="CJ222" s="1256"/>
      <c r="CK222" s="1256"/>
      <c r="CL222" s="1256"/>
      <c r="CM222" s="1256"/>
      <c r="CN222" s="1256"/>
      <c r="CO222" s="1256"/>
      <c r="CP222" s="1256"/>
      <c r="CQ222" s="1256"/>
      <c r="CR222" s="1256"/>
      <c r="CS222" s="1256"/>
      <c r="CT222" s="1256"/>
      <c r="CU222" s="1256"/>
      <c r="CV222" s="1256"/>
      <c r="CW222" s="1256"/>
      <c r="CX222" s="1256"/>
      <c r="CY222" s="1256"/>
      <c r="CZ222" s="1256"/>
      <c r="DA222" s="1256"/>
      <c r="DB222" s="1256"/>
      <c r="DC222" s="1256"/>
      <c r="DD222" s="1256"/>
      <c r="DE222" s="1256"/>
      <c r="DF222" s="1256"/>
      <c r="DG222" s="1256"/>
      <c r="DH222" s="1256"/>
      <c r="DI222" s="1256"/>
      <c r="DJ222" s="1256"/>
      <c r="DK222" s="1256"/>
      <c r="DL222" s="1256"/>
      <c r="DM222" s="1256"/>
      <c r="DN222" s="1256"/>
      <c r="DO222" s="1256"/>
    </row>
    <row r="223" spans="1:119" s="1258" customFormat="1" hidden="1">
      <c r="A223" s="10" t="s">
        <v>118</v>
      </c>
      <c r="B223" s="1262">
        <v>35192</v>
      </c>
      <c r="C223" s="1262">
        <v>35192</v>
      </c>
      <c r="D223" s="1261"/>
      <c r="F223" s="1256"/>
      <c r="G223" s="1256"/>
      <c r="H223" s="1256"/>
      <c r="I223" s="1256"/>
      <c r="J223" s="1257"/>
      <c r="K223" s="1257"/>
      <c r="L223" s="1256"/>
      <c r="M223" s="1256"/>
      <c r="N223" s="1257"/>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c r="CB223" s="1256"/>
      <c r="CC223" s="1256"/>
      <c r="CD223" s="1256"/>
      <c r="CE223" s="1256"/>
      <c r="CF223" s="1256"/>
      <c r="CG223" s="1256"/>
      <c r="CH223" s="1256"/>
      <c r="CI223" s="1256"/>
      <c r="CJ223" s="1256"/>
      <c r="CK223" s="1256"/>
      <c r="CL223" s="1256"/>
      <c r="CM223" s="1256"/>
      <c r="CN223" s="1256"/>
      <c r="CO223" s="1256"/>
      <c r="CP223" s="1256"/>
      <c r="CQ223" s="1256"/>
      <c r="CR223" s="1256"/>
      <c r="CS223" s="1256"/>
      <c r="CT223" s="1256"/>
      <c r="CU223" s="1256"/>
      <c r="CV223" s="1256"/>
      <c r="CW223" s="1256"/>
      <c r="CX223" s="1256"/>
      <c r="CY223" s="1256"/>
      <c r="CZ223" s="1256"/>
      <c r="DA223" s="1256"/>
      <c r="DB223" s="1256"/>
      <c r="DC223" s="1256"/>
      <c r="DD223" s="1256"/>
      <c r="DE223" s="1256"/>
      <c r="DF223" s="1256"/>
      <c r="DG223" s="1256"/>
      <c r="DH223" s="1256"/>
      <c r="DI223" s="1256"/>
      <c r="DJ223" s="1256"/>
      <c r="DK223" s="1256"/>
      <c r="DL223" s="1256"/>
      <c r="DM223" s="1256"/>
      <c r="DN223" s="1256"/>
      <c r="DO223" s="1256"/>
    </row>
    <row r="224" spans="1:119" s="1258" customFormat="1" hidden="1">
      <c r="A224" s="10" t="s">
        <v>117</v>
      </c>
      <c r="B224" s="1262">
        <v>35592</v>
      </c>
      <c r="C224" s="1262">
        <v>35592</v>
      </c>
      <c r="D224" s="1261"/>
      <c r="F224" s="1256"/>
      <c r="G224" s="1256"/>
      <c r="H224" s="1256"/>
      <c r="I224" s="1256"/>
      <c r="J224" s="1257"/>
      <c r="K224" s="1257"/>
      <c r="L224" s="1256"/>
      <c r="M224" s="1256"/>
      <c r="N224" s="1257"/>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c r="CB224" s="1256"/>
      <c r="CC224" s="1256"/>
      <c r="CD224" s="1256"/>
      <c r="CE224" s="1256"/>
      <c r="CF224" s="1256"/>
      <c r="CG224" s="1256"/>
      <c r="CH224" s="1256"/>
      <c r="CI224" s="1256"/>
      <c r="CJ224" s="1256"/>
      <c r="CK224" s="1256"/>
      <c r="CL224" s="1256"/>
      <c r="CM224" s="1256"/>
      <c r="CN224" s="1256"/>
      <c r="CO224" s="1256"/>
      <c r="CP224" s="1256"/>
      <c r="CQ224" s="1256"/>
      <c r="CR224" s="1256"/>
      <c r="CS224" s="1256"/>
      <c r="CT224" s="1256"/>
      <c r="CU224" s="1256"/>
      <c r="CV224" s="1256"/>
      <c r="CW224" s="1256"/>
      <c r="CX224" s="1256"/>
      <c r="CY224" s="1256"/>
      <c r="CZ224" s="1256"/>
      <c r="DA224" s="1256"/>
      <c r="DB224" s="1256"/>
      <c r="DC224" s="1256"/>
      <c r="DD224" s="1256"/>
      <c r="DE224" s="1256"/>
      <c r="DF224" s="1256"/>
      <c r="DG224" s="1256"/>
      <c r="DH224" s="1256"/>
      <c r="DI224" s="1256"/>
      <c r="DJ224" s="1256"/>
      <c r="DK224" s="1256"/>
      <c r="DL224" s="1256"/>
      <c r="DM224" s="1256"/>
      <c r="DN224" s="1256"/>
      <c r="DO224" s="1256"/>
    </row>
    <row r="225" spans="1:119" s="1258" customFormat="1" hidden="1">
      <c r="A225" s="10" t="s">
        <v>116</v>
      </c>
      <c r="B225" s="1262">
        <v>35996</v>
      </c>
      <c r="C225" s="1262">
        <v>35996</v>
      </c>
      <c r="D225" s="1261"/>
      <c r="F225" s="1256"/>
      <c r="G225" s="1256"/>
      <c r="H225" s="1256"/>
      <c r="I225" s="1256"/>
      <c r="J225" s="1257"/>
      <c r="K225" s="1257"/>
      <c r="L225" s="1256"/>
      <c r="M225" s="1256"/>
      <c r="N225" s="1257"/>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c r="CB225" s="1256"/>
      <c r="CC225" s="1256"/>
      <c r="CD225" s="1256"/>
      <c r="CE225" s="1256"/>
      <c r="CF225" s="1256"/>
      <c r="CG225" s="1256"/>
      <c r="CH225" s="1256"/>
      <c r="CI225" s="1256"/>
      <c r="CJ225" s="1256"/>
      <c r="CK225" s="1256"/>
      <c r="CL225" s="1256"/>
      <c r="CM225" s="1256"/>
      <c r="CN225" s="1256"/>
      <c r="CO225" s="1256"/>
      <c r="CP225" s="1256"/>
      <c r="CQ225" s="1256"/>
      <c r="CR225" s="1256"/>
      <c r="CS225" s="1256"/>
      <c r="CT225" s="1256"/>
      <c r="CU225" s="1256"/>
      <c r="CV225" s="1256"/>
      <c r="CW225" s="1256"/>
      <c r="CX225" s="1256"/>
      <c r="CY225" s="1256"/>
      <c r="CZ225" s="1256"/>
      <c r="DA225" s="1256"/>
      <c r="DB225" s="1256"/>
      <c r="DC225" s="1256"/>
      <c r="DD225" s="1256"/>
      <c r="DE225" s="1256"/>
      <c r="DF225" s="1256"/>
      <c r="DG225" s="1256"/>
      <c r="DH225" s="1256"/>
      <c r="DI225" s="1256"/>
      <c r="DJ225" s="1256"/>
      <c r="DK225" s="1256"/>
      <c r="DL225" s="1256"/>
      <c r="DM225" s="1256"/>
      <c r="DN225" s="1256"/>
      <c r="DO225" s="1256"/>
    </row>
    <row r="226" spans="1:119" s="1258" customFormat="1" hidden="1">
      <c r="A226" s="10" t="s">
        <v>115</v>
      </c>
      <c r="B226" s="1262">
        <v>36407</v>
      </c>
      <c r="C226" s="1262">
        <v>36407</v>
      </c>
      <c r="D226" s="1261"/>
      <c r="F226" s="1256"/>
      <c r="G226" s="1256"/>
      <c r="H226" s="1256"/>
      <c r="I226" s="1256"/>
      <c r="J226" s="1257"/>
      <c r="K226" s="1257"/>
      <c r="L226" s="1256"/>
      <c r="M226" s="1256"/>
      <c r="N226" s="1257"/>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c r="CB226" s="1256"/>
      <c r="CC226" s="1256"/>
      <c r="CD226" s="1256"/>
      <c r="CE226" s="1256"/>
      <c r="CF226" s="1256"/>
      <c r="CG226" s="1256"/>
      <c r="CH226" s="1256"/>
      <c r="CI226" s="1256"/>
      <c r="CJ226" s="1256"/>
      <c r="CK226" s="1256"/>
      <c r="CL226" s="1256"/>
      <c r="CM226" s="1256"/>
      <c r="CN226" s="1256"/>
      <c r="CO226" s="1256"/>
      <c r="CP226" s="1256"/>
      <c r="CQ226" s="1256"/>
      <c r="CR226" s="1256"/>
      <c r="CS226" s="1256"/>
      <c r="CT226" s="1256"/>
      <c r="CU226" s="1256"/>
      <c r="CV226" s="1256"/>
      <c r="CW226" s="1256"/>
      <c r="CX226" s="1256"/>
      <c r="CY226" s="1256"/>
      <c r="CZ226" s="1256"/>
      <c r="DA226" s="1256"/>
      <c r="DB226" s="1256"/>
      <c r="DC226" s="1256"/>
      <c r="DD226" s="1256"/>
      <c r="DE226" s="1256"/>
      <c r="DF226" s="1256"/>
      <c r="DG226" s="1256"/>
      <c r="DH226" s="1256"/>
      <c r="DI226" s="1256"/>
      <c r="DJ226" s="1256"/>
      <c r="DK226" s="1256"/>
      <c r="DL226" s="1256"/>
      <c r="DM226" s="1256"/>
      <c r="DN226" s="1256"/>
      <c r="DO226" s="1256"/>
    </row>
    <row r="227" spans="1:119" s="1258" customFormat="1" hidden="1">
      <c r="A227" s="10" t="s">
        <v>114</v>
      </c>
      <c r="B227" s="1262">
        <v>36822</v>
      </c>
      <c r="C227" s="1262">
        <v>36822</v>
      </c>
      <c r="D227" s="1261"/>
      <c r="F227" s="1256"/>
      <c r="G227" s="1256"/>
      <c r="H227" s="1256"/>
      <c r="I227" s="1256"/>
      <c r="J227" s="1257"/>
      <c r="K227" s="1257"/>
      <c r="L227" s="1256"/>
      <c r="M227" s="1256"/>
      <c r="N227" s="1257"/>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c r="CB227" s="1256"/>
      <c r="CC227" s="1256"/>
      <c r="CD227" s="1256"/>
      <c r="CE227" s="1256"/>
      <c r="CF227" s="1256"/>
      <c r="CG227" s="1256"/>
      <c r="CH227" s="1256"/>
      <c r="CI227" s="1256"/>
      <c r="CJ227" s="1256"/>
      <c r="CK227" s="1256"/>
      <c r="CL227" s="1256"/>
      <c r="CM227" s="1256"/>
      <c r="CN227" s="1256"/>
      <c r="CO227" s="1256"/>
      <c r="CP227" s="1256"/>
      <c r="CQ227" s="1256"/>
      <c r="CR227" s="1256"/>
      <c r="CS227" s="1256"/>
      <c r="CT227" s="1256"/>
      <c r="CU227" s="1256"/>
      <c r="CV227" s="1256"/>
      <c r="CW227" s="1256"/>
      <c r="CX227" s="1256"/>
      <c r="CY227" s="1256"/>
      <c r="CZ227" s="1256"/>
      <c r="DA227" s="1256"/>
      <c r="DB227" s="1256"/>
      <c r="DC227" s="1256"/>
      <c r="DD227" s="1256"/>
      <c r="DE227" s="1256"/>
      <c r="DF227" s="1256"/>
      <c r="DG227" s="1256"/>
      <c r="DH227" s="1256"/>
      <c r="DI227" s="1256"/>
      <c r="DJ227" s="1256"/>
      <c r="DK227" s="1256"/>
      <c r="DL227" s="1256"/>
      <c r="DM227" s="1256"/>
      <c r="DN227" s="1256"/>
      <c r="DO227" s="1256"/>
    </row>
    <row r="228" spans="1:119" s="1258" customFormat="1" hidden="1">
      <c r="A228" s="10" t="s">
        <v>113</v>
      </c>
      <c r="B228" s="1262">
        <v>37243</v>
      </c>
      <c r="C228" s="1262">
        <v>37243</v>
      </c>
      <c r="D228" s="1261"/>
      <c r="F228" s="1256"/>
      <c r="G228" s="1256"/>
      <c r="H228" s="1256"/>
      <c r="I228" s="1256"/>
      <c r="J228" s="1257"/>
      <c r="K228" s="1257"/>
      <c r="L228" s="1256"/>
      <c r="M228" s="1256"/>
      <c r="N228" s="1257"/>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c r="CB228" s="1256"/>
      <c r="CC228" s="1256"/>
      <c r="CD228" s="1256"/>
      <c r="CE228" s="1256"/>
      <c r="CF228" s="1256"/>
      <c r="CG228" s="1256"/>
      <c r="CH228" s="1256"/>
      <c r="CI228" s="1256"/>
      <c r="CJ228" s="1256"/>
      <c r="CK228" s="1256"/>
      <c r="CL228" s="1256"/>
      <c r="CM228" s="1256"/>
      <c r="CN228" s="1256"/>
      <c r="CO228" s="1256"/>
      <c r="CP228" s="1256"/>
      <c r="CQ228" s="1256"/>
      <c r="CR228" s="1256"/>
      <c r="CS228" s="1256"/>
      <c r="CT228" s="1256"/>
      <c r="CU228" s="1256"/>
      <c r="CV228" s="1256"/>
      <c r="CW228" s="1256"/>
      <c r="CX228" s="1256"/>
      <c r="CY228" s="1256"/>
      <c r="CZ228" s="1256"/>
      <c r="DA228" s="1256"/>
      <c r="DB228" s="1256"/>
      <c r="DC228" s="1256"/>
      <c r="DD228" s="1256"/>
      <c r="DE228" s="1256"/>
      <c r="DF228" s="1256"/>
      <c r="DG228" s="1256"/>
      <c r="DH228" s="1256"/>
      <c r="DI228" s="1256"/>
      <c r="DJ228" s="1256"/>
      <c r="DK228" s="1256"/>
      <c r="DL228" s="1256"/>
      <c r="DM228" s="1256"/>
      <c r="DN228" s="1256"/>
      <c r="DO228" s="1256"/>
    </row>
    <row r="229" spans="1:119" s="1258" customFormat="1" hidden="1">
      <c r="A229" s="10" t="s">
        <v>112</v>
      </c>
      <c r="B229" s="1262">
        <v>37668</v>
      </c>
      <c r="C229" s="1262">
        <v>37668</v>
      </c>
      <c r="D229" s="1261"/>
      <c r="F229" s="1256"/>
      <c r="G229" s="1256"/>
      <c r="H229" s="1256"/>
      <c r="I229" s="1256"/>
      <c r="J229" s="1257"/>
      <c r="K229" s="1257"/>
      <c r="L229" s="1256"/>
      <c r="M229" s="1256"/>
      <c r="N229" s="1257"/>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c r="CB229" s="1256"/>
      <c r="CC229" s="1256"/>
      <c r="CD229" s="1256"/>
      <c r="CE229" s="1256"/>
      <c r="CF229" s="1256"/>
      <c r="CG229" s="1256"/>
      <c r="CH229" s="1256"/>
      <c r="CI229" s="1256"/>
      <c r="CJ229" s="1256"/>
      <c r="CK229" s="1256"/>
      <c r="CL229" s="1256"/>
      <c r="CM229" s="1256"/>
      <c r="CN229" s="1256"/>
      <c r="CO229" s="1256"/>
      <c r="CP229" s="1256"/>
      <c r="CQ229" s="1256"/>
      <c r="CR229" s="1256"/>
      <c r="CS229" s="1256"/>
      <c r="CT229" s="1256"/>
      <c r="CU229" s="1256"/>
      <c r="CV229" s="1256"/>
      <c r="CW229" s="1256"/>
      <c r="CX229" s="1256"/>
      <c r="CY229" s="1256"/>
      <c r="CZ229" s="1256"/>
      <c r="DA229" s="1256"/>
      <c r="DB229" s="1256"/>
      <c r="DC229" s="1256"/>
      <c r="DD229" s="1256"/>
      <c r="DE229" s="1256"/>
      <c r="DF229" s="1256"/>
      <c r="DG229" s="1256"/>
      <c r="DH229" s="1256"/>
      <c r="DI229" s="1256"/>
      <c r="DJ229" s="1256"/>
      <c r="DK229" s="1256"/>
      <c r="DL229" s="1256"/>
      <c r="DM229" s="1256"/>
      <c r="DN229" s="1256"/>
      <c r="DO229" s="1256"/>
    </row>
    <row r="230" spans="1:119" s="1258" customFormat="1" hidden="1">
      <c r="A230" s="12" t="s">
        <v>111</v>
      </c>
      <c r="B230" s="1263">
        <v>37987</v>
      </c>
      <c r="C230" s="1263">
        <v>37987</v>
      </c>
      <c r="D230" s="1261"/>
      <c r="F230" s="1256"/>
      <c r="G230" s="1256"/>
      <c r="H230" s="1256"/>
      <c r="I230" s="1256"/>
      <c r="J230" s="1257"/>
      <c r="K230" s="1257"/>
      <c r="L230" s="1256"/>
      <c r="M230" s="1256"/>
      <c r="N230" s="1257"/>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c r="CB230" s="1256"/>
      <c r="CC230" s="1256"/>
      <c r="CD230" s="1256"/>
      <c r="CE230" s="1256"/>
      <c r="CF230" s="1256"/>
      <c r="CG230" s="1256"/>
      <c r="CH230" s="1256"/>
      <c r="CI230" s="1256"/>
      <c r="CJ230" s="1256"/>
      <c r="CK230" s="1256"/>
      <c r="CL230" s="1256"/>
      <c r="CM230" s="1256"/>
      <c r="CN230" s="1256"/>
      <c r="CO230" s="1256"/>
      <c r="CP230" s="1256"/>
      <c r="CQ230" s="1256"/>
      <c r="CR230" s="1256"/>
      <c r="CS230" s="1256"/>
      <c r="CT230" s="1256"/>
      <c r="CU230" s="1256"/>
      <c r="CV230" s="1256"/>
      <c r="CW230" s="1256"/>
      <c r="CX230" s="1256"/>
      <c r="CY230" s="1256"/>
      <c r="CZ230" s="1256"/>
      <c r="DA230" s="1256"/>
      <c r="DB230" s="1256"/>
      <c r="DC230" s="1256"/>
      <c r="DD230" s="1256"/>
      <c r="DE230" s="1256"/>
      <c r="DF230" s="1256"/>
      <c r="DG230" s="1256"/>
      <c r="DH230" s="1256"/>
      <c r="DI230" s="1256"/>
      <c r="DJ230" s="1256"/>
      <c r="DK230" s="1256"/>
      <c r="DL230" s="1256"/>
      <c r="DM230" s="1256"/>
      <c r="DN230" s="1256"/>
      <c r="DO230" s="1256"/>
    </row>
    <row r="231" spans="1:119" s="1258" customFormat="1" hidden="1">
      <c r="A231" s="12" t="s">
        <v>110</v>
      </c>
      <c r="B231" s="1263">
        <v>38422</v>
      </c>
      <c r="C231" s="1263">
        <v>38422</v>
      </c>
      <c r="D231" s="1261"/>
      <c r="F231" s="1256"/>
      <c r="G231" s="1256"/>
      <c r="H231" s="1256"/>
      <c r="I231" s="1256"/>
      <c r="J231" s="1257"/>
      <c r="K231" s="1257"/>
      <c r="L231" s="1256"/>
      <c r="M231" s="1256"/>
      <c r="N231" s="1257"/>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c r="CB231" s="1256"/>
      <c r="CC231" s="1256"/>
      <c r="CD231" s="1256"/>
      <c r="CE231" s="1256"/>
      <c r="CF231" s="1256"/>
      <c r="CG231" s="1256"/>
      <c r="CH231" s="1256"/>
      <c r="CI231" s="1256"/>
      <c r="CJ231" s="1256"/>
      <c r="CK231" s="1256"/>
      <c r="CL231" s="1256"/>
      <c r="CM231" s="1256"/>
      <c r="CN231" s="1256"/>
      <c r="CO231" s="1256"/>
      <c r="CP231" s="1256"/>
      <c r="CQ231" s="1256"/>
      <c r="CR231" s="1256"/>
      <c r="CS231" s="1256"/>
      <c r="CT231" s="1256"/>
      <c r="CU231" s="1256"/>
      <c r="CV231" s="1256"/>
      <c r="CW231" s="1256"/>
      <c r="CX231" s="1256"/>
      <c r="CY231" s="1256"/>
      <c r="CZ231" s="1256"/>
      <c r="DA231" s="1256"/>
      <c r="DB231" s="1256"/>
      <c r="DC231" s="1256"/>
      <c r="DD231" s="1256"/>
      <c r="DE231" s="1256"/>
      <c r="DF231" s="1256"/>
      <c r="DG231" s="1256"/>
      <c r="DH231" s="1256"/>
      <c r="DI231" s="1256"/>
      <c r="DJ231" s="1256"/>
      <c r="DK231" s="1256"/>
      <c r="DL231" s="1256"/>
      <c r="DM231" s="1256"/>
      <c r="DN231" s="1256"/>
      <c r="DO231" s="1256"/>
    </row>
    <row r="232" spans="1:119" s="1258" customFormat="1" hidden="1">
      <c r="A232" s="12" t="s">
        <v>109</v>
      </c>
      <c r="B232" s="1263">
        <v>38862</v>
      </c>
      <c r="C232" s="1263">
        <v>38862</v>
      </c>
      <c r="D232" s="1261"/>
      <c r="F232" s="1256"/>
      <c r="G232" s="1256"/>
      <c r="H232" s="1256"/>
      <c r="I232" s="1256"/>
      <c r="J232" s="1257"/>
      <c r="K232" s="1257"/>
      <c r="L232" s="1256"/>
      <c r="M232" s="1256"/>
      <c r="N232" s="1257"/>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c r="CB232" s="1256"/>
      <c r="CC232" s="1256"/>
      <c r="CD232" s="1256"/>
      <c r="CE232" s="1256"/>
      <c r="CF232" s="1256"/>
      <c r="CG232" s="1256"/>
      <c r="CH232" s="1256"/>
      <c r="CI232" s="1256"/>
      <c r="CJ232" s="1256"/>
      <c r="CK232" s="1256"/>
      <c r="CL232" s="1256"/>
      <c r="CM232" s="1256"/>
      <c r="CN232" s="1256"/>
      <c r="CO232" s="1256"/>
      <c r="CP232" s="1256"/>
      <c r="CQ232" s="1256"/>
      <c r="CR232" s="1256"/>
      <c r="CS232" s="1256"/>
      <c r="CT232" s="1256"/>
      <c r="CU232" s="1256"/>
      <c r="CV232" s="1256"/>
      <c r="CW232" s="1256"/>
      <c r="CX232" s="1256"/>
      <c r="CY232" s="1256"/>
      <c r="CZ232" s="1256"/>
      <c r="DA232" s="1256"/>
      <c r="DB232" s="1256"/>
      <c r="DC232" s="1256"/>
      <c r="DD232" s="1256"/>
      <c r="DE232" s="1256"/>
      <c r="DF232" s="1256"/>
      <c r="DG232" s="1256"/>
      <c r="DH232" s="1256"/>
      <c r="DI232" s="1256"/>
      <c r="DJ232" s="1256"/>
      <c r="DK232" s="1256"/>
      <c r="DL232" s="1256"/>
      <c r="DM232" s="1256"/>
      <c r="DN232" s="1256"/>
      <c r="DO232" s="1256"/>
    </row>
    <row r="233" spans="1:119" s="1258" customFormat="1" hidden="1">
      <c r="A233" s="12" t="s">
        <v>108</v>
      </c>
      <c r="B233" s="1263">
        <v>39307</v>
      </c>
      <c r="C233" s="1263">
        <v>39307</v>
      </c>
      <c r="D233" s="1261"/>
      <c r="F233" s="1256"/>
      <c r="G233" s="1256"/>
      <c r="H233" s="1256"/>
      <c r="I233" s="1256"/>
      <c r="J233" s="1257"/>
      <c r="K233" s="1257"/>
      <c r="L233" s="1256"/>
      <c r="M233" s="1256"/>
      <c r="N233" s="1257"/>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c r="CB233" s="1256"/>
      <c r="CC233" s="1256"/>
      <c r="CD233" s="1256"/>
      <c r="CE233" s="1256"/>
      <c r="CF233" s="1256"/>
      <c r="CG233" s="1256"/>
      <c r="CH233" s="1256"/>
      <c r="CI233" s="1256"/>
      <c r="CJ233" s="1256"/>
      <c r="CK233" s="1256"/>
      <c r="CL233" s="1256"/>
      <c r="CM233" s="1256"/>
      <c r="CN233" s="1256"/>
      <c r="CO233" s="1256"/>
      <c r="CP233" s="1256"/>
      <c r="CQ233" s="1256"/>
      <c r="CR233" s="1256"/>
      <c r="CS233" s="1256"/>
      <c r="CT233" s="1256"/>
      <c r="CU233" s="1256"/>
      <c r="CV233" s="1256"/>
      <c r="CW233" s="1256"/>
      <c r="CX233" s="1256"/>
      <c r="CY233" s="1256"/>
      <c r="CZ233" s="1256"/>
      <c r="DA233" s="1256"/>
      <c r="DB233" s="1256"/>
      <c r="DC233" s="1256"/>
      <c r="DD233" s="1256"/>
      <c r="DE233" s="1256"/>
      <c r="DF233" s="1256"/>
      <c r="DG233" s="1256"/>
      <c r="DH233" s="1256"/>
      <c r="DI233" s="1256"/>
      <c r="DJ233" s="1256"/>
      <c r="DK233" s="1256"/>
      <c r="DL233" s="1256"/>
      <c r="DM233" s="1256"/>
      <c r="DN233" s="1256"/>
      <c r="DO233" s="1256"/>
    </row>
    <row r="234" spans="1:119" s="1258" customFormat="1" hidden="1">
      <c r="A234" s="12" t="s">
        <v>107</v>
      </c>
      <c r="B234" s="1263">
        <v>39758</v>
      </c>
      <c r="C234" s="1263">
        <v>39758</v>
      </c>
      <c r="D234" s="1261"/>
      <c r="F234" s="1256"/>
      <c r="G234" s="1256"/>
      <c r="H234" s="1256"/>
      <c r="I234" s="1256"/>
      <c r="J234" s="1257"/>
      <c r="K234" s="1257"/>
      <c r="L234" s="1256"/>
      <c r="M234" s="1256"/>
      <c r="N234" s="1257"/>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c r="CB234" s="1256"/>
      <c r="CC234" s="1256"/>
      <c r="CD234" s="1256"/>
      <c r="CE234" s="1256"/>
      <c r="CF234" s="1256"/>
      <c r="CG234" s="1256"/>
      <c r="CH234" s="1256"/>
      <c r="CI234" s="1256"/>
      <c r="CJ234" s="1256"/>
      <c r="CK234" s="1256"/>
      <c r="CL234" s="1256"/>
      <c r="CM234" s="1256"/>
      <c r="CN234" s="1256"/>
      <c r="CO234" s="1256"/>
      <c r="CP234" s="1256"/>
      <c r="CQ234" s="1256"/>
      <c r="CR234" s="1256"/>
      <c r="CS234" s="1256"/>
      <c r="CT234" s="1256"/>
      <c r="CU234" s="1256"/>
      <c r="CV234" s="1256"/>
      <c r="CW234" s="1256"/>
      <c r="CX234" s="1256"/>
      <c r="CY234" s="1256"/>
      <c r="CZ234" s="1256"/>
      <c r="DA234" s="1256"/>
      <c r="DB234" s="1256"/>
      <c r="DC234" s="1256"/>
      <c r="DD234" s="1256"/>
      <c r="DE234" s="1256"/>
      <c r="DF234" s="1256"/>
      <c r="DG234" s="1256"/>
      <c r="DH234" s="1256"/>
      <c r="DI234" s="1256"/>
      <c r="DJ234" s="1256"/>
      <c r="DK234" s="1256"/>
      <c r="DL234" s="1256"/>
      <c r="DM234" s="1256"/>
      <c r="DN234" s="1256"/>
      <c r="DO234" s="1256"/>
    </row>
    <row r="235" spans="1:119" s="1258" customFormat="1" hidden="1">
      <c r="A235" s="12" t="s">
        <v>106</v>
      </c>
      <c r="B235" s="1263">
        <v>40215</v>
      </c>
      <c r="C235" s="1263">
        <v>40215</v>
      </c>
      <c r="D235" s="1261"/>
      <c r="F235" s="1256"/>
      <c r="G235" s="1256"/>
      <c r="H235" s="1256"/>
      <c r="I235" s="1256"/>
      <c r="J235" s="1257"/>
      <c r="K235" s="1257"/>
      <c r="L235" s="1256"/>
      <c r="M235" s="1256"/>
      <c r="N235" s="1257"/>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c r="CB235" s="1256"/>
      <c r="CC235" s="1256"/>
      <c r="CD235" s="1256"/>
      <c r="CE235" s="1256"/>
      <c r="CF235" s="1256"/>
      <c r="CG235" s="1256"/>
      <c r="CH235" s="1256"/>
      <c r="CI235" s="1256"/>
      <c r="CJ235" s="1256"/>
      <c r="CK235" s="1256"/>
      <c r="CL235" s="1256"/>
      <c r="CM235" s="1256"/>
      <c r="CN235" s="1256"/>
      <c r="CO235" s="1256"/>
      <c r="CP235" s="1256"/>
      <c r="CQ235" s="1256"/>
      <c r="CR235" s="1256"/>
      <c r="CS235" s="1256"/>
      <c r="CT235" s="1256"/>
      <c r="CU235" s="1256"/>
      <c r="CV235" s="1256"/>
      <c r="CW235" s="1256"/>
      <c r="CX235" s="1256"/>
      <c r="CY235" s="1256"/>
      <c r="CZ235" s="1256"/>
      <c r="DA235" s="1256"/>
      <c r="DB235" s="1256"/>
      <c r="DC235" s="1256"/>
      <c r="DD235" s="1256"/>
      <c r="DE235" s="1256"/>
      <c r="DF235" s="1256"/>
      <c r="DG235" s="1256"/>
      <c r="DH235" s="1256"/>
      <c r="DI235" s="1256"/>
      <c r="DJ235" s="1256"/>
      <c r="DK235" s="1256"/>
      <c r="DL235" s="1256"/>
      <c r="DM235" s="1256"/>
      <c r="DN235" s="1256"/>
      <c r="DO235" s="1256"/>
    </row>
    <row r="236" spans="1:119" s="1258" customFormat="1" hidden="1">
      <c r="A236" s="12" t="s">
        <v>105</v>
      </c>
      <c r="B236" s="1263">
        <v>40677</v>
      </c>
      <c r="C236" s="1263">
        <v>40677</v>
      </c>
      <c r="D236" s="1261"/>
      <c r="F236" s="1256"/>
      <c r="G236" s="1256"/>
      <c r="H236" s="1256"/>
      <c r="I236" s="1256"/>
      <c r="J236" s="1257"/>
      <c r="K236" s="1257"/>
      <c r="L236" s="1256"/>
      <c r="M236" s="1256"/>
      <c r="N236" s="1257"/>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c r="CB236" s="1256"/>
      <c r="CC236" s="1256"/>
      <c r="CD236" s="1256"/>
      <c r="CE236" s="1256"/>
      <c r="CF236" s="1256"/>
      <c r="CG236" s="1256"/>
      <c r="CH236" s="1256"/>
      <c r="CI236" s="1256"/>
      <c r="CJ236" s="1256"/>
      <c r="CK236" s="1256"/>
      <c r="CL236" s="1256"/>
      <c r="CM236" s="1256"/>
      <c r="CN236" s="1256"/>
      <c r="CO236" s="1256"/>
      <c r="CP236" s="1256"/>
      <c r="CQ236" s="1256"/>
      <c r="CR236" s="1256"/>
      <c r="CS236" s="1256"/>
      <c r="CT236" s="1256"/>
      <c r="CU236" s="1256"/>
      <c r="CV236" s="1256"/>
      <c r="CW236" s="1256"/>
      <c r="CX236" s="1256"/>
      <c r="CY236" s="1256"/>
      <c r="CZ236" s="1256"/>
      <c r="DA236" s="1256"/>
      <c r="DB236" s="1256"/>
      <c r="DC236" s="1256"/>
      <c r="DD236" s="1256"/>
      <c r="DE236" s="1256"/>
      <c r="DF236" s="1256"/>
      <c r="DG236" s="1256"/>
      <c r="DH236" s="1256"/>
      <c r="DI236" s="1256"/>
      <c r="DJ236" s="1256"/>
      <c r="DK236" s="1256"/>
      <c r="DL236" s="1256"/>
      <c r="DM236" s="1256"/>
      <c r="DN236" s="1256"/>
      <c r="DO236" s="1256"/>
    </row>
    <row r="237" spans="1:119" s="1258" customFormat="1" hidden="1">
      <c r="A237" s="12" t="s">
        <v>104</v>
      </c>
      <c r="B237" s="1263">
        <v>41145</v>
      </c>
      <c r="C237" s="1263">
        <v>41145</v>
      </c>
      <c r="D237" s="1261"/>
      <c r="F237" s="1256"/>
      <c r="G237" s="1256"/>
      <c r="H237" s="1256"/>
      <c r="I237" s="1256"/>
      <c r="J237" s="1257"/>
      <c r="K237" s="1257"/>
      <c r="L237" s="1256"/>
      <c r="M237" s="1256"/>
      <c r="N237" s="1257"/>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c r="CB237" s="1256"/>
      <c r="CC237" s="1256"/>
      <c r="CD237" s="1256"/>
      <c r="CE237" s="1256"/>
      <c r="CF237" s="1256"/>
      <c r="CG237" s="1256"/>
      <c r="CH237" s="1256"/>
      <c r="CI237" s="1256"/>
      <c r="CJ237" s="1256"/>
      <c r="CK237" s="1256"/>
      <c r="CL237" s="1256"/>
      <c r="CM237" s="1256"/>
      <c r="CN237" s="1256"/>
      <c r="CO237" s="1256"/>
      <c r="CP237" s="1256"/>
      <c r="CQ237" s="1256"/>
      <c r="CR237" s="1256"/>
      <c r="CS237" s="1256"/>
      <c r="CT237" s="1256"/>
      <c r="CU237" s="1256"/>
      <c r="CV237" s="1256"/>
      <c r="CW237" s="1256"/>
      <c r="CX237" s="1256"/>
      <c r="CY237" s="1256"/>
      <c r="CZ237" s="1256"/>
      <c r="DA237" s="1256"/>
      <c r="DB237" s="1256"/>
      <c r="DC237" s="1256"/>
      <c r="DD237" s="1256"/>
      <c r="DE237" s="1256"/>
      <c r="DF237" s="1256"/>
      <c r="DG237" s="1256"/>
      <c r="DH237" s="1256"/>
      <c r="DI237" s="1256"/>
      <c r="DJ237" s="1256"/>
      <c r="DK237" s="1256"/>
      <c r="DL237" s="1256"/>
      <c r="DM237" s="1256"/>
      <c r="DN237" s="1256"/>
      <c r="DO237" s="1256"/>
    </row>
    <row r="238" spans="1:119" s="1258" customFormat="1" hidden="1">
      <c r="A238" s="10" t="s">
        <v>103</v>
      </c>
      <c r="B238" s="1262">
        <v>41497</v>
      </c>
      <c r="C238" s="1262">
        <v>41497</v>
      </c>
      <c r="D238" s="1261"/>
      <c r="F238" s="1256"/>
      <c r="G238" s="1256"/>
      <c r="H238" s="1256"/>
      <c r="I238" s="1256"/>
      <c r="J238" s="1257"/>
      <c r="K238" s="1257"/>
      <c r="L238" s="1256"/>
      <c r="M238" s="1256"/>
      <c r="N238" s="1257"/>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c r="CB238" s="1256"/>
      <c r="CC238" s="1256"/>
      <c r="CD238" s="1256"/>
      <c r="CE238" s="1256"/>
      <c r="CF238" s="1256"/>
      <c r="CG238" s="1256"/>
      <c r="CH238" s="1256"/>
      <c r="CI238" s="1256"/>
      <c r="CJ238" s="1256"/>
      <c r="CK238" s="1256"/>
      <c r="CL238" s="1256"/>
      <c r="CM238" s="1256"/>
      <c r="CN238" s="1256"/>
      <c r="CO238" s="1256"/>
      <c r="CP238" s="1256"/>
      <c r="CQ238" s="1256"/>
      <c r="CR238" s="1256"/>
      <c r="CS238" s="1256"/>
      <c r="CT238" s="1256"/>
      <c r="CU238" s="1256"/>
      <c r="CV238" s="1256"/>
      <c r="CW238" s="1256"/>
      <c r="CX238" s="1256"/>
      <c r="CY238" s="1256"/>
      <c r="CZ238" s="1256"/>
      <c r="DA238" s="1256"/>
      <c r="DB238" s="1256"/>
      <c r="DC238" s="1256"/>
      <c r="DD238" s="1256"/>
      <c r="DE238" s="1256"/>
      <c r="DF238" s="1256"/>
      <c r="DG238" s="1256"/>
      <c r="DH238" s="1256"/>
      <c r="DI238" s="1256"/>
      <c r="DJ238" s="1256"/>
      <c r="DK238" s="1256"/>
      <c r="DL238" s="1256"/>
      <c r="DM238" s="1256"/>
      <c r="DN238" s="1256"/>
      <c r="DO238" s="1256"/>
    </row>
    <row r="239" spans="1:119" s="1258" customFormat="1" hidden="1">
      <c r="A239" s="10" t="s">
        <v>102</v>
      </c>
      <c r="B239" s="1262">
        <v>41975</v>
      </c>
      <c r="C239" s="1262">
        <v>41975</v>
      </c>
      <c r="D239" s="1261"/>
      <c r="F239" s="1256"/>
      <c r="G239" s="1256"/>
      <c r="H239" s="1256"/>
      <c r="I239" s="1256"/>
      <c r="J239" s="1257"/>
      <c r="K239" s="1257"/>
      <c r="L239" s="1256"/>
      <c r="M239" s="1256"/>
      <c r="N239" s="1257"/>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c r="CB239" s="1256"/>
      <c r="CC239" s="1256"/>
      <c r="CD239" s="1256"/>
      <c r="CE239" s="1256"/>
      <c r="CF239" s="1256"/>
      <c r="CG239" s="1256"/>
      <c r="CH239" s="1256"/>
      <c r="CI239" s="1256"/>
      <c r="CJ239" s="1256"/>
      <c r="CK239" s="1256"/>
      <c r="CL239" s="1256"/>
      <c r="CM239" s="1256"/>
      <c r="CN239" s="1256"/>
      <c r="CO239" s="1256"/>
      <c r="CP239" s="1256"/>
      <c r="CQ239" s="1256"/>
      <c r="CR239" s="1256"/>
      <c r="CS239" s="1256"/>
      <c r="CT239" s="1256"/>
      <c r="CU239" s="1256"/>
      <c r="CV239" s="1256"/>
      <c r="CW239" s="1256"/>
      <c r="CX239" s="1256"/>
      <c r="CY239" s="1256"/>
      <c r="CZ239" s="1256"/>
      <c r="DA239" s="1256"/>
      <c r="DB239" s="1256"/>
      <c r="DC239" s="1256"/>
      <c r="DD239" s="1256"/>
      <c r="DE239" s="1256"/>
      <c r="DF239" s="1256"/>
      <c r="DG239" s="1256"/>
      <c r="DH239" s="1256"/>
      <c r="DI239" s="1256"/>
      <c r="DJ239" s="1256"/>
      <c r="DK239" s="1256"/>
      <c r="DL239" s="1256"/>
      <c r="DM239" s="1256"/>
      <c r="DN239" s="1256"/>
      <c r="DO239" s="1256"/>
    </row>
    <row r="240" spans="1:119" s="1258" customFormat="1" hidden="1">
      <c r="A240" s="10" t="s">
        <v>101</v>
      </c>
      <c r="B240" s="1262">
        <v>42459</v>
      </c>
      <c r="C240" s="1262">
        <v>42459</v>
      </c>
      <c r="D240" s="1261"/>
      <c r="F240" s="1256"/>
      <c r="G240" s="1256"/>
      <c r="H240" s="1256"/>
      <c r="I240" s="1256"/>
      <c r="J240" s="1257"/>
      <c r="K240" s="1257"/>
      <c r="L240" s="1256"/>
      <c r="M240" s="1256"/>
      <c r="N240" s="1257"/>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c r="CB240" s="1256"/>
      <c r="CC240" s="1256"/>
      <c r="CD240" s="1256"/>
      <c r="CE240" s="1256"/>
      <c r="CF240" s="1256"/>
      <c r="CG240" s="1256"/>
      <c r="CH240" s="1256"/>
      <c r="CI240" s="1256"/>
      <c r="CJ240" s="1256"/>
      <c r="CK240" s="1256"/>
      <c r="CL240" s="1256"/>
      <c r="CM240" s="1256"/>
      <c r="CN240" s="1256"/>
      <c r="CO240" s="1256"/>
      <c r="CP240" s="1256"/>
      <c r="CQ240" s="1256"/>
      <c r="CR240" s="1256"/>
      <c r="CS240" s="1256"/>
      <c r="CT240" s="1256"/>
      <c r="CU240" s="1256"/>
      <c r="CV240" s="1256"/>
      <c r="CW240" s="1256"/>
      <c r="CX240" s="1256"/>
      <c r="CY240" s="1256"/>
      <c r="CZ240" s="1256"/>
      <c r="DA240" s="1256"/>
      <c r="DB240" s="1256"/>
      <c r="DC240" s="1256"/>
      <c r="DD240" s="1256"/>
      <c r="DE240" s="1256"/>
      <c r="DF240" s="1256"/>
      <c r="DG240" s="1256"/>
      <c r="DH240" s="1256"/>
      <c r="DI240" s="1256"/>
      <c r="DJ240" s="1256"/>
      <c r="DK240" s="1256"/>
      <c r="DL240" s="1256"/>
      <c r="DM240" s="1256"/>
      <c r="DN240" s="1256"/>
      <c r="DO240" s="1256"/>
    </row>
    <row r="241" spans="1:119" s="1258" customFormat="1" hidden="1">
      <c r="A241" s="10" t="s">
        <v>100</v>
      </c>
      <c r="B241" s="1262">
        <v>42949</v>
      </c>
      <c r="C241" s="1262">
        <v>42949</v>
      </c>
      <c r="D241" s="1261"/>
      <c r="F241" s="1256"/>
      <c r="G241" s="1256"/>
      <c r="H241" s="1256"/>
      <c r="I241" s="1256"/>
      <c r="J241" s="1257"/>
      <c r="K241" s="1257"/>
      <c r="L241" s="1256"/>
      <c r="M241" s="1256"/>
      <c r="N241" s="1257"/>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c r="CB241" s="1256"/>
      <c r="CC241" s="1256"/>
      <c r="CD241" s="1256"/>
      <c r="CE241" s="1256"/>
      <c r="CF241" s="1256"/>
      <c r="CG241" s="1256"/>
      <c r="CH241" s="1256"/>
      <c r="CI241" s="1256"/>
      <c r="CJ241" s="1256"/>
      <c r="CK241" s="1256"/>
      <c r="CL241" s="1256"/>
      <c r="CM241" s="1256"/>
      <c r="CN241" s="1256"/>
      <c r="CO241" s="1256"/>
      <c r="CP241" s="1256"/>
      <c r="CQ241" s="1256"/>
      <c r="CR241" s="1256"/>
      <c r="CS241" s="1256"/>
      <c r="CT241" s="1256"/>
      <c r="CU241" s="1256"/>
      <c r="CV241" s="1256"/>
      <c r="CW241" s="1256"/>
      <c r="CX241" s="1256"/>
      <c r="CY241" s="1256"/>
      <c r="CZ241" s="1256"/>
      <c r="DA241" s="1256"/>
      <c r="DB241" s="1256"/>
      <c r="DC241" s="1256"/>
      <c r="DD241" s="1256"/>
      <c r="DE241" s="1256"/>
      <c r="DF241" s="1256"/>
      <c r="DG241" s="1256"/>
      <c r="DH241" s="1256"/>
      <c r="DI241" s="1256"/>
      <c r="DJ241" s="1256"/>
      <c r="DK241" s="1256"/>
      <c r="DL241" s="1256"/>
      <c r="DM241" s="1256"/>
      <c r="DN241" s="1256"/>
      <c r="DO241" s="1256"/>
    </row>
    <row r="242" spans="1:119" s="1258" customFormat="1" hidden="1">
      <c r="A242" s="10" t="s">
        <v>99</v>
      </c>
      <c r="B242" s="1262">
        <v>43445</v>
      </c>
      <c r="C242" s="1262">
        <v>43445</v>
      </c>
      <c r="D242" s="1261"/>
      <c r="F242" s="1256"/>
      <c r="G242" s="1256"/>
      <c r="H242" s="1256"/>
      <c r="I242" s="1256"/>
      <c r="J242" s="1257"/>
      <c r="K242" s="1257"/>
      <c r="L242" s="1256"/>
      <c r="M242" s="1256"/>
      <c r="N242" s="1257"/>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c r="CB242" s="1256"/>
      <c r="CC242" s="1256"/>
      <c r="CD242" s="1256"/>
      <c r="CE242" s="1256"/>
      <c r="CF242" s="1256"/>
      <c r="CG242" s="1256"/>
      <c r="CH242" s="1256"/>
      <c r="CI242" s="1256"/>
      <c r="CJ242" s="1256"/>
      <c r="CK242" s="1256"/>
      <c r="CL242" s="1256"/>
      <c r="CM242" s="1256"/>
      <c r="CN242" s="1256"/>
      <c r="CO242" s="1256"/>
      <c r="CP242" s="1256"/>
      <c r="CQ242" s="1256"/>
      <c r="CR242" s="1256"/>
      <c r="CS242" s="1256"/>
      <c r="CT242" s="1256"/>
      <c r="CU242" s="1256"/>
      <c r="CV242" s="1256"/>
      <c r="CW242" s="1256"/>
      <c r="CX242" s="1256"/>
      <c r="CY242" s="1256"/>
      <c r="CZ242" s="1256"/>
      <c r="DA242" s="1256"/>
      <c r="DB242" s="1256"/>
      <c r="DC242" s="1256"/>
      <c r="DD242" s="1256"/>
      <c r="DE242" s="1256"/>
      <c r="DF242" s="1256"/>
      <c r="DG242" s="1256"/>
      <c r="DH242" s="1256"/>
      <c r="DI242" s="1256"/>
      <c r="DJ242" s="1256"/>
      <c r="DK242" s="1256"/>
      <c r="DL242" s="1256"/>
      <c r="DM242" s="1256"/>
      <c r="DN242" s="1256"/>
      <c r="DO242" s="1256"/>
    </row>
    <row r="243" spans="1:119" s="1258" customFormat="1" hidden="1">
      <c r="A243" s="10" t="s">
        <v>98</v>
      </c>
      <c r="B243" s="1262">
        <v>43948</v>
      </c>
      <c r="C243" s="1262">
        <v>43948</v>
      </c>
      <c r="D243" s="1261"/>
      <c r="F243" s="1256"/>
      <c r="G243" s="1256"/>
      <c r="H243" s="1256"/>
      <c r="I243" s="1256"/>
      <c r="J243" s="1257"/>
      <c r="K243" s="1257"/>
      <c r="L243" s="1256"/>
      <c r="M243" s="1256"/>
      <c r="N243" s="1257"/>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c r="CB243" s="1256"/>
      <c r="CC243" s="1256"/>
      <c r="CD243" s="1256"/>
      <c r="CE243" s="1256"/>
      <c r="CF243" s="1256"/>
      <c r="CG243" s="1256"/>
      <c r="CH243" s="1256"/>
      <c r="CI243" s="1256"/>
      <c r="CJ243" s="1256"/>
      <c r="CK243" s="1256"/>
      <c r="CL243" s="1256"/>
      <c r="CM243" s="1256"/>
      <c r="CN243" s="1256"/>
      <c r="CO243" s="1256"/>
      <c r="CP243" s="1256"/>
      <c r="CQ243" s="1256"/>
      <c r="CR243" s="1256"/>
      <c r="CS243" s="1256"/>
      <c r="CT243" s="1256"/>
      <c r="CU243" s="1256"/>
      <c r="CV243" s="1256"/>
      <c r="CW243" s="1256"/>
      <c r="CX243" s="1256"/>
      <c r="CY243" s="1256"/>
      <c r="CZ243" s="1256"/>
      <c r="DA243" s="1256"/>
      <c r="DB243" s="1256"/>
      <c r="DC243" s="1256"/>
      <c r="DD243" s="1256"/>
      <c r="DE243" s="1256"/>
      <c r="DF243" s="1256"/>
      <c r="DG243" s="1256"/>
      <c r="DH243" s="1256"/>
      <c r="DI243" s="1256"/>
      <c r="DJ243" s="1256"/>
      <c r="DK243" s="1256"/>
      <c r="DL243" s="1256"/>
      <c r="DM243" s="1256"/>
      <c r="DN243" s="1256"/>
      <c r="DO243" s="1256"/>
    </row>
    <row r="244" spans="1:119" s="1258" customFormat="1" hidden="1">
      <c r="A244" s="10" t="s">
        <v>97</v>
      </c>
      <c r="B244" s="1262">
        <v>44456</v>
      </c>
      <c r="C244" s="1262">
        <v>44456</v>
      </c>
      <c r="D244" s="1261"/>
      <c r="F244" s="1256"/>
      <c r="G244" s="1256"/>
      <c r="H244" s="1256"/>
      <c r="I244" s="1256"/>
      <c r="J244" s="1257"/>
      <c r="K244" s="1257"/>
      <c r="L244" s="1256"/>
      <c r="M244" s="1256"/>
      <c r="N244" s="1257"/>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c r="CB244" s="1256"/>
      <c r="CC244" s="1256"/>
      <c r="CD244" s="1256"/>
      <c r="CE244" s="1256"/>
      <c r="CF244" s="1256"/>
      <c r="CG244" s="1256"/>
      <c r="CH244" s="1256"/>
      <c r="CI244" s="1256"/>
      <c r="CJ244" s="1256"/>
      <c r="CK244" s="1256"/>
      <c r="CL244" s="1256"/>
      <c r="CM244" s="1256"/>
      <c r="CN244" s="1256"/>
      <c r="CO244" s="1256"/>
      <c r="CP244" s="1256"/>
      <c r="CQ244" s="1256"/>
      <c r="CR244" s="1256"/>
      <c r="CS244" s="1256"/>
      <c r="CT244" s="1256"/>
      <c r="CU244" s="1256"/>
      <c r="CV244" s="1256"/>
      <c r="CW244" s="1256"/>
      <c r="CX244" s="1256"/>
      <c r="CY244" s="1256"/>
      <c r="CZ244" s="1256"/>
      <c r="DA244" s="1256"/>
      <c r="DB244" s="1256"/>
      <c r="DC244" s="1256"/>
      <c r="DD244" s="1256"/>
      <c r="DE244" s="1256"/>
      <c r="DF244" s="1256"/>
      <c r="DG244" s="1256"/>
      <c r="DH244" s="1256"/>
      <c r="DI244" s="1256"/>
      <c r="DJ244" s="1256"/>
      <c r="DK244" s="1256"/>
      <c r="DL244" s="1256"/>
      <c r="DM244" s="1256"/>
      <c r="DN244" s="1256"/>
      <c r="DO244" s="1256"/>
    </row>
    <row r="245" spans="1:119" s="1258" customFormat="1" hidden="1">
      <c r="A245" s="10" t="s">
        <v>96</v>
      </c>
      <c r="B245" s="1262">
        <v>44971</v>
      </c>
      <c r="C245" s="1262">
        <v>44971</v>
      </c>
      <c r="D245" s="1261"/>
      <c r="F245" s="1256"/>
      <c r="G245" s="1256"/>
      <c r="H245" s="1256"/>
      <c r="I245" s="1256"/>
      <c r="J245" s="1257"/>
      <c r="K245" s="1257"/>
      <c r="L245" s="1256"/>
      <c r="M245" s="1256"/>
      <c r="N245" s="1257"/>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c r="CB245" s="1256"/>
      <c r="CC245" s="1256"/>
      <c r="CD245" s="1256"/>
      <c r="CE245" s="1256"/>
      <c r="CF245" s="1256"/>
      <c r="CG245" s="1256"/>
      <c r="CH245" s="1256"/>
      <c r="CI245" s="1256"/>
      <c r="CJ245" s="1256"/>
      <c r="CK245" s="1256"/>
      <c r="CL245" s="1256"/>
      <c r="CM245" s="1256"/>
      <c r="CN245" s="1256"/>
      <c r="CO245" s="1256"/>
      <c r="CP245" s="1256"/>
      <c r="CQ245" s="1256"/>
      <c r="CR245" s="1256"/>
      <c r="CS245" s="1256"/>
      <c r="CT245" s="1256"/>
      <c r="CU245" s="1256"/>
      <c r="CV245" s="1256"/>
      <c r="CW245" s="1256"/>
      <c r="CX245" s="1256"/>
      <c r="CY245" s="1256"/>
      <c r="CZ245" s="1256"/>
      <c r="DA245" s="1256"/>
      <c r="DB245" s="1256"/>
      <c r="DC245" s="1256"/>
      <c r="DD245" s="1256"/>
      <c r="DE245" s="1256"/>
      <c r="DF245" s="1256"/>
      <c r="DG245" s="1256"/>
      <c r="DH245" s="1256"/>
      <c r="DI245" s="1256"/>
      <c r="DJ245" s="1256"/>
      <c r="DK245" s="1256"/>
      <c r="DL245" s="1256"/>
      <c r="DM245" s="1256"/>
      <c r="DN245" s="1256"/>
      <c r="DO245" s="1256"/>
    </row>
    <row r="246" spans="1:119" s="1258" customFormat="1" hidden="1">
      <c r="A246" s="12" t="s">
        <v>95</v>
      </c>
      <c r="B246" s="1263">
        <v>45897</v>
      </c>
      <c r="C246" s="1263">
        <v>45897</v>
      </c>
      <c r="D246" s="1261"/>
      <c r="F246" s="1256"/>
      <c r="G246" s="1256"/>
      <c r="H246" s="1256"/>
      <c r="I246" s="1256"/>
      <c r="J246" s="1257"/>
      <c r="K246" s="1257"/>
      <c r="L246" s="1256"/>
      <c r="M246" s="1256"/>
      <c r="N246" s="1257"/>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c r="CB246" s="1256"/>
      <c r="CC246" s="1256"/>
      <c r="CD246" s="1256"/>
      <c r="CE246" s="1256"/>
      <c r="CF246" s="1256"/>
      <c r="CG246" s="1256"/>
      <c r="CH246" s="1256"/>
      <c r="CI246" s="1256"/>
      <c r="CJ246" s="1256"/>
      <c r="CK246" s="1256"/>
      <c r="CL246" s="1256"/>
      <c r="CM246" s="1256"/>
      <c r="CN246" s="1256"/>
      <c r="CO246" s="1256"/>
      <c r="CP246" s="1256"/>
      <c r="CQ246" s="1256"/>
      <c r="CR246" s="1256"/>
      <c r="CS246" s="1256"/>
      <c r="CT246" s="1256"/>
      <c r="CU246" s="1256"/>
      <c r="CV246" s="1256"/>
      <c r="CW246" s="1256"/>
      <c r="CX246" s="1256"/>
      <c r="CY246" s="1256"/>
      <c r="CZ246" s="1256"/>
      <c r="DA246" s="1256"/>
      <c r="DB246" s="1256"/>
      <c r="DC246" s="1256"/>
      <c r="DD246" s="1256"/>
      <c r="DE246" s="1256"/>
      <c r="DF246" s="1256"/>
      <c r="DG246" s="1256"/>
      <c r="DH246" s="1256"/>
      <c r="DI246" s="1256"/>
      <c r="DJ246" s="1256"/>
      <c r="DK246" s="1256"/>
      <c r="DL246" s="1256"/>
      <c r="DM246" s="1256"/>
      <c r="DN246" s="1256"/>
      <c r="DO246" s="1256"/>
    </row>
    <row r="247" spans="1:119" s="1258" customFormat="1" hidden="1">
      <c r="A247" s="12" t="s">
        <v>94</v>
      </c>
      <c r="B247" s="1263">
        <v>46599</v>
      </c>
      <c r="C247" s="1263">
        <v>46599</v>
      </c>
      <c r="D247" s="1261"/>
      <c r="F247" s="1256"/>
      <c r="G247" s="1256"/>
      <c r="H247" s="1256"/>
      <c r="I247" s="1256"/>
      <c r="J247" s="1257"/>
      <c r="K247" s="1257"/>
      <c r="L247" s="1256"/>
      <c r="M247" s="1256"/>
      <c r="N247" s="1257"/>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c r="CB247" s="1256"/>
      <c r="CC247" s="1256"/>
      <c r="CD247" s="1256"/>
      <c r="CE247" s="1256"/>
      <c r="CF247" s="1256"/>
      <c r="CG247" s="1256"/>
      <c r="CH247" s="1256"/>
      <c r="CI247" s="1256"/>
      <c r="CJ247" s="1256"/>
      <c r="CK247" s="1256"/>
      <c r="CL247" s="1256"/>
      <c r="CM247" s="1256"/>
      <c r="CN247" s="1256"/>
      <c r="CO247" s="1256"/>
      <c r="CP247" s="1256"/>
      <c r="CQ247" s="1256"/>
      <c r="CR247" s="1256"/>
      <c r="CS247" s="1256"/>
      <c r="CT247" s="1256"/>
      <c r="CU247" s="1256"/>
      <c r="CV247" s="1256"/>
      <c r="CW247" s="1256"/>
      <c r="CX247" s="1256"/>
      <c r="CY247" s="1256"/>
      <c r="CZ247" s="1256"/>
      <c r="DA247" s="1256"/>
      <c r="DB247" s="1256"/>
      <c r="DC247" s="1256"/>
      <c r="DD247" s="1256"/>
      <c r="DE247" s="1256"/>
      <c r="DF247" s="1256"/>
      <c r="DG247" s="1256"/>
      <c r="DH247" s="1256"/>
      <c r="DI247" s="1256"/>
      <c r="DJ247" s="1256"/>
      <c r="DK247" s="1256"/>
      <c r="DL247" s="1256"/>
      <c r="DM247" s="1256"/>
      <c r="DN247" s="1256"/>
      <c r="DO247" s="1256"/>
    </row>
    <row r="248" spans="1:119" s="1258" customFormat="1" hidden="1">
      <c r="A248" s="12" t="s">
        <v>93</v>
      </c>
      <c r="B248" s="1263">
        <v>47313</v>
      </c>
      <c r="C248" s="1263">
        <v>47313</v>
      </c>
      <c r="D248" s="1261"/>
      <c r="F248" s="1256"/>
      <c r="G248" s="1256"/>
      <c r="H248" s="1256"/>
      <c r="I248" s="1256"/>
      <c r="J248" s="1257"/>
      <c r="K248" s="1257"/>
      <c r="L248" s="1256"/>
      <c r="M248" s="1256"/>
      <c r="N248" s="1257"/>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c r="CB248" s="1256"/>
      <c r="CC248" s="1256"/>
      <c r="CD248" s="1256"/>
      <c r="CE248" s="1256"/>
      <c r="CF248" s="1256"/>
      <c r="CG248" s="1256"/>
      <c r="CH248" s="1256"/>
      <c r="CI248" s="1256"/>
      <c r="CJ248" s="1256"/>
      <c r="CK248" s="1256"/>
      <c r="CL248" s="1256"/>
      <c r="CM248" s="1256"/>
      <c r="CN248" s="1256"/>
      <c r="CO248" s="1256"/>
      <c r="CP248" s="1256"/>
      <c r="CQ248" s="1256"/>
      <c r="CR248" s="1256"/>
      <c r="CS248" s="1256"/>
      <c r="CT248" s="1256"/>
      <c r="CU248" s="1256"/>
      <c r="CV248" s="1256"/>
      <c r="CW248" s="1256"/>
      <c r="CX248" s="1256"/>
      <c r="CY248" s="1256"/>
      <c r="CZ248" s="1256"/>
      <c r="DA248" s="1256"/>
      <c r="DB248" s="1256"/>
      <c r="DC248" s="1256"/>
      <c r="DD248" s="1256"/>
      <c r="DE248" s="1256"/>
      <c r="DF248" s="1256"/>
      <c r="DG248" s="1256"/>
      <c r="DH248" s="1256"/>
      <c r="DI248" s="1256"/>
      <c r="DJ248" s="1256"/>
      <c r="DK248" s="1256"/>
      <c r="DL248" s="1256"/>
      <c r="DM248" s="1256"/>
      <c r="DN248" s="1256"/>
      <c r="DO248" s="1256"/>
    </row>
    <row r="249" spans="1:119" s="1258" customFormat="1" hidden="1">
      <c r="A249" s="12" t="s">
        <v>92</v>
      </c>
      <c r="B249" s="1263">
        <v>48038</v>
      </c>
      <c r="C249" s="1263">
        <v>48038</v>
      </c>
      <c r="D249" s="1261"/>
      <c r="F249" s="1256"/>
      <c r="G249" s="1256"/>
      <c r="H249" s="1256"/>
      <c r="I249" s="1256"/>
      <c r="J249" s="1257"/>
      <c r="K249" s="1257"/>
      <c r="L249" s="1256"/>
      <c r="M249" s="1256"/>
      <c r="N249" s="1257"/>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c r="CB249" s="1256"/>
      <c r="CC249" s="1256"/>
      <c r="CD249" s="1256"/>
      <c r="CE249" s="1256"/>
      <c r="CF249" s="1256"/>
      <c r="CG249" s="1256"/>
      <c r="CH249" s="1256"/>
      <c r="CI249" s="1256"/>
      <c r="CJ249" s="1256"/>
      <c r="CK249" s="1256"/>
      <c r="CL249" s="1256"/>
      <c r="CM249" s="1256"/>
      <c r="CN249" s="1256"/>
      <c r="CO249" s="1256"/>
      <c r="CP249" s="1256"/>
      <c r="CQ249" s="1256"/>
      <c r="CR249" s="1256"/>
      <c r="CS249" s="1256"/>
      <c r="CT249" s="1256"/>
      <c r="CU249" s="1256"/>
      <c r="CV249" s="1256"/>
      <c r="CW249" s="1256"/>
      <c r="CX249" s="1256"/>
      <c r="CY249" s="1256"/>
      <c r="CZ249" s="1256"/>
      <c r="DA249" s="1256"/>
      <c r="DB249" s="1256"/>
      <c r="DC249" s="1256"/>
      <c r="DD249" s="1256"/>
      <c r="DE249" s="1256"/>
      <c r="DF249" s="1256"/>
      <c r="DG249" s="1256"/>
      <c r="DH249" s="1256"/>
      <c r="DI249" s="1256"/>
      <c r="DJ249" s="1256"/>
      <c r="DK249" s="1256"/>
      <c r="DL249" s="1256"/>
      <c r="DM249" s="1256"/>
      <c r="DN249" s="1256"/>
      <c r="DO249" s="1256"/>
    </row>
    <row r="250" spans="1:119" s="1258" customFormat="1" hidden="1">
      <c r="A250" s="12" t="s">
        <v>91</v>
      </c>
      <c r="B250" s="1263">
        <v>48775</v>
      </c>
      <c r="C250" s="1263">
        <v>48775</v>
      </c>
      <c r="D250" s="1261"/>
      <c r="F250" s="1256"/>
      <c r="G250" s="1256"/>
      <c r="H250" s="1256"/>
      <c r="I250" s="1256"/>
      <c r="J250" s="1257"/>
      <c r="K250" s="1257"/>
      <c r="L250" s="1256"/>
      <c r="M250" s="1256"/>
      <c r="N250" s="1257"/>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c r="CB250" s="1256"/>
      <c r="CC250" s="1256"/>
      <c r="CD250" s="1256"/>
      <c r="CE250" s="1256"/>
      <c r="CF250" s="1256"/>
      <c r="CG250" s="1256"/>
      <c r="CH250" s="1256"/>
      <c r="CI250" s="1256"/>
      <c r="CJ250" s="1256"/>
      <c r="CK250" s="1256"/>
      <c r="CL250" s="1256"/>
      <c r="CM250" s="1256"/>
      <c r="CN250" s="1256"/>
      <c r="CO250" s="1256"/>
      <c r="CP250" s="1256"/>
      <c r="CQ250" s="1256"/>
      <c r="CR250" s="1256"/>
      <c r="CS250" s="1256"/>
      <c r="CT250" s="1256"/>
      <c r="CU250" s="1256"/>
      <c r="CV250" s="1256"/>
      <c r="CW250" s="1256"/>
      <c r="CX250" s="1256"/>
      <c r="CY250" s="1256"/>
      <c r="CZ250" s="1256"/>
      <c r="DA250" s="1256"/>
      <c r="DB250" s="1256"/>
      <c r="DC250" s="1256"/>
      <c r="DD250" s="1256"/>
      <c r="DE250" s="1256"/>
      <c r="DF250" s="1256"/>
      <c r="DG250" s="1256"/>
      <c r="DH250" s="1256"/>
      <c r="DI250" s="1256"/>
      <c r="DJ250" s="1256"/>
      <c r="DK250" s="1256"/>
      <c r="DL250" s="1256"/>
      <c r="DM250" s="1256"/>
      <c r="DN250" s="1256"/>
      <c r="DO250" s="1256"/>
    </row>
    <row r="251" spans="1:119" s="1258" customFormat="1" hidden="1">
      <c r="A251" s="12" t="s">
        <v>90</v>
      </c>
      <c r="B251" s="1263">
        <v>49524</v>
      </c>
      <c r="C251" s="1263">
        <v>49524</v>
      </c>
      <c r="D251" s="1261"/>
      <c r="F251" s="1256"/>
      <c r="G251" s="1256"/>
      <c r="H251" s="1256"/>
      <c r="I251" s="1256"/>
      <c r="J251" s="1257"/>
      <c r="K251" s="1257"/>
      <c r="L251" s="1256"/>
      <c r="M251" s="1256"/>
      <c r="N251" s="1257"/>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c r="CB251" s="1256"/>
      <c r="CC251" s="1256"/>
      <c r="CD251" s="1256"/>
      <c r="CE251" s="1256"/>
      <c r="CF251" s="1256"/>
      <c r="CG251" s="1256"/>
      <c r="CH251" s="1256"/>
      <c r="CI251" s="1256"/>
      <c r="CJ251" s="1256"/>
      <c r="CK251" s="1256"/>
      <c r="CL251" s="1256"/>
      <c r="CM251" s="1256"/>
      <c r="CN251" s="1256"/>
      <c r="CO251" s="1256"/>
      <c r="CP251" s="1256"/>
      <c r="CQ251" s="1256"/>
      <c r="CR251" s="1256"/>
      <c r="CS251" s="1256"/>
      <c r="CT251" s="1256"/>
      <c r="CU251" s="1256"/>
      <c r="CV251" s="1256"/>
      <c r="CW251" s="1256"/>
      <c r="CX251" s="1256"/>
      <c r="CY251" s="1256"/>
      <c r="CZ251" s="1256"/>
      <c r="DA251" s="1256"/>
      <c r="DB251" s="1256"/>
      <c r="DC251" s="1256"/>
      <c r="DD251" s="1256"/>
      <c r="DE251" s="1256"/>
      <c r="DF251" s="1256"/>
      <c r="DG251" s="1256"/>
      <c r="DH251" s="1256"/>
      <c r="DI251" s="1256"/>
      <c r="DJ251" s="1256"/>
      <c r="DK251" s="1256"/>
      <c r="DL251" s="1256"/>
      <c r="DM251" s="1256"/>
      <c r="DN251" s="1256"/>
      <c r="DO251" s="1256"/>
    </row>
    <row r="252" spans="1:119" s="1258" customFormat="1" hidden="1">
      <c r="A252" s="12" t="s">
        <v>89</v>
      </c>
      <c r="B252" s="1263">
        <v>50285</v>
      </c>
      <c r="C252" s="1263">
        <v>50285</v>
      </c>
      <c r="D252" s="1261"/>
      <c r="F252" s="1256"/>
      <c r="G252" s="1256"/>
      <c r="H252" s="1256"/>
      <c r="I252" s="1256"/>
      <c r="J252" s="1257"/>
      <c r="K252" s="1257"/>
      <c r="L252" s="1256"/>
      <c r="M252" s="1256"/>
      <c r="N252" s="1257"/>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c r="CB252" s="1256"/>
      <c r="CC252" s="1256"/>
      <c r="CD252" s="1256"/>
      <c r="CE252" s="1256"/>
      <c r="CF252" s="1256"/>
      <c r="CG252" s="1256"/>
      <c r="CH252" s="1256"/>
      <c r="CI252" s="1256"/>
      <c r="CJ252" s="1256"/>
      <c r="CK252" s="1256"/>
      <c r="CL252" s="1256"/>
      <c r="CM252" s="1256"/>
      <c r="CN252" s="1256"/>
      <c r="CO252" s="1256"/>
      <c r="CP252" s="1256"/>
      <c r="CQ252" s="1256"/>
      <c r="CR252" s="1256"/>
      <c r="CS252" s="1256"/>
      <c r="CT252" s="1256"/>
      <c r="CU252" s="1256"/>
      <c r="CV252" s="1256"/>
      <c r="CW252" s="1256"/>
      <c r="CX252" s="1256"/>
      <c r="CY252" s="1256"/>
      <c r="CZ252" s="1256"/>
      <c r="DA252" s="1256"/>
      <c r="DB252" s="1256"/>
      <c r="DC252" s="1256"/>
      <c r="DD252" s="1256"/>
      <c r="DE252" s="1256"/>
      <c r="DF252" s="1256"/>
      <c r="DG252" s="1256"/>
      <c r="DH252" s="1256"/>
      <c r="DI252" s="1256"/>
      <c r="DJ252" s="1256"/>
      <c r="DK252" s="1256"/>
      <c r="DL252" s="1256"/>
      <c r="DM252" s="1256"/>
      <c r="DN252" s="1256"/>
      <c r="DO252" s="1256"/>
    </row>
    <row r="253" spans="1:119" s="1258" customFormat="1" hidden="1">
      <c r="A253" s="12" t="s">
        <v>88</v>
      </c>
      <c r="B253" s="1263">
        <v>51059</v>
      </c>
      <c r="C253" s="1263">
        <v>51059</v>
      </c>
      <c r="D253" s="1261"/>
      <c r="F253" s="1256"/>
      <c r="G253" s="1256"/>
      <c r="H253" s="1256"/>
      <c r="I253" s="1256"/>
      <c r="J253" s="1257"/>
      <c r="K253" s="1257"/>
      <c r="L253" s="1256"/>
      <c r="M253" s="1256"/>
      <c r="N253" s="1257"/>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c r="CB253" s="1256"/>
      <c r="CC253" s="1256"/>
      <c r="CD253" s="1256"/>
      <c r="CE253" s="1256"/>
      <c r="CF253" s="1256"/>
      <c r="CG253" s="1256"/>
      <c r="CH253" s="1256"/>
      <c r="CI253" s="1256"/>
      <c r="CJ253" s="1256"/>
      <c r="CK253" s="1256"/>
      <c r="CL253" s="1256"/>
      <c r="CM253" s="1256"/>
      <c r="CN253" s="1256"/>
      <c r="CO253" s="1256"/>
      <c r="CP253" s="1256"/>
      <c r="CQ253" s="1256"/>
      <c r="CR253" s="1256"/>
      <c r="CS253" s="1256"/>
      <c r="CT253" s="1256"/>
      <c r="CU253" s="1256"/>
      <c r="CV253" s="1256"/>
      <c r="CW253" s="1256"/>
      <c r="CX253" s="1256"/>
      <c r="CY253" s="1256"/>
      <c r="CZ253" s="1256"/>
      <c r="DA253" s="1256"/>
      <c r="DB253" s="1256"/>
      <c r="DC253" s="1256"/>
      <c r="DD253" s="1256"/>
      <c r="DE253" s="1256"/>
      <c r="DF253" s="1256"/>
      <c r="DG253" s="1256"/>
      <c r="DH253" s="1256"/>
      <c r="DI253" s="1256"/>
      <c r="DJ253" s="1256"/>
      <c r="DK253" s="1256"/>
      <c r="DL253" s="1256"/>
      <c r="DM253" s="1256"/>
      <c r="DN253" s="1256"/>
      <c r="DO253" s="1256"/>
    </row>
    <row r="254" spans="1:119" s="1258" customFormat="1" hidden="1">
      <c r="A254" s="10" t="s">
        <v>87</v>
      </c>
      <c r="B254" s="1262">
        <v>51538</v>
      </c>
      <c r="C254" s="1262">
        <v>51538</v>
      </c>
      <c r="D254" s="1261"/>
      <c r="F254" s="1256"/>
      <c r="G254" s="1256"/>
      <c r="H254" s="1256"/>
      <c r="I254" s="1256"/>
      <c r="J254" s="1257"/>
      <c r="K254" s="1257"/>
      <c r="L254" s="1256"/>
      <c r="M254" s="1256"/>
      <c r="N254" s="1257"/>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c r="CB254" s="1256"/>
      <c r="CC254" s="1256"/>
      <c r="CD254" s="1256"/>
      <c r="CE254" s="1256"/>
      <c r="CF254" s="1256"/>
      <c r="CG254" s="1256"/>
      <c r="CH254" s="1256"/>
      <c r="CI254" s="1256"/>
      <c r="CJ254" s="1256"/>
      <c r="CK254" s="1256"/>
      <c r="CL254" s="1256"/>
      <c r="CM254" s="1256"/>
      <c r="CN254" s="1256"/>
      <c r="CO254" s="1256"/>
      <c r="CP254" s="1256"/>
      <c r="CQ254" s="1256"/>
      <c r="CR254" s="1256"/>
      <c r="CS254" s="1256"/>
      <c r="CT254" s="1256"/>
      <c r="CU254" s="1256"/>
      <c r="CV254" s="1256"/>
      <c r="CW254" s="1256"/>
      <c r="CX254" s="1256"/>
      <c r="CY254" s="1256"/>
      <c r="CZ254" s="1256"/>
      <c r="DA254" s="1256"/>
      <c r="DB254" s="1256"/>
      <c r="DC254" s="1256"/>
      <c r="DD254" s="1256"/>
      <c r="DE254" s="1256"/>
      <c r="DF254" s="1256"/>
      <c r="DG254" s="1256"/>
      <c r="DH254" s="1256"/>
      <c r="DI254" s="1256"/>
      <c r="DJ254" s="1256"/>
      <c r="DK254" s="1256"/>
      <c r="DL254" s="1256"/>
      <c r="DM254" s="1256"/>
      <c r="DN254" s="1256"/>
      <c r="DO254" s="1256"/>
    </row>
    <row r="255" spans="1:119" s="1258" customFormat="1" hidden="1">
      <c r="A255" s="10" t="s">
        <v>86</v>
      </c>
      <c r="B255" s="1262">
        <v>52331</v>
      </c>
      <c r="C255" s="1262">
        <v>52331</v>
      </c>
      <c r="D255" s="1261"/>
      <c r="F255" s="1256"/>
      <c r="G255" s="1256"/>
      <c r="H255" s="1256"/>
      <c r="I255" s="1256"/>
      <c r="J255" s="1257"/>
      <c r="K255" s="1257"/>
      <c r="L255" s="1256"/>
      <c r="M255" s="1256"/>
      <c r="N255" s="1257"/>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c r="CB255" s="1256"/>
      <c r="CC255" s="1256"/>
      <c r="CD255" s="1256"/>
      <c r="CE255" s="1256"/>
      <c r="CF255" s="1256"/>
      <c r="CG255" s="1256"/>
      <c r="CH255" s="1256"/>
      <c r="CI255" s="1256"/>
      <c r="CJ255" s="1256"/>
      <c r="CK255" s="1256"/>
      <c r="CL255" s="1256"/>
      <c r="CM255" s="1256"/>
      <c r="CN255" s="1256"/>
      <c r="CO255" s="1256"/>
      <c r="CP255" s="1256"/>
      <c r="CQ255" s="1256"/>
      <c r="CR255" s="1256"/>
      <c r="CS255" s="1256"/>
      <c r="CT255" s="1256"/>
      <c r="CU255" s="1256"/>
      <c r="CV255" s="1256"/>
      <c r="CW255" s="1256"/>
      <c r="CX255" s="1256"/>
      <c r="CY255" s="1256"/>
      <c r="CZ255" s="1256"/>
      <c r="DA255" s="1256"/>
      <c r="DB255" s="1256"/>
      <c r="DC255" s="1256"/>
      <c r="DD255" s="1256"/>
      <c r="DE255" s="1256"/>
      <c r="DF255" s="1256"/>
      <c r="DG255" s="1256"/>
      <c r="DH255" s="1256"/>
      <c r="DI255" s="1256"/>
      <c r="DJ255" s="1256"/>
      <c r="DK255" s="1256"/>
      <c r="DL255" s="1256"/>
      <c r="DM255" s="1256"/>
      <c r="DN255" s="1256"/>
      <c r="DO255" s="1256"/>
    </row>
    <row r="256" spans="1:119" s="1258" customFormat="1" hidden="1">
      <c r="A256" s="10" t="s">
        <v>85</v>
      </c>
      <c r="B256" s="1262">
        <v>53137</v>
      </c>
      <c r="C256" s="1262">
        <v>53137</v>
      </c>
      <c r="D256" s="1261"/>
      <c r="F256" s="1256"/>
      <c r="G256" s="1256"/>
      <c r="H256" s="1256"/>
      <c r="I256" s="1256"/>
      <c r="J256" s="1257"/>
      <c r="K256" s="1257"/>
      <c r="L256" s="1256"/>
      <c r="M256" s="1256"/>
      <c r="N256" s="1257"/>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c r="CB256" s="1256"/>
      <c r="CC256" s="1256"/>
      <c r="CD256" s="1256"/>
      <c r="CE256" s="1256"/>
      <c r="CF256" s="1256"/>
      <c r="CG256" s="1256"/>
      <c r="CH256" s="1256"/>
      <c r="CI256" s="1256"/>
      <c r="CJ256" s="1256"/>
      <c r="CK256" s="1256"/>
      <c r="CL256" s="1256"/>
      <c r="CM256" s="1256"/>
      <c r="CN256" s="1256"/>
      <c r="CO256" s="1256"/>
      <c r="CP256" s="1256"/>
      <c r="CQ256" s="1256"/>
      <c r="CR256" s="1256"/>
      <c r="CS256" s="1256"/>
      <c r="CT256" s="1256"/>
      <c r="CU256" s="1256"/>
      <c r="CV256" s="1256"/>
      <c r="CW256" s="1256"/>
      <c r="CX256" s="1256"/>
      <c r="CY256" s="1256"/>
      <c r="CZ256" s="1256"/>
      <c r="DA256" s="1256"/>
      <c r="DB256" s="1256"/>
      <c r="DC256" s="1256"/>
      <c r="DD256" s="1256"/>
      <c r="DE256" s="1256"/>
      <c r="DF256" s="1256"/>
      <c r="DG256" s="1256"/>
      <c r="DH256" s="1256"/>
      <c r="DI256" s="1256"/>
      <c r="DJ256" s="1256"/>
      <c r="DK256" s="1256"/>
      <c r="DL256" s="1256"/>
      <c r="DM256" s="1256"/>
      <c r="DN256" s="1256"/>
      <c r="DO256" s="1256"/>
    </row>
    <row r="257" spans="1:119" s="1258" customFormat="1" hidden="1">
      <c r="A257" s="10" t="s">
        <v>84</v>
      </c>
      <c r="B257" s="1262">
        <v>53956</v>
      </c>
      <c r="C257" s="1262">
        <v>53956</v>
      </c>
      <c r="D257" s="1261"/>
      <c r="F257" s="1256"/>
      <c r="G257" s="1256"/>
      <c r="H257" s="1256"/>
      <c r="I257" s="1256"/>
      <c r="J257" s="1257"/>
      <c r="K257" s="1257"/>
      <c r="L257" s="1256"/>
      <c r="M257" s="1256"/>
      <c r="N257" s="1257"/>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c r="CB257" s="1256"/>
      <c r="CC257" s="1256"/>
      <c r="CD257" s="1256"/>
      <c r="CE257" s="1256"/>
      <c r="CF257" s="1256"/>
      <c r="CG257" s="1256"/>
      <c r="CH257" s="1256"/>
      <c r="CI257" s="1256"/>
      <c r="CJ257" s="1256"/>
      <c r="CK257" s="1256"/>
      <c r="CL257" s="1256"/>
      <c r="CM257" s="1256"/>
      <c r="CN257" s="1256"/>
      <c r="CO257" s="1256"/>
      <c r="CP257" s="1256"/>
      <c r="CQ257" s="1256"/>
      <c r="CR257" s="1256"/>
      <c r="CS257" s="1256"/>
      <c r="CT257" s="1256"/>
      <c r="CU257" s="1256"/>
      <c r="CV257" s="1256"/>
      <c r="CW257" s="1256"/>
      <c r="CX257" s="1256"/>
      <c r="CY257" s="1256"/>
      <c r="CZ257" s="1256"/>
      <c r="DA257" s="1256"/>
      <c r="DB257" s="1256"/>
      <c r="DC257" s="1256"/>
      <c r="DD257" s="1256"/>
      <c r="DE257" s="1256"/>
      <c r="DF257" s="1256"/>
      <c r="DG257" s="1256"/>
      <c r="DH257" s="1256"/>
      <c r="DI257" s="1256"/>
      <c r="DJ257" s="1256"/>
      <c r="DK257" s="1256"/>
      <c r="DL257" s="1256"/>
      <c r="DM257" s="1256"/>
      <c r="DN257" s="1256"/>
      <c r="DO257" s="1256"/>
    </row>
    <row r="258" spans="1:119" s="1258" customFormat="1" hidden="1">
      <c r="A258" s="10" t="s">
        <v>83</v>
      </c>
      <c r="B258" s="1262">
        <v>54789</v>
      </c>
      <c r="C258" s="1262">
        <v>54789</v>
      </c>
      <c r="D258" s="1261"/>
      <c r="F258" s="1256"/>
      <c r="G258" s="1256"/>
      <c r="H258" s="1256"/>
      <c r="I258" s="1256"/>
      <c r="J258" s="1257"/>
      <c r="K258" s="1257"/>
      <c r="L258" s="1256"/>
      <c r="M258" s="1256"/>
      <c r="N258" s="1257"/>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c r="CB258" s="1256"/>
      <c r="CC258" s="1256"/>
      <c r="CD258" s="1256"/>
      <c r="CE258" s="1256"/>
      <c r="CF258" s="1256"/>
      <c r="CG258" s="1256"/>
      <c r="CH258" s="1256"/>
      <c r="CI258" s="1256"/>
      <c r="CJ258" s="1256"/>
      <c r="CK258" s="1256"/>
      <c r="CL258" s="1256"/>
      <c r="CM258" s="1256"/>
      <c r="CN258" s="1256"/>
      <c r="CO258" s="1256"/>
      <c r="CP258" s="1256"/>
      <c r="CQ258" s="1256"/>
      <c r="CR258" s="1256"/>
      <c r="CS258" s="1256"/>
      <c r="CT258" s="1256"/>
      <c r="CU258" s="1256"/>
      <c r="CV258" s="1256"/>
      <c r="CW258" s="1256"/>
      <c r="CX258" s="1256"/>
      <c r="CY258" s="1256"/>
      <c r="CZ258" s="1256"/>
      <c r="DA258" s="1256"/>
      <c r="DB258" s="1256"/>
      <c r="DC258" s="1256"/>
      <c r="DD258" s="1256"/>
      <c r="DE258" s="1256"/>
      <c r="DF258" s="1256"/>
      <c r="DG258" s="1256"/>
      <c r="DH258" s="1256"/>
      <c r="DI258" s="1256"/>
      <c r="DJ258" s="1256"/>
      <c r="DK258" s="1256"/>
      <c r="DL258" s="1256"/>
      <c r="DM258" s="1256"/>
      <c r="DN258" s="1256"/>
      <c r="DO258" s="1256"/>
    </row>
    <row r="259" spans="1:119" s="1258" customFormat="1" hidden="1">
      <c r="A259" s="10" t="s">
        <v>82</v>
      </c>
      <c r="B259" s="1262">
        <v>55636</v>
      </c>
      <c r="C259" s="1262">
        <v>55636</v>
      </c>
      <c r="D259" s="1261"/>
      <c r="F259" s="1256"/>
      <c r="G259" s="1256"/>
      <c r="H259" s="1256"/>
      <c r="I259" s="1256"/>
      <c r="J259" s="1257"/>
      <c r="K259" s="1257"/>
      <c r="L259" s="1256"/>
      <c r="M259" s="1256"/>
      <c r="N259" s="1257"/>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c r="CB259" s="1256"/>
      <c r="CC259" s="1256"/>
      <c r="CD259" s="1256"/>
      <c r="CE259" s="1256"/>
      <c r="CF259" s="1256"/>
      <c r="CG259" s="1256"/>
      <c r="CH259" s="1256"/>
      <c r="CI259" s="1256"/>
      <c r="CJ259" s="1256"/>
      <c r="CK259" s="1256"/>
      <c r="CL259" s="1256"/>
      <c r="CM259" s="1256"/>
      <c r="CN259" s="1256"/>
      <c r="CO259" s="1256"/>
      <c r="CP259" s="1256"/>
      <c r="CQ259" s="1256"/>
      <c r="CR259" s="1256"/>
      <c r="CS259" s="1256"/>
      <c r="CT259" s="1256"/>
      <c r="CU259" s="1256"/>
      <c r="CV259" s="1256"/>
      <c r="CW259" s="1256"/>
      <c r="CX259" s="1256"/>
      <c r="CY259" s="1256"/>
      <c r="CZ259" s="1256"/>
      <c r="DA259" s="1256"/>
      <c r="DB259" s="1256"/>
      <c r="DC259" s="1256"/>
      <c r="DD259" s="1256"/>
      <c r="DE259" s="1256"/>
      <c r="DF259" s="1256"/>
      <c r="DG259" s="1256"/>
      <c r="DH259" s="1256"/>
      <c r="DI259" s="1256"/>
      <c r="DJ259" s="1256"/>
      <c r="DK259" s="1256"/>
      <c r="DL259" s="1256"/>
      <c r="DM259" s="1256"/>
      <c r="DN259" s="1256"/>
      <c r="DO259" s="1256"/>
    </row>
    <row r="260" spans="1:119" s="1258" customFormat="1" hidden="1">
      <c r="A260" s="10" t="s">
        <v>81</v>
      </c>
      <c r="B260" s="1262">
        <v>56496</v>
      </c>
      <c r="C260" s="1262">
        <v>56496</v>
      </c>
      <c r="D260" s="1261"/>
      <c r="F260" s="1256"/>
      <c r="G260" s="1256"/>
      <c r="H260" s="1256"/>
      <c r="I260" s="1256"/>
      <c r="J260" s="1257"/>
      <c r="K260" s="1257"/>
      <c r="L260" s="1256"/>
      <c r="M260" s="1256"/>
      <c r="N260" s="1257"/>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c r="CB260" s="1256"/>
      <c r="CC260" s="1256"/>
      <c r="CD260" s="1256"/>
      <c r="CE260" s="1256"/>
      <c r="CF260" s="1256"/>
      <c r="CG260" s="1256"/>
      <c r="CH260" s="1256"/>
      <c r="CI260" s="1256"/>
      <c r="CJ260" s="1256"/>
      <c r="CK260" s="1256"/>
      <c r="CL260" s="1256"/>
      <c r="CM260" s="1256"/>
      <c r="CN260" s="1256"/>
      <c r="CO260" s="1256"/>
      <c r="CP260" s="1256"/>
      <c r="CQ260" s="1256"/>
      <c r="CR260" s="1256"/>
      <c r="CS260" s="1256"/>
      <c r="CT260" s="1256"/>
      <c r="CU260" s="1256"/>
      <c r="CV260" s="1256"/>
      <c r="CW260" s="1256"/>
      <c r="CX260" s="1256"/>
      <c r="CY260" s="1256"/>
      <c r="CZ260" s="1256"/>
      <c r="DA260" s="1256"/>
      <c r="DB260" s="1256"/>
      <c r="DC260" s="1256"/>
      <c r="DD260" s="1256"/>
      <c r="DE260" s="1256"/>
      <c r="DF260" s="1256"/>
      <c r="DG260" s="1256"/>
      <c r="DH260" s="1256"/>
      <c r="DI260" s="1256"/>
      <c r="DJ260" s="1256"/>
      <c r="DK260" s="1256"/>
      <c r="DL260" s="1256"/>
      <c r="DM260" s="1256"/>
      <c r="DN260" s="1256"/>
      <c r="DO260" s="1256"/>
    </row>
    <row r="261" spans="1:119" s="1258" customFormat="1" hidden="1">
      <c r="A261" s="10" t="s">
        <v>80</v>
      </c>
      <c r="B261" s="1262">
        <v>57370</v>
      </c>
      <c r="C261" s="1262">
        <v>57370</v>
      </c>
      <c r="D261" s="1261"/>
      <c r="F261" s="1256"/>
      <c r="G261" s="1256"/>
      <c r="H261" s="1256"/>
      <c r="I261" s="1256"/>
      <c r="J261" s="1257"/>
      <c r="K261" s="1257"/>
      <c r="L261" s="1256"/>
      <c r="M261" s="1256"/>
      <c r="N261" s="1257"/>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c r="CB261" s="1256"/>
      <c r="CC261" s="1256"/>
      <c r="CD261" s="1256"/>
      <c r="CE261" s="1256"/>
      <c r="CF261" s="1256"/>
      <c r="CG261" s="1256"/>
      <c r="CH261" s="1256"/>
      <c r="CI261" s="1256"/>
      <c r="CJ261" s="1256"/>
      <c r="CK261" s="1256"/>
      <c r="CL261" s="1256"/>
      <c r="CM261" s="1256"/>
      <c r="CN261" s="1256"/>
      <c r="CO261" s="1256"/>
      <c r="CP261" s="1256"/>
      <c r="CQ261" s="1256"/>
      <c r="CR261" s="1256"/>
      <c r="CS261" s="1256"/>
      <c r="CT261" s="1256"/>
      <c r="CU261" s="1256"/>
      <c r="CV261" s="1256"/>
      <c r="CW261" s="1256"/>
      <c r="CX261" s="1256"/>
      <c r="CY261" s="1256"/>
      <c r="CZ261" s="1256"/>
      <c r="DA261" s="1256"/>
      <c r="DB261" s="1256"/>
      <c r="DC261" s="1256"/>
      <c r="DD261" s="1256"/>
      <c r="DE261" s="1256"/>
      <c r="DF261" s="1256"/>
      <c r="DG261" s="1256"/>
      <c r="DH261" s="1256"/>
      <c r="DI261" s="1256"/>
      <c r="DJ261" s="1256"/>
      <c r="DK261" s="1256"/>
      <c r="DL261" s="1256"/>
      <c r="DM261" s="1256"/>
      <c r="DN261" s="1256"/>
      <c r="DO261" s="1256"/>
    </row>
    <row r="262" spans="1:119" s="1258" customFormat="1" hidden="1">
      <c r="A262" s="12" t="s">
        <v>79</v>
      </c>
      <c r="B262" s="1263">
        <v>57856</v>
      </c>
      <c r="C262" s="1263">
        <v>57856</v>
      </c>
      <c r="D262" s="1261"/>
      <c r="F262" s="1256"/>
      <c r="G262" s="1256"/>
      <c r="H262" s="1256"/>
      <c r="I262" s="1256"/>
      <c r="J262" s="1257"/>
      <c r="K262" s="1257"/>
      <c r="L262" s="1256"/>
      <c r="M262" s="1256"/>
      <c r="N262" s="1257"/>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c r="CB262" s="1256"/>
      <c r="CC262" s="1256"/>
      <c r="CD262" s="1256"/>
      <c r="CE262" s="1256"/>
      <c r="CF262" s="1256"/>
      <c r="CG262" s="1256"/>
      <c r="CH262" s="1256"/>
      <c r="CI262" s="1256"/>
      <c r="CJ262" s="1256"/>
      <c r="CK262" s="1256"/>
      <c r="CL262" s="1256"/>
      <c r="CM262" s="1256"/>
      <c r="CN262" s="1256"/>
      <c r="CO262" s="1256"/>
      <c r="CP262" s="1256"/>
      <c r="CQ262" s="1256"/>
      <c r="CR262" s="1256"/>
      <c r="CS262" s="1256"/>
      <c r="CT262" s="1256"/>
      <c r="CU262" s="1256"/>
      <c r="CV262" s="1256"/>
      <c r="CW262" s="1256"/>
      <c r="CX262" s="1256"/>
      <c r="CY262" s="1256"/>
      <c r="CZ262" s="1256"/>
      <c r="DA262" s="1256"/>
      <c r="DB262" s="1256"/>
      <c r="DC262" s="1256"/>
      <c r="DD262" s="1256"/>
      <c r="DE262" s="1256"/>
      <c r="DF262" s="1256"/>
      <c r="DG262" s="1256"/>
      <c r="DH262" s="1256"/>
      <c r="DI262" s="1256"/>
      <c r="DJ262" s="1256"/>
      <c r="DK262" s="1256"/>
      <c r="DL262" s="1256"/>
      <c r="DM262" s="1256"/>
      <c r="DN262" s="1256"/>
      <c r="DO262" s="1256"/>
    </row>
    <row r="263" spans="1:119" s="1258" customFormat="1" hidden="1">
      <c r="A263" s="12" t="s">
        <v>78</v>
      </c>
      <c r="B263" s="1263">
        <v>58752</v>
      </c>
      <c r="C263" s="1263">
        <v>58752</v>
      </c>
      <c r="D263" s="1261"/>
      <c r="F263" s="1256"/>
      <c r="G263" s="1256"/>
      <c r="H263" s="1256"/>
      <c r="I263" s="1256"/>
      <c r="J263" s="1257"/>
      <c r="K263" s="1257"/>
      <c r="L263" s="1256"/>
      <c r="M263" s="1256"/>
      <c r="N263" s="1257"/>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c r="CB263" s="1256"/>
      <c r="CC263" s="1256"/>
      <c r="CD263" s="1256"/>
      <c r="CE263" s="1256"/>
      <c r="CF263" s="1256"/>
      <c r="CG263" s="1256"/>
      <c r="CH263" s="1256"/>
      <c r="CI263" s="1256"/>
      <c r="CJ263" s="1256"/>
      <c r="CK263" s="1256"/>
      <c r="CL263" s="1256"/>
      <c r="CM263" s="1256"/>
      <c r="CN263" s="1256"/>
      <c r="CO263" s="1256"/>
      <c r="CP263" s="1256"/>
      <c r="CQ263" s="1256"/>
      <c r="CR263" s="1256"/>
      <c r="CS263" s="1256"/>
      <c r="CT263" s="1256"/>
      <c r="CU263" s="1256"/>
      <c r="CV263" s="1256"/>
      <c r="CW263" s="1256"/>
      <c r="CX263" s="1256"/>
      <c r="CY263" s="1256"/>
      <c r="CZ263" s="1256"/>
      <c r="DA263" s="1256"/>
      <c r="DB263" s="1256"/>
      <c r="DC263" s="1256"/>
      <c r="DD263" s="1256"/>
      <c r="DE263" s="1256"/>
      <c r="DF263" s="1256"/>
      <c r="DG263" s="1256"/>
      <c r="DH263" s="1256"/>
      <c r="DI263" s="1256"/>
      <c r="DJ263" s="1256"/>
      <c r="DK263" s="1256"/>
      <c r="DL263" s="1256"/>
      <c r="DM263" s="1256"/>
      <c r="DN263" s="1256"/>
      <c r="DO263" s="1256"/>
    </row>
    <row r="264" spans="1:119" s="1258" customFormat="1" hidden="1">
      <c r="A264" s="12" t="s">
        <v>77</v>
      </c>
      <c r="B264" s="1263">
        <v>59663</v>
      </c>
      <c r="C264" s="1263">
        <v>59663</v>
      </c>
      <c r="D264" s="1261"/>
      <c r="F264" s="1256"/>
      <c r="G264" s="1256"/>
      <c r="H264" s="1256"/>
      <c r="I264" s="1256"/>
      <c r="J264" s="1257"/>
      <c r="K264" s="1257"/>
      <c r="L264" s="1256"/>
      <c r="M264" s="1256"/>
      <c r="N264" s="1257"/>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c r="CB264" s="1256"/>
      <c r="CC264" s="1256"/>
      <c r="CD264" s="1256"/>
      <c r="CE264" s="1256"/>
      <c r="CF264" s="1256"/>
      <c r="CG264" s="1256"/>
      <c r="CH264" s="1256"/>
      <c r="CI264" s="1256"/>
      <c r="CJ264" s="1256"/>
      <c r="CK264" s="1256"/>
      <c r="CL264" s="1256"/>
      <c r="CM264" s="1256"/>
      <c r="CN264" s="1256"/>
      <c r="CO264" s="1256"/>
      <c r="CP264" s="1256"/>
      <c r="CQ264" s="1256"/>
      <c r="CR264" s="1256"/>
      <c r="CS264" s="1256"/>
      <c r="CT264" s="1256"/>
      <c r="CU264" s="1256"/>
      <c r="CV264" s="1256"/>
      <c r="CW264" s="1256"/>
      <c r="CX264" s="1256"/>
      <c r="CY264" s="1256"/>
      <c r="CZ264" s="1256"/>
      <c r="DA264" s="1256"/>
      <c r="DB264" s="1256"/>
      <c r="DC264" s="1256"/>
      <c r="DD264" s="1256"/>
      <c r="DE264" s="1256"/>
      <c r="DF264" s="1256"/>
      <c r="DG264" s="1256"/>
      <c r="DH264" s="1256"/>
      <c r="DI264" s="1256"/>
      <c r="DJ264" s="1256"/>
      <c r="DK264" s="1256"/>
      <c r="DL264" s="1256"/>
      <c r="DM264" s="1256"/>
      <c r="DN264" s="1256"/>
      <c r="DO264" s="1256"/>
    </row>
    <row r="265" spans="1:119" s="1258" customFormat="1" hidden="1">
      <c r="A265" s="12" t="s">
        <v>76</v>
      </c>
      <c r="B265" s="1263">
        <v>60588</v>
      </c>
      <c r="C265" s="1263">
        <v>60588</v>
      </c>
      <c r="D265" s="1261"/>
      <c r="F265" s="1256"/>
      <c r="G265" s="1256"/>
      <c r="H265" s="1256"/>
      <c r="I265" s="1256"/>
      <c r="J265" s="1257"/>
      <c r="K265" s="1257"/>
      <c r="L265" s="1256"/>
      <c r="M265" s="1256"/>
      <c r="N265" s="1257"/>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c r="CB265" s="1256"/>
      <c r="CC265" s="1256"/>
      <c r="CD265" s="1256"/>
      <c r="CE265" s="1256"/>
      <c r="CF265" s="1256"/>
      <c r="CG265" s="1256"/>
      <c r="CH265" s="1256"/>
      <c r="CI265" s="1256"/>
      <c r="CJ265" s="1256"/>
      <c r="CK265" s="1256"/>
      <c r="CL265" s="1256"/>
      <c r="CM265" s="1256"/>
      <c r="CN265" s="1256"/>
      <c r="CO265" s="1256"/>
      <c r="CP265" s="1256"/>
      <c r="CQ265" s="1256"/>
      <c r="CR265" s="1256"/>
      <c r="CS265" s="1256"/>
      <c r="CT265" s="1256"/>
      <c r="CU265" s="1256"/>
      <c r="CV265" s="1256"/>
      <c r="CW265" s="1256"/>
      <c r="CX265" s="1256"/>
      <c r="CY265" s="1256"/>
      <c r="CZ265" s="1256"/>
      <c r="DA265" s="1256"/>
      <c r="DB265" s="1256"/>
      <c r="DC265" s="1256"/>
      <c r="DD265" s="1256"/>
      <c r="DE265" s="1256"/>
      <c r="DF265" s="1256"/>
      <c r="DG265" s="1256"/>
      <c r="DH265" s="1256"/>
      <c r="DI265" s="1256"/>
      <c r="DJ265" s="1256"/>
      <c r="DK265" s="1256"/>
      <c r="DL265" s="1256"/>
      <c r="DM265" s="1256"/>
      <c r="DN265" s="1256"/>
      <c r="DO265" s="1256"/>
    </row>
    <row r="266" spans="1:119" s="1258" customFormat="1" hidden="1">
      <c r="A266" s="12" t="s">
        <v>75</v>
      </c>
      <c r="B266" s="1263">
        <v>61530</v>
      </c>
      <c r="C266" s="1263">
        <v>61530</v>
      </c>
      <c r="D266" s="1261"/>
      <c r="F266" s="1256"/>
      <c r="G266" s="1256"/>
      <c r="H266" s="1256"/>
      <c r="I266" s="1256"/>
      <c r="J266" s="1257"/>
      <c r="K266" s="1257"/>
      <c r="L266" s="1256"/>
      <c r="M266" s="1256"/>
      <c r="N266" s="1257"/>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c r="CB266" s="1256"/>
      <c r="CC266" s="1256"/>
      <c r="CD266" s="1256"/>
      <c r="CE266" s="1256"/>
      <c r="CF266" s="1256"/>
      <c r="CG266" s="1256"/>
      <c r="CH266" s="1256"/>
      <c r="CI266" s="1256"/>
      <c r="CJ266" s="1256"/>
      <c r="CK266" s="1256"/>
      <c r="CL266" s="1256"/>
      <c r="CM266" s="1256"/>
      <c r="CN266" s="1256"/>
      <c r="CO266" s="1256"/>
      <c r="CP266" s="1256"/>
      <c r="CQ266" s="1256"/>
      <c r="CR266" s="1256"/>
      <c r="CS266" s="1256"/>
      <c r="CT266" s="1256"/>
      <c r="CU266" s="1256"/>
      <c r="CV266" s="1256"/>
      <c r="CW266" s="1256"/>
      <c r="CX266" s="1256"/>
      <c r="CY266" s="1256"/>
      <c r="CZ266" s="1256"/>
      <c r="DA266" s="1256"/>
      <c r="DB266" s="1256"/>
      <c r="DC266" s="1256"/>
      <c r="DD266" s="1256"/>
      <c r="DE266" s="1256"/>
      <c r="DF266" s="1256"/>
      <c r="DG266" s="1256"/>
      <c r="DH266" s="1256"/>
      <c r="DI266" s="1256"/>
      <c r="DJ266" s="1256"/>
      <c r="DK266" s="1256"/>
      <c r="DL266" s="1256"/>
      <c r="DM266" s="1256"/>
      <c r="DN266" s="1256"/>
      <c r="DO266" s="1256"/>
    </row>
    <row r="267" spans="1:119" s="1258" customFormat="1" hidden="1">
      <c r="A267" s="12" t="s">
        <v>74</v>
      </c>
      <c r="B267" s="1263">
        <v>62485</v>
      </c>
      <c r="C267" s="1263">
        <v>62485</v>
      </c>
      <c r="D267" s="1261"/>
      <c r="F267" s="1256"/>
      <c r="G267" s="1256"/>
      <c r="H267" s="1256"/>
      <c r="I267" s="1256"/>
      <c r="J267" s="1257"/>
      <c r="K267" s="1257"/>
      <c r="L267" s="1256"/>
      <c r="M267" s="1256"/>
      <c r="N267" s="1257"/>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c r="CB267" s="1256"/>
      <c r="CC267" s="1256"/>
      <c r="CD267" s="1256"/>
      <c r="CE267" s="1256"/>
      <c r="CF267" s="1256"/>
      <c r="CG267" s="1256"/>
      <c r="CH267" s="1256"/>
      <c r="CI267" s="1256"/>
      <c r="CJ267" s="1256"/>
      <c r="CK267" s="1256"/>
      <c r="CL267" s="1256"/>
      <c r="CM267" s="1256"/>
      <c r="CN267" s="1256"/>
      <c r="CO267" s="1256"/>
      <c r="CP267" s="1256"/>
      <c r="CQ267" s="1256"/>
      <c r="CR267" s="1256"/>
      <c r="CS267" s="1256"/>
      <c r="CT267" s="1256"/>
      <c r="CU267" s="1256"/>
      <c r="CV267" s="1256"/>
      <c r="CW267" s="1256"/>
      <c r="CX267" s="1256"/>
      <c r="CY267" s="1256"/>
      <c r="CZ267" s="1256"/>
      <c r="DA267" s="1256"/>
      <c r="DB267" s="1256"/>
      <c r="DC267" s="1256"/>
      <c r="DD267" s="1256"/>
      <c r="DE267" s="1256"/>
      <c r="DF267" s="1256"/>
      <c r="DG267" s="1256"/>
      <c r="DH267" s="1256"/>
      <c r="DI267" s="1256"/>
      <c r="DJ267" s="1256"/>
      <c r="DK267" s="1256"/>
      <c r="DL267" s="1256"/>
      <c r="DM267" s="1256"/>
      <c r="DN267" s="1256"/>
      <c r="DO267" s="1256"/>
    </row>
    <row r="268" spans="1:119" s="1258" customFormat="1" hidden="1">
      <c r="A268" s="12" t="s">
        <v>73</v>
      </c>
      <c r="B268" s="1263">
        <v>63457</v>
      </c>
      <c r="C268" s="1263">
        <v>63457</v>
      </c>
      <c r="D268" s="1261"/>
      <c r="F268" s="1256"/>
      <c r="G268" s="1256"/>
      <c r="H268" s="1256"/>
      <c r="I268" s="1256"/>
      <c r="J268" s="1257"/>
      <c r="K268" s="1257"/>
      <c r="L268" s="1256"/>
      <c r="M268" s="1256"/>
      <c r="N268" s="1257"/>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c r="CB268" s="1256"/>
      <c r="CC268" s="1256"/>
      <c r="CD268" s="1256"/>
      <c r="CE268" s="1256"/>
      <c r="CF268" s="1256"/>
      <c r="CG268" s="1256"/>
      <c r="CH268" s="1256"/>
      <c r="CI268" s="1256"/>
      <c r="CJ268" s="1256"/>
      <c r="CK268" s="1256"/>
      <c r="CL268" s="1256"/>
      <c r="CM268" s="1256"/>
      <c r="CN268" s="1256"/>
      <c r="CO268" s="1256"/>
      <c r="CP268" s="1256"/>
      <c r="CQ268" s="1256"/>
      <c r="CR268" s="1256"/>
      <c r="CS268" s="1256"/>
      <c r="CT268" s="1256"/>
      <c r="CU268" s="1256"/>
      <c r="CV268" s="1256"/>
      <c r="CW268" s="1256"/>
      <c r="CX268" s="1256"/>
      <c r="CY268" s="1256"/>
      <c r="CZ268" s="1256"/>
      <c r="DA268" s="1256"/>
      <c r="DB268" s="1256"/>
      <c r="DC268" s="1256"/>
      <c r="DD268" s="1256"/>
      <c r="DE268" s="1256"/>
      <c r="DF268" s="1256"/>
      <c r="DG268" s="1256"/>
      <c r="DH268" s="1256"/>
      <c r="DI268" s="1256"/>
      <c r="DJ268" s="1256"/>
      <c r="DK268" s="1256"/>
      <c r="DL268" s="1256"/>
      <c r="DM268" s="1256"/>
      <c r="DN268" s="1256"/>
      <c r="DO268" s="1256"/>
    </row>
    <row r="269" spans="1:119" s="1258" customFormat="1" hidden="1">
      <c r="A269" s="12" t="s">
        <v>72</v>
      </c>
      <c r="B269" s="1263">
        <v>64445</v>
      </c>
      <c r="C269" s="1263">
        <v>64445</v>
      </c>
      <c r="D269" s="1261"/>
      <c r="F269" s="1256"/>
      <c r="G269" s="1256"/>
      <c r="H269" s="1256"/>
      <c r="I269" s="1256"/>
      <c r="J269" s="1257"/>
      <c r="K269" s="1257"/>
      <c r="L269" s="1256"/>
      <c r="M269" s="1256"/>
      <c r="N269" s="1257"/>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c r="CB269" s="1256"/>
      <c r="CC269" s="1256"/>
      <c r="CD269" s="1256"/>
      <c r="CE269" s="1256"/>
      <c r="CF269" s="1256"/>
      <c r="CG269" s="1256"/>
      <c r="CH269" s="1256"/>
      <c r="CI269" s="1256"/>
      <c r="CJ269" s="1256"/>
      <c r="CK269" s="1256"/>
      <c r="CL269" s="1256"/>
      <c r="CM269" s="1256"/>
      <c r="CN269" s="1256"/>
      <c r="CO269" s="1256"/>
      <c r="CP269" s="1256"/>
      <c r="CQ269" s="1256"/>
      <c r="CR269" s="1256"/>
      <c r="CS269" s="1256"/>
      <c r="CT269" s="1256"/>
      <c r="CU269" s="1256"/>
      <c r="CV269" s="1256"/>
      <c r="CW269" s="1256"/>
      <c r="CX269" s="1256"/>
      <c r="CY269" s="1256"/>
      <c r="CZ269" s="1256"/>
      <c r="DA269" s="1256"/>
      <c r="DB269" s="1256"/>
      <c r="DC269" s="1256"/>
      <c r="DD269" s="1256"/>
      <c r="DE269" s="1256"/>
      <c r="DF269" s="1256"/>
      <c r="DG269" s="1256"/>
      <c r="DH269" s="1256"/>
      <c r="DI269" s="1256"/>
      <c r="DJ269" s="1256"/>
      <c r="DK269" s="1256"/>
      <c r="DL269" s="1256"/>
      <c r="DM269" s="1256"/>
      <c r="DN269" s="1256"/>
      <c r="DO269" s="1256"/>
    </row>
    <row r="270" spans="1:119" s="1258" customFormat="1" hidden="1">
      <c r="A270" s="10" t="s">
        <v>71</v>
      </c>
      <c r="B270" s="1262">
        <v>64994</v>
      </c>
      <c r="C270" s="1262">
        <v>64994</v>
      </c>
      <c r="D270" s="1261"/>
      <c r="F270" s="1256"/>
      <c r="G270" s="1256"/>
      <c r="H270" s="1256"/>
      <c r="I270" s="1256"/>
      <c r="J270" s="1257"/>
      <c r="K270" s="1257"/>
      <c r="L270" s="1256"/>
      <c r="M270" s="1256"/>
      <c r="N270" s="1257"/>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c r="CB270" s="1256"/>
      <c r="CC270" s="1256"/>
      <c r="CD270" s="1256"/>
      <c r="CE270" s="1256"/>
      <c r="CF270" s="1256"/>
      <c r="CG270" s="1256"/>
      <c r="CH270" s="1256"/>
      <c r="CI270" s="1256"/>
      <c r="CJ270" s="1256"/>
      <c r="CK270" s="1256"/>
      <c r="CL270" s="1256"/>
      <c r="CM270" s="1256"/>
      <c r="CN270" s="1256"/>
      <c r="CO270" s="1256"/>
      <c r="CP270" s="1256"/>
      <c r="CQ270" s="1256"/>
      <c r="CR270" s="1256"/>
      <c r="CS270" s="1256"/>
      <c r="CT270" s="1256"/>
      <c r="CU270" s="1256"/>
      <c r="CV270" s="1256"/>
      <c r="CW270" s="1256"/>
      <c r="CX270" s="1256"/>
      <c r="CY270" s="1256"/>
      <c r="CZ270" s="1256"/>
      <c r="DA270" s="1256"/>
      <c r="DB270" s="1256"/>
      <c r="DC270" s="1256"/>
      <c r="DD270" s="1256"/>
      <c r="DE270" s="1256"/>
      <c r="DF270" s="1256"/>
      <c r="DG270" s="1256"/>
      <c r="DH270" s="1256"/>
      <c r="DI270" s="1256"/>
      <c r="DJ270" s="1256"/>
      <c r="DK270" s="1256"/>
      <c r="DL270" s="1256"/>
      <c r="DM270" s="1256"/>
      <c r="DN270" s="1256"/>
      <c r="DO270" s="1256"/>
    </row>
    <row r="271" spans="1:119" s="1258" customFormat="1" hidden="1">
      <c r="A271" s="10" t="s">
        <v>70</v>
      </c>
      <c r="B271" s="1262">
        <v>66007</v>
      </c>
      <c r="C271" s="1262">
        <v>66007</v>
      </c>
      <c r="D271" s="1261"/>
      <c r="F271" s="1256"/>
      <c r="G271" s="1256"/>
      <c r="H271" s="1256"/>
      <c r="I271" s="1256"/>
      <c r="J271" s="1257"/>
      <c r="K271" s="1257"/>
      <c r="L271" s="1256"/>
      <c r="M271" s="1256"/>
      <c r="N271" s="1257"/>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c r="CB271" s="1256"/>
      <c r="CC271" s="1256"/>
      <c r="CD271" s="1256"/>
      <c r="CE271" s="1256"/>
      <c r="CF271" s="1256"/>
      <c r="CG271" s="1256"/>
      <c r="CH271" s="1256"/>
      <c r="CI271" s="1256"/>
      <c r="CJ271" s="1256"/>
      <c r="CK271" s="1256"/>
      <c r="CL271" s="1256"/>
      <c r="CM271" s="1256"/>
      <c r="CN271" s="1256"/>
      <c r="CO271" s="1256"/>
      <c r="CP271" s="1256"/>
      <c r="CQ271" s="1256"/>
      <c r="CR271" s="1256"/>
      <c r="CS271" s="1256"/>
      <c r="CT271" s="1256"/>
      <c r="CU271" s="1256"/>
      <c r="CV271" s="1256"/>
      <c r="CW271" s="1256"/>
      <c r="CX271" s="1256"/>
      <c r="CY271" s="1256"/>
      <c r="CZ271" s="1256"/>
      <c r="DA271" s="1256"/>
      <c r="DB271" s="1256"/>
      <c r="DC271" s="1256"/>
      <c r="DD271" s="1256"/>
      <c r="DE271" s="1256"/>
      <c r="DF271" s="1256"/>
      <c r="DG271" s="1256"/>
      <c r="DH271" s="1256"/>
      <c r="DI271" s="1256"/>
      <c r="DJ271" s="1256"/>
      <c r="DK271" s="1256"/>
      <c r="DL271" s="1256"/>
      <c r="DM271" s="1256"/>
      <c r="DN271" s="1256"/>
      <c r="DO271" s="1256"/>
    </row>
    <row r="272" spans="1:119" s="1258" customFormat="1" hidden="1">
      <c r="A272" s="10" t="s">
        <v>69</v>
      </c>
      <c r="B272" s="1262">
        <v>67037</v>
      </c>
      <c r="C272" s="1262">
        <v>67037</v>
      </c>
      <c r="D272" s="1261"/>
      <c r="F272" s="1256"/>
      <c r="G272" s="1256"/>
      <c r="H272" s="1256"/>
      <c r="I272" s="1256"/>
      <c r="J272" s="1257"/>
      <c r="K272" s="1257"/>
      <c r="L272" s="1256"/>
      <c r="M272" s="1256"/>
      <c r="N272" s="1257"/>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c r="CB272" s="1256"/>
      <c r="CC272" s="1256"/>
      <c r="CD272" s="1256"/>
      <c r="CE272" s="1256"/>
      <c r="CF272" s="1256"/>
      <c r="CG272" s="1256"/>
      <c r="CH272" s="1256"/>
      <c r="CI272" s="1256"/>
      <c r="CJ272" s="1256"/>
      <c r="CK272" s="1256"/>
      <c r="CL272" s="1256"/>
      <c r="CM272" s="1256"/>
      <c r="CN272" s="1256"/>
      <c r="CO272" s="1256"/>
      <c r="CP272" s="1256"/>
      <c r="CQ272" s="1256"/>
      <c r="CR272" s="1256"/>
      <c r="CS272" s="1256"/>
      <c r="CT272" s="1256"/>
      <c r="CU272" s="1256"/>
      <c r="CV272" s="1256"/>
      <c r="CW272" s="1256"/>
      <c r="CX272" s="1256"/>
      <c r="CY272" s="1256"/>
      <c r="CZ272" s="1256"/>
      <c r="DA272" s="1256"/>
      <c r="DB272" s="1256"/>
      <c r="DC272" s="1256"/>
      <c r="DD272" s="1256"/>
      <c r="DE272" s="1256"/>
      <c r="DF272" s="1256"/>
      <c r="DG272" s="1256"/>
      <c r="DH272" s="1256"/>
      <c r="DI272" s="1256"/>
      <c r="DJ272" s="1256"/>
      <c r="DK272" s="1256"/>
      <c r="DL272" s="1256"/>
      <c r="DM272" s="1256"/>
      <c r="DN272" s="1256"/>
      <c r="DO272" s="1256"/>
    </row>
    <row r="273" spans="1:119" s="1258" customFormat="1" hidden="1">
      <c r="A273" s="10" t="s">
        <v>68</v>
      </c>
      <c r="B273" s="1262">
        <v>68083</v>
      </c>
      <c r="C273" s="1262">
        <v>68083</v>
      </c>
      <c r="D273" s="1261"/>
      <c r="F273" s="1256"/>
      <c r="G273" s="1256"/>
      <c r="H273" s="1256"/>
      <c r="I273" s="1256"/>
      <c r="J273" s="1257"/>
      <c r="K273" s="1257"/>
      <c r="L273" s="1256"/>
      <c r="M273" s="1256"/>
      <c r="N273" s="1257"/>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c r="CB273" s="1256"/>
      <c r="CC273" s="1256"/>
      <c r="CD273" s="1256"/>
      <c r="CE273" s="1256"/>
      <c r="CF273" s="1256"/>
      <c r="CG273" s="1256"/>
      <c r="CH273" s="1256"/>
      <c r="CI273" s="1256"/>
      <c r="CJ273" s="1256"/>
      <c r="CK273" s="1256"/>
      <c r="CL273" s="1256"/>
      <c r="CM273" s="1256"/>
      <c r="CN273" s="1256"/>
      <c r="CO273" s="1256"/>
      <c r="CP273" s="1256"/>
      <c r="CQ273" s="1256"/>
      <c r="CR273" s="1256"/>
      <c r="CS273" s="1256"/>
      <c r="CT273" s="1256"/>
      <c r="CU273" s="1256"/>
      <c r="CV273" s="1256"/>
      <c r="CW273" s="1256"/>
      <c r="CX273" s="1256"/>
      <c r="CY273" s="1256"/>
      <c r="CZ273" s="1256"/>
      <c r="DA273" s="1256"/>
      <c r="DB273" s="1256"/>
      <c r="DC273" s="1256"/>
      <c r="DD273" s="1256"/>
      <c r="DE273" s="1256"/>
      <c r="DF273" s="1256"/>
      <c r="DG273" s="1256"/>
      <c r="DH273" s="1256"/>
      <c r="DI273" s="1256"/>
      <c r="DJ273" s="1256"/>
      <c r="DK273" s="1256"/>
      <c r="DL273" s="1256"/>
      <c r="DM273" s="1256"/>
      <c r="DN273" s="1256"/>
      <c r="DO273" s="1256"/>
    </row>
    <row r="274" spans="1:119" s="1258" customFormat="1" hidden="1">
      <c r="A274" s="10" t="s">
        <v>67</v>
      </c>
      <c r="B274" s="1262">
        <v>69146</v>
      </c>
      <c r="C274" s="1262">
        <v>69146</v>
      </c>
      <c r="D274" s="1261"/>
      <c r="F274" s="1256"/>
      <c r="G274" s="1256"/>
      <c r="H274" s="1256"/>
      <c r="I274" s="1256"/>
      <c r="J274" s="1257"/>
      <c r="K274" s="1257"/>
      <c r="L274" s="1256"/>
      <c r="M274" s="1256"/>
      <c r="N274" s="1257"/>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c r="CB274" s="1256"/>
      <c r="CC274" s="1256"/>
      <c r="CD274" s="1256"/>
      <c r="CE274" s="1256"/>
      <c r="CF274" s="1256"/>
      <c r="CG274" s="1256"/>
      <c r="CH274" s="1256"/>
      <c r="CI274" s="1256"/>
      <c r="CJ274" s="1256"/>
      <c r="CK274" s="1256"/>
      <c r="CL274" s="1256"/>
      <c r="CM274" s="1256"/>
      <c r="CN274" s="1256"/>
      <c r="CO274" s="1256"/>
      <c r="CP274" s="1256"/>
      <c r="CQ274" s="1256"/>
      <c r="CR274" s="1256"/>
      <c r="CS274" s="1256"/>
      <c r="CT274" s="1256"/>
      <c r="CU274" s="1256"/>
      <c r="CV274" s="1256"/>
      <c r="CW274" s="1256"/>
      <c r="CX274" s="1256"/>
      <c r="CY274" s="1256"/>
      <c r="CZ274" s="1256"/>
      <c r="DA274" s="1256"/>
      <c r="DB274" s="1256"/>
      <c r="DC274" s="1256"/>
      <c r="DD274" s="1256"/>
      <c r="DE274" s="1256"/>
      <c r="DF274" s="1256"/>
      <c r="DG274" s="1256"/>
      <c r="DH274" s="1256"/>
      <c r="DI274" s="1256"/>
      <c r="DJ274" s="1256"/>
      <c r="DK274" s="1256"/>
      <c r="DL274" s="1256"/>
      <c r="DM274" s="1256"/>
      <c r="DN274" s="1256"/>
      <c r="DO274" s="1256"/>
    </row>
    <row r="275" spans="1:119" s="1258" customFormat="1" hidden="1">
      <c r="A275" s="10" t="s">
        <v>66</v>
      </c>
      <c r="B275" s="1262">
        <v>70227</v>
      </c>
      <c r="C275" s="1262">
        <v>70227</v>
      </c>
      <c r="D275" s="1261"/>
      <c r="F275" s="1256"/>
      <c r="G275" s="1256"/>
      <c r="H275" s="1256"/>
      <c r="I275" s="1256"/>
      <c r="J275" s="1257"/>
      <c r="K275" s="1257"/>
      <c r="L275" s="1256"/>
      <c r="M275" s="1256"/>
      <c r="N275" s="1257"/>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c r="CB275" s="1256"/>
      <c r="CC275" s="1256"/>
      <c r="CD275" s="1256"/>
      <c r="CE275" s="1256"/>
      <c r="CF275" s="1256"/>
      <c r="CG275" s="1256"/>
      <c r="CH275" s="1256"/>
      <c r="CI275" s="1256"/>
      <c r="CJ275" s="1256"/>
      <c r="CK275" s="1256"/>
      <c r="CL275" s="1256"/>
      <c r="CM275" s="1256"/>
      <c r="CN275" s="1256"/>
      <c r="CO275" s="1256"/>
      <c r="CP275" s="1256"/>
      <c r="CQ275" s="1256"/>
      <c r="CR275" s="1256"/>
      <c r="CS275" s="1256"/>
      <c r="CT275" s="1256"/>
      <c r="CU275" s="1256"/>
      <c r="CV275" s="1256"/>
      <c r="CW275" s="1256"/>
      <c r="CX275" s="1256"/>
      <c r="CY275" s="1256"/>
      <c r="CZ275" s="1256"/>
      <c r="DA275" s="1256"/>
      <c r="DB275" s="1256"/>
      <c r="DC275" s="1256"/>
      <c r="DD275" s="1256"/>
      <c r="DE275" s="1256"/>
      <c r="DF275" s="1256"/>
      <c r="DG275" s="1256"/>
      <c r="DH275" s="1256"/>
      <c r="DI275" s="1256"/>
      <c r="DJ275" s="1256"/>
      <c r="DK275" s="1256"/>
      <c r="DL275" s="1256"/>
      <c r="DM275" s="1256"/>
      <c r="DN275" s="1256"/>
      <c r="DO275" s="1256"/>
    </row>
    <row r="276" spans="1:119" s="1258" customFormat="1" hidden="1">
      <c r="A276" s="10" t="s">
        <v>65</v>
      </c>
      <c r="B276" s="1262">
        <v>71325</v>
      </c>
      <c r="C276" s="1262">
        <v>71325</v>
      </c>
      <c r="D276" s="1261"/>
      <c r="F276" s="1256"/>
      <c r="G276" s="1256"/>
      <c r="H276" s="1256"/>
      <c r="I276" s="1256"/>
      <c r="J276" s="1257"/>
      <c r="K276" s="1257"/>
      <c r="L276" s="1256"/>
      <c r="M276" s="1256"/>
      <c r="N276" s="1257"/>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c r="CB276" s="1256"/>
      <c r="CC276" s="1256"/>
      <c r="CD276" s="1256"/>
      <c r="CE276" s="1256"/>
      <c r="CF276" s="1256"/>
      <c r="CG276" s="1256"/>
      <c r="CH276" s="1256"/>
      <c r="CI276" s="1256"/>
      <c r="CJ276" s="1256"/>
      <c r="CK276" s="1256"/>
      <c r="CL276" s="1256"/>
      <c r="CM276" s="1256"/>
      <c r="CN276" s="1256"/>
      <c r="CO276" s="1256"/>
      <c r="CP276" s="1256"/>
      <c r="CQ276" s="1256"/>
      <c r="CR276" s="1256"/>
      <c r="CS276" s="1256"/>
      <c r="CT276" s="1256"/>
      <c r="CU276" s="1256"/>
      <c r="CV276" s="1256"/>
      <c r="CW276" s="1256"/>
      <c r="CX276" s="1256"/>
      <c r="CY276" s="1256"/>
      <c r="CZ276" s="1256"/>
      <c r="DA276" s="1256"/>
      <c r="DB276" s="1256"/>
      <c r="DC276" s="1256"/>
      <c r="DD276" s="1256"/>
      <c r="DE276" s="1256"/>
      <c r="DF276" s="1256"/>
      <c r="DG276" s="1256"/>
      <c r="DH276" s="1256"/>
      <c r="DI276" s="1256"/>
      <c r="DJ276" s="1256"/>
      <c r="DK276" s="1256"/>
      <c r="DL276" s="1256"/>
      <c r="DM276" s="1256"/>
      <c r="DN276" s="1256"/>
      <c r="DO276" s="1256"/>
    </row>
    <row r="277" spans="1:119" s="1258" customFormat="1" hidden="1">
      <c r="A277" s="10" t="s">
        <v>64</v>
      </c>
      <c r="B277" s="1262">
        <v>72440</v>
      </c>
      <c r="C277" s="1262">
        <v>72440</v>
      </c>
      <c r="D277" s="1261"/>
      <c r="F277" s="1256"/>
      <c r="G277" s="1256"/>
      <c r="H277" s="1256"/>
      <c r="I277" s="1256"/>
      <c r="J277" s="1257"/>
      <c r="K277" s="1257"/>
      <c r="L277" s="1256"/>
      <c r="M277" s="1256"/>
      <c r="N277" s="1257"/>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c r="CB277" s="1256"/>
      <c r="CC277" s="1256"/>
      <c r="CD277" s="1256"/>
      <c r="CE277" s="1256"/>
      <c r="CF277" s="1256"/>
      <c r="CG277" s="1256"/>
      <c r="CH277" s="1256"/>
      <c r="CI277" s="1256"/>
      <c r="CJ277" s="1256"/>
      <c r="CK277" s="1256"/>
      <c r="CL277" s="1256"/>
      <c r="CM277" s="1256"/>
      <c r="CN277" s="1256"/>
      <c r="CO277" s="1256"/>
      <c r="CP277" s="1256"/>
      <c r="CQ277" s="1256"/>
      <c r="CR277" s="1256"/>
      <c r="CS277" s="1256"/>
      <c r="CT277" s="1256"/>
      <c r="CU277" s="1256"/>
      <c r="CV277" s="1256"/>
      <c r="CW277" s="1256"/>
      <c r="CX277" s="1256"/>
      <c r="CY277" s="1256"/>
      <c r="CZ277" s="1256"/>
      <c r="DA277" s="1256"/>
      <c r="DB277" s="1256"/>
      <c r="DC277" s="1256"/>
      <c r="DD277" s="1256"/>
      <c r="DE277" s="1256"/>
      <c r="DF277" s="1256"/>
      <c r="DG277" s="1256"/>
      <c r="DH277" s="1256"/>
      <c r="DI277" s="1256"/>
      <c r="DJ277" s="1256"/>
      <c r="DK277" s="1256"/>
      <c r="DL277" s="1256"/>
      <c r="DM277" s="1256"/>
      <c r="DN277" s="1256"/>
      <c r="DO277" s="1256"/>
    </row>
    <row r="278" spans="1:119" s="1258" customFormat="1" hidden="1">
      <c r="A278" s="12" t="s">
        <v>63</v>
      </c>
      <c r="B278" s="1263">
        <v>73062</v>
      </c>
      <c r="C278" s="1263">
        <v>73062</v>
      </c>
      <c r="D278" s="1261"/>
      <c r="F278" s="1256"/>
      <c r="G278" s="1256"/>
      <c r="H278" s="1256"/>
      <c r="I278" s="1256"/>
      <c r="J278" s="1257"/>
      <c r="K278" s="1257"/>
      <c r="L278" s="1256"/>
      <c r="M278" s="1256"/>
      <c r="N278" s="1257"/>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c r="CB278" s="1256"/>
      <c r="CC278" s="1256"/>
      <c r="CD278" s="1256"/>
      <c r="CE278" s="1256"/>
      <c r="CF278" s="1256"/>
      <c r="CG278" s="1256"/>
      <c r="CH278" s="1256"/>
      <c r="CI278" s="1256"/>
      <c r="CJ278" s="1256"/>
      <c r="CK278" s="1256"/>
      <c r="CL278" s="1256"/>
      <c r="CM278" s="1256"/>
      <c r="CN278" s="1256"/>
      <c r="CO278" s="1256"/>
      <c r="CP278" s="1256"/>
      <c r="CQ278" s="1256"/>
      <c r="CR278" s="1256"/>
      <c r="CS278" s="1256"/>
      <c r="CT278" s="1256"/>
      <c r="CU278" s="1256"/>
      <c r="CV278" s="1256"/>
      <c r="CW278" s="1256"/>
      <c r="CX278" s="1256"/>
      <c r="CY278" s="1256"/>
      <c r="CZ278" s="1256"/>
      <c r="DA278" s="1256"/>
      <c r="DB278" s="1256"/>
      <c r="DC278" s="1256"/>
      <c r="DD278" s="1256"/>
      <c r="DE278" s="1256"/>
      <c r="DF278" s="1256"/>
      <c r="DG278" s="1256"/>
      <c r="DH278" s="1256"/>
      <c r="DI278" s="1256"/>
      <c r="DJ278" s="1256"/>
      <c r="DK278" s="1256"/>
      <c r="DL278" s="1256"/>
      <c r="DM278" s="1256"/>
      <c r="DN278" s="1256"/>
      <c r="DO278" s="1256"/>
    </row>
    <row r="279" spans="1:119" s="1258" customFormat="1" hidden="1">
      <c r="A279" s="12" t="s">
        <v>62</v>
      </c>
      <c r="B279" s="1263">
        <v>74205</v>
      </c>
      <c r="C279" s="1263">
        <v>74205</v>
      </c>
      <c r="D279" s="1261"/>
      <c r="F279" s="1256"/>
      <c r="G279" s="1256"/>
      <c r="H279" s="1256"/>
      <c r="I279" s="1256"/>
      <c r="J279" s="1257"/>
      <c r="K279" s="1257"/>
      <c r="L279" s="1256"/>
      <c r="M279" s="1256"/>
      <c r="N279" s="1257"/>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c r="CB279" s="1256"/>
      <c r="CC279" s="1256"/>
      <c r="CD279" s="1256"/>
      <c r="CE279" s="1256"/>
      <c r="CF279" s="1256"/>
      <c r="CG279" s="1256"/>
      <c r="CH279" s="1256"/>
      <c r="CI279" s="1256"/>
      <c r="CJ279" s="1256"/>
      <c r="CK279" s="1256"/>
      <c r="CL279" s="1256"/>
      <c r="CM279" s="1256"/>
      <c r="CN279" s="1256"/>
      <c r="CO279" s="1256"/>
      <c r="CP279" s="1256"/>
      <c r="CQ279" s="1256"/>
      <c r="CR279" s="1256"/>
      <c r="CS279" s="1256"/>
      <c r="CT279" s="1256"/>
      <c r="CU279" s="1256"/>
      <c r="CV279" s="1256"/>
      <c r="CW279" s="1256"/>
      <c r="CX279" s="1256"/>
      <c r="CY279" s="1256"/>
      <c r="CZ279" s="1256"/>
      <c r="DA279" s="1256"/>
      <c r="DB279" s="1256"/>
      <c r="DC279" s="1256"/>
      <c r="DD279" s="1256"/>
      <c r="DE279" s="1256"/>
      <c r="DF279" s="1256"/>
      <c r="DG279" s="1256"/>
      <c r="DH279" s="1256"/>
      <c r="DI279" s="1256"/>
      <c r="DJ279" s="1256"/>
      <c r="DK279" s="1256"/>
      <c r="DL279" s="1256"/>
      <c r="DM279" s="1256"/>
      <c r="DN279" s="1256"/>
      <c r="DO279" s="1256"/>
    </row>
    <row r="280" spans="1:119" s="1258" customFormat="1" hidden="1">
      <c r="A280" s="12" t="s">
        <v>61</v>
      </c>
      <c r="B280" s="1263">
        <v>75369</v>
      </c>
      <c r="C280" s="1263">
        <v>75369</v>
      </c>
      <c r="D280" s="1261"/>
      <c r="F280" s="1256"/>
      <c r="G280" s="1256"/>
      <c r="H280" s="1256"/>
      <c r="I280" s="1256"/>
      <c r="J280" s="1257"/>
      <c r="K280" s="1257"/>
      <c r="L280" s="1256"/>
      <c r="M280" s="1256"/>
      <c r="N280" s="1257"/>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c r="CB280" s="1256"/>
      <c r="CC280" s="1256"/>
      <c r="CD280" s="1256"/>
      <c r="CE280" s="1256"/>
      <c r="CF280" s="1256"/>
      <c r="CG280" s="1256"/>
      <c r="CH280" s="1256"/>
      <c r="CI280" s="1256"/>
      <c r="CJ280" s="1256"/>
      <c r="CK280" s="1256"/>
      <c r="CL280" s="1256"/>
      <c r="CM280" s="1256"/>
      <c r="CN280" s="1256"/>
      <c r="CO280" s="1256"/>
      <c r="CP280" s="1256"/>
      <c r="CQ280" s="1256"/>
      <c r="CR280" s="1256"/>
      <c r="CS280" s="1256"/>
      <c r="CT280" s="1256"/>
      <c r="CU280" s="1256"/>
      <c r="CV280" s="1256"/>
      <c r="CW280" s="1256"/>
      <c r="CX280" s="1256"/>
      <c r="CY280" s="1256"/>
      <c r="CZ280" s="1256"/>
      <c r="DA280" s="1256"/>
      <c r="DB280" s="1256"/>
      <c r="DC280" s="1256"/>
      <c r="DD280" s="1256"/>
      <c r="DE280" s="1256"/>
      <c r="DF280" s="1256"/>
      <c r="DG280" s="1256"/>
      <c r="DH280" s="1256"/>
      <c r="DI280" s="1256"/>
      <c r="DJ280" s="1256"/>
      <c r="DK280" s="1256"/>
      <c r="DL280" s="1256"/>
      <c r="DM280" s="1256"/>
      <c r="DN280" s="1256"/>
      <c r="DO280" s="1256"/>
    </row>
    <row r="281" spans="1:119" s="1258" customFormat="1" hidden="1">
      <c r="A281" s="12" t="s">
        <v>60</v>
      </c>
      <c r="B281" s="1263">
        <v>76554</v>
      </c>
      <c r="C281" s="1263">
        <v>76554</v>
      </c>
      <c r="D281" s="1261"/>
      <c r="F281" s="1256"/>
      <c r="G281" s="1256"/>
      <c r="H281" s="1256"/>
      <c r="I281" s="1256"/>
      <c r="J281" s="1257"/>
      <c r="K281" s="1257"/>
      <c r="L281" s="1256"/>
      <c r="M281" s="1256"/>
      <c r="N281" s="1257"/>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c r="CB281" s="1256"/>
      <c r="CC281" s="1256"/>
      <c r="CD281" s="1256"/>
      <c r="CE281" s="1256"/>
      <c r="CF281" s="1256"/>
      <c r="CG281" s="1256"/>
      <c r="CH281" s="1256"/>
      <c r="CI281" s="1256"/>
      <c r="CJ281" s="1256"/>
      <c r="CK281" s="1256"/>
      <c r="CL281" s="1256"/>
      <c r="CM281" s="1256"/>
      <c r="CN281" s="1256"/>
      <c r="CO281" s="1256"/>
      <c r="CP281" s="1256"/>
      <c r="CQ281" s="1256"/>
      <c r="CR281" s="1256"/>
      <c r="CS281" s="1256"/>
      <c r="CT281" s="1256"/>
      <c r="CU281" s="1256"/>
      <c r="CV281" s="1256"/>
      <c r="CW281" s="1256"/>
      <c r="CX281" s="1256"/>
      <c r="CY281" s="1256"/>
      <c r="CZ281" s="1256"/>
      <c r="DA281" s="1256"/>
      <c r="DB281" s="1256"/>
      <c r="DC281" s="1256"/>
      <c r="DD281" s="1256"/>
      <c r="DE281" s="1256"/>
      <c r="DF281" s="1256"/>
      <c r="DG281" s="1256"/>
      <c r="DH281" s="1256"/>
      <c r="DI281" s="1256"/>
      <c r="DJ281" s="1256"/>
      <c r="DK281" s="1256"/>
      <c r="DL281" s="1256"/>
      <c r="DM281" s="1256"/>
      <c r="DN281" s="1256"/>
      <c r="DO281" s="1256"/>
    </row>
    <row r="282" spans="1:119" s="1258" customFormat="1" hidden="1">
      <c r="A282" s="12" t="s">
        <v>59</v>
      </c>
      <c r="B282" s="1263">
        <v>77804</v>
      </c>
      <c r="C282" s="1263">
        <v>77804</v>
      </c>
      <c r="D282" s="1261"/>
      <c r="F282" s="1256"/>
      <c r="G282" s="1256"/>
      <c r="H282" s="1256"/>
      <c r="I282" s="1256"/>
      <c r="J282" s="1257"/>
      <c r="K282" s="1257"/>
      <c r="L282" s="1256"/>
      <c r="M282" s="1256"/>
      <c r="N282" s="1257"/>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c r="CB282" s="1256"/>
      <c r="CC282" s="1256"/>
      <c r="CD282" s="1256"/>
      <c r="CE282" s="1256"/>
      <c r="CF282" s="1256"/>
      <c r="CG282" s="1256"/>
      <c r="CH282" s="1256"/>
      <c r="CI282" s="1256"/>
      <c r="CJ282" s="1256"/>
      <c r="CK282" s="1256"/>
      <c r="CL282" s="1256"/>
      <c r="CM282" s="1256"/>
      <c r="CN282" s="1256"/>
      <c r="CO282" s="1256"/>
      <c r="CP282" s="1256"/>
      <c r="CQ282" s="1256"/>
      <c r="CR282" s="1256"/>
      <c r="CS282" s="1256"/>
      <c r="CT282" s="1256"/>
      <c r="CU282" s="1256"/>
      <c r="CV282" s="1256"/>
      <c r="CW282" s="1256"/>
      <c r="CX282" s="1256"/>
      <c r="CY282" s="1256"/>
      <c r="CZ282" s="1256"/>
      <c r="DA282" s="1256"/>
      <c r="DB282" s="1256"/>
      <c r="DC282" s="1256"/>
      <c r="DD282" s="1256"/>
      <c r="DE282" s="1256"/>
      <c r="DF282" s="1256"/>
      <c r="DG282" s="1256"/>
      <c r="DH282" s="1256"/>
      <c r="DI282" s="1256"/>
      <c r="DJ282" s="1256"/>
      <c r="DK282" s="1256"/>
      <c r="DL282" s="1256"/>
      <c r="DM282" s="1256"/>
      <c r="DN282" s="1256"/>
      <c r="DO282" s="1256"/>
    </row>
    <row r="283" spans="1:119" s="1258" customFormat="1" hidden="1">
      <c r="A283" s="12" t="s">
        <v>58</v>
      </c>
      <c r="B283" s="1263">
        <v>79073</v>
      </c>
      <c r="C283" s="1263">
        <v>79073</v>
      </c>
      <c r="D283" s="1261"/>
      <c r="F283" s="1256"/>
      <c r="G283" s="1256"/>
      <c r="H283" s="1256"/>
      <c r="I283" s="1256"/>
      <c r="J283" s="1257"/>
      <c r="K283" s="1257"/>
      <c r="L283" s="1256"/>
      <c r="M283" s="1256"/>
      <c r="N283" s="1257"/>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c r="CB283" s="1256"/>
      <c r="CC283" s="1256"/>
      <c r="CD283" s="1256"/>
      <c r="CE283" s="1256"/>
      <c r="CF283" s="1256"/>
      <c r="CG283" s="1256"/>
      <c r="CH283" s="1256"/>
      <c r="CI283" s="1256"/>
      <c r="CJ283" s="1256"/>
      <c r="CK283" s="1256"/>
      <c r="CL283" s="1256"/>
      <c r="CM283" s="1256"/>
      <c r="CN283" s="1256"/>
      <c r="CO283" s="1256"/>
      <c r="CP283" s="1256"/>
      <c r="CQ283" s="1256"/>
      <c r="CR283" s="1256"/>
      <c r="CS283" s="1256"/>
      <c r="CT283" s="1256"/>
      <c r="CU283" s="1256"/>
      <c r="CV283" s="1256"/>
      <c r="CW283" s="1256"/>
      <c r="CX283" s="1256"/>
      <c r="CY283" s="1256"/>
      <c r="CZ283" s="1256"/>
      <c r="DA283" s="1256"/>
      <c r="DB283" s="1256"/>
      <c r="DC283" s="1256"/>
      <c r="DD283" s="1256"/>
      <c r="DE283" s="1256"/>
      <c r="DF283" s="1256"/>
      <c r="DG283" s="1256"/>
      <c r="DH283" s="1256"/>
      <c r="DI283" s="1256"/>
      <c r="DJ283" s="1256"/>
      <c r="DK283" s="1256"/>
      <c r="DL283" s="1256"/>
      <c r="DM283" s="1256"/>
      <c r="DN283" s="1256"/>
      <c r="DO283" s="1256"/>
    </row>
    <row r="284" spans="1:119" s="1258" customFormat="1" hidden="1">
      <c r="A284" s="12" t="s">
        <v>57</v>
      </c>
      <c r="B284" s="1263">
        <v>80364</v>
      </c>
      <c r="C284" s="1263">
        <v>80364</v>
      </c>
      <c r="D284" s="1261"/>
      <c r="F284" s="1256"/>
      <c r="G284" s="1256"/>
      <c r="H284" s="1256"/>
      <c r="I284" s="1256"/>
      <c r="J284" s="1257"/>
      <c r="K284" s="1257"/>
      <c r="L284" s="1256"/>
      <c r="M284" s="1256"/>
      <c r="N284" s="1257"/>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c r="CB284" s="1256"/>
      <c r="CC284" s="1256"/>
      <c r="CD284" s="1256"/>
      <c r="CE284" s="1256"/>
      <c r="CF284" s="1256"/>
      <c r="CG284" s="1256"/>
      <c r="CH284" s="1256"/>
      <c r="CI284" s="1256"/>
      <c r="CJ284" s="1256"/>
      <c r="CK284" s="1256"/>
      <c r="CL284" s="1256"/>
      <c r="CM284" s="1256"/>
      <c r="CN284" s="1256"/>
      <c r="CO284" s="1256"/>
      <c r="CP284" s="1256"/>
      <c r="CQ284" s="1256"/>
      <c r="CR284" s="1256"/>
      <c r="CS284" s="1256"/>
      <c r="CT284" s="1256"/>
      <c r="CU284" s="1256"/>
      <c r="CV284" s="1256"/>
      <c r="CW284" s="1256"/>
      <c r="CX284" s="1256"/>
      <c r="CY284" s="1256"/>
      <c r="CZ284" s="1256"/>
      <c r="DA284" s="1256"/>
      <c r="DB284" s="1256"/>
      <c r="DC284" s="1256"/>
      <c r="DD284" s="1256"/>
      <c r="DE284" s="1256"/>
      <c r="DF284" s="1256"/>
      <c r="DG284" s="1256"/>
      <c r="DH284" s="1256"/>
      <c r="DI284" s="1256"/>
      <c r="DJ284" s="1256"/>
      <c r="DK284" s="1256"/>
      <c r="DL284" s="1256"/>
      <c r="DM284" s="1256"/>
      <c r="DN284" s="1256"/>
      <c r="DO284" s="1256"/>
    </row>
    <row r="285" spans="1:119" s="1258" customFormat="1" hidden="1">
      <c r="A285" s="12" t="s">
        <v>56</v>
      </c>
      <c r="B285" s="1263">
        <v>81676</v>
      </c>
      <c r="C285" s="1263">
        <v>81676</v>
      </c>
      <c r="D285" s="1261"/>
      <c r="F285" s="1256"/>
      <c r="G285" s="1256"/>
      <c r="H285" s="1256"/>
      <c r="I285" s="1256"/>
      <c r="J285" s="1257"/>
      <c r="K285" s="1257"/>
      <c r="L285" s="1256"/>
      <c r="M285" s="1256"/>
      <c r="N285" s="1257"/>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c r="CB285" s="1256"/>
      <c r="CC285" s="1256"/>
      <c r="CD285" s="1256"/>
      <c r="CE285" s="1256"/>
      <c r="CF285" s="1256"/>
      <c r="CG285" s="1256"/>
      <c r="CH285" s="1256"/>
      <c r="CI285" s="1256"/>
      <c r="CJ285" s="1256"/>
      <c r="CK285" s="1256"/>
      <c r="CL285" s="1256"/>
      <c r="CM285" s="1256"/>
      <c r="CN285" s="1256"/>
      <c r="CO285" s="1256"/>
      <c r="CP285" s="1256"/>
      <c r="CQ285" s="1256"/>
      <c r="CR285" s="1256"/>
      <c r="CS285" s="1256"/>
      <c r="CT285" s="1256"/>
      <c r="CU285" s="1256"/>
      <c r="CV285" s="1256"/>
      <c r="CW285" s="1256"/>
      <c r="CX285" s="1256"/>
      <c r="CY285" s="1256"/>
      <c r="CZ285" s="1256"/>
      <c r="DA285" s="1256"/>
      <c r="DB285" s="1256"/>
      <c r="DC285" s="1256"/>
      <c r="DD285" s="1256"/>
      <c r="DE285" s="1256"/>
      <c r="DF285" s="1256"/>
      <c r="DG285" s="1256"/>
      <c r="DH285" s="1256"/>
      <c r="DI285" s="1256"/>
      <c r="DJ285" s="1256"/>
      <c r="DK285" s="1256"/>
      <c r="DL285" s="1256"/>
      <c r="DM285" s="1256"/>
      <c r="DN285" s="1256"/>
      <c r="DO285" s="1256"/>
    </row>
    <row r="286" spans="1:119" s="1258" customFormat="1" hidden="1">
      <c r="A286" s="10" t="s">
        <v>55</v>
      </c>
      <c r="B286" s="1262">
        <v>82405</v>
      </c>
      <c r="C286" s="1262">
        <v>82405</v>
      </c>
      <c r="D286" s="1261"/>
      <c r="F286" s="1256"/>
      <c r="G286" s="1256"/>
      <c r="H286" s="1256"/>
      <c r="I286" s="1256"/>
      <c r="J286" s="1257"/>
      <c r="K286" s="1257"/>
      <c r="L286" s="1256"/>
      <c r="M286" s="1256"/>
      <c r="N286" s="1257"/>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c r="CB286" s="1256"/>
      <c r="CC286" s="1256"/>
      <c r="CD286" s="1256"/>
      <c r="CE286" s="1256"/>
      <c r="CF286" s="1256"/>
      <c r="CG286" s="1256"/>
      <c r="CH286" s="1256"/>
      <c r="CI286" s="1256"/>
      <c r="CJ286" s="1256"/>
      <c r="CK286" s="1256"/>
      <c r="CL286" s="1256"/>
      <c r="CM286" s="1256"/>
      <c r="CN286" s="1256"/>
      <c r="CO286" s="1256"/>
      <c r="CP286" s="1256"/>
      <c r="CQ286" s="1256"/>
      <c r="CR286" s="1256"/>
      <c r="CS286" s="1256"/>
      <c r="CT286" s="1256"/>
      <c r="CU286" s="1256"/>
      <c r="CV286" s="1256"/>
      <c r="CW286" s="1256"/>
      <c r="CX286" s="1256"/>
      <c r="CY286" s="1256"/>
      <c r="CZ286" s="1256"/>
      <c r="DA286" s="1256"/>
      <c r="DB286" s="1256"/>
      <c r="DC286" s="1256"/>
      <c r="DD286" s="1256"/>
      <c r="DE286" s="1256"/>
      <c r="DF286" s="1256"/>
      <c r="DG286" s="1256"/>
      <c r="DH286" s="1256"/>
      <c r="DI286" s="1256"/>
      <c r="DJ286" s="1256"/>
      <c r="DK286" s="1256"/>
      <c r="DL286" s="1256"/>
      <c r="DM286" s="1256"/>
      <c r="DN286" s="1256"/>
      <c r="DO286" s="1256"/>
    </row>
    <row r="287" spans="1:119" s="1258" customFormat="1" hidden="1">
      <c r="A287" s="10" t="s">
        <v>54</v>
      </c>
      <c r="B287" s="1262">
        <v>83750</v>
      </c>
      <c r="C287" s="1262">
        <v>83750</v>
      </c>
      <c r="D287" s="1261"/>
      <c r="F287" s="1256"/>
      <c r="G287" s="1256"/>
      <c r="H287" s="1256"/>
      <c r="I287" s="1256"/>
      <c r="J287" s="1257"/>
      <c r="K287" s="1257"/>
      <c r="L287" s="1256"/>
      <c r="M287" s="1256"/>
      <c r="N287" s="1257"/>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c r="CB287" s="1256"/>
      <c r="CC287" s="1256"/>
      <c r="CD287" s="1256"/>
      <c r="CE287" s="1256"/>
      <c r="CF287" s="1256"/>
      <c r="CG287" s="1256"/>
      <c r="CH287" s="1256"/>
      <c r="CI287" s="1256"/>
      <c r="CJ287" s="1256"/>
      <c r="CK287" s="1256"/>
      <c r="CL287" s="1256"/>
      <c r="CM287" s="1256"/>
      <c r="CN287" s="1256"/>
      <c r="CO287" s="1256"/>
      <c r="CP287" s="1256"/>
      <c r="CQ287" s="1256"/>
      <c r="CR287" s="1256"/>
      <c r="CS287" s="1256"/>
      <c r="CT287" s="1256"/>
      <c r="CU287" s="1256"/>
      <c r="CV287" s="1256"/>
      <c r="CW287" s="1256"/>
      <c r="CX287" s="1256"/>
      <c r="CY287" s="1256"/>
      <c r="CZ287" s="1256"/>
      <c r="DA287" s="1256"/>
      <c r="DB287" s="1256"/>
      <c r="DC287" s="1256"/>
      <c r="DD287" s="1256"/>
      <c r="DE287" s="1256"/>
      <c r="DF287" s="1256"/>
      <c r="DG287" s="1256"/>
      <c r="DH287" s="1256"/>
      <c r="DI287" s="1256"/>
      <c r="DJ287" s="1256"/>
      <c r="DK287" s="1256"/>
      <c r="DL287" s="1256"/>
      <c r="DM287" s="1256"/>
      <c r="DN287" s="1256"/>
      <c r="DO287" s="1256"/>
    </row>
    <row r="288" spans="1:119" s="1258" customFormat="1" hidden="1">
      <c r="A288" s="10" t="s">
        <v>53</v>
      </c>
      <c r="B288" s="1262">
        <v>85117</v>
      </c>
      <c r="C288" s="1262">
        <v>85117</v>
      </c>
      <c r="D288" s="1261"/>
      <c r="F288" s="1256"/>
      <c r="G288" s="1256"/>
      <c r="H288" s="1256"/>
      <c r="I288" s="1256"/>
      <c r="J288" s="1257"/>
      <c r="K288" s="1257"/>
      <c r="L288" s="1256"/>
      <c r="M288" s="1256"/>
      <c r="N288" s="1257"/>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c r="CB288" s="1256"/>
      <c r="CC288" s="1256"/>
      <c r="CD288" s="1256"/>
      <c r="CE288" s="1256"/>
      <c r="CF288" s="1256"/>
      <c r="CG288" s="1256"/>
      <c r="CH288" s="1256"/>
      <c r="CI288" s="1256"/>
      <c r="CJ288" s="1256"/>
      <c r="CK288" s="1256"/>
      <c r="CL288" s="1256"/>
      <c r="CM288" s="1256"/>
      <c r="CN288" s="1256"/>
      <c r="CO288" s="1256"/>
      <c r="CP288" s="1256"/>
      <c r="CQ288" s="1256"/>
      <c r="CR288" s="1256"/>
      <c r="CS288" s="1256"/>
      <c r="CT288" s="1256"/>
      <c r="CU288" s="1256"/>
      <c r="CV288" s="1256"/>
      <c r="CW288" s="1256"/>
      <c r="CX288" s="1256"/>
      <c r="CY288" s="1256"/>
      <c r="CZ288" s="1256"/>
      <c r="DA288" s="1256"/>
      <c r="DB288" s="1256"/>
      <c r="DC288" s="1256"/>
      <c r="DD288" s="1256"/>
      <c r="DE288" s="1256"/>
      <c r="DF288" s="1256"/>
      <c r="DG288" s="1256"/>
      <c r="DH288" s="1256"/>
      <c r="DI288" s="1256"/>
      <c r="DJ288" s="1256"/>
      <c r="DK288" s="1256"/>
      <c r="DL288" s="1256"/>
      <c r="DM288" s="1256"/>
      <c r="DN288" s="1256"/>
      <c r="DO288" s="1256"/>
    </row>
    <row r="289" spans="1:119" s="1258" customFormat="1" hidden="1">
      <c r="A289" s="10" t="s">
        <v>52</v>
      </c>
      <c r="B289" s="1262">
        <v>86506</v>
      </c>
      <c r="C289" s="1262">
        <v>86506</v>
      </c>
      <c r="D289" s="1261"/>
      <c r="F289" s="1256"/>
      <c r="G289" s="1256"/>
      <c r="H289" s="1256"/>
      <c r="I289" s="1256"/>
      <c r="J289" s="1257"/>
      <c r="K289" s="1257"/>
      <c r="L289" s="1256"/>
      <c r="M289" s="1256"/>
      <c r="N289" s="1257"/>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c r="CB289" s="1256"/>
      <c r="CC289" s="1256"/>
      <c r="CD289" s="1256"/>
      <c r="CE289" s="1256"/>
      <c r="CF289" s="1256"/>
      <c r="CG289" s="1256"/>
      <c r="CH289" s="1256"/>
      <c r="CI289" s="1256"/>
      <c r="CJ289" s="1256"/>
      <c r="CK289" s="1256"/>
      <c r="CL289" s="1256"/>
      <c r="CM289" s="1256"/>
      <c r="CN289" s="1256"/>
      <c r="CO289" s="1256"/>
      <c r="CP289" s="1256"/>
      <c r="CQ289" s="1256"/>
      <c r="CR289" s="1256"/>
      <c r="CS289" s="1256"/>
      <c r="CT289" s="1256"/>
      <c r="CU289" s="1256"/>
      <c r="CV289" s="1256"/>
      <c r="CW289" s="1256"/>
      <c r="CX289" s="1256"/>
      <c r="CY289" s="1256"/>
      <c r="CZ289" s="1256"/>
      <c r="DA289" s="1256"/>
      <c r="DB289" s="1256"/>
      <c r="DC289" s="1256"/>
      <c r="DD289" s="1256"/>
      <c r="DE289" s="1256"/>
      <c r="DF289" s="1256"/>
      <c r="DG289" s="1256"/>
      <c r="DH289" s="1256"/>
      <c r="DI289" s="1256"/>
      <c r="DJ289" s="1256"/>
      <c r="DK289" s="1256"/>
      <c r="DL289" s="1256"/>
      <c r="DM289" s="1256"/>
      <c r="DN289" s="1256"/>
      <c r="DO289" s="1256"/>
    </row>
    <row r="290" spans="1:119" s="1258" customFormat="1" hidden="1">
      <c r="A290" s="10" t="s">
        <v>51</v>
      </c>
      <c r="B290" s="1262">
        <v>87918</v>
      </c>
      <c r="C290" s="1262">
        <v>87918</v>
      </c>
      <c r="D290" s="1261"/>
      <c r="F290" s="1256"/>
      <c r="G290" s="1256"/>
      <c r="H290" s="1256"/>
      <c r="I290" s="1256"/>
      <c r="J290" s="1257"/>
      <c r="K290" s="1257"/>
      <c r="L290" s="1256"/>
      <c r="M290" s="1256"/>
      <c r="N290" s="1257"/>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c r="CB290" s="1256"/>
      <c r="CC290" s="1256"/>
      <c r="CD290" s="1256"/>
      <c r="CE290" s="1256"/>
      <c r="CF290" s="1256"/>
      <c r="CG290" s="1256"/>
      <c r="CH290" s="1256"/>
      <c r="CI290" s="1256"/>
      <c r="CJ290" s="1256"/>
      <c r="CK290" s="1256"/>
      <c r="CL290" s="1256"/>
      <c r="CM290" s="1256"/>
      <c r="CN290" s="1256"/>
      <c r="CO290" s="1256"/>
      <c r="CP290" s="1256"/>
      <c r="CQ290" s="1256"/>
      <c r="CR290" s="1256"/>
      <c r="CS290" s="1256"/>
      <c r="CT290" s="1256"/>
      <c r="CU290" s="1256"/>
      <c r="CV290" s="1256"/>
      <c r="CW290" s="1256"/>
      <c r="CX290" s="1256"/>
      <c r="CY290" s="1256"/>
      <c r="CZ290" s="1256"/>
      <c r="DA290" s="1256"/>
      <c r="DB290" s="1256"/>
      <c r="DC290" s="1256"/>
      <c r="DD290" s="1256"/>
      <c r="DE290" s="1256"/>
      <c r="DF290" s="1256"/>
      <c r="DG290" s="1256"/>
      <c r="DH290" s="1256"/>
      <c r="DI290" s="1256"/>
      <c r="DJ290" s="1256"/>
      <c r="DK290" s="1256"/>
      <c r="DL290" s="1256"/>
      <c r="DM290" s="1256"/>
      <c r="DN290" s="1256"/>
      <c r="DO290" s="1256"/>
    </row>
    <row r="291" spans="1:119" s="1258" customFormat="1" hidden="1">
      <c r="A291" s="10" t="s">
        <v>50</v>
      </c>
      <c r="B291" s="1262">
        <v>89354</v>
      </c>
      <c r="C291" s="1262">
        <v>89354</v>
      </c>
      <c r="D291" s="1261"/>
      <c r="F291" s="1256"/>
      <c r="G291" s="1256"/>
      <c r="H291" s="1256"/>
      <c r="I291" s="1256"/>
      <c r="J291" s="1257"/>
      <c r="K291" s="1257"/>
      <c r="L291" s="1256"/>
      <c r="M291" s="1256"/>
      <c r="N291" s="1257"/>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c r="CB291" s="1256"/>
      <c r="CC291" s="1256"/>
      <c r="CD291" s="1256"/>
      <c r="CE291" s="1256"/>
      <c r="CF291" s="1256"/>
      <c r="CG291" s="1256"/>
      <c r="CH291" s="1256"/>
      <c r="CI291" s="1256"/>
      <c r="CJ291" s="1256"/>
      <c r="CK291" s="1256"/>
      <c r="CL291" s="1256"/>
      <c r="CM291" s="1256"/>
      <c r="CN291" s="1256"/>
      <c r="CO291" s="1256"/>
      <c r="CP291" s="1256"/>
      <c r="CQ291" s="1256"/>
      <c r="CR291" s="1256"/>
      <c r="CS291" s="1256"/>
      <c r="CT291" s="1256"/>
      <c r="CU291" s="1256"/>
      <c r="CV291" s="1256"/>
      <c r="CW291" s="1256"/>
      <c r="CX291" s="1256"/>
      <c r="CY291" s="1256"/>
      <c r="CZ291" s="1256"/>
      <c r="DA291" s="1256"/>
      <c r="DB291" s="1256"/>
      <c r="DC291" s="1256"/>
      <c r="DD291" s="1256"/>
      <c r="DE291" s="1256"/>
      <c r="DF291" s="1256"/>
      <c r="DG291" s="1256"/>
      <c r="DH291" s="1256"/>
      <c r="DI291" s="1256"/>
      <c r="DJ291" s="1256"/>
      <c r="DK291" s="1256"/>
      <c r="DL291" s="1256"/>
      <c r="DM291" s="1256"/>
      <c r="DN291" s="1256"/>
      <c r="DO291" s="1256"/>
    </row>
    <row r="292" spans="1:119" s="1258" customFormat="1" hidden="1">
      <c r="A292" s="10" t="s">
        <v>49</v>
      </c>
      <c r="B292" s="1262">
        <v>90812</v>
      </c>
      <c r="C292" s="1262">
        <v>90812</v>
      </c>
      <c r="D292" s="1261"/>
      <c r="F292" s="1256"/>
      <c r="G292" s="1256"/>
      <c r="H292" s="1256"/>
      <c r="I292" s="1256"/>
      <c r="J292" s="1257"/>
      <c r="K292" s="1257"/>
      <c r="L292" s="1256"/>
      <c r="M292" s="1256"/>
      <c r="N292" s="1257"/>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c r="CB292" s="1256"/>
      <c r="CC292" s="1256"/>
      <c r="CD292" s="1256"/>
      <c r="CE292" s="1256"/>
      <c r="CF292" s="1256"/>
      <c r="CG292" s="1256"/>
      <c r="CH292" s="1256"/>
      <c r="CI292" s="1256"/>
      <c r="CJ292" s="1256"/>
      <c r="CK292" s="1256"/>
      <c r="CL292" s="1256"/>
      <c r="CM292" s="1256"/>
      <c r="CN292" s="1256"/>
      <c r="CO292" s="1256"/>
      <c r="CP292" s="1256"/>
      <c r="CQ292" s="1256"/>
      <c r="CR292" s="1256"/>
      <c r="CS292" s="1256"/>
      <c r="CT292" s="1256"/>
      <c r="CU292" s="1256"/>
      <c r="CV292" s="1256"/>
      <c r="CW292" s="1256"/>
      <c r="CX292" s="1256"/>
      <c r="CY292" s="1256"/>
      <c r="CZ292" s="1256"/>
      <c r="DA292" s="1256"/>
      <c r="DB292" s="1256"/>
      <c r="DC292" s="1256"/>
      <c r="DD292" s="1256"/>
      <c r="DE292" s="1256"/>
      <c r="DF292" s="1256"/>
      <c r="DG292" s="1256"/>
      <c r="DH292" s="1256"/>
      <c r="DI292" s="1256"/>
      <c r="DJ292" s="1256"/>
      <c r="DK292" s="1256"/>
      <c r="DL292" s="1256"/>
      <c r="DM292" s="1256"/>
      <c r="DN292" s="1256"/>
      <c r="DO292" s="1256"/>
    </row>
    <row r="293" spans="1:119" s="1258" customFormat="1" hidden="1">
      <c r="A293" s="10" t="s">
        <v>48</v>
      </c>
      <c r="B293" s="1262">
        <v>92294</v>
      </c>
      <c r="C293" s="1262">
        <v>92294</v>
      </c>
      <c r="D293" s="1261"/>
      <c r="F293" s="1256"/>
      <c r="G293" s="1256"/>
      <c r="H293" s="1256"/>
      <c r="I293" s="1256"/>
      <c r="J293" s="1257"/>
      <c r="K293" s="1257"/>
      <c r="L293" s="1256"/>
      <c r="M293" s="1256"/>
      <c r="N293" s="1257"/>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c r="CB293" s="1256"/>
      <c r="CC293" s="1256"/>
      <c r="CD293" s="1256"/>
      <c r="CE293" s="1256"/>
      <c r="CF293" s="1256"/>
      <c r="CG293" s="1256"/>
      <c r="CH293" s="1256"/>
      <c r="CI293" s="1256"/>
      <c r="CJ293" s="1256"/>
      <c r="CK293" s="1256"/>
      <c r="CL293" s="1256"/>
      <c r="CM293" s="1256"/>
      <c r="CN293" s="1256"/>
      <c r="CO293" s="1256"/>
      <c r="CP293" s="1256"/>
      <c r="CQ293" s="1256"/>
      <c r="CR293" s="1256"/>
      <c r="CS293" s="1256"/>
      <c r="CT293" s="1256"/>
      <c r="CU293" s="1256"/>
      <c r="CV293" s="1256"/>
      <c r="CW293" s="1256"/>
      <c r="CX293" s="1256"/>
      <c r="CY293" s="1256"/>
      <c r="CZ293" s="1256"/>
      <c r="DA293" s="1256"/>
      <c r="DB293" s="1256"/>
      <c r="DC293" s="1256"/>
      <c r="DD293" s="1256"/>
      <c r="DE293" s="1256"/>
      <c r="DF293" s="1256"/>
      <c r="DG293" s="1256"/>
      <c r="DH293" s="1256"/>
      <c r="DI293" s="1256"/>
      <c r="DJ293" s="1256"/>
      <c r="DK293" s="1256"/>
      <c r="DL293" s="1256"/>
      <c r="DM293" s="1256"/>
      <c r="DN293" s="1256"/>
      <c r="DO293" s="1256"/>
    </row>
    <row r="294" spans="1:119" s="1258" customFormat="1" hidden="1">
      <c r="A294" s="12" t="s">
        <v>47</v>
      </c>
      <c r="B294" s="1263">
        <v>93942</v>
      </c>
      <c r="C294" s="1263">
        <v>93942</v>
      </c>
      <c r="D294" s="1261"/>
      <c r="F294" s="1256"/>
      <c r="G294" s="1256"/>
      <c r="H294" s="1256"/>
      <c r="I294" s="1256"/>
      <c r="J294" s="1257"/>
      <c r="K294" s="1257"/>
      <c r="L294" s="1256"/>
      <c r="M294" s="1256"/>
      <c r="N294" s="1257"/>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c r="CB294" s="1256"/>
      <c r="CC294" s="1256"/>
      <c r="CD294" s="1256"/>
      <c r="CE294" s="1256"/>
      <c r="CF294" s="1256"/>
      <c r="CG294" s="1256"/>
      <c r="CH294" s="1256"/>
      <c r="CI294" s="1256"/>
      <c r="CJ294" s="1256"/>
      <c r="CK294" s="1256"/>
      <c r="CL294" s="1256"/>
      <c r="CM294" s="1256"/>
      <c r="CN294" s="1256"/>
      <c r="CO294" s="1256"/>
      <c r="CP294" s="1256"/>
      <c r="CQ294" s="1256"/>
      <c r="CR294" s="1256"/>
      <c r="CS294" s="1256"/>
      <c r="CT294" s="1256"/>
      <c r="CU294" s="1256"/>
      <c r="CV294" s="1256"/>
      <c r="CW294" s="1256"/>
      <c r="CX294" s="1256"/>
      <c r="CY294" s="1256"/>
      <c r="CZ294" s="1256"/>
      <c r="DA294" s="1256"/>
      <c r="DB294" s="1256"/>
      <c r="DC294" s="1256"/>
      <c r="DD294" s="1256"/>
      <c r="DE294" s="1256"/>
      <c r="DF294" s="1256"/>
      <c r="DG294" s="1256"/>
      <c r="DH294" s="1256"/>
      <c r="DI294" s="1256"/>
      <c r="DJ294" s="1256"/>
      <c r="DK294" s="1256"/>
      <c r="DL294" s="1256"/>
      <c r="DM294" s="1256"/>
      <c r="DN294" s="1256"/>
      <c r="DO294" s="1256"/>
    </row>
    <row r="295" spans="1:119" s="1258" customFormat="1" hidden="1">
      <c r="A295" s="12" t="s">
        <v>46</v>
      </c>
      <c r="B295" s="1263">
        <v>95475</v>
      </c>
      <c r="C295" s="1263">
        <v>95475</v>
      </c>
      <c r="D295" s="1261"/>
      <c r="F295" s="1256"/>
      <c r="G295" s="1256"/>
      <c r="H295" s="1256"/>
      <c r="I295" s="1256"/>
      <c r="J295" s="1257"/>
      <c r="K295" s="1257"/>
      <c r="L295" s="1256"/>
      <c r="M295" s="1256"/>
      <c r="N295" s="1257"/>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c r="CB295" s="1256"/>
      <c r="CC295" s="1256"/>
      <c r="CD295" s="1256"/>
      <c r="CE295" s="1256"/>
      <c r="CF295" s="1256"/>
      <c r="CG295" s="1256"/>
      <c r="CH295" s="1256"/>
      <c r="CI295" s="1256"/>
      <c r="CJ295" s="1256"/>
      <c r="CK295" s="1256"/>
      <c r="CL295" s="1256"/>
      <c r="CM295" s="1256"/>
      <c r="CN295" s="1256"/>
      <c r="CO295" s="1256"/>
      <c r="CP295" s="1256"/>
      <c r="CQ295" s="1256"/>
      <c r="CR295" s="1256"/>
      <c r="CS295" s="1256"/>
      <c r="CT295" s="1256"/>
      <c r="CU295" s="1256"/>
      <c r="CV295" s="1256"/>
      <c r="CW295" s="1256"/>
      <c r="CX295" s="1256"/>
      <c r="CY295" s="1256"/>
      <c r="CZ295" s="1256"/>
      <c r="DA295" s="1256"/>
      <c r="DB295" s="1256"/>
      <c r="DC295" s="1256"/>
      <c r="DD295" s="1256"/>
      <c r="DE295" s="1256"/>
      <c r="DF295" s="1256"/>
      <c r="DG295" s="1256"/>
      <c r="DH295" s="1256"/>
      <c r="DI295" s="1256"/>
      <c r="DJ295" s="1256"/>
      <c r="DK295" s="1256"/>
      <c r="DL295" s="1256"/>
      <c r="DM295" s="1256"/>
      <c r="DN295" s="1256"/>
      <c r="DO295" s="1256"/>
    </row>
    <row r="296" spans="1:119" s="1258" customFormat="1" hidden="1">
      <c r="A296" s="12" t="s">
        <v>45</v>
      </c>
      <c r="B296" s="1263">
        <v>97033</v>
      </c>
      <c r="C296" s="1263">
        <v>97033</v>
      </c>
      <c r="D296" s="1261"/>
      <c r="F296" s="1256"/>
      <c r="G296" s="1256"/>
      <c r="H296" s="1256"/>
      <c r="I296" s="1256"/>
      <c r="J296" s="1257"/>
      <c r="K296" s="1257"/>
      <c r="L296" s="1256"/>
      <c r="M296" s="1256"/>
      <c r="N296" s="1257"/>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c r="CB296" s="1256"/>
      <c r="CC296" s="1256"/>
      <c r="CD296" s="1256"/>
      <c r="CE296" s="1256"/>
      <c r="CF296" s="1256"/>
      <c r="CG296" s="1256"/>
      <c r="CH296" s="1256"/>
      <c r="CI296" s="1256"/>
      <c r="CJ296" s="1256"/>
      <c r="CK296" s="1256"/>
      <c r="CL296" s="1256"/>
      <c r="CM296" s="1256"/>
      <c r="CN296" s="1256"/>
      <c r="CO296" s="1256"/>
      <c r="CP296" s="1256"/>
      <c r="CQ296" s="1256"/>
      <c r="CR296" s="1256"/>
      <c r="CS296" s="1256"/>
      <c r="CT296" s="1256"/>
      <c r="CU296" s="1256"/>
      <c r="CV296" s="1256"/>
      <c r="CW296" s="1256"/>
      <c r="CX296" s="1256"/>
      <c r="CY296" s="1256"/>
      <c r="CZ296" s="1256"/>
      <c r="DA296" s="1256"/>
      <c r="DB296" s="1256"/>
      <c r="DC296" s="1256"/>
      <c r="DD296" s="1256"/>
      <c r="DE296" s="1256"/>
      <c r="DF296" s="1256"/>
      <c r="DG296" s="1256"/>
      <c r="DH296" s="1256"/>
      <c r="DI296" s="1256"/>
      <c r="DJ296" s="1256"/>
      <c r="DK296" s="1256"/>
      <c r="DL296" s="1256"/>
      <c r="DM296" s="1256"/>
      <c r="DN296" s="1256"/>
      <c r="DO296" s="1256"/>
    </row>
    <row r="297" spans="1:119" s="1258" customFormat="1" hidden="1">
      <c r="A297" s="12" t="s">
        <v>44</v>
      </c>
      <c r="B297" s="1263">
        <v>98618</v>
      </c>
      <c r="C297" s="1263">
        <v>98618</v>
      </c>
      <c r="D297" s="1261"/>
      <c r="F297" s="1256"/>
      <c r="G297" s="1256"/>
      <c r="H297" s="1256"/>
      <c r="I297" s="1256"/>
      <c r="J297" s="1257"/>
      <c r="K297" s="1257"/>
      <c r="L297" s="1256"/>
      <c r="M297" s="1256"/>
      <c r="N297" s="1257"/>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c r="CB297" s="1256"/>
      <c r="CC297" s="1256"/>
      <c r="CD297" s="1256"/>
      <c r="CE297" s="1256"/>
      <c r="CF297" s="1256"/>
      <c r="CG297" s="1256"/>
      <c r="CH297" s="1256"/>
      <c r="CI297" s="1256"/>
      <c r="CJ297" s="1256"/>
      <c r="CK297" s="1256"/>
      <c r="CL297" s="1256"/>
      <c r="CM297" s="1256"/>
      <c r="CN297" s="1256"/>
      <c r="CO297" s="1256"/>
      <c r="CP297" s="1256"/>
      <c r="CQ297" s="1256"/>
      <c r="CR297" s="1256"/>
      <c r="CS297" s="1256"/>
      <c r="CT297" s="1256"/>
      <c r="CU297" s="1256"/>
      <c r="CV297" s="1256"/>
      <c r="CW297" s="1256"/>
      <c r="CX297" s="1256"/>
      <c r="CY297" s="1256"/>
      <c r="CZ297" s="1256"/>
      <c r="DA297" s="1256"/>
      <c r="DB297" s="1256"/>
      <c r="DC297" s="1256"/>
      <c r="DD297" s="1256"/>
      <c r="DE297" s="1256"/>
      <c r="DF297" s="1256"/>
      <c r="DG297" s="1256"/>
      <c r="DH297" s="1256"/>
      <c r="DI297" s="1256"/>
      <c r="DJ297" s="1256"/>
      <c r="DK297" s="1256"/>
      <c r="DL297" s="1256"/>
      <c r="DM297" s="1256"/>
      <c r="DN297" s="1256"/>
      <c r="DO297" s="1256"/>
    </row>
    <row r="298" spans="1:119" s="1258" customFormat="1" hidden="1">
      <c r="A298" s="12" t="s">
        <v>43</v>
      </c>
      <c r="B298" s="1263">
        <v>100227</v>
      </c>
      <c r="C298" s="1263">
        <v>100227</v>
      </c>
      <c r="D298" s="1261"/>
      <c r="F298" s="1256"/>
      <c r="G298" s="1256"/>
      <c r="H298" s="1256"/>
      <c r="I298" s="1256"/>
      <c r="J298" s="1257"/>
      <c r="K298" s="1257"/>
      <c r="L298" s="1256"/>
      <c r="M298" s="1256"/>
      <c r="N298" s="1257"/>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c r="CB298" s="1256"/>
      <c r="CC298" s="1256"/>
      <c r="CD298" s="1256"/>
      <c r="CE298" s="1256"/>
      <c r="CF298" s="1256"/>
      <c r="CG298" s="1256"/>
      <c r="CH298" s="1256"/>
      <c r="CI298" s="1256"/>
      <c r="CJ298" s="1256"/>
      <c r="CK298" s="1256"/>
      <c r="CL298" s="1256"/>
      <c r="CM298" s="1256"/>
      <c r="CN298" s="1256"/>
      <c r="CO298" s="1256"/>
      <c r="CP298" s="1256"/>
      <c r="CQ298" s="1256"/>
      <c r="CR298" s="1256"/>
      <c r="CS298" s="1256"/>
      <c r="CT298" s="1256"/>
      <c r="CU298" s="1256"/>
      <c r="CV298" s="1256"/>
      <c r="CW298" s="1256"/>
      <c r="CX298" s="1256"/>
      <c r="CY298" s="1256"/>
      <c r="CZ298" s="1256"/>
      <c r="DA298" s="1256"/>
      <c r="DB298" s="1256"/>
      <c r="DC298" s="1256"/>
      <c r="DD298" s="1256"/>
      <c r="DE298" s="1256"/>
      <c r="DF298" s="1256"/>
      <c r="DG298" s="1256"/>
      <c r="DH298" s="1256"/>
      <c r="DI298" s="1256"/>
      <c r="DJ298" s="1256"/>
      <c r="DK298" s="1256"/>
      <c r="DL298" s="1256"/>
      <c r="DM298" s="1256"/>
      <c r="DN298" s="1256"/>
      <c r="DO298" s="1256"/>
    </row>
    <row r="299" spans="1:119" hidden="1">
      <c r="A299" s="12" t="s">
        <v>42</v>
      </c>
      <c r="B299" s="1263">
        <v>101863</v>
      </c>
      <c r="C299" s="1263">
        <v>101863</v>
      </c>
      <c r="D299" s="1261"/>
    </row>
    <row r="300" spans="1:119" hidden="1">
      <c r="A300" s="12" t="s">
        <v>41</v>
      </c>
      <c r="B300" s="1263">
        <v>103525</v>
      </c>
      <c r="C300" s="1263">
        <v>103525</v>
      </c>
      <c r="D300" s="1261"/>
    </row>
    <row r="301" spans="1:119" hidden="1">
      <c r="A301" s="12" t="s">
        <v>40</v>
      </c>
      <c r="B301" s="1263">
        <v>105215</v>
      </c>
      <c r="C301" s="1263">
        <v>105215</v>
      </c>
      <c r="D301" s="1261"/>
    </row>
    <row r="302" spans="1:119" hidden="1">
      <c r="A302" s="10" t="s">
        <v>39</v>
      </c>
      <c r="B302" s="1262">
        <v>106155</v>
      </c>
      <c r="C302" s="1262">
        <v>106155</v>
      </c>
      <c r="D302" s="1261"/>
      <c r="F302" s="1267"/>
      <c r="G302" s="1266"/>
      <c r="H302" s="1265"/>
      <c r="I302" s="1265"/>
      <c r="J302" s="1264"/>
      <c r="K302" s="1264"/>
      <c r="L302" s="1265"/>
      <c r="M302" s="1265"/>
      <c r="N302" s="1264"/>
    </row>
    <row r="303" spans="1:119" hidden="1">
      <c r="A303" s="10" t="s">
        <v>38</v>
      </c>
      <c r="B303" s="1262">
        <v>107887</v>
      </c>
      <c r="C303" s="1262">
        <v>107887</v>
      </c>
      <c r="D303" s="1261"/>
      <c r="F303" s="1267"/>
      <c r="G303" s="1266"/>
      <c r="H303" s="1265"/>
      <c r="I303" s="1265"/>
      <c r="J303" s="1264"/>
      <c r="K303" s="1264"/>
      <c r="L303" s="1265"/>
      <c r="M303" s="1265"/>
      <c r="N303" s="1264"/>
    </row>
    <row r="304" spans="1:119" hidden="1">
      <c r="A304" s="10" t="s">
        <v>37</v>
      </c>
      <c r="B304" s="1262">
        <v>109648</v>
      </c>
      <c r="C304" s="1262">
        <v>109648</v>
      </c>
      <c r="D304" s="1261"/>
    </row>
    <row r="305" spans="1:119" hidden="1">
      <c r="A305" s="10" t="s">
        <v>36</v>
      </c>
      <c r="B305" s="1262">
        <v>111438</v>
      </c>
      <c r="C305" s="1262">
        <v>111438</v>
      </c>
      <c r="D305" s="1261"/>
    </row>
    <row r="306" spans="1:119" hidden="1">
      <c r="A306" s="10" t="s">
        <v>35</v>
      </c>
      <c r="B306" s="1262">
        <v>113256</v>
      </c>
      <c r="C306" s="1262">
        <v>113256</v>
      </c>
      <c r="D306" s="1261"/>
    </row>
    <row r="307" spans="1:119" hidden="1">
      <c r="A307" s="10" t="s">
        <v>34</v>
      </c>
      <c r="B307" s="1262">
        <v>115105</v>
      </c>
      <c r="C307" s="1262">
        <v>115105</v>
      </c>
      <c r="D307" s="1261"/>
    </row>
    <row r="308" spans="1:119" hidden="1">
      <c r="A308" s="10" t="s">
        <v>33</v>
      </c>
      <c r="B308" s="1262">
        <v>116983</v>
      </c>
      <c r="C308" s="1262">
        <v>116983</v>
      </c>
      <c r="D308" s="1261"/>
    </row>
    <row r="309" spans="1:119" hidden="1">
      <c r="A309" s="10" t="s">
        <v>32</v>
      </c>
      <c r="B309" s="1262">
        <v>118893</v>
      </c>
      <c r="C309" s="1262">
        <v>118893</v>
      </c>
      <c r="D309" s="1261"/>
    </row>
    <row r="310" spans="1:119" hidden="1">
      <c r="A310" s="12" t="s">
        <v>31</v>
      </c>
      <c r="B310" s="1263">
        <v>119954</v>
      </c>
      <c r="C310" s="1263">
        <v>119954</v>
      </c>
      <c r="D310" s="1261"/>
    </row>
    <row r="311" spans="1:119" hidden="1">
      <c r="A311" s="12" t="s">
        <v>30</v>
      </c>
      <c r="B311" s="1263">
        <v>121913</v>
      </c>
      <c r="C311" s="1263">
        <v>121913</v>
      </c>
      <c r="D311" s="1261"/>
    </row>
    <row r="312" spans="1:119" hidden="1">
      <c r="A312" s="12" t="s">
        <v>29</v>
      </c>
      <c r="B312" s="1263">
        <v>123902</v>
      </c>
      <c r="C312" s="1263">
        <v>123902</v>
      </c>
      <c r="D312" s="1261"/>
    </row>
    <row r="313" spans="1:119" hidden="1">
      <c r="A313" s="12" t="s">
        <v>28</v>
      </c>
      <c r="B313" s="1263">
        <v>125924</v>
      </c>
      <c r="C313" s="1263">
        <v>125924</v>
      </c>
      <c r="D313" s="1261"/>
    </row>
    <row r="314" spans="1:119" hidden="1">
      <c r="A314" s="12" t="s">
        <v>27</v>
      </c>
      <c r="B314" s="1263">
        <v>127979</v>
      </c>
      <c r="C314" s="1263">
        <v>127979</v>
      </c>
      <c r="D314" s="1261"/>
    </row>
    <row r="315" spans="1:119" s="1258" customFormat="1" hidden="1">
      <c r="A315" s="12" t="s">
        <v>26</v>
      </c>
      <c r="B315" s="1263">
        <v>130068</v>
      </c>
      <c r="C315" s="1263">
        <v>130068</v>
      </c>
      <c r="D315" s="1261"/>
      <c r="F315" s="1256"/>
      <c r="G315" s="1256"/>
      <c r="H315" s="1256"/>
      <c r="I315" s="1256"/>
      <c r="J315" s="1257"/>
      <c r="K315" s="1257"/>
      <c r="L315" s="1256"/>
      <c r="M315" s="1256"/>
      <c r="N315" s="1257"/>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c r="CB315" s="1256"/>
      <c r="CC315" s="1256"/>
      <c r="CD315" s="1256"/>
      <c r="CE315" s="1256"/>
      <c r="CF315" s="1256"/>
      <c r="CG315" s="1256"/>
      <c r="CH315" s="1256"/>
      <c r="CI315" s="1256"/>
      <c r="CJ315" s="1256"/>
      <c r="CK315" s="1256"/>
      <c r="CL315" s="1256"/>
      <c r="CM315" s="1256"/>
      <c r="CN315" s="1256"/>
      <c r="CO315" s="1256"/>
      <c r="CP315" s="1256"/>
      <c r="CQ315" s="1256"/>
      <c r="CR315" s="1256"/>
      <c r="CS315" s="1256"/>
      <c r="CT315" s="1256"/>
      <c r="CU315" s="1256"/>
      <c r="CV315" s="1256"/>
      <c r="CW315" s="1256"/>
      <c r="CX315" s="1256"/>
      <c r="CY315" s="1256"/>
      <c r="CZ315" s="1256"/>
      <c r="DA315" s="1256"/>
      <c r="DB315" s="1256"/>
      <c r="DC315" s="1256"/>
      <c r="DD315" s="1256"/>
      <c r="DE315" s="1256"/>
      <c r="DF315" s="1256"/>
      <c r="DG315" s="1256"/>
      <c r="DH315" s="1256"/>
      <c r="DI315" s="1256"/>
      <c r="DJ315" s="1256"/>
      <c r="DK315" s="1256"/>
      <c r="DL315" s="1256"/>
      <c r="DM315" s="1256"/>
      <c r="DN315" s="1256"/>
      <c r="DO315" s="1256"/>
    </row>
    <row r="316" spans="1:119" s="1258" customFormat="1" hidden="1">
      <c r="A316" s="12" t="s">
        <v>25</v>
      </c>
      <c r="B316" s="1263">
        <v>132192</v>
      </c>
      <c r="C316" s="1263">
        <v>132192</v>
      </c>
      <c r="D316" s="1261"/>
      <c r="F316" s="1256"/>
      <c r="G316" s="1256"/>
      <c r="H316" s="1256"/>
      <c r="I316" s="1256"/>
      <c r="J316" s="1257"/>
      <c r="K316" s="1257"/>
      <c r="L316" s="1256"/>
      <c r="M316" s="1256"/>
      <c r="N316" s="1257"/>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c r="CB316" s="1256"/>
      <c r="CC316" s="1256"/>
      <c r="CD316" s="1256"/>
      <c r="CE316" s="1256"/>
      <c r="CF316" s="1256"/>
      <c r="CG316" s="1256"/>
      <c r="CH316" s="1256"/>
      <c r="CI316" s="1256"/>
      <c r="CJ316" s="1256"/>
      <c r="CK316" s="1256"/>
      <c r="CL316" s="1256"/>
      <c r="CM316" s="1256"/>
      <c r="CN316" s="1256"/>
      <c r="CO316" s="1256"/>
      <c r="CP316" s="1256"/>
      <c r="CQ316" s="1256"/>
      <c r="CR316" s="1256"/>
      <c r="CS316" s="1256"/>
      <c r="CT316" s="1256"/>
      <c r="CU316" s="1256"/>
      <c r="CV316" s="1256"/>
      <c r="CW316" s="1256"/>
      <c r="CX316" s="1256"/>
      <c r="CY316" s="1256"/>
      <c r="CZ316" s="1256"/>
      <c r="DA316" s="1256"/>
      <c r="DB316" s="1256"/>
      <c r="DC316" s="1256"/>
      <c r="DD316" s="1256"/>
      <c r="DE316" s="1256"/>
      <c r="DF316" s="1256"/>
      <c r="DG316" s="1256"/>
      <c r="DH316" s="1256"/>
      <c r="DI316" s="1256"/>
      <c r="DJ316" s="1256"/>
      <c r="DK316" s="1256"/>
      <c r="DL316" s="1256"/>
      <c r="DM316" s="1256"/>
      <c r="DN316" s="1256"/>
      <c r="DO316" s="1256"/>
    </row>
    <row r="317" spans="1:119" s="1258" customFormat="1" hidden="1">
      <c r="A317" s="12" t="s">
        <v>24</v>
      </c>
      <c r="B317" s="1263">
        <v>134349</v>
      </c>
      <c r="C317" s="1263">
        <v>134349</v>
      </c>
      <c r="D317" s="1261"/>
      <c r="F317" s="1256"/>
      <c r="G317" s="1256"/>
      <c r="H317" s="1256"/>
      <c r="I317" s="1256"/>
      <c r="J317" s="1257"/>
      <c r="K317" s="1257"/>
      <c r="L317" s="1256"/>
      <c r="M317" s="1256"/>
      <c r="N317" s="1257"/>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c r="CB317" s="1256"/>
      <c r="CC317" s="1256"/>
      <c r="CD317" s="1256"/>
      <c r="CE317" s="1256"/>
      <c r="CF317" s="1256"/>
      <c r="CG317" s="1256"/>
      <c r="CH317" s="1256"/>
      <c r="CI317" s="1256"/>
      <c r="CJ317" s="1256"/>
      <c r="CK317" s="1256"/>
      <c r="CL317" s="1256"/>
      <c r="CM317" s="1256"/>
      <c r="CN317" s="1256"/>
      <c r="CO317" s="1256"/>
      <c r="CP317" s="1256"/>
      <c r="CQ317" s="1256"/>
      <c r="CR317" s="1256"/>
      <c r="CS317" s="1256"/>
      <c r="CT317" s="1256"/>
      <c r="CU317" s="1256"/>
      <c r="CV317" s="1256"/>
      <c r="CW317" s="1256"/>
      <c r="CX317" s="1256"/>
      <c r="CY317" s="1256"/>
      <c r="CZ317" s="1256"/>
      <c r="DA317" s="1256"/>
      <c r="DB317" s="1256"/>
      <c r="DC317" s="1256"/>
      <c r="DD317" s="1256"/>
      <c r="DE317" s="1256"/>
      <c r="DF317" s="1256"/>
      <c r="DG317" s="1256"/>
      <c r="DH317" s="1256"/>
      <c r="DI317" s="1256"/>
      <c r="DJ317" s="1256"/>
      <c r="DK317" s="1256"/>
      <c r="DL317" s="1256"/>
      <c r="DM317" s="1256"/>
      <c r="DN317" s="1256"/>
      <c r="DO317" s="1256"/>
    </row>
    <row r="318" spans="1:119" s="1258" customFormat="1" hidden="1">
      <c r="A318" s="10" t="s">
        <v>23</v>
      </c>
      <c r="B318" s="1262">
        <v>135549</v>
      </c>
      <c r="C318" s="1262">
        <v>135549</v>
      </c>
      <c r="D318" s="1261"/>
      <c r="F318" s="1256"/>
      <c r="G318" s="1256"/>
      <c r="H318" s="1256"/>
      <c r="I318" s="1256"/>
      <c r="J318" s="1257"/>
      <c r="K318" s="1257"/>
      <c r="L318" s="1256"/>
      <c r="M318" s="1256"/>
      <c r="N318" s="1257"/>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c r="CB318" s="1256"/>
      <c r="CC318" s="1256"/>
      <c r="CD318" s="1256"/>
      <c r="CE318" s="1256"/>
      <c r="CF318" s="1256"/>
      <c r="CG318" s="1256"/>
      <c r="CH318" s="1256"/>
      <c r="CI318" s="1256"/>
      <c r="CJ318" s="1256"/>
      <c r="CK318" s="1256"/>
      <c r="CL318" s="1256"/>
      <c r="CM318" s="1256"/>
      <c r="CN318" s="1256"/>
      <c r="CO318" s="1256"/>
      <c r="CP318" s="1256"/>
      <c r="CQ318" s="1256"/>
      <c r="CR318" s="1256"/>
      <c r="CS318" s="1256"/>
      <c r="CT318" s="1256"/>
      <c r="CU318" s="1256"/>
      <c r="CV318" s="1256"/>
      <c r="CW318" s="1256"/>
      <c r="CX318" s="1256"/>
      <c r="CY318" s="1256"/>
      <c r="CZ318" s="1256"/>
      <c r="DA318" s="1256"/>
      <c r="DB318" s="1256"/>
      <c r="DC318" s="1256"/>
      <c r="DD318" s="1256"/>
      <c r="DE318" s="1256"/>
      <c r="DF318" s="1256"/>
      <c r="DG318" s="1256"/>
      <c r="DH318" s="1256"/>
      <c r="DI318" s="1256"/>
      <c r="DJ318" s="1256"/>
      <c r="DK318" s="1256"/>
      <c r="DL318" s="1256"/>
      <c r="DM318" s="1256"/>
      <c r="DN318" s="1256"/>
      <c r="DO318" s="1256"/>
    </row>
    <row r="319" spans="1:119" s="1258" customFormat="1" hidden="1">
      <c r="A319" s="10" t="s">
        <v>22</v>
      </c>
      <c r="B319" s="1262">
        <v>137760</v>
      </c>
      <c r="C319" s="1262">
        <v>137760</v>
      </c>
      <c r="D319" s="1261"/>
      <c r="F319" s="1256"/>
      <c r="G319" s="1256"/>
      <c r="H319" s="1256"/>
      <c r="I319" s="1256"/>
      <c r="J319" s="1257"/>
      <c r="K319" s="1257"/>
      <c r="L319" s="1256"/>
      <c r="M319" s="1256"/>
      <c r="N319" s="1257"/>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c r="CB319" s="1256"/>
      <c r="CC319" s="1256"/>
      <c r="CD319" s="1256"/>
      <c r="CE319" s="1256"/>
      <c r="CF319" s="1256"/>
      <c r="CG319" s="1256"/>
      <c r="CH319" s="1256"/>
      <c r="CI319" s="1256"/>
      <c r="CJ319" s="1256"/>
      <c r="CK319" s="1256"/>
      <c r="CL319" s="1256"/>
      <c r="CM319" s="1256"/>
      <c r="CN319" s="1256"/>
      <c r="CO319" s="1256"/>
      <c r="CP319" s="1256"/>
      <c r="CQ319" s="1256"/>
      <c r="CR319" s="1256"/>
      <c r="CS319" s="1256"/>
      <c r="CT319" s="1256"/>
      <c r="CU319" s="1256"/>
      <c r="CV319" s="1256"/>
      <c r="CW319" s="1256"/>
      <c r="CX319" s="1256"/>
      <c r="CY319" s="1256"/>
      <c r="CZ319" s="1256"/>
      <c r="DA319" s="1256"/>
      <c r="DB319" s="1256"/>
      <c r="DC319" s="1256"/>
      <c r="DD319" s="1256"/>
      <c r="DE319" s="1256"/>
      <c r="DF319" s="1256"/>
      <c r="DG319" s="1256"/>
      <c r="DH319" s="1256"/>
      <c r="DI319" s="1256"/>
      <c r="DJ319" s="1256"/>
      <c r="DK319" s="1256"/>
      <c r="DL319" s="1256"/>
      <c r="DM319" s="1256"/>
      <c r="DN319" s="1256"/>
      <c r="DO319" s="1256"/>
    </row>
    <row r="320" spans="1:119" s="1258" customFormat="1" hidden="1">
      <c r="A320" s="10" t="s">
        <v>21</v>
      </c>
      <c r="B320" s="1262">
        <v>140009</v>
      </c>
      <c r="C320" s="1262">
        <v>140009</v>
      </c>
      <c r="D320" s="1261"/>
      <c r="F320" s="1256"/>
      <c r="G320" s="1256"/>
      <c r="H320" s="1256"/>
      <c r="I320" s="1256"/>
      <c r="J320" s="1257"/>
      <c r="K320" s="1257"/>
      <c r="L320" s="1256"/>
      <c r="M320" s="1256"/>
      <c r="N320" s="1257"/>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c r="CB320" s="1256"/>
      <c r="CC320" s="1256"/>
      <c r="CD320" s="1256"/>
      <c r="CE320" s="1256"/>
      <c r="CF320" s="1256"/>
      <c r="CG320" s="1256"/>
      <c r="CH320" s="1256"/>
      <c r="CI320" s="1256"/>
      <c r="CJ320" s="1256"/>
      <c r="CK320" s="1256"/>
      <c r="CL320" s="1256"/>
      <c r="CM320" s="1256"/>
      <c r="CN320" s="1256"/>
      <c r="CO320" s="1256"/>
      <c r="CP320" s="1256"/>
      <c r="CQ320" s="1256"/>
      <c r="CR320" s="1256"/>
      <c r="CS320" s="1256"/>
      <c r="CT320" s="1256"/>
      <c r="CU320" s="1256"/>
      <c r="CV320" s="1256"/>
      <c r="CW320" s="1256"/>
      <c r="CX320" s="1256"/>
      <c r="CY320" s="1256"/>
      <c r="CZ320" s="1256"/>
      <c r="DA320" s="1256"/>
      <c r="DB320" s="1256"/>
      <c r="DC320" s="1256"/>
      <c r="DD320" s="1256"/>
      <c r="DE320" s="1256"/>
      <c r="DF320" s="1256"/>
      <c r="DG320" s="1256"/>
      <c r="DH320" s="1256"/>
      <c r="DI320" s="1256"/>
      <c r="DJ320" s="1256"/>
      <c r="DK320" s="1256"/>
      <c r="DL320" s="1256"/>
      <c r="DM320" s="1256"/>
      <c r="DN320" s="1256"/>
      <c r="DO320" s="1256"/>
    </row>
    <row r="321" spans="1:119" s="1258" customFormat="1" hidden="1">
      <c r="A321" s="10" t="s">
        <v>20</v>
      </c>
      <c r="B321" s="1262">
        <v>142295</v>
      </c>
      <c r="C321" s="1262">
        <v>142295</v>
      </c>
      <c r="D321" s="1261"/>
      <c r="F321" s="1256"/>
      <c r="G321" s="1256"/>
      <c r="H321" s="1256"/>
      <c r="I321" s="1256"/>
      <c r="J321" s="1257"/>
      <c r="K321" s="1257"/>
      <c r="L321" s="1256"/>
      <c r="M321" s="1256"/>
      <c r="N321" s="1257"/>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c r="CB321" s="1256"/>
      <c r="CC321" s="1256"/>
      <c r="CD321" s="1256"/>
      <c r="CE321" s="1256"/>
      <c r="CF321" s="1256"/>
      <c r="CG321" s="1256"/>
      <c r="CH321" s="1256"/>
      <c r="CI321" s="1256"/>
      <c r="CJ321" s="1256"/>
      <c r="CK321" s="1256"/>
      <c r="CL321" s="1256"/>
      <c r="CM321" s="1256"/>
      <c r="CN321" s="1256"/>
      <c r="CO321" s="1256"/>
      <c r="CP321" s="1256"/>
      <c r="CQ321" s="1256"/>
      <c r="CR321" s="1256"/>
      <c r="CS321" s="1256"/>
      <c r="CT321" s="1256"/>
      <c r="CU321" s="1256"/>
      <c r="CV321" s="1256"/>
      <c r="CW321" s="1256"/>
      <c r="CX321" s="1256"/>
      <c r="CY321" s="1256"/>
      <c r="CZ321" s="1256"/>
      <c r="DA321" s="1256"/>
      <c r="DB321" s="1256"/>
      <c r="DC321" s="1256"/>
      <c r="DD321" s="1256"/>
      <c r="DE321" s="1256"/>
      <c r="DF321" s="1256"/>
      <c r="DG321" s="1256"/>
      <c r="DH321" s="1256"/>
      <c r="DI321" s="1256"/>
      <c r="DJ321" s="1256"/>
      <c r="DK321" s="1256"/>
      <c r="DL321" s="1256"/>
      <c r="DM321" s="1256"/>
      <c r="DN321" s="1256"/>
      <c r="DO321" s="1256"/>
    </row>
    <row r="322" spans="1:119" s="1258" customFormat="1" hidden="1">
      <c r="A322" s="10" t="s">
        <v>19</v>
      </c>
      <c r="B322" s="1262">
        <v>144617</v>
      </c>
      <c r="C322" s="1262">
        <v>144617</v>
      </c>
      <c r="D322" s="1261"/>
      <c r="F322" s="1256"/>
      <c r="G322" s="1256"/>
      <c r="H322" s="1256"/>
      <c r="I322" s="1256"/>
      <c r="J322" s="1257"/>
      <c r="K322" s="1257"/>
      <c r="L322" s="1256"/>
      <c r="M322" s="1256"/>
      <c r="N322" s="1257"/>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c r="CB322" s="1256"/>
      <c r="CC322" s="1256"/>
      <c r="CD322" s="1256"/>
      <c r="CE322" s="1256"/>
      <c r="CF322" s="1256"/>
      <c r="CG322" s="1256"/>
      <c r="CH322" s="1256"/>
      <c r="CI322" s="1256"/>
      <c r="CJ322" s="1256"/>
      <c r="CK322" s="1256"/>
      <c r="CL322" s="1256"/>
      <c r="CM322" s="1256"/>
      <c r="CN322" s="1256"/>
      <c r="CO322" s="1256"/>
      <c r="CP322" s="1256"/>
      <c r="CQ322" s="1256"/>
      <c r="CR322" s="1256"/>
      <c r="CS322" s="1256"/>
      <c r="CT322" s="1256"/>
      <c r="CU322" s="1256"/>
      <c r="CV322" s="1256"/>
      <c r="CW322" s="1256"/>
      <c r="CX322" s="1256"/>
      <c r="CY322" s="1256"/>
      <c r="CZ322" s="1256"/>
      <c r="DA322" s="1256"/>
      <c r="DB322" s="1256"/>
      <c r="DC322" s="1256"/>
      <c r="DD322" s="1256"/>
      <c r="DE322" s="1256"/>
      <c r="DF322" s="1256"/>
      <c r="DG322" s="1256"/>
      <c r="DH322" s="1256"/>
      <c r="DI322" s="1256"/>
      <c r="DJ322" s="1256"/>
      <c r="DK322" s="1256"/>
      <c r="DL322" s="1256"/>
      <c r="DM322" s="1256"/>
      <c r="DN322" s="1256"/>
      <c r="DO322" s="1256"/>
    </row>
    <row r="323" spans="1:119" s="1258" customFormat="1" hidden="1">
      <c r="A323" s="10" t="s">
        <v>18</v>
      </c>
      <c r="B323" s="1262">
        <v>146978</v>
      </c>
      <c r="C323" s="1262">
        <v>146978</v>
      </c>
      <c r="D323" s="1261"/>
      <c r="F323" s="1256"/>
      <c r="G323" s="1256"/>
      <c r="H323" s="1256"/>
      <c r="I323" s="1256"/>
      <c r="J323" s="1257"/>
      <c r="K323" s="1257"/>
      <c r="L323" s="1256"/>
      <c r="M323" s="1256"/>
      <c r="N323" s="1257"/>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c r="CB323" s="1256"/>
      <c r="CC323" s="1256"/>
      <c r="CD323" s="1256"/>
      <c r="CE323" s="1256"/>
      <c r="CF323" s="1256"/>
      <c r="CG323" s="1256"/>
      <c r="CH323" s="1256"/>
      <c r="CI323" s="1256"/>
      <c r="CJ323" s="1256"/>
      <c r="CK323" s="1256"/>
      <c r="CL323" s="1256"/>
      <c r="CM323" s="1256"/>
      <c r="CN323" s="1256"/>
      <c r="CO323" s="1256"/>
      <c r="CP323" s="1256"/>
      <c r="CQ323" s="1256"/>
      <c r="CR323" s="1256"/>
      <c r="CS323" s="1256"/>
      <c r="CT323" s="1256"/>
      <c r="CU323" s="1256"/>
      <c r="CV323" s="1256"/>
      <c r="CW323" s="1256"/>
      <c r="CX323" s="1256"/>
      <c r="CY323" s="1256"/>
      <c r="CZ323" s="1256"/>
      <c r="DA323" s="1256"/>
      <c r="DB323" s="1256"/>
      <c r="DC323" s="1256"/>
      <c r="DD323" s="1256"/>
      <c r="DE323" s="1256"/>
      <c r="DF323" s="1256"/>
      <c r="DG323" s="1256"/>
      <c r="DH323" s="1256"/>
      <c r="DI323" s="1256"/>
      <c r="DJ323" s="1256"/>
      <c r="DK323" s="1256"/>
      <c r="DL323" s="1256"/>
      <c r="DM323" s="1256"/>
      <c r="DN323" s="1256"/>
      <c r="DO323" s="1256"/>
    </row>
    <row r="324" spans="1:119" s="1258" customFormat="1" hidden="1">
      <c r="A324" s="10" t="s">
        <v>17</v>
      </c>
      <c r="B324" s="1262">
        <v>149377</v>
      </c>
      <c r="C324" s="1262">
        <v>149377</v>
      </c>
      <c r="D324" s="1261"/>
      <c r="F324" s="1256"/>
      <c r="G324" s="1256"/>
      <c r="H324" s="1256"/>
      <c r="I324" s="1256"/>
      <c r="J324" s="1257"/>
      <c r="K324" s="1257"/>
      <c r="L324" s="1256"/>
      <c r="M324" s="1256"/>
      <c r="N324" s="1257"/>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c r="CB324" s="1256"/>
      <c r="CC324" s="1256"/>
      <c r="CD324" s="1256"/>
      <c r="CE324" s="1256"/>
      <c r="CF324" s="1256"/>
      <c r="CG324" s="1256"/>
      <c r="CH324" s="1256"/>
      <c r="CI324" s="1256"/>
      <c r="CJ324" s="1256"/>
      <c r="CK324" s="1256"/>
      <c r="CL324" s="1256"/>
      <c r="CM324" s="1256"/>
      <c r="CN324" s="1256"/>
      <c r="CO324" s="1256"/>
      <c r="CP324" s="1256"/>
      <c r="CQ324" s="1256"/>
      <c r="CR324" s="1256"/>
      <c r="CS324" s="1256"/>
      <c r="CT324" s="1256"/>
      <c r="CU324" s="1256"/>
      <c r="CV324" s="1256"/>
      <c r="CW324" s="1256"/>
      <c r="CX324" s="1256"/>
      <c r="CY324" s="1256"/>
      <c r="CZ324" s="1256"/>
      <c r="DA324" s="1256"/>
      <c r="DB324" s="1256"/>
      <c r="DC324" s="1256"/>
      <c r="DD324" s="1256"/>
      <c r="DE324" s="1256"/>
      <c r="DF324" s="1256"/>
      <c r="DG324" s="1256"/>
      <c r="DH324" s="1256"/>
      <c r="DI324" s="1256"/>
      <c r="DJ324" s="1256"/>
      <c r="DK324" s="1256"/>
      <c r="DL324" s="1256"/>
      <c r="DM324" s="1256"/>
      <c r="DN324" s="1256"/>
      <c r="DO324" s="1256"/>
    </row>
    <row r="325" spans="1:119" s="1258" customFormat="1" hidden="1">
      <c r="A325" s="10" t="s">
        <v>16</v>
      </c>
      <c r="B325" s="1262">
        <v>151814</v>
      </c>
      <c r="C325" s="1262">
        <v>151814</v>
      </c>
      <c r="D325" s="1261"/>
      <c r="F325" s="1256"/>
      <c r="G325" s="1256"/>
      <c r="H325" s="1256"/>
      <c r="I325" s="1256"/>
      <c r="J325" s="1257"/>
      <c r="K325" s="1257"/>
      <c r="L325" s="1256"/>
      <c r="M325" s="1256"/>
      <c r="N325" s="1257"/>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c r="CB325" s="1256"/>
      <c r="CC325" s="1256"/>
      <c r="CD325" s="1256"/>
      <c r="CE325" s="1256"/>
      <c r="CF325" s="1256"/>
      <c r="CG325" s="1256"/>
      <c r="CH325" s="1256"/>
      <c r="CI325" s="1256"/>
      <c r="CJ325" s="1256"/>
      <c r="CK325" s="1256"/>
      <c r="CL325" s="1256"/>
      <c r="CM325" s="1256"/>
      <c r="CN325" s="1256"/>
      <c r="CO325" s="1256"/>
      <c r="CP325" s="1256"/>
      <c r="CQ325" s="1256"/>
      <c r="CR325" s="1256"/>
      <c r="CS325" s="1256"/>
      <c r="CT325" s="1256"/>
      <c r="CU325" s="1256"/>
      <c r="CV325" s="1256"/>
      <c r="CW325" s="1256"/>
      <c r="CX325" s="1256"/>
      <c r="CY325" s="1256"/>
      <c r="CZ325" s="1256"/>
      <c r="DA325" s="1256"/>
      <c r="DB325" s="1256"/>
      <c r="DC325" s="1256"/>
      <c r="DD325" s="1256"/>
      <c r="DE325" s="1256"/>
      <c r="DF325" s="1256"/>
      <c r="DG325" s="1256"/>
      <c r="DH325" s="1256"/>
      <c r="DI325" s="1256"/>
      <c r="DJ325" s="1256"/>
      <c r="DK325" s="1256"/>
      <c r="DL325" s="1256"/>
      <c r="DM325" s="1256"/>
      <c r="DN325" s="1256"/>
      <c r="DO325" s="1256"/>
    </row>
    <row r="326" spans="1:119" s="1258" customFormat="1" hidden="1">
      <c r="A326" s="12" t="s">
        <v>15</v>
      </c>
      <c r="B326" s="1263">
        <v>153169</v>
      </c>
      <c r="C326" s="1263">
        <v>153169</v>
      </c>
      <c r="D326" s="1261"/>
      <c r="F326" s="1256"/>
      <c r="G326" s="1256"/>
      <c r="H326" s="1256"/>
      <c r="I326" s="1256"/>
      <c r="J326" s="1257"/>
      <c r="K326" s="1257"/>
      <c r="L326" s="1256"/>
      <c r="M326" s="1256"/>
      <c r="N326" s="1257"/>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c r="CB326" s="1256"/>
      <c r="CC326" s="1256"/>
      <c r="CD326" s="1256"/>
      <c r="CE326" s="1256"/>
      <c r="CF326" s="1256"/>
      <c r="CG326" s="1256"/>
      <c r="CH326" s="1256"/>
      <c r="CI326" s="1256"/>
      <c r="CJ326" s="1256"/>
      <c r="CK326" s="1256"/>
      <c r="CL326" s="1256"/>
      <c r="CM326" s="1256"/>
      <c r="CN326" s="1256"/>
      <c r="CO326" s="1256"/>
      <c r="CP326" s="1256"/>
      <c r="CQ326" s="1256"/>
      <c r="CR326" s="1256"/>
      <c r="CS326" s="1256"/>
      <c r="CT326" s="1256"/>
      <c r="CU326" s="1256"/>
      <c r="CV326" s="1256"/>
      <c r="CW326" s="1256"/>
      <c r="CX326" s="1256"/>
      <c r="CY326" s="1256"/>
      <c r="CZ326" s="1256"/>
      <c r="DA326" s="1256"/>
      <c r="DB326" s="1256"/>
      <c r="DC326" s="1256"/>
      <c r="DD326" s="1256"/>
      <c r="DE326" s="1256"/>
      <c r="DF326" s="1256"/>
      <c r="DG326" s="1256"/>
      <c r="DH326" s="1256"/>
      <c r="DI326" s="1256"/>
      <c r="DJ326" s="1256"/>
      <c r="DK326" s="1256"/>
      <c r="DL326" s="1256"/>
      <c r="DM326" s="1256"/>
      <c r="DN326" s="1256"/>
      <c r="DO326" s="1256"/>
    </row>
    <row r="327" spans="1:119" s="1258" customFormat="1" hidden="1">
      <c r="A327" s="12" t="s">
        <v>14</v>
      </c>
      <c r="B327" s="1263">
        <v>155670</v>
      </c>
      <c r="C327" s="1263">
        <v>155670</v>
      </c>
      <c r="D327" s="1261"/>
      <c r="F327" s="1256"/>
      <c r="G327" s="1256"/>
      <c r="H327" s="1256"/>
      <c r="I327" s="1256"/>
      <c r="J327" s="1257"/>
      <c r="K327" s="1257"/>
      <c r="L327" s="1256"/>
      <c r="M327" s="1256"/>
      <c r="N327" s="1257"/>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c r="CB327" s="1256"/>
      <c r="CC327" s="1256"/>
      <c r="CD327" s="1256"/>
      <c r="CE327" s="1256"/>
      <c r="CF327" s="1256"/>
      <c r="CG327" s="1256"/>
      <c r="CH327" s="1256"/>
      <c r="CI327" s="1256"/>
      <c r="CJ327" s="1256"/>
      <c r="CK327" s="1256"/>
      <c r="CL327" s="1256"/>
      <c r="CM327" s="1256"/>
      <c r="CN327" s="1256"/>
      <c r="CO327" s="1256"/>
      <c r="CP327" s="1256"/>
      <c r="CQ327" s="1256"/>
      <c r="CR327" s="1256"/>
      <c r="CS327" s="1256"/>
      <c r="CT327" s="1256"/>
      <c r="CU327" s="1256"/>
      <c r="CV327" s="1256"/>
      <c r="CW327" s="1256"/>
      <c r="CX327" s="1256"/>
      <c r="CY327" s="1256"/>
      <c r="CZ327" s="1256"/>
      <c r="DA327" s="1256"/>
      <c r="DB327" s="1256"/>
      <c r="DC327" s="1256"/>
      <c r="DD327" s="1256"/>
      <c r="DE327" s="1256"/>
      <c r="DF327" s="1256"/>
      <c r="DG327" s="1256"/>
      <c r="DH327" s="1256"/>
      <c r="DI327" s="1256"/>
      <c r="DJ327" s="1256"/>
      <c r="DK327" s="1256"/>
      <c r="DL327" s="1256"/>
      <c r="DM327" s="1256"/>
      <c r="DN327" s="1256"/>
      <c r="DO327" s="1256"/>
    </row>
    <row r="328" spans="1:119" s="1258" customFormat="1" hidden="1">
      <c r="A328" s="12" t="s">
        <v>13</v>
      </c>
      <c r="B328" s="1263">
        <v>158210</v>
      </c>
      <c r="C328" s="1263">
        <v>158210</v>
      </c>
      <c r="D328" s="1261"/>
      <c r="F328" s="1256"/>
      <c r="G328" s="1256"/>
      <c r="H328" s="1256"/>
      <c r="I328" s="1256"/>
      <c r="J328" s="1257"/>
      <c r="K328" s="1257"/>
      <c r="L328" s="1256"/>
      <c r="M328" s="1256"/>
      <c r="N328" s="1257"/>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c r="CB328" s="1256"/>
      <c r="CC328" s="1256"/>
      <c r="CD328" s="1256"/>
      <c r="CE328" s="1256"/>
      <c r="CF328" s="1256"/>
      <c r="CG328" s="1256"/>
      <c r="CH328" s="1256"/>
      <c r="CI328" s="1256"/>
      <c r="CJ328" s="1256"/>
      <c r="CK328" s="1256"/>
      <c r="CL328" s="1256"/>
      <c r="CM328" s="1256"/>
      <c r="CN328" s="1256"/>
      <c r="CO328" s="1256"/>
      <c r="CP328" s="1256"/>
      <c r="CQ328" s="1256"/>
      <c r="CR328" s="1256"/>
      <c r="CS328" s="1256"/>
      <c r="CT328" s="1256"/>
      <c r="CU328" s="1256"/>
      <c r="CV328" s="1256"/>
      <c r="CW328" s="1256"/>
      <c r="CX328" s="1256"/>
      <c r="CY328" s="1256"/>
      <c r="CZ328" s="1256"/>
      <c r="DA328" s="1256"/>
      <c r="DB328" s="1256"/>
      <c r="DC328" s="1256"/>
      <c r="DD328" s="1256"/>
      <c r="DE328" s="1256"/>
      <c r="DF328" s="1256"/>
      <c r="DG328" s="1256"/>
      <c r="DH328" s="1256"/>
      <c r="DI328" s="1256"/>
      <c r="DJ328" s="1256"/>
      <c r="DK328" s="1256"/>
      <c r="DL328" s="1256"/>
      <c r="DM328" s="1256"/>
      <c r="DN328" s="1256"/>
      <c r="DO328" s="1256"/>
    </row>
    <row r="329" spans="1:119" s="1258" customFormat="1" hidden="1">
      <c r="A329" s="12" t="s">
        <v>12</v>
      </c>
      <c r="B329" s="1263">
        <v>160793</v>
      </c>
      <c r="C329" s="1263">
        <v>160793</v>
      </c>
      <c r="D329" s="1261"/>
      <c r="F329" s="1256"/>
      <c r="G329" s="1256"/>
      <c r="H329" s="1256"/>
      <c r="I329" s="1256"/>
      <c r="J329" s="1257"/>
      <c r="K329" s="1257"/>
      <c r="L329" s="1256"/>
      <c r="M329" s="1256"/>
      <c r="N329" s="1257"/>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c r="CB329" s="1256"/>
      <c r="CC329" s="1256"/>
      <c r="CD329" s="1256"/>
      <c r="CE329" s="1256"/>
      <c r="CF329" s="1256"/>
      <c r="CG329" s="1256"/>
      <c r="CH329" s="1256"/>
      <c r="CI329" s="1256"/>
      <c r="CJ329" s="1256"/>
      <c r="CK329" s="1256"/>
      <c r="CL329" s="1256"/>
      <c r="CM329" s="1256"/>
      <c r="CN329" s="1256"/>
      <c r="CO329" s="1256"/>
      <c r="CP329" s="1256"/>
      <c r="CQ329" s="1256"/>
      <c r="CR329" s="1256"/>
      <c r="CS329" s="1256"/>
      <c r="CT329" s="1256"/>
      <c r="CU329" s="1256"/>
      <c r="CV329" s="1256"/>
      <c r="CW329" s="1256"/>
      <c r="CX329" s="1256"/>
      <c r="CY329" s="1256"/>
      <c r="CZ329" s="1256"/>
      <c r="DA329" s="1256"/>
      <c r="DB329" s="1256"/>
      <c r="DC329" s="1256"/>
      <c r="DD329" s="1256"/>
      <c r="DE329" s="1256"/>
      <c r="DF329" s="1256"/>
      <c r="DG329" s="1256"/>
      <c r="DH329" s="1256"/>
      <c r="DI329" s="1256"/>
      <c r="DJ329" s="1256"/>
      <c r="DK329" s="1256"/>
      <c r="DL329" s="1256"/>
      <c r="DM329" s="1256"/>
      <c r="DN329" s="1256"/>
      <c r="DO329" s="1256"/>
    </row>
    <row r="330" spans="1:119" s="1258" customFormat="1" hidden="1">
      <c r="A330" s="12" t="s">
        <v>11</v>
      </c>
      <c r="B330" s="1263">
        <v>163417</v>
      </c>
      <c r="C330" s="1263">
        <v>163417</v>
      </c>
      <c r="D330" s="1261"/>
      <c r="F330" s="1256"/>
      <c r="G330" s="1256"/>
      <c r="H330" s="1256"/>
      <c r="I330" s="1256"/>
      <c r="J330" s="1257"/>
      <c r="K330" s="1257"/>
      <c r="L330" s="1256"/>
      <c r="M330" s="1256"/>
      <c r="N330" s="1257"/>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c r="CB330" s="1256"/>
      <c r="CC330" s="1256"/>
      <c r="CD330" s="1256"/>
      <c r="CE330" s="1256"/>
      <c r="CF330" s="1256"/>
      <c r="CG330" s="1256"/>
      <c r="CH330" s="1256"/>
      <c r="CI330" s="1256"/>
      <c r="CJ330" s="1256"/>
      <c r="CK330" s="1256"/>
      <c r="CL330" s="1256"/>
      <c r="CM330" s="1256"/>
      <c r="CN330" s="1256"/>
      <c r="CO330" s="1256"/>
      <c r="CP330" s="1256"/>
      <c r="CQ330" s="1256"/>
      <c r="CR330" s="1256"/>
      <c r="CS330" s="1256"/>
      <c r="CT330" s="1256"/>
      <c r="CU330" s="1256"/>
      <c r="CV330" s="1256"/>
      <c r="CW330" s="1256"/>
      <c r="CX330" s="1256"/>
      <c r="CY330" s="1256"/>
      <c r="CZ330" s="1256"/>
      <c r="DA330" s="1256"/>
      <c r="DB330" s="1256"/>
      <c r="DC330" s="1256"/>
      <c r="DD330" s="1256"/>
      <c r="DE330" s="1256"/>
      <c r="DF330" s="1256"/>
      <c r="DG330" s="1256"/>
      <c r="DH330" s="1256"/>
      <c r="DI330" s="1256"/>
      <c r="DJ330" s="1256"/>
      <c r="DK330" s="1256"/>
      <c r="DL330" s="1256"/>
      <c r="DM330" s="1256"/>
      <c r="DN330" s="1256"/>
      <c r="DO330" s="1256"/>
    </row>
    <row r="331" spans="1:119" hidden="1">
      <c r="A331" s="12" t="s">
        <v>10</v>
      </c>
      <c r="B331" s="1263">
        <v>166085</v>
      </c>
      <c r="C331" s="1263">
        <v>166085</v>
      </c>
      <c r="D331" s="1261"/>
    </row>
    <row r="332" spans="1:119" hidden="1">
      <c r="A332" s="12" t="s">
        <v>9</v>
      </c>
      <c r="B332" s="1263">
        <v>168795</v>
      </c>
      <c r="C332" s="1263">
        <v>168795</v>
      </c>
      <c r="D332" s="1261"/>
    </row>
    <row r="333" spans="1:119" hidden="1">
      <c r="A333" s="12" t="s">
        <v>8</v>
      </c>
      <c r="B333" s="1263">
        <v>171550</v>
      </c>
      <c r="C333" s="1263">
        <v>171550</v>
      </c>
      <c r="D333" s="1261"/>
    </row>
    <row r="334" spans="1:119" hidden="1">
      <c r="A334" s="10" t="s">
        <v>7</v>
      </c>
      <c r="B334" s="1262">
        <v>173081</v>
      </c>
      <c r="C334" s="1262">
        <v>173081</v>
      </c>
      <c r="D334" s="1261"/>
    </row>
    <row r="335" spans="1:119" hidden="1">
      <c r="A335" s="10" t="s">
        <v>6</v>
      </c>
      <c r="B335" s="1262">
        <v>175905</v>
      </c>
      <c r="C335" s="1262">
        <v>175905</v>
      </c>
      <c r="D335" s="1261"/>
    </row>
    <row r="336" spans="1:119" hidden="1">
      <c r="A336" s="10" t="s">
        <v>5</v>
      </c>
      <c r="B336" s="1262">
        <v>178778</v>
      </c>
      <c r="C336" s="1262">
        <v>178778</v>
      </c>
      <c r="D336" s="1261"/>
    </row>
    <row r="337" spans="1:5" hidden="1">
      <c r="A337" s="10" t="s">
        <v>4</v>
      </c>
      <c r="B337" s="1262">
        <v>181696</v>
      </c>
      <c r="C337" s="1262">
        <v>181696</v>
      </c>
      <c r="D337" s="1261"/>
    </row>
    <row r="338" spans="1:5" hidden="1">
      <c r="A338" s="10" t="s">
        <v>3</v>
      </c>
      <c r="B338" s="1262">
        <v>184661</v>
      </c>
      <c r="C338" s="1262">
        <v>184661</v>
      </c>
      <c r="D338" s="1261"/>
    </row>
    <row r="339" spans="1:5" hidden="1">
      <c r="A339" s="10" t="s">
        <v>2</v>
      </c>
      <c r="B339" s="1262">
        <v>187675</v>
      </c>
      <c r="C339" s="1262">
        <v>187675</v>
      </c>
      <c r="D339" s="1261"/>
    </row>
    <row r="340" spans="1:5" hidden="1">
      <c r="A340" s="10" t="s">
        <v>1</v>
      </c>
      <c r="B340" s="1262">
        <v>190738</v>
      </c>
      <c r="C340" s="1262">
        <v>190738</v>
      </c>
      <c r="D340" s="1261"/>
    </row>
    <row r="341" spans="1:5" hidden="1">
      <c r="A341" s="10" t="s">
        <v>0</v>
      </c>
      <c r="B341" s="1262">
        <v>193851</v>
      </c>
      <c r="C341" s="1262">
        <v>193851</v>
      </c>
      <c r="D341" s="1261"/>
    </row>
    <row r="342" spans="1:5" s="1257" customFormat="1" ht="15" hidden="1">
      <c r="A342" s="1260"/>
      <c r="B342" s="6"/>
      <c r="E342" s="1259"/>
    </row>
    <row r="343" spans="1:5" s="1257" customFormat="1" ht="15" hidden="1">
      <c r="A343" s="1260"/>
      <c r="B343" s="6"/>
      <c r="E343" s="1259"/>
    </row>
    <row r="344" spans="1:5" s="1257" customFormat="1" ht="15" hidden="1">
      <c r="A344" s="1260"/>
      <c r="B344" s="6"/>
      <c r="E344" s="1259"/>
    </row>
    <row r="345" spans="1:5" s="1257" customFormat="1" ht="15" hidden="1">
      <c r="A345" s="1260"/>
      <c r="B345" s="6"/>
      <c r="E345" s="1259"/>
    </row>
    <row r="346" spans="1:5" s="1257" customFormat="1" ht="15" hidden="1">
      <c r="A346" s="1260"/>
      <c r="B346" s="6"/>
      <c r="E346" s="1259"/>
    </row>
    <row r="347" spans="1:5" s="1257" customFormat="1" ht="15" hidden="1">
      <c r="A347" s="1260"/>
      <c r="B347" s="6"/>
      <c r="E347" s="1259"/>
    </row>
    <row r="348" spans="1:5" s="1257" customFormat="1" ht="15" hidden="1">
      <c r="A348" s="1260"/>
      <c r="B348" s="6"/>
      <c r="E348" s="1259"/>
    </row>
    <row r="349" spans="1:5" s="1257" customFormat="1" ht="15" hidden="1">
      <c r="A349" s="1260"/>
      <c r="B349" s="6"/>
      <c r="E349" s="1259"/>
    </row>
    <row r="350" spans="1:5" s="1257" customFormat="1" ht="15" hidden="1">
      <c r="A350" s="1260"/>
      <c r="B350" s="6"/>
      <c r="E350" s="1259"/>
    </row>
    <row r="351" spans="1:5" s="1257" customFormat="1" ht="15" hidden="1">
      <c r="A351" s="1260"/>
      <c r="B351" s="6"/>
      <c r="E351" s="1259"/>
    </row>
    <row r="352" spans="1:5" s="1257" customFormat="1" ht="15" hidden="1">
      <c r="A352" s="1260"/>
      <c r="B352" s="6"/>
      <c r="E352" s="1259"/>
    </row>
    <row r="353" spans="1:5" s="1257" customFormat="1" ht="15" hidden="1">
      <c r="A353" s="1260"/>
      <c r="B353" s="6"/>
      <c r="E353" s="1259"/>
    </row>
    <row r="354" spans="1:5" s="1257" customFormat="1" ht="15" hidden="1">
      <c r="A354" s="1260"/>
      <c r="B354" s="6"/>
      <c r="E354" s="1259"/>
    </row>
    <row r="355" spans="1:5" s="1257" customFormat="1" ht="15" hidden="1">
      <c r="A355" s="1260"/>
      <c r="B355" s="6"/>
      <c r="E355" s="1259"/>
    </row>
    <row r="356" spans="1:5" s="1257" customFormat="1" ht="15" hidden="1">
      <c r="A356" s="1260"/>
      <c r="B356" s="6"/>
      <c r="E356" s="1259"/>
    </row>
    <row r="357" spans="1:5" s="1257" customFormat="1" ht="15" hidden="1">
      <c r="A357" s="1260"/>
      <c r="B357" s="6"/>
      <c r="E357" s="1259"/>
    </row>
    <row r="358" spans="1:5" s="1257" customFormat="1" ht="15" hidden="1">
      <c r="A358" s="1260"/>
      <c r="B358" s="6"/>
      <c r="E358" s="1259"/>
    </row>
    <row r="359" spans="1:5" s="1257" customFormat="1" ht="15" hidden="1">
      <c r="A359" s="1260"/>
      <c r="B359" s="6"/>
      <c r="E359" s="1259"/>
    </row>
    <row r="360" spans="1:5" s="1257" customFormat="1" ht="15" hidden="1">
      <c r="A360" s="1260"/>
      <c r="B360" s="6"/>
      <c r="E360" s="1259"/>
    </row>
    <row r="361" spans="1:5" s="1257" customFormat="1" ht="15" hidden="1">
      <c r="A361" s="1260"/>
      <c r="B361" s="6"/>
      <c r="E361" s="1259"/>
    </row>
    <row r="362" spans="1:5" s="1257" customFormat="1" ht="15" hidden="1">
      <c r="A362" s="1260"/>
      <c r="B362" s="6"/>
      <c r="E362" s="1259"/>
    </row>
    <row r="363" spans="1:5" s="1257" customFormat="1" ht="15" hidden="1">
      <c r="A363" s="1260"/>
      <c r="B363" s="6"/>
      <c r="E363" s="1259"/>
    </row>
    <row r="364" spans="1:5" s="1257" customFormat="1" ht="15" hidden="1">
      <c r="A364" s="1260"/>
      <c r="B364" s="6"/>
      <c r="E364" s="1259"/>
    </row>
    <row r="365" spans="1:5" s="1257" customFormat="1" ht="15" hidden="1">
      <c r="A365" s="1260"/>
      <c r="B365" s="6"/>
      <c r="E365" s="1259"/>
    </row>
    <row r="366" spans="1:5" s="1257" customFormat="1" ht="15" hidden="1">
      <c r="A366" s="1260"/>
      <c r="B366" s="6"/>
      <c r="E366" s="1259"/>
    </row>
    <row r="367" spans="1:5" s="1257" customFormat="1" ht="15">
      <c r="A367" s="1260"/>
      <c r="B367" s="6"/>
      <c r="E367" s="1259"/>
    </row>
    <row r="368" spans="1:5" s="1257" customFormat="1" ht="15">
      <c r="A368" s="1260"/>
      <c r="B368" s="6"/>
      <c r="E368" s="1259"/>
    </row>
    <row r="369" spans="1:5" s="1257" customFormat="1" ht="15">
      <c r="A369" s="1260"/>
      <c r="B369" s="6"/>
      <c r="E369" s="1259"/>
    </row>
    <row r="370" spans="1:5" s="1257" customFormat="1" ht="15">
      <c r="A370" s="1260"/>
      <c r="B370" s="6"/>
      <c r="E370" s="1259"/>
    </row>
  </sheetData>
  <mergeCells count="20">
    <mergeCell ref="A10:B10"/>
    <mergeCell ref="L11:M11"/>
    <mergeCell ref="A100:B100"/>
    <mergeCell ref="L10:M10"/>
    <mergeCell ref="O10:P10"/>
    <mergeCell ref="A99:B99"/>
    <mergeCell ref="E8:F8"/>
    <mergeCell ref="G8:H8"/>
    <mergeCell ref="J8:K8"/>
    <mergeCell ref="E9:F9"/>
    <mergeCell ref="G9:H9"/>
    <mergeCell ref="J9:K9"/>
    <mergeCell ref="E7:F7"/>
    <mergeCell ref="G7:H7"/>
    <mergeCell ref="J7:K7"/>
    <mergeCell ref="A3:I3"/>
    <mergeCell ref="A4:I4"/>
    <mergeCell ref="A5:I5"/>
    <mergeCell ref="G6:H6"/>
    <mergeCell ref="J6:K6"/>
  </mergeCells>
  <printOptions horizontalCentered="1"/>
  <pageMargins left="0.5" right="0" top="0.25" bottom="0" header="0.5" footer="0.5"/>
  <pageSetup paperSize="5" orientation="landscape" horizontalDpi="4294967295" verticalDpi="72"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outlinePr summaryBelow="0"/>
  </sheetPr>
  <dimension ref="A1:ES145"/>
  <sheetViews>
    <sheetView showGridLines="0" showOutlineSymbols="0" topLeftCell="A79" zoomScale="110" zoomScaleNormal="110" workbookViewId="0">
      <selection activeCell="F24" sqref="F24"/>
    </sheetView>
  </sheetViews>
  <sheetFormatPr defaultColWidth="12.5703125" defaultRowHeight="15.75" outlineLevelRow="1" outlineLevelCol="2"/>
  <cols>
    <col min="1" max="1" width="1.85546875" style="1390" customWidth="1"/>
    <col min="2" max="2" width="34" style="1390" customWidth="1"/>
    <col min="3" max="3" width="10.140625" style="1390" customWidth="1"/>
    <col min="4" max="5" width="10.7109375" style="1390" customWidth="1"/>
    <col min="6" max="6" width="11.140625" style="1390" customWidth="1"/>
    <col min="7" max="7" width="10.85546875" style="1390" customWidth="1"/>
    <col min="8" max="8" width="11" style="1390" customWidth="1"/>
    <col min="9" max="9" width="11.85546875" style="572" hidden="1" customWidth="1"/>
    <col min="10" max="10" width="12.28515625" style="1390" hidden="1" customWidth="1"/>
    <col min="11" max="11" width="0" style="1390" hidden="1" customWidth="1"/>
    <col min="12" max="12" width="13.7109375" style="1390" hidden="1" customWidth="1"/>
    <col min="13" max="13" width="12.85546875" style="1390" hidden="1" customWidth="1"/>
    <col min="14" max="26" width="0" style="1390" hidden="1" customWidth="1"/>
    <col min="27" max="48" width="12.5703125" style="1390"/>
    <col min="49" max="53" width="12.5703125" style="1390" outlineLevel="1"/>
    <col min="54" max="59" width="12.5703125" style="1390" outlineLevel="2"/>
    <col min="60" max="62" width="12.5703125" style="1390" outlineLevel="1"/>
    <col min="63" max="82" width="12.5703125" style="1390"/>
    <col min="83" max="86" width="12.5703125" style="1390" outlineLevel="1"/>
    <col min="87" max="134" width="12.5703125" style="1390"/>
    <col min="135" max="140" width="12.5703125" style="1390" outlineLevel="1"/>
    <col min="141" max="146" width="12.5703125" style="1390" outlineLevel="2"/>
    <col min="147" max="149" width="12.5703125" style="1390" outlineLevel="1"/>
    <col min="150" max="16384" width="12.5703125" style="1390"/>
  </cols>
  <sheetData>
    <row r="1" spans="1:13">
      <c r="A1" s="1478" t="s">
        <v>473</v>
      </c>
      <c r="B1" s="1403"/>
      <c r="C1" s="1403"/>
      <c r="E1" s="1478"/>
      <c r="H1" s="1478"/>
    </row>
    <row r="2" spans="1:13" ht="14.25" customHeight="1">
      <c r="A2" s="1477" t="s">
        <v>1291</v>
      </c>
      <c r="B2" s="1403"/>
      <c r="C2" s="1403"/>
      <c r="E2" s="1477"/>
      <c r="H2" s="1477"/>
    </row>
    <row r="3" spans="1:13" ht="14.25" customHeight="1">
      <c r="A3" s="1477"/>
      <c r="B3" s="1403"/>
      <c r="C3" s="1403"/>
      <c r="E3" s="1477"/>
      <c r="H3" s="1477"/>
    </row>
    <row r="4" spans="1:13" ht="14.25" customHeight="1">
      <c r="A4" s="4741" t="s">
        <v>471</v>
      </c>
      <c r="B4" s="4741"/>
      <c r="C4" s="4741"/>
      <c r="D4" s="4741"/>
      <c r="E4" s="4741"/>
      <c r="F4" s="4741"/>
      <c r="G4" s="4741"/>
      <c r="H4" s="4741"/>
    </row>
    <row r="5" spans="1:13" ht="14.25" customHeight="1">
      <c r="A5" s="4742" t="s">
        <v>470</v>
      </c>
      <c r="B5" s="4742"/>
      <c r="C5" s="4742"/>
      <c r="D5" s="4742"/>
      <c r="E5" s="4742"/>
      <c r="F5" s="4742"/>
      <c r="G5" s="4742"/>
      <c r="H5" s="4742"/>
    </row>
    <row r="6" spans="1:13" ht="6.75" customHeight="1">
      <c r="A6" s="1578"/>
      <c r="B6" s="1578"/>
      <c r="C6" s="1578"/>
      <c r="D6" s="1578"/>
      <c r="E6" s="1578"/>
      <c r="F6" s="1578"/>
      <c r="G6" s="1578"/>
      <c r="H6" s="1578"/>
    </row>
    <row r="7" spans="1:13" ht="16.5" customHeight="1">
      <c r="A7" s="1577" t="s">
        <v>1290</v>
      </c>
      <c r="D7" s="1403"/>
      <c r="E7" s="1403"/>
      <c r="F7" s="1403"/>
      <c r="G7" s="1403"/>
      <c r="H7" s="1403"/>
    </row>
    <row r="8" spans="1:13" ht="7.15" customHeight="1">
      <c r="A8" s="1577"/>
      <c r="D8" s="1403"/>
      <c r="E8" s="1403"/>
      <c r="F8" s="1403"/>
      <c r="G8" s="1403"/>
      <c r="H8" s="1403"/>
    </row>
    <row r="9" spans="1:13" ht="12" customHeight="1">
      <c r="A9" s="4743" t="s">
        <v>468</v>
      </c>
      <c r="B9" s="4744"/>
      <c r="C9" s="1468" t="s">
        <v>467</v>
      </c>
      <c r="D9" s="1469" t="s">
        <v>466</v>
      </c>
      <c r="E9" s="4749" t="s">
        <v>465</v>
      </c>
      <c r="F9" s="4750"/>
      <c r="G9" s="4751"/>
      <c r="H9" s="1468" t="s">
        <v>464</v>
      </c>
      <c r="I9" s="1576" t="s">
        <v>464</v>
      </c>
    </row>
    <row r="10" spans="1:13" ht="12" customHeight="1">
      <c r="A10" s="4745"/>
      <c r="B10" s="4746"/>
      <c r="C10" s="1467" t="s">
        <v>463</v>
      </c>
      <c r="D10" s="1465">
        <v>2020</v>
      </c>
      <c r="E10" s="1466" t="s">
        <v>462</v>
      </c>
      <c r="F10" s="1466" t="s">
        <v>461</v>
      </c>
      <c r="G10" s="4752" t="s">
        <v>244</v>
      </c>
      <c r="H10" s="1465">
        <v>2022</v>
      </c>
      <c r="I10" s="1465">
        <v>2022</v>
      </c>
    </row>
    <row r="11" spans="1:13" ht="12" customHeight="1">
      <c r="A11" s="4747"/>
      <c r="B11" s="4748"/>
      <c r="C11" s="1464"/>
      <c r="D11" s="1463" t="s">
        <v>460</v>
      </c>
      <c r="E11" s="1463" t="s">
        <v>460</v>
      </c>
      <c r="F11" s="1463" t="s">
        <v>459</v>
      </c>
      <c r="G11" s="4753"/>
      <c r="H11" s="1463" t="s">
        <v>458</v>
      </c>
      <c r="I11" s="1575" t="s">
        <v>457</v>
      </c>
      <c r="J11" s="256">
        <v>0.1</v>
      </c>
      <c r="K11" s="1395"/>
      <c r="L11" s="1395"/>
      <c r="M11" s="1395"/>
    </row>
    <row r="12" spans="1:13" ht="12.95" customHeight="1">
      <c r="A12" s="1574" t="s">
        <v>456</v>
      </c>
      <c r="B12" s="1569"/>
      <c r="C12" s="1573"/>
      <c r="D12" s="1573"/>
      <c r="E12" s="1573"/>
      <c r="F12" s="1572"/>
      <c r="G12" s="1572"/>
      <c r="H12" s="1572"/>
      <c r="I12" s="1571"/>
      <c r="J12" s="241"/>
      <c r="K12" s="1395"/>
      <c r="L12" s="1395"/>
      <c r="M12" s="1395"/>
    </row>
    <row r="13" spans="1:13" ht="12.95" customHeight="1">
      <c r="A13" s="1570" t="s">
        <v>455</v>
      </c>
      <c r="B13" s="1569"/>
      <c r="C13" s="1568"/>
      <c r="D13" s="1567">
        <f t="shared" ref="D13:I13" si="0">SUM(D15:D36)</f>
        <v>19244197.550000001</v>
      </c>
      <c r="E13" s="1567">
        <f t="shared" si="0"/>
        <v>9011831.75</v>
      </c>
      <c r="F13" s="1567">
        <f t="shared" si="0"/>
        <v>14046006.25</v>
      </c>
      <c r="G13" s="1567">
        <f t="shared" si="0"/>
        <v>23057838</v>
      </c>
      <c r="H13" s="1567">
        <f t="shared" si="0"/>
        <v>24362431</v>
      </c>
      <c r="I13" s="1566">
        <f t="shared" si="0"/>
        <v>24362431</v>
      </c>
      <c r="J13" s="248"/>
      <c r="K13" s="1395"/>
      <c r="L13" s="1395"/>
      <c r="M13" s="1395"/>
    </row>
    <row r="14" spans="1:13" ht="15" customHeight="1" outlineLevel="1">
      <c r="A14" s="1537" t="s">
        <v>454</v>
      </c>
      <c r="B14" s="1565"/>
      <c r="C14" s="1564"/>
      <c r="D14" s="1563"/>
      <c r="E14" s="1563"/>
      <c r="F14" s="1562"/>
      <c r="G14" s="1562"/>
      <c r="H14" s="1562"/>
      <c r="I14" s="1561"/>
      <c r="J14" s="495"/>
      <c r="K14" s="1395"/>
      <c r="L14" s="1395"/>
      <c r="M14" s="1395"/>
    </row>
    <row r="15" spans="1:13" ht="14.85" customHeight="1" outlineLevel="1">
      <c r="A15" s="1560" t="s">
        <v>1289</v>
      </c>
      <c r="B15" s="1519"/>
      <c r="C15" s="1535" t="s">
        <v>453</v>
      </c>
      <c r="D15" s="1559">
        <v>10700304.370000001</v>
      </c>
      <c r="E15" s="1454">
        <v>5945967.2199999997</v>
      </c>
      <c r="F15" s="1558">
        <f>SUM(G15-E15)</f>
        <v>8465604.7800000012</v>
      </c>
      <c r="G15" s="1557">
        <v>14411572</v>
      </c>
      <c r="H15" s="1556">
        <f>'plantilla (5)'!H95</f>
        <v>14323632</v>
      </c>
      <c r="I15" s="1556">
        <f>'plantilla (5)'!K95</f>
        <v>14323632</v>
      </c>
      <c r="J15" s="1541">
        <f>SUM(H15*0.1)</f>
        <v>1432363.2000000002</v>
      </c>
      <c r="K15" s="1395"/>
      <c r="L15" s="1395"/>
      <c r="M15" s="1395"/>
    </row>
    <row r="16" spans="1:13" ht="14.85" customHeight="1" outlineLevel="1">
      <c r="A16" s="1537" t="s">
        <v>452</v>
      </c>
      <c r="B16" s="1519"/>
      <c r="C16" s="1535"/>
      <c r="D16" s="1428"/>
      <c r="E16" s="1454"/>
      <c r="F16" s="1454"/>
      <c r="G16" s="1425"/>
      <c r="H16" s="1555"/>
      <c r="I16" s="1555"/>
      <c r="J16" s="1545"/>
      <c r="K16" s="1395"/>
      <c r="L16" s="1395"/>
      <c r="M16" s="1395"/>
    </row>
    <row r="17" spans="1:17" ht="14.85" customHeight="1" outlineLevel="1">
      <c r="A17" s="1536" t="s">
        <v>451</v>
      </c>
      <c r="B17" s="1552"/>
      <c r="C17" s="1535" t="s">
        <v>450</v>
      </c>
      <c r="D17" s="1428">
        <v>993161.34000000008</v>
      </c>
      <c r="E17" s="1454">
        <v>580741.93999999994</v>
      </c>
      <c r="F17" s="1454">
        <f t="shared" ref="F17:F24" si="1">SUM(G17-E17)</f>
        <v>715258.06</v>
      </c>
      <c r="G17" s="237">
        <v>1296000</v>
      </c>
      <c r="H17" s="237">
        <f>SUM('plantilla (5)'!B95*2000*12)</f>
        <v>1464000</v>
      </c>
      <c r="I17" s="237">
        <f>SUM('plantilla (5)'!B95*2000*12)</f>
        <v>1464000</v>
      </c>
      <c r="J17" s="1545"/>
      <c r="K17" s="1395"/>
      <c r="L17" s="1395"/>
      <c r="M17" s="1395"/>
    </row>
    <row r="18" spans="1:17" ht="14.85" customHeight="1" outlineLevel="1">
      <c r="A18" s="1536" t="s">
        <v>449</v>
      </c>
      <c r="B18" s="1552"/>
      <c r="C18" s="1518" t="s">
        <v>448</v>
      </c>
      <c r="D18" s="1428">
        <v>93218.75</v>
      </c>
      <c r="E18" s="1454">
        <v>59375</v>
      </c>
      <c r="F18" s="1454">
        <f t="shared" si="1"/>
        <v>83125</v>
      </c>
      <c r="G18" s="237">
        <v>142500</v>
      </c>
      <c r="H18" s="1554">
        <f>(7125+4750)*12</f>
        <v>142500</v>
      </c>
      <c r="I18" s="1554">
        <f>(7125+4750)*12</f>
        <v>142500</v>
      </c>
      <c r="J18" s="1545"/>
      <c r="K18" s="1395"/>
      <c r="L18" s="1395"/>
      <c r="M18" s="1395"/>
    </row>
    <row r="19" spans="1:17" ht="14.85" customHeight="1" outlineLevel="1">
      <c r="A19" s="1536" t="s">
        <v>447</v>
      </c>
      <c r="B19" s="1552"/>
      <c r="C19" s="1518" t="s">
        <v>446</v>
      </c>
      <c r="D19" s="1428">
        <v>93218.75</v>
      </c>
      <c r="E19" s="1454">
        <v>59375</v>
      </c>
      <c r="F19" s="1454">
        <f t="shared" si="1"/>
        <v>83125</v>
      </c>
      <c r="G19" s="237">
        <v>142500</v>
      </c>
      <c r="H19" s="1554">
        <f>(7125+4750)*12</f>
        <v>142500</v>
      </c>
      <c r="I19" s="1554">
        <f>(7125+4750)*12</f>
        <v>142500</v>
      </c>
      <c r="J19" s="1545"/>
      <c r="K19" s="1395"/>
      <c r="L19" s="1395"/>
      <c r="M19" s="1395"/>
    </row>
    <row r="20" spans="1:17" ht="14.85" customHeight="1" outlineLevel="1">
      <c r="A20" s="1536" t="s">
        <v>445</v>
      </c>
      <c r="B20" s="1552"/>
      <c r="C20" s="1518" t="s">
        <v>444</v>
      </c>
      <c r="D20" s="1428">
        <v>276000</v>
      </c>
      <c r="E20" s="1454">
        <v>270000</v>
      </c>
      <c r="F20" s="1454">
        <f t="shared" si="1"/>
        <v>54000</v>
      </c>
      <c r="G20" s="237">
        <v>324000</v>
      </c>
      <c r="H20" s="237">
        <f>'plantilla (5)'!B95*6000</f>
        <v>366000</v>
      </c>
      <c r="I20" s="237">
        <f>'plantilla (5)'!B95*6000</f>
        <v>366000</v>
      </c>
      <c r="J20" s="1545"/>
      <c r="K20" s="1395"/>
    </row>
    <row r="21" spans="1:17" ht="14.85" customHeight="1" outlineLevel="1">
      <c r="A21" s="1536" t="s">
        <v>441</v>
      </c>
      <c r="B21" s="1552"/>
      <c r="C21" s="1518" t="s">
        <v>440</v>
      </c>
      <c r="D21" s="1428">
        <v>505937.46</v>
      </c>
      <c r="E21" s="1454">
        <v>232388.13999999998</v>
      </c>
      <c r="F21" s="1454">
        <f t="shared" si="1"/>
        <v>237611.86000000002</v>
      </c>
      <c r="G21" s="237">
        <v>470000</v>
      </c>
      <c r="H21" s="237">
        <v>500000</v>
      </c>
      <c r="I21" s="237">
        <v>500000</v>
      </c>
      <c r="J21" s="1545"/>
      <c r="K21" s="1395"/>
      <c r="L21" s="1543"/>
      <c r="M21" s="1530"/>
      <c r="N21" s="1395"/>
    </row>
    <row r="22" spans="1:17" ht="14.85" customHeight="1" outlineLevel="1">
      <c r="A22" s="1536" t="s">
        <v>424</v>
      </c>
      <c r="B22" s="1552"/>
      <c r="C22" s="1535" t="s">
        <v>439</v>
      </c>
      <c r="D22" s="1428">
        <v>936579</v>
      </c>
      <c r="E22" s="1454">
        <v>0</v>
      </c>
      <c r="F22" s="1454">
        <f t="shared" si="1"/>
        <v>1215131</v>
      </c>
      <c r="G22" s="1425">
        <v>1215131</v>
      </c>
      <c r="H22" s="1425">
        <f>H15/12</f>
        <v>1193636</v>
      </c>
      <c r="I22" s="1425">
        <f>I15/12</f>
        <v>1193636</v>
      </c>
      <c r="J22" s="1541">
        <f>SUM(H22*0.1)</f>
        <v>119363.6</v>
      </c>
      <c r="K22" s="1395"/>
      <c r="L22" s="1543"/>
      <c r="M22" s="1530"/>
      <c r="N22" s="1395"/>
    </row>
    <row r="23" spans="1:17" ht="14.85" customHeight="1" outlineLevel="1">
      <c r="A23" s="1536" t="s">
        <v>438</v>
      </c>
      <c r="B23" s="1552"/>
      <c r="C23" s="1535" t="s">
        <v>437</v>
      </c>
      <c r="D23" s="1428">
        <v>225000</v>
      </c>
      <c r="E23" s="1454">
        <v>0</v>
      </c>
      <c r="F23" s="1454">
        <f t="shared" si="1"/>
        <v>270000</v>
      </c>
      <c r="G23" s="388">
        <v>270000</v>
      </c>
      <c r="H23" s="388">
        <f>'plantilla (5)'!B95*5000</f>
        <v>305000</v>
      </c>
      <c r="I23" s="388">
        <f>'plantilla (5)'!B95*5000</f>
        <v>305000</v>
      </c>
      <c r="J23" s="1545"/>
      <c r="K23" s="1395"/>
      <c r="L23" s="1528"/>
      <c r="M23" s="1530"/>
      <c r="N23" s="1533"/>
    </row>
    <row r="24" spans="1:17" ht="14.85" customHeight="1" outlineLevel="1">
      <c r="A24" s="1553" t="s">
        <v>436</v>
      </c>
      <c r="B24" s="1552"/>
      <c r="C24" s="1518" t="s">
        <v>435</v>
      </c>
      <c r="D24" s="1428">
        <v>794975</v>
      </c>
      <c r="E24" s="1454">
        <v>984081</v>
      </c>
      <c r="F24" s="1454">
        <f t="shared" si="1"/>
        <v>231050</v>
      </c>
      <c r="G24" s="237">
        <v>1215131</v>
      </c>
      <c r="H24" s="388">
        <f>SUM(H15/12)</f>
        <v>1193636</v>
      </c>
      <c r="I24" s="388">
        <f>SUM(I15/12)</f>
        <v>1193636</v>
      </c>
      <c r="J24" s="1541">
        <f>SUM(H24*0.1)</f>
        <v>119363.6</v>
      </c>
      <c r="K24" s="1395"/>
      <c r="L24" s="1543"/>
      <c r="M24" s="1551"/>
      <c r="N24" s="1533"/>
      <c r="Q24" s="1395"/>
    </row>
    <row r="25" spans="1:17" ht="14.85" customHeight="1" outlineLevel="1">
      <c r="A25" s="1550" t="s">
        <v>434</v>
      </c>
      <c r="B25" s="1519"/>
      <c r="C25" s="1549"/>
      <c r="D25" s="1428"/>
      <c r="E25" s="1454"/>
      <c r="F25" s="1454"/>
      <c r="G25" s="1516"/>
      <c r="H25" s="1516"/>
      <c r="I25" s="1516"/>
      <c r="J25" s="1545"/>
      <c r="K25" s="1395"/>
      <c r="L25" s="1543"/>
      <c r="M25" s="1530"/>
      <c r="N25" s="1533"/>
      <c r="Q25" s="1395"/>
    </row>
    <row r="26" spans="1:17" ht="14.85" customHeight="1" outlineLevel="1">
      <c r="A26" s="1536" t="s">
        <v>1288</v>
      </c>
      <c r="B26" s="1519"/>
      <c r="C26" s="1535" t="s">
        <v>433</v>
      </c>
      <c r="D26" s="1428">
        <v>1283509.51</v>
      </c>
      <c r="E26" s="1454">
        <v>713932.23</v>
      </c>
      <c r="F26" s="1454">
        <f>SUM(G26-E26)</f>
        <v>1035856.77</v>
      </c>
      <c r="G26" s="1548">
        <v>1749789</v>
      </c>
      <c r="H26" s="1547">
        <f>ROUND(H15*0.12,0)</f>
        <v>1718836</v>
      </c>
      <c r="I26" s="1547">
        <f>ROUND(I15*0.12,0)</f>
        <v>1718836</v>
      </c>
      <c r="J26" s="1541">
        <f>SUM(H26*0.1)</f>
        <v>171883.6</v>
      </c>
      <c r="L26" s="1528"/>
      <c r="M26" s="1533"/>
      <c r="N26" s="1533"/>
      <c r="O26" s="1546"/>
      <c r="P26" s="1546"/>
      <c r="Q26" s="1395"/>
    </row>
    <row r="27" spans="1:17" ht="14.85" customHeight="1" outlineLevel="1">
      <c r="A27" s="1536" t="s">
        <v>432</v>
      </c>
      <c r="B27" s="1519"/>
      <c r="C27" s="1535" t="s">
        <v>431</v>
      </c>
      <c r="D27" s="1428">
        <v>49800</v>
      </c>
      <c r="E27" s="1454">
        <v>27300</v>
      </c>
      <c r="F27" s="1454">
        <f>SUM(G27-E27)</f>
        <v>37500</v>
      </c>
      <c r="G27" s="381">
        <v>64800</v>
      </c>
      <c r="H27" s="381">
        <f>'plantilla (5)'!B95*100*12</f>
        <v>73200</v>
      </c>
      <c r="I27" s="381">
        <f>'plantilla (5)'!B95*100*12</f>
        <v>73200</v>
      </c>
      <c r="J27" s="1545"/>
      <c r="L27" s="1544"/>
      <c r="M27" s="1533"/>
      <c r="N27" s="1533"/>
      <c r="O27" s="1543"/>
      <c r="P27" s="1533"/>
      <c r="Q27" s="1395"/>
    </row>
    <row r="28" spans="1:17" ht="14.85" customHeight="1" outlineLevel="1">
      <c r="A28" s="1536" t="s">
        <v>418</v>
      </c>
      <c r="B28" s="1519"/>
      <c r="C28" s="1535" t="s">
        <v>430</v>
      </c>
      <c r="D28" s="1428">
        <v>150916.93</v>
      </c>
      <c r="E28" s="1454">
        <v>83265.41</v>
      </c>
      <c r="F28" s="1454">
        <f>SUM(G28-E28)</f>
        <v>165544.59</v>
      </c>
      <c r="G28" s="1542">
        <v>248810</v>
      </c>
      <c r="H28" s="1453">
        <f>'plantilla (5)'!M97</f>
        <v>282005</v>
      </c>
      <c r="I28" s="1453">
        <f>'plantilla (5)'!P97</f>
        <v>282005</v>
      </c>
      <c r="J28" s="1541">
        <f>SUM(H28*0.1)</f>
        <v>28200.5</v>
      </c>
      <c r="L28" s="1540" t="str">
        <f>A7</f>
        <v>Office:   CITY WATERWORKS DEPARTMENT (8771)</v>
      </c>
      <c r="M28" s="1525"/>
      <c r="N28" s="1525"/>
      <c r="O28" s="1539"/>
      <c r="P28" s="1533"/>
      <c r="Q28" s="1395"/>
    </row>
    <row r="29" spans="1:17" ht="14.85" customHeight="1" outlineLevel="1">
      <c r="A29" s="1536" t="s">
        <v>428</v>
      </c>
      <c r="B29" s="1519"/>
      <c r="C29" s="1535" t="s">
        <v>427</v>
      </c>
      <c r="D29" s="1428">
        <v>49800</v>
      </c>
      <c r="E29" s="1454">
        <v>27300</v>
      </c>
      <c r="F29" s="1454">
        <f>SUM(G29-E29)</f>
        <v>37500</v>
      </c>
      <c r="G29" s="381">
        <v>64800</v>
      </c>
      <c r="H29" s="381">
        <f>'plantilla (5)'!B95*100*12</f>
        <v>73200</v>
      </c>
      <c r="I29" s="381">
        <f>'plantilla (5)'!B95*100*12</f>
        <v>73200</v>
      </c>
      <c r="J29" s="1538"/>
      <c r="L29" s="1522" t="s">
        <v>429</v>
      </c>
      <c r="M29" s="1525"/>
      <c r="N29" s="1525"/>
      <c r="O29" s="1525"/>
      <c r="P29" s="1533"/>
      <c r="Q29" s="1395"/>
    </row>
    <row r="30" spans="1:17" ht="14.85" customHeight="1" outlineLevel="1">
      <c r="A30" s="1537" t="s">
        <v>425</v>
      </c>
      <c r="B30" s="1519"/>
      <c r="C30" s="1535"/>
      <c r="D30" s="1428"/>
      <c r="E30" s="1532"/>
      <c r="F30" s="1454"/>
      <c r="G30" s="1526"/>
      <c r="H30" s="1529"/>
      <c r="I30" s="1529"/>
      <c r="J30" s="1534"/>
      <c r="L30" s="1525" t="s">
        <v>426</v>
      </c>
      <c r="M30" s="1525"/>
      <c r="N30" s="1525"/>
      <c r="O30" s="1524">
        <f>ROUND(J15,0)</f>
        <v>1432363</v>
      </c>
      <c r="P30" s="1533"/>
    </row>
    <row r="31" spans="1:17" ht="14.85" customHeight="1" outlineLevel="1">
      <c r="A31" s="1536" t="s">
        <v>423</v>
      </c>
      <c r="B31" s="1519"/>
      <c r="C31" s="1535" t="s">
        <v>422</v>
      </c>
      <c r="D31" s="1428">
        <v>12697.99</v>
      </c>
      <c r="E31" s="1532">
        <v>28105.81</v>
      </c>
      <c r="F31" s="1454">
        <f t="shared" ref="F31:F36" si="2">SUM(G31-E31)</f>
        <v>47194.19</v>
      </c>
      <c r="G31" s="1526">
        <v>75300</v>
      </c>
      <c r="H31" s="1529">
        <v>377110</v>
      </c>
      <c r="I31" s="1529">
        <f>H31</f>
        <v>377110</v>
      </c>
      <c r="J31" s="1534"/>
      <c r="L31" s="1525" t="s">
        <v>424</v>
      </c>
      <c r="M31" s="1525"/>
      <c r="N31" s="1525"/>
      <c r="O31" s="1524">
        <f>ROUND(J22,0)</f>
        <v>119364</v>
      </c>
      <c r="P31" s="1533"/>
      <c r="Q31" s="1395"/>
    </row>
    <row r="32" spans="1:17" ht="14.85" customHeight="1" outlineLevel="1" thickBot="1">
      <c r="A32" s="1527" t="s">
        <v>420</v>
      </c>
      <c r="B32" s="1519"/>
      <c r="C32" s="1518" t="s">
        <v>419</v>
      </c>
      <c r="D32" s="1428">
        <v>2707078.45</v>
      </c>
      <c r="E32" s="1532">
        <v>0</v>
      </c>
      <c r="F32" s="1454">
        <f t="shared" si="2"/>
        <v>1091505</v>
      </c>
      <c r="G32" s="1526">
        <v>1091505</v>
      </c>
      <c r="H32" s="1453">
        <f>O35</f>
        <v>1871176</v>
      </c>
      <c r="I32" s="1453">
        <f>H32</f>
        <v>1871176</v>
      </c>
      <c r="J32" s="1531">
        <f>SUM(J15:J31)</f>
        <v>1871174.5000000005</v>
      </c>
      <c r="L32" s="1525" t="s">
        <v>421</v>
      </c>
      <c r="M32" s="1525"/>
      <c r="N32" s="1525"/>
      <c r="O32" s="1524">
        <f>ROUND(J26,0)</f>
        <v>171884</v>
      </c>
      <c r="P32" s="1530"/>
    </row>
    <row r="33" spans="1:17" ht="14.85" customHeight="1" outlineLevel="1" thickTop="1">
      <c r="A33" s="1527" t="s">
        <v>417</v>
      </c>
      <c r="B33" s="1519"/>
      <c r="C33" s="1518" t="s">
        <v>416</v>
      </c>
      <c r="D33" s="1428">
        <v>45000</v>
      </c>
      <c r="E33" s="1517">
        <v>0</v>
      </c>
      <c r="F33" s="1454">
        <f t="shared" si="2"/>
        <v>5000</v>
      </c>
      <c r="G33" s="1526">
        <v>5000</v>
      </c>
      <c r="H33" s="1529">
        <v>30000</v>
      </c>
      <c r="I33" s="1529">
        <f>H33</f>
        <v>30000</v>
      </c>
      <c r="J33" s="1515"/>
      <c r="L33" s="1525" t="s">
        <v>418</v>
      </c>
      <c r="M33" s="1525"/>
      <c r="N33" s="1525"/>
      <c r="O33" s="1524">
        <f>ROUND(J28,0)</f>
        <v>28201</v>
      </c>
      <c r="P33" s="1528"/>
      <c r="Q33" s="1422"/>
    </row>
    <row r="34" spans="1:17" ht="14.85" customHeight="1" outlineLevel="1">
      <c r="A34" s="1527" t="s">
        <v>414</v>
      </c>
      <c r="B34" s="1519"/>
      <c r="C34" s="1518" t="s">
        <v>413</v>
      </c>
      <c r="D34" s="1428">
        <v>0</v>
      </c>
      <c r="E34" s="1517">
        <v>0</v>
      </c>
      <c r="F34" s="1454">
        <f t="shared" si="2"/>
        <v>1000</v>
      </c>
      <c r="G34" s="1526">
        <v>1000</v>
      </c>
      <c r="H34" s="1523">
        <v>1000</v>
      </c>
      <c r="I34" s="1523">
        <v>1000</v>
      </c>
      <c r="J34" s="1515"/>
      <c r="L34" s="1525" t="s">
        <v>415</v>
      </c>
      <c r="M34" s="1525"/>
      <c r="N34" s="1525"/>
      <c r="O34" s="1524">
        <f>ROUND(J24,0)</f>
        <v>119364</v>
      </c>
      <c r="P34" s="1395"/>
      <c r="Q34" s="1422"/>
    </row>
    <row r="35" spans="1:17" ht="14.85" customHeight="1" outlineLevel="1" thickBot="1">
      <c r="A35" s="1520" t="s">
        <v>1287</v>
      </c>
      <c r="B35" s="1519"/>
      <c r="C35" s="1518" t="s">
        <v>411</v>
      </c>
      <c r="D35" s="1497">
        <v>225000</v>
      </c>
      <c r="E35" s="1517">
        <v>0</v>
      </c>
      <c r="F35" s="1454">
        <f t="shared" si="2"/>
        <v>270000</v>
      </c>
      <c r="G35" s="1516">
        <v>270000</v>
      </c>
      <c r="H35" s="1523">
        <f>'plantilla (5)'!B95*5000</f>
        <v>305000</v>
      </c>
      <c r="I35" s="1523">
        <f>H35</f>
        <v>305000</v>
      </c>
      <c r="J35" s="1515"/>
      <c r="L35" s="1522" t="s">
        <v>410</v>
      </c>
      <c r="M35" s="1522"/>
      <c r="N35" s="1522"/>
      <c r="O35" s="1521">
        <f>SUM(O30:O34)</f>
        <v>1871176</v>
      </c>
      <c r="P35" s="1395"/>
      <c r="Q35" s="1422"/>
    </row>
    <row r="36" spans="1:17" ht="14.85" customHeight="1" outlineLevel="1" thickTop="1">
      <c r="A36" s="1520" t="s">
        <v>1286</v>
      </c>
      <c r="B36" s="1519"/>
      <c r="C36" s="1518" t="s">
        <v>408</v>
      </c>
      <c r="D36" s="1497">
        <v>102000</v>
      </c>
      <c r="E36" s="1517">
        <v>0</v>
      </c>
      <c r="F36" s="1454">
        <f t="shared" si="2"/>
        <v>0</v>
      </c>
      <c r="G36" s="1516">
        <v>0</v>
      </c>
      <c r="H36" s="1516">
        <v>0</v>
      </c>
      <c r="I36" s="1516">
        <v>0</v>
      </c>
      <c r="J36" s="1515"/>
      <c r="M36" s="1510"/>
      <c r="N36" s="1510"/>
      <c r="O36" s="1510"/>
      <c r="P36" s="1514"/>
      <c r="Q36" s="1422"/>
    </row>
    <row r="37" spans="1:17" ht="20.100000000000001" customHeight="1" outlineLevel="1">
      <c r="A37" s="1436" t="s">
        <v>407</v>
      </c>
      <c r="B37" s="1435"/>
      <c r="C37" s="1513"/>
      <c r="D37" s="1512">
        <f>SUM(D38:D91)-D78</f>
        <v>24671046.07</v>
      </c>
      <c r="E37" s="1512">
        <f>SUM(E38:E91)-E78</f>
        <v>12881035.240000002</v>
      </c>
      <c r="F37" s="1512">
        <f>SUM(F38:F91)-F78</f>
        <v>19955354.760000002</v>
      </c>
      <c r="G37" s="1512">
        <f>SUM(G38:G91)-G78</f>
        <v>32836390</v>
      </c>
      <c r="H37" s="1512">
        <f>SUM(H38:H91)-H78</f>
        <v>34023570</v>
      </c>
      <c r="I37" s="1508">
        <v>31258290</v>
      </c>
      <c r="J37" s="1511">
        <f>SUM(G37-I37)</f>
        <v>1578100</v>
      </c>
      <c r="K37" s="1395"/>
      <c r="L37" s="1510"/>
      <c r="M37" s="1510"/>
      <c r="N37" s="1510"/>
      <c r="O37" s="1510"/>
      <c r="P37" s="1395"/>
      <c r="Q37" s="1422"/>
    </row>
    <row r="38" spans="1:17" s="1422" customFormat="1" ht="14.85" customHeight="1" outlineLevel="1">
      <c r="A38" s="1506" t="s">
        <v>646</v>
      </c>
      <c r="B38" s="518"/>
      <c r="C38" s="165" t="s">
        <v>405</v>
      </c>
      <c r="D38" s="1428">
        <v>21360</v>
      </c>
      <c r="E38" s="1427">
        <v>10900</v>
      </c>
      <c r="F38" s="1454">
        <f>SUM(G38-E38)</f>
        <v>79100</v>
      </c>
      <c r="G38" s="1427">
        <v>90000</v>
      </c>
      <c r="H38" s="1431">
        <v>90000</v>
      </c>
      <c r="I38" s="1508"/>
      <c r="J38" s="1395"/>
      <c r="K38" s="1395"/>
      <c r="L38" s="1437"/>
      <c r="M38" s="1509" t="s">
        <v>1285</v>
      </c>
      <c r="N38" s="1509"/>
    </row>
    <row r="39" spans="1:17" s="1422" customFormat="1" ht="14.85" customHeight="1" outlineLevel="1">
      <c r="A39" s="1506" t="s">
        <v>404</v>
      </c>
      <c r="B39" s="518"/>
      <c r="C39" s="165" t="s">
        <v>403</v>
      </c>
      <c r="D39" s="1428">
        <v>36110</v>
      </c>
      <c r="E39" s="1427">
        <v>0</v>
      </c>
      <c r="F39" s="1454">
        <f>SUM(G39-E39)</f>
        <v>125000</v>
      </c>
      <c r="G39" s="1425">
        <v>125000</v>
      </c>
      <c r="H39" s="1504">
        <v>125000</v>
      </c>
      <c r="I39" s="1508">
        <v>22942620</v>
      </c>
      <c r="L39" s="1503" t="s">
        <v>777</v>
      </c>
      <c r="M39" s="1505">
        <f>'plantilla (5)'!B95*2100</f>
        <v>128100</v>
      </c>
      <c r="N39" s="1501"/>
    </row>
    <row r="40" spans="1:17" s="1422" customFormat="1" ht="14.85" customHeight="1" outlineLevel="1">
      <c r="A40" s="1506" t="s">
        <v>402</v>
      </c>
      <c r="B40" s="518"/>
      <c r="C40" s="165" t="s">
        <v>401</v>
      </c>
      <c r="D40" s="1428">
        <v>82856.639999999999</v>
      </c>
      <c r="E40" s="1427">
        <v>81479.600000000006</v>
      </c>
      <c r="F40" s="1454">
        <f>SUM(G40-E40)</f>
        <v>118520.4</v>
      </c>
      <c r="G40" s="1425">
        <v>200000</v>
      </c>
      <c r="H40" s="1504">
        <v>220000</v>
      </c>
      <c r="I40" s="1507">
        <f>SUM(H37-I39)</f>
        <v>11080950</v>
      </c>
      <c r="L40" s="1503" t="s">
        <v>387</v>
      </c>
      <c r="M40" s="1505">
        <f>'plantilla (5)'!B95*200</f>
        <v>12200</v>
      </c>
      <c r="N40" s="1501"/>
    </row>
    <row r="41" spans="1:17" s="1422" customFormat="1" ht="14.85" customHeight="1" outlineLevel="1">
      <c r="A41" s="1506" t="s">
        <v>1284</v>
      </c>
      <c r="B41" s="518"/>
      <c r="C41" s="165"/>
      <c r="D41" s="1428"/>
      <c r="E41" s="1427"/>
      <c r="F41" s="1454"/>
      <c r="G41" s="1425"/>
      <c r="H41" s="1504"/>
      <c r="I41" s="1486"/>
      <c r="L41" s="1503" t="s">
        <v>382</v>
      </c>
      <c r="M41" s="1505">
        <f>SUM(M42-M39-M40)</f>
        <v>379880</v>
      </c>
      <c r="N41" s="1501"/>
    </row>
    <row r="42" spans="1:17" s="1422" customFormat="1" ht="14.85" customHeight="1" outlineLevel="1" thickBot="1">
      <c r="A42" s="519"/>
      <c r="B42" s="518" t="s">
        <v>1283</v>
      </c>
      <c r="C42" s="161" t="s">
        <v>398</v>
      </c>
      <c r="D42" s="1428">
        <v>49602</v>
      </c>
      <c r="E42" s="1427">
        <v>40160</v>
      </c>
      <c r="F42" s="1454">
        <f t="shared" ref="F42:F56" si="3">SUM(G42-E42)</f>
        <v>79840</v>
      </c>
      <c r="G42" s="1425">
        <v>120000</v>
      </c>
      <c r="H42" s="1504">
        <v>120000</v>
      </c>
      <c r="I42" s="1486"/>
      <c r="L42" s="1503" t="s">
        <v>379</v>
      </c>
      <c r="M42" s="1502">
        <f>H91</f>
        <v>520180</v>
      </c>
      <c r="N42" s="1501"/>
    </row>
    <row r="43" spans="1:17" s="1422" customFormat="1" ht="14.85" customHeight="1" outlineLevel="1" thickTop="1">
      <c r="A43" s="1496" t="s">
        <v>1282</v>
      </c>
      <c r="B43" s="1495"/>
      <c r="C43" s="944" t="s">
        <v>1281</v>
      </c>
      <c r="D43" s="1428">
        <v>260000</v>
      </c>
      <c r="E43" s="1427">
        <v>146000</v>
      </c>
      <c r="F43" s="1454">
        <f t="shared" si="3"/>
        <v>114000</v>
      </c>
      <c r="G43" s="1425">
        <v>260000</v>
      </c>
      <c r="H43" s="1431">
        <v>260000</v>
      </c>
      <c r="I43" s="1486"/>
      <c r="N43" s="1437"/>
    </row>
    <row r="44" spans="1:17" s="1422" customFormat="1" ht="14.85" customHeight="1" outlineLevel="1">
      <c r="A44" s="1496" t="s">
        <v>1280</v>
      </c>
      <c r="B44" s="1495"/>
      <c r="C44" s="944" t="s">
        <v>1279</v>
      </c>
      <c r="D44" s="1428">
        <v>29640</v>
      </c>
      <c r="E44" s="1427">
        <v>0</v>
      </c>
      <c r="F44" s="1454">
        <f t="shared" si="3"/>
        <v>105000</v>
      </c>
      <c r="G44" s="1425">
        <v>105000</v>
      </c>
      <c r="H44" s="1431">
        <v>50000</v>
      </c>
      <c r="I44" s="1486"/>
    </row>
    <row r="45" spans="1:17" s="1422" customFormat="1" ht="14.85" customHeight="1" outlineLevel="1">
      <c r="A45" s="1452" t="s">
        <v>674</v>
      </c>
      <c r="B45" s="1455"/>
      <c r="C45" s="945" t="s">
        <v>396</v>
      </c>
      <c r="D45" s="1428">
        <v>3909972.1700000009</v>
      </c>
      <c r="E45" s="1427">
        <v>2037631</v>
      </c>
      <c r="F45" s="1454">
        <f t="shared" si="3"/>
        <v>1202369</v>
      </c>
      <c r="G45" s="1425">
        <v>3240000</v>
      </c>
      <c r="H45" s="1431">
        <v>2740000</v>
      </c>
      <c r="I45" s="1486"/>
    </row>
    <row r="46" spans="1:17" s="1422" customFormat="1" ht="14.85" customHeight="1" outlineLevel="1">
      <c r="A46" s="1449" t="s">
        <v>1278</v>
      </c>
      <c r="B46" s="1495"/>
      <c r="C46" s="1500" t="s">
        <v>1277</v>
      </c>
      <c r="D46" s="1428">
        <v>1648775</v>
      </c>
      <c r="E46" s="1427">
        <v>924475</v>
      </c>
      <c r="F46" s="1454">
        <f t="shared" si="3"/>
        <v>1242775</v>
      </c>
      <c r="G46" s="1425">
        <v>2167250</v>
      </c>
      <c r="H46" s="1431">
        <v>1832250</v>
      </c>
      <c r="I46" s="1486"/>
    </row>
    <row r="47" spans="1:17" s="1422" customFormat="1" ht="14.85" customHeight="1" outlineLevel="1">
      <c r="A47" s="1499" t="s">
        <v>1276</v>
      </c>
      <c r="B47" s="1495"/>
      <c r="C47" s="944" t="s">
        <v>1275</v>
      </c>
      <c r="D47" s="1428">
        <v>0</v>
      </c>
      <c r="E47" s="1427">
        <v>0</v>
      </c>
      <c r="F47" s="1454">
        <f t="shared" si="3"/>
        <v>60000</v>
      </c>
      <c r="G47" s="1425">
        <v>60000</v>
      </c>
      <c r="H47" s="1490">
        <v>60000</v>
      </c>
      <c r="I47" s="1486"/>
    </row>
    <row r="48" spans="1:17" s="1422" customFormat="1" ht="14.85" customHeight="1" outlineLevel="1">
      <c r="A48" s="1499" t="s">
        <v>1274</v>
      </c>
      <c r="B48" s="1495"/>
      <c r="C48" s="944" t="s">
        <v>1273</v>
      </c>
      <c r="D48" s="1428">
        <v>0</v>
      </c>
      <c r="E48" s="1427">
        <v>0</v>
      </c>
      <c r="F48" s="1454">
        <f t="shared" si="3"/>
        <v>45000</v>
      </c>
      <c r="G48" s="1425">
        <v>45000</v>
      </c>
      <c r="H48" s="1490">
        <v>50000</v>
      </c>
      <c r="I48" s="1486"/>
    </row>
    <row r="49" spans="1:9" s="1422" customFormat="1" ht="14.85" customHeight="1" outlineLevel="1">
      <c r="A49" s="1499" t="s">
        <v>1272</v>
      </c>
      <c r="B49" s="1495"/>
      <c r="C49" s="1498" t="s">
        <v>1271</v>
      </c>
      <c r="D49" s="1497">
        <v>88550</v>
      </c>
      <c r="E49" s="1427">
        <v>0</v>
      </c>
      <c r="F49" s="1454">
        <f t="shared" si="3"/>
        <v>110000</v>
      </c>
      <c r="G49" s="1425">
        <v>110000</v>
      </c>
      <c r="H49" s="1490">
        <v>600000</v>
      </c>
      <c r="I49" s="1486"/>
    </row>
    <row r="50" spans="1:9" s="1422" customFormat="1" ht="14.85" customHeight="1" outlineLevel="1">
      <c r="A50" s="1496" t="s">
        <v>1270</v>
      </c>
      <c r="B50" s="1495"/>
      <c r="C50" s="1494" t="s">
        <v>1269</v>
      </c>
      <c r="D50" s="1428">
        <v>20232.68</v>
      </c>
      <c r="E50" s="1427">
        <v>6325.1</v>
      </c>
      <c r="F50" s="1454">
        <f t="shared" si="3"/>
        <v>17674.900000000001</v>
      </c>
      <c r="G50" s="1425">
        <v>24000</v>
      </c>
      <c r="H50" s="1490">
        <v>24000</v>
      </c>
      <c r="I50" s="1486"/>
    </row>
    <row r="51" spans="1:9" s="1422" customFormat="1" ht="14.85" customHeight="1" outlineLevel="1">
      <c r="A51" s="1496" t="s">
        <v>1268</v>
      </c>
      <c r="B51" s="1495"/>
      <c r="C51" s="1494" t="s">
        <v>1267</v>
      </c>
      <c r="D51" s="1428">
        <v>3769543.6</v>
      </c>
      <c r="E51" s="1427">
        <v>1725733.2</v>
      </c>
      <c r="F51" s="1454">
        <f t="shared" si="3"/>
        <v>2524266.7999999998</v>
      </c>
      <c r="G51" s="1425">
        <v>4250000</v>
      </c>
      <c r="H51" s="1490">
        <v>4900000</v>
      </c>
      <c r="I51" s="1486"/>
    </row>
    <row r="52" spans="1:9" s="1422" customFormat="1" ht="14.85" customHeight="1" outlineLevel="1">
      <c r="A52" s="1489" t="s">
        <v>1266</v>
      </c>
      <c r="B52" s="1488"/>
      <c r="C52" s="1494" t="s">
        <v>1265</v>
      </c>
      <c r="D52" s="1428">
        <v>5426015.3700000001</v>
      </c>
      <c r="E52" s="1427">
        <v>3289395.5700000003</v>
      </c>
      <c r="F52" s="1454">
        <f t="shared" si="3"/>
        <v>6410604.4299999997</v>
      </c>
      <c r="G52" s="1453">
        <v>9700000</v>
      </c>
      <c r="H52" s="1493">
        <v>11850000</v>
      </c>
      <c r="I52" s="1486"/>
    </row>
    <row r="53" spans="1:9" s="1422" customFormat="1" ht="14.85" customHeight="1" outlineLevel="1">
      <c r="A53" s="1452" t="s">
        <v>699</v>
      </c>
      <c r="B53" s="1455"/>
      <c r="C53" s="945" t="s">
        <v>390</v>
      </c>
      <c r="D53" s="1428">
        <v>107601.97</v>
      </c>
      <c r="E53" s="1427">
        <v>45455.740000000005</v>
      </c>
      <c r="F53" s="1454">
        <f t="shared" si="3"/>
        <v>137544.26</v>
      </c>
      <c r="G53" s="1425">
        <v>183000</v>
      </c>
      <c r="H53" s="1490">
        <v>183000</v>
      </c>
      <c r="I53" s="1486"/>
    </row>
    <row r="54" spans="1:9" s="1422" customFormat="1" ht="14.85" customHeight="1" outlineLevel="1">
      <c r="A54" s="1452" t="s">
        <v>1264</v>
      </c>
      <c r="B54" s="1455"/>
      <c r="C54" s="1492" t="s">
        <v>1263</v>
      </c>
      <c r="D54" s="1428">
        <v>19188</v>
      </c>
      <c r="E54" s="1427">
        <v>6447.5599999999995</v>
      </c>
      <c r="F54" s="1454">
        <f t="shared" si="3"/>
        <v>21092.440000000002</v>
      </c>
      <c r="G54" s="1425">
        <v>27540</v>
      </c>
      <c r="H54" s="1490">
        <v>27540</v>
      </c>
      <c r="I54" s="1486"/>
    </row>
    <row r="55" spans="1:9" s="1422" customFormat="1" ht="14.85" customHeight="1" outlineLevel="1">
      <c r="A55" s="1456" t="s">
        <v>1262</v>
      </c>
      <c r="B55" s="1455"/>
      <c r="C55" s="1491" t="s">
        <v>1261</v>
      </c>
      <c r="D55" s="1428">
        <v>0</v>
      </c>
      <c r="E55" s="1427">
        <v>0</v>
      </c>
      <c r="F55" s="1454">
        <f t="shared" si="3"/>
        <v>0</v>
      </c>
      <c r="G55" s="1425">
        <v>0</v>
      </c>
      <c r="H55" s="1490">
        <v>0</v>
      </c>
      <c r="I55" s="1486"/>
    </row>
    <row r="56" spans="1:9" s="1422" customFormat="1" ht="14.85" customHeight="1" outlineLevel="1">
      <c r="A56" s="1489" t="s">
        <v>389</v>
      </c>
      <c r="B56" s="1488"/>
      <c r="C56" s="1487" t="s">
        <v>388</v>
      </c>
      <c r="D56" s="1428">
        <v>6888744.3199999966</v>
      </c>
      <c r="E56" s="1427">
        <v>3382195.4200000009</v>
      </c>
      <c r="F56" s="1454">
        <f t="shared" si="3"/>
        <v>4154404.5799999991</v>
      </c>
      <c r="G56" s="1425">
        <v>7536600</v>
      </c>
      <c r="H56" s="1431">
        <v>7536600</v>
      </c>
      <c r="I56" s="1486"/>
    </row>
    <row r="57" spans="1:9" s="1437" customFormat="1" ht="14.85" customHeight="1" outlineLevel="1">
      <c r="A57" s="1452" t="s">
        <v>1260</v>
      </c>
      <c r="B57" s="1455"/>
      <c r="C57" s="945"/>
      <c r="D57" s="1457"/>
      <c r="E57" s="1424"/>
      <c r="F57" s="1431"/>
      <c r="G57" s="1453"/>
      <c r="H57" s="1431"/>
      <c r="I57" s="1438"/>
    </row>
    <row r="58" spans="1:9" s="1437" customFormat="1" ht="14.85" customHeight="1" outlineLevel="1">
      <c r="A58" s="1456"/>
      <c r="B58" s="1462" t="s">
        <v>1259</v>
      </c>
      <c r="C58" s="1459" t="s">
        <v>1258</v>
      </c>
      <c r="D58" s="1457">
        <v>56400</v>
      </c>
      <c r="E58" s="1424">
        <v>632000</v>
      </c>
      <c r="F58" s="1431">
        <f>SUM(G58-E58)</f>
        <v>118000</v>
      </c>
      <c r="G58" s="1453">
        <v>750000</v>
      </c>
      <c r="H58" s="1431">
        <v>250000</v>
      </c>
      <c r="I58" s="1438"/>
    </row>
    <row r="59" spans="1:9" s="1437" customFormat="1" ht="14.85" customHeight="1" outlineLevel="1">
      <c r="A59" s="1452" t="s">
        <v>1252</v>
      </c>
      <c r="B59" s="1455"/>
      <c r="C59" s="1458"/>
      <c r="D59" s="1457"/>
      <c r="E59" s="1424"/>
      <c r="F59" s="1431"/>
      <c r="G59" s="1453"/>
      <c r="H59" s="1431"/>
      <c r="I59" s="1438"/>
    </row>
    <row r="60" spans="1:9" s="1437" customFormat="1" ht="14.85" customHeight="1" outlineLevel="1">
      <c r="A60" s="1456"/>
      <c r="B60" s="1462" t="s">
        <v>1257</v>
      </c>
      <c r="C60" s="1459" t="s">
        <v>1256</v>
      </c>
      <c r="D60" s="1457">
        <v>76835.260000000009</v>
      </c>
      <c r="E60" s="1424">
        <v>20000</v>
      </c>
      <c r="F60" s="1431">
        <f>SUM(G60-E60)</f>
        <v>160000</v>
      </c>
      <c r="G60" s="1453">
        <v>180000</v>
      </c>
      <c r="H60" s="1431">
        <v>150000</v>
      </c>
      <c r="I60" s="1438"/>
    </row>
    <row r="61" spans="1:9" s="1437" customFormat="1" ht="14.85" customHeight="1" outlineLevel="1">
      <c r="A61" s="1452" t="s">
        <v>1252</v>
      </c>
      <c r="B61" s="1455"/>
      <c r="C61" s="1459"/>
      <c r="D61" s="1457"/>
      <c r="E61" s="1424"/>
      <c r="F61" s="1431"/>
      <c r="G61" s="1453"/>
      <c r="H61" s="1431"/>
      <c r="I61" s="1438"/>
    </row>
    <row r="62" spans="1:9" s="1437" customFormat="1" ht="14.85" customHeight="1" outlineLevel="1">
      <c r="A62" s="1485"/>
      <c r="B62" s="1484" t="s">
        <v>1255</v>
      </c>
      <c r="C62" s="1483" t="s">
        <v>1254</v>
      </c>
      <c r="D62" s="1482">
        <v>1634962.65</v>
      </c>
      <c r="E62" s="1481">
        <v>0</v>
      </c>
      <c r="F62" s="1480">
        <f>SUM(G62-E62)</f>
        <v>2225000</v>
      </c>
      <c r="G62" s="1479">
        <v>2225000</v>
      </c>
      <c r="H62" s="1426">
        <v>1500000</v>
      </c>
      <c r="I62" s="1438"/>
    </row>
    <row r="63" spans="1:9" s="1422" customFormat="1" ht="15" customHeight="1" outlineLevel="1">
      <c r="I63" s="1438"/>
    </row>
    <row r="64" spans="1:9" s="1422" customFormat="1" ht="15" customHeight="1" outlineLevel="1">
      <c r="I64" s="1438"/>
    </row>
    <row r="65" spans="1:9" s="1422" customFormat="1" ht="15" customHeight="1" outlineLevel="1">
      <c r="I65" s="1438"/>
    </row>
    <row r="66" spans="1:9" s="1422" customFormat="1" ht="15" customHeight="1" outlineLevel="1">
      <c r="H66" s="1470"/>
      <c r="I66" s="1438"/>
    </row>
    <row r="67" spans="1:9" s="1437" customFormat="1" ht="12" customHeight="1" outlineLevel="1">
      <c r="A67" s="1476"/>
      <c r="B67" s="1476"/>
      <c r="C67" s="1475"/>
      <c r="D67" s="1474"/>
      <c r="E67" s="1473"/>
      <c r="F67" s="1472"/>
      <c r="H67" s="1470"/>
      <c r="I67" s="1438"/>
    </row>
    <row r="68" spans="1:9" s="1437" customFormat="1" ht="12" customHeight="1" outlineLevel="1">
      <c r="A68" s="1476"/>
      <c r="B68" s="1476"/>
      <c r="C68" s="1475"/>
      <c r="D68" s="1474"/>
      <c r="E68" s="1473"/>
      <c r="F68" s="1472"/>
      <c r="G68" s="1471"/>
      <c r="H68" s="1470"/>
      <c r="I68" s="1438"/>
    </row>
    <row r="69" spans="1:9" s="1437" customFormat="1" ht="12" customHeight="1" outlineLevel="1">
      <c r="A69" s="1476"/>
      <c r="B69" s="1476"/>
      <c r="C69" s="1475"/>
      <c r="D69" s="1474"/>
      <c r="E69" s="1473"/>
      <c r="F69" s="1472"/>
      <c r="G69" s="1471"/>
      <c r="H69" s="1470"/>
      <c r="I69" s="1438"/>
    </row>
    <row r="70" spans="1:9" s="1437" customFormat="1" ht="12" customHeight="1" outlineLevel="1">
      <c r="A70" s="1476"/>
      <c r="B70" s="1476"/>
      <c r="C70" s="1475"/>
      <c r="D70" s="1474"/>
      <c r="E70" s="1473"/>
      <c r="F70" s="1472"/>
      <c r="G70" s="1471"/>
      <c r="H70" s="1470"/>
      <c r="I70" s="1438"/>
    </row>
    <row r="71" spans="1:9" s="1437" customFormat="1" ht="12" customHeight="1" outlineLevel="1">
      <c r="A71" s="1476"/>
      <c r="B71" s="1476"/>
      <c r="C71" s="1475"/>
      <c r="D71" s="1474"/>
      <c r="E71" s="1473"/>
      <c r="F71" s="1472"/>
      <c r="G71" s="1471"/>
      <c r="H71" s="1470"/>
      <c r="I71" s="1438"/>
    </row>
    <row r="72" spans="1:9" s="1437" customFormat="1" ht="12" customHeight="1" outlineLevel="1">
      <c r="A72" s="1476"/>
      <c r="B72" s="1476"/>
      <c r="C72" s="1475"/>
      <c r="D72" s="1474"/>
      <c r="E72" s="1473"/>
      <c r="F72" s="1472"/>
      <c r="G72" s="1471"/>
      <c r="H72" s="1470"/>
      <c r="I72" s="1438"/>
    </row>
    <row r="73" spans="1:9" s="1437" customFormat="1" ht="12" customHeight="1" outlineLevel="1">
      <c r="A73" s="1478" t="s">
        <v>473</v>
      </c>
      <c r="B73" s="1476"/>
      <c r="C73" s="1475"/>
      <c r="D73" s="1474"/>
      <c r="E73" s="1473"/>
      <c r="F73" s="1472"/>
      <c r="H73" s="1478"/>
      <c r="I73" s="1438"/>
    </row>
    <row r="74" spans="1:9" s="1437" customFormat="1" ht="12" customHeight="1" outlineLevel="1">
      <c r="A74" s="1477" t="s">
        <v>1253</v>
      </c>
      <c r="B74" s="1476"/>
      <c r="C74" s="1475"/>
      <c r="D74" s="1474"/>
      <c r="E74" s="1473"/>
      <c r="F74" s="1472"/>
      <c r="H74" s="1477"/>
      <c r="I74" s="1438"/>
    </row>
    <row r="75" spans="1:9" s="1437" customFormat="1" ht="12" customHeight="1" outlineLevel="1">
      <c r="A75" s="1476"/>
      <c r="B75" s="1476"/>
      <c r="C75" s="1475"/>
      <c r="D75" s="1474"/>
      <c r="E75" s="1473"/>
      <c r="F75" s="1472"/>
      <c r="G75" s="1471"/>
      <c r="H75" s="1470"/>
      <c r="I75" s="1438"/>
    </row>
    <row r="76" spans="1:9" s="1437" customFormat="1" ht="12" customHeight="1" outlineLevel="1">
      <c r="A76" s="1476"/>
      <c r="B76" s="1476"/>
      <c r="C76" s="1475"/>
      <c r="D76" s="1474"/>
      <c r="E76" s="1473"/>
      <c r="F76" s="1472"/>
      <c r="G76" s="1471"/>
      <c r="H76" s="1470"/>
      <c r="I76" s="1438"/>
    </row>
    <row r="77" spans="1:9" s="1437" customFormat="1" ht="12" customHeight="1" outlineLevel="1">
      <c r="A77" s="4743" t="s">
        <v>468</v>
      </c>
      <c r="B77" s="4744"/>
      <c r="C77" s="1468" t="s">
        <v>467</v>
      </c>
      <c r="D77" s="1469" t="s">
        <v>466</v>
      </c>
      <c r="E77" s="4749" t="s">
        <v>465</v>
      </c>
      <c r="F77" s="4750"/>
      <c r="G77" s="4751"/>
      <c r="H77" s="1468" t="s">
        <v>464</v>
      </c>
      <c r="I77" s="1438"/>
    </row>
    <row r="78" spans="1:9" s="1437" customFormat="1" ht="12" customHeight="1" outlineLevel="1">
      <c r="A78" s="4745"/>
      <c r="B78" s="4746"/>
      <c r="C78" s="1467" t="s">
        <v>463</v>
      </c>
      <c r="D78" s="1465">
        <v>2020</v>
      </c>
      <c r="E78" s="1466" t="s">
        <v>462</v>
      </c>
      <c r="F78" s="1466" t="s">
        <v>461</v>
      </c>
      <c r="G78" s="4752" t="s">
        <v>244</v>
      </c>
      <c r="H78" s="1465">
        <v>2022</v>
      </c>
      <c r="I78" s="1438"/>
    </row>
    <row r="79" spans="1:9" s="1437" customFormat="1" ht="12" customHeight="1" outlineLevel="1">
      <c r="A79" s="4747"/>
      <c r="B79" s="4748"/>
      <c r="C79" s="1464"/>
      <c r="D79" s="1463" t="s">
        <v>460</v>
      </c>
      <c r="E79" s="1463" t="s">
        <v>460</v>
      </c>
      <c r="F79" s="1463" t="s">
        <v>459</v>
      </c>
      <c r="G79" s="4753"/>
      <c r="H79" s="1463" t="s">
        <v>458</v>
      </c>
      <c r="I79" s="1438"/>
    </row>
    <row r="80" spans="1:9" s="1437" customFormat="1" ht="14.85" customHeight="1" outlineLevel="1">
      <c r="A80" s="1452" t="s">
        <v>1252</v>
      </c>
      <c r="B80" s="1455"/>
      <c r="C80" s="1459"/>
      <c r="D80" s="1457"/>
      <c r="E80" s="1424"/>
      <c r="F80" s="1461"/>
      <c r="G80" s="1460"/>
      <c r="H80" s="1431"/>
      <c r="I80" s="1438"/>
    </row>
    <row r="81" spans="1:11" s="1437" customFormat="1" ht="14.85" customHeight="1" outlineLevel="1">
      <c r="A81" s="1456"/>
      <c r="B81" s="1462" t="s">
        <v>1251</v>
      </c>
      <c r="C81" s="1459" t="s">
        <v>1250</v>
      </c>
      <c r="D81" s="1457">
        <v>196320.5</v>
      </c>
      <c r="E81" s="1424">
        <v>81975</v>
      </c>
      <c r="F81" s="1461">
        <f>SUM(G81-E81)</f>
        <v>168025</v>
      </c>
      <c r="G81" s="1460">
        <v>250000</v>
      </c>
      <c r="H81" s="1431">
        <v>250000</v>
      </c>
      <c r="I81" s="1438"/>
    </row>
    <row r="82" spans="1:11" s="1437" customFormat="1" ht="14.85" customHeight="1" outlineLevel="1">
      <c r="A82" s="1456" t="s">
        <v>1247</v>
      </c>
      <c r="B82" s="1455"/>
      <c r="C82" s="945"/>
      <c r="D82" s="1428"/>
      <c r="E82" s="1427"/>
      <c r="F82" s="1454"/>
      <c r="G82" s="1425"/>
      <c r="H82" s="1431"/>
      <c r="I82" s="1438"/>
    </row>
    <row r="83" spans="1:11" s="1437" customFormat="1" ht="14.85" customHeight="1" outlineLevel="1">
      <c r="A83" s="1456"/>
      <c r="B83" s="1455" t="s">
        <v>1249</v>
      </c>
      <c r="C83" s="944" t="s">
        <v>385</v>
      </c>
      <c r="D83" s="1457">
        <v>0</v>
      </c>
      <c r="E83" s="1427">
        <v>0</v>
      </c>
      <c r="F83" s="1454">
        <f>SUM(G83-E83)</f>
        <v>50000</v>
      </c>
      <c r="G83" s="1425">
        <v>50000</v>
      </c>
      <c r="H83" s="1431">
        <v>50000</v>
      </c>
      <c r="I83" s="1438"/>
    </row>
    <row r="84" spans="1:11" s="1437" customFormat="1" ht="14.85" customHeight="1" outlineLevel="1">
      <c r="A84" s="1456" t="s">
        <v>1247</v>
      </c>
      <c r="B84" s="1455"/>
      <c r="C84" s="945"/>
      <c r="D84" s="1457"/>
      <c r="E84" s="1424"/>
      <c r="F84" s="1431"/>
      <c r="G84" s="1425"/>
      <c r="H84" s="1431"/>
      <c r="I84" s="1438"/>
    </row>
    <row r="85" spans="1:11" s="1437" customFormat="1" ht="14.85" customHeight="1" outlineLevel="1">
      <c r="A85" s="1456"/>
      <c r="B85" s="1455" t="s">
        <v>1248</v>
      </c>
      <c r="C85" s="1459" t="s">
        <v>380</v>
      </c>
      <c r="D85" s="1457">
        <v>25500</v>
      </c>
      <c r="E85" s="1424">
        <v>58850</v>
      </c>
      <c r="F85" s="1431">
        <f>SUM(G85-E85)</f>
        <v>51150</v>
      </c>
      <c r="G85" s="1425">
        <v>110000</v>
      </c>
      <c r="H85" s="1431">
        <v>110000</v>
      </c>
      <c r="I85" s="1438"/>
    </row>
    <row r="86" spans="1:11" s="1437" customFormat="1" ht="14.85" customHeight="1" outlineLevel="1">
      <c r="A86" s="1456" t="s">
        <v>1247</v>
      </c>
      <c r="B86" s="1455"/>
      <c r="C86" s="1458"/>
      <c r="D86" s="1457"/>
      <c r="E86" s="1424"/>
      <c r="F86" s="1431"/>
      <c r="G86" s="1453"/>
      <c r="H86" s="1431"/>
      <c r="I86" s="1438"/>
    </row>
    <row r="87" spans="1:11" s="1437" customFormat="1" ht="14.85" customHeight="1" outlineLevel="1">
      <c r="A87" s="1456"/>
      <c r="B87" s="1455" t="s">
        <v>1246</v>
      </c>
      <c r="C87" s="1458" t="s">
        <v>1245</v>
      </c>
      <c r="D87" s="1457">
        <v>0</v>
      </c>
      <c r="E87" s="1424">
        <v>0</v>
      </c>
      <c r="F87" s="1431">
        <f>SUM(G87-E87)</f>
        <v>25000</v>
      </c>
      <c r="G87" s="1453">
        <v>25000</v>
      </c>
      <c r="H87" s="1431">
        <v>25000</v>
      </c>
      <c r="I87" s="1438"/>
    </row>
    <row r="88" spans="1:11" s="1437" customFormat="1" ht="14.85" customHeight="1" outlineLevel="1">
      <c r="A88" s="1456" t="s">
        <v>666</v>
      </c>
      <c r="B88" s="1455"/>
      <c r="C88" s="1458"/>
      <c r="D88" s="1457"/>
      <c r="E88" s="1424"/>
      <c r="F88" s="1431"/>
      <c r="G88" s="1453"/>
      <c r="H88" s="1431"/>
      <c r="I88" s="1438"/>
    </row>
    <row r="89" spans="1:11" s="1437" customFormat="1" ht="14.85" customHeight="1" outlineLevel="1">
      <c r="A89" s="1456"/>
      <c r="B89" s="1455" t="s">
        <v>1244</v>
      </c>
      <c r="C89" s="944" t="s">
        <v>376</v>
      </c>
      <c r="D89" s="1428">
        <v>80820</v>
      </c>
      <c r="E89" s="1427">
        <v>106260</v>
      </c>
      <c r="F89" s="1454">
        <f>SUM(G89-E89)</f>
        <v>143740</v>
      </c>
      <c r="G89" s="1453">
        <v>250000</v>
      </c>
      <c r="H89" s="1431">
        <v>250000</v>
      </c>
      <c r="I89" s="1438"/>
    </row>
    <row r="90" spans="1:11" s="1437" customFormat="1" ht="14.85" customHeight="1" outlineLevel="1">
      <c r="A90" s="1452" t="s">
        <v>1243</v>
      </c>
      <c r="B90" s="1451"/>
      <c r="C90" s="1450" t="s">
        <v>1242</v>
      </c>
      <c r="D90" s="1449">
        <v>156786.21</v>
      </c>
      <c r="E90" s="1448">
        <v>35742.65</v>
      </c>
      <c r="F90" s="1447">
        <f>SUM(G90-E90)</f>
        <v>214257.35</v>
      </c>
      <c r="G90" s="1446">
        <v>250000</v>
      </c>
      <c r="H90" s="1431">
        <v>250000</v>
      </c>
      <c r="I90" s="1438"/>
    </row>
    <row r="91" spans="1:11" s="1437" customFormat="1" ht="14.85" customHeight="1" outlineLevel="1">
      <c r="A91" s="1445" t="s">
        <v>368</v>
      </c>
      <c r="B91" s="1444"/>
      <c r="C91" s="1443" t="s">
        <v>367</v>
      </c>
      <c r="D91" s="1442">
        <v>85229.7</v>
      </c>
      <c r="E91" s="1441">
        <v>250009.4</v>
      </c>
      <c r="F91" s="1440">
        <f>SUM(G91-E91)</f>
        <v>252990.6</v>
      </c>
      <c r="G91" s="1439">
        <v>503000</v>
      </c>
      <c r="H91" s="1426">
        <v>520180</v>
      </c>
      <c r="I91" s="1438"/>
    </row>
    <row r="92" spans="1:11" s="1422" customFormat="1" ht="15.95" customHeight="1" outlineLevel="1">
      <c r="A92" s="1436" t="s">
        <v>1241</v>
      </c>
      <c r="B92" s="1435"/>
      <c r="C92" s="1434"/>
      <c r="D92" s="1433">
        <f>SUM(D93:D95)</f>
        <v>0</v>
      </c>
      <c r="E92" s="1433">
        <f>SUM(E93:E95)</f>
        <v>0</v>
      </c>
      <c r="F92" s="1433">
        <f>SUM(F93:F95)</f>
        <v>3105772</v>
      </c>
      <c r="G92" s="1433">
        <f>SUM(G93:G95)</f>
        <v>3105772</v>
      </c>
      <c r="H92" s="1433">
        <f>SUM(H93:H95)</f>
        <v>1363999</v>
      </c>
      <c r="I92" s="1432"/>
    </row>
    <row r="93" spans="1:11" s="1422" customFormat="1" ht="14.85" customHeight="1" outlineLevel="1">
      <c r="A93" s="4758" t="s">
        <v>950</v>
      </c>
      <c r="B93" s="4759"/>
      <c r="C93" s="161" t="s">
        <v>949</v>
      </c>
      <c r="D93" s="1428">
        <v>0</v>
      </c>
      <c r="E93" s="1427">
        <v>0</v>
      </c>
      <c r="F93" s="1431">
        <f>SUM(G93-E93)</f>
        <v>102950</v>
      </c>
      <c r="G93" s="1427">
        <f>[3]WATERWORKS!$B$61</f>
        <v>102950</v>
      </c>
      <c r="H93" s="1424">
        <v>0</v>
      </c>
      <c r="I93" s="1430"/>
    </row>
    <row r="94" spans="1:11" s="1422" customFormat="1" ht="14.85" customHeight="1" outlineLevel="1">
      <c r="A94" s="4758" t="s">
        <v>1240</v>
      </c>
      <c r="B94" s="4759"/>
      <c r="C94" s="161" t="s">
        <v>773</v>
      </c>
      <c r="D94" s="1428">
        <v>0</v>
      </c>
      <c r="E94" s="1427">
        <v>0</v>
      </c>
      <c r="F94" s="1431">
        <f>SUM(G94-E94)</f>
        <v>222000</v>
      </c>
      <c r="G94" s="1427">
        <f>[3]WATERWORKS!$B$60</f>
        <v>222000</v>
      </c>
      <c r="H94" s="1424">
        <v>0</v>
      </c>
      <c r="I94" s="1430"/>
    </row>
    <row r="95" spans="1:11" s="1422" customFormat="1" ht="14.85" customHeight="1" outlineLevel="1">
      <c r="A95" s="508" t="s">
        <v>1239</v>
      </c>
      <c r="B95" s="1429"/>
      <c r="C95" s="165"/>
      <c r="D95" s="1428">
        <v>0</v>
      </c>
      <c r="E95" s="1427">
        <v>0</v>
      </c>
      <c r="F95" s="1426">
        <f>SUM(G95-E95)</f>
        <v>2780822</v>
      </c>
      <c r="G95" s="1425">
        <v>2780822</v>
      </c>
      <c r="H95" s="1424">
        <f>SUM(J96-J95:J95)</f>
        <v>1363999</v>
      </c>
      <c r="J95" s="1423">
        <f>SUM(H13+H37)</f>
        <v>58386001</v>
      </c>
      <c r="K95" s="1422" t="s">
        <v>1238</v>
      </c>
    </row>
    <row r="96" spans="1:11" ht="20.100000000000001" customHeight="1" thickBot="1">
      <c r="A96" s="1421" t="s">
        <v>366</v>
      </c>
      <c r="B96" s="1420"/>
      <c r="C96" s="1419"/>
      <c r="D96" s="1418">
        <f>SUM(D13+D37+D92)</f>
        <v>43915243.620000005</v>
      </c>
      <c r="E96" s="1418">
        <f>SUM(E13+E37+E92)</f>
        <v>21892866.990000002</v>
      </c>
      <c r="F96" s="1418">
        <f>SUM(F13+F37+F92)</f>
        <v>37107133.010000005</v>
      </c>
      <c r="G96" s="1418">
        <f>SUM(G13+G37+G92)</f>
        <v>59000000</v>
      </c>
      <c r="H96" s="1417">
        <f>SUM(H13+H37+H92)</f>
        <v>59750000</v>
      </c>
      <c r="I96" s="1416" t="s">
        <v>365</v>
      </c>
      <c r="J96" s="1415">
        <v>59750000</v>
      </c>
      <c r="K96" s="1390" t="s">
        <v>1237</v>
      </c>
    </row>
    <row r="97" spans="1:9" ht="6" customHeight="1" thickTop="1">
      <c r="A97" s="1414"/>
      <c r="B97" s="1413"/>
      <c r="C97" s="1412"/>
      <c r="D97" s="1411"/>
      <c r="E97" s="1411"/>
      <c r="F97" s="1411"/>
      <c r="G97" s="1411"/>
      <c r="H97" s="1411"/>
    </row>
    <row r="98" spans="1:9" ht="15" customHeight="1">
      <c r="A98" s="1403" t="s">
        <v>364</v>
      </c>
      <c r="C98" s="1410" t="s">
        <v>562</v>
      </c>
      <c r="E98" s="4742" t="s">
        <v>1128</v>
      </c>
      <c r="F98" s="4742"/>
      <c r="G98" s="1403"/>
    </row>
    <row r="99" spans="1:9" ht="18" customHeight="1">
      <c r="B99" s="1403"/>
      <c r="C99" s="1410"/>
      <c r="D99" s="1403"/>
      <c r="E99" s="1403"/>
      <c r="F99" s="1403"/>
      <c r="G99" s="1403"/>
    </row>
    <row r="100" spans="1:9" s="1403" customFormat="1" ht="21" customHeight="1">
      <c r="A100" s="1409" t="s">
        <v>1236</v>
      </c>
      <c r="C100" s="4760" t="s">
        <v>360</v>
      </c>
      <c r="D100" s="4760"/>
      <c r="E100" s="4741" t="s">
        <v>359</v>
      </c>
      <c r="F100" s="4741"/>
      <c r="G100" s="4741"/>
      <c r="H100" s="4741"/>
      <c r="I100" s="1408"/>
    </row>
    <row r="101" spans="1:9" s="1404" customFormat="1" ht="12.75">
      <c r="A101" s="1407" t="s">
        <v>1235</v>
      </c>
      <c r="B101" s="1407"/>
      <c r="C101" s="4754" t="s">
        <v>357</v>
      </c>
      <c r="D101" s="4754"/>
      <c r="E101" s="4755" t="s">
        <v>356</v>
      </c>
      <c r="F101" s="4755"/>
      <c r="G101" s="4755"/>
      <c r="H101" s="4755"/>
      <c r="I101" s="1405"/>
    </row>
    <row r="102" spans="1:9" s="1404" customFormat="1" ht="13.5">
      <c r="A102" s="4756"/>
      <c r="B102" s="4756"/>
      <c r="C102" s="4757"/>
      <c r="D102" s="4757"/>
      <c r="E102" s="1406"/>
      <c r="F102" s="1406"/>
      <c r="G102" s="1406"/>
      <c r="H102" s="1406"/>
      <c r="I102" s="1405"/>
    </row>
    <row r="104" spans="1:9">
      <c r="G104" s="1403"/>
    </row>
    <row r="135" spans="2:4">
      <c r="B135" s="1402"/>
      <c r="C135" s="1401"/>
      <c r="D135" s="1400"/>
    </row>
    <row r="136" spans="2:4">
      <c r="B136" s="1399" t="s">
        <v>1234</v>
      </c>
      <c r="C136" s="1395"/>
      <c r="D136" s="1394"/>
    </row>
    <row r="137" spans="2:4">
      <c r="B137" s="1399"/>
      <c r="C137" s="1395"/>
      <c r="D137" s="1394"/>
    </row>
    <row r="138" spans="2:4">
      <c r="B138" s="1398" t="s">
        <v>1233</v>
      </c>
      <c r="C138" s="1395"/>
      <c r="D138" s="1394"/>
    </row>
    <row r="139" spans="2:4">
      <c r="B139" s="1398" t="s">
        <v>1232</v>
      </c>
      <c r="C139" s="1395"/>
      <c r="D139" s="1394"/>
    </row>
    <row r="140" spans="2:4" ht="16.5">
      <c r="B140" s="1397" t="s">
        <v>1231</v>
      </c>
      <c r="C140" s="1395"/>
      <c r="D140" s="1394"/>
    </row>
    <row r="141" spans="2:4">
      <c r="B141" s="1396" t="s">
        <v>1230</v>
      </c>
      <c r="C141" s="1395"/>
      <c r="D141" s="1394"/>
    </row>
    <row r="142" spans="2:4">
      <c r="B142" s="1396" t="s">
        <v>1229</v>
      </c>
      <c r="C142" s="1395"/>
      <c r="D142" s="1394"/>
    </row>
    <row r="143" spans="2:4">
      <c r="B143" s="1396"/>
      <c r="C143" s="1395"/>
      <c r="D143" s="1394"/>
    </row>
    <row r="144" spans="2:4">
      <c r="B144" s="1396"/>
      <c r="C144" s="1395"/>
      <c r="D144" s="1394"/>
    </row>
    <row r="145" spans="2:4">
      <c r="B145" s="1393"/>
      <c r="C145" s="1392"/>
      <c r="D145" s="1391"/>
    </row>
  </sheetData>
  <mergeCells count="17">
    <mergeCell ref="C101:D101"/>
    <mergeCell ref="E101:H101"/>
    <mergeCell ref="A102:B102"/>
    <mergeCell ref="C102:D102"/>
    <mergeCell ref="A93:B93"/>
    <mergeCell ref="E98:F98"/>
    <mergeCell ref="C100:D100"/>
    <mergeCell ref="E100:H100"/>
    <mergeCell ref="A94:B94"/>
    <mergeCell ref="A4:H4"/>
    <mergeCell ref="A5:H5"/>
    <mergeCell ref="A9:B11"/>
    <mergeCell ref="E9:G9"/>
    <mergeCell ref="A77:B79"/>
    <mergeCell ref="E77:G77"/>
    <mergeCell ref="G10:G11"/>
    <mergeCell ref="G78:G79"/>
  </mergeCells>
  <pageMargins left="0.5" right="0" top="0.25" bottom="0" header="1" footer="0"/>
  <pageSetup paperSize="5" orientation="portrait"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J303"/>
  <sheetViews>
    <sheetView showGridLines="0" showOutlineSymbols="0" zoomScale="87" zoomScaleNormal="87" workbookViewId="0">
      <selection activeCell="B25" sqref="B25"/>
    </sheetView>
  </sheetViews>
  <sheetFormatPr defaultColWidth="12.5703125" defaultRowHeight="12.75" outlineLevelRow="1" outlineLevelCol="2"/>
  <cols>
    <col min="1" max="1" width="9.140625" style="1" customWidth="1"/>
    <col min="2" max="2" width="9.85546875" style="1" customWidth="1"/>
    <col min="3" max="3" width="23.7109375" style="1" customWidth="1"/>
    <col min="4" max="4" width="23.42578125" style="1" customWidth="1"/>
    <col min="5" max="5" width="9.7109375" style="1" customWidth="1"/>
    <col min="6" max="6" width="15.7109375" style="1" customWidth="1" outlineLevel="1"/>
    <col min="7" max="7" width="10.7109375" style="1" customWidth="1" outlineLevel="1"/>
    <col min="8" max="8" width="15.7109375" style="1" customWidth="1" outlineLevel="1"/>
    <col min="9" max="9" width="14" style="1" customWidth="1" outlineLevel="1"/>
    <col min="10" max="10" width="10.140625" style="3" hidden="1" customWidth="1" outlineLevel="1"/>
    <col min="11" max="11" width="12.28515625" style="3" hidden="1" customWidth="1" outlineLevel="1"/>
    <col min="12" max="13" width="0" style="1" hidden="1" customWidth="1"/>
    <col min="14" max="14" width="2.28515625" style="1" hidden="1" customWidth="1"/>
    <col min="15" max="27" width="0" style="1" hidden="1" customWidth="1"/>
    <col min="28" max="101" width="12.5703125" style="1"/>
    <col min="102" max="105" width="12.5703125" style="1" outlineLevel="1"/>
    <col min="106" max="111" width="12.5703125" style="1" outlineLevel="2"/>
    <col min="112" max="114" width="12.5703125" style="1" outlineLevel="1"/>
    <col min="115" max="16384" width="12.5703125" style="1"/>
  </cols>
  <sheetData>
    <row r="1" spans="1:18">
      <c r="H1" s="133" t="s">
        <v>355</v>
      </c>
    </row>
    <row r="2" spans="1:18" ht="12.75" customHeight="1">
      <c r="H2" s="132" t="s">
        <v>625</v>
      </c>
    </row>
    <row r="3" spans="1:18" ht="18" customHeight="1">
      <c r="A3" s="4615" t="s">
        <v>353</v>
      </c>
      <c r="B3" s="4615"/>
      <c r="C3" s="4615"/>
      <c r="D3" s="4615"/>
      <c r="E3" s="4615"/>
      <c r="F3" s="4615"/>
      <c r="G3" s="4615"/>
      <c r="H3" s="4615"/>
      <c r="I3" s="4615"/>
      <c r="J3" s="131"/>
      <c r="K3" s="131"/>
    </row>
    <row r="4" spans="1:18" s="3" customFormat="1" ht="16.5" customHeight="1">
      <c r="A4" s="4616" t="s">
        <v>352</v>
      </c>
      <c r="B4" s="4616"/>
      <c r="C4" s="4616"/>
      <c r="D4" s="4616"/>
      <c r="E4" s="4616"/>
      <c r="F4" s="4616"/>
      <c r="G4" s="4616"/>
      <c r="H4" s="4616"/>
      <c r="I4" s="4616"/>
      <c r="J4" s="130"/>
      <c r="K4" s="130"/>
    </row>
    <row r="5" spans="1:18" ht="13.5" customHeight="1">
      <c r="A5" s="4617" t="s">
        <v>351</v>
      </c>
      <c r="B5" s="4617"/>
      <c r="C5" s="4617"/>
      <c r="D5" s="4617"/>
      <c r="E5" s="4617"/>
      <c r="F5" s="4617"/>
      <c r="G5" s="4617"/>
      <c r="H5" s="4617"/>
      <c r="I5" s="4617"/>
      <c r="J5" s="129"/>
      <c r="K5" s="129"/>
    </row>
    <row r="6" spans="1:18" ht="13.9" customHeight="1">
      <c r="A6" s="332" t="s">
        <v>624</v>
      </c>
      <c r="B6" s="430" t="s">
        <v>1308</v>
      </c>
      <c r="D6" s="279"/>
      <c r="I6" s="332"/>
      <c r="J6" s="126"/>
      <c r="K6" s="126"/>
    </row>
    <row r="7" spans="1:18" ht="13.9" customHeight="1">
      <c r="A7" s="332"/>
      <c r="D7" s="279"/>
      <c r="G7" s="4761"/>
      <c r="H7" s="4761"/>
      <c r="I7" s="332"/>
      <c r="J7" s="4618" t="s">
        <v>457</v>
      </c>
      <c r="K7" s="4618"/>
    </row>
    <row r="8" spans="1:18" ht="13.5" customHeight="1">
      <c r="A8" s="123"/>
      <c r="B8" s="125"/>
      <c r="C8" s="124"/>
      <c r="D8" s="123"/>
      <c r="E8" s="4619" t="s">
        <v>348</v>
      </c>
      <c r="F8" s="4620"/>
      <c r="G8" s="4619" t="s">
        <v>347</v>
      </c>
      <c r="H8" s="4620"/>
      <c r="I8" s="115"/>
      <c r="J8" s="4607" t="s">
        <v>347</v>
      </c>
      <c r="K8" s="4608"/>
    </row>
    <row r="9" spans="1:18" ht="13.5" customHeight="1">
      <c r="A9" s="122"/>
      <c r="B9" s="121"/>
      <c r="C9" s="120"/>
      <c r="D9" s="119"/>
      <c r="E9" s="4604" t="s">
        <v>346</v>
      </c>
      <c r="F9" s="4605"/>
      <c r="G9" s="4604" t="s">
        <v>345</v>
      </c>
      <c r="H9" s="4605"/>
      <c r="I9" s="114"/>
      <c r="J9" s="4609" t="s">
        <v>345</v>
      </c>
      <c r="K9" s="4610"/>
    </row>
    <row r="10" spans="1:18" ht="13.5" customHeight="1">
      <c r="A10" s="122"/>
      <c r="B10" s="121"/>
      <c r="C10" s="120"/>
      <c r="D10" s="119"/>
      <c r="E10" s="4604" t="s">
        <v>344</v>
      </c>
      <c r="F10" s="4605"/>
      <c r="G10" s="4604" t="s">
        <v>344</v>
      </c>
      <c r="H10" s="4605"/>
      <c r="I10" s="114"/>
      <c r="J10" s="4609" t="s">
        <v>344</v>
      </c>
      <c r="K10" s="4610"/>
    </row>
    <row r="11" spans="1:18" ht="13.5" customHeight="1">
      <c r="A11" s="4604" t="s">
        <v>343</v>
      </c>
      <c r="B11" s="4605"/>
      <c r="C11" s="114" t="s">
        <v>342</v>
      </c>
      <c r="D11" s="112" t="s">
        <v>341</v>
      </c>
      <c r="E11" s="113" t="s">
        <v>339</v>
      </c>
      <c r="F11" s="118"/>
      <c r="G11" s="113" t="s">
        <v>339</v>
      </c>
      <c r="H11" s="118"/>
      <c r="I11" s="114" t="s">
        <v>340</v>
      </c>
      <c r="J11" s="110" t="s">
        <v>339</v>
      </c>
      <c r="K11" s="117"/>
      <c r="L11" s="4612" t="s">
        <v>338</v>
      </c>
      <c r="M11" s="4613"/>
      <c r="O11" s="4612" t="s">
        <v>338</v>
      </c>
      <c r="P11" s="4613"/>
    </row>
    <row r="12" spans="1:18" ht="14.25" customHeight="1">
      <c r="A12" s="116" t="s">
        <v>337</v>
      </c>
      <c r="B12" s="115" t="s">
        <v>336</v>
      </c>
      <c r="C12" s="114"/>
      <c r="D12" s="112"/>
      <c r="E12" s="113" t="s">
        <v>334</v>
      </c>
      <c r="F12" s="112" t="s">
        <v>333</v>
      </c>
      <c r="G12" s="113" t="s">
        <v>334</v>
      </c>
      <c r="H12" s="112" t="s">
        <v>333</v>
      </c>
      <c r="I12" s="111" t="s">
        <v>335</v>
      </c>
      <c r="J12" s="110" t="s">
        <v>334</v>
      </c>
      <c r="K12" s="109" t="s">
        <v>333</v>
      </c>
      <c r="L12" s="4611" t="s">
        <v>622</v>
      </c>
      <c r="M12" s="4611"/>
      <c r="O12" s="4611"/>
      <c r="P12" s="4611"/>
    </row>
    <row r="13" spans="1:18" s="99" customFormat="1" ht="14.25" customHeight="1">
      <c r="A13" s="107" t="s">
        <v>331</v>
      </c>
      <c r="B13" s="106" t="s">
        <v>330</v>
      </c>
      <c r="C13" s="106" t="s">
        <v>329</v>
      </c>
      <c r="D13" s="105" t="s">
        <v>328</v>
      </c>
      <c r="E13" s="105" t="s">
        <v>327</v>
      </c>
      <c r="F13" s="106" t="s">
        <v>326</v>
      </c>
      <c r="G13" s="105" t="s">
        <v>324</v>
      </c>
      <c r="H13" s="105" t="s">
        <v>323</v>
      </c>
      <c r="I13" s="105" t="s">
        <v>325</v>
      </c>
      <c r="J13" s="104" t="s">
        <v>324</v>
      </c>
      <c r="K13" s="104" t="s">
        <v>323</v>
      </c>
      <c r="L13" s="101" t="s">
        <v>322</v>
      </c>
      <c r="M13" s="100" t="s">
        <v>321</v>
      </c>
      <c r="O13" s="101" t="s">
        <v>322</v>
      </c>
      <c r="P13" s="100" t="s">
        <v>321</v>
      </c>
    </row>
    <row r="14" spans="1:18" s="3" customFormat="1" ht="15" customHeight="1" outlineLevel="1">
      <c r="A14" s="897" t="s">
        <v>320</v>
      </c>
      <c r="B14" s="897" t="s">
        <v>320</v>
      </c>
      <c r="C14" s="1603" t="s">
        <v>1307</v>
      </c>
      <c r="D14" s="1593" t="s">
        <v>1306</v>
      </c>
      <c r="E14" s="1588" t="s">
        <v>47</v>
      </c>
      <c r="F14" s="1582">
        <v>1127304</v>
      </c>
      <c r="G14" s="1588" t="s">
        <v>46</v>
      </c>
      <c r="H14" s="1582">
        <f>IF(G14="ABOLISHED",0, (VLOOKUP(G14,$A$34:$C273,2,FALSE)*12))</f>
        <v>1145700</v>
      </c>
      <c r="I14" s="1589">
        <f>SUM(H14-F14)</f>
        <v>18396</v>
      </c>
      <c r="J14" s="1588" t="s">
        <v>46</v>
      </c>
      <c r="K14" s="1582">
        <f>IF(J14="ABOLISHED",0, (VLOOKUP(J14,$A$34:$C273,3,FALSE)*12))</f>
        <v>1145700</v>
      </c>
      <c r="L14" s="3">
        <f>SUM(H14/12)</f>
        <v>95475</v>
      </c>
      <c r="M14" s="2">
        <f>IF(L14&gt;=80000,1600,SUM(L14*4%)/2)</f>
        <v>1600</v>
      </c>
      <c r="O14" s="3">
        <f>SUM(K14/12)</f>
        <v>95475</v>
      </c>
      <c r="P14" s="2">
        <f>IF(O14&gt;=80000,1600,SUM(O14*4%)/2)</f>
        <v>1600</v>
      </c>
      <c r="R14" s="3">
        <f>SUM(O14-L14)</f>
        <v>0</v>
      </c>
    </row>
    <row r="15" spans="1:18" s="3" customFormat="1" ht="15" customHeight="1" outlineLevel="1">
      <c r="C15" s="1599" t="s">
        <v>1305</v>
      </c>
      <c r="D15" s="1598"/>
      <c r="E15" s="1602"/>
      <c r="F15" s="1582" t="s">
        <v>256</v>
      </c>
      <c r="G15" s="1602"/>
      <c r="H15" s="1582" t="s">
        <v>256</v>
      </c>
      <c r="I15" s="1589"/>
      <c r="J15" s="1602"/>
      <c r="K15" s="1582" t="s">
        <v>256</v>
      </c>
      <c r="M15" s="2" t="s">
        <v>256</v>
      </c>
      <c r="P15" s="2" t="s">
        <v>256</v>
      </c>
    </row>
    <row r="16" spans="1:18" s="3" customFormat="1" ht="15" customHeight="1" outlineLevel="1">
      <c r="A16" s="897" t="s">
        <v>314</v>
      </c>
      <c r="B16" s="897" t="s">
        <v>314</v>
      </c>
      <c r="C16" s="1595" t="s">
        <v>1304</v>
      </c>
      <c r="D16" s="1593" t="s">
        <v>245</v>
      </c>
      <c r="E16" s="1588" t="s">
        <v>79</v>
      </c>
      <c r="F16" s="1582">
        <v>694272</v>
      </c>
      <c r="G16" s="1588" t="s">
        <v>79</v>
      </c>
      <c r="H16" s="1582">
        <f>IF(G16="ABOLISHED",0, (VLOOKUP(G16,$A$34:$C275,2,FALSE)*12))</f>
        <v>694272</v>
      </c>
      <c r="I16" s="1589">
        <f>SUM(H16-F16)</f>
        <v>0</v>
      </c>
      <c r="J16" s="1588" t="s">
        <v>79</v>
      </c>
      <c r="K16" s="1582">
        <f>IF(J16="ABOLISHED",0, (VLOOKUP(J16,$A$34:$C275,3,FALSE)*12))</f>
        <v>694272</v>
      </c>
      <c r="L16" s="3">
        <f>SUM(H16/12)</f>
        <v>57856</v>
      </c>
      <c r="M16" s="2">
        <f>IF(L16&gt;=80000,1600,SUM(L16*4%)/2)</f>
        <v>1157.1200000000001</v>
      </c>
      <c r="O16" s="3">
        <f>SUM(K16/12)</f>
        <v>57856</v>
      </c>
      <c r="P16" s="2">
        <f>IF(O16&gt;=80000,1600,SUM(O16*4%)/2)</f>
        <v>1157.1200000000001</v>
      </c>
      <c r="R16" s="3">
        <f>SUM(O16-L16)</f>
        <v>0</v>
      </c>
    </row>
    <row r="17" spans="1:18" s="3" customFormat="1" ht="15" customHeight="1" outlineLevel="1">
      <c r="A17" s="897" t="s">
        <v>311</v>
      </c>
      <c r="B17" s="897" t="s">
        <v>311</v>
      </c>
      <c r="C17" s="1601" t="s">
        <v>1303</v>
      </c>
      <c r="D17" s="1593" t="s">
        <v>1302</v>
      </c>
      <c r="E17" s="1600" t="s">
        <v>148</v>
      </c>
      <c r="F17" s="1582">
        <v>306828</v>
      </c>
      <c r="G17" s="1600" t="s">
        <v>148</v>
      </c>
      <c r="H17" s="1582">
        <f>IF(G17="ABOLISHED",0, (VLOOKUP(G17,$A$34:$C276,2,FALSE)*12))</f>
        <v>306828</v>
      </c>
      <c r="I17" s="1589">
        <f>SUM(H17-F17)</f>
        <v>0</v>
      </c>
      <c r="J17" s="1600" t="s">
        <v>148</v>
      </c>
      <c r="K17" s="1582">
        <f>IF(J17="ABOLISHED",0, (VLOOKUP(J17,$A$34:$C276,3,FALSE)*12))</f>
        <v>306828</v>
      </c>
      <c r="L17" s="3">
        <f>SUM(H17/12)</f>
        <v>25569</v>
      </c>
      <c r="M17" s="2">
        <f>IF(L17&gt;=80000,1600,SUM(L17*4%)/2)</f>
        <v>511.38</v>
      </c>
      <c r="O17" s="3">
        <f>SUM(K17/12)</f>
        <v>25569</v>
      </c>
      <c r="P17" s="2">
        <f>IF(O17&gt;=80000,1600,SUM(O17*4%)/2)</f>
        <v>511.38</v>
      </c>
      <c r="R17" s="3">
        <f>SUM(O17-L17)</f>
        <v>0</v>
      </c>
    </row>
    <row r="18" spans="1:18" s="3" customFormat="1" ht="15" customHeight="1" outlineLevel="1">
      <c r="A18" s="897"/>
      <c r="B18" s="897" t="s">
        <v>307</v>
      </c>
      <c r="C18" s="1601" t="s">
        <v>1301</v>
      </c>
      <c r="D18" s="1596" t="s">
        <v>1300</v>
      </c>
      <c r="E18" s="1600" t="s">
        <v>167</v>
      </c>
      <c r="F18" s="1582">
        <v>241740</v>
      </c>
      <c r="G18" s="1600" t="s">
        <v>167</v>
      </c>
      <c r="H18" s="1582">
        <f>IF(G18="ABOLISHED",0, (VLOOKUP(G18,$A$34:$C277,2,FALSE)*12))</f>
        <v>241740</v>
      </c>
      <c r="I18" s="1589">
        <f>SUM(H18-F18)</f>
        <v>0</v>
      </c>
      <c r="J18" s="1600" t="s">
        <v>167</v>
      </c>
      <c r="K18" s="1582">
        <f>IF(J18="ABOLISHED",0, (VLOOKUP(J18,$A$34:$C277,3,FALSE)*12))</f>
        <v>241740</v>
      </c>
      <c r="L18" s="3">
        <f>SUM(H18/12)</f>
        <v>20145</v>
      </c>
      <c r="M18" s="2">
        <f>IF(L18&gt;=80000,1600,SUM(L18*4%)/2)</f>
        <v>402.90000000000003</v>
      </c>
      <c r="O18" s="3">
        <f>SUM(K18/12)</f>
        <v>20145</v>
      </c>
      <c r="P18" s="2">
        <f>IF(O18&gt;=80000,1600,SUM(O18*4%)/2)</f>
        <v>402.90000000000003</v>
      </c>
      <c r="R18" s="3">
        <f>SUM(O18-L18)</f>
        <v>0</v>
      </c>
    </row>
    <row r="19" spans="1:18" s="3" customFormat="1" ht="15" customHeight="1" outlineLevel="1">
      <c r="C19" s="1599" t="s">
        <v>893</v>
      </c>
      <c r="D19" s="1598"/>
      <c r="E19" s="1588"/>
      <c r="F19" s="1582" t="s">
        <v>256</v>
      </c>
      <c r="G19" s="1588"/>
      <c r="H19" s="1582" t="s">
        <v>256</v>
      </c>
      <c r="I19" s="1589"/>
      <c r="J19" s="1588"/>
      <c r="K19" s="1582" t="s">
        <v>256</v>
      </c>
      <c r="M19" s="2" t="s">
        <v>256</v>
      </c>
      <c r="P19" s="2" t="s">
        <v>256</v>
      </c>
    </row>
    <row r="20" spans="1:18" s="3" customFormat="1" ht="15" customHeight="1" outlineLevel="1">
      <c r="A20" s="897" t="s">
        <v>307</v>
      </c>
      <c r="B20" s="897" t="s">
        <v>304</v>
      </c>
      <c r="C20" s="1597" t="s">
        <v>1119</v>
      </c>
      <c r="D20" s="1596" t="s">
        <v>245</v>
      </c>
      <c r="E20" s="1588" t="s">
        <v>103</v>
      </c>
      <c r="F20" s="1582">
        <v>497964</v>
      </c>
      <c r="G20" s="1588" t="s">
        <v>103</v>
      </c>
      <c r="H20" s="1582">
        <f>IF(G20="ABOLISHED",0, (VLOOKUP(G20,$A$34:$C278,2,FALSE)*12))</f>
        <v>497964</v>
      </c>
      <c r="I20" s="1589">
        <f>SUM(H20-F20)</f>
        <v>0</v>
      </c>
      <c r="J20" s="1588" t="s">
        <v>103</v>
      </c>
      <c r="K20" s="1582">
        <f>IF(J20="ABOLISHED",0, (VLOOKUP(J20,$A$34:$C278,3,FALSE)*12))</f>
        <v>497964</v>
      </c>
      <c r="L20" s="3">
        <f>SUM(H20/12)</f>
        <v>41497</v>
      </c>
      <c r="M20" s="2">
        <f>IF(L20&gt;=80000,1600,SUM(L20*4%)/2)</f>
        <v>829.94</v>
      </c>
      <c r="O20" s="3">
        <f>SUM(K20/12)</f>
        <v>41497</v>
      </c>
      <c r="P20" s="2">
        <f>IF(O20&gt;=80000,1600,SUM(O20*4%)/2)</f>
        <v>829.94</v>
      </c>
      <c r="R20" s="3">
        <f>SUM(O20-L20)</f>
        <v>0</v>
      </c>
    </row>
    <row r="21" spans="1:18" s="3" customFormat="1" ht="15" customHeight="1" outlineLevel="1">
      <c r="A21" s="897" t="s">
        <v>304</v>
      </c>
      <c r="B21" s="897" t="s">
        <v>308</v>
      </c>
      <c r="C21" s="1595" t="s">
        <v>1117</v>
      </c>
      <c r="D21" s="1593" t="s">
        <v>1299</v>
      </c>
      <c r="E21" s="1592" t="s">
        <v>123</v>
      </c>
      <c r="F21" s="1582">
        <v>400320</v>
      </c>
      <c r="G21" s="1592" t="s">
        <v>123</v>
      </c>
      <c r="H21" s="1582">
        <f>IF(G21="ABOLISHED",0, (VLOOKUP(G21,$A$34:$C279,2,FALSE)*12))</f>
        <v>400320</v>
      </c>
      <c r="I21" s="1589">
        <f>SUM(H21-F21)</f>
        <v>0</v>
      </c>
      <c r="J21" s="1592" t="s">
        <v>123</v>
      </c>
      <c r="K21" s="1582">
        <f>IF(J21="ABOLISHED",0, (VLOOKUP(J21,$A$34:$C279,3,FALSE)*12))</f>
        <v>400320</v>
      </c>
      <c r="L21" s="3">
        <f>SUM(H21/12)</f>
        <v>33360</v>
      </c>
      <c r="M21" s="2">
        <f>IF(L21&gt;=80000,1600,SUM(L21*4%)/2)</f>
        <v>667.2</v>
      </c>
      <c r="O21" s="3">
        <f>SUM(K21/12)</f>
        <v>33360</v>
      </c>
      <c r="P21" s="2">
        <f>IF(O21&gt;=80000,1600,SUM(O21*4%)/2)</f>
        <v>667.2</v>
      </c>
      <c r="R21" s="3">
        <f>SUM(O21-L21)</f>
        <v>0</v>
      </c>
    </row>
    <row r="22" spans="1:18" s="3" customFormat="1" ht="15" customHeight="1" outlineLevel="1">
      <c r="A22" s="897" t="s">
        <v>308</v>
      </c>
      <c r="B22" s="897" t="s">
        <v>294</v>
      </c>
      <c r="C22" s="1594" t="s">
        <v>1298</v>
      </c>
      <c r="D22" s="1593" t="s">
        <v>1297</v>
      </c>
      <c r="E22" s="1592" t="s">
        <v>148</v>
      </c>
      <c r="F22" s="1582">
        <v>306828</v>
      </c>
      <c r="G22" s="1592" t="s">
        <v>148</v>
      </c>
      <c r="H22" s="1582">
        <f>IF(G22="ABOLISHED",0, (VLOOKUP(G22,$A$34:$C280,2,FALSE)*12))</f>
        <v>306828</v>
      </c>
      <c r="I22" s="1589">
        <f>SUM(H22-F22)</f>
        <v>0</v>
      </c>
      <c r="J22" s="1592" t="s">
        <v>148</v>
      </c>
      <c r="K22" s="1582">
        <f>IF(J22="ABOLISHED",0, (VLOOKUP(J22,$A$34:$C280,3,FALSE)*12))</f>
        <v>306828</v>
      </c>
      <c r="L22" s="3">
        <f>SUM(H22/12)</f>
        <v>25569</v>
      </c>
      <c r="M22" s="2">
        <f>IF(L22&gt;=80000,1600,SUM(L22*4%)/2)</f>
        <v>511.38</v>
      </c>
      <c r="O22" s="3">
        <f>SUM(K22/12)</f>
        <v>25569</v>
      </c>
      <c r="P22" s="2">
        <f>IF(O22&gt;=80000,1600,SUM(O22*4%)/2)</f>
        <v>511.38</v>
      </c>
      <c r="R22" s="3">
        <f>SUM(O22-L22)</f>
        <v>0</v>
      </c>
    </row>
    <row r="23" spans="1:18" s="3" customFormat="1" ht="15" customHeight="1" outlineLevel="1">
      <c r="A23" s="897" t="s">
        <v>294</v>
      </c>
      <c r="B23" s="897" t="s">
        <v>301</v>
      </c>
      <c r="C23" s="1591" t="s">
        <v>1295</v>
      </c>
      <c r="D23" s="1590" t="s">
        <v>1296</v>
      </c>
      <c r="E23" s="1588" t="s">
        <v>215</v>
      </c>
      <c r="F23" s="1582">
        <v>164160</v>
      </c>
      <c r="G23" s="1588" t="s">
        <v>214</v>
      </c>
      <c r="H23" s="1582">
        <f>IF(G23="ABOLISHED",0, (VLOOKUP(G23,$A$34:$C281,2,FALSE)*12))</f>
        <v>165420</v>
      </c>
      <c r="I23" s="1589">
        <f>SUM(H23-F23)</f>
        <v>1260</v>
      </c>
      <c r="J23" s="1588" t="s">
        <v>214</v>
      </c>
      <c r="K23" s="1582">
        <f>IF(J23="ABOLISHED",0, (VLOOKUP(J23,$A$34:$C281,3,FALSE)*12))</f>
        <v>165420</v>
      </c>
      <c r="L23" s="3">
        <f>SUM(H23/12)</f>
        <v>13785</v>
      </c>
      <c r="M23" s="2">
        <f>IF(L23&gt;=80000,1600,SUM(L23*4%)/2)</f>
        <v>275.7</v>
      </c>
      <c r="O23" s="3">
        <f>SUM(K23/12)</f>
        <v>13785</v>
      </c>
      <c r="P23" s="2">
        <f>IF(O23&gt;=80000,1600,SUM(O23*4%)/2)</f>
        <v>275.7</v>
      </c>
      <c r="R23" s="3">
        <f>SUM(O23-L23)</f>
        <v>0</v>
      </c>
    </row>
    <row r="24" spans="1:18" s="3" customFormat="1" ht="15" customHeight="1" outlineLevel="1">
      <c r="A24" s="1587">
        <v>8</v>
      </c>
      <c r="B24" s="1587">
        <v>9</v>
      </c>
      <c r="C24" s="1586" t="s">
        <v>1295</v>
      </c>
      <c r="D24" s="1585" t="s">
        <v>1294</v>
      </c>
      <c r="E24" s="1583" t="s">
        <v>215</v>
      </c>
      <c r="F24" s="1582">
        <v>164160</v>
      </c>
      <c r="G24" s="1583" t="s">
        <v>214</v>
      </c>
      <c r="H24" s="1582">
        <f>IF(G24="ABOLISHED",0, (VLOOKUP(G24,$A$34:$C282,2,FALSE)*12))</f>
        <v>165420</v>
      </c>
      <c r="I24" s="1584">
        <f>SUM(H24-F24)</f>
        <v>1260</v>
      </c>
      <c r="J24" s="1583" t="s">
        <v>214</v>
      </c>
      <c r="K24" s="1582">
        <f>IF(J24="ABOLISHED",0, (VLOOKUP(J24,$A$34:$C282,3,FALSE)*12))</f>
        <v>165420</v>
      </c>
      <c r="L24" s="3">
        <f>SUM(H24/12)</f>
        <v>13785</v>
      </c>
      <c r="M24" s="1581">
        <f>IF(L24&gt;=80000,1600,SUM(L24*4%)/2)</f>
        <v>275.7</v>
      </c>
      <c r="O24" s="3">
        <f>SUM(K24/12)</f>
        <v>13785</v>
      </c>
      <c r="P24" s="1581">
        <f>IF(O24&gt;=80000,1600,SUM(O24*4%)/2)</f>
        <v>275.7</v>
      </c>
      <c r="R24" s="3">
        <f>SUM(O24-L24)</f>
        <v>0</v>
      </c>
    </row>
    <row r="25" spans="1:18" ht="15" customHeight="1">
      <c r="A25" s="406"/>
      <c r="B25" s="1580">
        <v>9</v>
      </c>
      <c r="C25" s="54"/>
      <c r="D25" s="53" t="s">
        <v>244</v>
      </c>
      <c r="E25" s="887"/>
      <c r="F25" s="287">
        <f>SUM(F14:F24)</f>
        <v>3903576</v>
      </c>
      <c r="G25" s="51"/>
      <c r="H25" s="287">
        <f>SUM(H14:H24)</f>
        <v>3924492</v>
      </c>
      <c r="I25" s="287">
        <f>SUM(I14:I24)</f>
        <v>20916</v>
      </c>
      <c r="J25" s="51"/>
      <c r="K25" s="404">
        <f>SUM(K14:K24)</f>
        <v>3924492</v>
      </c>
      <c r="M25" s="1159">
        <f>SUM(M14:M24)</f>
        <v>6231.32</v>
      </c>
      <c r="P25" s="1159">
        <f>SUM(P14:P24)</f>
        <v>6231.32</v>
      </c>
    </row>
    <row r="26" spans="1:18" ht="15" hidden="1" customHeight="1">
      <c r="A26" s="46"/>
      <c r="B26" s="46"/>
      <c r="C26" s="39"/>
      <c r="D26" s="45"/>
      <c r="E26" s="45"/>
      <c r="F26" s="44"/>
      <c r="G26" s="18"/>
      <c r="H26" s="286" t="s">
        <v>1293</v>
      </c>
      <c r="I26" s="44"/>
      <c r="J26" s="1153"/>
      <c r="K26" s="1579"/>
      <c r="M26" s="1159">
        <v>12</v>
      </c>
      <c r="P26" s="1159">
        <v>12</v>
      </c>
    </row>
    <row r="27" spans="1:18" ht="14.25" hidden="1" customHeight="1" thickBot="1">
      <c r="E27" s="279"/>
      <c r="M27" s="30">
        <f>ROUNDUP(SUM(M25*M26),0)</f>
        <v>74776</v>
      </c>
      <c r="P27" s="30">
        <f>ROUNDUP(SUM(P25*P26),0)</f>
        <v>74776</v>
      </c>
    </row>
    <row r="28" spans="1:18" ht="14.25" hidden="1" customHeight="1" thickTop="1">
      <c r="E28" s="279"/>
    </row>
    <row r="29" spans="1:18" ht="14.25" hidden="1" customHeight="1">
      <c r="E29" s="279"/>
    </row>
    <row r="30" spans="1:18" ht="14.25" hidden="1" customHeight="1">
      <c r="E30" s="279"/>
    </row>
    <row r="31" spans="1:18" ht="14.25" hidden="1" customHeight="1">
      <c r="A31" s="4636" t="s">
        <v>586</v>
      </c>
      <c r="B31" s="4636"/>
      <c r="C31" s="273"/>
      <c r="D31" s="3"/>
      <c r="E31" s="279"/>
    </row>
    <row r="32" spans="1:18" hidden="1">
      <c r="A32" s="4637" t="s">
        <v>475</v>
      </c>
      <c r="B32" s="4638"/>
      <c r="C32" s="26"/>
      <c r="D32" s="3"/>
    </row>
    <row r="33" spans="1:11" ht="15" hidden="1">
      <c r="A33" s="882" t="s">
        <v>242</v>
      </c>
      <c r="B33" s="24" t="s">
        <v>241</v>
      </c>
      <c r="C33" s="881" t="s">
        <v>1292</v>
      </c>
      <c r="D33" s="3"/>
    </row>
    <row r="34" spans="1:11" hidden="1">
      <c r="A34" s="879" t="s">
        <v>239</v>
      </c>
      <c r="B34" s="22">
        <v>11432</v>
      </c>
      <c r="C34" s="22">
        <v>11432</v>
      </c>
      <c r="D34" s="8"/>
      <c r="E34" s="402"/>
      <c r="F34" s="401"/>
      <c r="G34" s="17"/>
      <c r="H34" s="14"/>
      <c r="I34" s="14"/>
      <c r="J34" s="13"/>
      <c r="K34" s="13"/>
    </row>
    <row r="35" spans="1:11" hidden="1">
      <c r="A35" s="873" t="s">
        <v>238</v>
      </c>
      <c r="B35" s="22">
        <v>11527</v>
      </c>
      <c r="C35" s="22">
        <v>11527</v>
      </c>
      <c r="D35" s="8"/>
      <c r="E35" s="402"/>
      <c r="F35" s="401"/>
      <c r="G35" s="17"/>
      <c r="H35" s="14"/>
      <c r="I35" s="14"/>
      <c r="J35" s="13"/>
      <c r="K35" s="13"/>
    </row>
    <row r="36" spans="1:11" hidden="1">
      <c r="A36" s="879" t="s">
        <v>237</v>
      </c>
      <c r="B36" s="22">
        <v>11624</v>
      </c>
      <c r="C36" s="22">
        <v>11624</v>
      </c>
      <c r="D36" s="8"/>
      <c r="E36" s="402"/>
      <c r="F36" s="401"/>
      <c r="G36" s="17"/>
    </row>
    <row r="37" spans="1:11" hidden="1">
      <c r="A37" s="873" t="s">
        <v>236</v>
      </c>
      <c r="B37" s="22">
        <v>11722</v>
      </c>
      <c r="C37" s="22">
        <v>11722</v>
      </c>
      <c r="D37" s="8"/>
      <c r="E37" s="402"/>
      <c r="F37" s="401"/>
      <c r="G37" s="17"/>
      <c r="H37" s="14"/>
    </row>
    <row r="38" spans="1:11" hidden="1">
      <c r="A38" s="879" t="s">
        <v>235</v>
      </c>
      <c r="B38" s="22">
        <v>11820</v>
      </c>
      <c r="C38" s="22">
        <v>11820</v>
      </c>
      <c r="D38" s="8"/>
      <c r="E38" s="402"/>
      <c r="F38" s="401"/>
      <c r="G38" s="17"/>
      <c r="H38" s="14"/>
      <c r="I38" s="14"/>
      <c r="J38" s="13"/>
      <c r="K38" s="13"/>
    </row>
    <row r="39" spans="1:11" hidden="1">
      <c r="A39" s="873" t="s">
        <v>234</v>
      </c>
      <c r="B39" s="22">
        <v>11918</v>
      </c>
      <c r="C39" s="22">
        <v>11918</v>
      </c>
      <c r="D39" s="8"/>
      <c r="E39" s="402"/>
      <c r="F39" s="401"/>
      <c r="G39" s="17"/>
      <c r="H39" s="14"/>
    </row>
    <row r="40" spans="1:11" hidden="1">
      <c r="A40" s="879" t="s">
        <v>233</v>
      </c>
      <c r="B40" s="22">
        <v>12018</v>
      </c>
      <c r="C40" s="22">
        <v>12018</v>
      </c>
      <c r="D40" s="8"/>
      <c r="E40" s="402"/>
      <c r="F40" s="401"/>
      <c r="G40" s="14"/>
      <c r="H40" s="14"/>
    </row>
    <row r="41" spans="1:11" hidden="1">
      <c r="A41" s="873" t="s">
        <v>232</v>
      </c>
      <c r="B41" s="22">
        <v>12118</v>
      </c>
      <c r="C41" s="22">
        <v>12118</v>
      </c>
      <c r="D41" s="8"/>
      <c r="E41" s="402"/>
      <c r="F41" s="401"/>
      <c r="G41" s="14"/>
      <c r="H41" s="14"/>
      <c r="I41" s="14"/>
      <c r="J41" s="13"/>
      <c r="K41" s="13"/>
    </row>
    <row r="42" spans="1:11" hidden="1">
      <c r="A42" s="878" t="s">
        <v>231</v>
      </c>
      <c r="B42" s="9">
        <v>12151</v>
      </c>
      <c r="C42" s="9">
        <v>12151</v>
      </c>
      <c r="D42" s="8"/>
      <c r="E42" s="19"/>
      <c r="F42" s="401"/>
      <c r="G42" s="14"/>
      <c r="H42" s="14"/>
    </row>
    <row r="43" spans="1:11" hidden="1">
      <c r="A43" s="872" t="s">
        <v>230</v>
      </c>
      <c r="B43" s="9">
        <v>12244</v>
      </c>
      <c r="C43" s="9">
        <v>12244</v>
      </c>
      <c r="D43" s="8"/>
      <c r="E43" s="19"/>
      <c r="F43" s="401"/>
      <c r="G43" s="14"/>
      <c r="H43" s="14"/>
      <c r="I43" s="14"/>
      <c r="J43" s="13"/>
      <c r="K43" s="13"/>
    </row>
    <row r="44" spans="1:11" hidden="1">
      <c r="A44" s="878" t="s">
        <v>229</v>
      </c>
      <c r="B44" s="9">
        <v>12338</v>
      </c>
      <c r="C44" s="9">
        <v>12338</v>
      </c>
      <c r="D44" s="8"/>
      <c r="E44" s="19"/>
      <c r="F44" s="401"/>
      <c r="G44" s="14"/>
    </row>
    <row r="45" spans="1:11" hidden="1">
      <c r="A45" s="872" t="s">
        <v>228</v>
      </c>
      <c r="B45" s="9">
        <v>12433</v>
      </c>
      <c r="C45" s="9">
        <v>12433</v>
      </c>
      <c r="D45" s="8"/>
      <c r="E45" s="19"/>
      <c r="F45" s="401"/>
      <c r="G45" s="14"/>
      <c r="H45" s="14"/>
    </row>
    <row r="46" spans="1:11" hidden="1">
      <c r="A46" s="878" t="s">
        <v>227</v>
      </c>
      <c r="B46" s="9">
        <v>12528</v>
      </c>
      <c r="C46" s="9">
        <v>12528</v>
      </c>
      <c r="D46" s="8"/>
      <c r="E46" s="19"/>
      <c r="F46" s="401"/>
      <c r="G46" s="14"/>
      <c r="H46" s="14"/>
      <c r="I46" s="14"/>
      <c r="J46" s="13"/>
      <c r="K46" s="13"/>
    </row>
    <row r="47" spans="1:11" hidden="1">
      <c r="A47" s="872" t="s">
        <v>226</v>
      </c>
      <c r="B47" s="9">
        <v>12624</v>
      </c>
      <c r="C47" s="9">
        <v>12624</v>
      </c>
      <c r="D47" s="8"/>
      <c r="E47" s="19"/>
      <c r="F47" s="401"/>
      <c r="G47" s="14"/>
      <c r="H47" s="14"/>
      <c r="I47" s="14"/>
      <c r="J47" s="13"/>
      <c r="K47" s="13"/>
    </row>
    <row r="48" spans="1:11" hidden="1">
      <c r="A48" s="878" t="s">
        <v>225</v>
      </c>
      <c r="B48" s="9">
        <v>12721</v>
      </c>
      <c r="C48" s="9">
        <v>12721</v>
      </c>
      <c r="D48" s="8"/>
      <c r="E48" s="19"/>
      <c r="F48" s="401"/>
      <c r="G48" s="14"/>
      <c r="H48" s="14"/>
      <c r="I48" s="14"/>
      <c r="J48" s="13"/>
      <c r="K48" s="13"/>
    </row>
    <row r="49" spans="1:11" hidden="1">
      <c r="A49" s="872" t="s">
        <v>224</v>
      </c>
      <c r="B49" s="9">
        <v>12818</v>
      </c>
      <c r="C49" s="9">
        <v>12818</v>
      </c>
      <c r="D49" s="8"/>
      <c r="E49" s="19"/>
      <c r="F49" s="401"/>
      <c r="G49" s="14"/>
      <c r="H49" s="14"/>
    </row>
    <row r="50" spans="1:11" hidden="1">
      <c r="A50" s="879" t="s">
        <v>223</v>
      </c>
      <c r="B50" s="11">
        <v>12893</v>
      </c>
      <c r="C50" s="11">
        <v>12893</v>
      </c>
      <c r="D50" s="8"/>
      <c r="E50" s="402"/>
      <c r="F50" s="401"/>
      <c r="G50" s="14"/>
      <c r="H50" s="14"/>
    </row>
    <row r="51" spans="1:11" hidden="1">
      <c r="A51" s="873" t="s">
        <v>222</v>
      </c>
      <c r="B51" s="11">
        <v>12993</v>
      </c>
      <c r="C51" s="11">
        <v>12993</v>
      </c>
      <c r="D51" s="8"/>
      <c r="E51" s="402"/>
      <c r="F51" s="401"/>
      <c r="G51" s="14"/>
      <c r="H51" s="14"/>
      <c r="I51" s="14"/>
      <c r="J51" s="13"/>
      <c r="K51" s="13"/>
    </row>
    <row r="52" spans="1:11" hidden="1">
      <c r="A52" s="879" t="s">
        <v>221</v>
      </c>
      <c r="B52" s="11">
        <v>13092</v>
      </c>
      <c r="C52" s="11">
        <v>13092</v>
      </c>
      <c r="D52" s="8"/>
      <c r="E52" s="402"/>
      <c r="F52" s="401"/>
      <c r="G52" s="14"/>
      <c r="H52" s="14"/>
      <c r="I52" s="14"/>
      <c r="J52" s="13"/>
      <c r="K52" s="13"/>
    </row>
    <row r="53" spans="1:11" hidden="1">
      <c r="A53" s="873" t="s">
        <v>220</v>
      </c>
      <c r="B53" s="11">
        <v>13194</v>
      </c>
      <c r="C53" s="11">
        <v>13194</v>
      </c>
      <c r="D53" s="8"/>
      <c r="E53" s="402"/>
      <c r="F53" s="401"/>
      <c r="G53" s="14"/>
      <c r="H53" s="14"/>
    </row>
    <row r="54" spans="1:11" hidden="1">
      <c r="A54" s="879" t="s">
        <v>219</v>
      </c>
      <c r="B54" s="11">
        <v>13295</v>
      </c>
      <c r="C54" s="11">
        <v>13295</v>
      </c>
      <c r="D54" s="8"/>
      <c r="E54" s="402"/>
      <c r="F54" s="401"/>
      <c r="G54" s="14"/>
      <c r="H54" s="14"/>
      <c r="I54" s="14"/>
      <c r="J54" s="13"/>
      <c r="K54" s="13"/>
    </row>
    <row r="55" spans="1:11" hidden="1">
      <c r="A55" s="873" t="s">
        <v>218</v>
      </c>
      <c r="B55" s="11">
        <v>13396</v>
      </c>
      <c r="C55" s="11">
        <v>13396</v>
      </c>
      <c r="D55" s="8"/>
      <c r="E55" s="402"/>
      <c r="F55" s="401"/>
      <c r="G55" s="14"/>
      <c r="H55" s="14"/>
    </row>
    <row r="56" spans="1:11" hidden="1">
      <c r="A56" s="879" t="s">
        <v>217</v>
      </c>
      <c r="B56" s="11">
        <v>13500</v>
      </c>
      <c r="C56" s="11">
        <v>13500</v>
      </c>
      <c r="D56" s="8"/>
      <c r="E56" s="402"/>
      <c r="F56" s="401"/>
      <c r="G56" s="14"/>
      <c r="H56" s="14"/>
    </row>
    <row r="57" spans="1:11" hidden="1">
      <c r="A57" s="873" t="s">
        <v>216</v>
      </c>
      <c r="B57" s="11">
        <v>13603</v>
      </c>
      <c r="C57" s="11">
        <v>13603</v>
      </c>
      <c r="D57" s="8"/>
      <c r="E57" s="402"/>
      <c r="F57" s="401"/>
      <c r="G57" s="14"/>
      <c r="H57" s="14"/>
      <c r="I57" s="14"/>
      <c r="J57" s="13"/>
      <c r="K57" s="13"/>
    </row>
    <row r="58" spans="1:11" hidden="1">
      <c r="A58" s="878" t="s">
        <v>215</v>
      </c>
      <c r="B58" s="9">
        <v>13680</v>
      </c>
      <c r="C58" s="9">
        <v>13680</v>
      </c>
      <c r="D58" s="8"/>
      <c r="E58" s="402"/>
      <c r="F58" s="401"/>
    </row>
    <row r="59" spans="1:11" hidden="1">
      <c r="A59" s="872" t="s">
        <v>214</v>
      </c>
      <c r="B59" s="9">
        <v>13785</v>
      </c>
      <c r="C59" s="9">
        <v>13785</v>
      </c>
      <c r="D59" s="8"/>
      <c r="E59" s="402"/>
      <c r="F59" s="401"/>
    </row>
    <row r="60" spans="1:11" hidden="1">
      <c r="A60" s="878" t="s">
        <v>213</v>
      </c>
      <c r="B60" s="9">
        <v>13891</v>
      </c>
      <c r="C60" s="9">
        <v>13891</v>
      </c>
      <c r="D60" s="8"/>
      <c r="E60" s="402"/>
      <c r="F60" s="401"/>
    </row>
    <row r="61" spans="1:11" hidden="1">
      <c r="A61" s="872" t="s">
        <v>212</v>
      </c>
      <c r="B61" s="9">
        <v>13998</v>
      </c>
      <c r="C61" s="9">
        <v>13998</v>
      </c>
      <c r="D61" s="8"/>
      <c r="E61" s="402"/>
      <c r="F61" s="401"/>
    </row>
    <row r="62" spans="1:11" hidden="1">
      <c r="A62" s="878" t="s">
        <v>211</v>
      </c>
      <c r="B62" s="9">
        <v>14106</v>
      </c>
      <c r="C62" s="9">
        <v>14106</v>
      </c>
      <c r="D62" s="8"/>
      <c r="E62" s="402"/>
      <c r="F62" s="401"/>
    </row>
    <row r="63" spans="1:11" hidden="1">
      <c r="A63" s="872" t="s">
        <v>210</v>
      </c>
      <c r="B63" s="9">
        <v>14213</v>
      </c>
      <c r="C63" s="9">
        <v>14213</v>
      </c>
      <c r="D63" s="8"/>
      <c r="E63" s="402"/>
      <c r="F63" s="401"/>
    </row>
    <row r="64" spans="1:11" hidden="1">
      <c r="A64" s="878" t="s">
        <v>209</v>
      </c>
      <c r="B64" s="9">
        <v>14323</v>
      </c>
      <c r="C64" s="9">
        <v>14323</v>
      </c>
      <c r="D64" s="8"/>
      <c r="E64" s="402"/>
      <c r="F64" s="401"/>
    </row>
    <row r="65" spans="1:11" hidden="1">
      <c r="A65" s="872" t="s">
        <v>208</v>
      </c>
      <c r="B65" s="9">
        <v>14432</v>
      </c>
      <c r="C65" s="9">
        <v>14432</v>
      </c>
      <c r="D65" s="8"/>
      <c r="E65" s="402"/>
      <c r="F65" s="401"/>
    </row>
    <row r="66" spans="1:11" hidden="1">
      <c r="A66" s="873" t="s">
        <v>207</v>
      </c>
      <c r="B66" s="11">
        <v>14511</v>
      </c>
      <c r="C66" s="11">
        <v>14511</v>
      </c>
      <c r="D66" s="8"/>
      <c r="E66" s="402"/>
      <c r="F66" s="401"/>
      <c r="G66" s="14"/>
      <c r="H66" s="14"/>
      <c r="I66" s="14"/>
      <c r="J66" s="13"/>
      <c r="K66" s="13"/>
    </row>
    <row r="67" spans="1:11" hidden="1">
      <c r="A67" s="873" t="s">
        <v>206</v>
      </c>
      <c r="B67" s="11">
        <v>14623</v>
      </c>
      <c r="C67" s="11">
        <v>14623</v>
      </c>
      <c r="D67" s="8"/>
      <c r="E67" s="402"/>
      <c r="F67" s="401"/>
      <c r="G67" s="14"/>
      <c r="H67" s="14"/>
    </row>
    <row r="68" spans="1:11" hidden="1">
      <c r="A68" s="873" t="s">
        <v>205</v>
      </c>
      <c r="B68" s="11">
        <v>14735</v>
      </c>
      <c r="C68" s="11">
        <v>14735</v>
      </c>
      <c r="D68" s="8"/>
      <c r="E68" s="402"/>
      <c r="F68" s="401"/>
      <c r="G68" s="14"/>
      <c r="H68" s="14"/>
    </row>
    <row r="69" spans="1:11" hidden="1">
      <c r="A69" s="873" t="s">
        <v>204</v>
      </c>
      <c r="B69" s="11">
        <v>14849</v>
      </c>
      <c r="C69" s="11">
        <v>14849</v>
      </c>
      <c r="D69" s="8"/>
      <c r="E69" s="402"/>
      <c r="F69" s="401"/>
      <c r="G69" s="14"/>
      <c r="H69" s="14"/>
    </row>
    <row r="70" spans="1:11" hidden="1">
      <c r="A70" s="873" t="s">
        <v>203</v>
      </c>
      <c r="B70" s="11">
        <v>14963</v>
      </c>
      <c r="C70" s="11">
        <v>14963</v>
      </c>
      <c r="D70" s="8"/>
      <c r="E70" s="402"/>
      <c r="F70" s="401"/>
      <c r="G70" s="14"/>
      <c r="H70" s="14"/>
    </row>
    <row r="71" spans="1:11" hidden="1">
      <c r="A71" s="873" t="s">
        <v>202</v>
      </c>
      <c r="B71" s="11">
        <v>15077</v>
      </c>
      <c r="C71" s="11">
        <v>15077</v>
      </c>
      <c r="D71" s="8"/>
      <c r="E71" s="402"/>
      <c r="F71" s="401"/>
      <c r="G71" s="14"/>
      <c r="H71" s="14"/>
      <c r="I71" s="14"/>
      <c r="J71" s="13"/>
      <c r="K71" s="13"/>
    </row>
    <row r="72" spans="1:11" hidden="1">
      <c r="A72" s="873" t="s">
        <v>201</v>
      </c>
      <c r="B72" s="11">
        <v>15193</v>
      </c>
      <c r="C72" s="11">
        <v>15193</v>
      </c>
      <c r="D72" s="8"/>
      <c r="E72" s="402"/>
      <c r="F72" s="401"/>
      <c r="G72" s="14"/>
      <c r="H72" s="14"/>
      <c r="I72" s="14"/>
      <c r="J72" s="13"/>
      <c r="K72" s="13"/>
    </row>
    <row r="73" spans="1:11" hidden="1">
      <c r="A73" s="873" t="s">
        <v>200</v>
      </c>
      <c r="B73" s="11">
        <v>15309</v>
      </c>
      <c r="C73" s="11">
        <v>15309</v>
      </c>
      <c r="D73" s="8"/>
      <c r="E73" s="402"/>
      <c r="F73" s="401"/>
      <c r="G73" s="14"/>
      <c r="H73" s="14"/>
    </row>
    <row r="74" spans="1:11" hidden="1">
      <c r="A74" s="872" t="s">
        <v>199</v>
      </c>
      <c r="B74" s="9">
        <v>15390</v>
      </c>
      <c r="C74" s="9">
        <v>15390</v>
      </c>
      <c r="D74" s="8"/>
      <c r="E74" s="402"/>
      <c r="F74" s="401"/>
      <c r="G74" s="14"/>
      <c r="H74" s="14"/>
      <c r="I74" s="14"/>
      <c r="J74" s="13"/>
      <c r="K74" s="13"/>
    </row>
    <row r="75" spans="1:11" hidden="1">
      <c r="A75" s="872" t="s">
        <v>198</v>
      </c>
      <c r="B75" s="9">
        <v>15509</v>
      </c>
      <c r="C75" s="9">
        <v>15509</v>
      </c>
      <c r="D75" s="8"/>
      <c r="E75" s="402"/>
      <c r="F75" s="401"/>
      <c r="G75" s="14"/>
      <c r="H75" s="14"/>
      <c r="I75" s="14"/>
      <c r="J75" s="13"/>
      <c r="K75" s="13"/>
    </row>
    <row r="76" spans="1:11" hidden="1">
      <c r="A76" s="872" t="s">
        <v>197</v>
      </c>
      <c r="B76" s="9">
        <v>15628</v>
      </c>
      <c r="C76" s="9">
        <v>15628</v>
      </c>
      <c r="D76" s="8"/>
      <c r="E76" s="402"/>
      <c r="F76" s="401"/>
      <c r="G76" s="14"/>
      <c r="H76" s="14"/>
      <c r="I76" s="14"/>
      <c r="J76" s="13"/>
      <c r="K76" s="13"/>
    </row>
    <row r="77" spans="1:11" hidden="1">
      <c r="A77" s="872" t="s">
        <v>196</v>
      </c>
      <c r="B77" s="9">
        <v>15748</v>
      </c>
      <c r="C77" s="9">
        <v>15748</v>
      </c>
      <c r="D77" s="8"/>
      <c r="E77" s="402"/>
      <c r="F77" s="401"/>
      <c r="G77" s="14"/>
      <c r="H77" s="14"/>
      <c r="I77" s="14"/>
      <c r="J77" s="13"/>
      <c r="K77" s="13"/>
    </row>
    <row r="78" spans="1:11" hidden="1">
      <c r="A78" s="872" t="s">
        <v>195</v>
      </c>
      <c r="B78" s="9">
        <v>15869</v>
      </c>
      <c r="C78" s="9">
        <v>15869</v>
      </c>
      <c r="D78" s="8"/>
      <c r="E78" s="402"/>
      <c r="F78" s="401"/>
      <c r="G78" s="14"/>
      <c r="H78" s="14"/>
      <c r="I78" s="14"/>
      <c r="J78" s="13"/>
      <c r="K78" s="13"/>
    </row>
    <row r="79" spans="1:11" hidden="1">
      <c r="A79" s="872" t="s">
        <v>194</v>
      </c>
      <c r="B79" s="9">
        <v>15990</v>
      </c>
      <c r="C79" s="9">
        <v>15990</v>
      </c>
      <c r="D79" s="8"/>
      <c r="E79" s="402"/>
      <c r="F79" s="401"/>
      <c r="G79" s="14"/>
      <c r="H79" s="14"/>
    </row>
    <row r="80" spans="1:11" hidden="1">
      <c r="A80" s="872" t="s">
        <v>193</v>
      </c>
      <c r="B80" s="9">
        <v>16114</v>
      </c>
      <c r="C80" s="9">
        <v>16114</v>
      </c>
      <c r="D80" s="8"/>
      <c r="E80" s="402"/>
      <c r="F80" s="401"/>
      <c r="G80" s="14"/>
      <c r="H80" s="14"/>
      <c r="I80" s="14"/>
      <c r="J80" s="13"/>
      <c r="K80" s="13"/>
    </row>
    <row r="81" spans="1:11" hidden="1">
      <c r="A81" s="872" t="s">
        <v>192</v>
      </c>
      <c r="B81" s="9">
        <v>16237</v>
      </c>
      <c r="C81" s="9">
        <v>16237</v>
      </c>
      <c r="D81" s="8"/>
      <c r="E81" s="402"/>
      <c r="F81" s="401"/>
      <c r="G81" s="14"/>
      <c r="H81" s="14"/>
      <c r="I81" s="14"/>
      <c r="J81" s="13"/>
      <c r="K81" s="13"/>
    </row>
    <row r="82" spans="1:11" hidden="1">
      <c r="A82" s="873" t="s">
        <v>191</v>
      </c>
      <c r="B82" s="11">
        <v>16320</v>
      </c>
      <c r="C82" s="11">
        <v>16320</v>
      </c>
      <c r="D82" s="8"/>
      <c r="E82" s="402"/>
      <c r="F82" s="401"/>
      <c r="G82" s="14"/>
      <c r="H82" s="14"/>
    </row>
    <row r="83" spans="1:11" hidden="1">
      <c r="A83" s="873" t="s">
        <v>190</v>
      </c>
      <c r="B83" s="11">
        <v>16445</v>
      </c>
      <c r="C83" s="11">
        <v>16445</v>
      </c>
      <c r="D83" s="8"/>
      <c r="E83" s="402"/>
      <c r="F83" s="401"/>
      <c r="G83" s="14"/>
      <c r="H83" s="14"/>
      <c r="I83" s="14"/>
      <c r="J83" s="13"/>
      <c r="K83" s="13"/>
    </row>
    <row r="84" spans="1:11" hidden="1">
      <c r="A84" s="873" t="s">
        <v>189</v>
      </c>
      <c r="B84" s="11">
        <v>16572</v>
      </c>
      <c r="C84" s="11">
        <v>16572</v>
      </c>
      <c r="D84" s="8"/>
      <c r="E84" s="402"/>
      <c r="F84" s="401"/>
      <c r="G84" s="14"/>
      <c r="H84" s="14"/>
      <c r="I84" s="14"/>
      <c r="J84" s="13"/>
      <c r="K84" s="13"/>
    </row>
    <row r="85" spans="1:11" hidden="1">
      <c r="A85" s="873" t="s">
        <v>188</v>
      </c>
      <c r="B85" s="11">
        <v>16699</v>
      </c>
      <c r="C85" s="11">
        <v>16699</v>
      </c>
      <c r="D85" s="8"/>
      <c r="E85" s="402"/>
      <c r="F85" s="401"/>
      <c r="G85" s="14"/>
      <c r="H85" s="14"/>
      <c r="I85" s="14"/>
      <c r="J85" s="13"/>
      <c r="K85" s="13"/>
    </row>
    <row r="86" spans="1:11" hidden="1">
      <c r="A86" s="873" t="s">
        <v>187</v>
      </c>
      <c r="B86" s="11">
        <v>16827</v>
      </c>
      <c r="C86" s="11">
        <v>16827</v>
      </c>
      <c r="D86" s="8"/>
      <c r="E86" s="402"/>
      <c r="F86" s="401"/>
      <c r="G86" s="14"/>
      <c r="H86" s="14"/>
      <c r="I86" s="14"/>
      <c r="J86" s="13"/>
      <c r="K86" s="13"/>
    </row>
    <row r="87" spans="1:11" hidden="1">
      <c r="A87" s="873" t="s">
        <v>186</v>
      </c>
      <c r="B87" s="11">
        <v>16957</v>
      </c>
      <c r="C87" s="11">
        <v>16957</v>
      </c>
      <c r="D87" s="8"/>
      <c r="E87" s="402"/>
      <c r="F87" s="401"/>
      <c r="G87" s="14"/>
      <c r="H87" s="14"/>
    </row>
    <row r="88" spans="1:11" hidden="1">
      <c r="A88" s="873" t="s">
        <v>185</v>
      </c>
      <c r="B88" s="11">
        <v>17086</v>
      </c>
      <c r="C88" s="11">
        <v>17086</v>
      </c>
      <c r="D88" s="8"/>
      <c r="E88" s="402"/>
      <c r="F88" s="401"/>
      <c r="G88" s="14"/>
      <c r="H88" s="14"/>
      <c r="I88" s="14"/>
      <c r="J88" s="13"/>
      <c r="K88" s="13"/>
    </row>
    <row r="89" spans="1:11" hidden="1">
      <c r="A89" s="873" t="s">
        <v>184</v>
      </c>
      <c r="B89" s="11">
        <v>17218</v>
      </c>
      <c r="C89" s="11">
        <v>17218</v>
      </c>
      <c r="D89" s="8"/>
      <c r="E89" s="402"/>
      <c r="F89" s="401"/>
      <c r="G89" s="14"/>
      <c r="H89" s="14"/>
    </row>
    <row r="90" spans="1:11" hidden="1">
      <c r="A90" s="872" t="s">
        <v>183</v>
      </c>
      <c r="B90" s="9">
        <v>17338</v>
      </c>
      <c r="C90" s="9">
        <v>17338</v>
      </c>
      <c r="D90" s="8"/>
      <c r="E90" s="19"/>
      <c r="F90" s="401"/>
      <c r="G90" s="14"/>
      <c r="H90" s="14"/>
      <c r="I90" s="14"/>
      <c r="J90" s="13"/>
      <c r="K90" s="13"/>
    </row>
    <row r="91" spans="1:11" hidden="1">
      <c r="A91" s="872" t="s">
        <v>182</v>
      </c>
      <c r="B91" s="9">
        <v>17496</v>
      </c>
      <c r="C91" s="9">
        <v>17496</v>
      </c>
      <c r="D91" s="8"/>
      <c r="E91" s="19"/>
      <c r="F91" s="401"/>
      <c r="G91" s="14"/>
      <c r="H91" s="14"/>
      <c r="I91" s="14"/>
      <c r="J91" s="13"/>
      <c r="K91" s="13"/>
    </row>
    <row r="92" spans="1:11" hidden="1">
      <c r="A92" s="872" t="s">
        <v>181</v>
      </c>
      <c r="B92" s="9">
        <v>17654</v>
      </c>
      <c r="C92" s="9">
        <v>17654</v>
      </c>
      <c r="D92" s="8"/>
      <c r="E92" s="19"/>
      <c r="F92" s="401"/>
      <c r="G92" s="14"/>
      <c r="H92" s="14"/>
      <c r="I92" s="14"/>
      <c r="J92" s="13"/>
      <c r="K92" s="13"/>
    </row>
    <row r="93" spans="1:11" hidden="1">
      <c r="A93" s="872" t="s">
        <v>180</v>
      </c>
      <c r="B93" s="9">
        <v>17813</v>
      </c>
      <c r="C93" s="9">
        <v>17813</v>
      </c>
      <c r="D93" s="8"/>
      <c r="E93" s="19"/>
      <c r="F93" s="401"/>
      <c r="G93" s="14"/>
      <c r="H93" s="14"/>
      <c r="I93" s="14"/>
      <c r="J93" s="13"/>
      <c r="K93" s="13"/>
    </row>
    <row r="94" spans="1:11" hidden="1">
      <c r="A94" s="872" t="s">
        <v>179</v>
      </c>
      <c r="B94" s="9">
        <v>17974</v>
      </c>
      <c r="C94" s="9">
        <v>17974</v>
      </c>
      <c r="D94" s="8"/>
      <c r="E94" s="19"/>
      <c r="F94" s="401"/>
      <c r="G94" s="14"/>
      <c r="H94" s="14"/>
      <c r="I94" s="14"/>
      <c r="J94" s="13"/>
      <c r="K94" s="13"/>
    </row>
    <row r="95" spans="1:11" hidden="1">
      <c r="A95" s="872" t="s">
        <v>178</v>
      </c>
      <c r="B95" s="9">
        <v>18136</v>
      </c>
      <c r="C95" s="9">
        <v>18136</v>
      </c>
      <c r="D95" s="8"/>
      <c r="E95" s="19"/>
      <c r="F95" s="401"/>
      <c r="G95" s="14"/>
      <c r="H95" s="14"/>
      <c r="I95" s="14"/>
      <c r="J95" s="13"/>
      <c r="K95" s="13"/>
    </row>
    <row r="96" spans="1:11" hidden="1">
      <c r="A96" s="872" t="s">
        <v>177</v>
      </c>
      <c r="B96" s="9">
        <v>18301</v>
      </c>
      <c r="C96" s="9">
        <v>18301</v>
      </c>
      <c r="D96" s="8"/>
      <c r="E96" s="19"/>
      <c r="F96" s="401"/>
      <c r="G96" s="14"/>
      <c r="H96" s="14"/>
      <c r="I96" s="14"/>
      <c r="J96" s="13"/>
      <c r="K96" s="13"/>
    </row>
    <row r="97" spans="1:11" hidden="1">
      <c r="A97" s="872" t="s">
        <v>176</v>
      </c>
      <c r="B97" s="9">
        <v>18466</v>
      </c>
      <c r="C97" s="9">
        <v>18466</v>
      </c>
      <c r="D97" s="8"/>
      <c r="E97" s="19"/>
      <c r="F97" s="401"/>
      <c r="G97" s="14"/>
      <c r="H97" s="14"/>
      <c r="I97" s="14"/>
      <c r="J97" s="13"/>
      <c r="K97" s="13"/>
    </row>
    <row r="98" spans="1:11" hidden="1">
      <c r="A98" s="873" t="s">
        <v>175</v>
      </c>
      <c r="B98" s="11">
        <v>18613</v>
      </c>
      <c r="C98" s="11">
        <v>18613</v>
      </c>
      <c r="D98" s="8"/>
      <c r="E98" s="19"/>
      <c r="F98" s="401"/>
      <c r="G98" s="14"/>
    </row>
    <row r="99" spans="1:11" hidden="1">
      <c r="A99" s="873" t="s">
        <v>174</v>
      </c>
      <c r="B99" s="11">
        <v>18769</v>
      </c>
      <c r="C99" s="11">
        <v>18769</v>
      </c>
      <c r="D99" s="8"/>
      <c r="E99" s="19"/>
      <c r="F99" s="401"/>
      <c r="G99" s="14"/>
      <c r="H99" s="14"/>
    </row>
    <row r="100" spans="1:11" hidden="1">
      <c r="A100" s="873" t="s">
        <v>173</v>
      </c>
      <c r="B100" s="11">
        <v>18926</v>
      </c>
      <c r="C100" s="11">
        <v>18926</v>
      </c>
      <c r="D100" s="8"/>
      <c r="E100" s="19"/>
      <c r="F100" s="401"/>
      <c r="G100" s="14"/>
      <c r="H100" s="14"/>
    </row>
    <row r="101" spans="1:11" hidden="1">
      <c r="A101" s="873" t="s">
        <v>172</v>
      </c>
      <c r="B101" s="11">
        <v>19085</v>
      </c>
      <c r="C101" s="11">
        <v>19085</v>
      </c>
      <c r="D101" s="8"/>
      <c r="E101" s="19"/>
      <c r="F101" s="401"/>
      <c r="G101" s="14"/>
      <c r="H101" s="14"/>
    </row>
    <row r="102" spans="1:11" hidden="1">
      <c r="A102" s="873" t="s">
        <v>171</v>
      </c>
      <c r="B102" s="11">
        <v>19244</v>
      </c>
      <c r="C102" s="11">
        <v>19244</v>
      </c>
      <c r="D102" s="8"/>
      <c r="E102" s="19"/>
      <c r="F102" s="401"/>
      <c r="G102" s="14"/>
      <c r="H102" s="14"/>
      <c r="I102" s="14"/>
      <c r="J102" s="13"/>
      <c r="K102" s="13"/>
    </row>
    <row r="103" spans="1:11" hidden="1">
      <c r="A103" s="873" t="s">
        <v>170</v>
      </c>
      <c r="B103" s="11">
        <v>19405</v>
      </c>
      <c r="C103" s="11">
        <v>19405</v>
      </c>
      <c r="D103" s="8"/>
      <c r="E103" s="19"/>
      <c r="F103" s="401"/>
      <c r="G103" s="14"/>
      <c r="H103" s="14"/>
      <c r="I103" s="14"/>
      <c r="J103" s="13"/>
      <c r="K103" s="13"/>
    </row>
    <row r="104" spans="1:11" hidden="1">
      <c r="A104" s="873" t="s">
        <v>169</v>
      </c>
      <c r="B104" s="11">
        <v>19567</v>
      </c>
      <c r="C104" s="11">
        <v>19567</v>
      </c>
      <c r="D104" s="8"/>
      <c r="E104" s="19"/>
      <c r="F104" s="401"/>
      <c r="G104" s="14"/>
      <c r="H104" s="14"/>
      <c r="I104" s="14"/>
      <c r="J104" s="13"/>
      <c r="K104" s="13"/>
    </row>
    <row r="105" spans="1:11" hidden="1">
      <c r="A105" s="873" t="s">
        <v>168</v>
      </c>
      <c r="B105" s="11">
        <v>19731</v>
      </c>
      <c r="C105" s="11">
        <v>19731</v>
      </c>
      <c r="D105" s="8"/>
      <c r="E105" s="19"/>
      <c r="F105" s="401"/>
      <c r="G105" s="14"/>
      <c r="H105" s="14"/>
      <c r="I105" s="14"/>
      <c r="J105" s="13"/>
      <c r="K105" s="13"/>
    </row>
    <row r="106" spans="1:11" hidden="1">
      <c r="A106" s="872" t="s">
        <v>167</v>
      </c>
      <c r="B106" s="9">
        <v>20145</v>
      </c>
      <c r="C106" s="9">
        <v>20145</v>
      </c>
      <c r="D106" s="8"/>
      <c r="E106" s="402"/>
      <c r="F106" s="401"/>
      <c r="G106" s="14"/>
    </row>
    <row r="107" spans="1:11" hidden="1">
      <c r="A107" s="872" t="s">
        <v>166</v>
      </c>
      <c r="B107" s="9">
        <v>20313</v>
      </c>
      <c r="C107" s="9">
        <v>20313</v>
      </c>
      <c r="D107" s="8"/>
      <c r="E107" s="402"/>
      <c r="F107" s="401"/>
      <c r="G107" s="14"/>
    </row>
    <row r="108" spans="1:11" hidden="1">
      <c r="A108" s="872" t="s">
        <v>165</v>
      </c>
      <c r="B108" s="9">
        <v>20483</v>
      </c>
      <c r="C108" s="9">
        <v>20483</v>
      </c>
      <c r="D108" s="8"/>
      <c r="E108" s="402"/>
      <c r="F108" s="401"/>
      <c r="G108" s="14"/>
      <c r="H108" s="14"/>
    </row>
    <row r="109" spans="1:11" hidden="1">
      <c r="A109" s="872" t="s">
        <v>164</v>
      </c>
      <c r="B109" s="9">
        <v>20654</v>
      </c>
      <c r="C109" s="9">
        <v>20654</v>
      </c>
      <c r="D109" s="8"/>
      <c r="E109" s="402"/>
      <c r="F109" s="401"/>
      <c r="G109" s="14"/>
      <c r="H109" s="14"/>
    </row>
    <row r="110" spans="1:11" hidden="1">
      <c r="A110" s="872" t="s">
        <v>163</v>
      </c>
      <c r="B110" s="9">
        <v>20827</v>
      </c>
      <c r="C110" s="9">
        <v>20827</v>
      </c>
      <c r="D110" s="8"/>
      <c r="E110" s="402"/>
      <c r="F110" s="401"/>
      <c r="G110" s="14"/>
      <c r="H110" s="14"/>
    </row>
    <row r="111" spans="1:11" hidden="1">
      <c r="A111" s="872" t="s">
        <v>162</v>
      </c>
      <c r="B111" s="9">
        <v>21001</v>
      </c>
      <c r="C111" s="9">
        <v>21001</v>
      </c>
      <c r="D111" s="8"/>
      <c r="E111" s="402"/>
      <c r="F111" s="401"/>
      <c r="G111" s="14"/>
      <c r="H111" s="14"/>
      <c r="I111" s="14"/>
      <c r="J111" s="13"/>
      <c r="K111" s="13"/>
    </row>
    <row r="112" spans="1:11" hidden="1">
      <c r="A112" s="872" t="s">
        <v>161</v>
      </c>
      <c r="B112" s="9">
        <v>21176</v>
      </c>
      <c r="C112" s="9">
        <v>21176</v>
      </c>
      <c r="D112" s="8"/>
      <c r="E112" s="402"/>
      <c r="F112" s="401"/>
      <c r="G112" s="14"/>
      <c r="H112" s="17"/>
      <c r="I112" s="14"/>
      <c r="J112" s="13"/>
      <c r="K112" s="13"/>
    </row>
    <row r="113" spans="1:11" hidden="1">
      <c r="A113" s="872" t="s">
        <v>160</v>
      </c>
      <c r="B113" s="9">
        <v>21353</v>
      </c>
      <c r="C113" s="9">
        <v>21353</v>
      </c>
      <c r="D113" s="8"/>
      <c r="E113" s="402"/>
      <c r="F113" s="401"/>
      <c r="G113" s="14"/>
      <c r="H113" s="18"/>
    </row>
    <row r="114" spans="1:11" hidden="1">
      <c r="A114" s="873" t="s">
        <v>159</v>
      </c>
      <c r="B114" s="11">
        <v>22683</v>
      </c>
      <c r="C114" s="11">
        <v>22683</v>
      </c>
      <c r="D114" s="8"/>
      <c r="E114" s="402"/>
      <c r="F114" s="401"/>
      <c r="G114" s="14"/>
      <c r="H114" s="17"/>
      <c r="I114" s="14"/>
      <c r="J114" s="13"/>
      <c r="K114" s="13"/>
    </row>
    <row r="115" spans="1:11" hidden="1">
      <c r="A115" s="873" t="s">
        <v>158</v>
      </c>
      <c r="B115" s="11">
        <v>22953</v>
      </c>
      <c r="C115" s="11">
        <v>22953</v>
      </c>
      <c r="D115" s="8"/>
    </row>
    <row r="116" spans="1:11" hidden="1">
      <c r="A116" s="873" t="s">
        <v>157</v>
      </c>
      <c r="B116" s="11">
        <v>23228</v>
      </c>
      <c r="C116" s="11">
        <v>23228</v>
      </c>
      <c r="D116" s="8"/>
    </row>
    <row r="117" spans="1:11" hidden="1">
      <c r="A117" s="873" t="s">
        <v>156</v>
      </c>
      <c r="B117" s="11">
        <v>23505</v>
      </c>
      <c r="C117" s="11">
        <v>23505</v>
      </c>
      <c r="D117" s="8"/>
    </row>
    <row r="118" spans="1:11" hidden="1">
      <c r="A118" s="873" t="s">
        <v>155</v>
      </c>
      <c r="B118" s="11">
        <v>23786</v>
      </c>
      <c r="C118" s="11">
        <v>23786</v>
      </c>
      <c r="D118" s="8"/>
    </row>
    <row r="119" spans="1:11" hidden="1">
      <c r="A119" s="873" t="s">
        <v>154</v>
      </c>
      <c r="B119" s="11">
        <v>24072</v>
      </c>
      <c r="C119" s="11">
        <v>24072</v>
      </c>
      <c r="D119" s="8"/>
    </row>
    <row r="120" spans="1:11" hidden="1">
      <c r="A120" s="873" t="s">
        <v>153</v>
      </c>
      <c r="B120" s="11">
        <v>24361</v>
      </c>
      <c r="C120" s="11">
        <v>24361</v>
      </c>
      <c r="D120" s="8"/>
    </row>
    <row r="121" spans="1:11" hidden="1">
      <c r="A121" s="873" t="s">
        <v>152</v>
      </c>
      <c r="B121" s="11">
        <v>24654</v>
      </c>
      <c r="C121" s="11">
        <v>24654</v>
      </c>
      <c r="D121" s="8"/>
    </row>
    <row r="122" spans="1:11" hidden="1">
      <c r="A122" s="872" t="s">
        <v>151</v>
      </c>
      <c r="B122" s="9">
        <v>24749</v>
      </c>
      <c r="C122" s="9">
        <v>24749</v>
      </c>
      <c r="D122" s="8"/>
    </row>
    <row r="123" spans="1:11" hidden="1">
      <c r="A123" s="872" t="s">
        <v>150</v>
      </c>
      <c r="B123" s="9">
        <v>25019</v>
      </c>
      <c r="C123" s="9">
        <v>25019</v>
      </c>
      <c r="D123" s="8"/>
    </row>
    <row r="124" spans="1:11" hidden="1">
      <c r="A124" s="872" t="s">
        <v>149</v>
      </c>
      <c r="B124" s="9">
        <v>25293</v>
      </c>
      <c r="C124" s="9">
        <v>25293</v>
      </c>
      <c r="D124" s="8"/>
      <c r="F124" s="402"/>
      <c r="G124" s="401"/>
      <c r="H124" s="14"/>
      <c r="I124" s="14"/>
      <c r="J124" s="13"/>
      <c r="K124" s="13"/>
    </row>
    <row r="125" spans="1:11" hidden="1">
      <c r="A125" s="872" t="s">
        <v>148</v>
      </c>
      <c r="B125" s="9">
        <v>25569</v>
      </c>
      <c r="C125" s="9">
        <v>25569</v>
      </c>
      <c r="D125" s="8"/>
      <c r="F125" s="402"/>
      <c r="G125" s="401"/>
      <c r="H125" s="14"/>
      <c r="I125" s="14"/>
      <c r="J125" s="13"/>
      <c r="K125" s="13"/>
    </row>
    <row r="126" spans="1:11" hidden="1">
      <c r="A126" s="872" t="s">
        <v>147</v>
      </c>
      <c r="B126" s="9">
        <v>25850</v>
      </c>
      <c r="C126" s="9">
        <v>25850</v>
      </c>
      <c r="D126" s="8"/>
      <c r="F126" s="402"/>
      <c r="G126" s="401"/>
      <c r="H126" s="14"/>
      <c r="I126" s="14"/>
      <c r="J126" s="13"/>
      <c r="K126" s="13"/>
    </row>
    <row r="127" spans="1:11" hidden="1">
      <c r="A127" s="872" t="s">
        <v>146</v>
      </c>
      <c r="B127" s="9">
        <v>26134</v>
      </c>
      <c r="C127" s="9">
        <v>26134</v>
      </c>
      <c r="D127" s="8"/>
      <c r="F127" s="402"/>
      <c r="G127" s="401"/>
      <c r="H127" s="14"/>
      <c r="I127" s="14"/>
      <c r="J127" s="13"/>
      <c r="K127" s="13"/>
    </row>
    <row r="128" spans="1:11" hidden="1">
      <c r="A128" s="872" t="s">
        <v>145</v>
      </c>
      <c r="B128" s="9">
        <v>26420</v>
      </c>
      <c r="C128" s="9">
        <v>26420</v>
      </c>
      <c r="D128" s="8"/>
      <c r="F128" s="402"/>
      <c r="G128" s="401"/>
      <c r="H128" s="14"/>
      <c r="I128" s="14"/>
      <c r="J128" s="13"/>
      <c r="K128" s="13"/>
    </row>
    <row r="129" spans="1:11" hidden="1">
      <c r="A129" s="872" t="s">
        <v>144</v>
      </c>
      <c r="B129" s="9">
        <v>26711</v>
      </c>
      <c r="C129" s="9">
        <v>26711</v>
      </c>
      <c r="D129" s="8"/>
      <c r="F129" s="402"/>
      <c r="G129" s="401"/>
      <c r="H129" s="14"/>
      <c r="I129" s="14"/>
      <c r="J129" s="13"/>
      <c r="K129" s="13"/>
    </row>
    <row r="130" spans="1:11" hidden="1">
      <c r="A130" s="873" t="s">
        <v>143</v>
      </c>
      <c r="B130" s="11">
        <v>26862</v>
      </c>
      <c r="C130" s="11">
        <v>26862</v>
      </c>
      <c r="D130" s="8"/>
    </row>
    <row r="131" spans="1:11" hidden="1">
      <c r="A131" s="873" t="s">
        <v>142</v>
      </c>
      <c r="B131" s="11">
        <v>27160</v>
      </c>
      <c r="C131" s="11">
        <v>27160</v>
      </c>
      <c r="D131" s="8"/>
    </row>
    <row r="132" spans="1:11" hidden="1">
      <c r="A132" s="873" t="s">
        <v>141</v>
      </c>
      <c r="B132" s="11">
        <v>27460</v>
      </c>
      <c r="C132" s="11">
        <v>27460</v>
      </c>
      <c r="D132" s="8"/>
    </row>
    <row r="133" spans="1:11" hidden="1">
      <c r="A133" s="873" t="s">
        <v>140</v>
      </c>
      <c r="B133" s="11">
        <v>27764</v>
      </c>
      <c r="C133" s="11">
        <v>27764</v>
      </c>
      <c r="D133" s="8"/>
    </row>
    <row r="134" spans="1:11" hidden="1">
      <c r="A134" s="873" t="s">
        <v>139</v>
      </c>
      <c r="B134" s="11">
        <v>28073</v>
      </c>
      <c r="C134" s="11">
        <v>28073</v>
      </c>
      <c r="D134" s="8"/>
    </row>
    <row r="135" spans="1:11" hidden="1">
      <c r="A135" s="873" t="s">
        <v>138</v>
      </c>
      <c r="B135" s="11">
        <v>28384</v>
      </c>
      <c r="C135" s="11">
        <v>28384</v>
      </c>
      <c r="D135" s="8"/>
    </row>
    <row r="136" spans="1:11" hidden="1">
      <c r="A136" s="873" t="s">
        <v>137</v>
      </c>
      <c r="B136" s="11">
        <v>28700</v>
      </c>
      <c r="C136" s="11">
        <v>28700</v>
      </c>
      <c r="D136" s="8"/>
    </row>
    <row r="137" spans="1:11" hidden="1">
      <c r="A137" s="873" t="s">
        <v>136</v>
      </c>
      <c r="B137" s="11">
        <v>29020</v>
      </c>
      <c r="C137" s="11">
        <v>29020</v>
      </c>
      <c r="D137" s="8"/>
    </row>
    <row r="138" spans="1:11" hidden="1">
      <c r="A138" s="872" t="s">
        <v>135</v>
      </c>
      <c r="B138" s="9">
        <v>29259</v>
      </c>
      <c r="C138" s="9">
        <v>29259</v>
      </c>
      <c r="D138" s="8"/>
    </row>
    <row r="139" spans="1:11" hidden="1">
      <c r="A139" s="872" t="s">
        <v>134</v>
      </c>
      <c r="B139" s="9">
        <v>29586</v>
      </c>
      <c r="C139" s="9">
        <v>29586</v>
      </c>
      <c r="D139" s="8"/>
    </row>
    <row r="140" spans="1:11" hidden="1">
      <c r="A140" s="872" t="s">
        <v>133</v>
      </c>
      <c r="B140" s="9">
        <v>29916</v>
      </c>
      <c r="C140" s="9">
        <v>29916</v>
      </c>
      <c r="D140" s="8"/>
    </row>
    <row r="141" spans="1:11" hidden="1">
      <c r="A141" s="872" t="s">
        <v>132</v>
      </c>
      <c r="B141" s="9">
        <v>30252</v>
      </c>
      <c r="C141" s="9">
        <v>30252</v>
      </c>
      <c r="D141" s="8"/>
    </row>
    <row r="142" spans="1:11" hidden="1">
      <c r="A142" s="872" t="s">
        <v>131</v>
      </c>
      <c r="B142" s="9">
        <v>30590</v>
      </c>
      <c r="C142" s="9">
        <v>30590</v>
      </c>
      <c r="D142" s="8"/>
    </row>
    <row r="143" spans="1:11" hidden="1">
      <c r="A143" s="872" t="s">
        <v>130</v>
      </c>
      <c r="B143" s="9">
        <v>30933</v>
      </c>
      <c r="C143" s="9">
        <v>30933</v>
      </c>
      <c r="D143" s="8"/>
    </row>
    <row r="144" spans="1:11" hidden="1">
      <c r="A144" s="872" t="s">
        <v>129</v>
      </c>
      <c r="B144" s="9">
        <v>31281</v>
      </c>
      <c r="C144" s="9">
        <v>31281</v>
      </c>
      <c r="D144" s="8"/>
    </row>
    <row r="145" spans="1:4" hidden="1">
      <c r="A145" s="872" t="s">
        <v>128</v>
      </c>
      <c r="B145" s="9">
        <v>31632</v>
      </c>
      <c r="C145" s="9">
        <v>31632</v>
      </c>
      <c r="D145" s="8"/>
    </row>
    <row r="146" spans="1:4" hidden="1">
      <c r="A146" s="873" t="s">
        <v>127</v>
      </c>
      <c r="B146" s="11">
        <v>31896</v>
      </c>
      <c r="C146" s="11">
        <v>31896</v>
      </c>
      <c r="D146" s="8"/>
    </row>
    <row r="147" spans="1:4" hidden="1">
      <c r="A147" s="873" t="s">
        <v>126</v>
      </c>
      <c r="B147" s="11">
        <v>32255</v>
      </c>
      <c r="C147" s="11">
        <v>32255</v>
      </c>
      <c r="D147" s="8"/>
    </row>
    <row r="148" spans="1:4" hidden="1">
      <c r="A148" s="873" t="s">
        <v>125</v>
      </c>
      <c r="B148" s="11">
        <v>32619</v>
      </c>
      <c r="C148" s="11">
        <v>32619</v>
      </c>
      <c r="D148" s="8"/>
    </row>
    <row r="149" spans="1:4" hidden="1">
      <c r="A149" s="873" t="s">
        <v>124</v>
      </c>
      <c r="B149" s="11">
        <v>32988</v>
      </c>
      <c r="C149" s="11">
        <v>32988</v>
      </c>
      <c r="D149" s="8"/>
    </row>
    <row r="150" spans="1:4" hidden="1">
      <c r="A150" s="873" t="s">
        <v>123</v>
      </c>
      <c r="B150" s="11">
        <v>33360</v>
      </c>
      <c r="C150" s="11">
        <v>33360</v>
      </c>
      <c r="D150" s="8"/>
    </row>
    <row r="151" spans="1:4" hidden="1">
      <c r="A151" s="873" t="s">
        <v>122</v>
      </c>
      <c r="B151" s="11">
        <v>33737</v>
      </c>
      <c r="C151" s="11">
        <v>33737</v>
      </c>
      <c r="D151" s="8"/>
    </row>
    <row r="152" spans="1:4" hidden="1">
      <c r="A152" s="873" t="s">
        <v>121</v>
      </c>
      <c r="B152" s="11">
        <v>34119</v>
      </c>
      <c r="C152" s="11">
        <v>34119</v>
      </c>
      <c r="D152" s="8"/>
    </row>
    <row r="153" spans="1:4" hidden="1">
      <c r="A153" s="873" t="s">
        <v>120</v>
      </c>
      <c r="B153" s="11">
        <v>34507</v>
      </c>
      <c r="C153" s="11">
        <v>34507</v>
      </c>
      <c r="D153" s="8"/>
    </row>
    <row r="154" spans="1:4" hidden="1">
      <c r="A154" s="872" t="s">
        <v>119</v>
      </c>
      <c r="B154" s="9">
        <v>34797</v>
      </c>
      <c r="C154" s="9">
        <v>34797</v>
      </c>
      <c r="D154" s="8"/>
    </row>
    <row r="155" spans="1:4" hidden="1">
      <c r="A155" s="872" t="s">
        <v>118</v>
      </c>
      <c r="B155" s="9">
        <v>35192</v>
      </c>
      <c r="C155" s="9">
        <v>35192</v>
      </c>
      <c r="D155" s="8"/>
    </row>
    <row r="156" spans="1:4" hidden="1">
      <c r="A156" s="872" t="s">
        <v>117</v>
      </c>
      <c r="B156" s="9">
        <v>35592</v>
      </c>
      <c r="C156" s="9">
        <v>35592</v>
      </c>
      <c r="D156" s="8"/>
    </row>
    <row r="157" spans="1:4" hidden="1">
      <c r="A157" s="872" t="s">
        <v>116</v>
      </c>
      <c r="B157" s="9">
        <v>35996</v>
      </c>
      <c r="C157" s="9">
        <v>35996</v>
      </c>
      <c r="D157" s="8"/>
    </row>
    <row r="158" spans="1:4" hidden="1">
      <c r="A158" s="872" t="s">
        <v>115</v>
      </c>
      <c r="B158" s="9">
        <v>36407</v>
      </c>
      <c r="C158" s="9">
        <v>36407</v>
      </c>
      <c r="D158" s="8"/>
    </row>
    <row r="159" spans="1:4" hidden="1">
      <c r="A159" s="872" t="s">
        <v>114</v>
      </c>
      <c r="B159" s="9">
        <v>36822</v>
      </c>
      <c r="C159" s="9">
        <v>36822</v>
      </c>
      <c r="D159" s="8"/>
    </row>
    <row r="160" spans="1:4" hidden="1">
      <c r="A160" s="872" t="s">
        <v>113</v>
      </c>
      <c r="B160" s="9">
        <v>37243</v>
      </c>
      <c r="C160" s="9">
        <v>37243</v>
      </c>
      <c r="D160" s="8"/>
    </row>
    <row r="161" spans="1:4" hidden="1">
      <c r="A161" s="872" t="s">
        <v>112</v>
      </c>
      <c r="B161" s="9">
        <v>37668</v>
      </c>
      <c r="C161" s="9">
        <v>37668</v>
      </c>
      <c r="D161" s="8"/>
    </row>
    <row r="162" spans="1:4" hidden="1">
      <c r="A162" s="873" t="s">
        <v>111</v>
      </c>
      <c r="B162" s="11">
        <v>37987</v>
      </c>
      <c r="C162" s="11">
        <v>37987</v>
      </c>
      <c r="D162" s="8"/>
    </row>
    <row r="163" spans="1:4" hidden="1">
      <c r="A163" s="873" t="s">
        <v>110</v>
      </c>
      <c r="B163" s="11">
        <v>38422</v>
      </c>
      <c r="C163" s="11">
        <v>38422</v>
      </c>
      <c r="D163" s="8"/>
    </row>
    <row r="164" spans="1:4" hidden="1">
      <c r="A164" s="873" t="s">
        <v>109</v>
      </c>
      <c r="B164" s="11">
        <v>38862</v>
      </c>
      <c r="C164" s="11">
        <v>38862</v>
      </c>
      <c r="D164" s="8"/>
    </row>
    <row r="165" spans="1:4" hidden="1">
      <c r="A165" s="873" t="s">
        <v>108</v>
      </c>
      <c r="B165" s="11">
        <v>39307</v>
      </c>
      <c r="C165" s="11">
        <v>39307</v>
      </c>
      <c r="D165" s="8"/>
    </row>
    <row r="166" spans="1:4" hidden="1">
      <c r="A166" s="873" t="s">
        <v>107</v>
      </c>
      <c r="B166" s="11">
        <v>39758</v>
      </c>
      <c r="C166" s="11">
        <v>39758</v>
      </c>
      <c r="D166" s="8"/>
    </row>
    <row r="167" spans="1:4" hidden="1">
      <c r="A167" s="873" t="s">
        <v>106</v>
      </c>
      <c r="B167" s="11">
        <v>40215</v>
      </c>
      <c r="C167" s="11">
        <v>40215</v>
      </c>
      <c r="D167" s="8"/>
    </row>
    <row r="168" spans="1:4" hidden="1">
      <c r="A168" s="873" t="s">
        <v>105</v>
      </c>
      <c r="B168" s="11">
        <v>40677</v>
      </c>
      <c r="C168" s="11">
        <v>40677</v>
      </c>
      <c r="D168" s="8"/>
    </row>
    <row r="169" spans="1:4" hidden="1">
      <c r="A169" s="873" t="s">
        <v>104</v>
      </c>
      <c r="B169" s="11">
        <v>41145</v>
      </c>
      <c r="C169" s="11">
        <v>41145</v>
      </c>
      <c r="D169" s="8"/>
    </row>
    <row r="170" spans="1:4" hidden="1">
      <c r="A170" s="872" t="s">
        <v>103</v>
      </c>
      <c r="B170" s="9">
        <v>41497</v>
      </c>
      <c r="C170" s="9">
        <v>41497</v>
      </c>
      <c r="D170" s="8"/>
    </row>
    <row r="171" spans="1:4" hidden="1">
      <c r="A171" s="872" t="s">
        <v>102</v>
      </c>
      <c r="B171" s="9">
        <v>41975</v>
      </c>
      <c r="C171" s="9">
        <v>41975</v>
      </c>
      <c r="D171" s="8"/>
    </row>
    <row r="172" spans="1:4" hidden="1">
      <c r="A172" s="872" t="s">
        <v>101</v>
      </c>
      <c r="B172" s="9">
        <v>42459</v>
      </c>
      <c r="C172" s="9">
        <v>42459</v>
      </c>
      <c r="D172" s="8"/>
    </row>
    <row r="173" spans="1:4" hidden="1">
      <c r="A173" s="872" t="s">
        <v>100</v>
      </c>
      <c r="B173" s="9">
        <v>42949</v>
      </c>
      <c r="C173" s="9">
        <v>42949</v>
      </c>
      <c r="D173" s="8"/>
    </row>
    <row r="174" spans="1:4" hidden="1">
      <c r="A174" s="872" t="s">
        <v>99</v>
      </c>
      <c r="B174" s="9">
        <v>43445</v>
      </c>
      <c r="C174" s="9">
        <v>43445</v>
      </c>
      <c r="D174" s="8"/>
    </row>
    <row r="175" spans="1:4" hidden="1">
      <c r="A175" s="872" t="s">
        <v>98</v>
      </c>
      <c r="B175" s="9">
        <v>43948</v>
      </c>
      <c r="C175" s="9">
        <v>43948</v>
      </c>
      <c r="D175" s="8"/>
    </row>
    <row r="176" spans="1:4" hidden="1">
      <c r="A176" s="872" t="s">
        <v>97</v>
      </c>
      <c r="B176" s="9">
        <v>44456</v>
      </c>
      <c r="C176" s="9">
        <v>44456</v>
      </c>
      <c r="D176" s="8"/>
    </row>
    <row r="177" spans="1:4" hidden="1">
      <c r="A177" s="872" t="s">
        <v>96</v>
      </c>
      <c r="B177" s="9">
        <v>44971</v>
      </c>
      <c r="C177" s="9">
        <v>44971</v>
      </c>
      <c r="D177" s="8"/>
    </row>
    <row r="178" spans="1:4" hidden="1">
      <c r="A178" s="873" t="s">
        <v>95</v>
      </c>
      <c r="B178" s="11">
        <v>45897</v>
      </c>
      <c r="C178" s="11">
        <v>45897</v>
      </c>
      <c r="D178" s="8"/>
    </row>
    <row r="179" spans="1:4" hidden="1">
      <c r="A179" s="873" t="s">
        <v>94</v>
      </c>
      <c r="B179" s="11">
        <v>46599</v>
      </c>
      <c r="C179" s="11">
        <v>46599</v>
      </c>
      <c r="D179" s="8"/>
    </row>
    <row r="180" spans="1:4" hidden="1">
      <c r="A180" s="873" t="s">
        <v>93</v>
      </c>
      <c r="B180" s="11">
        <v>47313</v>
      </c>
      <c r="C180" s="11">
        <v>47313</v>
      </c>
      <c r="D180" s="8"/>
    </row>
    <row r="181" spans="1:4" hidden="1">
      <c r="A181" s="873" t="s">
        <v>92</v>
      </c>
      <c r="B181" s="11">
        <v>48038</v>
      </c>
      <c r="C181" s="11">
        <v>48038</v>
      </c>
      <c r="D181" s="8"/>
    </row>
    <row r="182" spans="1:4" hidden="1">
      <c r="A182" s="873" t="s">
        <v>91</v>
      </c>
      <c r="B182" s="11">
        <v>48775</v>
      </c>
      <c r="C182" s="11">
        <v>48775</v>
      </c>
      <c r="D182" s="8"/>
    </row>
    <row r="183" spans="1:4" hidden="1">
      <c r="A183" s="873" t="s">
        <v>90</v>
      </c>
      <c r="B183" s="11">
        <v>49524</v>
      </c>
      <c r="C183" s="11">
        <v>49524</v>
      </c>
      <c r="D183" s="8"/>
    </row>
    <row r="184" spans="1:4" hidden="1">
      <c r="A184" s="873" t="s">
        <v>89</v>
      </c>
      <c r="B184" s="11">
        <v>50285</v>
      </c>
      <c r="C184" s="11">
        <v>50285</v>
      </c>
      <c r="D184" s="8"/>
    </row>
    <row r="185" spans="1:4" hidden="1">
      <c r="A185" s="873" t="s">
        <v>88</v>
      </c>
      <c r="B185" s="11">
        <v>51059</v>
      </c>
      <c r="C185" s="11">
        <v>51059</v>
      </c>
      <c r="D185" s="8"/>
    </row>
    <row r="186" spans="1:4" hidden="1">
      <c r="A186" s="872" t="s">
        <v>87</v>
      </c>
      <c r="B186" s="9">
        <v>51538</v>
      </c>
      <c r="C186" s="9">
        <v>51538</v>
      </c>
      <c r="D186" s="8"/>
    </row>
    <row r="187" spans="1:4" hidden="1">
      <c r="A187" s="872" t="s">
        <v>86</v>
      </c>
      <c r="B187" s="9">
        <v>52331</v>
      </c>
      <c r="C187" s="9">
        <v>52331</v>
      </c>
      <c r="D187" s="8"/>
    </row>
    <row r="188" spans="1:4" hidden="1">
      <c r="A188" s="872" t="s">
        <v>85</v>
      </c>
      <c r="B188" s="9">
        <v>53137</v>
      </c>
      <c r="C188" s="9">
        <v>53137</v>
      </c>
      <c r="D188" s="8"/>
    </row>
    <row r="189" spans="1:4" hidden="1">
      <c r="A189" s="872" t="s">
        <v>84</v>
      </c>
      <c r="B189" s="9">
        <v>53956</v>
      </c>
      <c r="C189" s="9">
        <v>53956</v>
      </c>
      <c r="D189" s="8"/>
    </row>
    <row r="190" spans="1:4" hidden="1">
      <c r="A190" s="872" t="s">
        <v>83</v>
      </c>
      <c r="B190" s="9">
        <v>54789</v>
      </c>
      <c r="C190" s="9">
        <v>54789</v>
      </c>
      <c r="D190" s="8"/>
    </row>
    <row r="191" spans="1:4" hidden="1">
      <c r="A191" s="872" t="s">
        <v>82</v>
      </c>
      <c r="B191" s="9">
        <v>55636</v>
      </c>
      <c r="C191" s="9">
        <v>55636</v>
      </c>
      <c r="D191" s="8"/>
    </row>
    <row r="192" spans="1:4" hidden="1">
      <c r="A192" s="872" t="s">
        <v>81</v>
      </c>
      <c r="B192" s="9">
        <v>56496</v>
      </c>
      <c r="C192" s="9">
        <v>56496</v>
      </c>
      <c r="D192" s="8"/>
    </row>
    <row r="193" spans="1:4" hidden="1">
      <c r="A193" s="872" t="s">
        <v>80</v>
      </c>
      <c r="B193" s="9">
        <v>57370</v>
      </c>
      <c r="C193" s="9">
        <v>57370</v>
      </c>
      <c r="D193" s="8"/>
    </row>
    <row r="194" spans="1:4" hidden="1">
      <c r="A194" s="873" t="s">
        <v>79</v>
      </c>
      <c r="B194" s="11">
        <v>57856</v>
      </c>
      <c r="C194" s="11">
        <v>57856</v>
      </c>
      <c r="D194" s="8"/>
    </row>
    <row r="195" spans="1:4" hidden="1">
      <c r="A195" s="873" t="s">
        <v>78</v>
      </c>
      <c r="B195" s="11">
        <v>58752</v>
      </c>
      <c r="C195" s="11">
        <v>58752</v>
      </c>
      <c r="D195" s="8"/>
    </row>
    <row r="196" spans="1:4" hidden="1">
      <c r="A196" s="873" t="s">
        <v>77</v>
      </c>
      <c r="B196" s="11">
        <v>59663</v>
      </c>
      <c r="C196" s="11">
        <v>59663</v>
      </c>
      <c r="D196" s="8"/>
    </row>
    <row r="197" spans="1:4" hidden="1">
      <c r="A197" s="873" t="s">
        <v>76</v>
      </c>
      <c r="B197" s="11">
        <v>60588</v>
      </c>
      <c r="C197" s="11">
        <v>60588</v>
      </c>
      <c r="D197" s="8"/>
    </row>
    <row r="198" spans="1:4" hidden="1">
      <c r="A198" s="873" t="s">
        <v>75</v>
      </c>
      <c r="B198" s="11">
        <v>61530</v>
      </c>
      <c r="C198" s="11">
        <v>61530</v>
      </c>
      <c r="D198" s="8"/>
    </row>
    <row r="199" spans="1:4" hidden="1">
      <c r="A199" s="873" t="s">
        <v>74</v>
      </c>
      <c r="B199" s="11">
        <v>62485</v>
      </c>
      <c r="C199" s="11">
        <v>62485</v>
      </c>
      <c r="D199" s="8"/>
    </row>
    <row r="200" spans="1:4" hidden="1">
      <c r="A200" s="873" t="s">
        <v>73</v>
      </c>
      <c r="B200" s="11">
        <v>63457</v>
      </c>
      <c r="C200" s="11">
        <v>63457</v>
      </c>
      <c r="D200" s="8"/>
    </row>
    <row r="201" spans="1:4" hidden="1">
      <c r="A201" s="873" t="s">
        <v>72</v>
      </c>
      <c r="B201" s="11">
        <v>64445</v>
      </c>
      <c r="C201" s="11">
        <v>64445</v>
      </c>
      <c r="D201" s="8"/>
    </row>
    <row r="202" spans="1:4" hidden="1">
      <c r="A202" s="872" t="s">
        <v>71</v>
      </c>
      <c r="B202" s="9">
        <v>64994</v>
      </c>
      <c r="C202" s="9">
        <v>64994</v>
      </c>
      <c r="D202" s="8"/>
    </row>
    <row r="203" spans="1:4" hidden="1">
      <c r="A203" s="872" t="s">
        <v>70</v>
      </c>
      <c r="B203" s="9">
        <v>66007</v>
      </c>
      <c r="C203" s="9">
        <v>66007</v>
      </c>
      <c r="D203" s="8"/>
    </row>
    <row r="204" spans="1:4" hidden="1">
      <c r="A204" s="872" t="s">
        <v>69</v>
      </c>
      <c r="B204" s="9">
        <v>67037</v>
      </c>
      <c r="C204" s="9">
        <v>67037</v>
      </c>
      <c r="D204" s="8"/>
    </row>
    <row r="205" spans="1:4" hidden="1">
      <c r="A205" s="872" t="s">
        <v>68</v>
      </c>
      <c r="B205" s="9">
        <v>68083</v>
      </c>
      <c r="C205" s="9">
        <v>68083</v>
      </c>
      <c r="D205" s="8"/>
    </row>
    <row r="206" spans="1:4" hidden="1">
      <c r="A206" s="872" t="s">
        <v>67</v>
      </c>
      <c r="B206" s="9">
        <v>69146</v>
      </c>
      <c r="C206" s="9">
        <v>69146</v>
      </c>
      <c r="D206" s="8"/>
    </row>
    <row r="207" spans="1:4" hidden="1">
      <c r="A207" s="872" t="s">
        <v>66</v>
      </c>
      <c r="B207" s="9">
        <v>70227</v>
      </c>
      <c r="C207" s="9">
        <v>70227</v>
      </c>
      <c r="D207" s="8"/>
    </row>
    <row r="208" spans="1:4" hidden="1">
      <c r="A208" s="872" t="s">
        <v>65</v>
      </c>
      <c r="B208" s="9">
        <v>71325</v>
      </c>
      <c r="C208" s="9">
        <v>71325</v>
      </c>
      <c r="D208" s="8"/>
    </row>
    <row r="209" spans="1:4" hidden="1">
      <c r="A209" s="872" t="s">
        <v>64</v>
      </c>
      <c r="B209" s="9">
        <v>72440</v>
      </c>
      <c r="C209" s="9">
        <v>72440</v>
      </c>
      <c r="D209" s="8"/>
    </row>
    <row r="210" spans="1:4" hidden="1">
      <c r="A210" s="873" t="s">
        <v>63</v>
      </c>
      <c r="B210" s="11">
        <v>73062</v>
      </c>
      <c r="C210" s="11">
        <v>73062</v>
      </c>
      <c r="D210" s="8"/>
    </row>
    <row r="211" spans="1:4" hidden="1">
      <c r="A211" s="873" t="s">
        <v>62</v>
      </c>
      <c r="B211" s="11">
        <v>74205</v>
      </c>
      <c r="C211" s="11">
        <v>74205</v>
      </c>
      <c r="D211" s="8"/>
    </row>
    <row r="212" spans="1:4" hidden="1">
      <c r="A212" s="873" t="s">
        <v>61</v>
      </c>
      <c r="B212" s="11">
        <v>75369</v>
      </c>
      <c r="C212" s="11">
        <v>75369</v>
      </c>
      <c r="D212" s="8"/>
    </row>
    <row r="213" spans="1:4" hidden="1">
      <c r="A213" s="873" t="s">
        <v>60</v>
      </c>
      <c r="B213" s="11">
        <v>76554</v>
      </c>
      <c r="C213" s="11">
        <v>76554</v>
      </c>
      <c r="D213" s="8"/>
    </row>
    <row r="214" spans="1:4" hidden="1">
      <c r="A214" s="873" t="s">
        <v>59</v>
      </c>
      <c r="B214" s="11">
        <v>77804</v>
      </c>
      <c r="C214" s="11">
        <v>77804</v>
      </c>
      <c r="D214" s="8"/>
    </row>
    <row r="215" spans="1:4" hidden="1">
      <c r="A215" s="873" t="s">
        <v>58</v>
      </c>
      <c r="B215" s="11">
        <v>79073</v>
      </c>
      <c r="C215" s="11">
        <v>79073</v>
      </c>
      <c r="D215" s="8"/>
    </row>
    <row r="216" spans="1:4" hidden="1">
      <c r="A216" s="873" t="s">
        <v>57</v>
      </c>
      <c r="B216" s="11">
        <v>80364</v>
      </c>
      <c r="C216" s="11">
        <v>80364</v>
      </c>
      <c r="D216" s="8"/>
    </row>
    <row r="217" spans="1:4" hidden="1">
      <c r="A217" s="873" t="s">
        <v>56</v>
      </c>
      <c r="B217" s="11">
        <v>81676</v>
      </c>
      <c r="C217" s="11">
        <v>81676</v>
      </c>
      <c r="D217" s="8"/>
    </row>
    <row r="218" spans="1:4" hidden="1">
      <c r="A218" s="872" t="s">
        <v>55</v>
      </c>
      <c r="B218" s="9">
        <v>82405</v>
      </c>
      <c r="C218" s="9">
        <v>82405</v>
      </c>
      <c r="D218" s="8"/>
    </row>
    <row r="219" spans="1:4" hidden="1">
      <c r="A219" s="872" t="s">
        <v>54</v>
      </c>
      <c r="B219" s="9">
        <v>83750</v>
      </c>
      <c r="C219" s="9">
        <v>83750</v>
      </c>
      <c r="D219" s="8"/>
    </row>
    <row r="220" spans="1:4" hidden="1">
      <c r="A220" s="872" t="s">
        <v>53</v>
      </c>
      <c r="B220" s="9">
        <v>85117</v>
      </c>
      <c r="C220" s="9">
        <v>85117</v>
      </c>
      <c r="D220" s="8"/>
    </row>
    <row r="221" spans="1:4" hidden="1">
      <c r="A221" s="872" t="s">
        <v>52</v>
      </c>
      <c r="B221" s="9">
        <v>86506</v>
      </c>
      <c r="C221" s="9">
        <v>86506</v>
      </c>
      <c r="D221" s="8"/>
    </row>
    <row r="222" spans="1:4" hidden="1">
      <c r="A222" s="872" t="s">
        <v>51</v>
      </c>
      <c r="B222" s="9">
        <v>87918</v>
      </c>
      <c r="C222" s="9">
        <v>87918</v>
      </c>
      <c r="D222" s="8"/>
    </row>
    <row r="223" spans="1:4" hidden="1">
      <c r="A223" s="872" t="s">
        <v>50</v>
      </c>
      <c r="B223" s="9">
        <v>89354</v>
      </c>
      <c r="C223" s="9">
        <v>89354</v>
      </c>
      <c r="D223" s="8"/>
    </row>
    <row r="224" spans="1:4" hidden="1">
      <c r="A224" s="872" t="s">
        <v>49</v>
      </c>
      <c r="B224" s="9">
        <v>90812</v>
      </c>
      <c r="C224" s="9">
        <v>90812</v>
      </c>
      <c r="D224" s="8"/>
    </row>
    <row r="225" spans="1:11" hidden="1">
      <c r="A225" s="872" t="s">
        <v>48</v>
      </c>
      <c r="B225" s="9">
        <v>92294</v>
      </c>
      <c r="C225" s="9">
        <v>92294</v>
      </c>
      <c r="D225" s="8"/>
    </row>
    <row r="226" spans="1:11" hidden="1">
      <c r="A226" s="873" t="s">
        <v>47</v>
      </c>
      <c r="B226" s="11">
        <v>93942</v>
      </c>
      <c r="C226" s="11">
        <v>93942</v>
      </c>
      <c r="D226" s="8"/>
    </row>
    <row r="227" spans="1:11" hidden="1">
      <c r="A227" s="873" t="s">
        <v>46</v>
      </c>
      <c r="B227" s="11">
        <v>95475</v>
      </c>
      <c r="C227" s="11">
        <v>95475</v>
      </c>
      <c r="D227" s="8"/>
    </row>
    <row r="228" spans="1:11" hidden="1">
      <c r="A228" s="873" t="s">
        <v>45</v>
      </c>
      <c r="B228" s="11">
        <v>97033</v>
      </c>
      <c r="C228" s="11">
        <v>97033</v>
      </c>
      <c r="D228" s="8"/>
    </row>
    <row r="229" spans="1:11" hidden="1">
      <c r="A229" s="873" t="s">
        <v>44</v>
      </c>
      <c r="B229" s="11">
        <v>98618</v>
      </c>
      <c r="C229" s="11">
        <v>98618</v>
      </c>
      <c r="D229" s="8"/>
    </row>
    <row r="230" spans="1:11" hidden="1">
      <c r="A230" s="873" t="s">
        <v>43</v>
      </c>
      <c r="B230" s="11">
        <v>100227</v>
      </c>
      <c r="C230" s="11">
        <v>100227</v>
      </c>
      <c r="D230" s="8"/>
    </row>
    <row r="231" spans="1:11" hidden="1">
      <c r="A231" s="873" t="s">
        <v>42</v>
      </c>
      <c r="B231" s="11">
        <v>101863</v>
      </c>
      <c r="C231" s="11">
        <v>101863</v>
      </c>
      <c r="D231" s="8"/>
    </row>
    <row r="232" spans="1:11" hidden="1">
      <c r="A232" s="873" t="s">
        <v>41</v>
      </c>
      <c r="B232" s="11">
        <v>103525</v>
      </c>
      <c r="C232" s="11">
        <v>103525</v>
      </c>
      <c r="D232" s="8"/>
    </row>
    <row r="233" spans="1:11" hidden="1">
      <c r="A233" s="873" t="s">
        <v>40</v>
      </c>
      <c r="B233" s="11">
        <v>105215</v>
      </c>
      <c r="C233" s="11">
        <v>105215</v>
      </c>
      <c r="D233" s="8"/>
    </row>
    <row r="234" spans="1:11" hidden="1">
      <c r="A234" s="872" t="s">
        <v>39</v>
      </c>
      <c r="B234" s="9">
        <v>106155</v>
      </c>
      <c r="C234" s="9">
        <v>106155</v>
      </c>
      <c r="D234" s="8"/>
      <c r="F234" s="402"/>
      <c r="G234" s="401"/>
      <c r="H234" s="14"/>
      <c r="I234" s="14"/>
      <c r="J234" s="13"/>
      <c r="K234" s="13"/>
    </row>
    <row r="235" spans="1:11" hidden="1">
      <c r="A235" s="872" t="s">
        <v>38</v>
      </c>
      <c r="B235" s="9">
        <v>107887</v>
      </c>
      <c r="C235" s="9">
        <v>107887</v>
      </c>
      <c r="D235" s="8"/>
      <c r="F235" s="402"/>
      <c r="G235" s="401"/>
      <c r="H235" s="14"/>
      <c r="I235" s="14"/>
      <c r="J235" s="13"/>
      <c r="K235" s="13"/>
    </row>
    <row r="236" spans="1:11" hidden="1">
      <c r="A236" s="872" t="s">
        <v>37</v>
      </c>
      <c r="B236" s="9">
        <v>109648</v>
      </c>
      <c r="C236" s="9">
        <v>109648</v>
      </c>
      <c r="D236" s="8"/>
    </row>
    <row r="237" spans="1:11" hidden="1">
      <c r="A237" s="872" t="s">
        <v>36</v>
      </c>
      <c r="B237" s="9">
        <v>111438</v>
      </c>
      <c r="C237" s="9">
        <v>111438</v>
      </c>
      <c r="D237" s="8"/>
    </row>
    <row r="238" spans="1:11" hidden="1">
      <c r="A238" s="872" t="s">
        <v>35</v>
      </c>
      <c r="B238" s="9">
        <v>113256</v>
      </c>
      <c r="C238" s="9">
        <v>113256</v>
      </c>
      <c r="D238" s="8"/>
    </row>
    <row r="239" spans="1:11" hidden="1">
      <c r="A239" s="872" t="s">
        <v>34</v>
      </c>
      <c r="B239" s="9">
        <v>115105</v>
      </c>
      <c r="C239" s="9">
        <v>115105</v>
      </c>
      <c r="D239" s="8"/>
    </row>
    <row r="240" spans="1:11" hidden="1">
      <c r="A240" s="872" t="s">
        <v>33</v>
      </c>
      <c r="B240" s="9">
        <v>116983</v>
      </c>
      <c r="C240" s="9">
        <v>116983</v>
      </c>
      <c r="D240" s="8"/>
    </row>
    <row r="241" spans="1:4" hidden="1">
      <c r="A241" s="872" t="s">
        <v>32</v>
      </c>
      <c r="B241" s="9">
        <v>118893</v>
      </c>
      <c r="C241" s="9">
        <v>118893</v>
      </c>
      <c r="D241" s="8"/>
    </row>
    <row r="242" spans="1:4" hidden="1">
      <c r="A242" s="873" t="s">
        <v>31</v>
      </c>
      <c r="B242" s="11">
        <v>119954</v>
      </c>
      <c r="C242" s="11">
        <v>119954</v>
      </c>
      <c r="D242" s="8"/>
    </row>
    <row r="243" spans="1:4" hidden="1">
      <c r="A243" s="873" t="s">
        <v>30</v>
      </c>
      <c r="B243" s="11">
        <v>121913</v>
      </c>
      <c r="C243" s="11">
        <v>121913</v>
      </c>
      <c r="D243" s="8"/>
    </row>
    <row r="244" spans="1:4" hidden="1">
      <c r="A244" s="873" t="s">
        <v>29</v>
      </c>
      <c r="B244" s="11">
        <v>123902</v>
      </c>
      <c r="C244" s="11">
        <v>123902</v>
      </c>
      <c r="D244" s="8"/>
    </row>
    <row r="245" spans="1:4" hidden="1">
      <c r="A245" s="873" t="s">
        <v>28</v>
      </c>
      <c r="B245" s="11">
        <v>125924</v>
      </c>
      <c r="C245" s="11">
        <v>125924</v>
      </c>
      <c r="D245" s="8"/>
    </row>
    <row r="246" spans="1:4" hidden="1">
      <c r="A246" s="873" t="s">
        <v>27</v>
      </c>
      <c r="B246" s="11">
        <v>127979</v>
      </c>
      <c r="C246" s="11">
        <v>127979</v>
      </c>
      <c r="D246" s="8"/>
    </row>
    <row r="247" spans="1:4" hidden="1">
      <c r="A247" s="873" t="s">
        <v>26</v>
      </c>
      <c r="B247" s="11">
        <v>130068</v>
      </c>
      <c r="C247" s="11">
        <v>130068</v>
      </c>
      <c r="D247" s="8"/>
    </row>
    <row r="248" spans="1:4" hidden="1">
      <c r="A248" s="873" t="s">
        <v>25</v>
      </c>
      <c r="B248" s="11">
        <v>132192</v>
      </c>
      <c r="C248" s="11">
        <v>132192</v>
      </c>
      <c r="D248" s="8"/>
    </row>
    <row r="249" spans="1:4" hidden="1">
      <c r="A249" s="873" t="s">
        <v>24</v>
      </c>
      <c r="B249" s="11">
        <v>134349</v>
      </c>
      <c r="C249" s="11">
        <v>134349</v>
      </c>
      <c r="D249" s="8"/>
    </row>
    <row r="250" spans="1:4" hidden="1">
      <c r="A250" s="872" t="s">
        <v>23</v>
      </c>
      <c r="B250" s="9">
        <v>135549</v>
      </c>
      <c r="C250" s="9">
        <v>135549</v>
      </c>
      <c r="D250" s="8"/>
    </row>
    <row r="251" spans="1:4" hidden="1">
      <c r="A251" s="872" t="s">
        <v>22</v>
      </c>
      <c r="B251" s="9">
        <v>137760</v>
      </c>
      <c r="C251" s="9">
        <v>137760</v>
      </c>
      <c r="D251" s="8"/>
    </row>
    <row r="252" spans="1:4" hidden="1">
      <c r="A252" s="872" t="s">
        <v>21</v>
      </c>
      <c r="B252" s="9">
        <v>140009</v>
      </c>
      <c r="C252" s="9">
        <v>140009</v>
      </c>
      <c r="D252" s="8"/>
    </row>
    <row r="253" spans="1:4" hidden="1">
      <c r="A253" s="872" t="s">
        <v>20</v>
      </c>
      <c r="B253" s="9">
        <v>142295</v>
      </c>
      <c r="C253" s="9">
        <v>142295</v>
      </c>
      <c r="D253" s="8"/>
    </row>
    <row r="254" spans="1:4" hidden="1">
      <c r="A254" s="872" t="s">
        <v>19</v>
      </c>
      <c r="B254" s="9">
        <v>144617</v>
      </c>
      <c r="C254" s="9">
        <v>144617</v>
      </c>
      <c r="D254" s="8"/>
    </row>
    <row r="255" spans="1:4" hidden="1">
      <c r="A255" s="872" t="s">
        <v>18</v>
      </c>
      <c r="B255" s="9">
        <v>146978</v>
      </c>
      <c r="C255" s="9">
        <v>146978</v>
      </c>
      <c r="D255" s="8"/>
    </row>
    <row r="256" spans="1:4" hidden="1">
      <c r="A256" s="872" t="s">
        <v>17</v>
      </c>
      <c r="B256" s="9">
        <v>149377</v>
      </c>
      <c r="C256" s="9">
        <v>149377</v>
      </c>
      <c r="D256" s="8"/>
    </row>
    <row r="257" spans="1:4" hidden="1">
      <c r="A257" s="872" t="s">
        <v>16</v>
      </c>
      <c r="B257" s="9">
        <v>151814</v>
      </c>
      <c r="C257" s="9">
        <v>151814</v>
      </c>
      <c r="D257" s="8"/>
    </row>
    <row r="258" spans="1:4" hidden="1">
      <c r="A258" s="873" t="s">
        <v>15</v>
      </c>
      <c r="B258" s="11">
        <v>153169</v>
      </c>
      <c r="C258" s="11">
        <v>153169</v>
      </c>
      <c r="D258" s="8"/>
    </row>
    <row r="259" spans="1:4" hidden="1">
      <c r="A259" s="873" t="s">
        <v>14</v>
      </c>
      <c r="B259" s="11">
        <v>155670</v>
      </c>
      <c r="C259" s="11">
        <v>155670</v>
      </c>
      <c r="D259" s="8"/>
    </row>
    <row r="260" spans="1:4" hidden="1">
      <c r="A260" s="873" t="s">
        <v>13</v>
      </c>
      <c r="B260" s="11">
        <v>158210</v>
      </c>
      <c r="C260" s="11">
        <v>158210</v>
      </c>
      <c r="D260" s="8"/>
    </row>
    <row r="261" spans="1:4" hidden="1">
      <c r="A261" s="873" t="s">
        <v>12</v>
      </c>
      <c r="B261" s="11">
        <v>160793</v>
      </c>
      <c r="C261" s="11">
        <v>160793</v>
      </c>
      <c r="D261" s="8"/>
    </row>
    <row r="262" spans="1:4" hidden="1">
      <c r="A262" s="873" t="s">
        <v>11</v>
      </c>
      <c r="B262" s="11">
        <v>163417</v>
      </c>
      <c r="C262" s="11">
        <v>163417</v>
      </c>
      <c r="D262" s="8"/>
    </row>
    <row r="263" spans="1:4" hidden="1">
      <c r="A263" s="873" t="s">
        <v>10</v>
      </c>
      <c r="B263" s="11">
        <v>166085</v>
      </c>
      <c r="C263" s="11">
        <v>166085</v>
      </c>
      <c r="D263" s="8"/>
    </row>
    <row r="264" spans="1:4" hidden="1">
      <c r="A264" s="873" t="s">
        <v>9</v>
      </c>
      <c r="B264" s="11">
        <v>168795</v>
      </c>
      <c r="C264" s="11">
        <v>168795</v>
      </c>
      <c r="D264" s="8"/>
    </row>
    <row r="265" spans="1:4" hidden="1">
      <c r="A265" s="873" t="s">
        <v>8</v>
      </c>
      <c r="B265" s="11">
        <v>171550</v>
      </c>
      <c r="C265" s="11">
        <v>171550</v>
      </c>
      <c r="D265" s="8"/>
    </row>
    <row r="266" spans="1:4" hidden="1">
      <c r="A266" s="872" t="s">
        <v>7</v>
      </c>
      <c r="B266" s="9">
        <v>173081</v>
      </c>
      <c r="C266" s="9">
        <v>173081</v>
      </c>
      <c r="D266" s="8"/>
    </row>
    <row r="267" spans="1:4" hidden="1">
      <c r="A267" s="872" t="s">
        <v>6</v>
      </c>
      <c r="B267" s="9">
        <v>175905</v>
      </c>
      <c r="C267" s="9">
        <v>175905</v>
      </c>
      <c r="D267" s="8"/>
    </row>
    <row r="268" spans="1:4" hidden="1">
      <c r="A268" s="872" t="s">
        <v>5</v>
      </c>
      <c r="B268" s="9">
        <v>178778</v>
      </c>
      <c r="C268" s="9">
        <v>178778</v>
      </c>
      <c r="D268" s="8"/>
    </row>
    <row r="269" spans="1:4" hidden="1">
      <c r="A269" s="872" t="s">
        <v>4</v>
      </c>
      <c r="B269" s="9">
        <v>181696</v>
      </c>
      <c r="C269" s="9">
        <v>181696</v>
      </c>
      <c r="D269" s="8"/>
    </row>
    <row r="270" spans="1:4" hidden="1">
      <c r="A270" s="872" t="s">
        <v>3</v>
      </c>
      <c r="B270" s="9">
        <v>184661</v>
      </c>
      <c r="C270" s="9">
        <v>184661</v>
      </c>
      <c r="D270" s="8"/>
    </row>
    <row r="271" spans="1:4" hidden="1">
      <c r="A271" s="872" t="s">
        <v>2</v>
      </c>
      <c r="B271" s="9">
        <v>187675</v>
      </c>
      <c r="C271" s="9">
        <v>187675</v>
      </c>
      <c r="D271" s="8"/>
    </row>
    <row r="272" spans="1:4" hidden="1">
      <c r="A272" s="872" t="s">
        <v>1</v>
      </c>
      <c r="B272" s="9">
        <v>190738</v>
      </c>
      <c r="C272" s="9">
        <v>190738</v>
      </c>
      <c r="D272" s="8"/>
    </row>
    <row r="273" spans="1:4" hidden="1">
      <c r="A273" s="872" t="s">
        <v>0</v>
      </c>
      <c r="B273" s="9">
        <v>193851</v>
      </c>
      <c r="C273" s="9">
        <v>193851</v>
      </c>
      <c r="D273" s="8"/>
    </row>
    <row r="274" spans="1:4" s="3" customFormat="1" ht="15" hidden="1">
      <c r="A274" s="400"/>
      <c r="B274" s="6"/>
    </row>
    <row r="275" spans="1:4" s="3" customFormat="1" ht="15" hidden="1">
      <c r="A275" s="400"/>
      <c r="B275" s="6"/>
    </row>
    <row r="276" spans="1:4" s="3" customFormat="1" ht="15" hidden="1">
      <c r="A276" s="400"/>
      <c r="B276" s="6"/>
    </row>
    <row r="277" spans="1:4" s="3" customFormat="1" ht="15" hidden="1">
      <c r="A277" s="400"/>
      <c r="B277" s="6"/>
    </row>
    <row r="278" spans="1:4" s="3" customFormat="1" ht="15" hidden="1">
      <c r="A278" s="400"/>
      <c r="B278" s="6"/>
    </row>
    <row r="279" spans="1:4" s="3" customFormat="1" ht="15" hidden="1">
      <c r="A279" s="400"/>
      <c r="B279" s="6"/>
    </row>
    <row r="280" spans="1:4" s="3" customFormat="1" ht="15" hidden="1">
      <c r="A280" s="400"/>
      <c r="B280" s="6"/>
    </row>
    <row r="281" spans="1:4" s="3" customFormat="1" ht="15" hidden="1">
      <c r="A281" s="400"/>
      <c r="B281" s="6"/>
    </row>
    <row r="282" spans="1:4" s="3" customFormat="1" ht="15" hidden="1">
      <c r="A282" s="400"/>
      <c r="B282" s="6"/>
    </row>
    <row r="283" spans="1:4" s="3" customFormat="1" ht="15" hidden="1">
      <c r="A283" s="400"/>
      <c r="B283" s="6"/>
    </row>
    <row r="284" spans="1:4" s="3" customFormat="1" ht="15" hidden="1">
      <c r="A284" s="400"/>
      <c r="B284" s="6"/>
    </row>
    <row r="285" spans="1:4" s="3" customFormat="1" ht="15" hidden="1">
      <c r="A285" s="400"/>
      <c r="B285" s="6"/>
    </row>
    <row r="286" spans="1:4" s="3" customFormat="1" ht="15" hidden="1">
      <c r="A286" s="400"/>
      <c r="B286" s="6"/>
    </row>
    <row r="287" spans="1:4" s="3" customFormat="1" ht="15" hidden="1">
      <c r="A287" s="400"/>
      <c r="B287" s="6"/>
    </row>
    <row r="288" spans="1:4" s="3" customFormat="1" ht="15" hidden="1">
      <c r="A288" s="400"/>
      <c r="B288" s="6"/>
    </row>
    <row r="289" spans="1:2" s="3" customFormat="1" ht="15" hidden="1">
      <c r="A289" s="400"/>
      <c r="B289" s="6"/>
    </row>
    <row r="290" spans="1:2" s="3" customFormat="1" ht="15" hidden="1">
      <c r="A290" s="400"/>
      <c r="B290" s="6"/>
    </row>
    <row r="291" spans="1:2" s="3" customFormat="1" ht="15" hidden="1">
      <c r="A291" s="400"/>
      <c r="B291" s="6"/>
    </row>
    <row r="292" spans="1:2" s="3" customFormat="1" ht="15" hidden="1">
      <c r="A292" s="400"/>
      <c r="B292" s="6"/>
    </row>
    <row r="293" spans="1:2" s="3" customFormat="1" ht="15" hidden="1">
      <c r="A293" s="400"/>
      <c r="B293" s="6"/>
    </row>
    <row r="294" spans="1:2" s="3" customFormat="1" ht="15" hidden="1">
      <c r="A294" s="400"/>
      <c r="B294" s="6"/>
    </row>
    <row r="295" spans="1:2" s="3" customFormat="1" ht="15" hidden="1">
      <c r="A295" s="400"/>
      <c r="B295" s="6"/>
    </row>
    <row r="296" spans="1:2" s="3" customFormat="1" ht="15" hidden="1">
      <c r="A296" s="400"/>
      <c r="B296" s="6"/>
    </row>
    <row r="297" spans="1:2" s="3" customFormat="1" ht="15" hidden="1">
      <c r="A297" s="400"/>
      <c r="B297" s="6"/>
    </row>
    <row r="298" spans="1:2" s="3" customFormat="1" ht="15" hidden="1">
      <c r="A298" s="400"/>
      <c r="B298" s="6"/>
    </row>
    <row r="299" spans="1:2" s="3" customFormat="1" ht="15" hidden="1">
      <c r="A299" s="400"/>
      <c r="B299" s="6"/>
    </row>
    <row r="300" spans="1:2" s="3" customFormat="1" ht="15" hidden="1">
      <c r="A300" s="400"/>
      <c r="B300" s="6"/>
    </row>
    <row r="301" spans="1:2" s="3" customFormat="1" ht="15" hidden="1">
      <c r="A301" s="400"/>
      <c r="B301" s="6"/>
    </row>
    <row r="302" spans="1:2" s="3" customFormat="1" ht="15" hidden="1">
      <c r="A302" s="400"/>
      <c r="B302" s="6"/>
    </row>
    <row r="303" spans="1:2" hidden="1"/>
  </sheetData>
  <mergeCells count="21">
    <mergeCell ref="O11:P11"/>
    <mergeCell ref="O12:P12"/>
    <mergeCell ref="A31:B31"/>
    <mergeCell ref="A3:I3"/>
    <mergeCell ref="A4:I4"/>
    <mergeCell ref="A5:I5"/>
    <mergeCell ref="G7:H7"/>
    <mergeCell ref="J7:K7"/>
    <mergeCell ref="E8:F8"/>
    <mergeCell ref="G8:H8"/>
    <mergeCell ref="J8:K8"/>
    <mergeCell ref="E9:F9"/>
    <mergeCell ref="G9:H9"/>
    <mergeCell ref="J9:K9"/>
    <mergeCell ref="L12:M12"/>
    <mergeCell ref="L11:M11"/>
    <mergeCell ref="A32:B32"/>
    <mergeCell ref="E10:F10"/>
    <mergeCell ref="G10:H10"/>
    <mergeCell ref="J10:K10"/>
    <mergeCell ref="A11:B11"/>
  </mergeCells>
  <pageMargins left="0" right="0" top="0.25" bottom="0" header="0.5" footer="0.5"/>
  <pageSetup paperSize="5" orientation="landscape" verticalDpi="7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T78"/>
  <sheetViews>
    <sheetView showGridLines="0" showOutlineSymbols="0" zoomScale="110" zoomScaleNormal="110" workbookViewId="0">
      <selection activeCell="F68" sqref="F68"/>
    </sheetView>
  </sheetViews>
  <sheetFormatPr defaultColWidth="12.5703125" defaultRowHeight="15.75" outlineLevelRow="2" outlineLevelCol="2"/>
  <cols>
    <col min="1" max="1" width="1.85546875" style="235" customWidth="1"/>
    <col min="2" max="2" width="35.28515625" style="235" customWidth="1"/>
    <col min="3" max="3" width="9.7109375" style="268" customWidth="1"/>
    <col min="4" max="4" width="10.85546875" style="235" customWidth="1"/>
    <col min="5" max="7" width="9.7109375" style="235" customWidth="1"/>
    <col min="8" max="8" width="10" style="235" customWidth="1"/>
    <col min="9" max="9" width="14.140625" style="235" hidden="1" customWidth="1"/>
    <col min="10" max="10" width="9.85546875" style="572" hidden="1" customWidth="1"/>
    <col min="11" max="11" width="0" style="148" hidden="1" customWidth="1"/>
    <col min="12" max="12" width="14" style="235" hidden="1" customWidth="1"/>
    <col min="13" max="13" width="1.85546875" style="235" hidden="1" customWidth="1"/>
    <col min="14" max="19" width="0" style="235" hidden="1" customWidth="1"/>
    <col min="20" max="49" width="12.5703125" style="235"/>
    <col min="50" max="54" width="12.5703125" style="235" outlineLevel="1"/>
    <col min="55" max="60" width="12.5703125" style="235" outlineLevel="2"/>
    <col min="61" max="63" width="12.5703125" style="235" outlineLevel="1"/>
    <col min="64" max="83" width="12.5703125" style="235"/>
    <col min="84" max="87" width="12.5703125" style="235" outlineLevel="1"/>
    <col min="88" max="135" width="12.5703125" style="235"/>
    <col min="136" max="141" width="12.5703125" style="235" outlineLevel="1"/>
    <col min="142" max="147" width="12.5703125" style="235" outlineLevel="2"/>
    <col min="148" max="150" width="12.5703125" style="235" outlineLevel="1"/>
    <col min="151" max="16384" width="12.5703125" style="235"/>
  </cols>
  <sheetData>
    <row r="1" spans="1:13" ht="14.25" customHeight="1">
      <c r="A1" s="271" t="s">
        <v>473</v>
      </c>
      <c r="B1" s="134"/>
      <c r="C1" s="714"/>
      <c r="H1" s="270"/>
      <c r="K1" s="235"/>
    </row>
    <row r="2" spans="1:13" ht="14.25" customHeight="1">
      <c r="A2" s="270" t="s">
        <v>584</v>
      </c>
      <c r="B2" s="134"/>
      <c r="C2" s="714"/>
      <c r="H2" s="270"/>
      <c r="K2" s="235"/>
    </row>
    <row r="3" spans="1:13" ht="9" customHeight="1">
      <c r="A3" s="134"/>
      <c r="B3" s="134"/>
      <c r="C3" s="714"/>
      <c r="E3" s="270"/>
      <c r="G3" s="271"/>
      <c r="H3" s="270"/>
      <c r="K3" s="235"/>
    </row>
    <row r="4" spans="1:13" ht="14.25" customHeight="1">
      <c r="A4" s="4648" t="s">
        <v>471</v>
      </c>
      <c r="B4" s="4648"/>
      <c r="C4" s="4648"/>
      <c r="D4" s="4648"/>
      <c r="E4" s="4648"/>
      <c r="F4" s="4648"/>
      <c r="G4" s="4648"/>
      <c r="H4" s="4648"/>
      <c r="K4" s="235"/>
    </row>
    <row r="5" spans="1:13" ht="14.25" customHeight="1">
      <c r="A5" s="4623" t="s">
        <v>583</v>
      </c>
      <c r="B5" s="4631"/>
      <c r="C5" s="4631"/>
      <c r="D5" s="4631"/>
      <c r="E5" s="4631"/>
      <c r="F5" s="4631"/>
      <c r="G5" s="4631"/>
      <c r="H5" s="4631"/>
      <c r="K5" s="235"/>
    </row>
    <row r="6" spans="1:13" ht="12" customHeight="1">
      <c r="A6" s="140"/>
      <c r="B6" s="140"/>
      <c r="C6" s="1639"/>
      <c r="D6" s="140"/>
      <c r="E6" s="140"/>
      <c r="F6" s="140"/>
      <c r="G6" s="140"/>
      <c r="H6" s="140"/>
    </row>
    <row r="7" spans="1:13" ht="14.25" customHeight="1">
      <c r="A7" s="1255" t="s">
        <v>1321</v>
      </c>
      <c r="D7" s="134"/>
      <c r="E7" s="134"/>
      <c r="F7" s="134"/>
      <c r="G7" s="134"/>
      <c r="H7" s="134"/>
    </row>
    <row r="8" spans="1:13" ht="12" customHeight="1">
      <c r="A8" s="1255"/>
      <c r="D8" s="134"/>
      <c r="E8" s="134"/>
      <c r="F8" s="134"/>
      <c r="G8" s="134"/>
      <c r="H8" s="134"/>
    </row>
    <row r="9" spans="1:13" ht="12" customHeight="1">
      <c r="A9" s="4624" t="s">
        <v>468</v>
      </c>
      <c r="B9" s="4625"/>
      <c r="C9" s="756" t="s">
        <v>467</v>
      </c>
      <c r="D9" s="264" t="s">
        <v>466</v>
      </c>
      <c r="E9" s="4632" t="s">
        <v>465</v>
      </c>
      <c r="F9" s="4633"/>
      <c r="G9" s="4634"/>
      <c r="H9" s="265" t="s">
        <v>464</v>
      </c>
      <c r="I9" s="265" t="s">
        <v>464</v>
      </c>
      <c r="J9" s="1638"/>
    </row>
    <row r="10" spans="1:13" ht="12.95" customHeight="1">
      <c r="A10" s="4626"/>
      <c r="B10" s="4627"/>
      <c r="C10" s="755" t="s">
        <v>463</v>
      </c>
      <c r="D10" s="261">
        <v>2020</v>
      </c>
      <c r="E10" s="597" t="s">
        <v>462</v>
      </c>
      <c r="F10" s="597" t="s">
        <v>461</v>
      </c>
      <c r="G10" s="262" t="s">
        <v>244</v>
      </c>
      <c r="H10" s="261">
        <v>2022</v>
      </c>
      <c r="I10" s="261">
        <v>2022</v>
      </c>
      <c r="J10" s="1638"/>
    </row>
    <row r="11" spans="1:13" ht="12.95" customHeight="1">
      <c r="A11" s="4628"/>
      <c r="B11" s="4629"/>
      <c r="C11" s="754"/>
      <c r="D11" s="258" t="s">
        <v>460</v>
      </c>
      <c r="E11" s="258" t="s">
        <v>460</v>
      </c>
      <c r="F11" s="258" t="s">
        <v>459</v>
      </c>
      <c r="G11" s="259"/>
      <c r="H11" s="258" t="s">
        <v>458</v>
      </c>
      <c r="I11" s="258" t="s">
        <v>457</v>
      </c>
      <c r="J11" s="256">
        <v>0.1</v>
      </c>
      <c r="K11" s="225"/>
      <c r="L11" s="363"/>
      <c r="M11" s="363"/>
    </row>
    <row r="12" spans="1:13" ht="18" customHeight="1">
      <c r="A12" s="255" t="s">
        <v>456</v>
      </c>
      <c r="B12" s="395"/>
      <c r="C12" s="254"/>
      <c r="D12" s="485"/>
      <c r="E12" s="485"/>
      <c r="F12" s="1637"/>
      <c r="G12" s="1637"/>
      <c r="H12" s="1637"/>
      <c r="I12" s="1637"/>
      <c r="J12" s="241"/>
      <c r="K12" s="225"/>
      <c r="L12" s="363"/>
      <c r="M12" s="363"/>
    </row>
    <row r="13" spans="1:13" ht="15.95" customHeight="1">
      <c r="A13" s="252" t="s">
        <v>455</v>
      </c>
      <c r="B13" s="395"/>
      <c r="C13" s="1636"/>
      <c r="D13" s="249">
        <f>SUM(D15:D35)</f>
        <v>3529702.17</v>
      </c>
      <c r="E13" s="249">
        <f>SUM(E15:E35)</f>
        <v>1909430.19</v>
      </c>
      <c r="F13" s="249">
        <f>SUM(F15:F35)</f>
        <v>4038427.8099999996</v>
      </c>
      <c r="G13" s="249">
        <f>SUM(G15:G35)</f>
        <v>5947858</v>
      </c>
      <c r="H13" s="249">
        <f>SUM(H15:H35)</f>
        <v>6201323</v>
      </c>
      <c r="I13" s="500">
        <f>SUM(I15:I34)</f>
        <v>6201323</v>
      </c>
      <c r="J13" s="248"/>
      <c r="K13" s="225"/>
      <c r="L13" s="363"/>
      <c r="M13" s="363"/>
    </row>
    <row r="14" spans="1:13" ht="15" customHeight="1" outlineLevel="1">
      <c r="A14" s="215" t="s">
        <v>454</v>
      </c>
      <c r="B14" s="499"/>
      <c r="C14" s="752"/>
      <c r="D14" s="1253"/>
      <c r="E14" s="1253"/>
      <c r="F14" s="1252"/>
      <c r="G14" s="1252"/>
      <c r="H14" s="1252"/>
      <c r="I14" s="245"/>
      <c r="J14" s="241"/>
      <c r="K14" s="225"/>
      <c r="L14" s="363"/>
      <c r="M14" s="363"/>
    </row>
    <row r="15" spans="1:13" ht="15" customHeight="1" outlineLevel="1">
      <c r="A15" s="166" t="s">
        <v>426</v>
      </c>
      <c r="B15" s="162"/>
      <c r="C15" s="208" t="s">
        <v>453</v>
      </c>
      <c r="D15" s="1635">
        <v>2199271.8199999998</v>
      </c>
      <c r="E15" s="1634">
        <v>1353370.24</v>
      </c>
      <c r="F15" s="1634">
        <f>SUM(G15-E15)</f>
        <v>2550205.7599999998</v>
      </c>
      <c r="G15" s="1633">
        <v>3903576</v>
      </c>
      <c r="H15" s="1633">
        <f>'PLANTILLA NEW (2)'!H25</f>
        <v>3924492</v>
      </c>
      <c r="I15" s="1633">
        <f>'PLANTILLA NEW (2)'!K25</f>
        <v>3924492</v>
      </c>
      <c r="J15" s="221">
        <f>SUM(H15*0.1)</f>
        <v>392449.2</v>
      </c>
      <c r="K15" s="225"/>
      <c r="L15" s="363"/>
      <c r="M15" s="363"/>
    </row>
    <row r="16" spans="1:13" ht="15" customHeight="1" outlineLevel="1">
      <c r="A16" s="215" t="s">
        <v>452</v>
      </c>
      <c r="B16" s="162"/>
      <c r="C16" s="208"/>
      <c r="D16" s="1631"/>
      <c r="E16" s="458"/>
      <c r="F16" s="458"/>
      <c r="G16" s="233"/>
      <c r="H16" s="233"/>
      <c r="I16" s="233"/>
      <c r="J16" s="224"/>
      <c r="K16" s="225"/>
      <c r="L16" s="363"/>
      <c r="M16" s="363"/>
    </row>
    <row r="17" spans="1:16" ht="15" customHeight="1" outlineLevel="1">
      <c r="A17" s="178" t="s">
        <v>451</v>
      </c>
      <c r="B17" s="177"/>
      <c r="C17" s="208" t="s">
        <v>450</v>
      </c>
      <c r="D17" s="1631">
        <v>128838.70999999999</v>
      </c>
      <c r="E17" s="458">
        <v>84000</v>
      </c>
      <c r="F17" s="458">
        <f t="shared" ref="F17:F23" si="0">SUM(G17-E17)</f>
        <v>132000</v>
      </c>
      <c r="G17" s="233">
        <v>216000</v>
      </c>
      <c r="H17" s="233">
        <f>'PLANTILLA NEW (2)'!B25*2000*12</f>
        <v>216000</v>
      </c>
      <c r="I17" s="233">
        <f>'PLANTILLA NEW (2)'!B25*2000*12</f>
        <v>216000</v>
      </c>
      <c r="J17" s="224"/>
      <c r="K17" s="225"/>
      <c r="L17" s="363"/>
      <c r="M17" s="363"/>
    </row>
    <row r="18" spans="1:16" ht="15" customHeight="1" outlineLevel="1">
      <c r="A18" s="178" t="s">
        <v>449</v>
      </c>
      <c r="B18" s="177"/>
      <c r="C18" s="213" t="s">
        <v>448</v>
      </c>
      <c r="D18" s="1631">
        <v>71250</v>
      </c>
      <c r="E18" s="458">
        <v>42750</v>
      </c>
      <c r="F18" s="458">
        <f t="shared" si="0"/>
        <v>42750</v>
      </c>
      <c r="G18" s="233">
        <v>85500</v>
      </c>
      <c r="H18" s="233">
        <f>7125*12</f>
        <v>85500</v>
      </c>
      <c r="I18" s="233">
        <f>7125*12</f>
        <v>85500</v>
      </c>
      <c r="J18" s="224"/>
      <c r="K18" s="225"/>
      <c r="L18" s="363"/>
      <c r="M18" s="363"/>
    </row>
    <row r="19" spans="1:16" ht="15" customHeight="1" outlineLevel="1">
      <c r="A19" s="178" t="s">
        <v>447</v>
      </c>
      <c r="B19" s="177"/>
      <c r="C19" s="213" t="s">
        <v>446</v>
      </c>
      <c r="D19" s="1631">
        <v>71250</v>
      </c>
      <c r="E19" s="458">
        <v>42750</v>
      </c>
      <c r="F19" s="458">
        <f t="shared" si="0"/>
        <v>42750</v>
      </c>
      <c r="G19" s="233">
        <v>85500</v>
      </c>
      <c r="H19" s="233">
        <f>7125*12</f>
        <v>85500</v>
      </c>
      <c r="I19" s="233">
        <f>7125*12</f>
        <v>85500</v>
      </c>
      <c r="J19" s="224"/>
      <c r="K19" s="225"/>
      <c r="L19" s="363"/>
      <c r="M19" s="363"/>
    </row>
    <row r="20" spans="1:16" ht="15" customHeight="1" outlineLevel="1">
      <c r="A20" s="178" t="s">
        <v>445</v>
      </c>
      <c r="B20" s="177"/>
      <c r="C20" s="213" t="s">
        <v>444</v>
      </c>
      <c r="D20" s="1631">
        <v>36000</v>
      </c>
      <c r="E20" s="458">
        <v>42000</v>
      </c>
      <c r="F20" s="458">
        <f t="shared" si="0"/>
        <v>3000</v>
      </c>
      <c r="G20" s="233">
        <v>45000</v>
      </c>
      <c r="H20" s="233">
        <f>'PLANTILLA NEW (2)'!B25*6000</f>
        <v>54000</v>
      </c>
      <c r="I20" s="233">
        <f>'PLANTILLA NEW (2)'!B25*6000</f>
        <v>54000</v>
      </c>
      <c r="J20" s="224"/>
      <c r="K20" s="225"/>
      <c r="L20" s="363"/>
      <c r="M20" s="363"/>
    </row>
    <row r="21" spans="1:16" ht="15" customHeight="1" outlineLevel="1">
      <c r="A21" s="178" t="s">
        <v>424</v>
      </c>
      <c r="B21" s="177"/>
      <c r="C21" s="208" t="s">
        <v>439</v>
      </c>
      <c r="D21" s="1631">
        <v>197912</v>
      </c>
      <c r="E21" s="458">
        <v>0</v>
      </c>
      <c r="F21" s="458">
        <f t="shared" si="0"/>
        <v>325298</v>
      </c>
      <c r="G21" s="233">
        <v>325298</v>
      </c>
      <c r="H21" s="233">
        <f>SUM(H15/12)</f>
        <v>327041</v>
      </c>
      <c r="I21" s="233">
        <f>SUM(I15/12)</f>
        <v>327041</v>
      </c>
      <c r="J21" s="221">
        <f>SUM(H21*0.1)</f>
        <v>32704.100000000002</v>
      </c>
      <c r="K21" s="220"/>
    </row>
    <row r="22" spans="1:16" ht="15" customHeight="1" outlineLevel="1">
      <c r="A22" s="178" t="s">
        <v>438</v>
      </c>
      <c r="B22" s="177"/>
      <c r="C22" s="208" t="s">
        <v>437</v>
      </c>
      <c r="D22" s="1631">
        <v>31500</v>
      </c>
      <c r="E22" s="458">
        <v>0</v>
      </c>
      <c r="F22" s="458">
        <f t="shared" si="0"/>
        <v>45000</v>
      </c>
      <c r="G22" s="233">
        <v>45000</v>
      </c>
      <c r="H22" s="233">
        <f>'PLANTILLA NEW (2)'!B25*5000</f>
        <v>45000</v>
      </c>
      <c r="I22" s="233">
        <f>'PLANTILLA NEW (2)'!B25*5000</f>
        <v>45000</v>
      </c>
      <c r="J22" s="221"/>
    </row>
    <row r="23" spans="1:16" ht="15" customHeight="1" outlineLevel="1">
      <c r="A23" s="178" t="s">
        <v>436</v>
      </c>
      <c r="B23" s="162"/>
      <c r="C23" s="213" t="s">
        <v>435</v>
      </c>
      <c r="D23" s="1631">
        <v>98770</v>
      </c>
      <c r="E23" s="458">
        <v>225669</v>
      </c>
      <c r="F23" s="458">
        <f t="shared" si="0"/>
        <v>99629</v>
      </c>
      <c r="G23" s="217">
        <v>325298</v>
      </c>
      <c r="H23" s="217">
        <f>H15/12</f>
        <v>327041</v>
      </c>
      <c r="I23" s="217">
        <f>I15/12</f>
        <v>327041</v>
      </c>
      <c r="J23" s="221">
        <f>SUM(H23*0.1)</f>
        <v>32704.100000000002</v>
      </c>
      <c r="N23" s="134"/>
      <c r="P23" s="344"/>
    </row>
    <row r="24" spans="1:16" ht="15" customHeight="1" outlineLevel="1">
      <c r="A24" s="230" t="s">
        <v>434</v>
      </c>
      <c r="B24" s="162"/>
      <c r="C24" s="229"/>
      <c r="D24" s="1631"/>
      <c r="E24" s="458"/>
      <c r="F24" s="458"/>
      <c r="G24" s="1627"/>
      <c r="H24" s="1627"/>
      <c r="I24" s="1627"/>
      <c r="J24" s="221"/>
      <c r="K24" s="225"/>
      <c r="L24" s="363"/>
      <c r="M24" s="490"/>
    </row>
    <row r="25" spans="1:16" ht="15" customHeight="1" outlineLevel="1">
      <c r="A25" s="178" t="s">
        <v>421</v>
      </c>
      <c r="B25" s="162"/>
      <c r="C25" s="208" t="s">
        <v>433</v>
      </c>
      <c r="D25" s="1631">
        <v>149614.38999999998</v>
      </c>
      <c r="E25" s="458">
        <v>94549</v>
      </c>
      <c r="F25" s="458">
        <f>SUM(G25-E25)</f>
        <v>373881</v>
      </c>
      <c r="G25" s="1632">
        <v>468430</v>
      </c>
      <c r="H25" s="226">
        <f>ROUND(H15*0.12,0)</f>
        <v>470939</v>
      </c>
      <c r="I25" s="226">
        <f>ROUND(I15*0.12,0)</f>
        <v>470939</v>
      </c>
      <c r="J25" s="221">
        <f>SUM(H25*0.1)</f>
        <v>47093.9</v>
      </c>
      <c r="K25" s="225" t="str">
        <f>A7</f>
        <v>Office : CITY LEGAL OFFICE (1131)</v>
      </c>
      <c r="L25" s="223"/>
      <c r="M25" s="490"/>
    </row>
    <row r="26" spans="1:16" ht="15" customHeight="1" outlineLevel="1">
      <c r="A26" s="178" t="s">
        <v>432</v>
      </c>
      <c r="B26" s="162"/>
      <c r="C26" s="208" t="s">
        <v>431</v>
      </c>
      <c r="D26" s="1631">
        <v>6000</v>
      </c>
      <c r="E26" s="458">
        <v>3600</v>
      </c>
      <c r="F26" s="458">
        <f>SUM(G26-E26)</f>
        <v>9171</v>
      </c>
      <c r="G26" s="217">
        <v>12771</v>
      </c>
      <c r="H26" s="217">
        <f>SUM('PLANTILLA NEW (2)'!B25*100*12)</f>
        <v>10800</v>
      </c>
      <c r="I26" s="217">
        <f>SUM('PLANTILLA NEW (2)'!B25*100*12)</f>
        <v>10800</v>
      </c>
      <c r="J26" s="221"/>
      <c r="K26" s="220" t="s">
        <v>429</v>
      </c>
      <c r="N26" s="488"/>
      <c r="O26" s="488"/>
    </row>
    <row r="27" spans="1:16" ht="15" customHeight="1" outlineLevel="1">
      <c r="A27" s="178" t="s">
        <v>418</v>
      </c>
      <c r="B27" s="162"/>
      <c r="C27" s="208" t="s">
        <v>430</v>
      </c>
      <c r="D27" s="1631">
        <v>28588.75</v>
      </c>
      <c r="E27" s="458">
        <v>17141.95</v>
      </c>
      <c r="F27" s="458">
        <f>SUM(G27-E27)</f>
        <v>44173.05</v>
      </c>
      <c r="G27" s="217">
        <v>61315</v>
      </c>
      <c r="H27" s="217">
        <f>'PLANTILLA NEW (2)'!M27</f>
        <v>74776</v>
      </c>
      <c r="I27" s="217">
        <f>'PLANTILLA NEW (2)'!P27</f>
        <v>74776</v>
      </c>
      <c r="J27" s="221">
        <f>SUM(H27*0.1)</f>
        <v>7477.6</v>
      </c>
      <c r="K27" s="179" t="s">
        <v>426</v>
      </c>
      <c r="N27" s="134">
        <f>ROUND(J15,0)+1</f>
        <v>392450</v>
      </c>
      <c r="O27" s="344"/>
    </row>
    <row r="28" spans="1:16" ht="15" customHeight="1" outlineLevel="1">
      <c r="A28" s="178" t="s">
        <v>428</v>
      </c>
      <c r="B28" s="148"/>
      <c r="C28" s="208" t="s">
        <v>427</v>
      </c>
      <c r="D28" s="1628">
        <v>6000</v>
      </c>
      <c r="E28" s="458">
        <v>3600</v>
      </c>
      <c r="F28" s="458">
        <f>SUM(G28-E28)</f>
        <v>7200</v>
      </c>
      <c r="G28" s="217">
        <v>10800</v>
      </c>
      <c r="H28" s="217">
        <f>'PLANTILLA NEW (2)'!B25*12*100</f>
        <v>10800</v>
      </c>
      <c r="I28" s="217">
        <f>'PLANTILLA NEW (2)'!B25*12*100</f>
        <v>10800</v>
      </c>
      <c r="J28" s="221"/>
      <c r="K28" s="207" t="s">
        <v>424</v>
      </c>
      <c r="N28" s="134">
        <f>ROUND(J21,0)+1</f>
        <v>32705</v>
      </c>
      <c r="O28" s="344"/>
      <c r="P28" s="344"/>
    </row>
    <row r="29" spans="1:16" ht="15" customHeight="1" outlineLevel="1">
      <c r="A29" s="215" t="s">
        <v>425</v>
      </c>
      <c r="B29" s="148"/>
      <c r="C29" s="208"/>
      <c r="D29" s="1628"/>
      <c r="E29" s="509"/>
      <c r="F29" s="458"/>
      <c r="G29" s="233"/>
      <c r="H29" s="233"/>
      <c r="I29" s="233"/>
      <c r="J29" s="216"/>
      <c r="K29" s="207" t="s">
        <v>421</v>
      </c>
      <c r="L29" s="344"/>
      <c r="M29" s="344"/>
      <c r="N29" s="134">
        <f>ROUND(J25,0)+1</f>
        <v>47095</v>
      </c>
      <c r="O29" s="344"/>
      <c r="P29" s="344"/>
    </row>
    <row r="30" spans="1:16" ht="15" customHeight="1" outlineLevel="1">
      <c r="A30" s="178" t="s">
        <v>423</v>
      </c>
      <c r="B30" s="148"/>
      <c r="C30" s="208" t="s">
        <v>422</v>
      </c>
      <c r="D30" s="1628">
        <v>0</v>
      </c>
      <c r="E30" s="509">
        <v>0</v>
      </c>
      <c r="F30" s="458">
        <f t="shared" ref="F30:F35" si="1">SUM(G30-E30)</f>
        <v>1000</v>
      </c>
      <c r="G30" s="233">
        <v>1000</v>
      </c>
      <c r="H30" s="233">
        <v>1000</v>
      </c>
      <c r="I30" s="233">
        <v>1000</v>
      </c>
      <c r="J30" s="214"/>
      <c r="K30" s="207" t="s">
        <v>418</v>
      </c>
      <c r="L30" s="344"/>
      <c r="M30" s="220"/>
      <c r="N30" s="134">
        <f>ROUND(J27,0)+1</f>
        <v>7479</v>
      </c>
      <c r="O30" s="344"/>
      <c r="P30" s="344"/>
    </row>
    <row r="31" spans="1:16" ht="15" customHeight="1" outlineLevel="1">
      <c r="A31" s="197" t="s">
        <v>420</v>
      </c>
      <c r="B31" s="148"/>
      <c r="C31" s="213" t="s">
        <v>419</v>
      </c>
      <c r="D31" s="1628">
        <v>454206.5</v>
      </c>
      <c r="E31" s="509">
        <v>0</v>
      </c>
      <c r="F31" s="458">
        <f t="shared" si="1"/>
        <v>316370</v>
      </c>
      <c r="G31" s="233">
        <v>316370</v>
      </c>
      <c r="H31" s="1630">
        <f>N33</f>
        <v>512434</v>
      </c>
      <c r="I31" s="1630">
        <f>H31</f>
        <v>512434</v>
      </c>
      <c r="J31" s="214"/>
      <c r="K31" s="207" t="s">
        <v>436</v>
      </c>
      <c r="L31" s="344"/>
      <c r="M31" s="344"/>
      <c r="N31" s="134">
        <f>ROUND(J23,0)+1</f>
        <v>32705</v>
      </c>
      <c r="O31" s="344"/>
      <c r="P31" s="344"/>
    </row>
    <row r="32" spans="1:16" ht="15" customHeight="1" outlineLevel="1" thickBot="1">
      <c r="A32" s="197" t="s">
        <v>417</v>
      </c>
      <c r="B32" s="148"/>
      <c r="C32" s="213" t="s">
        <v>416</v>
      </c>
      <c r="D32" s="1628">
        <v>0</v>
      </c>
      <c r="E32" s="509">
        <v>0</v>
      </c>
      <c r="F32" s="458">
        <f t="shared" si="1"/>
        <v>0</v>
      </c>
      <c r="G32" s="233">
        <v>0</v>
      </c>
      <c r="H32" s="233">
        <v>10000</v>
      </c>
      <c r="I32" s="233">
        <f>H32</f>
        <v>10000</v>
      </c>
      <c r="J32" s="210">
        <f>SUM(J15:J31)</f>
        <v>512428.89999999997</v>
      </c>
      <c r="K32" s="207" t="s">
        <v>650</v>
      </c>
      <c r="L32" s="344"/>
      <c r="M32" s="344"/>
      <c r="N32" s="148"/>
      <c r="O32" s="223"/>
      <c r="P32" s="344"/>
    </row>
    <row r="33" spans="1:16" ht="15" customHeight="1" outlineLevel="1" thickTop="1" thickBot="1">
      <c r="A33" s="197" t="s">
        <v>414</v>
      </c>
      <c r="B33" s="148"/>
      <c r="C33" s="213" t="s">
        <v>413</v>
      </c>
      <c r="D33" s="1628">
        <v>0</v>
      </c>
      <c r="E33" s="509">
        <v>0</v>
      </c>
      <c r="F33" s="458">
        <f t="shared" si="1"/>
        <v>1000</v>
      </c>
      <c r="G33" s="233">
        <v>1000</v>
      </c>
      <c r="H33" s="1627">
        <v>1000</v>
      </c>
      <c r="I33" s="1627">
        <v>1000</v>
      </c>
      <c r="J33" s="1626"/>
      <c r="K33" s="190" t="s">
        <v>410</v>
      </c>
      <c r="L33" s="190"/>
      <c r="M33" s="190"/>
      <c r="N33" s="357">
        <f>SUM(N27:N32)</f>
        <v>512434</v>
      </c>
      <c r="O33" s="190"/>
      <c r="P33" s="344"/>
    </row>
    <row r="34" spans="1:16" ht="15" customHeight="1" outlineLevel="1" thickTop="1">
      <c r="A34" s="1629" t="s">
        <v>953</v>
      </c>
      <c r="B34" s="148"/>
      <c r="C34" s="213" t="s">
        <v>411</v>
      </c>
      <c r="D34" s="1628">
        <v>32500</v>
      </c>
      <c r="E34" s="509">
        <v>0</v>
      </c>
      <c r="F34" s="458">
        <f t="shared" si="1"/>
        <v>45000</v>
      </c>
      <c r="G34" s="1627">
        <v>45000</v>
      </c>
      <c r="H34" s="1627">
        <f>'PLANTILLA NEW (2)'!B25*5000</f>
        <v>45000</v>
      </c>
      <c r="I34" s="1627">
        <f>'PLANTILLA NEW (2)'!B25*5000</f>
        <v>45000</v>
      </c>
      <c r="J34" s="1626"/>
      <c r="K34" s="235"/>
      <c r="O34" s="344"/>
    </row>
    <row r="35" spans="1:16" ht="15" customHeight="1" outlineLevel="1">
      <c r="A35" s="197" t="s">
        <v>409</v>
      </c>
      <c r="B35" s="148"/>
      <c r="C35" s="482" t="s">
        <v>408</v>
      </c>
      <c r="D35" s="1628">
        <v>18000</v>
      </c>
      <c r="E35" s="509">
        <v>0</v>
      </c>
      <c r="F35" s="458">
        <f t="shared" si="1"/>
        <v>0</v>
      </c>
      <c r="G35" s="233">
        <v>0</v>
      </c>
      <c r="H35" s="1627">
        <v>0</v>
      </c>
      <c r="I35" s="1627">
        <v>0</v>
      </c>
      <c r="J35" s="1626"/>
      <c r="K35" s="235"/>
      <c r="O35" s="344"/>
    </row>
    <row r="36" spans="1:16" ht="18" customHeight="1" outlineLevel="1">
      <c r="A36" s="189" t="s">
        <v>407</v>
      </c>
      <c r="B36" s="366"/>
      <c r="C36" s="187"/>
      <c r="D36" s="364">
        <f>SUM(D37:D54)</f>
        <v>191918.63</v>
      </c>
      <c r="E36" s="364">
        <f>SUM(E37:E54)</f>
        <v>102695.38</v>
      </c>
      <c r="F36" s="364">
        <f>SUM(F37:F54)</f>
        <v>339817.14</v>
      </c>
      <c r="G36" s="364">
        <f>SUM(G37:G54)</f>
        <v>442512.52</v>
      </c>
      <c r="H36" s="364">
        <f>SUM(H37:H54)</f>
        <v>369740</v>
      </c>
    </row>
    <row r="37" spans="1:16" ht="15" customHeight="1" outlineLevel="1">
      <c r="A37" s="178" t="s">
        <v>646</v>
      </c>
      <c r="B37" s="185"/>
      <c r="C37" s="165" t="s">
        <v>405</v>
      </c>
      <c r="D37" s="1625">
        <v>0</v>
      </c>
      <c r="E37" s="477">
        <v>0</v>
      </c>
      <c r="F37" s="462">
        <f>SUM(G37-E37)</f>
        <v>25000</v>
      </c>
      <c r="G37" s="477">
        <v>25000</v>
      </c>
      <c r="H37" s="476">
        <v>25000</v>
      </c>
    </row>
    <row r="38" spans="1:16" s="347" customFormat="1" ht="15" customHeight="1" outlineLevel="1">
      <c r="A38" s="178" t="s">
        <v>404</v>
      </c>
      <c r="B38" s="177"/>
      <c r="C38" s="165" t="s">
        <v>403</v>
      </c>
      <c r="D38" s="862">
        <v>0</v>
      </c>
      <c r="E38" s="460">
        <v>0</v>
      </c>
      <c r="F38" s="462">
        <f>SUM(G38-E38)</f>
        <v>25000</v>
      </c>
      <c r="G38" s="460">
        <v>25000</v>
      </c>
      <c r="H38" s="460">
        <v>25000</v>
      </c>
      <c r="I38" s="349"/>
      <c r="J38" s="1619"/>
      <c r="K38" s="1624" t="s">
        <v>378</v>
      </c>
    </row>
    <row r="39" spans="1:16" s="347" customFormat="1" ht="15" customHeight="1" outlineLevel="1">
      <c r="A39" s="178" t="s">
        <v>402</v>
      </c>
      <c r="B39" s="177"/>
      <c r="C39" s="165" t="s">
        <v>401</v>
      </c>
      <c r="D39" s="862">
        <v>16378.94</v>
      </c>
      <c r="E39" s="460">
        <v>11011.4</v>
      </c>
      <c r="F39" s="462">
        <f>SUM(G39-E39)</f>
        <v>8988.6</v>
      </c>
      <c r="G39" s="460">
        <v>20000</v>
      </c>
      <c r="H39" s="460">
        <v>20000</v>
      </c>
      <c r="I39" s="349"/>
      <c r="J39" s="1619"/>
      <c r="K39" s="1622" t="s">
        <v>387</v>
      </c>
      <c r="L39" s="1623">
        <f>'PLANTILLA NEW (2)'!B24*200</f>
        <v>1800</v>
      </c>
    </row>
    <row r="40" spans="1:16" s="347" customFormat="1" ht="15" customHeight="1" outlineLevel="1">
      <c r="A40" s="166" t="s">
        <v>1320</v>
      </c>
      <c r="B40" s="162"/>
      <c r="C40" s="165"/>
      <c r="D40" s="862"/>
      <c r="E40" s="460"/>
      <c r="F40" s="462"/>
      <c r="G40" s="460"/>
      <c r="H40" s="460"/>
      <c r="I40" s="349"/>
      <c r="J40" s="1619"/>
      <c r="K40" s="1622" t="s">
        <v>384</v>
      </c>
      <c r="L40" s="1623">
        <f>'PLANTILLA NEW (2)'!B24*2100</f>
        <v>18900</v>
      </c>
      <c r="N40" s="670"/>
      <c r="O40" s="1620"/>
      <c r="P40" s="464"/>
    </row>
    <row r="41" spans="1:16" s="347" customFormat="1" ht="15" customHeight="1" outlineLevel="1">
      <c r="A41" s="181"/>
      <c r="B41" s="360" t="s">
        <v>1319</v>
      </c>
      <c r="C41" s="161" t="s">
        <v>398</v>
      </c>
      <c r="D41" s="862">
        <v>11520.25</v>
      </c>
      <c r="E41" s="460">
        <v>4080</v>
      </c>
      <c r="F41" s="462">
        <f>SUM(G41-E41)</f>
        <v>20920</v>
      </c>
      <c r="G41" s="460">
        <v>25000</v>
      </c>
      <c r="H41" s="460">
        <v>25000</v>
      </c>
      <c r="I41" s="349"/>
      <c r="J41" s="1619"/>
      <c r="K41" s="1622" t="s">
        <v>382</v>
      </c>
      <c r="L41" s="1623">
        <f>L42-L39-L40</f>
        <v>16300</v>
      </c>
      <c r="N41" s="464"/>
      <c r="O41" s="464"/>
      <c r="P41" s="464"/>
    </row>
    <row r="42" spans="1:16" s="347" customFormat="1" ht="15" customHeight="1" outlineLevel="1">
      <c r="A42" s="166" t="s">
        <v>395</v>
      </c>
      <c r="B42" s="177"/>
      <c r="C42" s="174" t="s">
        <v>394</v>
      </c>
      <c r="D42" s="862">
        <v>13337.5</v>
      </c>
      <c r="E42" s="460">
        <v>9212.9</v>
      </c>
      <c r="F42" s="462">
        <f>SUM(G42-E42)</f>
        <v>5787.1</v>
      </c>
      <c r="G42" s="460">
        <v>15000</v>
      </c>
      <c r="H42" s="460">
        <v>15000</v>
      </c>
      <c r="I42" s="349"/>
      <c r="J42" s="1619"/>
      <c r="K42" s="1622" t="s">
        <v>379</v>
      </c>
      <c r="L42" s="1621">
        <f>H49</f>
        <v>37000</v>
      </c>
      <c r="N42" s="464"/>
      <c r="O42" s="1620"/>
      <c r="P42" s="464"/>
    </row>
    <row r="43" spans="1:16" s="347" customFormat="1" ht="15" customHeight="1" outlineLevel="1">
      <c r="A43" s="178" t="s">
        <v>393</v>
      </c>
      <c r="B43" s="177"/>
      <c r="C43" s="165" t="s">
        <v>392</v>
      </c>
      <c r="D43" s="862">
        <v>0</v>
      </c>
      <c r="E43" s="460">
        <v>0</v>
      </c>
      <c r="F43" s="462">
        <f>SUM(G43-E43)</f>
        <v>5000</v>
      </c>
      <c r="G43" s="460">
        <v>5000</v>
      </c>
      <c r="H43" s="460">
        <v>5000</v>
      </c>
      <c r="I43" s="349"/>
      <c r="J43" s="1619"/>
      <c r="K43" s="156"/>
      <c r="N43" s="464"/>
      <c r="O43" s="464"/>
      <c r="P43" s="464"/>
    </row>
    <row r="44" spans="1:16" s="347" customFormat="1" ht="15" customHeight="1" outlineLevel="1">
      <c r="A44" s="178" t="s">
        <v>391</v>
      </c>
      <c r="B44" s="177"/>
      <c r="C44" s="161" t="s">
        <v>390</v>
      </c>
      <c r="D44" s="862">
        <v>52786.720000000001</v>
      </c>
      <c r="E44" s="460">
        <v>31081.08</v>
      </c>
      <c r="F44" s="462">
        <f>SUM(G44-E44)</f>
        <v>42691.44</v>
      </c>
      <c r="G44" s="460">
        <v>73772.52</v>
      </c>
      <c r="H44" s="460">
        <v>73000</v>
      </c>
      <c r="I44" s="349"/>
      <c r="J44" s="1619"/>
      <c r="K44" s="156"/>
    </row>
    <row r="45" spans="1:16" s="347" customFormat="1" ht="15" customHeight="1" outlineLevel="1">
      <c r="A45" s="176" t="s">
        <v>389</v>
      </c>
      <c r="B45" s="175"/>
      <c r="C45" s="174" t="s">
        <v>388</v>
      </c>
      <c r="D45" s="862">
        <v>71785.320000000007</v>
      </c>
      <c r="E45" s="460">
        <v>33000</v>
      </c>
      <c r="F45" s="462">
        <f>SUM(G45-E45)</f>
        <v>118200</v>
      </c>
      <c r="G45" s="460">
        <v>151200</v>
      </c>
      <c r="H45" s="460">
        <v>79200</v>
      </c>
      <c r="I45" s="349"/>
      <c r="J45" s="1619"/>
      <c r="K45" s="156"/>
    </row>
    <row r="46" spans="1:16" s="347" customFormat="1" ht="15" customHeight="1" outlineLevel="1">
      <c r="A46" s="166" t="s">
        <v>383</v>
      </c>
      <c r="B46" s="173"/>
      <c r="C46" s="172"/>
      <c r="D46" s="862"/>
      <c r="E46" s="460"/>
      <c r="F46" s="462"/>
      <c r="G46" s="460"/>
      <c r="H46" s="460"/>
      <c r="I46" s="349"/>
      <c r="J46" s="1619"/>
      <c r="K46" s="156"/>
    </row>
    <row r="47" spans="1:16" s="347" customFormat="1" ht="15" customHeight="1" outlineLevel="1">
      <c r="A47" s="163"/>
      <c r="B47" s="164" t="s">
        <v>386</v>
      </c>
      <c r="C47" s="161" t="s">
        <v>385</v>
      </c>
      <c r="D47" s="862">
        <v>0</v>
      </c>
      <c r="E47" s="460">
        <v>0</v>
      </c>
      <c r="F47" s="462">
        <f>SUM(G47-E47)</f>
        <v>10000</v>
      </c>
      <c r="G47" s="460">
        <v>10000</v>
      </c>
      <c r="H47" s="460">
        <v>10000</v>
      </c>
      <c r="I47" s="349"/>
      <c r="J47" s="1619"/>
      <c r="K47" s="156"/>
    </row>
    <row r="48" spans="1:16" s="347" customFormat="1" ht="15" customHeight="1" outlineLevel="1">
      <c r="A48" s="166" t="s">
        <v>383</v>
      </c>
      <c r="B48" s="173"/>
      <c r="C48" s="172"/>
      <c r="D48" s="862"/>
      <c r="E48" s="460"/>
      <c r="F48" s="462"/>
      <c r="G48" s="460"/>
      <c r="H48" s="460"/>
      <c r="I48" s="349"/>
      <c r="J48" s="1619"/>
      <c r="K48" s="156"/>
    </row>
    <row r="49" spans="1:11" s="347" customFormat="1" ht="15" customHeight="1" outlineLevel="1">
      <c r="A49" s="163"/>
      <c r="B49" s="164" t="s">
        <v>381</v>
      </c>
      <c r="C49" s="161" t="s">
        <v>1318</v>
      </c>
      <c r="D49" s="862">
        <v>21875</v>
      </c>
      <c r="E49" s="460">
        <v>13370</v>
      </c>
      <c r="F49" s="462">
        <f>SUM(G49-E49)</f>
        <v>23630</v>
      </c>
      <c r="G49" s="460">
        <v>37000</v>
      </c>
      <c r="H49" s="460">
        <v>37000</v>
      </c>
      <c r="I49" s="349"/>
      <c r="J49" s="1619"/>
      <c r="K49" s="156"/>
    </row>
    <row r="50" spans="1:11" ht="15" customHeight="1" outlineLevel="1">
      <c r="A50" s="176" t="s">
        <v>370</v>
      </c>
      <c r="B50" s="1618"/>
      <c r="C50" s="161" t="s">
        <v>369</v>
      </c>
      <c r="D50" s="862">
        <v>0</v>
      </c>
      <c r="E50" s="460">
        <v>0</v>
      </c>
      <c r="F50" s="462">
        <f>SUM(G50-E50)</f>
        <v>500</v>
      </c>
      <c r="G50" s="460">
        <v>500</v>
      </c>
      <c r="H50" s="460">
        <v>500</v>
      </c>
      <c r="I50" s="344"/>
      <c r="J50" s="1438"/>
    </row>
    <row r="51" spans="1:11" ht="15" customHeight="1" outlineLevel="1">
      <c r="A51" s="346" t="s">
        <v>368</v>
      </c>
      <c r="B51" s="175"/>
      <c r="C51" s="174" t="s">
        <v>367</v>
      </c>
      <c r="D51" s="862">
        <v>4234.8999999999996</v>
      </c>
      <c r="E51" s="457">
        <v>940</v>
      </c>
      <c r="F51" s="462">
        <f>SUM(G51-E51)</f>
        <v>34100</v>
      </c>
      <c r="G51" s="457">
        <v>35040</v>
      </c>
      <c r="H51" s="457">
        <v>35040</v>
      </c>
      <c r="I51" s="344"/>
      <c r="J51" s="1438"/>
    </row>
    <row r="52" spans="1:11" ht="15" customHeight="1" outlineLevel="1">
      <c r="A52" s="346" t="s">
        <v>1317</v>
      </c>
      <c r="B52" s="175"/>
      <c r="C52" s="174" t="s">
        <v>1316</v>
      </c>
      <c r="D52" s="862">
        <v>0</v>
      </c>
      <c r="E52" s="457">
        <v>0</v>
      </c>
      <c r="F52" s="462">
        <f>SUM(G52-E52)</f>
        <v>5000</v>
      </c>
      <c r="G52" s="457">
        <v>5000</v>
      </c>
      <c r="H52" s="457">
        <v>5000</v>
      </c>
      <c r="I52" s="344"/>
      <c r="J52" s="1438"/>
    </row>
    <row r="53" spans="1:11" ht="15" customHeight="1" outlineLevel="1">
      <c r="A53" s="346" t="s">
        <v>368</v>
      </c>
      <c r="B53" s="175"/>
      <c r="C53" s="172"/>
      <c r="D53" s="862"/>
      <c r="E53" s="457"/>
      <c r="F53" s="462"/>
      <c r="G53" s="457"/>
      <c r="H53" s="457"/>
      <c r="I53" s="344"/>
      <c r="J53" s="1438"/>
    </row>
    <row r="54" spans="1:11" ht="15" customHeight="1" outlineLevel="2">
      <c r="A54" s="1617" t="s">
        <v>1315</v>
      </c>
      <c r="B54" s="1616"/>
      <c r="C54" s="174" t="s">
        <v>1314</v>
      </c>
      <c r="D54" s="150">
        <v>0</v>
      </c>
      <c r="E54" s="457">
        <v>0</v>
      </c>
      <c r="F54" s="462">
        <f>SUM(G54-E54)</f>
        <v>15000</v>
      </c>
      <c r="G54" s="457">
        <v>15000</v>
      </c>
      <c r="H54" s="457">
        <v>15000</v>
      </c>
    </row>
    <row r="55" spans="1:11" ht="18" customHeight="1" outlineLevel="2" thickBot="1">
      <c r="A55" s="1615" t="s">
        <v>366</v>
      </c>
      <c r="B55" s="1614"/>
      <c r="C55" s="1613"/>
      <c r="D55" s="546">
        <f>SUM(D13+D36)</f>
        <v>3721620.8</v>
      </c>
      <c r="E55" s="546">
        <f>SUM(E13+E36)</f>
        <v>2012125.5699999998</v>
      </c>
      <c r="F55" s="546">
        <f>SUM(F13+F36)</f>
        <v>4378244.9499999993</v>
      </c>
      <c r="G55" s="546">
        <f>SUM(G13+G36)</f>
        <v>6390370.5199999996</v>
      </c>
      <c r="H55" s="1241">
        <f>SUM(H13+H36)</f>
        <v>6571063</v>
      </c>
      <c r="I55" s="340" t="s">
        <v>1313</v>
      </c>
    </row>
    <row r="56" spans="1:11" s="1608" customFormat="1" ht="18" customHeight="1" thickTop="1">
      <c r="A56" s="1611" t="s">
        <v>364</v>
      </c>
      <c r="B56" s="1612"/>
      <c r="C56" s="1612" t="s">
        <v>363</v>
      </c>
      <c r="D56" s="1612"/>
      <c r="F56" s="1612" t="s">
        <v>1312</v>
      </c>
      <c r="G56" s="1611"/>
      <c r="J56" s="1610"/>
      <c r="K56" s="1609"/>
    </row>
    <row r="57" spans="1:11" ht="15" customHeight="1">
      <c r="B57" s="134"/>
      <c r="C57" s="1607"/>
      <c r="D57" s="134"/>
      <c r="E57" s="134"/>
      <c r="F57" s="134"/>
      <c r="G57" s="134"/>
    </row>
    <row r="58" spans="1:11" s="134" customFormat="1" ht="20.25" customHeight="1">
      <c r="A58" s="726" t="s">
        <v>1311</v>
      </c>
      <c r="C58" s="1606" t="s">
        <v>1310</v>
      </c>
      <c r="D58" s="1606"/>
      <c r="E58" s="1606"/>
      <c r="F58" s="4630" t="s">
        <v>359</v>
      </c>
      <c r="G58" s="4630"/>
      <c r="H58" s="4630"/>
      <c r="J58" s="1408"/>
      <c r="K58" s="148"/>
    </row>
    <row r="59" spans="1:11" s="135" customFormat="1" ht="12" customHeight="1">
      <c r="A59" s="138" t="s">
        <v>1309</v>
      </c>
      <c r="B59" s="136"/>
      <c r="C59" s="4655" t="s">
        <v>357</v>
      </c>
      <c r="D59" s="4655"/>
      <c r="F59" s="4623" t="s">
        <v>356</v>
      </c>
      <c r="G59" s="4623"/>
      <c r="H59" s="4623"/>
      <c r="I59" s="136"/>
      <c r="J59" s="1405"/>
      <c r="K59" s="440"/>
    </row>
    <row r="60" spans="1:11" s="135" customFormat="1" ht="13.5">
      <c r="B60" s="136"/>
      <c r="C60" s="4655"/>
      <c r="D60" s="4655"/>
      <c r="E60" s="137"/>
      <c r="F60" s="137"/>
      <c r="G60" s="137"/>
      <c r="H60" s="137"/>
      <c r="I60" s="136"/>
      <c r="J60" s="1405"/>
      <c r="K60" s="440"/>
    </row>
    <row r="61" spans="1:11" s="135" customFormat="1" ht="13.5">
      <c r="B61" s="136"/>
      <c r="C61" s="337"/>
      <c r="D61" s="137"/>
      <c r="E61" s="137"/>
      <c r="F61" s="137"/>
      <c r="G61" s="137"/>
      <c r="H61" s="137"/>
      <c r="I61" s="136"/>
      <c r="J61" s="1405"/>
      <c r="K61" s="440"/>
    </row>
    <row r="62" spans="1:11" s="135" customFormat="1" ht="13.5">
      <c r="C62" s="337"/>
      <c r="F62" s="137"/>
      <c r="G62" s="137"/>
      <c r="H62" s="137"/>
      <c r="I62" s="136"/>
      <c r="J62" s="1405"/>
      <c r="K62" s="440"/>
    </row>
    <row r="63" spans="1:11" s="135" customFormat="1" ht="13.5">
      <c r="C63" s="337"/>
      <c r="F63" s="137"/>
      <c r="G63" s="137"/>
      <c r="H63" s="137"/>
      <c r="I63" s="136"/>
      <c r="J63" s="1405"/>
      <c r="K63" s="440"/>
    </row>
    <row r="64" spans="1:11" s="135" customFormat="1" ht="13.5">
      <c r="C64" s="337"/>
      <c r="F64" s="137"/>
      <c r="G64" s="137"/>
      <c r="H64" s="137"/>
      <c r="I64" s="136"/>
      <c r="J64" s="1405"/>
      <c r="K64" s="440"/>
    </row>
    <row r="65" spans="2:11" s="135" customFormat="1" ht="13.5">
      <c r="C65" s="337"/>
      <c r="F65" s="137"/>
      <c r="G65" s="137"/>
      <c r="H65" s="137"/>
      <c r="I65" s="136"/>
      <c r="J65" s="1405"/>
      <c r="K65" s="440"/>
    </row>
    <row r="66" spans="2:11" s="135" customFormat="1" ht="13.5">
      <c r="C66" s="1605"/>
      <c r="D66" s="336"/>
      <c r="F66" s="137"/>
      <c r="G66" s="137"/>
      <c r="H66" s="137"/>
      <c r="I66" s="136"/>
      <c r="J66" s="1405"/>
      <c r="K66" s="440"/>
    </row>
    <row r="67" spans="2:11" s="135" customFormat="1" ht="13.5">
      <c r="B67" s="136"/>
      <c r="C67" s="337"/>
      <c r="D67" s="137"/>
      <c r="E67" s="137"/>
      <c r="F67" s="137"/>
      <c r="G67" s="137"/>
      <c r="H67" s="137"/>
      <c r="I67" s="136"/>
      <c r="J67" s="1405"/>
      <c r="K67" s="440"/>
    </row>
    <row r="68" spans="2:11" s="135" customFormat="1" ht="13.5">
      <c r="B68" s="136"/>
      <c r="C68" s="337"/>
      <c r="D68" s="137"/>
      <c r="E68" s="137"/>
      <c r="F68" s="137"/>
      <c r="G68" s="137"/>
      <c r="H68" s="137"/>
      <c r="I68" s="136"/>
      <c r="J68" s="1405"/>
      <c r="K68" s="440"/>
    </row>
    <row r="69" spans="2:11" s="135" customFormat="1" ht="13.5">
      <c r="B69" s="136"/>
      <c r="C69" s="337"/>
      <c r="D69" s="137"/>
      <c r="E69" s="137"/>
      <c r="F69" s="137"/>
      <c r="G69" s="137"/>
      <c r="H69" s="137"/>
      <c r="I69" s="136"/>
      <c r="J69" s="1405"/>
      <c r="K69" s="440"/>
    </row>
    <row r="70" spans="2:11" s="135" customFormat="1" ht="13.5">
      <c r="B70" s="136"/>
      <c r="C70" s="337"/>
      <c r="D70" s="137"/>
      <c r="E70" s="137"/>
      <c r="F70" s="137"/>
      <c r="G70" s="137"/>
      <c r="H70" s="137"/>
      <c r="I70" s="136"/>
      <c r="J70" s="1405"/>
      <c r="K70" s="440"/>
    </row>
    <row r="71" spans="2:11" s="135" customFormat="1" ht="13.5">
      <c r="B71" s="136"/>
      <c r="C71" s="337"/>
      <c r="D71" s="137"/>
      <c r="E71" s="137"/>
      <c r="F71" s="137"/>
      <c r="G71" s="137"/>
      <c r="H71" s="137"/>
      <c r="I71" s="136"/>
      <c r="J71" s="1405"/>
      <c r="K71" s="440"/>
    </row>
    <row r="72" spans="2:11" s="135" customFormat="1" ht="13.5">
      <c r="B72" s="136"/>
      <c r="C72" s="337"/>
      <c r="D72" s="137"/>
      <c r="E72" s="137"/>
      <c r="F72" s="137"/>
      <c r="G72" s="137"/>
      <c r="H72" s="137"/>
      <c r="I72" s="136"/>
      <c r="J72" s="1405"/>
      <c r="K72" s="440"/>
    </row>
    <row r="73" spans="2:11" s="336" customFormat="1" ht="9" customHeight="1">
      <c r="C73" s="268"/>
      <c r="J73" s="1604"/>
      <c r="K73" s="148"/>
    </row>
    <row r="74" spans="2:11" s="336" customFormat="1" ht="9" customHeight="1">
      <c r="C74" s="268"/>
      <c r="J74" s="1604"/>
      <c r="K74" s="148"/>
    </row>
    <row r="75" spans="2:11" s="336" customFormat="1" ht="9" customHeight="1">
      <c r="C75" s="268"/>
      <c r="J75" s="1604"/>
      <c r="K75" s="148"/>
    </row>
    <row r="76" spans="2:11" s="336" customFormat="1" ht="9" customHeight="1">
      <c r="C76" s="268"/>
      <c r="J76" s="1604"/>
      <c r="K76" s="148"/>
    </row>
    <row r="77" spans="2:11" s="336" customFormat="1" ht="9" customHeight="1">
      <c r="C77" s="268"/>
      <c r="J77" s="1604"/>
      <c r="K77" s="148"/>
    </row>
    <row r="78" spans="2:11" s="336" customFormat="1" ht="9.9499999999999993" customHeight="1">
      <c r="C78" s="268"/>
      <c r="J78" s="1604"/>
      <c r="K78" s="148"/>
    </row>
  </sheetData>
  <mergeCells count="8">
    <mergeCell ref="C60:D60"/>
    <mergeCell ref="A9:B11"/>
    <mergeCell ref="A4:H4"/>
    <mergeCell ref="A5:H5"/>
    <mergeCell ref="E9:G9"/>
    <mergeCell ref="F59:H59"/>
    <mergeCell ref="F58:H58"/>
    <mergeCell ref="C59:D59"/>
  </mergeCells>
  <pageMargins left="0.5" right="0" top="0.25" bottom="0" header="0.25" footer="0"/>
  <pageSetup paperSize="5"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40"/>
  <sheetViews>
    <sheetView showGridLines="0" showOutlineSymbols="0" workbookViewId="0">
      <selection activeCell="F20" sqref="F20"/>
    </sheetView>
  </sheetViews>
  <sheetFormatPr defaultColWidth="12.5703125" defaultRowHeight="12.75" outlineLevelRow="2" outlineLevelCol="2"/>
  <cols>
    <col min="1" max="1" width="1.85546875" style="134" customWidth="1"/>
    <col min="2" max="2" width="35.28515625" style="134" customWidth="1"/>
    <col min="3" max="3" width="9.5703125" style="134" customWidth="1"/>
    <col min="4" max="6" width="10.7109375" style="134" customWidth="1"/>
    <col min="7" max="7" width="11.5703125" style="134" customWidth="1"/>
    <col min="8" max="8" width="10.28515625" style="134" customWidth="1"/>
    <col min="9" max="9" width="14.140625" style="134" hidden="1" customWidth="1"/>
    <col min="10" max="14" width="0" style="134" hidden="1" customWidth="1"/>
    <col min="15"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9" ht="13.5">
      <c r="A1" s="575" t="s">
        <v>473</v>
      </c>
      <c r="E1" s="1668"/>
      <c r="H1" s="1668"/>
    </row>
    <row r="2" spans="1:9" ht="11.45" customHeight="1">
      <c r="A2" s="574" t="s">
        <v>584</v>
      </c>
      <c r="E2" s="1667"/>
      <c r="H2" s="1667"/>
    </row>
    <row r="3" spans="1:9" ht="14.25" customHeight="1">
      <c r="E3" s="1667"/>
      <c r="G3" s="1667"/>
      <c r="H3" s="1667"/>
    </row>
    <row r="4" spans="1:9" ht="17.45" customHeight="1">
      <c r="A4" s="4630" t="s">
        <v>471</v>
      </c>
      <c r="B4" s="4630"/>
      <c r="C4" s="4630"/>
      <c r="D4" s="4630"/>
      <c r="E4" s="4630"/>
      <c r="F4" s="4630"/>
      <c r="G4" s="4630"/>
      <c r="H4" s="4630"/>
    </row>
    <row r="5" spans="1:9" ht="14.25" customHeight="1">
      <c r="A5" s="4623" t="s">
        <v>583</v>
      </c>
      <c r="B5" s="4631"/>
      <c r="C5" s="4631"/>
      <c r="D5" s="4631"/>
      <c r="E5" s="4631"/>
      <c r="F5" s="4631"/>
      <c r="G5" s="4631"/>
      <c r="H5" s="4631"/>
    </row>
    <row r="6" spans="1:9" ht="14.25" customHeight="1">
      <c r="A6" s="140"/>
      <c r="B6" s="140"/>
      <c r="C6" s="140"/>
      <c r="D6" s="140"/>
      <c r="E6" s="140"/>
      <c r="F6" s="140"/>
      <c r="G6" s="140"/>
      <c r="H6" s="140"/>
    </row>
    <row r="7" spans="1:9" ht="14.25" customHeight="1">
      <c r="A7" s="399" t="s">
        <v>1336</v>
      </c>
    </row>
    <row r="8" spans="1:9" ht="14.25" customHeight="1">
      <c r="A8" s="267"/>
      <c r="B8" s="266"/>
    </row>
    <row r="9" spans="1:9" ht="14.25" customHeight="1">
      <c r="A9" s="4624" t="s">
        <v>468</v>
      </c>
      <c r="B9" s="4625"/>
      <c r="C9" s="756" t="s">
        <v>467</v>
      </c>
      <c r="D9" s="1666" t="s">
        <v>466</v>
      </c>
      <c r="E9" s="4762" t="s">
        <v>465</v>
      </c>
      <c r="F9" s="4763"/>
      <c r="G9" s="4764"/>
      <c r="H9" s="756" t="s">
        <v>464</v>
      </c>
    </row>
    <row r="10" spans="1:9" ht="14.25" customHeight="1">
      <c r="A10" s="4626"/>
      <c r="B10" s="4627"/>
      <c r="C10" s="755" t="s">
        <v>463</v>
      </c>
      <c r="D10" s="755">
        <v>2020</v>
      </c>
      <c r="E10" s="263" t="s">
        <v>462</v>
      </c>
      <c r="F10" s="263" t="s">
        <v>461</v>
      </c>
      <c r="G10" s="1665" t="s">
        <v>244</v>
      </c>
      <c r="H10" s="755">
        <v>2022</v>
      </c>
    </row>
    <row r="11" spans="1:9" ht="14.25" customHeight="1">
      <c r="A11" s="4626"/>
      <c r="B11" s="4627"/>
      <c r="C11" s="1664"/>
      <c r="D11" s="258" t="s">
        <v>460</v>
      </c>
      <c r="E11" s="258" t="s">
        <v>460</v>
      </c>
      <c r="F11" s="258" t="s">
        <v>459</v>
      </c>
      <c r="G11" s="259"/>
      <c r="H11" s="258" t="s">
        <v>458</v>
      </c>
    </row>
    <row r="12" spans="1:9" ht="18" customHeight="1">
      <c r="A12" s="537" t="s">
        <v>456</v>
      </c>
      <c r="B12" s="536"/>
      <c r="C12" s="195"/>
      <c r="D12" s="158"/>
      <c r="E12" s="158"/>
      <c r="F12" s="158"/>
      <c r="G12" s="157"/>
      <c r="H12" s="157"/>
      <c r="I12" s="148"/>
    </row>
    <row r="13" spans="1:9" ht="18" customHeight="1" outlineLevel="1">
      <c r="A13" s="1663" t="s">
        <v>407</v>
      </c>
      <c r="B13" s="1662"/>
      <c r="C13" s="563"/>
      <c r="D13" s="561">
        <f>SUM(D14:D26)</f>
        <v>262222.07</v>
      </c>
      <c r="E13" s="561">
        <f>SUM(E14:E26)</f>
        <v>105000</v>
      </c>
      <c r="F13" s="561">
        <f>SUM(F14:F26)</f>
        <v>185000</v>
      </c>
      <c r="G13" s="561">
        <f>SUM(G14:G26)</f>
        <v>290000</v>
      </c>
      <c r="H13" s="561">
        <f>SUM(H14:H26)</f>
        <v>290000</v>
      </c>
    </row>
    <row r="14" spans="1:9" s="155" customFormat="1" ht="19.899999999999999" customHeight="1" outlineLevel="1">
      <c r="A14" s="1661" t="s">
        <v>678</v>
      </c>
      <c r="B14" s="1660"/>
      <c r="C14" s="1659" t="s">
        <v>677</v>
      </c>
      <c r="D14" s="558"/>
      <c r="E14" s="158"/>
      <c r="F14" s="158"/>
      <c r="G14" s="158"/>
      <c r="H14" s="157"/>
      <c r="I14" s="156"/>
    </row>
    <row r="15" spans="1:9" s="155" customFormat="1" ht="19.899999999999999" customHeight="1" outlineLevel="1">
      <c r="A15" s="1651" t="s">
        <v>1335</v>
      </c>
      <c r="B15" s="1650"/>
      <c r="C15" s="587"/>
      <c r="D15" s="160">
        <v>27021.379999999997</v>
      </c>
      <c r="E15" s="158">
        <v>0</v>
      </c>
      <c r="F15" s="158">
        <f>SUM(G15-E15)</f>
        <v>42400</v>
      </c>
      <c r="G15" s="742">
        <v>42400</v>
      </c>
      <c r="H15" s="1658">
        <v>42400</v>
      </c>
      <c r="I15" s="156"/>
    </row>
    <row r="16" spans="1:9" s="155" customFormat="1" ht="19.899999999999999" customHeight="1" outlineLevel="1">
      <c r="A16" s="1651" t="s">
        <v>404</v>
      </c>
      <c r="B16" s="1650"/>
      <c r="C16" s="587"/>
      <c r="D16" s="160">
        <v>8700</v>
      </c>
      <c r="E16" s="158">
        <v>0</v>
      </c>
      <c r="F16" s="158">
        <f>SUM(G16-E16)</f>
        <v>12000</v>
      </c>
      <c r="G16" s="742">
        <v>12000</v>
      </c>
      <c r="H16" s="742">
        <v>12000</v>
      </c>
      <c r="I16" s="156"/>
    </row>
    <row r="17" spans="1:13" s="155" customFormat="1" ht="19.899999999999999" customHeight="1" outlineLevel="1">
      <c r="A17" s="1651" t="s">
        <v>402</v>
      </c>
      <c r="B17" s="1650"/>
      <c r="C17" s="195"/>
      <c r="D17" s="158">
        <v>17084.5</v>
      </c>
      <c r="E17" s="158">
        <v>0</v>
      </c>
      <c r="F17" s="158">
        <f>SUM(G17-E17)</f>
        <v>18000</v>
      </c>
      <c r="G17" s="742">
        <v>18000</v>
      </c>
      <c r="H17" s="742">
        <v>22000</v>
      </c>
      <c r="I17" s="156"/>
    </row>
    <row r="18" spans="1:13" s="155" customFormat="1" ht="19.899999999999999" customHeight="1" outlineLevel="1">
      <c r="A18" s="1651" t="s">
        <v>1334</v>
      </c>
      <c r="B18" s="1650"/>
      <c r="C18" s="587"/>
      <c r="D18" s="160"/>
      <c r="E18" s="158"/>
      <c r="F18" s="1657"/>
      <c r="G18" s="742"/>
      <c r="H18" s="742"/>
      <c r="I18" s="156"/>
    </row>
    <row r="19" spans="1:13" s="155" customFormat="1" ht="19.899999999999999" customHeight="1" outlineLevel="1">
      <c r="A19" s="1653"/>
      <c r="B19" s="1656" t="s">
        <v>399</v>
      </c>
      <c r="C19" s="587"/>
      <c r="D19" s="160">
        <v>9000</v>
      </c>
      <c r="E19" s="158">
        <v>0</v>
      </c>
      <c r="F19" s="158">
        <f>SUM(G19-E19)</f>
        <v>10000</v>
      </c>
      <c r="G19" s="742">
        <v>10000</v>
      </c>
      <c r="H19" s="742">
        <v>12000</v>
      </c>
      <c r="I19" s="156"/>
    </row>
    <row r="20" spans="1:13" s="155" customFormat="1" ht="19.899999999999999" customHeight="1" outlineLevel="1">
      <c r="A20" s="1651" t="s">
        <v>699</v>
      </c>
      <c r="B20" s="1650"/>
      <c r="C20" s="587"/>
      <c r="D20" s="160">
        <v>7926.24</v>
      </c>
      <c r="E20" s="158">
        <v>0</v>
      </c>
      <c r="F20" s="158">
        <f>SUM(G20-E20)</f>
        <v>9000</v>
      </c>
      <c r="G20" s="742">
        <v>9000</v>
      </c>
      <c r="H20" s="1655">
        <v>0</v>
      </c>
      <c r="I20" s="156"/>
    </row>
    <row r="21" spans="1:13" s="155" customFormat="1" ht="19.899999999999999" customHeight="1" outlineLevel="1">
      <c r="A21" s="1651" t="s">
        <v>1333</v>
      </c>
      <c r="B21" s="1650"/>
      <c r="C21" s="587"/>
      <c r="D21" s="160">
        <v>12489.95</v>
      </c>
      <c r="E21" s="158">
        <v>0</v>
      </c>
      <c r="F21" s="158">
        <f>SUM(G21-E21)</f>
        <v>16600</v>
      </c>
      <c r="G21" s="742">
        <v>16600</v>
      </c>
      <c r="H21" s="742">
        <v>19600</v>
      </c>
      <c r="I21" s="156"/>
    </row>
    <row r="22" spans="1:13" s="155" customFormat="1" ht="19.899999999999999" customHeight="1" outlineLevel="1">
      <c r="A22" s="4765" t="s">
        <v>1332</v>
      </c>
      <c r="B22" s="4766"/>
      <c r="C22" s="587"/>
      <c r="D22" s="160">
        <v>180000</v>
      </c>
      <c r="E22" s="158">
        <v>105000</v>
      </c>
      <c r="F22" s="158">
        <f>SUM(G22-E22)</f>
        <v>75000</v>
      </c>
      <c r="G22" s="1644">
        <v>180000</v>
      </c>
      <c r="H22" s="1644">
        <f>M26</f>
        <v>180000</v>
      </c>
      <c r="I22" s="156"/>
      <c r="J22" s="1056"/>
      <c r="K22" s="1654" t="s">
        <v>1331</v>
      </c>
      <c r="L22" s="1654"/>
      <c r="M22" s="1654"/>
    </row>
    <row r="23" spans="1:13" s="155" customFormat="1" ht="19.899999999999999" customHeight="1" outlineLevel="1">
      <c r="A23" s="1651" t="s">
        <v>1328</v>
      </c>
      <c r="B23" s="1650"/>
      <c r="C23" s="587"/>
      <c r="D23" s="160"/>
      <c r="E23" s="158"/>
      <c r="F23" s="158"/>
      <c r="G23" s="1644"/>
      <c r="H23" s="1644"/>
      <c r="I23" s="156"/>
      <c r="J23" s="1649" t="s">
        <v>1330</v>
      </c>
      <c r="K23" s="1056">
        <v>10000</v>
      </c>
      <c r="L23" s="1648">
        <v>1</v>
      </c>
      <c r="M23" s="1057">
        <f>SUM(K23*L23)</f>
        <v>10000</v>
      </c>
    </row>
    <row r="24" spans="1:13" s="155" customFormat="1" ht="19.899999999999999" customHeight="1" outlineLevel="1">
      <c r="A24" s="1653"/>
      <c r="B24" s="1652" t="s">
        <v>381</v>
      </c>
      <c r="C24" s="587"/>
      <c r="D24" s="160">
        <v>0</v>
      </c>
      <c r="E24" s="158">
        <v>0</v>
      </c>
      <c r="F24" s="158">
        <f>SUM(G24-E24)</f>
        <v>1000</v>
      </c>
      <c r="G24" s="1644">
        <v>1000</v>
      </c>
      <c r="H24" s="1644">
        <v>1000</v>
      </c>
      <c r="I24" s="156"/>
      <c r="J24" s="1649" t="s">
        <v>1329</v>
      </c>
      <c r="K24" s="1056">
        <v>5000</v>
      </c>
      <c r="L24" s="1648">
        <v>1</v>
      </c>
      <c r="M24" s="1057">
        <f>SUM(K24*L24)</f>
        <v>5000</v>
      </c>
    </row>
    <row r="25" spans="1:13" s="155" customFormat="1" ht="19.899999999999999" customHeight="1" outlineLevel="1">
      <c r="A25" s="1651" t="s">
        <v>1328</v>
      </c>
      <c r="B25" s="1650"/>
      <c r="C25" s="587"/>
      <c r="D25" s="160"/>
      <c r="E25" s="158"/>
      <c r="F25" s="158"/>
      <c r="G25" s="1644"/>
      <c r="H25" s="1644"/>
      <c r="I25" s="156"/>
      <c r="J25" s="1649"/>
      <c r="K25" s="1056"/>
      <c r="L25" s="1648" t="s">
        <v>1327</v>
      </c>
      <c r="M25" s="1647">
        <f>SUM(M23:M24)</f>
        <v>15000</v>
      </c>
    </row>
    <row r="26" spans="1:13" s="155" customFormat="1" ht="19.899999999999999" customHeight="1" outlineLevel="1" thickBot="1">
      <c r="A26" s="1646"/>
      <c r="B26" s="1645" t="s">
        <v>386</v>
      </c>
      <c r="C26" s="587"/>
      <c r="D26" s="160">
        <v>0</v>
      </c>
      <c r="E26" s="158">
        <v>0</v>
      </c>
      <c r="F26" s="158">
        <f>SUM(G26-E26)</f>
        <v>1000</v>
      </c>
      <c r="G26" s="1644">
        <v>1000</v>
      </c>
      <c r="H26" s="1644">
        <v>1000</v>
      </c>
      <c r="I26" s="156"/>
      <c r="J26" s="1053"/>
      <c r="K26" s="1056"/>
      <c r="L26" s="1057" t="s">
        <v>1326</v>
      </c>
      <c r="M26" s="1643">
        <f>SUM(M25*12)</f>
        <v>180000</v>
      </c>
    </row>
    <row r="27" spans="1:13" ht="18" customHeight="1" outlineLevel="2" thickTop="1" thickBot="1">
      <c r="A27" s="1642" t="s">
        <v>366</v>
      </c>
      <c r="B27" s="1641"/>
      <c r="C27" s="146"/>
      <c r="D27" s="456">
        <f>SUM(D15:D26)</f>
        <v>262222.07</v>
      </c>
      <c r="E27" s="456">
        <f>SUM(E15:E26)</f>
        <v>105000</v>
      </c>
      <c r="F27" s="456">
        <f>SUM(F15:F26)</f>
        <v>185000</v>
      </c>
      <c r="G27" s="456">
        <f>SUM(G15:G26)</f>
        <v>290000</v>
      </c>
      <c r="H27" s="455">
        <f>SUM(H15:H26)</f>
        <v>290000</v>
      </c>
      <c r="I27" s="340" t="s">
        <v>1325</v>
      </c>
      <c r="J27" s="1053"/>
      <c r="K27" s="1056"/>
      <c r="L27" s="579"/>
      <c r="M27" s="579"/>
    </row>
    <row r="28" spans="1:13" ht="27.75" customHeight="1" thickTop="1">
      <c r="A28" s="134" t="s">
        <v>364</v>
      </c>
      <c r="C28" s="141" t="s">
        <v>363</v>
      </c>
      <c r="F28" s="544" t="s">
        <v>661</v>
      </c>
      <c r="H28" s="454"/>
    </row>
    <row r="29" spans="1:13" ht="12.6" customHeight="1">
      <c r="A29" s="542"/>
      <c r="C29" s="141"/>
    </row>
    <row r="30" spans="1:13" ht="23.25" customHeight="1">
      <c r="A30" s="1640" t="s">
        <v>1324</v>
      </c>
      <c r="B30" s="1640" t="s">
        <v>1323</v>
      </c>
      <c r="C30" s="4635" t="s">
        <v>360</v>
      </c>
      <c r="D30" s="4635"/>
      <c r="E30" s="1606"/>
      <c r="F30" s="4630" t="s">
        <v>359</v>
      </c>
      <c r="G30" s="4630"/>
      <c r="H30" s="541"/>
    </row>
    <row r="31" spans="1:13" s="135" customFormat="1" ht="12" customHeight="1">
      <c r="B31" s="576" t="s">
        <v>1322</v>
      </c>
      <c r="C31" s="4655" t="s">
        <v>357</v>
      </c>
      <c r="D31" s="4655"/>
      <c r="E31" s="772"/>
      <c r="F31" s="4623" t="s">
        <v>356</v>
      </c>
      <c r="G31" s="4623"/>
      <c r="H31" s="540"/>
      <c r="I31" s="136"/>
    </row>
    <row r="32" spans="1:13" s="135" customFormat="1" ht="13.5">
      <c r="B32" s="136"/>
      <c r="C32" s="4655"/>
      <c r="D32" s="4655"/>
      <c r="E32" s="772"/>
      <c r="F32" s="137"/>
      <c r="G32" s="137"/>
      <c r="H32" s="137"/>
      <c r="I32" s="136"/>
    </row>
    <row r="33" spans="2:9" s="135" customFormat="1">
      <c r="B33" s="136"/>
      <c r="D33" s="137"/>
      <c r="E33" s="137"/>
      <c r="F33" s="137"/>
      <c r="G33" s="137"/>
      <c r="H33" s="137"/>
      <c r="I33" s="136"/>
    </row>
    <row r="34" spans="2:9" s="135" customFormat="1">
      <c r="B34" s="136"/>
      <c r="D34" s="137"/>
      <c r="E34" s="137"/>
      <c r="F34" s="137"/>
      <c r="G34" s="137"/>
      <c r="H34" s="137"/>
      <c r="I34" s="136"/>
    </row>
    <row r="35" spans="2:9" s="135" customFormat="1">
      <c r="B35" s="136"/>
      <c r="D35" s="137"/>
      <c r="E35" s="137"/>
      <c r="F35" s="137"/>
      <c r="G35" s="137"/>
      <c r="H35" s="137"/>
      <c r="I35" s="136"/>
    </row>
    <row r="36" spans="2:9" s="135" customFormat="1">
      <c r="B36" s="136"/>
      <c r="D36" s="137"/>
      <c r="E36" s="137"/>
      <c r="F36" s="137"/>
      <c r="G36" s="137"/>
      <c r="H36" s="137"/>
      <c r="I36" s="136"/>
    </row>
    <row r="40" spans="2:9" ht="12" customHeight="1"/>
  </sheetData>
  <mergeCells count="10">
    <mergeCell ref="C32:D32"/>
    <mergeCell ref="C31:D31"/>
    <mergeCell ref="F31:G31"/>
    <mergeCell ref="A9:B11"/>
    <mergeCell ref="A4:H4"/>
    <mergeCell ref="A5:H5"/>
    <mergeCell ref="E9:G9"/>
    <mergeCell ref="A22:B22"/>
    <mergeCell ref="C30:D30"/>
    <mergeCell ref="F30:G30"/>
  </mergeCells>
  <pageMargins left="0.5" right="0" top="0.25" bottom="0" header="0.5" footer="0"/>
  <pageSetup paperSize="5" orientation="portrait"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K328"/>
  <sheetViews>
    <sheetView showGridLines="0" showOutlineSymbols="0" zoomScale="115" zoomScaleNormal="115" workbookViewId="0">
      <selection activeCell="C8" sqref="C8"/>
    </sheetView>
  </sheetViews>
  <sheetFormatPr defaultColWidth="12.5703125" defaultRowHeight="12.75" outlineLevelRow="2" outlineLevelCol="2"/>
  <cols>
    <col min="1" max="1" width="6.42578125" style="1" customWidth="1"/>
    <col min="2" max="2" width="7.42578125" style="1" customWidth="1"/>
    <col min="3" max="3" width="28.85546875" style="1" customWidth="1"/>
    <col min="4" max="4" width="30" style="1" customWidth="1"/>
    <col min="5" max="5" width="10.7109375" style="1" customWidth="1"/>
    <col min="6" max="6" width="15.7109375" style="1" customWidth="1" outlineLevel="1"/>
    <col min="7" max="7" width="8.28515625" style="1" customWidth="1" outlineLevel="1"/>
    <col min="8" max="8" width="15.7109375" style="1" customWidth="1" outlineLevel="1"/>
    <col min="9" max="9" width="14" style="1" hidden="1" customWidth="1" outlineLevel="1"/>
    <col min="10" max="10" width="9.42578125" style="1" customWidth="1" outlineLevel="1"/>
    <col min="11" max="11" width="7.42578125" style="3" hidden="1" customWidth="1" outlineLevel="1"/>
    <col min="12" max="12" width="13.42578125" style="3" hidden="1" customWidth="1" outlineLevel="1"/>
    <col min="13" max="13" width="10.85546875" style="1" hidden="1" customWidth="1"/>
    <col min="14" max="14" width="10.7109375" style="1" hidden="1" customWidth="1"/>
    <col min="15" max="15" width="2.42578125" style="1" hidden="1" customWidth="1"/>
    <col min="16" max="16" width="11" style="1" hidden="1" customWidth="1"/>
    <col min="17" max="17" width="8.5703125" style="1" hidden="1" customWidth="1"/>
    <col min="18" max="30" width="0" style="1" hidden="1" customWidth="1"/>
    <col min="31" max="102" width="12.5703125" style="1"/>
    <col min="103" max="106" width="12.5703125" style="1" outlineLevel="1"/>
    <col min="107" max="112" width="12.5703125" style="1" outlineLevel="2"/>
    <col min="113" max="115" width="12.5703125" style="1" outlineLevel="1"/>
    <col min="116" max="16384" width="12.5703125" style="1"/>
  </cols>
  <sheetData>
    <row r="1" spans="1:17">
      <c r="H1" s="133" t="s">
        <v>355</v>
      </c>
    </row>
    <row r="2" spans="1:17" ht="12.75" customHeight="1">
      <c r="H2" s="132" t="s">
        <v>625</v>
      </c>
    </row>
    <row r="3" spans="1:17" ht="18" customHeight="1">
      <c r="A3" s="4615" t="s">
        <v>353</v>
      </c>
      <c r="B3" s="4615"/>
      <c r="C3" s="4615"/>
      <c r="D3" s="4615"/>
      <c r="E3" s="4615"/>
      <c r="F3" s="4615"/>
      <c r="G3" s="4615"/>
      <c r="H3" s="4615"/>
      <c r="I3" s="4615"/>
      <c r="J3" s="1703"/>
      <c r="K3" s="131"/>
      <c r="L3" s="131"/>
    </row>
    <row r="4" spans="1:17" s="3" customFormat="1" ht="16.5" customHeight="1">
      <c r="A4" s="4616" t="s">
        <v>352</v>
      </c>
      <c r="B4" s="4616"/>
      <c r="C4" s="4616"/>
      <c r="D4" s="4616"/>
      <c r="E4" s="4616"/>
      <c r="F4" s="4616"/>
      <c r="G4" s="4616"/>
      <c r="H4" s="4616"/>
      <c r="I4" s="4616"/>
      <c r="J4" s="130"/>
      <c r="K4" s="130"/>
      <c r="L4" s="130"/>
    </row>
    <row r="5" spans="1:17" ht="13.5" customHeight="1">
      <c r="A5" s="4617" t="s">
        <v>351</v>
      </c>
      <c r="B5" s="4617"/>
      <c r="C5" s="4617"/>
      <c r="D5" s="4617"/>
      <c r="E5" s="4617"/>
      <c r="F5" s="4617"/>
      <c r="G5" s="4617"/>
      <c r="H5" s="4617"/>
      <c r="I5" s="4617"/>
      <c r="J5" s="934"/>
      <c r="K5" s="129"/>
      <c r="L5" s="129"/>
    </row>
    <row r="6" spans="1:17" ht="13.9" customHeight="1">
      <c r="A6" s="332" t="s">
        <v>624</v>
      </c>
      <c r="B6" s="430" t="s">
        <v>1381</v>
      </c>
      <c r="D6" s="279"/>
      <c r="I6" s="332"/>
      <c r="J6" s="332"/>
      <c r="K6" s="126"/>
      <c r="L6" s="126"/>
    </row>
    <row r="7" spans="1:17" ht="13.9" customHeight="1">
      <c r="A7" s="332"/>
      <c r="D7" s="279"/>
      <c r="G7" s="4618"/>
      <c r="H7" s="4618"/>
      <c r="I7" s="332"/>
      <c r="J7" s="332"/>
      <c r="K7" s="4618" t="s">
        <v>457</v>
      </c>
      <c r="L7" s="4618"/>
    </row>
    <row r="8" spans="1:17" ht="13.5" customHeight="1">
      <c r="A8" s="123"/>
      <c r="B8" s="125"/>
      <c r="C8" s="124"/>
      <c r="D8" s="123"/>
      <c r="E8" s="4619" t="s">
        <v>348</v>
      </c>
      <c r="F8" s="4620"/>
      <c r="G8" s="4619" t="s">
        <v>347</v>
      </c>
      <c r="H8" s="4620"/>
      <c r="I8" s="115"/>
      <c r="J8" s="115"/>
      <c r="K8" s="4607" t="s">
        <v>347</v>
      </c>
      <c r="L8" s="4608"/>
    </row>
    <row r="9" spans="1:17" ht="13.5" customHeight="1">
      <c r="A9" s="122"/>
      <c r="B9" s="121"/>
      <c r="C9" s="120"/>
      <c r="D9" s="119"/>
      <c r="E9" s="4604" t="s">
        <v>346</v>
      </c>
      <c r="F9" s="4605"/>
      <c r="G9" s="4604" t="s">
        <v>345</v>
      </c>
      <c r="H9" s="4605"/>
      <c r="I9" s="114"/>
      <c r="J9" s="114"/>
      <c r="K9" s="4609" t="s">
        <v>345</v>
      </c>
      <c r="L9" s="4610"/>
    </row>
    <row r="10" spans="1:17" ht="13.5" customHeight="1">
      <c r="A10" s="122"/>
      <c r="B10" s="121"/>
      <c r="C10" s="120"/>
      <c r="D10" s="119"/>
      <c r="E10" s="4604" t="s">
        <v>344</v>
      </c>
      <c r="F10" s="4605"/>
      <c r="G10" s="4604" t="s">
        <v>344</v>
      </c>
      <c r="H10" s="4605"/>
      <c r="I10" s="114"/>
      <c r="J10" s="114"/>
      <c r="K10" s="4609" t="s">
        <v>344</v>
      </c>
      <c r="L10" s="4610"/>
    </row>
    <row r="11" spans="1:17" ht="13.5" customHeight="1">
      <c r="A11" s="4604" t="s">
        <v>343</v>
      </c>
      <c r="B11" s="4605"/>
      <c r="C11" s="114" t="s">
        <v>342</v>
      </c>
      <c r="D11" s="112" t="s">
        <v>341</v>
      </c>
      <c r="E11" s="113" t="s">
        <v>339</v>
      </c>
      <c r="F11" s="118"/>
      <c r="G11" s="113" t="s">
        <v>339</v>
      </c>
      <c r="H11" s="118"/>
      <c r="I11" s="114" t="s">
        <v>340</v>
      </c>
      <c r="J11" s="114" t="s">
        <v>1380</v>
      </c>
      <c r="K11" s="110" t="s">
        <v>339</v>
      </c>
      <c r="L11" s="117"/>
      <c r="M11" s="4612" t="s">
        <v>338</v>
      </c>
      <c r="N11" s="4613"/>
      <c r="P11" s="4612" t="s">
        <v>338</v>
      </c>
      <c r="Q11" s="4613"/>
    </row>
    <row r="12" spans="1:17" ht="14.25" customHeight="1">
      <c r="A12" s="116" t="s">
        <v>337</v>
      </c>
      <c r="B12" s="115" t="s">
        <v>336</v>
      </c>
      <c r="C12" s="114"/>
      <c r="D12" s="112"/>
      <c r="E12" s="113" t="s">
        <v>334</v>
      </c>
      <c r="F12" s="112" t="s">
        <v>333</v>
      </c>
      <c r="G12" s="113" t="s">
        <v>334</v>
      </c>
      <c r="H12" s="112" t="s">
        <v>333</v>
      </c>
      <c r="I12" s="111" t="s">
        <v>335</v>
      </c>
      <c r="J12" s="111" t="s">
        <v>1379</v>
      </c>
      <c r="K12" s="110" t="s">
        <v>334</v>
      </c>
      <c r="L12" s="109" t="s">
        <v>333</v>
      </c>
      <c r="M12" s="4611" t="s">
        <v>332</v>
      </c>
      <c r="N12" s="4611"/>
      <c r="P12" s="4611" t="s">
        <v>457</v>
      </c>
      <c r="Q12" s="4611"/>
    </row>
    <row r="13" spans="1:17" s="99" customFormat="1" ht="14.25" customHeight="1">
      <c r="A13" s="107" t="s">
        <v>331</v>
      </c>
      <c r="B13" s="106" t="s">
        <v>330</v>
      </c>
      <c r="C13" s="106" t="s">
        <v>329</v>
      </c>
      <c r="D13" s="105" t="s">
        <v>328</v>
      </c>
      <c r="E13" s="105" t="s">
        <v>327</v>
      </c>
      <c r="F13" s="106" t="s">
        <v>326</v>
      </c>
      <c r="G13" s="105" t="s">
        <v>324</v>
      </c>
      <c r="H13" s="329" t="s">
        <v>323</v>
      </c>
      <c r="I13" s="105" t="s">
        <v>325</v>
      </c>
      <c r="J13" s="106"/>
      <c r="K13" s="104" t="s">
        <v>324</v>
      </c>
      <c r="L13" s="103" t="s">
        <v>323</v>
      </c>
      <c r="M13" s="101" t="s">
        <v>322</v>
      </c>
      <c r="N13" s="100" t="s">
        <v>321</v>
      </c>
      <c r="P13" s="101" t="s">
        <v>322</v>
      </c>
      <c r="Q13" s="100" t="s">
        <v>321</v>
      </c>
    </row>
    <row r="14" spans="1:17" s="3" customFormat="1" ht="13.15" customHeight="1" outlineLevel="1">
      <c r="A14" s="293" t="s">
        <v>320</v>
      </c>
      <c r="B14" s="293" t="s">
        <v>320</v>
      </c>
      <c r="C14" s="1679" t="s">
        <v>1378</v>
      </c>
      <c r="D14" s="1678" t="s">
        <v>1377</v>
      </c>
      <c r="E14" s="1683" t="s">
        <v>46</v>
      </c>
      <c r="F14" s="1680">
        <v>1145700</v>
      </c>
      <c r="G14" s="1683" t="s">
        <v>45</v>
      </c>
      <c r="H14" s="322">
        <f>IF(G14="ABOLISHED",0, (VLOOKUP(G14,$A$60:$B299,2,FALSE)*12))</f>
        <v>1164396</v>
      </c>
      <c r="I14" s="1677">
        <f>SUM(H14-F14)</f>
        <v>18696</v>
      </c>
      <c r="J14" s="1682">
        <f>H14-F14</f>
        <v>18696</v>
      </c>
      <c r="K14" s="1683" t="s">
        <v>45</v>
      </c>
      <c r="L14" s="1680">
        <f>IF(K14="ABOLISHED",0, (VLOOKUP(K14,$A$54:$C294,3,FALSE)*12))</f>
        <v>1164396</v>
      </c>
      <c r="M14" s="3">
        <f>SUM(H14/12)</f>
        <v>97033</v>
      </c>
      <c r="N14" s="80">
        <f>IF(M14&gt;=80000,1600,SUM(M14*4%)/2)</f>
        <v>1600</v>
      </c>
      <c r="P14" s="3">
        <f>L14/12</f>
        <v>97033</v>
      </c>
      <c r="Q14" s="80">
        <f>IF(P14&gt;=80000,1600,SUM(P14*4%)/2)</f>
        <v>1600</v>
      </c>
    </row>
    <row r="15" spans="1:17" s="3" customFormat="1" ht="13.15" customHeight="1" outlineLevel="1">
      <c r="A15" s="307"/>
      <c r="B15" s="307"/>
      <c r="C15" s="1691" t="s">
        <v>1376</v>
      </c>
      <c r="D15" s="1687"/>
      <c r="E15" s="1686"/>
      <c r="F15" s="67" t="s">
        <v>1362</v>
      </c>
      <c r="G15" s="1686"/>
      <c r="H15" s="67" t="s">
        <v>1362</v>
      </c>
      <c r="I15" s="1677"/>
      <c r="J15" s="1682"/>
      <c r="K15" s="1686"/>
      <c r="L15" s="67"/>
      <c r="N15" s="80"/>
      <c r="Q15" s="80"/>
    </row>
    <row r="16" spans="1:17" s="3" customFormat="1" ht="13.15" customHeight="1" outlineLevel="1">
      <c r="A16" s="307"/>
      <c r="B16" s="307"/>
      <c r="C16" s="1691" t="s">
        <v>1375</v>
      </c>
      <c r="D16" s="1687"/>
      <c r="E16" s="1686"/>
      <c r="F16" s="67" t="s">
        <v>256</v>
      </c>
      <c r="G16" s="1686"/>
      <c r="H16" s="67" t="s">
        <v>256</v>
      </c>
      <c r="I16" s="1677"/>
      <c r="J16" s="1682"/>
      <c r="K16" s="1686"/>
      <c r="L16" s="67"/>
      <c r="N16" s="80"/>
      <c r="Q16" s="80"/>
    </row>
    <row r="17" spans="1:17" s="3" customFormat="1" ht="13.15" customHeight="1" outlineLevel="1">
      <c r="A17" s="293" t="s">
        <v>314</v>
      </c>
      <c r="B17" s="293" t="s">
        <v>314</v>
      </c>
      <c r="C17" s="1679" t="s">
        <v>1361</v>
      </c>
      <c r="D17" s="1678" t="s">
        <v>1374</v>
      </c>
      <c r="E17" s="1702" t="s">
        <v>100</v>
      </c>
      <c r="F17" s="1680">
        <v>515388</v>
      </c>
      <c r="G17" s="1702" t="s">
        <v>99</v>
      </c>
      <c r="H17" s="67">
        <f>IF(G17="ABOLISHED",0, (VLOOKUP(G17,$A$60:$C302,2,FALSE)*12))</f>
        <v>521340</v>
      </c>
      <c r="I17" s="1677">
        <f>SUM(H17-F17)</f>
        <v>5952</v>
      </c>
      <c r="J17" s="1682">
        <f>H17-F17</f>
        <v>5952</v>
      </c>
      <c r="K17" s="1702" t="s">
        <v>99</v>
      </c>
      <c r="L17" s="1680">
        <f>IF(K17="ABOLISHED",0, (VLOOKUP(K17,$A$54:$C297,3,FALSE)*12))</f>
        <v>521340</v>
      </c>
      <c r="M17" s="3">
        <f>SUM(H17/12)</f>
        <v>43445</v>
      </c>
      <c r="N17" s="80">
        <f>IF(M17&gt;=80000,1600,SUM(M17*4%)/2)</f>
        <v>868.9</v>
      </c>
      <c r="P17" s="3">
        <f>L17/12</f>
        <v>43445</v>
      </c>
      <c r="Q17" s="80">
        <f>IF(P17&gt;=80000,1600,SUM(P17*4%)/2)</f>
        <v>868.9</v>
      </c>
    </row>
    <row r="18" spans="1:17" s="3" customFormat="1" ht="13.15" customHeight="1" outlineLevel="1">
      <c r="A18" s="307"/>
      <c r="B18" s="307"/>
      <c r="C18" s="1688" t="s">
        <v>1373</v>
      </c>
      <c r="D18" s="1687"/>
      <c r="E18" s="1686"/>
      <c r="F18" s="67" t="s">
        <v>256</v>
      </c>
      <c r="G18" s="1686"/>
      <c r="H18" s="67" t="s">
        <v>256</v>
      </c>
      <c r="I18" s="1677"/>
      <c r="J18" s="1682"/>
      <c r="K18" s="1686"/>
      <c r="L18" s="67"/>
      <c r="N18" s="80"/>
      <c r="Q18" s="80"/>
    </row>
    <row r="19" spans="1:17" s="3" customFormat="1" ht="13.15" customHeight="1" outlineLevel="1">
      <c r="A19" s="293" t="s">
        <v>311</v>
      </c>
      <c r="B19" s="293" t="s">
        <v>311</v>
      </c>
      <c r="C19" s="1679" t="s">
        <v>1372</v>
      </c>
      <c r="D19" s="1678" t="s">
        <v>1371</v>
      </c>
      <c r="E19" s="1702" t="s">
        <v>132</v>
      </c>
      <c r="F19" s="1680">
        <v>363024</v>
      </c>
      <c r="G19" s="1702" t="s">
        <v>131</v>
      </c>
      <c r="H19" s="67">
        <f>IF(G19="ABOLISHED",0, (VLOOKUP(G19,$A$60:$C304,2,FALSE)*12))</f>
        <v>367080</v>
      </c>
      <c r="I19" s="1677">
        <f>SUM(H19-F19)</f>
        <v>4056</v>
      </c>
      <c r="J19" s="1682">
        <f>H19-F19</f>
        <v>4056</v>
      </c>
      <c r="K19" s="1702" t="s">
        <v>131</v>
      </c>
      <c r="L19" s="1680">
        <f>IF(K19="ABOLISHED",0, (VLOOKUP(K19,$A$54:$C299,3,FALSE)*12))</f>
        <v>367080</v>
      </c>
      <c r="M19" s="3">
        <f>SUM(H19/12)</f>
        <v>30590</v>
      </c>
      <c r="N19" s="80">
        <f>IF(M19&gt;=80000,1600,SUM(M19*4%)/2)</f>
        <v>611.80000000000007</v>
      </c>
      <c r="P19" s="3">
        <f>L19/12</f>
        <v>30590</v>
      </c>
      <c r="Q19" s="80">
        <f>IF(P19&gt;=80000,1600,SUM(P19*4%)/2)</f>
        <v>611.80000000000007</v>
      </c>
    </row>
    <row r="20" spans="1:17" s="3" customFormat="1" ht="13.15" customHeight="1" outlineLevel="1">
      <c r="A20" s="307"/>
      <c r="B20" s="307"/>
      <c r="C20" s="1688" t="s">
        <v>1370</v>
      </c>
      <c r="D20" s="1687"/>
      <c r="E20" s="1686"/>
      <c r="F20" s="67" t="s">
        <v>256</v>
      </c>
      <c r="G20" s="1686"/>
      <c r="H20" s="67" t="s">
        <v>256</v>
      </c>
      <c r="I20" s="1677"/>
      <c r="J20" s="1682"/>
      <c r="K20" s="1686"/>
      <c r="L20" s="67"/>
      <c r="N20" s="80"/>
      <c r="Q20" s="80"/>
    </row>
    <row r="21" spans="1:17" s="3" customFormat="1" ht="13.15" customHeight="1" outlineLevel="1">
      <c r="A21" s="293" t="s">
        <v>307</v>
      </c>
      <c r="B21" s="293" t="s">
        <v>307</v>
      </c>
      <c r="C21" s="1679" t="s">
        <v>606</v>
      </c>
      <c r="D21" s="1678" t="s">
        <v>1369</v>
      </c>
      <c r="E21" s="1690" t="s">
        <v>166</v>
      </c>
      <c r="F21" s="1680">
        <v>243756</v>
      </c>
      <c r="G21" s="1690" t="s">
        <v>166</v>
      </c>
      <c r="H21" s="67">
        <f>IF(G21="ABOLISHED",0, (VLOOKUP(G21,$A$60:$C306,2,FALSE)*12))</f>
        <v>243756</v>
      </c>
      <c r="I21" s="1677">
        <f>SUM(H21-F21)</f>
        <v>0</v>
      </c>
      <c r="J21" s="1682">
        <f>H21-F21</f>
        <v>0</v>
      </c>
      <c r="K21" s="1690" t="s">
        <v>166</v>
      </c>
      <c r="L21" s="1680">
        <f>IF(K21="ABOLISHED",0, (VLOOKUP(K21,$A$54:$C301,3,FALSE)*12))</f>
        <v>243756</v>
      </c>
      <c r="M21" s="3">
        <f>SUM(H21/12)</f>
        <v>20313</v>
      </c>
      <c r="N21" s="80">
        <f>IF(M21&gt;=80000,1600,SUM(M21*4%)/2)</f>
        <v>406.26</v>
      </c>
      <c r="P21" s="3">
        <f>L21/12</f>
        <v>20313</v>
      </c>
      <c r="Q21" s="80">
        <f>IF(P21&gt;=80000,1600,SUM(P21*4%)/2)</f>
        <v>406.26</v>
      </c>
    </row>
    <row r="22" spans="1:17" s="3" customFormat="1" ht="13.15" customHeight="1" outlineLevel="1">
      <c r="A22" s="307"/>
      <c r="B22" s="307"/>
      <c r="C22" s="1688" t="s">
        <v>1368</v>
      </c>
      <c r="D22" s="1678"/>
      <c r="E22" s="1683"/>
      <c r="F22" s="67" t="s">
        <v>256</v>
      </c>
      <c r="G22" s="1683"/>
      <c r="H22" s="67" t="s">
        <v>256</v>
      </c>
      <c r="I22" s="1677"/>
      <c r="J22" s="1682"/>
      <c r="K22" s="1683"/>
      <c r="L22" s="67"/>
      <c r="N22" s="80"/>
      <c r="Q22" s="80"/>
    </row>
    <row r="23" spans="1:17" s="3" customFormat="1" ht="13.15" customHeight="1" outlineLevel="1">
      <c r="A23" s="293" t="s">
        <v>304</v>
      </c>
      <c r="B23" s="293" t="s">
        <v>304</v>
      </c>
      <c r="C23" s="1679" t="s">
        <v>1367</v>
      </c>
      <c r="D23" s="1678" t="s">
        <v>1366</v>
      </c>
      <c r="E23" s="1690" t="s">
        <v>196</v>
      </c>
      <c r="F23" s="1680">
        <v>188976</v>
      </c>
      <c r="G23" s="1690" t="s">
        <v>196</v>
      </c>
      <c r="H23" s="67">
        <f>IF(G23="ABOLISHED",0, (VLOOKUP(G23,$A$60:$C308,2,FALSE)*12))</f>
        <v>188976</v>
      </c>
      <c r="I23" s="1677">
        <f>SUM(H23-F23)</f>
        <v>0</v>
      </c>
      <c r="J23" s="1682">
        <f>H23-F23</f>
        <v>0</v>
      </c>
      <c r="K23" s="1690" t="s">
        <v>196</v>
      </c>
      <c r="L23" s="1680">
        <f>IF(K23="ABOLISHED",0, (VLOOKUP(K23,$A$54:$C303,3,FALSE)*12))</f>
        <v>188976</v>
      </c>
      <c r="M23" s="3">
        <f>SUM(H23/12)</f>
        <v>15748</v>
      </c>
      <c r="N23" s="80">
        <f>IF(M23&gt;=80000,1600,SUM(M23*4%)/2)</f>
        <v>314.95999999999998</v>
      </c>
      <c r="P23" s="3">
        <f>L23/12</f>
        <v>15748</v>
      </c>
      <c r="Q23" s="80">
        <f>IF(P23&gt;=80000,1600,SUM(P23*4%)/2)</f>
        <v>314.95999999999998</v>
      </c>
    </row>
    <row r="24" spans="1:17" s="3" customFormat="1" ht="13.15" customHeight="1" outlineLevel="1">
      <c r="A24" s="293" t="s">
        <v>308</v>
      </c>
      <c r="B24" s="293" t="s">
        <v>308</v>
      </c>
      <c r="C24" s="1679" t="s">
        <v>1344</v>
      </c>
      <c r="D24" s="1678" t="s">
        <v>245</v>
      </c>
      <c r="E24" s="1690"/>
      <c r="F24" s="1680"/>
      <c r="G24" s="1690" t="s">
        <v>207</v>
      </c>
      <c r="H24" s="67">
        <f>IF(G24="ABOLISHED",0, (VLOOKUP(G24,$A$60:$C308,2,FALSE)*12))</f>
        <v>174132</v>
      </c>
      <c r="I24" s="1677">
        <f>SUM(H24-F24)</f>
        <v>174132</v>
      </c>
      <c r="J24" s="1682">
        <f>H24-F24</f>
        <v>174132</v>
      </c>
      <c r="K24" s="1690" t="s">
        <v>207</v>
      </c>
      <c r="L24" s="1680">
        <f>IF(K24="ABOLISHED",0, (VLOOKUP(K24,$A$54:$C303,3,FALSE)*12))</f>
        <v>174132</v>
      </c>
      <c r="M24" s="3">
        <f>SUM(H24/12)</f>
        <v>14511</v>
      </c>
      <c r="N24" s="80">
        <f>IF(M24&gt;=80000,1600,SUM(M24*4%)/2)</f>
        <v>290.22000000000003</v>
      </c>
      <c r="P24" s="3">
        <f>L24/12</f>
        <v>14511</v>
      </c>
      <c r="Q24" s="80">
        <f>IF(P24&gt;=80000,1600,SUM(P24*4%)/2)</f>
        <v>290.22000000000003</v>
      </c>
    </row>
    <row r="25" spans="1:17" s="3" customFormat="1" ht="13.15" customHeight="1" outlineLevel="1">
      <c r="A25" s="293" t="s">
        <v>308</v>
      </c>
      <c r="B25" s="293" t="s">
        <v>294</v>
      </c>
      <c r="C25" s="1679" t="s">
        <v>1344</v>
      </c>
      <c r="D25" s="1678" t="s">
        <v>1365</v>
      </c>
      <c r="E25" s="1690" t="s">
        <v>222</v>
      </c>
      <c r="F25" s="1680">
        <v>155916</v>
      </c>
      <c r="G25" s="1690" t="s">
        <v>222</v>
      </c>
      <c r="H25" s="67">
        <f>IF(G25="ABOLISHED",0, (VLOOKUP(G25,$A$60:$C309,2,FALSE)*12))</f>
        <v>155916</v>
      </c>
      <c r="I25" s="1677">
        <f>SUM(H25-F25)</f>
        <v>0</v>
      </c>
      <c r="J25" s="1682">
        <f>H25-F25</f>
        <v>0</v>
      </c>
      <c r="K25" s="1690" t="s">
        <v>222</v>
      </c>
      <c r="L25" s="1680">
        <f>IF(K25="ABOLISHED",0, (VLOOKUP(K25,$A$54:$C304,3,FALSE)*12))</f>
        <v>155916</v>
      </c>
      <c r="M25" s="3">
        <f>SUM(H25/12)</f>
        <v>12993</v>
      </c>
      <c r="N25" s="80">
        <f>IF(M25&gt;=80000,1600,SUM(M25*4%)/2)</f>
        <v>259.86</v>
      </c>
      <c r="P25" s="3">
        <f>L25/12</f>
        <v>12993</v>
      </c>
      <c r="Q25" s="80">
        <f>IF(P25&gt;=80000,1600,SUM(P25*4%)/2)</f>
        <v>259.86</v>
      </c>
    </row>
    <row r="26" spans="1:17" s="3" customFormat="1" ht="13.15" customHeight="1" outlineLevel="1">
      <c r="A26" s="307"/>
      <c r="B26" s="307"/>
      <c r="C26" s="1691" t="s">
        <v>1364</v>
      </c>
      <c r="D26" s="1687"/>
      <c r="E26" s="1686"/>
      <c r="F26" s="67" t="s">
        <v>256</v>
      </c>
      <c r="G26" s="1686"/>
      <c r="H26" s="67" t="s">
        <v>256</v>
      </c>
      <c r="I26" s="1677"/>
      <c r="J26" s="1682"/>
      <c r="K26" s="1686"/>
      <c r="L26" s="67"/>
      <c r="N26" s="80"/>
      <c r="Q26" s="80"/>
    </row>
    <row r="27" spans="1:17" s="3" customFormat="1" ht="13.15" customHeight="1" outlineLevel="1">
      <c r="A27" s="307"/>
      <c r="B27" s="307"/>
      <c r="C27" s="1691" t="s">
        <v>1363</v>
      </c>
      <c r="D27" s="1687"/>
      <c r="E27" s="1686"/>
      <c r="F27" s="67" t="s">
        <v>1362</v>
      </c>
      <c r="G27" s="1686"/>
      <c r="H27" s="67" t="s">
        <v>1362</v>
      </c>
      <c r="I27" s="1677"/>
      <c r="J27" s="1682"/>
      <c r="K27" s="1686"/>
      <c r="L27" s="67"/>
      <c r="N27" s="80"/>
      <c r="Q27" s="80"/>
    </row>
    <row r="28" spans="1:17" s="3" customFormat="1" ht="13.15" customHeight="1" outlineLevel="1">
      <c r="A28" s="293" t="s">
        <v>294</v>
      </c>
      <c r="B28" s="293" t="s">
        <v>301</v>
      </c>
      <c r="C28" s="1679" t="s">
        <v>1361</v>
      </c>
      <c r="D28" s="1678" t="s">
        <v>245</v>
      </c>
      <c r="E28" s="1675"/>
      <c r="F28" s="1680"/>
      <c r="G28" s="1675" t="s">
        <v>103</v>
      </c>
      <c r="H28" s="67">
        <f>IF(G28="ABOLISHED",0, (VLOOKUP(G28,$A$60:$C311,2,FALSE)*12))</f>
        <v>497964</v>
      </c>
      <c r="I28" s="1677">
        <f>SUM(H28-F28)</f>
        <v>497964</v>
      </c>
      <c r="J28" s="1682">
        <f>H28-F28</f>
        <v>497964</v>
      </c>
      <c r="K28" s="1675" t="s">
        <v>103</v>
      </c>
      <c r="L28" s="1680">
        <f>IF(K28="ABOLISHED",0, (VLOOKUP(K28,$A$54:$C306,3,FALSE)*12))</f>
        <v>497964</v>
      </c>
      <c r="M28" s="3">
        <f>SUM(H28/12)</f>
        <v>41497</v>
      </c>
      <c r="N28" s="80">
        <f>IF(M28&gt;=80000,1600,SUM(M28*4%)/2)</f>
        <v>829.94</v>
      </c>
      <c r="P28" s="3">
        <f>L28/12</f>
        <v>41497</v>
      </c>
      <c r="Q28" s="80">
        <f>IF(P28&gt;=80000,1600,SUM(P28*4%)/2)</f>
        <v>829.94</v>
      </c>
    </row>
    <row r="29" spans="1:17" s="3" customFormat="1" ht="13.15" customHeight="1" outlineLevel="1">
      <c r="A29" s="293" t="s">
        <v>294</v>
      </c>
      <c r="B29" s="293" t="s">
        <v>297</v>
      </c>
      <c r="C29" s="1679" t="s">
        <v>1360</v>
      </c>
      <c r="D29" s="1678" t="s">
        <v>1359</v>
      </c>
      <c r="E29" s="1675" t="s">
        <v>126</v>
      </c>
      <c r="F29" s="1680">
        <v>387060</v>
      </c>
      <c r="G29" s="1675" t="s">
        <v>125</v>
      </c>
      <c r="H29" s="67">
        <f>IF(G29="ABOLISHED",0, (VLOOKUP(G29,$A$60:$C312,2,FALSE)*12))</f>
        <v>391428</v>
      </c>
      <c r="I29" s="1677">
        <f>SUM(H29-F29)</f>
        <v>4368</v>
      </c>
      <c r="J29" s="1682">
        <f>H29-F29</f>
        <v>4368</v>
      </c>
      <c r="K29" s="1675" t="s">
        <v>125</v>
      </c>
      <c r="L29" s="1680">
        <f>IF(K29="ABOLISHED",0, (VLOOKUP(K29,$A$54:$C307,3,FALSE)*12))</f>
        <v>391428</v>
      </c>
      <c r="M29" s="3">
        <f>SUM(H29/12)</f>
        <v>32619</v>
      </c>
      <c r="N29" s="80">
        <f>IF(M29&gt;=80000,1600,SUM(M29*4%)/2)</f>
        <v>652.38</v>
      </c>
      <c r="P29" s="3">
        <f>L29/12</f>
        <v>32619</v>
      </c>
      <c r="Q29" s="80">
        <f>IF(P29&gt;=80000,1600,SUM(P29*4%)/2)</f>
        <v>652.38</v>
      </c>
    </row>
    <row r="30" spans="1:17" s="3" customFormat="1" ht="13.15" customHeight="1" outlineLevel="1">
      <c r="A30" s="293" t="s">
        <v>301</v>
      </c>
      <c r="B30" s="293" t="s">
        <v>290</v>
      </c>
      <c r="C30" s="1679" t="s">
        <v>1358</v>
      </c>
      <c r="D30" s="1678" t="s">
        <v>245</v>
      </c>
      <c r="E30" s="1675" t="s">
        <v>199</v>
      </c>
      <c r="F30" s="1680">
        <v>184680</v>
      </c>
      <c r="G30" s="1675" t="s">
        <v>199</v>
      </c>
      <c r="H30" s="67">
        <f>IF(G30="ABOLISHED",0, (VLOOKUP(G30,$A$60:$C313,2,FALSE)*12))</f>
        <v>184680</v>
      </c>
      <c r="I30" s="1677">
        <f>SUM(H30-F30)</f>
        <v>0</v>
      </c>
      <c r="J30" s="1682">
        <f>H30-F30</f>
        <v>0</v>
      </c>
      <c r="K30" s="1675" t="s">
        <v>199</v>
      </c>
      <c r="L30" s="1680">
        <f>IF(K30="ABOLISHED",0, (VLOOKUP(K30,$A$54:$C308,3,FALSE)*12))</f>
        <v>184680</v>
      </c>
      <c r="M30" s="3">
        <f>SUM(H30/12)</f>
        <v>15390</v>
      </c>
      <c r="N30" s="80">
        <f>IF(M30&gt;=80000,1600,SUM(M30*4%)/2)</f>
        <v>307.8</v>
      </c>
      <c r="P30" s="3">
        <f>L30/12</f>
        <v>15390</v>
      </c>
      <c r="Q30" s="80">
        <f>IF(P30&gt;=80000,1600,SUM(P30*4%)/2)</f>
        <v>307.8</v>
      </c>
    </row>
    <row r="31" spans="1:17" s="3" customFormat="1" ht="13.15" customHeight="1" outlineLevel="1">
      <c r="A31" s="84"/>
      <c r="B31" s="84"/>
      <c r="C31" s="1701" t="s">
        <v>1357</v>
      </c>
      <c r="D31" s="1697"/>
      <c r="E31" s="1698"/>
      <c r="F31" s="67" t="s">
        <v>256</v>
      </c>
      <c r="G31" s="1698"/>
      <c r="H31" s="67" t="s">
        <v>256</v>
      </c>
      <c r="I31" s="1693"/>
      <c r="J31" s="1700"/>
      <c r="K31" s="1698"/>
      <c r="L31" s="67"/>
      <c r="N31" s="80"/>
      <c r="Q31" s="80"/>
    </row>
    <row r="32" spans="1:17" s="3" customFormat="1" ht="13.15" customHeight="1" outlineLevel="1">
      <c r="A32" s="293" t="s">
        <v>297</v>
      </c>
      <c r="B32" s="293" t="s">
        <v>286</v>
      </c>
      <c r="C32" s="1679" t="s">
        <v>1355</v>
      </c>
      <c r="D32" s="1699" t="s">
        <v>1356</v>
      </c>
      <c r="E32" s="1683" t="s">
        <v>181</v>
      </c>
      <c r="F32" s="1680">
        <v>211848</v>
      </c>
      <c r="G32" s="1683" t="s">
        <v>181</v>
      </c>
      <c r="H32" s="67">
        <f>IF(G32="ABOLISHED",0, (VLOOKUP(G32,$A$60:$C315,2,FALSE)*12))</f>
        <v>211848</v>
      </c>
      <c r="I32" s="1677">
        <f>SUM(H32-F32)</f>
        <v>0</v>
      </c>
      <c r="J32" s="1682">
        <f>H32-F32</f>
        <v>0</v>
      </c>
      <c r="K32" s="1683" t="s">
        <v>181</v>
      </c>
      <c r="L32" s="1680">
        <f>IF(K32="ABOLISHED",0, (VLOOKUP(K32,$A$54:$C310,3,FALSE)*12))</f>
        <v>211848</v>
      </c>
      <c r="M32" s="3">
        <f>SUM(H32/12)</f>
        <v>17654</v>
      </c>
      <c r="N32" s="80">
        <f>IF(M32&gt;=80000,1600,SUM(M32*4%)/2)</f>
        <v>353.08</v>
      </c>
      <c r="P32" s="3">
        <f>L32/12</f>
        <v>17654</v>
      </c>
      <c r="Q32" s="80">
        <f>IF(P32&gt;=80000,1600,SUM(P32*4%)/2)</f>
        <v>353.08</v>
      </c>
    </row>
    <row r="33" spans="1:19" s="3" customFormat="1" ht="13.15" customHeight="1" outlineLevel="1">
      <c r="A33" s="65" t="s">
        <v>280</v>
      </c>
      <c r="B33" s="65" t="s">
        <v>283</v>
      </c>
      <c r="C33" s="1695" t="s">
        <v>1355</v>
      </c>
      <c r="D33" s="1697" t="s">
        <v>1354</v>
      </c>
      <c r="E33" s="1698" t="s">
        <v>183</v>
      </c>
      <c r="F33" s="1680">
        <v>208056</v>
      </c>
      <c r="G33" s="1698" t="s">
        <v>183</v>
      </c>
      <c r="H33" s="74">
        <f>IF(G33="ABOLISHED",0, (VLOOKUP(G33,$A$60:$C315,2,FALSE)*12))</f>
        <v>208056</v>
      </c>
      <c r="I33" s="1693">
        <f>SUM(H33-F33)</f>
        <v>0</v>
      </c>
      <c r="J33" s="1682">
        <f>H33-F33</f>
        <v>0</v>
      </c>
      <c r="K33" s="1698" t="s">
        <v>183</v>
      </c>
      <c r="L33" s="1680">
        <f>IF(K33="ABOLISHED",0, (VLOOKUP(K33,$A$54:$C311,3,FALSE)*12))</f>
        <v>208056</v>
      </c>
      <c r="M33" s="3">
        <f>SUM(H33/12)</f>
        <v>17338</v>
      </c>
      <c r="N33" s="80">
        <f>IF(M33&gt;=80000,1600,SUM(M33*4%)/2)</f>
        <v>346.76</v>
      </c>
      <c r="P33" s="3">
        <f>L33/12</f>
        <v>17338</v>
      </c>
      <c r="Q33" s="80">
        <f>IF(P33&gt;=80000,1600,SUM(P33*4%)/2)</f>
        <v>346.76</v>
      </c>
    </row>
    <row r="34" spans="1:19" s="3" customFormat="1" ht="13.15" customHeight="1" outlineLevel="1">
      <c r="A34" s="65" t="s">
        <v>290</v>
      </c>
      <c r="B34" s="65" t="s">
        <v>280</v>
      </c>
      <c r="C34" s="1695" t="s">
        <v>1353</v>
      </c>
      <c r="D34" s="1697" t="s">
        <v>245</v>
      </c>
      <c r="E34" s="1696" t="s">
        <v>214</v>
      </c>
      <c r="F34" s="1680">
        <v>165420</v>
      </c>
      <c r="G34" s="1696" t="s">
        <v>215</v>
      </c>
      <c r="H34" s="74">
        <f>IF(G34="ABOLISHED",0, (VLOOKUP(G34,$A$60:$C316,2,FALSE)*12))</f>
        <v>164160</v>
      </c>
      <c r="I34" s="1693">
        <f>SUM(H34-F34)</f>
        <v>-1260</v>
      </c>
      <c r="J34" s="1682">
        <f>H34-F34</f>
        <v>-1260</v>
      </c>
      <c r="K34" s="1696" t="s">
        <v>215</v>
      </c>
      <c r="L34" s="1680">
        <f>IF(K34="ABOLISHED",0, (VLOOKUP(K34,$A$54:$C312,3,FALSE)*12))</f>
        <v>164160</v>
      </c>
      <c r="M34" s="3">
        <f>SUM(H34/12)</f>
        <v>13680</v>
      </c>
      <c r="N34" s="80">
        <f>IF(M34&gt;=80000,1600,SUM(M34*4%)/2)</f>
        <v>273.60000000000002</v>
      </c>
      <c r="P34" s="3">
        <f>L34/12</f>
        <v>13680</v>
      </c>
      <c r="Q34" s="80">
        <f>IF(P34&gt;=80000,1600,SUM(P34*4%)/2)</f>
        <v>273.60000000000002</v>
      </c>
    </row>
    <row r="35" spans="1:19" s="3" customFormat="1" ht="13.15" customHeight="1" outlineLevel="1">
      <c r="A35" s="65" t="s">
        <v>286</v>
      </c>
      <c r="B35" s="65" t="s">
        <v>278</v>
      </c>
      <c r="C35" s="1695" t="s">
        <v>1352</v>
      </c>
      <c r="D35" s="1694" t="s">
        <v>1351</v>
      </c>
      <c r="E35" s="1692" t="s">
        <v>190</v>
      </c>
      <c r="F35" s="1680">
        <v>197340</v>
      </c>
      <c r="G35" s="1692" t="s">
        <v>190</v>
      </c>
      <c r="H35" s="74">
        <f>IF(G35="ABOLISHED",0, (VLOOKUP(G35,$A$60:$C317,2,FALSE)*12))</f>
        <v>197340</v>
      </c>
      <c r="I35" s="1693">
        <f>SUM(H35-F35)</f>
        <v>0</v>
      </c>
      <c r="J35" s="1682">
        <f>H35-F35</f>
        <v>0</v>
      </c>
      <c r="K35" s="1692" t="s">
        <v>190</v>
      </c>
      <c r="L35" s="1680">
        <f>IF(K35="ABOLISHED",0, (VLOOKUP(K35,$A$54:$C313,3,FALSE)*12))</f>
        <v>197340</v>
      </c>
      <c r="M35" s="3">
        <f>SUM(H35/12)</f>
        <v>16445</v>
      </c>
      <c r="N35" s="80">
        <f>IF(M35&gt;=80000,1600,SUM(M35*4%)/2)</f>
        <v>328.90000000000003</v>
      </c>
      <c r="P35" s="3">
        <f>L35/12</f>
        <v>16445</v>
      </c>
      <c r="Q35" s="80">
        <f>IF(P35&gt;=80000,1600,SUM(P35*4%)/2)</f>
        <v>328.90000000000003</v>
      </c>
    </row>
    <row r="36" spans="1:19" s="3" customFormat="1" ht="13.15" customHeight="1" outlineLevel="1">
      <c r="A36" s="307"/>
      <c r="B36" s="307"/>
      <c r="C36" s="1691" t="s">
        <v>1350</v>
      </c>
      <c r="D36" s="1678"/>
      <c r="E36" s="1683"/>
      <c r="F36" s="67" t="s">
        <v>256</v>
      </c>
      <c r="G36" s="1683"/>
      <c r="H36" s="67" t="s">
        <v>256</v>
      </c>
      <c r="I36" s="1677"/>
      <c r="J36" s="1682"/>
      <c r="K36" s="1683"/>
      <c r="L36" s="67"/>
      <c r="N36" s="80"/>
      <c r="Q36" s="80"/>
    </row>
    <row r="37" spans="1:19" s="3" customFormat="1" ht="13.15" customHeight="1" outlineLevel="1">
      <c r="A37" s="307"/>
      <c r="B37" s="307"/>
      <c r="C37" s="1688" t="s">
        <v>1349</v>
      </c>
      <c r="D37" s="1678"/>
      <c r="E37" s="1683"/>
      <c r="F37" s="67" t="s">
        <v>256</v>
      </c>
      <c r="G37" s="1683"/>
      <c r="H37" s="67" t="s">
        <v>256</v>
      </c>
      <c r="I37" s="1677"/>
      <c r="J37" s="1682"/>
      <c r="K37" s="1683"/>
      <c r="L37" s="67"/>
      <c r="N37" s="80"/>
      <c r="Q37" s="80"/>
    </row>
    <row r="38" spans="1:19" s="3" customFormat="1" ht="13.15" customHeight="1" outlineLevel="1">
      <c r="A38" s="293" t="s">
        <v>280</v>
      </c>
      <c r="B38" s="293" t="s">
        <v>275</v>
      </c>
      <c r="C38" s="1679" t="s">
        <v>1348</v>
      </c>
      <c r="D38" s="1678" t="s">
        <v>1347</v>
      </c>
      <c r="E38" s="1683" t="s">
        <v>181</v>
      </c>
      <c r="F38" s="1680">
        <v>211848</v>
      </c>
      <c r="G38" s="1683" t="s">
        <v>181</v>
      </c>
      <c r="H38" s="67">
        <f>IF(G38="ABOLISHED",0, (VLOOKUP(G38,$A$60:$C321,2,FALSE)*12))</f>
        <v>211848</v>
      </c>
      <c r="I38" s="1677">
        <f>SUM(H38-F38)</f>
        <v>0</v>
      </c>
      <c r="J38" s="1682">
        <f>H38-F38</f>
        <v>0</v>
      </c>
      <c r="K38" s="1683" t="s">
        <v>181</v>
      </c>
      <c r="L38" s="1680">
        <f>IF(K38="ABOLISHED",0, (VLOOKUP(K38,$A$54:$C317,3,FALSE)*12))</f>
        <v>211848</v>
      </c>
      <c r="M38" s="3">
        <f>SUM(H38/12)</f>
        <v>17654</v>
      </c>
      <c r="N38" s="80">
        <f>IF(M38&gt;=80000,1600,SUM(M38*4%)/2)</f>
        <v>353.08</v>
      </c>
      <c r="P38" s="3">
        <f>L38/12</f>
        <v>17654</v>
      </c>
      <c r="Q38" s="80">
        <f>IF(P38&gt;=80000,1600,SUM(P38*4%)/2)</f>
        <v>353.08</v>
      </c>
    </row>
    <row r="39" spans="1:19" s="1689" customFormat="1" ht="13.15" customHeight="1" outlineLevel="1">
      <c r="A39" s="293" t="s">
        <v>278</v>
      </c>
      <c r="B39" s="293" t="s">
        <v>272</v>
      </c>
      <c r="C39" s="1679" t="s">
        <v>1346</v>
      </c>
      <c r="D39" s="1678" t="s">
        <v>1345</v>
      </c>
      <c r="E39" s="1690" t="s">
        <v>214</v>
      </c>
      <c r="F39" s="1680">
        <v>165420</v>
      </c>
      <c r="G39" s="1690" t="s">
        <v>214</v>
      </c>
      <c r="H39" s="67">
        <f>IF(G39="ABOLISHED",0, (VLOOKUP(G39,$A$60:$C322,2,FALSE)*12))</f>
        <v>165420</v>
      </c>
      <c r="I39" s="1677">
        <f>SUM(H39-F39)</f>
        <v>0</v>
      </c>
      <c r="J39" s="1682">
        <f>H39-F39</f>
        <v>0</v>
      </c>
      <c r="K39" s="1690" t="s">
        <v>214</v>
      </c>
      <c r="L39" s="1680">
        <f>IF(K39="ABOLISHED",0, (VLOOKUP(K39,$A$54:$C318,3,FALSE)*12))</f>
        <v>165420</v>
      </c>
      <c r="M39" s="3">
        <f>SUM(H39/12)</f>
        <v>13785</v>
      </c>
      <c r="N39" s="80">
        <f>IF(M39&gt;=80000,1600,SUM(M39*4%)/2)</f>
        <v>275.7</v>
      </c>
      <c r="P39" s="3">
        <f>L39/12</f>
        <v>13785</v>
      </c>
      <c r="Q39" s="80">
        <f>IF(P39&gt;=80000,1600,SUM(P39*4%)/2)</f>
        <v>275.7</v>
      </c>
      <c r="R39" s="3"/>
      <c r="S39" s="3"/>
    </row>
    <row r="40" spans="1:19" s="3" customFormat="1" ht="13.5" customHeight="1" outlineLevel="2">
      <c r="A40" s="293" t="s">
        <v>275</v>
      </c>
      <c r="B40" s="293" t="s">
        <v>268</v>
      </c>
      <c r="C40" s="1679" t="s">
        <v>1344</v>
      </c>
      <c r="D40" s="1678" t="s">
        <v>1343</v>
      </c>
      <c r="E40" s="1675" t="s">
        <v>223</v>
      </c>
      <c r="F40" s="1680">
        <v>154716</v>
      </c>
      <c r="G40" s="1675" t="s">
        <v>222</v>
      </c>
      <c r="H40" s="67">
        <f>IF(G40="ABOLISHED",0, (VLOOKUP(G40,$A$60:$C323,2,FALSE)*12))</f>
        <v>155916</v>
      </c>
      <c r="I40" s="1677">
        <f>SUM(H40-F40)</f>
        <v>1200</v>
      </c>
      <c r="J40" s="1682">
        <f>H40-F40</f>
        <v>1200</v>
      </c>
      <c r="K40" s="1675" t="s">
        <v>222</v>
      </c>
      <c r="L40" s="1680">
        <f>IF(K40="ABOLISHED",0, (VLOOKUP(K40,$A$54:$C319,3,FALSE)*12))</f>
        <v>155916</v>
      </c>
      <c r="M40" s="3">
        <f>SUM(H40/12)</f>
        <v>12993</v>
      </c>
      <c r="N40" s="80">
        <f>IF(M40&gt;=80000,1600,SUM(M40*4%)/2)</f>
        <v>259.86</v>
      </c>
      <c r="P40" s="3">
        <f>L40/12</f>
        <v>12993</v>
      </c>
      <c r="Q40" s="80">
        <f>IF(P40&gt;=80000,1600,SUM(P40*4%)/2)</f>
        <v>259.86</v>
      </c>
    </row>
    <row r="41" spans="1:19" s="3" customFormat="1" ht="13.5" customHeight="1" outlineLevel="2">
      <c r="A41" s="307"/>
      <c r="B41" s="307"/>
      <c r="C41" s="1688" t="s">
        <v>1342</v>
      </c>
      <c r="D41" s="1687"/>
      <c r="E41" s="1686"/>
      <c r="F41" s="67" t="s">
        <v>256</v>
      </c>
      <c r="G41" s="1686"/>
      <c r="H41" s="67" t="s">
        <v>256</v>
      </c>
      <c r="I41" s="1677"/>
      <c r="J41" s="1682"/>
      <c r="K41" s="1686"/>
      <c r="L41" s="67"/>
      <c r="N41" s="80"/>
      <c r="Q41" s="80"/>
    </row>
    <row r="42" spans="1:19" s="3" customFormat="1" ht="13.5" customHeight="1" outlineLevel="2">
      <c r="A42" s="293"/>
      <c r="B42" s="293" t="s">
        <v>265</v>
      </c>
      <c r="C42" s="1685" t="s">
        <v>1341</v>
      </c>
      <c r="D42" s="1684" t="s">
        <v>1340</v>
      </c>
      <c r="E42" s="1683" t="s">
        <v>135</v>
      </c>
      <c r="F42" s="1680">
        <v>351108</v>
      </c>
      <c r="G42" s="1683" t="s">
        <v>135</v>
      </c>
      <c r="H42" s="67">
        <f>IF(G42="ABOLISHED",0, (VLOOKUP(G42,$A$60:$C324,2,FALSE)*12))</f>
        <v>351108</v>
      </c>
      <c r="I42" s="1677">
        <f>SUM(H42-F42)</f>
        <v>0</v>
      </c>
      <c r="J42" s="1682">
        <f>H42-F42</f>
        <v>0</v>
      </c>
      <c r="K42" s="1683" t="s">
        <v>135</v>
      </c>
      <c r="L42" s="1680">
        <f>IF(K42="ABOLISHED",0, (VLOOKUP(K42,$A$54:$C320,3,FALSE)*12))</f>
        <v>351108</v>
      </c>
      <c r="M42" s="3">
        <f>SUM(H42/12)</f>
        <v>29259</v>
      </c>
      <c r="N42" s="80">
        <f>IF(M42&gt;=80000,1600,SUM(M42*4%)/2)</f>
        <v>585.18000000000006</v>
      </c>
      <c r="P42" s="3">
        <f>L42/12</f>
        <v>29259</v>
      </c>
      <c r="Q42" s="80">
        <f>IF(P42&gt;=80000,1600,SUM(P42*4%)/2)</f>
        <v>585.18000000000006</v>
      </c>
    </row>
    <row r="43" spans="1:19" s="3" customFormat="1" ht="13.5" customHeight="1" outlineLevel="2">
      <c r="A43" s="293" t="s">
        <v>272</v>
      </c>
      <c r="B43" s="293" t="s">
        <v>262</v>
      </c>
      <c r="C43" s="1685" t="s">
        <v>1339</v>
      </c>
      <c r="D43" s="1684" t="s">
        <v>245</v>
      </c>
      <c r="E43" s="1683" t="s">
        <v>156</v>
      </c>
      <c r="F43" s="1680">
        <v>282060</v>
      </c>
      <c r="G43" s="1683" t="s">
        <v>159</v>
      </c>
      <c r="H43" s="67">
        <f>IF(G43="ABOLISHED",0, (VLOOKUP(G43,$A$60:$C325,2,FALSE)*12))</f>
        <v>272196</v>
      </c>
      <c r="I43" s="1677">
        <f>SUM(H43-F43)</f>
        <v>-9864</v>
      </c>
      <c r="J43" s="1682">
        <f>H43-F43</f>
        <v>-9864</v>
      </c>
      <c r="K43" s="1683" t="s">
        <v>159</v>
      </c>
      <c r="L43" s="1680">
        <f>IF(K43="ABOLISHED",0, (VLOOKUP(K43,$A$54:$C321,3,FALSE)*12))</f>
        <v>272196</v>
      </c>
      <c r="M43" s="3">
        <f>SUM(H43/12)</f>
        <v>22683</v>
      </c>
      <c r="N43" s="80">
        <f>IF(M43&gt;=80000,1600,SUM(M43*4%)/2)</f>
        <v>453.66</v>
      </c>
      <c r="P43" s="3">
        <f>L43/12</f>
        <v>22683</v>
      </c>
      <c r="Q43" s="80">
        <f>IF(P43&gt;=80000,1600,SUM(P43*4%)/2)</f>
        <v>453.66</v>
      </c>
    </row>
    <row r="44" spans="1:19" s="3" customFormat="1" ht="13.5" customHeight="1" outlineLevel="2">
      <c r="A44" s="893"/>
      <c r="B44" s="293" t="s">
        <v>260</v>
      </c>
      <c r="C44" s="1679" t="s">
        <v>246</v>
      </c>
      <c r="D44" s="1678" t="s">
        <v>1338</v>
      </c>
      <c r="E44" s="1675" t="s">
        <v>229</v>
      </c>
      <c r="F44" s="1680">
        <v>148056</v>
      </c>
      <c r="G44" s="1675" t="s">
        <v>229</v>
      </c>
      <c r="H44" s="67">
        <f>IF(G44="ABOLISHED",0, (VLOOKUP(G44,$A$60:$C323,2,FALSE)*12))</f>
        <v>148056</v>
      </c>
      <c r="I44" s="1677">
        <f>SUM(H44-F44)</f>
        <v>0</v>
      </c>
      <c r="J44" s="1682">
        <f>H44-F44</f>
        <v>0</v>
      </c>
      <c r="K44" s="1675" t="s">
        <v>229</v>
      </c>
      <c r="L44" s="1680">
        <f>IF(K44="ABOLISHED",0, (VLOOKUP(K44,$A$54:$C322,3,FALSE)*12))</f>
        <v>148056</v>
      </c>
      <c r="M44" s="3">
        <f>SUM(H44/12)</f>
        <v>12338</v>
      </c>
      <c r="N44" s="80">
        <f>IF(M44&gt;=80000,1600,SUM(M44*4%)/2)</f>
        <v>246.76000000000002</v>
      </c>
      <c r="P44" s="3">
        <f>L44/12</f>
        <v>12338</v>
      </c>
      <c r="Q44" s="80">
        <f>IF(P44&gt;=80000,1600,SUM(P44*4%)/2)</f>
        <v>246.76000000000002</v>
      </c>
    </row>
    <row r="45" spans="1:19" s="3" customFormat="1" ht="13.5" customHeight="1" outlineLevel="2">
      <c r="A45" s="893"/>
      <c r="B45" s="293" t="s">
        <v>254</v>
      </c>
      <c r="C45" s="1679" t="s">
        <v>246</v>
      </c>
      <c r="D45" s="1678" t="s">
        <v>245</v>
      </c>
      <c r="E45" s="1681" t="s">
        <v>231</v>
      </c>
      <c r="F45" s="1680">
        <v>145812</v>
      </c>
      <c r="G45" s="1681" t="s">
        <v>231</v>
      </c>
      <c r="H45" s="67">
        <f>IF(G45="ABOLISHED",0, (VLOOKUP(G45,$A$60:$C324,2,FALSE)*12))</f>
        <v>145812</v>
      </c>
      <c r="I45" s="1677">
        <f>SUM(H45-F45)</f>
        <v>0</v>
      </c>
      <c r="J45" s="1682">
        <f>H45-F45</f>
        <v>0</v>
      </c>
      <c r="K45" s="1681" t="s">
        <v>231</v>
      </c>
      <c r="L45" s="1680">
        <f>IF(K45="ABOLISHED",0, (VLOOKUP(K45,$A$54:$C323,3,FALSE)*12))</f>
        <v>145812</v>
      </c>
      <c r="M45" s="3">
        <f>SUM(H45/12)</f>
        <v>12151</v>
      </c>
      <c r="N45" s="80">
        <f>IF(M45&gt;=80000,1600,SUM(M45*4%)/2)</f>
        <v>243.02</v>
      </c>
      <c r="P45" s="3">
        <f>L45/12</f>
        <v>12151</v>
      </c>
      <c r="Q45" s="80">
        <f>IF(P45&gt;=80000,1600,SUM(P45*4%)/2)</f>
        <v>243.02</v>
      </c>
    </row>
    <row r="46" spans="1:19" s="3" customFormat="1" ht="13.5" customHeight="1" outlineLevel="2">
      <c r="A46" s="893"/>
      <c r="B46" s="293" t="s">
        <v>255</v>
      </c>
      <c r="C46" s="1679" t="s">
        <v>478</v>
      </c>
      <c r="D46" s="1678" t="s">
        <v>245</v>
      </c>
      <c r="E46" s="1681" t="s">
        <v>231</v>
      </c>
      <c r="F46" s="1680">
        <v>145812</v>
      </c>
      <c r="G46" s="1681" t="s">
        <v>231</v>
      </c>
      <c r="H46" s="67">
        <f>IF(G46="ABOLISHED",0, (VLOOKUP(G46,$A$60:$C325,2,FALSE)*12))</f>
        <v>145812</v>
      </c>
      <c r="I46" s="1677">
        <f>SUM(H46-F46)</f>
        <v>0</v>
      </c>
      <c r="J46" s="1682">
        <f>H46-F46</f>
        <v>0</v>
      </c>
      <c r="K46" s="1681" t="s">
        <v>231</v>
      </c>
      <c r="L46" s="1680">
        <f>IF(K46="ABOLISHED",0, (VLOOKUP(K46,$A$54:$C324,3,FALSE)*12))</f>
        <v>145812</v>
      </c>
      <c r="M46" s="3">
        <f>SUM(H46/12)</f>
        <v>12151</v>
      </c>
      <c r="N46" s="80">
        <f>IF(M46&gt;=80000,1600,SUM(M46*4%)/2)</f>
        <v>243.02</v>
      </c>
      <c r="P46" s="3">
        <f>L46/12</f>
        <v>12151</v>
      </c>
      <c r="Q46" s="80">
        <f>IF(P46&gt;=80000,1600,SUM(P46*4%)/2)</f>
        <v>243.02</v>
      </c>
    </row>
    <row r="47" spans="1:19" s="3" customFormat="1" ht="13.5" customHeight="1" outlineLevel="2">
      <c r="A47" s="893"/>
      <c r="B47" s="293"/>
      <c r="C47" s="1679"/>
      <c r="D47" s="1678"/>
      <c r="E47" s="1675"/>
      <c r="F47" s="59"/>
      <c r="G47" s="1675"/>
      <c r="H47" s="59"/>
      <c r="I47" s="1677"/>
      <c r="J47" s="1676"/>
      <c r="K47" s="1675"/>
      <c r="L47" s="59"/>
      <c r="N47" s="57"/>
      <c r="Q47" s="57"/>
    </row>
    <row r="48" spans="1:19" ht="16.149999999999999" customHeight="1">
      <c r="A48" s="406"/>
      <c r="B48" s="1580">
        <v>22</v>
      </c>
      <c r="C48" s="54"/>
      <c r="D48" s="53" t="s">
        <v>244</v>
      </c>
      <c r="E48" s="51"/>
      <c r="F48" s="50">
        <f>SUM(F14:F47)</f>
        <v>5571996</v>
      </c>
      <c r="G48" s="51"/>
      <c r="H48" s="50">
        <f>SUM(H14:H47)</f>
        <v>6267240</v>
      </c>
      <c r="I48" s="287">
        <f>SUM(I14:I47)</f>
        <v>695244</v>
      </c>
      <c r="J48" s="50">
        <f>SUM(J14:J47)</f>
        <v>695244</v>
      </c>
      <c r="K48" s="51"/>
      <c r="L48" s="50">
        <f>SUM(L14:L47)</f>
        <v>6267240</v>
      </c>
      <c r="M48" s="42"/>
      <c r="N48" s="39">
        <f>SUM(N14:N47)</f>
        <v>10104.740000000002</v>
      </c>
      <c r="P48" s="42"/>
      <c r="Q48" s="39">
        <f>SUM(Q14:Q47)</f>
        <v>10104.740000000002</v>
      </c>
    </row>
    <row r="49" spans="1:17" ht="16.149999999999999" hidden="1" customHeight="1">
      <c r="A49" s="46"/>
      <c r="B49" s="46"/>
      <c r="C49" s="39" t="s">
        <v>1337</v>
      </c>
      <c r="D49" s="45"/>
      <c r="E49" s="45"/>
      <c r="F49" s="44"/>
      <c r="G49" s="18"/>
      <c r="H49" s="403" t="s">
        <v>587</v>
      </c>
      <c r="I49" s="42"/>
      <c r="J49" s="42"/>
      <c r="K49" s="41"/>
      <c r="L49" s="41"/>
      <c r="M49" s="42"/>
      <c r="N49" s="1">
        <v>12</v>
      </c>
      <c r="P49" s="42"/>
      <c r="Q49" s="1">
        <v>12</v>
      </c>
    </row>
    <row r="50" spans="1:17" ht="14.25" hidden="1" customHeight="1" thickBot="1">
      <c r="A50" s="282"/>
      <c r="B50" s="281"/>
      <c r="D50" s="280"/>
      <c r="F50" s="274"/>
      <c r="G50" s="279"/>
      <c r="H50" s="274"/>
      <c r="I50" s="274"/>
      <c r="J50" s="274"/>
      <c r="K50" s="278"/>
      <c r="L50" s="278"/>
      <c r="N50" s="30">
        <f>ROUNDUP(SUM(N48*N49),0)</f>
        <v>121257</v>
      </c>
      <c r="Q50" s="30">
        <f>ROUNDUP(SUM(Q48*Q49),0)</f>
        <v>121257</v>
      </c>
    </row>
    <row r="51" spans="1:17" ht="14.25" hidden="1" customHeight="1" thickTop="1">
      <c r="F51" s="274"/>
      <c r="G51" s="274"/>
    </row>
    <row r="52" spans="1:17" ht="14.25" hidden="1" customHeight="1">
      <c r="A52" s="1674"/>
      <c r="D52" s="430"/>
      <c r="G52" s="1673"/>
    </row>
    <row r="53" spans="1:17" ht="14.25" hidden="1" customHeight="1">
      <c r="A53" s="1672"/>
      <c r="G53" s="279"/>
    </row>
    <row r="54" spans="1:17" ht="14.25" hidden="1" customHeight="1">
      <c r="E54" s="279"/>
    </row>
    <row r="55" spans="1:17" ht="14.25" hidden="1" customHeight="1">
      <c r="E55" s="279"/>
    </row>
    <row r="56" spans="1:17" ht="14.25" hidden="1" customHeight="1">
      <c r="E56" s="279"/>
    </row>
    <row r="57" spans="1:17" ht="14.25" hidden="1" customHeight="1">
      <c r="A57" s="1141" t="s">
        <v>243</v>
      </c>
      <c r="B57" s="1141"/>
      <c r="E57" s="279"/>
    </row>
    <row r="58" spans="1:17" hidden="1">
      <c r="A58" s="4637" t="s">
        <v>475</v>
      </c>
      <c r="B58" s="4638"/>
      <c r="D58" s="3"/>
    </row>
    <row r="59" spans="1:17" ht="15" hidden="1">
      <c r="A59" s="882" t="s">
        <v>242</v>
      </c>
      <c r="B59" s="24" t="s">
        <v>241</v>
      </c>
      <c r="C59" s="881" t="s">
        <v>707</v>
      </c>
      <c r="D59" s="3"/>
    </row>
    <row r="60" spans="1:17" ht="13.5" hidden="1">
      <c r="A60" s="879" t="s">
        <v>239</v>
      </c>
      <c r="B60" s="1671">
        <v>11432</v>
      </c>
      <c r="C60" s="22">
        <v>11432</v>
      </c>
      <c r="D60" s="8"/>
      <c r="E60" s="16"/>
      <c r="F60" s="15"/>
      <c r="G60" s="17"/>
      <c r="H60" s="14"/>
      <c r="I60" s="14"/>
      <c r="J60" s="14"/>
      <c r="K60" s="13"/>
      <c r="L60" s="13"/>
    </row>
    <row r="61" spans="1:17" ht="13.5" hidden="1">
      <c r="A61" s="873" t="s">
        <v>238</v>
      </c>
      <c r="B61" s="1671">
        <v>11527</v>
      </c>
      <c r="C61" s="22">
        <v>11527</v>
      </c>
      <c r="D61" s="8"/>
      <c r="E61" s="16"/>
      <c r="F61" s="15"/>
      <c r="G61" s="17"/>
      <c r="H61" s="14"/>
      <c r="I61" s="14"/>
      <c r="J61" s="14"/>
      <c r="K61" s="13"/>
      <c r="L61" s="13"/>
    </row>
    <row r="62" spans="1:17" ht="13.5" hidden="1">
      <c r="A62" s="879" t="s">
        <v>237</v>
      </c>
      <c r="B62" s="1671">
        <v>11624</v>
      </c>
      <c r="C62" s="22">
        <v>11624</v>
      </c>
      <c r="D62" s="8"/>
      <c r="E62" s="16"/>
      <c r="F62" s="15"/>
      <c r="G62" s="17"/>
    </row>
    <row r="63" spans="1:17" ht="13.5" hidden="1">
      <c r="A63" s="873" t="s">
        <v>236</v>
      </c>
      <c r="B63" s="1671">
        <v>11722</v>
      </c>
      <c r="C63" s="22">
        <v>11722</v>
      </c>
      <c r="D63" s="8"/>
      <c r="E63" s="16"/>
      <c r="F63" s="15"/>
      <c r="G63" s="17"/>
      <c r="H63" s="14"/>
    </row>
    <row r="64" spans="1:17" ht="13.5" hidden="1">
      <c r="A64" s="879" t="s">
        <v>235</v>
      </c>
      <c r="B64" s="1671">
        <v>11820</v>
      </c>
      <c r="C64" s="22">
        <v>11820</v>
      </c>
      <c r="D64" s="8"/>
      <c r="E64" s="16"/>
      <c r="F64" s="15"/>
      <c r="G64" s="17"/>
      <c r="H64" s="14"/>
      <c r="I64" s="14"/>
      <c r="J64" s="14"/>
      <c r="K64" s="13"/>
      <c r="L64" s="13"/>
    </row>
    <row r="65" spans="1:12" ht="13.5" hidden="1">
      <c r="A65" s="873" t="s">
        <v>234</v>
      </c>
      <c r="B65" s="1671">
        <v>11918</v>
      </c>
      <c r="C65" s="22">
        <v>11918</v>
      </c>
      <c r="D65" s="8"/>
      <c r="E65" s="16"/>
      <c r="F65" s="15"/>
      <c r="G65" s="17"/>
      <c r="H65" s="14"/>
    </row>
    <row r="66" spans="1:12" ht="13.5" hidden="1">
      <c r="A66" s="879" t="s">
        <v>233</v>
      </c>
      <c r="B66" s="1671">
        <v>12018</v>
      </c>
      <c r="C66" s="22">
        <v>12018</v>
      </c>
      <c r="D66" s="8"/>
      <c r="E66" s="16"/>
      <c r="F66" s="15"/>
      <c r="G66" s="14"/>
      <c r="H66" s="14"/>
    </row>
    <row r="67" spans="1:12" ht="13.5" hidden="1">
      <c r="A67" s="873" t="s">
        <v>232</v>
      </c>
      <c r="B67" s="1671">
        <v>12118</v>
      </c>
      <c r="C67" s="22">
        <v>12118</v>
      </c>
      <c r="D67" s="8"/>
      <c r="E67" s="16"/>
      <c r="F67" s="15"/>
      <c r="G67" s="14"/>
      <c r="H67" s="14"/>
      <c r="I67" s="14"/>
      <c r="J67" s="14"/>
      <c r="K67" s="13"/>
      <c r="L67" s="13"/>
    </row>
    <row r="68" spans="1:12" ht="13.5" hidden="1">
      <c r="A68" s="878" t="s">
        <v>231</v>
      </c>
      <c r="B68" s="1669">
        <v>12151</v>
      </c>
      <c r="C68" s="9">
        <v>12151</v>
      </c>
      <c r="D68" s="8"/>
      <c r="E68" s="19"/>
      <c r="F68" s="15"/>
      <c r="G68" s="14"/>
      <c r="H68" s="14"/>
    </row>
    <row r="69" spans="1:12" ht="13.5" hidden="1">
      <c r="A69" s="872" t="s">
        <v>230</v>
      </c>
      <c r="B69" s="1669">
        <v>12244</v>
      </c>
      <c r="C69" s="9">
        <v>12244</v>
      </c>
      <c r="D69" s="8"/>
      <c r="E69" s="19"/>
      <c r="F69" s="15"/>
      <c r="G69" s="14"/>
      <c r="H69" s="14"/>
      <c r="I69" s="14"/>
      <c r="J69" s="14"/>
      <c r="K69" s="13"/>
      <c r="L69" s="13"/>
    </row>
    <row r="70" spans="1:12" ht="13.5" hidden="1">
      <c r="A70" s="878" t="s">
        <v>229</v>
      </c>
      <c r="B70" s="1669">
        <v>12338</v>
      </c>
      <c r="C70" s="9">
        <v>12338</v>
      </c>
      <c r="D70" s="8"/>
      <c r="E70" s="19"/>
      <c r="F70" s="15"/>
      <c r="G70" s="14"/>
    </row>
    <row r="71" spans="1:12" ht="13.5" hidden="1">
      <c r="A71" s="872" t="s">
        <v>228</v>
      </c>
      <c r="B71" s="1669">
        <v>12433</v>
      </c>
      <c r="C71" s="9">
        <v>12433</v>
      </c>
      <c r="D71" s="8"/>
      <c r="E71" s="19"/>
      <c r="F71" s="15"/>
      <c r="G71" s="14"/>
      <c r="H71" s="14"/>
    </row>
    <row r="72" spans="1:12" ht="13.5" hidden="1">
      <c r="A72" s="878" t="s">
        <v>227</v>
      </c>
      <c r="B72" s="1669">
        <v>12528</v>
      </c>
      <c r="C72" s="9">
        <v>12528</v>
      </c>
      <c r="D72" s="8"/>
      <c r="E72" s="19"/>
      <c r="F72" s="15"/>
      <c r="G72" s="14"/>
      <c r="H72" s="14"/>
      <c r="I72" s="14"/>
      <c r="J72" s="14"/>
      <c r="K72" s="13"/>
      <c r="L72" s="13"/>
    </row>
    <row r="73" spans="1:12" ht="13.5" hidden="1">
      <c r="A73" s="872" t="s">
        <v>226</v>
      </c>
      <c r="B73" s="1669">
        <v>12624</v>
      </c>
      <c r="C73" s="9">
        <v>12624</v>
      </c>
      <c r="D73" s="8"/>
      <c r="E73" s="19"/>
      <c r="F73" s="15"/>
      <c r="G73" s="14"/>
      <c r="H73" s="14"/>
      <c r="I73" s="14"/>
      <c r="J73" s="14"/>
      <c r="K73" s="13"/>
      <c r="L73" s="13"/>
    </row>
    <row r="74" spans="1:12" ht="13.5" hidden="1">
      <c r="A74" s="878" t="s">
        <v>225</v>
      </c>
      <c r="B74" s="1669">
        <v>12721</v>
      </c>
      <c r="C74" s="9">
        <v>12721</v>
      </c>
      <c r="D74" s="8"/>
      <c r="E74" s="19"/>
      <c r="F74" s="15"/>
      <c r="G74" s="14"/>
      <c r="H74" s="14"/>
      <c r="I74" s="14"/>
      <c r="J74" s="14"/>
      <c r="K74" s="13"/>
      <c r="L74" s="13"/>
    </row>
    <row r="75" spans="1:12" ht="13.5" hidden="1">
      <c r="A75" s="872" t="s">
        <v>224</v>
      </c>
      <c r="B75" s="1669">
        <v>12818</v>
      </c>
      <c r="C75" s="9">
        <v>12818</v>
      </c>
      <c r="D75" s="8"/>
      <c r="E75" s="19"/>
      <c r="F75" s="15"/>
      <c r="G75" s="14"/>
      <c r="H75" s="14"/>
    </row>
    <row r="76" spans="1:12" ht="13.5" hidden="1">
      <c r="A76" s="879" t="s">
        <v>223</v>
      </c>
      <c r="B76" s="1670">
        <v>12893</v>
      </c>
      <c r="C76" s="11">
        <v>12893</v>
      </c>
      <c r="D76" s="8"/>
      <c r="E76" s="16"/>
      <c r="F76" s="15"/>
      <c r="G76" s="14"/>
      <c r="H76" s="14"/>
    </row>
    <row r="77" spans="1:12" ht="13.5" hidden="1">
      <c r="A77" s="873" t="s">
        <v>222</v>
      </c>
      <c r="B77" s="1670">
        <v>12993</v>
      </c>
      <c r="C77" s="11">
        <v>12993</v>
      </c>
      <c r="D77" s="8"/>
      <c r="E77" s="16"/>
      <c r="F77" s="15"/>
      <c r="G77" s="14"/>
      <c r="H77" s="14"/>
      <c r="I77" s="14"/>
      <c r="J77" s="14"/>
      <c r="K77" s="13"/>
      <c r="L77" s="13"/>
    </row>
    <row r="78" spans="1:12" ht="13.5" hidden="1">
      <c r="A78" s="879" t="s">
        <v>221</v>
      </c>
      <c r="B78" s="1670">
        <v>13092</v>
      </c>
      <c r="C78" s="11">
        <v>13092</v>
      </c>
      <c r="D78" s="8"/>
      <c r="E78" s="16"/>
      <c r="F78" s="15"/>
      <c r="G78" s="14"/>
      <c r="H78" s="14"/>
      <c r="I78" s="14"/>
      <c r="J78" s="14"/>
      <c r="K78" s="13"/>
      <c r="L78" s="13"/>
    </row>
    <row r="79" spans="1:12" ht="13.5" hidden="1">
      <c r="A79" s="873" t="s">
        <v>220</v>
      </c>
      <c r="B79" s="1670">
        <v>13194</v>
      </c>
      <c r="C79" s="11">
        <v>13194</v>
      </c>
      <c r="D79" s="8"/>
      <c r="E79" s="16"/>
      <c r="F79" s="15"/>
      <c r="G79" s="14"/>
      <c r="H79" s="14"/>
    </row>
    <row r="80" spans="1:12" ht="13.5" hidden="1">
      <c r="A80" s="879" t="s">
        <v>219</v>
      </c>
      <c r="B80" s="1670">
        <v>13295</v>
      </c>
      <c r="C80" s="11">
        <v>13295</v>
      </c>
      <c r="D80" s="8"/>
      <c r="E80" s="16"/>
      <c r="F80" s="15"/>
      <c r="G80" s="14"/>
      <c r="H80" s="14"/>
      <c r="I80" s="14"/>
      <c r="J80" s="14"/>
      <c r="K80" s="13"/>
      <c r="L80" s="13"/>
    </row>
    <row r="81" spans="1:12" ht="13.5" hidden="1">
      <c r="A81" s="873" t="s">
        <v>218</v>
      </c>
      <c r="B81" s="1670">
        <v>13396</v>
      </c>
      <c r="C81" s="11">
        <v>13396</v>
      </c>
      <c r="D81" s="8"/>
      <c r="E81" s="16"/>
      <c r="F81" s="15"/>
      <c r="G81" s="14"/>
      <c r="H81" s="14"/>
    </row>
    <row r="82" spans="1:12" ht="13.5" hidden="1">
      <c r="A82" s="879" t="s">
        <v>217</v>
      </c>
      <c r="B82" s="1670">
        <v>13500</v>
      </c>
      <c r="C82" s="11">
        <v>13500</v>
      </c>
      <c r="D82" s="8"/>
      <c r="E82" s="16"/>
      <c r="F82" s="15"/>
      <c r="G82" s="14"/>
      <c r="H82" s="14"/>
    </row>
    <row r="83" spans="1:12" ht="13.5" hidden="1">
      <c r="A83" s="873" t="s">
        <v>216</v>
      </c>
      <c r="B83" s="1670">
        <v>13603</v>
      </c>
      <c r="C83" s="11">
        <v>13603</v>
      </c>
      <c r="D83" s="8"/>
      <c r="E83" s="16"/>
      <c r="F83" s="15"/>
      <c r="G83" s="14"/>
      <c r="H83" s="14"/>
      <c r="I83" s="14"/>
      <c r="J83" s="14"/>
      <c r="K83" s="13"/>
      <c r="L83" s="13"/>
    </row>
    <row r="84" spans="1:12" ht="13.5" hidden="1">
      <c r="A84" s="878" t="s">
        <v>215</v>
      </c>
      <c r="B84" s="1669">
        <v>13680</v>
      </c>
      <c r="C84" s="9">
        <v>13680</v>
      </c>
      <c r="D84" s="8"/>
      <c r="E84" s="16"/>
      <c r="F84" s="15"/>
    </row>
    <row r="85" spans="1:12" ht="13.5" hidden="1">
      <c r="A85" s="872" t="s">
        <v>214</v>
      </c>
      <c r="B85" s="1669">
        <v>13785</v>
      </c>
      <c r="C85" s="9">
        <v>13785</v>
      </c>
      <c r="D85" s="8"/>
      <c r="E85" s="16"/>
      <c r="F85" s="15"/>
    </row>
    <row r="86" spans="1:12" ht="13.5" hidden="1">
      <c r="A86" s="878" t="s">
        <v>213</v>
      </c>
      <c r="B86" s="1669">
        <v>13891</v>
      </c>
      <c r="C86" s="9">
        <v>13891</v>
      </c>
      <c r="D86" s="8"/>
      <c r="E86" s="16"/>
      <c r="F86" s="15"/>
    </row>
    <row r="87" spans="1:12" ht="13.5" hidden="1">
      <c r="A87" s="872" t="s">
        <v>212</v>
      </c>
      <c r="B87" s="1669">
        <v>13998</v>
      </c>
      <c r="C87" s="9">
        <v>13998</v>
      </c>
      <c r="D87" s="8"/>
      <c r="E87" s="16"/>
      <c r="F87" s="15"/>
    </row>
    <row r="88" spans="1:12" ht="13.5" hidden="1">
      <c r="A88" s="878" t="s">
        <v>211</v>
      </c>
      <c r="B88" s="1669">
        <v>14106</v>
      </c>
      <c r="C88" s="9">
        <v>14106</v>
      </c>
      <c r="D88" s="8"/>
      <c r="E88" s="16"/>
      <c r="F88" s="15"/>
    </row>
    <row r="89" spans="1:12" ht="13.5" hidden="1">
      <c r="A89" s="872" t="s">
        <v>210</v>
      </c>
      <c r="B89" s="1669">
        <v>14213</v>
      </c>
      <c r="C89" s="9">
        <v>14213</v>
      </c>
      <c r="D89" s="8"/>
      <c r="E89" s="16"/>
      <c r="F89" s="15"/>
    </row>
    <row r="90" spans="1:12" ht="13.5" hidden="1">
      <c r="A90" s="878" t="s">
        <v>209</v>
      </c>
      <c r="B90" s="1669">
        <v>14323</v>
      </c>
      <c r="C90" s="9">
        <v>14323</v>
      </c>
      <c r="D90" s="8"/>
      <c r="E90" s="16"/>
      <c r="F90" s="15"/>
    </row>
    <row r="91" spans="1:12" ht="13.5" hidden="1">
      <c r="A91" s="872" t="s">
        <v>208</v>
      </c>
      <c r="B91" s="1669">
        <v>14432</v>
      </c>
      <c r="C91" s="9">
        <v>14432</v>
      </c>
      <c r="D91" s="8"/>
      <c r="E91" s="16"/>
      <c r="F91" s="15"/>
    </row>
    <row r="92" spans="1:12" ht="13.5" hidden="1">
      <c r="A92" s="873" t="s">
        <v>207</v>
      </c>
      <c r="B92" s="1670">
        <v>14511</v>
      </c>
      <c r="C92" s="11">
        <v>14511</v>
      </c>
      <c r="D92" s="8"/>
      <c r="E92" s="16"/>
      <c r="F92" s="15"/>
      <c r="G92" s="14"/>
      <c r="H92" s="14"/>
      <c r="I92" s="14"/>
      <c r="J92" s="14"/>
      <c r="K92" s="13"/>
      <c r="L92" s="13"/>
    </row>
    <row r="93" spans="1:12" ht="13.5" hidden="1">
      <c r="A93" s="873" t="s">
        <v>206</v>
      </c>
      <c r="B93" s="1670">
        <v>14623</v>
      </c>
      <c r="C93" s="11">
        <v>14623</v>
      </c>
      <c r="D93" s="8"/>
      <c r="E93" s="16"/>
      <c r="F93" s="15"/>
      <c r="G93" s="14"/>
      <c r="H93" s="14"/>
    </row>
    <row r="94" spans="1:12" ht="13.5" hidden="1">
      <c r="A94" s="873" t="s">
        <v>205</v>
      </c>
      <c r="B94" s="1670">
        <v>14735</v>
      </c>
      <c r="C94" s="11">
        <v>14735</v>
      </c>
      <c r="D94" s="8"/>
      <c r="E94" s="16"/>
      <c r="F94" s="15"/>
      <c r="G94" s="14"/>
      <c r="H94" s="14"/>
    </row>
    <row r="95" spans="1:12" ht="13.5" hidden="1">
      <c r="A95" s="873" t="s">
        <v>204</v>
      </c>
      <c r="B95" s="1670">
        <v>14849</v>
      </c>
      <c r="C95" s="11">
        <v>14849</v>
      </c>
      <c r="D95" s="8"/>
      <c r="E95" s="16"/>
      <c r="F95" s="15"/>
      <c r="G95" s="14"/>
      <c r="H95" s="14"/>
    </row>
    <row r="96" spans="1:12" ht="13.5" hidden="1">
      <c r="A96" s="873" t="s">
        <v>203</v>
      </c>
      <c r="B96" s="1670">
        <v>14963</v>
      </c>
      <c r="C96" s="11">
        <v>14963</v>
      </c>
      <c r="D96" s="8"/>
      <c r="E96" s="16"/>
      <c r="F96" s="15"/>
      <c r="G96" s="14"/>
      <c r="H96" s="14"/>
    </row>
    <row r="97" spans="1:12" ht="13.5" hidden="1">
      <c r="A97" s="873" t="s">
        <v>202</v>
      </c>
      <c r="B97" s="1670">
        <v>15077</v>
      </c>
      <c r="C97" s="11">
        <v>15077</v>
      </c>
      <c r="D97" s="8"/>
      <c r="E97" s="16"/>
      <c r="F97" s="15"/>
      <c r="G97" s="14"/>
      <c r="H97" s="14"/>
      <c r="I97" s="14"/>
      <c r="J97" s="14"/>
      <c r="K97" s="13"/>
      <c r="L97" s="13"/>
    </row>
    <row r="98" spans="1:12" ht="13.5" hidden="1">
      <c r="A98" s="873" t="s">
        <v>201</v>
      </c>
      <c r="B98" s="1670">
        <v>15193</v>
      </c>
      <c r="C98" s="11">
        <v>15193</v>
      </c>
      <c r="D98" s="8"/>
      <c r="E98" s="16"/>
      <c r="F98" s="15"/>
      <c r="G98" s="14"/>
      <c r="H98" s="14"/>
      <c r="I98" s="14"/>
      <c r="J98" s="14"/>
      <c r="K98" s="13"/>
      <c r="L98" s="13"/>
    </row>
    <row r="99" spans="1:12" ht="13.5" hidden="1">
      <c r="A99" s="873" t="s">
        <v>200</v>
      </c>
      <c r="B99" s="1670">
        <v>15309</v>
      </c>
      <c r="C99" s="11">
        <v>15309</v>
      </c>
      <c r="D99" s="8"/>
      <c r="E99" s="16"/>
      <c r="F99" s="15"/>
      <c r="G99" s="14"/>
      <c r="H99" s="14"/>
    </row>
    <row r="100" spans="1:12" ht="13.5" hidden="1">
      <c r="A100" s="872" t="s">
        <v>199</v>
      </c>
      <c r="B100" s="1669">
        <v>15390</v>
      </c>
      <c r="C100" s="9">
        <v>15390</v>
      </c>
      <c r="D100" s="8"/>
      <c r="E100" s="16"/>
      <c r="F100" s="15"/>
      <c r="G100" s="14"/>
      <c r="H100" s="14"/>
      <c r="I100" s="14"/>
      <c r="J100" s="14"/>
      <c r="K100" s="13"/>
      <c r="L100" s="13"/>
    </row>
    <row r="101" spans="1:12" ht="13.5" hidden="1">
      <c r="A101" s="872" t="s">
        <v>198</v>
      </c>
      <c r="B101" s="1669">
        <v>15509</v>
      </c>
      <c r="C101" s="9">
        <v>15509</v>
      </c>
      <c r="D101" s="8"/>
      <c r="E101" s="16"/>
      <c r="F101" s="15"/>
      <c r="G101" s="14"/>
      <c r="H101" s="14"/>
      <c r="I101" s="14"/>
      <c r="J101" s="14"/>
      <c r="K101" s="13"/>
      <c r="L101" s="13"/>
    </row>
    <row r="102" spans="1:12" ht="13.5" hidden="1">
      <c r="A102" s="872" t="s">
        <v>197</v>
      </c>
      <c r="B102" s="1669">
        <v>15628</v>
      </c>
      <c r="C102" s="9">
        <v>15628</v>
      </c>
      <c r="D102" s="8"/>
      <c r="E102" s="16"/>
      <c r="F102" s="15"/>
      <c r="G102" s="14"/>
      <c r="H102" s="14"/>
      <c r="I102" s="14"/>
      <c r="J102" s="14"/>
      <c r="K102" s="13"/>
      <c r="L102" s="13"/>
    </row>
    <row r="103" spans="1:12" ht="13.5" hidden="1">
      <c r="A103" s="872" t="s">
        <v>196</v>
      </c>
      <c r="B103" s="1669">
        <v>15748</v>
      </c>
      <c r="C103" s="9">
        <v>15748</v>
      </c>
      <c r="D103" s="8"/>
      <c r="E103" s="16"/>
      <c r="F103" s="15"/>
      <c r="G103" s="14"/>
      <c r="H103" s="14"/>
      <c r="I103" s="14"/>
      <c r="J103" s="14"/>
      <c r="K103" s="13"/>
      <c r="L103" s="13"/>
    </row>
    <row r="104" spans="1:12" ht="13.5" hidden="1">
      <c r="A104" s="872" t="s">
        <v>195</v>
      </c>
      <c r="B104" s="1669">
        <v>15869</v>
      </c>
      <c r="C104" s="9">
        <v>15869</v>
      </c>
      <c r="D104" s="8"/>
      <c r="E104" s="16"/>
      <c r="F104" s="15"/>
      <c r="G104" s="14"/>
      <c r="H104" s="14"/>
      <c r="I104" s="14"/>
      <c r="J104" s="14"/>
      <c r="K104" s="13"/>
      <c r="L104" s="13"/>
    </row>
    <row r="105" spans="1:12" ht="13.5" hidden="1">
      <c r="A105" s="872" t="s">
        <v>194</v>
      </c>
      <c r="B105" s="1669">
        <v>15990</v>
      </c>
      <c r="C105" s="9">
        <v>15990</v>
      </c>
      <c r="D105" s="8"/>
      <c r="E105" s="16"/>
      <c r="F105" s="15"/>
      <c r="G105" s="14"/>
      <c r="H105" s="14"/>
    </row>
    <row r="106" spans="1:12" ht="13.5" hidden="1">
      <c r="A106" s="872" t="s">
        <v>193</v>
      </c>
      <c r="B106" s="1669">
        <v>16114</v>
      </c>
      <c r="C106" s="9">
        <v>16114</v>
      </c>
      <c r="D106" s="8"/>
      <c r="E106" s="16"/>
      <c r="F106" s="15"/>
      <c r="G106" s="14"/>
      <c r="H106" s="14"/>
      <c r="I106" s="14"/>
      <c r="J106" s="14"/>
      <c r="K106" s="13"/>
      <c r="L106" s="13"/>
    </row>
    <row r="107" spans="1:12" ht="13.5" hidden="1">
      <c r="A107" s="872" t="s">
        <v>192</v>
      </c>
      <c r="B107" s="1669">
        <v>16237</v>
      </c>
      <c r="C107" s="9">
        <v>16237</v>
      </c>
      <c r="D107" s="8"/>
      <c r="E107" s="16"/>
      <c r="F107" s="15"/>
      <c r="G107" s="14"/>
      <c r="H107" s="14"/>
      <c r="I107" s="14"/>
      <c r="J107" s="14"/>
      <c r="K107" s="13"/>
      <c r="L107" s="13"/>
    </row>
    <row r="108" spans="1:12" ht="13.5" hidden="1">
      <c r="A108" s="873" t="s">
        <v>191</v>
      </c>
      <c r="B108" s="1670">
        <v>16320</v>
      </c>
      <c r="C108" s="11">
        <v>16320</v>
      </c>
      <c r="D108" s="8"/>
      <c r="E108" s="16"/>
      <c r="F108" s="15"/>
      <c r="G108" s="14"/>
      <c r="H108" s="14"/>
    </row>
    <row r="109" spans="1:12" ht="13.5" hidden="1">
      <c r="A109" s="873" t="s">
        <v>190</v>
      </c>
      <c r="B109" s="1670">
        <v>16445</v>
      </c>
      <c r="C109" s="11">
        <v>16445</v>
      </c>
      <c r="D109" s="8"/>
      <c r="E109" s="16"/>
      <c r="F109" s="15"/>
      <c r="G109" s="14"/>
      <c r="H109" s="14"/>
      <c r="I109" s="14"/>
      <c r="J109" s="14"/>
      <c r="K109" s="13"/>
      <c r="L109" s="13"/>
    </row>
    <row r="110" spans="1:12" ht="13.5" hidden="1">
      <c r="A110" s="873" t="s">
        <v>189</v>
      </c>
      <c r="B110" s="1670">
        <v>16572</v>
      </c>
      <c r="C110" s="11">
        <v>16572</v>
      </c>
      <c r="D110" s="8"/>
      <c r="E110" s="16"/>
      <c r="F110" s="15"/>
      <c r="G110" s="14"/>
      <c r="H110" s="14"/>
      <c r="I110" s="14"/>
      <c r="J110" s="14"/>
      <c r="K110" s="13"/>
      <c r="L110" s="13"/>
    </row>
    <row r="111" spans="1:12" ht="13.5" hidden="1">
      <c r="A111" s="873" t="s">
        <v>188</v>
      </c>
      <c r="B111" s="1670">
        <v>16699</v>
      </c>
      <c r="C111" s="11">
        <v>16699</v>
      </c>
      <c r="D111" s="8"/>
      <c r="E111" s="16"/>
      <c r="F111" s="15"/>
      <c r="G111" s="14"/>
      <c r="H111" s="14"/>
      <c r="I111" s="14"/>
      <c r="J111" s="14"/>
      <c r="K111" s="13"/>
      <c r="L111" s="13"/>
    </row>
    <row r="112" spans="1:12" ht="13.5" hidden="1">
      <c r="A112" s="873" t="s">
        <v>187</v>
      </c>
      <c r="B112" s="1670">
        <v>16827</v>
      </c>
      <c r="C112" s="11">
        <v>16827</v>
      </c>
      <c r="D112" s="8"/>
      <c r="E112" s="16"/>
      <c r="F112" s="15"/>
      <c r="G112" s="14"/>
      <c r="H112" s="14"/>
      <c r="I112" s="14"/>
      <c r="J112" s="14"/>
      <c r="K112" s="13"/>
      <c r="L112" s="13"/>
    </row>
    <row r="113" spans="1:12" ht="13.5" hidden="1">
      <c r="A113" s="873" t="s">
        <v>186</v>
      </c>
      <c r="B113" s="1670">
        <v>16957</v>
      </c>
      <c r="C113" s="11">
        <v>16957</v>
      </c>
      <c r="D113" s="8"/>
      <c r="E113" s="16"/>
      <c r="F113" s="15"/>
      <c r="G113" s="14"/>
      <c r="H113" s="14"/>
    </row>
    <row r="114" spans="1:12" ht="13.5" hidden="1">
      <c r="A114" s="873" t="s">
        <v>185</v>
      </c>
      <c r="B114" s="1670">
        <v>17086</v>
      </c>
      <c r="C114" s="11">
        <v>17086</v>
      </c>
      <c r="D114" s="8"/>
      <c r="E114" s="16"/>
      <c r="F114" s="15"/>
      <c r="G114" s="14"/>
      <c r="H114" s="14"/>
      <c r="I114" s="14"/>
      <c r="J114" s="14"/>
      <c r="K114" s="13"/>
      <c r="L114" s="13"/>
    </row>
    <row r="115" spans="1:12" ht="13.5" hidden="1">
      <c r="A115" s="873" t="s">
        <v>184</v>
      </c>
      <c r="B115" s="1670">
        <v>17218</v>
      </c>
      <c r="C115" s="11">
        <v>17218</v>
      </c>
      <c r="D115" s="8"/>
      <c r="E115" s="16"/>
      <c r="F115" s="15"/>
      <c r="G115" s="14"/>
      <c r="H115" s="14"/>
    </row>
    <row r="116" spans="1:12" ht="13.5" hidden="1">
      <c r="A116" s="872" t="s">
        <v>183</v>
      </c>
      <c r="B116" s="1669">
        <v>17338</v>
      </c>
      <c r="C116" s="9">
        <v>17338</v>
      </c>
      <c r="D116" s="8"/>
      <c r="E116" s="19"/>
      <c r="F116" s="15"/>
      <c r="G116" s="14"/>
      <c r="H116" s="14"/>
      <c r="I116" s="14"/>
      <c r="J116" s="14"/>
      <c r="K116" s="13"/>
      <c r="L116" s="13"/>
    </row>
    <row r="117" spans="1:12" ht="13.5" hidden="1">
      <c r="A117" s="872" t="s">
        <v>182</v>
      </c>
      <c r="B117" s="1669">
        <v>17496</v>
      </c>
      <c r="C117" s="9">
        <v>17496</v>
      </c>
      <c r="D117" s="8"/>
      <c r="E117" s="19"/>
      <c r="F117" s="15"/>
      <c r="G117" s="14"/>
      <c r="H117" s="14"/>
      <c r="I117" s="14"/>
      <c r="J117" s="14"/>
      <c r="K117" s="13"/>
      <c r="L117" s="13"/>
    </row>
    <row r="118" spans="1:12" ht="13.5" hidden="1">
      <c r="A118" s="872" t="s">
        <v>181</v>
      </c>
      <c r="B118" s="1669">
        <v>17654</v>
      </c>
      <c r="C118" s="9">
        <v>17654</v>
      </c>
      <c r="D118" s="8"/>
      <c r="E118" s="19"/>
      <c r="F118" s="15"/>
      <c r="G118" s="14"/>
      <c r="H118" s="14"/>
      <c r="I118" s="14"/>
      <c r="J118" s="14"/>
      <c r="K118" s="13"/>
      <c r="L118" s="13"/>
    </row>
    <row r="119" spans="1:12" ht="13.5" hidden="1">
      <c r="A119" s="872" t="s">
        <v>180</v>
      </c>
      <c r="B119" s="1669">
        <v>17813</v>
      </c>
      <c r="C119" s="9">
        <v>17813</v>
      </c>
      <c r="D119" s="8"/>
      <c r="E119" s="19"/>
      <c r="F119" s="15"/>
      <c r="G119" s="14"/>
      <c r="H119" s="14"/>
      <c r="I119" s="14"/>
      <c r="J119" s="14"/>
      <c r="K119" s="13"/>
      <c r="L119" s="13"/>
    </row>
    <row r="120" spans="1:12" ht="13.5" hidden="1">
      <c r="A120" s="872" t="s">
        <v>179</v>
      </c>
      <c r="B120" s="1669">
        <v>17974</v>
      </c>
      <c r="C120" s="9">
        <v>17974</v>
      </c>
      <c r="D120" s="8"/>
      <c r="E120" s="19"/>
      <c r="F120" s="15"/>
      <c r="G120" s="14"/>
      <c r="H120" s="14"/>
      <c r="I120" s="14"/>
      <c r="J120" s="14"/>
      <c r="K120" s="13"/>
      <c r="L120" s="13"/>
    </row>
    <row r="121" spans="1:12" ht="13.5" hidden="1">
      <c r="A121" s="872" t="s">
        <v>178</v>
      </c>
      <c r="B121" s="1669">
        <v>18136</v>
      </c>
      <c r="C121" s="9">
        <v>18136</v>
      </c>
      <c r="D121" s="8"/>
      <c r="E121" s="19"/>
      <c r="F121" s="15"/>
      <c r="G121" s="14"/>
      <c r="H121" s="14"/>
      <c r="I121" s="14"/>
      <c r="J121" s="14"/>
      <c r="K121" s="13"/>
      <c r="L121" s="13"/>
    </row>
    <row r="122" spans="1:12" ht="13.5" hidden="1">
      <c r="A122" s="872" t="s">
        <v>177</v>
      </c>
      <c r="B122" s="1669">
        <v>18301</v>
      </c>
      <c r="C122" s="9">
        <v>18301</v>
      </c>
      <c r="D122" s="8"/>
      <c r="E122" s="19"/>
      <c r="F122" s="15"/>
      <c r="G122" s="14"/>
      <c r="H122" s="14"/>
      <c r="I122" s="14"/>
      <c r="J122" s="14"/>
      <c r="K122" s="13"/>
      <c r="L122" s="13"/>
    </row>
    <row r="123" spans="1:12" ht="13.5" hidden="1">
      <c r="A123" s="872" t="s">
        <v>176</v>
      </c>
      <c r="B123" s="1669">
        <v>18466</v>
      </c>
      <c r="C123" s="9">
        <v>18466</v>
      </c>
      <c r="D123" s="8"/>
      <c r="E123" s="19"/>
      <c r="F123" s="15"/>
      <c r="G123" s="14"/>
      <c r="H123" s="14"/>
      <c r="I123" s="14"/>
      <c r="J123" s="14"/>
      <c r="K123" s="13"/>
      <c r="L123" s="13"/>
    </row>
    <row r="124" spans="1:12" ht="13.5" hidden="1">
      <c r="A124" s="873" t="s">
        <v>175</v>
      </c>
      <c r="B124" s="1670">
        <v>18613</v>
      </c>
      <c r="C124" s="11">
        <v>18613</v>
      </c>
      <c r="D124" s="8"/>
      <c r="E124" s="19"/>
      <c r="F124" s="15"/>
      <c r="G124" s="14"/>
    </row>
    <row r="125" spans="1:12" ht="13.5" hidden="1">
      <c r="A125" s="873" t="s">
        <v>174</v>
      </c>
      <c r="B125" s="1670">
        <v>18769</v>
      </c>
      <c r="C125" s="11">
        <v>18769</v>
      </c>
      <c r="D125" s="8"/>
      <c r="E125" s="19"/>
      <c r="F125" s="15"/>
      <c r="G125" s="14"/>
      <c r="H125" s="14"/>
    </row>
    <row r="126" spans="1:12" ht="13.5" hidden="1">
      <c r="A126" s="873" t="s">
        <v>173</v>
      </c>
      <c r="B126" s="1670">
        <v>18926</v>
      </c>
      <c r="C126" s="11">
        <v>18926</v>
      </c>
      <c r="D126" s="8"/>
      <c r="E126" s="19"/>
      <c r="F126" s="15"/>
      <c r="G126" s="14"/>
      <c r="H126" s="14"/>
    </row>
    <row r="127" spans="1:12" ht="13.5" hidden="1">
      <c r="A127" s="873" t="s">
        <v>172</v>
      </c>
      <c r="B127" s="1670">
        <v>19085</v>
      </c>
      <c r="C127" s="11">
        <v>19085</v>
      </c>
      <c r="D127" s="8"/>
      <c r="E127" s="19"/>
      <c r="F127" s="15"/>
      <c r="G127" s="14"/>
      <c r="H127" s="14"/>
    </row>
    <row r="128" spans="1:12" ht="13.5" hidden="1">
      <c r="A128" s="873" t="s">
        <v>171</v>
      </c>
      <c r="B128" s="1670">
        <v>19244</v>
      </c>
      <c r="C128" s="11">
        <v>19244</v>
      </c>
      <c r="D128" s="8"/>
      <c r="E128" s="19"/>
      <c r="F128" s="15"/>
      <c r="G128" s="14"/>
      <c r="H128" s="14"/>
      <c r="I128" s="14"/>
      <c r="J128" s="14"/>
      <c r="K128" s="13"/>
      <c r="L128" s="13"/>
    </row>
    <row r="129" spans="1:12" ht="13.5" hidden="1">
      <c r="A129" s="873" t="s">
        <v>170</v>
      </c>
      <c r="B129" s="1670">
        <v>19405</v>
      </c>
      <c r="C129" s="11">
        <v>19405</v>
      </c>
      <c r="D129" s="8"/>
      <c r="E129" s="19"/>
      <c r="F129" s="15"/>
      <c r="G129" s="14"/>
      <c r="H129" s="14"/>
      <c r="I129" s="14"/>
      <c r="J129" s="14"/>
      <c r="K129" s="13"/>
      <c r="L129" s="13"/>
    </row>
    <row r="130" spans="1:12" ht="13.5" hidden="1">
      <c r="A130" s="873" t="s">
        <v>169</v>
      </c>
      <c r="B130" s="1670">
        <v>19567</v>
      </c>
      <c r="C130" s="11">
        <v>19567</v>
      </c>
      <c r="D130" s="8"/>
      <c r="E130" s="19"/>
      <c r="F130" s="15"/>
      <c r="G130" s="14"/>
      <c r="H130" s="14"/>
      <c r="I130" s="14"/>
      <c r="J130" s="14"/>
      <c r="K130" s="13"/>
      <c r="L130" s="13"/>
    </row>
    <row r="131" spans="1:12" ht="13.5" hidden="1">
      <c r="A131" s="873" t="s">
        <v>168</v>
      </c>
      <c r="B131" s="1670">
        <v>19731</v>
      </c>
      <c r="C131" s="11">
        <v>19731</v>
      </c>
      <c r="D131" s="8"/>
      <c r="E131" s="19"/>
      <c r="F131" s="15"/>
      <c r="G131" s="14"/>
      <c r="H131" s="14"/>
      <c r="I131" s="14"/>
      <c r="J131" s="14"/>
      <c r="K131" s="13"/>
      <c r="L131" s="13"/>
    </row>
    <row r="132" spans="1:12" ht="13.5" hidden="1">
      <c r="A132" s="872" t="s">
        <v>167</v>
      </c>
      <c r="B132" s="1669">
        <v>20145</v>
      </c>
      <c r="C132" s="9">
        <v>20145</v>
      </c>
      <c r="D132" s="8"/>
      <c r="E132" s="16"/>
      <c r="F132" s="15"/>
      <c r="G132" s="14"/>
    </row>
    <row r="133" spans="1:12" ht="13.5" hidden="1">
      <c r="A133" s="872" t="s">
        <v>166</v>
      </c>
      <c r="B133" s="1669">
        <v>20313</v>
      </c>
      <c r="C133" s="9">
        <v>20313</v>
      </c>
      <c r="D133" s="8"/>
      <c r="E133" s="16"/>
      <c r="F133" s="15"/>
      <c r="G133" s="14"/>
    </row>
    <row r="134" spans="1:12" ht="13.5" hidden="1">
      <c r="A134" s="872" t="s">
        <v>165</v>
      </c>
      <c r="B134" s="1669">
        <v>20483</v>
      </c>
      <c r="C134" s="9">
        <v>20483</v>
      </c>
      <c r="D134" s="8"/>
      <c r="E134" s="16"/>
      <c r="F134" s="15"/>
      <c r="G134" s="14"/>
      <c r="H134" s="14"/>
    </row>
    <row r="135" spans="1:12" ht="13.5" hidden="1">
      <c r="A135" s="872" t="s">
        <v>164</v>
      </c>
      <c r="B135" s="1669">
        <v>20654</v>
      </c>
      <c r="C135" s="9">
        <v>20654</v>
      </c>
      <c r="D135" s="8"/>
      <c r="E135" s="16"/>
      <c r="F135" s="15"/>
      <c r="G135" s="14"/>
      <c r="H135" s="14"/>
    </row>
    <row r="136" spans="1:12" ht="13.5" hidden="1">
      <c r="A136" s="872" t="s">
        <v>163</v>
      </c>
      <c r="B136" s="1669">
        <v>20827</v>
      </c>
      <c r="C136" s="9">
        <v>20827</v>
      </c>
      <c r="D136" s="8"/>
      <c r="E136" s="16"/>
      <c r="F136" s="15"/>
      <c r="G136" s="14"/>
      <c r="H136" s="14"/>
    </row>
    <row r="137" spans="1:12" ht="13.5" hidden="1">
      <c r="A137" s="872" t="s">
        <v>162</v>
      </c>
      <c r="B137" s="1669">
        <v>21001</v>
      </c>
      <c r="C137" s="9">
        <v>21001</v>
      </c>
      <c r="D137" s="8"/>
      <c r="E137" s="16"/>
      <c r="F137" s="15"/>
      <c r="G137" s="14"/>
      <c r="H137" s="14"/>
      <c r="I137" s="14"/>
      <c r="J137" s="14"/>
      <c r="K137" s="13"/>
      <c r="L137" s="13"/>
    </row>
    <row r="138" spans="1:12" ht="13.5" hidden="1">
      <c r="A138" s="872" t="s">
        <v>161</v>
      </c>
      <c r="B138" s="1669">
        <v>21176</v>
      </c>
      <c r="C138" s="9">
        <v>21176</v>
      </c>
      <c r="D138" s="8"/>
      <c r="E138" s="16"/>
      <c r="F138" s="15"/>
      <c r="G138" s="14"/>
      <c r="H138" s="17"/>
      <c r="I138" s="14"/>
      <c r="J138" s="14"/>
      <c r="K138" s="13"/>
      <c r="L138" s="13"/>
    </row>
    <row r="139" spans="1:12" ht="13.5" hidden="1">
      <c r="A139" s="872" t="s">
        <v>160</v>
      </c>
      <c r="B139" s="1669">
        <v>21353</v>
      </c>
      <c r="C139" s="9">
        <v>21353</v>
      </c>
      <c r="D139" s="8"/>
      <c r="E139" s="16"/>
      <c r="F139" s="15"/>
      <c r="G139" s="14"/>
      <c r="H139" s="18"/>
    </row>
    <row r="140" spans="1:12" ht="13.5" hidden="1">
      <c r="A140" s="873" t="s">
        <v>159</v>
      </c>
      <c r="B140" s="1670">
        <v>22683</v>
      </c>
      <c r="C140" s="11">
        <v>22683</v>
      </c>
      <c r="D140" s="8"/>
      <c r="E140" s="16"/>
      <c r="F140" s="15"/>
      <c r="G140" s="14"/>
      <c r="H140" s="17"/>
      <c r="I140" s="14"/>
      <c r="J140" s="14"/>
      <c r="K140" s="13"/>
      <c r="L140" s="13"/>
    </row>
    <row r="141" spans="1:12" ht="13.5" hidden="1">
      <c r="A141" s="873" t="s">
        <v>158</v>
      </c>
      <c r="B141" s="1670">
        <v>22953</v>
      </c>
      <c r="C141" s="11">
        <v>22953</v>
      </c>
      <c r="D141" s="8"/>
    </row>
    <row r="142" spans="1:12" ht="13.5" hidden="1">
      <c r="A142" s="873" t="s">
        <v>157</v>
      </c>
      <c r="B142" s="1670">
        <v>23228</v>
      </c>
      <c r="C142" s="11">
        <v>23228</v>
      </c>
      <c r="D142" s="8"/>
    </row>
    <row r="143" spans="1:12" ht="13.5" hidden="1">
      <c r="A143" s="873" t="s">
        <v>156</v>
      </c>
      <c r="B143" s="1670">
        <v>23505</v>
      </c>
      <c r="C143" s="11">
        <v>23505</v>
      </c>
      <c r="D143" s="8"/>
    </row>
    <row r="144" spans="1:12" ht="13.5" hidden="1">
      <c r="A144" s="873" t="s">
        <v>155</v>
      </c>
      <c r="B144" s="1670">
        <v>23786</v>
      </c>
      <c r="C144" s="11">
        <v>23786</v>
      </c>
      <c r="D144" s="8"/>
    </row>
    <row r="145" spans="1:12" ht="13.5" hidden="1">
      <c r="A145" s="873" t="s">
        <v>154</v>
      </c>
      <c r="B145" s="1670">
        <v>24072</v>
      </c>
      <c r="C145" s="11">
        <v>24072</v>
      </c>
      <c r="D145" s="8"/>
    </row>
    <row r="146" spans="1:12" ht="13.5" hidden="1">
      <c r="A146" s="873" t="s">
        <v>153</v>
      </c>
      <c r="B146" s="1670">
        <v>24361</v>
      </c>
      <c r="C146" s="11">
        <v>24361</v>
      </c>
      <c r="D146" s="8"/>
    </row>
    <row r="147" spans="1:12" ht="13.5" hidden="1">
      <c r="A147" s="873" t="s">
        <v>152</v>
      </c>
      <c r="B147" s="1670">
        <v>24654</v>
      </c>
      <c r="C147" s="11">
        <v>24654</v>
      </c>
      <c r="D147" s="8"/>
    </row>
    <row r="148" spans="1:12" ht="13.5" hidden="1">
      <c r="A148" s="872" t="s">
        <v>151</v>
      </c>
      <c r="B148" s="1669">
        <v>24749</v>
      </c>
      <c r="C148" s="9">
        <v>24749</v>
      </c>
      <c r="D148" s="8"/>
    </row>
    <row r="149" spans="1:12" ht="13.5" hidden="1">
      <c r="A149" s="872" t="s">
        <v>150</v>
      </c>
      <c r="B149" s="1669">
        <v>25019</v>
      </c>
      <c r="C149" s="9">
        <v>25019</v>
      </c>
      <c r="D149" s="8"/>
    </row>
    <row r="150" spans="1:12" ht="13.5" hidden="1">
      <c r="A150" s="872" t="s">
        <v>149</v>
      </c>
      <c r="B150" s="1669">
        <v>25293</v>
      </c>
      <c r="C150" s="9">
        <v>25293</v>
      </c>
      <c r="D150" s="8"/>
      <c r="F150" s="16"/>
      <c r="G150" s="15"/>
      <c r="H150" s="14"/>
      <c r="I150" s="14"/>
      <c r="J150" s="14"/>
      <c r="K150" s="13"/>
      <c r="L150" s="13"/>
    </row>
    <row r="151" spans="1:12" ht="13.5" hidden="1">
      <c r="A151" s="872" t="s">
        <v>148</v>
      </c>
      <c r="B151" s="1669">
        <v>25569</v>
      </c>
      <c r="C151" s="9">
        <v>25569</v>
      </c>
      <c r="D151" s="8"/>
      <c r="F151" s="16"/>
      <c r="G151" s="15"/>
      <c r="H151" s="14"/>
      <c r="I151" s="14"/>
      <c r="J151" s="14"/>
      <c r="K151" s="13"/>
      <c r="L151" s="13"/>
    </row>
    <row r="152" spans="1:12" ht="13.5" hidden="1">
      <c r="A152" s="872" t="s">
        <v>147</v>
      </c>
      <c r="B152" s="1669">
        <v>25850</v>
      </c>
      <c r="C152" s="9">
        <v>25850</v>
      </c>
      <c r="D152" s="8"/>
      <c r="F152" s="16"/>
      <c r="G152" s="15"/>
      <c r="H152" s="14"/>
      <c r="I152" s="14"/>
      <c r="J152" s="14"/>
      <c r="K152" s="13"/>
      <c r="L152" s="13"/>
    </row>
    <row r="153" spans="1:12" ht="13.5" hidden="1">
      <c r="A153" s="872" t="s">
        <v>146</v>
      </c>
      <c r="B153" s="1669">
        <v>26134</v>
      </c>
      <c r="C153" s="9">
        <v>26134</v>
      </c>
      <c r="D153" s="8"/>
      <c r="F153" s="16"/>
      <c r="G153" s="15"/>
      <c r="H153" s="14"/>
      <c r="I153" s="14"/>
      <c r="J153" s="14"/>
      <c r="K153" s="13"/>
      <c r="L153" s="13"/>
    </row>
    <row r="154" spans="1:12" ht="13.5" hidden="1">
      <c r="A154" s="872" t="s">
        <v>145</v>
      </c>
      <c r="B154" s="1669">
        <v>26420</v>
      </c>
      <c r="C154" s="9">
        <v>26420</v>
      </c>
      <c r="D154" s="8"/>
      <c r="F154" s="16"/>
      <c r="G154" s="15"/>
      <c r="H154" s="14"/>
      <c r="I154" s="14"/>
      <c r="J154" s="14"/>
      <c r="K154" s="13"/>
      <c r="L154" s="13"/>
    </row>
    <row r="155" spans="1:12" ht="13.5" hidden="1">
      <c r="A155" s="872" t="s">
        <v>144</v>
      </c>
      <c r="B155" s="1669">
        <v>26711</v>
      </c>
      <c r="C155" s="9">
        <v>26711</v>
      </c>
      <c r="D155" s="8"/>
      <c r="F155" s="16"/>
      <c r="G155" s="15"/>
      <c r="H155" s="14"/>
      <c r="I155" s="14"/>
      <c r="J155" s="14"/>
      <c r="K155" s="13"/>
      <c r="L155" s="13"/>
    </row>
    <row r="156" spans="1:12" ht="13.5" hidden="1">
      <c r="A156" s="873" t="s">
        <v>143</v>
      </c>
      <c r="B156" s="1670">
        <v>26862</v>
      </c>
      <c r="C156" s="11">
        <v>26862</v>
      </c>
      <c r="D156" s="8"/>
    </row>
    <row r="157" spans="1:12" ht="13.5" hidden="1">
      <c r="A157" s="873" t="s">
        <v>142</v>
      </c>
      <c r="B157" s="1670">
        <v>27160</v>
      </c>
      <c r="C157" s="11">
        <v>27160</v>
      </c>
      <c r="D157" s="8"/>
    </row>
    <row r="158" spans="1:12" ht="13.5" hidden="1">
      <c r="A158" s="873" t="s">
        <v>141</v>
      </c>
      <c r="B158" s="1670">
        <v>27460</v>
      </c>
      <c r="C158" s="11">
        <v>27460</v>
      </c>
      <c r="D158" s="8"/>
    </row>
    <row r="159" spans="1:12" ht="13.5" hidden="1">
      <c r="A159" s="873" t="s">
        <v>140</v>
      </c>
      <c r="B159" s="1670">
        <v>27764</v>
      </c>
      <c r="C159" s="11">
        <v>27764</v>
      </c>
      <c r="D159" s="8"/>
    </row>
    <row r="160" spans="1:12" ht="13.5" hidden="1">
      <c r="A160" s="873" t="s">
        <v>139</v>
      </c>
      <c r="B160" s="1670">
        <v>28073</v>
      </c>
      <c r="C160" s="11">
        <v>28073</v>
      </c>
      <c r="D160" s="8"/>
    </row>
    <row r="161" spans="1:4" ht="13.5" hidden="1">
      <c r="A161" s="873" t="s">
        <v>138</v>
      </c>
      <c r="B161" s="1670">
        <v>28384</v>
      </c>
      <c r="C161" s="11">
        <v>28384</v>
      </c>
      <c r="D161" s="8"/>
    </row>
    <row r="162" spans="1:4" ht="13.5" hidden="1">
      <c r="A162" s="873" t="s">
        <v>137</v>
      </c>
      <c r="B162" s="1670">
        <v>28700</v>
      </c>
      <c r="C162" s="11">
        <v>28700</v>
      </c>
      <c r="D162" s="8"/>
    </row>
    <row r="163" spans="1:4" ht="13.5" hidden="1">
      <c r="A163" s="873" t="s">
        <v>136</v>
      </c>
      <c r="B163" s="1670">
        <v>29020</v>
      </c>
      <c r="C163" s="11">
        <v>29020</v>
      </c>
      <c r="D163" s="8"/>
    </row>
    <row r="164" spans="1:4" ht="13.5" hidden="1">
      <c r="A164" s="872" t="s">
        <v>135</v>
      </c>
      <c r="B164" s="1669">
        <v>29259</v>
      </c>
      <c r="C164" s="9">
        <v>29259</v>
      </c>
      <c r="D164" s="8"/>
    </row>
    <row r="165" spans="1:4" ht="13.5" hidden="1">
      <c r="A165" s="872" t="s">
        <v>134</v>
      </c>
      <c r="B165" s="1669">
        <v>29586</v>
      </c>
      <c r="C165" s="9">
        <v>29586</v>
      </c>
      <c r="D165" s="8"/>
    </row>
    <row r="166" spans="1:4" ht="13.5" hidden="1">
      <c r="A166" s="872" t="s">
        <v>133</v>
      </c>
      <c r="B166" s="1669">
        <v>29916</v>
      </c>
      <c r="C166" s="9">
        <v>29916</v>
      </c>
      <c r="D166" s="8"/>
    </row>
    <row r="167" spans="1:4" ht="13.5" hidden="1">
      <c r="A167" s="872" t="s">
        <v>132</v>
      </c>
      <c r="B167" s="1669">
        <v>30252</v>
      </c>
      <c r="C167" s="9">
        <v>30252</v>
      </c>
      <c r="D167" s="8"/>
    </row>
    <row r="168" spans="1:4" ht="13.5" hidden="1">
      <c r="A168" s="872" t="s">
        <v>131</v>
      </c>
      <c r="B168" s="1669">
        <v>30590</v>
      </c>
      <c r="C168" s="9">
        <v>30590</v>
      </c>
      <c r="D168" s="8"/>
    </row>
    <row r="169" spans="1:4" ht="13.5" hidden="1">
      <c r="A169" s="872" t="s">
        <v>130</v>
      </c>
      <c r="B169" s="1669">
        <v>30933</v>
      </c>
      <c r="C169" s="9">
        <v>30933</v>
      </c>
      <c r="D169" s="8"/>
    </row>
    <row r="170" spans="1:4" ht="13.5" hidden="1">
      <c r="A170" s="872" t="s">
        <v>129</v>
      </c>
      <c r="B170" s="1669">
        <v>31281</v>
      </c>
      <c r="C170" s="9">
        <v>31281</v>
      </c>
      <c r="D170" s="8"/>
    </row>
    <row r="171" spans="1:4" ht="13.5" hidden="1">
      <c r="A171" s="872" t="s">
        <v>128</v>
      </c>
      <c r="B171" s="1669">
        <v>31632</v>
      </c>
      <c r="C171" s="9">
        <v>31632</v>
      </c>
      <c r="D171" s="8"/>
    </row>
    <row r="172" spans="1:4" ht="13.5" hidden="1">
      <c r="A172" s="873" t="s">
        <v>127</v>
      </c>
      <c r="B172" s="1670">
        <v>31896</v>
      </c>
      <c r="C172" s="11">
        <v>31896</v>
      </c>
      <c r="D172" s="8"/>
    </row>
    <row r="173" spans="1:4" ht="13.5" hidden="1">
      <c r="A173" s="873" t="s">
        <v>126</v>
      </c>
      <c r="B173" s="1670">
        <v>32255</v>
      </c>
      <c r="C173" s="11">
        <v>32255</v>
      </c>
      <c r="D173" s="8"/>
    </row>
    <row r="174" spans="1:4" ht="13.5" hidden="1">
      <c r="A174" s="873" t="s">
        <v>125</v>
      </c>
      <c r="B174" s="1670">
        <v>32619</v>
      </c>
      <c r="C174" s="11">
        <v>32619</v>
      </c>
      <c r="D174" s="8"/>
    </row>
    <row r="175" spans="1:4" ht="13.5" hidden="1">
      <c r="A175" s="873" t="s">
        <v>124</v>
      </c>
      <c r="B175" s="1670">
        <v>32988</v>
      </c>
      <c r="C175" s="11">
        <v>32988</v>
      </c>
      <c r="D175" s="8"/>
    </row>
    <row r="176" spans="1:4" ht="13.5" hidden="1">
      <c r="A176" s="873" t="s">
        <v>123</v>
      </c>
      <c r="B176" s="1670">
        <v>33360</v>
      </c>
      <c r="C176" s="11">
        <v>33360</v>
      </c>
      <c r="D176" s="8"/>
    </row>
    <row r="177" spans="1:4" ht="13.5" hidden="1">
      <c r="A177" s="873" t="s">
        <v>122</v>
      </c>
      <c r="B177" s="1670">
        <v>33737</v>
      </c>
      <c r="C177" s="11">
        <v>33737</v>
      </c>
      <c r="D177" s="8"/>
    </row>
    <row r="178" spans="1:4" ht="13.5" hidden="1">
      <c r="A178" s="873" t="s">
        <v>121</v>
      </c>
      <c r="B178" s="1670">
        <v>34119</v>
      </c>
      <c r="C178" s="11">
        <v>34119</v>
      </c>
      <c r="D178" s="8"/>
    </row>
    <row r="179" spans="1:4" ht="13.5" hidden="1">
      <c r="A179" s="873" t="s">
        <v>120</v>
      </c>
      <c r="B179" s="1670">
        <v>34507</v>
      </c>
      <c r="C179" s="11">
        <v>34507</v>
      </c>
      <c r="D179" s="8"/>
    </row>
    <row r="180" spans="1:4" ht="13.5" hidden="1">
      <c r="A180" s="872" t="s">
        <v>119</v>
      </c>
      <c r="B180" s="1669">
        <v>34797</v>
      </c>
      <c r="C180" s="9">
        <v>34797</v>
      </c>
      <c r="D180" s="8"/>
    </row>
    <row r="181" spans="1:4" ht="13.5" hidden="1">
      <c r="A181" s="872" t="s">
        <v>118</v>
      </c>
      <c r="B181" s="1669">
        <v>35192</v>
      </c>
      <c r="C181" s="9">
        <v>35192</v>
      </c>
      <c r="D181" s="8"/>
    </row>
    <row r="182" spans="1:4" ht="13.5" hidden="1">
      <c r="A182" s="872" t="s">
        <v>117</v>
      </c>
      <c r="B182" s="1669">
        <v>35592</v>
      </c>
      <c r="C182" s="9">
        <v>35592</v>
      </c>
      <c r="D182" s="8"/>
    </row>
    <row r="183" spans="1:4" ht="13.5" hidden="1">
      <c r="A183" s="872" t="s">
        <v>116</v>
      </c>
      <c r="B183" s="1669">
        <v>35996</v>
      </c>
      <c r="C183" s="9">
        <v>35996</v>
      </c>
      <c r="D183" s="8"/>
    </row>
    <row r="184" spans="1:4" ht="13.5" hidden="1">
      <c r="A184" s="872" t="s">
        <v>115</v>
      </c>
      <c r="B184" s="1669">
        <v>36407</v>
      </c>
      <c r="C184" s="9">
        <v>36407</v>
      </c>
      <c r="D184" s="8"/>
    </row>
    <row r="185" spans="1:4" ht="13.5" hidden="1">
      <c r="A185" s="872" t="s">
        <v>114</v>
      </c>
      <c r="B185" s="1669">
        <v>36822</v>
      </c>
      <c r="C185" s="9">
        <v>36822</v>
      </c>
      <c r="D185" s="8"/>
    </row>
    <row r="186" spans="1:4" ht="13.5" hidden="1">
      <c r="A186" s="872" t="s">
        <v>113</v>
      </c>
      <c r="B186" s="1669">
        <v>37243</v>
      </c>
      <c r="C186" s="9">
        <v>37243</v>
      </c>
      <c r="D186" s="8"/>
    </row>
    <row r="187" spans="1:4" ht="13.5" hidden="1">
      <c r="A187" s="872" t="s">
        <v>112</v>
      </c>
      <c r="B187" s="1669">
        <v>37668</v>
      </c>
      <c r="C187" s="9">
        <v>37668</v>
      </c>
      <c r="D187" s="8"/>
    </row>
    <row r="188" spans="1:4" ht="13.5" hidden="1">
      <c r="A188" s="873" t="s">
        <v>111</v>
      </c>
      <c r="B188" s="1670">
        <v>37987</v>
      </c>
      <c r="C188" s="11">
        <v>37987</v>
      </c>
      <c r="D188" s="8"/>
    </row>
    <row r="189" spans="1:4" ht="13.5" hidden="1">
      <c r="A189" s="873" t="s">
        <v>110</v>
      </c>
      <c r="B189" s="1670">
        <v>38422</v>
      </c>
      <c r="C189" s="11">
        <v>38422</v>
      </c>
      <c r="D189" s="8"/>
    </row>
    <row r="190" spans="1:4" ht="13.5" hidden="1">
      <c r="A190" s="873" t="s">
        <v>109</v>
      </c>
      <c r="B190" s="1670">
        <v>38862</v>
      </c>
      <c r="C190" s="11">
        <v>38862</v>
      </c>
      <c r="D190" s="8"/>
    </row>
    <row r="191" spans="1:4" ht="13.5" hidden="1">
      <c r="A191" s="873" t="s">
        <v>108</v>
      </c>
      <c r="B191" s="1670">
        <v>39307</v>
      </c>
      <c r="C191" s="11">
        <v>39307</v>
      </c>
      <c r="D191" s="8"/>
    </row>
    <row r="192" spans="1:4" ht="13.5" hidden="1">
      <c r="A192" s="873" t="s">
        <v>107</v>
      </c>
      <c r="B192" s="1670">
        <v>39758</v>
      </c>
      <c r="C192" s="11">
        <v>39758</v>
      </c>
      <c r="D192" s="8"/>
    </row>
    <row r="193" spans="1:4" ht="13.5" hidden="1">
      <c r="A193" s="873" t="s">
        <v>106</v>
      </c>
      <c r="B193" s="1670">
        <v>40215</v>
      </c>
      <c r="C193" s="11">
        <v>40215</v>
      </c>
      <c r="D193" s="8"/>
    </row>
    <row r="194" spans="1:4" ht="13.5" hidden="1">
      <c r="A194" s="873" t="s">
        <v>105</v>
      </c>
      <c r="B194" s="1670">
        <v>40677</v>
      </c>
      <c r="C194" s="11">
        <v>40677</v>
      </c>
      <c r="D194" s="8"/>
    </row>
    <row r="195" spans="1:4" ht="13.5" hidden="1">
      <c r="A195" s="873" t="s">
        <v>104</v>
      </c>
      <c r="B195" s="1670">
        <v>41145</v>
      </c>
      <c r="C195" s="11">
        <v>41145</v>
      </c>
      <c r="D195" s="8"/>
    </row>
    <row r="196" spans="1:4" ht="13.5" hidden="1">
      <c r="A196" s="872" t="s">
        <v>103</v>
      </c>
      <c r="B196" s="1669">
        <v>41497</v>
      </c>
      <c r="C196" s="9">
        <v>41497</v>
      </c>
      <c r="D196" s="8"/>
    </row>
    <row r="197" spans="1:4" ht="13.5" hidden="1">
      <c r="A197" s="872" t="s">
        <v>102</v>
      </c>
      <c r="B197" s="1669">
        <v>41975</v>
      </c>
      <c r="C197" s="9">
        <v>41975</v>
      </c>
      <c r="D197" s="8"/>
    </row>
    <row r="198" spans="1:4" ht="13.5" hidden="1">
      <c r="A198" s="872" t="s">
        <v>101</v>
      </c>
      <c r="B198" s="1669">
        <v>42459</v>
      </c>
      <c r="C198" s="9">
        <v>42459</v>
      </c>
      <c r="D198" s="8"/>
    </row>
    <row r="199" spans="1:4" ht="13.5" hidden="1">
      <c r="A199" s="872" t="s">
        <v>100</v>
      </c>
      <c r="B199" s="1669">
        <v>42949</v>
      </c>
      <c r="C199" s="9">
        <v>42949</v>
      </c>
      <c r="D199" s="8"/>
    </row>
    <row r="200" spans="1:4" ht="13.5" hidden="1">
      <c r="A200" s="872" t="s">
        <v>99</v>
      </c>
      <c r="B200" s="1669">
        <v>43445</v>
      </c>
      <c r="C200" s="9">
        <v>43445</v>
      </c>
      <c r="D200" s="8"/>
    </row>
    <row r="201" spans="1:4" ht="13.5" hidden="1">
      <c r="A201" s="872" t="s">
        <v>98</v>
      </c>
      <c r="B201" s="1669">
        <v>43948</v>
      </c>
      <c r="C201" s="9">
        <v>43948</v>
      </c>
      <c r="D201" s="8"/>
    </row>
    <row r="202" spans="1:4" ht="13.5" hidden="1">
      <c r="A202" s="872" t="s">
        <v>97</v>
      </c>
      <c r="B202" s="1669">
        <v>44456</v>
      </c>
      <c r="C202" s="9">
        <v>44456</v>
      </c>
      <c r="D202" s="8"/>
    </row>
    <row r="203" spans="1:4" ht="13.5" hidden="1">
      <c r="A203" s="872" t="s">
        <v>96</v>
      </c>
      <c r="B203" s="1669">
        <v>44971</v>
      </c>
      <c r="C203" s="9">
        <v>44971</v>
      </c>
      <c r="D203" s="8"/>
    </row>
    <row r="204" spans="1:4" ht="13.5" hidden="1">
      <c r="A204" s="873" t="s">
        <v>95</v>
      </c>
      <c r="B204" s="1670">
        <v>45897</v>
      </c>
      <c r="C204" s="11">
        <v>45897</v>
      </c>
      <c r="D204" s="8"/>
    </row>
    <row r="205" spans="1:4" ht="13.5" hidden="1">
      <c r="A205" s="873" t="s">
        <v>94</v>
      </c>
      <c r="B205" s="1670">
        <v>46599</v>
      </c>
      <c r="C205" s="11">
        <v>46599</v>
      </c>
      <c r="D205" s="8"/>
    </row>
    <row r="206" spans="1:4" ht="13.5" hidden="1">
      <c r="A206" s="873" t="s">
        <v>93</v>
      </c>
      <c r="B206" s="1670">
        <v>47313</v>
      </c>
      <c r="C206" s="11">
        <v>47313</v>
      </c>
      <c r="D206" s="8"/>
    </row>
    <row r="207" spans="1:4" ht="13.5" hidden="1">
      <c r="A207" s="873" t="s">
        <v>92</v>
      </c>
      <c r="B207" s="1670">
        <v>48038</v>
      </c>
      <c r="C207" s="11">
        <v>48038</v>
      </c>
      <c r="D207" s="8"/>
    </row>
    <row r="208" spans="1:4" ht="13.5" hidden="1">
      <c r="A208" s="873" t="s">
        <v>91</v>
      </c>
      <c r="B208" s="1670">
        <v>48775</v>
      </c>
      <c r="C208" s="11">
        <v>48775</v>
      </c>
      <c r="D208" s="8"/>
    </row>
    <row r="209" spans="1:4" ht="13.5" hidden="1">
      <c r="A209" s="873" t="s">
        <v>90</v>
      </c>
      <c r="B209" s="1670">
        <v>49524</v>
      </c>
      <c r="C209" s="11">
        <v>49524</v>
      </c>
      <c r="D209" s="8"/>
    </row>
    <row r="210" spans="1:4" ht="13.5" hidden="1">
      <c r="A210" s="873" t="s">
        <v>89</v>
      </c>
      <c r="B210" s="1670">
        <v>50285</v>
      </c>
      <c r="C210" s="11">
        <v>50285</v>
      </c>
      <c r="D210" s="8"/>
    </row>
    <row r="211" spans="1:4" ht="13.5" hidden="1">
      <c r="A211" s="873" t="s">
        <v>88</v>
      </c>
      <c r="B211" s="1670">
        <v>51059</v>
      </c>
      <c r="C211" s="11">
        <v>51059</v>
      </c>
      <c r="D211" s="8"/>
    </row>
    <row r="212" spans="1:4" ht="13.5" hidden="1">
      <c r="A212" s="872" t="s">
        <v>87</v>
      </c>
      <c r="B212" s="1669">
        <v>51538</v>
      </c>
      <c r="C212" s="9">
        <v>51538</v>
      </c>
      <c r="D212" s="8"/>
    </row>
    <row r="213" spans="1:4" ht="13.5" hidden="1">
      <c r="A213" s="872" t="s">
        <v>86</v>
      </c>
      <c r="B213" s="1669">
        <v>52331</v>
      </c>
      <c r="C213" s="9">
        <v>52331</v>
      </c>
      <c r="D213" s="8"/>
    </row>
    <row r="214" spans="1:4" ht="13.5" hidden="1">
      <c r="A214" s="872" t="s">
        <v>85</v>
      </c>
      <c r="B214" s="1669">
        <v>53137</v>
      </c>
      <c r="C214" s="9">
        <v>53137</v>
      </c>
      <c r="D214" s="8"/>
    </row>
    <row r="215" spans="1:4" ht="13.5" hidden="1">
      <c r="A215" s="872" t="s">
        <v>84</v>
      </c>
      <c r="B215" s="1669">
        <v>53956</v>
      </c>
      <c r="C215" s="9">
        <v>53956</v>
      </c>
      <c r="D215" s="8"/>
    </row>
    <row r="216" spans="1:4" ht="13.5" hidden="1">
      <c r="A216" s="872" t="s">
        <v>83</v>
      </c>
      <c r="B216" s="1669">
        <v>54789</v>
      </c>
      <c r="C216" s="9">
        <v>54789</v>
      </c>
      <c r="D216" s="8"/>
    </row>
    <row r="217" spans="1:4" ht="13.5" hidden="1">
      <c r="A217" s="872" t="s">
        <v>82</v>
      </c>
      <c r="B217" s="1669">
        <v>55636</v>
      </c>
      <c r="C217" s="9">
        <v>55636</v>
      </c>
      <c r="D217" s="8"/>
    </row>
    <row r="218" spans="1:4" ht="13.5" hidden="1">
      <c r="A218" s="872" t="s">
        <v>81</v>
      </c>
      <c r="B218" s="1669">
        <v>56496</v>
      </c>
      <c r="C218" s="9">
        <v>56496</v>
      </c>
      <c r="D218" s="8"/>
    </row>
    <row r="219" spans="1:4" ht="13.5" hidden="1">
      <c r="A219" s="872" t="s">
        <v>80</v>
      </c>
      <c r="B219" s="1669">
        <v>57370</v>
      </c>
      <c r="C219" s="9">
        <v>57370</v>
      </c>
      <c r="D219" s="8"/>
    </row>
    <row r="220" spans="1:4" ht="13.5" hidden="1">
      <c r="A220" s="873" t="s">
        <v>79</v>
      </c>
      <c r="B220" s="1670">
        <v>57856</v>
      </c>
      <c r="C220" s="11">
        <v>57856</v>
      </c>
      <c r="D220" s="8"/>
    </row>
    <row r="221" spans="1:4" ht="13.5" hidden="1">
      <c r="A221" s="873" t="s">
        <v>78</v>
      </c>
      <c r="B221" s="1670">
        <v>58752</v>
      </c>
      <c r="C221" s="11">
        <v>58752</v>
      </c>
      <c r="D221" s="8"/>
    </row>
    <row r="222" spans="1:4" ht="13.5" hidden="1">
      <c r="A222" s="873" t="s">
        <v>77</v>
      </c>
      <c r="B222" s="1670">
        <v>59663</v>
      </c>
      <c r="C222" s="11">
        <v>59663</v>
      </c>
      <c r="D222" s="8"/>
    </row>
    <row r="223" spans="1:4" ht="13.5" hidden="1">
      <c r="A223" s="873" t="s">
        <v>76</v>
      </c>
      <c r="B223" s="1670">
        <v>60588</v>
      </c>
      <c r="C223" s="11">
        <v>60588</v>
      </c>
      <c r="D223" s="8"/>
    </row>
    <row r="224" spans="1:4" ht="13.5" hidden="1">
      <c r="A224" s="873" t="s">
        <v>75</v>
      </c>
      <c r="B224" s="1670">
        <v>61530</v>
      </c>
      <c r="C224" s="11">
        <v>61530</v>
      </c>
      <c r="D224" s="8"/>
    </row>
    <row r="225" spans="1:4" ht="13.5" hidden="1">
      <c r="A225" s="873" t="s">
        <v>74</v>
      </c>
      <c r="B225" s="1670">
        <v>62485</v>
      </c>
      <c r="C225" s="11">
        <v>62485</v>
      </c>
      <c r="D225" s="8"/>
    </row>
    <row r="226" spans="1:4" ht="13.5" hidden="1">
      <c r="A226" s="873" t="s">
        <v>73</v>
      </c>
      <c r="B226" s="1670">
        <v>63457</v>
      </c>
      <c r="C226" s="11">
        <v>63457</v>
      </c>
      <c r="D226" s="8"/>
    </row>
    <row r="227" spans="1:4" ht="13.5" hidden="1">
      <c r="A227" s="873" t="s">
        <v>72</v>
      </c>
      <c r="B227" s="1670">
        <v>64445</v>
      </c>
      <c r="C227" s="11">
        <v>64445</v>
      </c>
      <c r="D227" s="8"/>
    </row>
    <row r="228" spans="1:4" ht="13.5" hidden="1">
      <c r="A228" s="872" t="s">
        <v>71</v>
      </c>
      <c r="B228" s="1669">
        <v>64994</v>
      </c>
      <c r="C228" s="9">
        <v>64994</v>
      </c>
      <c r="D228" s="8"/>
    </row>
    <row r="229" spans="1:4" ht="13.5" hidden="1">
      <c r="A229" s="872" t="s">
        <v>70</v>
      </c>
      <c r="B229" s="1669">
        <v>66007</v>
      </c>
      <c r="C229" s="9">
        <v>66007</v>
      </c>
      <c r="D229" s="8"/>
    </row>
    <row r="230" spans="1:4" ht="13.5" hidden="1">
      <c r="A230" s="872" t="s">
        <v>69</v>
      </c>
      <c r="B230" s="1669">
        <v>67037</v>
      </c>
      <c r="C230" s="9">
        <v>67037</v>
      </c>
      <c r="D230" s="8"/>
    </row>
    <row r="231" spans="1:4" ht="13.5" hidden="1">
      <c r="A231" s="872" t="s">
        <v>68</v>
      </c>
      <c r="B231" s="1669">
        <v>68083</v>
      </c>
      <c r="C231" s="9">
        <v>68083</v>
      </c>
      <c r="D231" s="8"/>
    </row>
    <row r="232" spans="1:4" ht="13.5" hidden="1">
      <c r="A232" s="872" t="s">
        <v>67</v>
      </c>
      <c r="B232" s="1669">
        <v>69146</v>
      </c>
      <c r="C232" s="9">
        <v>69146</v>
      </c>
      <c r="D232" s="8"/>
    </row>
    <row r="233" spans="1:4" ht="13.5" hidden="1">
      <c r="A233" s="872" t="s">
        <v>66</v>
      </c>
      <c r="B233" s="1669">
        <v>70227</v>
      </c>
      <c r="C233" s="9">
        <v>70227</v>
      </c>
      <c r="D233" s="8"/>
    </row>
    <row r="234" spans="1:4" ht="13.5" hidden="1">
      <c r="A234" s="872" t="s">
        <v>65</v>
      </c>
      <c r="B234" s="1669">
        <v>71325</v>
      </c>
      <c r="C234" s="9">
        <v>71325</v>
      </c>
      <c r="D234" s="8"/>
    </row>
    <row r="235" spans="1:4" ht="13.5" hidden="1">
      <c r="A235" s="872" t="s">
        <v>64</v>
      </c>
      <c r="B235" s="1669">
        <v>72440</v>
      </c>
      <c r="C235" s="9">
        <v>72440</v>
      </c>
      <c r="D235" s="8"/>
    </row>
    <row r="236" spans="1:4" ht="13.5" hidden="1">
      <c r="A236" s="873" t="s">
        <v>63</v>
      </c>
      <c r="B236" s="1670">
        <v>73062</v>
      </c>
      <c r="C236" s="11">
        <v>73062</v>
      </c>
      <c r="D236" s="8"/>
    </row>
    <row r="237" spans="1:4" ht="13.5" hidden="1">
      <c r="A237" s="873" t="s">
        <v>62</v>
      </c>
      <c r="B237" s="1670">
        <v>74205</v>
      </c>
      <c r="C237" s="11">
        <v>74205</v>
      </c>
      <c r="D237" s="8"/>
    </row>
    <row r="238" spans="1:4" ht="13.5" hidden="1">
      <c r="A238" s="873" t="s">
        <v>61</v>
      </c>
      <c r="B238" s="1670">
        <v>75369</v>
      </c>
      <c r="C238" s="11">
        <v>75369</v>
      </c>
      <c r="D238" s="8"/>
    </row>
    <row r="239" spans="1:4" ht="13.5" hidden="1">
      <c r="A239" s="873" t="s">
        <v>60</v>
      </c>
      <c r="B239" s="1670">
        <v>76554</v>
      </c>
      <c r="C239" s="11">
        <v>76554</v>
      </c>
      <c r="D239" s="8"/>
    </row>
    <row r="240" spans="1:4" ht="13.5" hidden="1">
      <c r="A240" s="873" t="s">
        <v>59</v>
      </c>
      <c r="B240" s="1670">
        <v>77804</v>
      </c>
      <c r="C240" s="11">
        <v>77804</v>
      </c>
      <c r="D240" s="8"/>
    </row>
    <row r="241" spans="1:4" ht="13.5" hidden="1">
      <c r="A241" s="873" t="s">
        <v>58</v>
      </c>
      <c r="B241" s="1670">
        <v>79073</v>
      </c>
      <c r="C241" s="11">
        <v>79073</v>
      </c>
      <c r="D241" s="8"/>
    </row>
    <row r="242" spans="1:4" ht="13.5" hidden="1">
      <c r="A242" s="873" t="s">
        <v>57</v>
      </c>
      <c r="B242" s="1670">
        <v>80364</v>
      </c>
      <c r="C242" s="11">
        <v>80364</v>
      </c>
      <c r="D242" s="8"/>
    </row>
    <row r="243" spans="1:4" ht="13.5" hidden="1">
      <c r="A243" s="873" t="s">
        <v>56</v>
      </c>
      <c r="B243" s="1670">
        <v>81676</v>
      </c>
      <c r="C243" s="11">
        <v>81676</v>
      </c>
      <c r="D243" s="8"/>
    </row>
    <row r="244" spans="1:4" ht="13.5" hidden="1">
      <c r="A244" s="872" t="s">
        <v>55</v>
      </c>
      <c r="B244" s="1669">
        <v>82405</v>
      </c>
      <c r="C244" s="9">
        <v>82405</v>
      </c>
      <c r="D244" s="8"/>
    </row>
    <row r="245" spans="1:4" ht="13.5" hidden="1">
      <c r="A245" s="872" t="s">
        <v>54</v>
      </c>
      <c r="B245" s="1669">
        <v>83750</v>
      </c>
      <c r="C245" s="9">
        <v>83750</v>
      </c>
      <c r="D245" s="8"/>
    </row>
    <row r="246" spans="1:4" ht="13.5" hidden="1">
      <c r="A246" s="872" t="s">
        <v>53</v>
      </c>
      <c r="B246" s="1669">
        <v>85117</v>
      </c>
      <c r="C246" s="9">
        <v>85117</v>
      </c>
      <c r="D246" s="8"/>
    </row>
    <row r="247" spans="1:4" ht="13.5" hidden="1">
      <c r="A247" s="872" t="s">
        <v>52</v>
      </c>
      <c r="B247" s="1669">
        <v>86506</v>
      </c>
      <c r="C247" s="9">
        <v>86506</v>
      </c>
      <c r="D247" s="8"/>
    </row>
    <row r="248" spans="1:4" ht="13.5" hidden="1">
      <c r="A248" s="872" t="s">
        <v>51</v>
      </c>
      <c r="B248" s="1669">
        <v>87918</v>
      </c>
      <c r="C248" s="9">
        <v>87918</v>
      </c>
      <c r="D248" s="8"/>
    </row>
    <row r="249" spans="1:4" ht="13.5" hidden="1">
      <c r="A249" s="872" t="s">
        <v>50</v>
      </c>
      <c r="B249" s="1669">
        <v>89354</v>
      </c>
      <c r="C249" s="9">
        <v>89354</v>
      </c>
      <c r="D249" s="8"/>
    </row>
    <row r="250" spans="1:4" ht="13.5" hidden="1">
      <c r="A250" s="872" t="s">
        <v>49</v>
      </c>
      <c r="B250" s="1669">
        <v>90812</v>
      </c>
      <c r="C250" s="9">
        <v>90812</v>
      </c>
      <c r="D250" s="8"/>
    </row>
    <row r="251" spans="1:4" ht="13.5" hidden="1">
      <c r="A251" s="872" t="s">
        <v>48</v>
      </c>
      <c r="B251" s="1669">
        <v>92294</v>
      </c>
      <c r="C251" s="9">
        <v>92294</v>
      </c>
      <c r="D251" s="8"/>
    </row>
    <row r="252" spans="1:4" ht="13.5" hidden="1">
      <c r="A252" s="873" t="s">
        <v>47</v>
      </c>
      <c r="B252" s="1670">
        <v>93942</v>
      </c>
      <c r="C252" s="11">
        <v>93942</v>
      </c>
      <c r="D252" s="8"/>
    </row>
    <row r="253" spans="1:4" ht="13.5" hidden="1">
      <c r="A253" s="873" t="s">
        <v>46</v>
      </c>
      <c r="B253" s="1670">
        <v>95475</v>
      </c>
      <c r="C253" s="11">
        <v>95475</v>
      </c>
      <c r="D253" s="8"/>
    </row>
    <row r="254" spans="1:4" ht="13.5" hidden="1">
      <c r="A254" s="873" t="s">
        <v>45</v>
      </c>
      <c r="B254" s="1670">
        <v>97033</v>
      </c>
      <c r="C254" s="11">
        <v>97033</v>
      </c>
      <c r="D254" s="8"/>
    </row>
    <row r="255" spans="1:4" ht="13.5" hidden="1">
      <c r="A255" s="873" t="s">
        <v>44</v>
      </c>
      <c r="B255" s="1670">
        <v>98618</v>
      </c>
      <c r="C255" s="11">
        <v>98618</v>
      </c>
      <c r="D255" s="8"/>
    </row>
    <row r="256" spans="1:4" ht="13.5" hidden="1">
      <c r="A256" s="873" t="s">
        <v>43</v>
      </c>
      <c r="B256" s="1670">
        <v>100227</v>
      </c>
      <c r="C256" s="11">
        <v>100227</v>
      </c>
      <c r="D256" s="8"/>
    </row>
    <row r="257" spans="1:12" ht="13.5" hidden="1">
      <c r="A257" s="873" t="s">
        <v>42</v>
      </c>
      <c r="B257" s="1670">
        <v>101863</v>
      </c>
      <c r="C257" s="11">
        <v>101863</v>
      </c>
      <c r="D257" s="8"/>
    </row>
    <row r="258" spans="1:12" ht="13.5" hidden="1">
      <c r="A258" s="873" t="s">
        <v>41</v>
      </c>
      <c r="B258" s="1670">
        <v>103525</v>
      </c>
      <c r="C258" s="11">
        <v>103525</v>
      </c>
      <c r="D258" s="8"/>
    </row>
    <row r="259" spans="1:12" ht="13.5" hidden="1">
      <c r="A259" s="873" t="s">
        <v>40</v>
      </c>
      <c r="B259" s="1670">
        <v>105215</v>
      </c>
      <c r="C259" s="11">
        <v>105215</v>
      </c>
      <c r="D259" s="8"/>
    </row>
    <row r="260" spans="1:12" ht="13.5" hidden="1">
      <c r="A260" s="872" t="s">
        <v>39</v>
      </c>
      <c r="B260" s="1669">
        <v>106155</v>
      </c>
      <c r="C260" s="9">
        <v>106155</v>
      </c>
      <c r="D260" s="8"/>
      <c r="F260" s="16"/>
      <c r="G260" s="15"/>
      <c r="H260" s="14"/>
      <c r="I260" s="14"/>
      <c r="J260" s="14"/>
      <c r="K260" s="13"/>
      <c r="L260" s="13"/>
    </row>
    <row r="261" spans="1:12" ht="13.5" hidden="1">
      <c r="A261" s="872" t="s">
        <v>38</v>
      </c>
      <c r="B261" s="1669">
        <v>107887</v>
      </c>
      <c r="C261" s="9">
        <v>107887</v>
      </c>
      <c r="D261" s="8"/>
      <c r="F261" s="16"/>
      <c r="G261" s="15"/>
      <c r="H261" s="14"/>
      <c r="I261" s="14"/>
      <c r="J261" s="14"/>
      <c r="K261" s="13"/>
      <c r="L261" s="13"/>
    </row>
    <row r="262" spans="1:12" ht="13.5" hidden="1">
      <c r="A262" s="872" t="s">
        <v>37</v>
      </c>
      <c r="B262" s="1669">
        <v>109648</v>
      </c>
      <c r="C262" s="9">
        <v>109648</v>
      </c>
      <c r="D262" s="8"/>
    </row>
    <row r="263" spans="1:12" ht="13.5" hidden="1">
      <c r="A263" s="872" t="s">
        <v>36</v>
      </c>
      <c r="B263" s="1669">
        <v>111438</v>
      </c>
      <c r="C263" s="9">
        <v>111438</v>
      </c>
      <c r="D263" s="8"/>
    </row>
    <row r="264" spans="1:12" ht="13.5" hidden="1">
      <c r="A264" s="872" t="s">
        <v>35</v>
      </c>
      <c r="B264" s="1669">
        <v>113256</v>
      </c>
      <c r="C264" s="9">
        <v>113256</v>
      </c>
      <c r="D264" s="8"/>
    </row>
    <row r="265" spans="1:12" ht="13.5" hidden="1">
      <c r="A265" s="872" t="s">
        <v>34</v>
      </c>
      <c r="B265" s="1669">
        <v>115105</v>
      </c>
      <c r="C265" s="9">
        <v>115105</v>
      </c>
      <c r="D265" s="8"/>
    </row>
    <row r="266" spans="1:12" ht="13.5" hidden="1">
      <c r="A266" s="872" t="s">
        <v>33</v>
      </c>
      <c r="B266" s="1669">
        <v>116983</v>
      </c>
      <c r="C266" s="9">
        <v>116983</v>
      </c>
      <c r="D266" s="8"/>
    </row>
    <row r="267" spans="1:12" ht="13.5" hidden="1">
      <c r="A267" s="872" t="s">
        <v>32</v>
      </c>
      <c r="B267" s="1669">
        <v>118893</v>
      </c>
      <c r="C267" s="9">
        <v>118893</v>
      </c>
      <c r="D267" s="8"/>
    </row>
    <row r="268" spans="1:12" ht="13.5" hidden="1">
      <c r="A268" s="873" t="s">
        <v>31</v>
      </c>
      <c r="B268" s="1670">
        <v>119954</v>
      </c>
      <c r="C268" s="11">
        <v>119954</v>
      </c>
      <c r="D268" s="8"/>
    </row>
    <row r="269" spans="1:12" ht="13.5" hidden="1">
      <c r="A269" s="873" t="s">
        <v>30</v>
      </c>
      <c r="B269" s="1670">
        <v>121913</v>
      </c>
      <c r="C269" s="11">
        <v>121913</v>
      </c>
      <c r="D269" s="8"/>
    </row>
    <row r="270" spans="1:12" ht="13.5" hidden="1">
      <c r="A270" s="873" t="s">
        <v>29</v>
      </c>
      <c r="B270" s="1670">
        <v>123902</v>
      </c>
      <c r="C270" s="11">
        <v>123902</v>
      </c>
      <c r="D270" s="8"/>
    </row>
    <row r="271" spans="1:12" ht="13.5" hidden="1">
      <c r="A271" s="873" t="s">
        <v>28</v>
      </c>
      <c r="B271" s="1670">
        <v>125924</v>
      </c>
      <c r="C271" s="11">
        <v>125924</v>
      </c>
      <c r="D271" s="8"/>
    </row>
    <row r="272" spans="1:12" ht="13.5" hidden="1">
      <c r="A272" s="873" t="s">
        <v>27</v>
      </c>
      <c r="B272" s="1670">
        <v>127979</v>
      </c>
      <c r="C272" s="11">
        <v>127979</v>
      </c>
      <c r="D272" s="8"/>
    </row>
    <row r="273" spans="1:14" ht="13.5" hidden="1">
      <c r="A273" s="873" t="s">
        <v>26</v>
      </c>
      <c r="B273" s="1670">
        <v>130068</v>
      </c>
      <c r="C273" s="11">
        <v>130068</v>
      </c>
      <c r="D273" s="8"/>
    </row>
    <row r="274" spans="1:14" ht="13.5" hidden="1">
      <c r="A274" s="873" t="s">
        <v>25</v>
      </c>
      <c r="B274" s="1670">
        <v>132192</v>
      </c>
      <c r="C274" s="11">
        <v>132192</v>
      </c>
      <c r="D274" s="8"/>
    </row>
    <row r="275" spans="1:14" ht="13.5" hidden="1">
      <c r="A275" s="873" t="s">
        <v>24</v>
      </c>
      <c r="B275" s="1670">
        <v>134349</v>
      </c>
      <c r="C275" s="11">
        <v>134349</v>
      </c>
      <c r="D275" s="8"/>
    </row>
    <row r="276" spans="1:14" ht="13.5" hidden="1">
      <c r="A276" s="872" t="s">
        <v>23</v>
      </c>
      <c r="B276" s="1669">
        <v>135549</v>
      </c>
      <c r="C276" s="9">
        <v>135549</v>
      </c>
      <c r="D276" s="8"/>
    </row>
    <row r="277" spans="1:14" ht="13.5" hidden="1">
      <c r="A277" s="872" t="s">
        <v>22</v>
      </c>
      <c r="B277" s="1669">
        <v>137760</v>
      </c>
      <c r="C277" s="9">
        <v>137760</v>
      </c>
      <c r="D277" s="8"/>
    </row>
    <row r="278" spans="1:14" ht="13.5" hidden="1">
      <c r="A278" s="872" t="s">
        <v>21</v>
      </c>
      <c r="B278" s="1669">
        <v>140009</v>
      </c>
      <c r="C278" s="9">
        <v>140009</v>
      </c>
      <c r="D278" s="8"/>
    </row>
    <row r="279" spans="1:14" ht="13.5" hidden="1">
      <c r="A279" s="872" t="s">
        <v>20</v>
      </c>
      <c r="B279" s="1669">
        <v>142295</v>
      </c>
      <c r="C279" s="9">
        <v>142295</v>
      </c>
      <c r="D279" s="8"/>
    </row>
    <row r="280" spans="1:14" ht="13.5" hidden="1">
      <c r="A280" s="872" t="s">
        <v>19</v>
      </c>
      <c r="B280" s="1669">
        <v>144617</v>
      </c>
      <c r="C280" s="9">
        <v>144617</v>
      </c>
      <c r="D280" s="8"/>
    </row>
    <row r="281" spans="1:14" ht="13.5" hidden="1">
      <c r="A281" s="872" t="s">
        <v>18</v>
      </c>
      <c r="B281" s="1669">
        <v>146978</v>
      </c>
      <c r="C281" s="9">
        <v>146978</v>
      </c>
      <c r="D281" s="8"/>
    </row>
    <row r="282" spans="1:14" ht="13.5" hidden="1">
      <c r="A282" s="872" t="s">
        <v>17</v>
      </c>
      <c r="B282" s="1669">
        <v>149377</v>
      </c>
      <c r="C282" s="9">
        <v>149377</v>
      </c>
      <c r="D282" s="8"/>
    </row>
    <row r="283" spans="1:14" ht="13.5" hidden="1">
      <c r="A283" s="872" t="s">
        <v>16</v>
      </c>
      <c r="B283" s="1669">
        <v>151814</v>
      </c>
      <c r="C283" s="9">
        <v>151814</v>
      </c>
      <c r="D283" s="8"/>
      <c r="M283" s="3"/>
      <c r="N283" s="3"/>
    </row>
    <row r="284" spans="1:14" ht="13.5" hidden="1">
      <c r="A284" s="873" t="s">
        <v>15</v>
      </c>
      <c r="B284" s="1670">
        <v>153169</v>
      </c>
      <c r="C284" s="11">
        <v>153169</v>
      </c>
      <c r="D284" s="8"/>
      <c r="M284" s="3"/>
      <c r="N284" s="3"/>
    </row>
    <row r="285" spans="1:14" ht="13.5" hidden="1">
      <c r="A285" s="873" t="s">
        <v>14</v>
      </c>
      <c r="B285" s="1670">
        <v>155670</v>
      </c>
      <c r="C285" s="11">
        <v>155670</v>
      </c>
      <c r="D285" s="8"/>
      <c r="M285" s="3"/>
      <c r="N285" s="3"/>
    </row>
    <row r="286" spans="1:14" ht="13.5" hidden="1">
      <c r="A286" s="873" t="s">
        <v>13</v>
      </c>
      <c r="B286" s="1670">
        <v>158210</v>
      </c>
      <c r="C286" s="11">
        <v>158210</v>
      </c>
      <c r="D286" s="8"/>
      <c r="M286" s="3"/>
      <c r="N286" s="3"/>
    </row>
    <row r="287" spans="1:14" ht="13.5" hidden="1">
      <c r="A287" s="873" t="s">
        <v>12</v>
      </c>
      <c r="B287" s="1670">
        <v>160793</v>
      </c>
      <c r="C287" s="11">
        <v>160793</v>
      </c>
      <c r="D287" s="8"/>
      <c r="M287" s="3"/>
      <c r="N287" s="3"/>
    </row>
    <row r="288" spans="1:14" ht="13.5" hidden="1">
      <c r="A288" s="873" t="s">
        <v>11</v>
      </c>
      <c r="B288" s="1670">
        <v>163417</v>
      </c>
      <c r="C288" s="11">
        <v>163417</v>
      </c>
      <c r="D288" s="8"/>
      <c r="M288" s="3"/>
      <c r="N288" s="3"/>
    </row>
    <row r="289" spans="1:14" ht="13.5" hidden="1">
      <c r="A289" s="873" t="s">
        <v>10</v>
      </c>
      <c r="B289" s="1670">
        <v>166085</v>
      </c>
      <c r="C289" s="11">
        <v>166085</v>
      </c>
      <c r="D289" s="8"/>
      <c r="M289" s="3"/>
      <c r="N289" s="3"/>
    </row>
    <row r="290" spans="1:14" ht="13.5" hidden="1">
      <c r="A290" s="873" t="s">
        <v>9</v>
      </c>
      <c r="B290" s="1670">
        <v>168795</v>
      </c>
      <c r="C290" s="11">
        <v>168795</v>
      </c>
      <c r="D290" s="8"/>
      <c r="M290" s="3"/>
      <c r="N290" s="3"/>
    </row>
    <row r="291" spans="1:14" ht="13.5" hidden="1">
      <c r="A291" s="873" t="s">
        <v>8</v>
      </c>
      <c r="B291" s="1670">
        <v>171550</v>
      </c>
      <c r="C291" s="11">
        <v>171550</v>
      </c>
      <c r="D291" s="8"/>
      <c r="M291" s="3"/>
      <c r="N291" s="3"/>
    </row>
    <row r="292" spans="1:14" ht="13.5" hidden="1">
      <c r="A292" s="872" t="s">
        <v>7</v>
      </c>
      <c r="B292" s="1669">
        <v>173081</v>
      </c>
      <c r="C292" s="9">
        <v>173081</v>
      </c>
      <c r="D292" s="8"/>
      <c r="M292" s="3"/>
      <c r="N292" s="3"/>
    </row>
    <row r="293" spans="1:14" ht="13.5" hidden="1">
      <c r="A293" s="872" t="s">
        <v>6</v>
      </c>
      <c r="B293" s="1669">
        <v>175905</v>
      </c>
      <c r="C293" s="9">
        <v>175905</v>
      </c>
      <c r="D293" s="8"/>
      <c r="M293" s="3"/>
      <c r="N293" s="3"/>
    </row>
    <row r="294" spans="1:14" ht="13.5" hidden="1">
      <c r="A294" s="872" t="s">
        <v>5</v>
      </c>
      <c r="B294" s="1669">
        <v>178778</v>
      </c>
      <c r="C294" s="9">
        <v>178778</v>
      </c>
      <c r="D294" s="8"/>
      <c r="M294" s="3"/>
      <c r="N294" s="3"/>
    </row>
    <row r="295" spans="1:14" ht="13.5" hidden="1">
      <c r="A295" s="872" t="s">
        <v>4</v>
      </c>
      <c r="B295" s="1669">
        <v>181696</v>
      </c>
      <c r="C295" s="9">
        <v>181696</v>
      </c>
      <c r="D295" s="8"/>
      <c r="M295" s="3"/>
      <c r="N295" s="3"/>
    </row>
    <row r="296" spans="1:14" ht="13.5" hidden="1">
      <c r="A296" s="872" t="s">
        <v>3</v>
      </c>
      <c r="B296" s="1669">
        <v>184661</v>
      </c>
      <c r="C296" s="9">
        <v>184661</v>
      </c>
      <c r="D296" s="8"/>
      <c r="M296" s="3"/>
      <c r="N296" s="3"/>
    </row>
    <row r="297" spans="1:14" ht="13.5" hidden="1">
      <c r="A297" s="872" t="s">
        <v>2</v>
      </c>
      <c r="B297" s="1669">
        <v>187675</v>
      </c>
      <c r="C297" s="9">
        <v>187675</v>
      </c>
      <c r="D297" s="8"/>
      <c r="M297" s="3"/>
      <c r="N297" s="3"/>
    </row>
    <row r="298" spans="1:14" ht="13.5" hidden="1">
      <c r="A298" s="872" t="s">
        <v>1</v>
      </c>
      <c r="B298" s="1669">
        <v>190738</v>
      </c>
      <c r="C298" s="9">
        <v>190738</v>
      </c>
      <c r="D298" s="8"/>
      <c r="M298" s="3"/>
      <c r="N298" s="3"/>
    </row>
    <row r="299" spans="1:14" ht="13.5" hidden="1">
      <c r="A299" s="872" t="s">
        <v>0</v>
      </c>
      <c r="B299" s="1669">
        <v>193851</v>
      </c>
      <c r="C299" s="9">
        <v>193851</v>
      </c>
      <c r="D299" s="8"/>
      <c r="M299" s="3"/>
      <c r="N299" s="3"/>
    </row>
    <row r="300" spans="1:14" s="3" customFormat="1" ht="15" hidden="1">
      <c r="A300" s="7"/>
      <c r="B300" s="6"/>
    </row>
    <row r="301" spans="1:14" s="3" customFormat="1" ht="15" hidden="1">
      <c r="A301" s="7"/>
      <c r="B301" s="6"/>
    </row>
    <row r="302" spans="1:14" s="3" customFormat="1" ht="15" hidden="1">
      <c r="A302" s="7"/>
      <c r="B302" s="6"/>
    </row>
    <row r="303" spans="1:14" s="3" customFormat="1" ht="15" hidden="1">
      <c r="A303" s="7"/>
      <c r="B303" s="6"/>
    </row>
    <row r="304" spans="1:14" s="3" customFormat="1" ht="15" hidden="1">
      <c r="A304" s="7"/>
      <c r="B304" s="6"/>
    </row>
    <row r="305" spans="1:14" s="3" customFormat="1" ht="15" hidden="1">
      <c r="A305" s="7"/>
      <c r="B305" s="6"/>
    </row>
    <row r="306" spans="1:14" s="3" customFormat="1" ht="15" hidden="1">
      <c r="A306" s="7"/>
      <c r="B306" s="6"/>
    </row>
    <row r="307" spans="1:14" s="3" customFormat="1" ht="15" hidden="1">
      <c r="A307" s="7"/>
      <c r="B307" s="6"/>
    </row>
    <row r="308" spans="1:14" s="3" customFormat="1" ht="15" hidden="1">
      <c r="A308" s="7"/>
      <c r="B308" s="6"/>
    </row>
    <row r="309" spans="1:14" s="3" customFormat="1" ht="15" hidden="1">
      <c r="A309" s="7"/>
      <c r="B309" s="6"/>
    </row>
    <row r="310" spans="1:14" s="3" customFormat="1" ht="15" hidden="1">
      <c r="A310" s="7"/>
      <c r="B310" s="6"/>
    </row>
    <row r="311" spans="1:14" s="3" customFormat="1" ht="15" hidden="1">
      <c r="A311" s="7"/>
      <c r="B311" s="6"/>
    </row>
    <row r="312" spans="1:14" s="3" customFormat="1" ht="15" hidden="1">
      <c r="A312" s="7"/>
      <c r="B312" s="6"/>
      <c r="M312" s="1"/>
      <c r="N312" s="1"/>
    </row>
    <row r="313" spans="1:14" s="3" customFormat="1" ht="15" hidden="1">
      <c r="A313" s="7"/>
      <c r="B313" s="6"/>
      <c r="M313" s="1"/>
      <c r="N313" s="1"/>
    </row>
    <row r="314" spans="1:14" s="3" customFormat="1" ht="15" hidden="1">
      <c r="A314" s="7"/>
      <c r="B314" s="6"/>
      <c r="M314" s="1"/>
      <c r="N314" s="1"/>
    </row>
    <row r="315" spans="1:14" s="3" customFormat="1" ht="15" hidden="1">
      <c r="A315" s="7"/>
      <c r="B315" s="6"/>
      <c r="M315" s="1"/>
      <c r="N315" s="1"/>
    </row>
    <row r="316" spans="1:14" s="3" customFormat="1" ht="15" hidden="1">
      <c r="A316" s="7"/>
      <c r="B316" s="6"/>
      <c r="M316" s="1"/>
      <c r="N316" s="1"/>
    </row>
    <row r="317" spans="1:14" s="3" customFormat="1" ht="15" hidden="1">
      <c r="A317" s="7"/>
      <c r="B317" s="6"/>
      <c r="M317" s="1"/>
      <c r="N317" s="1"/>
    </row>
    <row r="318" spans="1:14" s="3" customFormat="1" ht="15" hidden="1">
      <c r="A318" s="7"/>
      <c r="B318" s="6"/>
      <c r="M318" s="1"/>
      <c r="N318" s="1"/>
    </row>
    <row r="319" spans="1:14" s="3" customFormat="1" ht="15" hidden="1">
      <c r="A319" s="7"/>
      <c r="B319" s="6"/>
      <c r="M319" s="1"/>
      <c r="N319" s="1"/>
    </row>
    <row r="320" spans="1:14" s="3" customFormat="1" ht="15" hidden="1">
      <c r="A320" s="7"/>
      <c r="B320" s="6"/>
      <c r="M320" s="1"/>
      <c r="N320" s="1"/>
    </row>
    <row r="321" spans="1:14" s="3" customFormat="1" ht="15" hidden="1">
      <c r="A321" s="7"/>
      <c r="B321" s="6"/>
      <c r="M321" s="1"/>
      <c r="N321" s="1"/>
    </row>
    <row r="322" spans="1:14" s="3" customFormat="1" ht="15" hidden="1">
      <c r="A322" s="7"/>
      <c r="B322" s="6"/>
      <c r="M322" s="1"/>
      <c r="N322" s="1"/>
    </row>
    <row r="323" spans="1:14" s="3" customFormat="1" ht="15">
      <c r="A323" s="7"/>
      <c r="B323" s="6"/>
      <c r="M323" s="1"/>
      <c r="N323" s="1"/>
    </row>
    <row r="324" spans="1:14" s="3" customFormat="1" ht="15">
      <c r="A324" s="7"/>
      <c r="B324" s="6"/>
      <c r="M324" s="1"/>
      <c r="N324" s="1"/>
    </row>
    <row r="325" spans="1:14" s="3" customFormat="1" ht="15">
      <c r="A325" s="7"/>
      <c r="B325" s="6"/>
      <c r="M325" s="1"/>
      <c r="N325" s="1"/>
    </row>
    <row r="326" spans="1:14" s="3" customFormat="1" ht="15">
      <c r="A326" s="7"/>
      <c r="B326" s="6"/>
      <c r="M326" s="1"/>
      <c r="N326" s="1"/>
    </row>
    <row r="327" spans="1:14" s="3" customFormat="1" ht="15">
      <c r="A327" s="7"/>
      <c r="B327" s="6"/>
      <c r="M327" s="1"/>
      <c r="N327" s="1"/>
    </row>
    <row r="328" spans="1:14" s="3" customFormat="1" ht="15">
      <c r="A328" s="7"/>
      <c r="B328" s="6"/>
      <c r="M328" s="1"/>
      <c r="N328" s="1"/>
    </row>
  </sheetData>
  <mergeCells count="20">
    <mergeCell ref="E8:F8"/>
    <mergeCell ref="G8:H8"/>
    <mergeCell ref="K8:L8"/>
    <mergeCell ref="A58:B58"/>
    <mergeCell ref="E10:F10"/>
    <mergeCell ref="G10:H10"/>
    <mergeCell ref="K10:L10"/>
    <mergeCell ref="A11:B11"/>
    <mergeCell ref="A3:I3"/>
    <mergeCell ref="A4:I4"/>
    <mergeCell ref="A5:I5"/>
    <mergeCell ref="G7:H7"/>
    <mergeCell ref="K7:L7"/>
    <mergeCell ref="E9:F9"/>
    <mergeCell ref="G9:H9"/>
    <mergeCell ref="K9:L9"/>
    <mergeCell ref="M11:N11"/>
    <mergeCell ref="P12:Q12"/>
    <mergeCell ref="P11:Q11"/>
    <mergeCell ref="M12:N12"/>
  </mergeCells>
  <pageMargins left="0.25" right="0" top="0" bottom="0" header="0.5" footer="0.5"/>
  <pageSetup paperSize="5" orientation="landscape" verticalDpi="72"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R73"/>
  <sheetViews>
    <sheetView showGridLines="0" showOutlineSymbols="0" topLeftCell="A19" zoomScale="110" zoomScaleNormal="110" workbookViewId="0">
      <selection activeCell="E23" sqref="E23"/>
    </sheetView>
  </sheetViews>
  <sheetFormatPr defaultColWidth="12.5703125" defaultRowHeight="15.75" outlineLevelRow="2" outlineLevelCol="2"/>
  <cols>
    <col min="1" max="1" width="1.85546875" style="235" customWidth="1"/>
    <col min="2" max="2" width="33.85546875" style="235" customWidth="1"/>
    <col min="3" max="3" width="9.5703125" style="235" customWidth="1"/>
    <col min="4" max="4" width="10.85546875" style="235" customWidth="1"/>
    <col min="5" max="5" width="10.5703125" style="235" customWidth="1"/>
    <col min="6" max="6" width="11.28515625" style="235" customWidth="1"/>
    <col min="7" max="7" width="10.85546875" style="235" customWidth="1"/>
    <col min="8" max="8" width="11.5703125" style="235" customWidth="1"/>
    <col min="9" max="9" width="12.85546875" style="235" hidden="1" customWidth="1"/>
    <col min="10" max="10" width="10.140625" style="235" hidden="1" customWidth="1"/>
    <col min="11" max="11" width="19" style="235" hidden="1" customWidth="1"/>
    <col min="12" max="25" width="0" style="235" hidden="1" customWidth="1"/>
    <col min="26" max="47" width="12.5703125" style="235"/>
    <col min="48" max="52" width="12.5703125" style="235" outlineLevel="1"/>
    <col min="53" max="58" width="12.5703125" style="235" outlineLevel="2"/>
    <col min="59" max="61" width="12.5703125" style="235" outlineLevel="1"/>
    <col min="62" max="81" width="12.5703125" style="235"/>
    <col min="82" max="85" width="12.5703125" style="235" outlineLevel="1"/>
    <col min="86" max="133" width="12.5703125" style="235"/>
    <col min="134" max="139" width="12.5703125" style="235" outlineLevel="1"/>
    <col min="140" max="145" width="12.5703125" style="235" outlineLevel="2"/>
    <col min="146" max="148" width="12.5703125" style="235" outlineLevel="1"/>
    <col min="149" max="16384" width="12.5703125" style="235"/>
  </cols>
  <sheetData>
    <row r="1" spans="1:12">
      <c r="A1" s="271" t="s">
        <v>473</v>
      </c>
      <c r="B1" s="134"/>
      <c r="C1" s="134"/>
      <c r="E1" s="271"/>
      <c r="H1" s="271"/>
    </row>
    <row r="2" spans="1:12" ht="14.25" customHeight="1">
      <c r="A2" s="270" t="s">
        <v>584</v>
      </c>
      <c r="B2" s="134"/>
      <c r="C2" s="134"/>
      <c r="E2" s="270"/>
      <c r="H2" s="270"/>
    </row>
    <row r="3" spans="1:12" ht="18.75" customHeight="1">
      <c r="A3" s="4630" t="s">
        <v>471</v>
      </c>
      <c r="B3" s="4630"/>
      <c r="C3" s="4630"/>
      <c r="D3" s="4630"/>
      <c r="E3" s="4630"/>
      <c r="F3" s="4630"/>
      <c r="G3" s="4630"/>
      <c r="H3" s="4630"/>
    </row>
    <row r="4" spans="1:12" ht="14.25" customHeight="1">
      <c r="A4" s="4623" t="s">
        <v>583</v>
      </c>
      <c r="B4" s="4631"/>
      <c r="C4" s="4631"/>
      <c r="D4" s="4631"/>
      <c r="E4" s="4631"/>
      <c r="F4" s="4631"/>
      <c r="G4" s="4631"/>
      <c r="H4" s="4631"/>
    </row>
    <row r="5" spans="1:12" ht="8.25" customHeight="1">
      <c r="A5" s="140"/>
      <c r="B5" s="140"/>
      <c r="C5" s="140"/>
      <c r="D5" s="140"/>
      <c r="E5" s="140"/>
      <c r="F5" s="140"/>
      <c r="G5" s="140"/>
      <c r="H5" s="140"/>
    </row>
    <row r="6" spans="1:12" ht="18" customHeight="1">
      <c r="A6" s="1255" t="s">
        <v>1396</v>
      </c>
      <c r="D6" s="134"/>
      <c r="E6" s="134"/>
      <c r="F6" s="134"/>
      <c r="G6" s="134"/>
      <c r="H6" s="134"/>
    </row>
    <row r="7" spans="1:12" ht="4.5" customHeight="1">
      <c r="A7" s="1730"/>
      <c r="D7" s="134"/>
      <c r="E7" s="134"/>
      <c r="F7" s="134"/>
      <c r="G7" s="134"/>
      <c r="H7" s="134"/>
    </row>
    <row r="8" spans="1:12" ht="14.25" customHeight="1">
      <c r="A8" s="4624" t="s">
        <v>468</v>
      </c>
      <c r="B8" s="4625"/>
      <c r="C8" s="265" t="s">
        <v>467</v>
      </c>
      <c r="D8" s="264" t="s">
        <v>466</v>
      </c>
      <c r="E8" s="4632" t="s">
        <v>465</v>
      </c>
      <c r="F8" s="4633"/>
      <c r="G8" s="4634"/>
      <c r="H8" s="265" t="s">
        <v>464</v>
      </c>
      <c r="I8" s="265" t="s">
        <v>464</v>
      </c>
    </row>
    <row r="9" spans="1:12" ht="14.25" customHeight="1">
      <c r="A9" s="4626"/>
      <c r="B9" s="4627"/>
      <c r="C9" s="261" t="s">
        <v>463</v>
      </c>
      <c r="D9" s="261">
        <v>2020</v>
      </c>
      <c r="E9" s="262" t="s">
        <v>462</v>
      </c>
      <c r="F9" s="262" t="s">
        <v>461</v>
      </c>
      <c r="G9" s="262" t="s">
        <v>244</v>
      </c>
      <c r="H9" s="261">
        <v>2022</v>
      </c>
      <c r="I9" s="261">
        <v>2022</v>
      </c>
    </row>
    <row r="10" spans="1:12" ht="14.25" customHeight="1">
      <c r="A10" s="4628"/>
      <c r="B10" s="4629"/>
      <c r="C10" s="260"/>
      <c r="D10" s="258" t="s">
        <v>460</v>
      </c>
      <c r="E10" s="258" t="s">
        <v>460</v>
      </c>
      <c r="F10" s="258" t="s">
        <v>459</v>
      </c>
      <c r="G10" s="259"/>
      <c r="H10" s="258" t="s">
        <v>458</v>
      </c>
      <c r="I10" s="258" t="s">
        <v>457</v>
      </c>
      <c r="J10" s="1729">
        <v>0.1</v>
      </c>
      <c r="K10" s="344"/>
      <c r="L10" s="344"/>
    </row>
    <row r="11" spans="1:12" ht="14.65" customHeight="1">
      <c r="A11" s="255" t="s">
        <v>456</v>
      </c>
      <c r="B11" s="395"/>
      <c r="C11" s="221"/>
      <c r="D11" s="221"/>
      <c r="E11" s="221"/>
      <c r="F11" s="251"/>
      <c r="G11" s="251"/>
      <c r="H11" s="251"/>
      <c r="I11" s="396"/>
      <c r="J11" s="1728"/>
      <c r="K11" s="344"/>
      <c r="L11" s="344"/>
    </row>
    <row r="12" spans="1:12" ht="14.65" customHeight="1">
      <c r="A12" s="252" t="s">
        <v>455</v>
      </c>
      <c r="B12" s="395"/>
      <c r="C12" s="502"/>
      <c r="D12" s="500">
        <f t="shared" ref="D12:I12" si="0">SUM(D14:D35)</f>
        <v>7480042.9100000001</v>
      </c>
      <c r="E12" s="500">
        <f t="shared" si="0"/>
        <v>3319986.2300000004</v>
      </c>
      <c r="F12" s="500">
        <f t="shared" si="0"/>
        <v>5436742.7700000005</v>
      </c>
      <c r="G12" s="500">
        <f t="shared" si="0"/>
        <v>8756729</v>
      </c>
      <c r="H12" s="500">
        <f t="shared" si="0"/>
        <v>10154423</v>
      </c>
      <c r="I12" s="500">
        <f t="shared" si="0"/>
        <v>10154423</v>
      </c>
      <c r="J12" s="1036"/>
      <c r="K12" s="490"/>
      <c r="L12" s="490"/>
    </row>
    <row r="13" spans="1:12" ht="13.9" customHeight="1" outlineLevel="1">
      <c r="A13" s="215" t="s">
        <v>454</v>
      </c>
      <c r="B13" s="499"/>
      <c r="C13" s="752"/>
      <c r="D13" s="392"/>
      <c r="E13" s="392"/>
      <c r="F13" s="245"/>
      <c r="G13" s="245"/>
      <c r="H13" s="245"/>
      <c r="I13" s="392"/>
      <c r="J13" s="974"/>
      <c r="K13" s="490"/>
      <c r="L13" s="490"/>
    </row>
    <row r="14" spans="1:12" ht="13.9" customHeight="1" outlineLevel="1">
      <c r="A14" s="166" t="s">
        <v>426</v>
      </c>
      <c r="B14" s="162"/>
      <c r="C14" s="208" t="s">
        <v>453</v>
      </c>
      <c r="D14" s="160">
        <v>4282547.58</v>
      </c>
      <c r="E14" s="238">
        <v>2264298.7600000002</v>
      </c>
      <c r="F14" s="238">
        <f>SUM(G14-E14)</f>
        <v>3307697.2399999998</v>
      </c>
      <c r="G14" s="374">
        <v>5571996</v>
      </c>
      <c r="H14" s="751">
        <f>'PLANTILLA (6)'!H48</f>
        <v>6267240</v>
      </c>
      <c r="I14" s="751">
        <f>'PLANTILLA (6)'!L48</f>
        <v>6267240</v>
      </c>
      <c r="J14" s="485">
        <f>SUM(H14*0.1)</f>
        <v>626724</v>
      </c>
      <c r="K14" s="490"/>
      <c r="L14" s="490"/>
    </row>
    <row r="15" spans="1:12" ht="13.9" customHeight="1" outlineLevel="1">
      <c r="A15" s="215" t="s">
        <v>452</v>
      </c>
      <c r="B15" s="162"/>
      <c r="C15" s="208"/>
      <c r="D15" s="160"/>
      <c r="E15" s="238"/>
      <c r="F15" s="238"/>
      <c r="G15" s="390"/>
      <c r="H15" s="751"/>
      <c r="I15" s="751"/>
      <c r="J15" s="1727"/>
      <c r="K15" s="490"/>
      <c r="L15" s="490"/>
    </row>
    <row r="16" spans="1:12" ht="13.9" customHeight="1" outlineLevel="1">
      <c r="A16" s="178" t="s">
        <v>451</v>
      </c>
      <c r="B16" s="177"/>
      <c r="C16" s="208" t="s">
        <v>450</v>
      </c>
      <c r="D16" s="160">
        <v>360000</v>
      </c>
      <c r="E16" s="238">
        <v>196000</v>
      </c>
      <c r="F16" s="238">
        <f t="shared" ref="F16:F23" si="1">SUM(G16-E16)</f>
        <v>284000</v>
      </c>
      <c r="G16" s="237">
        <v>480000</v>
      </c>
      <c r="H16" s="237">
        <f>'PLANTILLA (6)'!B48*2000*12</f>
        <v>528000</v>
      </c>
      <c r="I16" s="237">
        <f>'PLANTILLA (6)'!B48*2000*12</f>
        <v>528000</v>
      </c>
      <c r="J16" s="1727"/>
      <c r="K16" s="490"/>
      <c r="L16" s="490"/>
    </row>
    <row r="17" spans="1:16" ht="13.9" customHeight="1" outlineLevel="1">
      <c r="A17" s="178" t="s">
        <v>449</v>
      </c>
      <c r="B17" s="177"/>
      <c r="C17" s="213" t="s">
        <v>448</v>
      </c>
      <c r="D17" s="160">
        <v>85500</v>
      </c>
      <c r="E17" s="238">
        <v>28500</v>
      </c>
      <c r="F17" s="238">
        <f t="shared" si="1"/>
        <v>57000</v>
      </c>
      <c r="G17" s="237">
        <v>85500</v>
      </c>
      <c r="H17" s="1726">
        <f>7125*12</f>
        <v>85500</v>
      </c>
      <c r="I17" s="1726">
        <f>7125*12</f>
        <v>85500</v>
      </c>
      <c r="J17" s="1725"/>
      <c r="K17" s="490"/>
      <c r="L17" s="490"/>
    </row>
    <row r="18" spans="1:16" ht="13.9" customHeight="1" outlineLevel="1">
      <c r="A18" s="178" t="s">
        <v>447</v>
      </c>
      <c r="B18" s="177"/>
      <c r="C18" s="213" t="s">
        <v>446</v>
      </c>
      <c r="D18" s="160">
        <v>85500</v>
      </c>
      <c r="E18" s="238">
        <v>28500</v>
      </c>
      <c r="F18" s="238">
        <f t="shared" si="1"/>
        <v>57000</v>
      </c>
      <c r="G18" s="237">
        <v>85500</v>
      </c>
      <c r="H18" s="1726">
        <f>7125*12</f>
        <v>85500</v>
      </c>
      <c r="I18" s="1726">
        <f>7125*12</f>
        <v>85500</v>
      </c>
      <c r="J18" s="1725"/>
      <c r="K18" s="363"/>
      <c r="L18" s="363"/>
    </row>
    <row r="19" spans="1:16" ht="13.9" customHeight="1" outlineLevel="1">
      <c r="A19" s="178" t="s">
        <v>445</v>
      </c>
      <c r="B19" s="177"/>
      <c r="C19" s="213" t="s">
        <v>444</v>
      </c>
      <c r="D19" s="160">
        <v>90000</v>
      </c>
      <c r="E19" s="238">
        <v>90000</v>
      </c>
      <c r="F19" s="238">
        <f t="shared" si="1"/>
        <v>30000</v>
      </c>
      <c r="G19" s="237">
        <v>120000</v>
      </c>
      <c r="H19" s="237">
        <f>'PLANTILLA (6)'!B48*6000</f>
        <v>132000</v>
      </c>
      <c r="I19" s="237">
        <f>'PLANTILLA (6)'!B48*6000</f>
        <v>132000</v>
      </c>
      <c r="J19" s="1724"/>
      <c r="K19" s="363"/>
      <c r="L19" s="363"/>
    </row>
    <row r="20" spans="1:16" ht="13.9" customHeight="1" outlineLevel="1">
      <c r="A20" s="178" t="s">
        <v>441</v>
      </c>
      <c r="B20" s="177"/>
      <c r="C20" s="213" t="s">
        <v>440</v>
      </c>
      <c r="D20" s="160">
        <v>0</v>
      </c>
      <c r="E20" s="238">
        <v>0</v>
      </c>
      <c r="F20" s="238">
        <f t="shared" si="1"/>
        <v>40000</v>
      </c>
      <c r="G20" s="237">
        <v>40000</v>
      </c>
      <c r="H20" s="1250">
        <v>40000</v>
      </c>
      <c r="I20" s="1250">
        <v>40000</v>
      </c>
      <c r="J20" s="1723"/>
      <c r="K20" s="220"/>
      <c r="L20" s="490"/>
    </row>
    <row r="21" spans="1:16" ht="13.9" customHeight="1" outlineLevel="1">
      <c r="A21" s="178" t="s">
        <v>424</v>
      </c>
      <c r="B21" s="177"/>
      <c r="C21" s="208" t="s">
        <v>439</v>
      </c>
      <c r="D21" s="160">
        <v>363332</v>
      </c>
      <c r="E21" s="238">
        <v>0</v>
      </c>
      <c r="F21" s="238">
        <f t="shared" si="1"/>
        <v>464333</v>
      </c>
      <c r="G21" s="390">
        <v>464333</v>
      </c>
      <c r="H21" s="390">
        <f>H14/12</f>
        <v>522270</v>
      </c>
      <c r="I21" s="390">
        <f>I14/12</f>
        <v>522270</v>
      </c>
      <c r="J21" s="485">
        <f>SUM(H21*0.1)</f>
        <v>52227</v>
      </c>
      <c r="K21" s="225"/>
      <c r="L21" s="223"/>
    </row>
    <row r="22" spans="1:16" ht="13.9" customHeight="1" outlineLevel="1">
      <c r="A22" s="178" t="s">
        <v>438</v>
      </c>
      <c r="B22" s="177"/>
      <c r="C22" s="208" t="s">
        <v>437</v>
      </c>
      <c r="D22" s="160">
        <v>75000</v>
      </c>
      <c r="E22" s="238">
        <v>0</v>
      </c>
      <c r="F22" s="238">
        <f t="shared" si="1"/>
        <v>100000</v>
      </c>
      <c r="G22" s="388">
        <v>100000</v>
      </c>
      <c r="H22" s="388">
        <f>'PLANTILLA (6)'!B48*5000</f>
        <v>110000</v>
      </c>
      <c r="I22" s="388">
        <f>'PLANTILLA (6)'!B48*5000</f>
        <v>110000</v>
      </c>
      <c r="J22" s="1722"/>
      <c r="K22" s="225"/>
      <c r="L22" s="223"/>
    </row>
    <row r="23" spans="1:16" ht="13.9" customHeight="1" outlineLevel="1">
      <c r="A23" s="178" t="s">
        <v>436</v>
      </c>
      <c r="B23" s="177"/>
      <c r="C23" s="213" t="s">
        <v>435</v>
      </c>
      <c r="D23" s="160">
        <v>363331.5</v>
      </c>
      <c r="E23" s="238">
        <v>377383</v>
      </c>
      <c r="F23" s="238">
        <f t="shared" si="1"/>
        <v>86950</v>
      </c>
      <c r="G23" s="237">
        <v>464333</v>
      </c>
      <c r="H23" s="237">
        <f>SUM(H14/12)</f>
        <v>522270</v>
      </c>
      <c r="I23" s="237">
        <f>SUM(I14/12)</f>
        <v>522270</v>
      </c>
      <c r="J23" s="485">
        <f>SUM(H23*0.1)</f>
        <v>52227</v>
      </c>
      <c r="K23" s="220"/>
      <c r="L23" s="490"/>
    </row>
    <row r="24" spans="1:16" ht="13.9" customHeight="1" outlineLevel="1">
      <c r="A24" s="230" t="s">
        <v>434</v>
      </c>
      <c r="B24" s="162"/>
      <c r="C24" s="229"/>
      <c r="D24" s="160"/>
      <c r="E24" s="238"/>
      <c r="F24" s="238"/>
      <c r="G24" s="369"/>
      <c r="H24" s="369"/>
      <c r="I24" s="369"/>
      <c r="J24" s="1721"/>
      <c r="K24" s="225" t="str">
        <f>A6</f>
        <v>Office:  OFFICE FOR HUMAN RESOURCE MANAGEMENT (1032)</v>
      </c>
      <c r="L24" s="223"/>
    </row>
    <row r="25" spans="1:16" ht="13.9" customHeight="1" outlineLevel="1">
      <c r="A25" s="178" t="s">
        <v>421</v>
      </c>
      <c r="B25" s="162"/>
      <c r="C25" s="208" t="s">
        <v>433</v>
      </c>
      <c r="D25" s="160">
        <v>523121.54999999993</v>
      </c>
      <c r="E25" s="238">
        <v>271715.76</v>
      </c>
      <c r="F25" s="238">
        <f>SUM(G25-E25)</f>
        <v>396925.24</v>
      </c>
      <c r="G25" s="385">
        <v>668641</v>
      </c>
      <c r="H25" s="226">
        <f>ROUND(H14*0.12,0)+1</f>
        <v>752070</v>
      </c>
      <c r="I25" s="226">
        <f>ROUND(I14*0.12,0)+1</f>
        <v>752070</v>
      </c>
      <c r="J25" s="485">
        <f>SUM(H25*0.1)</f>
        <v>75207</v>
      </c>
      <c r="K25" s="220" t="s">
        <v>429</v>
      </c>
      <c r="N25" s="488" t="s">
        <v>651</v>
      </c>
    </row>
    <row r="26" spans="1:16" ht="13.9" customHeight="1" outlineLevel="1">
      <c r="A26" s="178" t="s">
        <v>432</v>
      </c>
      <c r="B26" s="162"/>
      <c r="C26" s="208" t="s">
        <v>431</v>
      </c>
      <c r="D26" s="160">
        <v>18000</v>
      </c>
      <c r="E26" s="238">
        <v>9000</v>
      </c>
      <c r="F26" s="238">
        <f>SUM(G26-E26)</f>
        <v>18364</v>
      </c>
      <c r="G26" s="381">
        <v>27364</v>
      </c>
      <c r="H26" s="381">
        <f>'PLANTILLA (6)'!B48*100*12</f>
        <v>26400</v>
      </c>
      <c r="I26" s="381">
        <f>'PLANTILLA (6)'!B48*100*12</f>
        <v>26400</v>
      </c>
      <c r="J26" s="1720"/>
      <c r="K26" s="179" t="s">
        <v>426</v>
      </c>
      <c r="N26" s="134">
        <f>ROUND(J14,0)+1</f>
        <v>626725</v>
      </c>
      <c r="O26" s="488"/>
      <c r="P26" s="344"/>
    </row>
    <row r="27" spans="1:16" ht="13.9" customHeight="1" outlineLevel="1">
      <c r="A27" s="178" t="s">
        <v>418</v>
      </c>
      <c r="B27" s="162"/>
      <c r="C27" s="208" t="s">
        <v>430</v>
      </c>
      <c r="D27" s="160">
        <v>58960.37999999999</v>
      </c>
      <c r="E27" s="238">
        <v>30588.71</v>
      </c>
      <c r="F27" s="238">
        <f>SUM(G27-E27)</f>
        <v>58208.29</v>
      </c>
      <c r="G27" s="383">
        <v>88797</v>
      </c>
      <c r="H27" s="383">
        <f>'PLANTILLA (6)'!N50</f>
        <v>121257</v>
      </c>
      <c r="I27" s="383">
        <f>'PLANTILLA (6)'!Q50</f>
        <v>121257</v>
      </c>
      <c r="J27" s="485">
        <f>SUM(H27*0.1)</f>
        <v>12125.7</v>
      </c>
      <c r="K27" s="207" t="s">
        <v>424</v>
      </c>
      <c r="N27" s="134">
        <f>ROUND(J21,0)+1</f>
        <v>52228</v>
      </c>
      <c r="O27" s="344"/>
      <c r="P27" s="344"/>
    </row>
    <row r="28" spans="1:16" ht="13.9" customHeight="1" outlineLevel="1">
      <c r="A28" s="178" t="s">
        <v>428</v>
      </c>
      <c r="B28" s="162"/>
      <c r="C28" s="208" t="s">
        <v>427</v>
      </c>
      <c r="D28" s="160">
        <v>18000</v>
      </c>
      <c r="E28" s="238">
        <v>9000</v>
      </c>
      <c r="F28" s="238">
        <f>SUM(G28-E28)</f>
        <v>15000</v>
      </c>
      <c r="G28" s="381">
        <v>24000</v>
      </c>
      <c r="H28" s="381">
        <f>'PLANTILLA (6)'!B48*100*12</f>
        <v>26400</v>
      </c>
      <c r="I28" s="381">
        <f>'PLANTILLA (6)'!B48*100*12</f>
        <v>26400</v>
      </c>
      <c r="J28" s="1719"/>
      <c r="K28" s="207" t="s">
        <v>421</v>
      </c>
      <c r="L28" s="344"/>
      <c r="M28" s="344"/>
      <c r="N28" s="134">
        <f>ROUND(J23,0)+1</f>
        <v>52228</v>
      </c>
      <c r="O28" s="344"/>
      <c r="P28" s="344"/>
    </row>
    <row r="29" spans="1:16" ht="13.9" customHeight="1" outlineLevel="1">
      <c r="A29" s="215" t="s">
        <v>425</v>
      </c>
      <c r="B29" s="162"/>
      <c r="C29" s="208"/>
      <c r="D29" s="160"/>
      <c r="E29" s="378"/>
      <c r="F29" s="238"/>
      <c r="G29" s="374"/>
      <c r="H29" s="374"/>
      <c r="I29" s="374"/>
      <c r="J29" s="1718"/>
      <c r="K29" s="207" t="s">
        <v>418</v>
      </c>
      <c r="L29" s="344"/>
      <c r="M29" s="220"/>
      <c r="N29" s="134">
        <f>ROUND(J25,0)+1</f>
        <v>75208</v>
      </c>
      <c r="O29" s="344"/>
      <c r="P29" s="344"/>
    </row>
    <row r="30" spans="1:16" ht="13.9" customHeight="1" outlineLevel="1">
      <c r="A30" s="178" t="s">
        <v>423</v>
      </c>
      <c r="B30" s="162"/>
      <c r="C30" s="208" t="s">
        <v>422</v>
      </c>
      <c r="D30" s="160">
        <v>0</v>
      </c>
      <c r="E30" s="378">
        <v>0</v>
      </c>
      <c r="F30" s="238">
        <f t="shared" ref="F30:F35" si="2">SUM(G30-E30)</f>
        <v>1000</v>
      </c>
      <c r="G30" s="374">
        <v>1000</v>
      </c>
      <c r="H30" s="374">
        <v>1000</v>
      </c>
      <c r="I30" s="374">
        <v>1000</v>
      </c>
      <c r="J30" s="1717"/>
      <c r="K30" s="207" t="s">
        <v>436</v>
      </c>
      <c r="L30" s="344"/>
      <c r="M30" s="344"/>
      <c r="N30" s="134">
        <f>ROUND(J27,0)+1</f>
        <v>12127</v>
      </c>
      <c r="O30" s="344"/>
      <c r="P30" s="344"/>
    </row>
    <row r="31" spans="1:16" ht="13.9" customHeight="1" outlineLevel="1" thickBot="1">
      <c r="A31" s="197" t="s">
        <v>420</v>
      </c>
      <c r="B31" s="162"/>
      <c r="C31" s="213" t="s">
        <v>419</v>
      </c>
      <c r="D31" s="160">
        <v>1011749.9</v>
      </c>
      <c r="E31" s="378">
        <v>0</v>
      </c>
      <c r="F31" s="238">
        <f t="shared" si="2"/>
        <v>419265</v>
      </c>
      <c r="G31" s="374">
        <v>419265</v>
      </c>
      <c r="H31" s="1716">
        <f>N31</f>
        <v>818516</v>
      </c>
      <c r="I31" s="1716">
        <f>N31</f>
        <v>818516</v>
      </c>
      <c r="J31" s="1715">
        <f>SUM(J14:J30)</f>
        <v>818510.7</v>
      </c>
      <c r="K31" s="190" t="s">
        <v>410</v>
      </c>
      <c r="L31" s="190"/>
      <c r="M31" s="190"/>
      <c r="N31" s="357">
        <f>SUM(N25:N30)</f>
        <v>818516</v>
      </c>
      <c r="O31" s="344"/>
      <c r="P31" s="344"/>
    </row>
    <row r="32" spans="1:16" ht="13.9" customHeight="1" outlineLevel="1" thickTop="1">
      <c r="A32" s="197" t="s">
        <v>417</v>
      </c>
      <c r="B32" s="162"/>
      <c r="C32" s="213" t="s">
        <v>416</v>
      </c>
      <c r="D32" s="160">
        <v>25000</v>
      </c>
      <c r="E32" s="378">
        <v>15000</v>
      </c>
      <c r="F32" s="238">
        <f t="shared" si="2"/>
        <v>0</v>
      </c>
      <c r="G32" s="374">
        <v>15000</v>
      </c>
      <c r="H32" s="747">
        <v>5000</v>
      </c>
      <c r="I32" s="747">
        <v>5000</v>
      </c>
      <c r="J32" s="1712"/>
      <c r="O32" s="223"/>
      <c r="P32" s="344"/>
    </row>
    <row r="33" spans="1:16" ht="13.9" customHeight="1" outlineLevel="1">
      <c r="A33" s="197" t="s">
        <v>414</v>
      </c>
      <c r="B33" s="162"/>
      <c r="C33" s="213" t="s">
        <v>413</v>
      </c>
      <c r="D33" s="195">
        <v>0</v>
      </c>
      <c r="E33" s="378">
        <v>0</v>
      </c>
      <c r="F33" s="238">
        <f t="shared" si="2"/>
        <v>1000</v>
      </c>
      <c r="G33" s="374">
        <v>1000</v>
      </c>
      <c r="H33" s="369">
        <v>1000</v>
      </c>
      <c r="I33" s="369">
        <v>1000</v>
      </c>
      <c r="J33" s="1712"/>
      <c r="O33" s="190"/>
      <c r="P33" s="344"/>
    </row>
    <row r="34" spans="1:16" ht="13.9" customHeight="1" outlineLevel="1">
      <c r="A34" s="197" t="s">
        <v>1395</v>
      </c>
      <c r="B34" s="162"/>
      <c r="C34" s="213" t="s">
        <v>411</v>
      </c>
      <c r="D34" s="195">
        <v>75000</v>
      </c>
      <c r="E34" s="378">
        <v>0</v>
      </c>
      <c r="F34" s="238">
        <f t="shared" si="2"/>
        <v>100000</v>
      </c>
      <c r="G34" s="374">
        <v>100000</v>
      </c>
      <c r="H34" s="369">
        <f>'PLANTILLA (6)'!B48*5000</f>
        <v>110000</v>
      </c>
      <c r="I34" s="1714">
        <f>'PLANTILLA (6)'!B48*5000</f>
        <v>110000</v>
      </c>
      <c r="J34" s="1712"/>
      <c r="K34" s="190"/>
      <c r="L34" s="190"/>
      <c r="M34" s="190"/>
      <c r="N34" s="190"/>
    </row>
    <row r="35" spans="1:16" ht="13.9" customHeight="1" outlineLevel="1">
      <c r="A35" s="1713" t="s">
        <v>1394</v>
      </c>
      <c r="B35" s="162"/>
      <c r="C35" s="482" t="s">
        <v>408</v>
      </c>
      <c r="D35" s="195">
        <v>45000</v>
      </c>
      <c r="E35" s="378">
        <v>0</v>
      </c>
      <c r="F35" s="238">
        <f t="shared" si="2"/>
        <v>0</v>
      </c>
      <c r="G35" s="369">
        <v>0</v>
      </c>
      <c r="H35" s="369">
        <v>0</v>
      </c>
      <c r="I35" s="369">
        <v>0</v>
      </c>
      <c r="J35" s="1712"/>
    </row>
    <row r="36" spans="1:16" s="347" customFormat="1" ht="20.100000000000001" customHeight="1" outlineLevel="1">
      <c r="A36" s="565" t="s">
        <v>407</v>
      </c>
      <c r="B36" s="987"/>
      <c r="C36" s="365"/>
      <c r="D36" s="186">
        <f>SUM(D37:D56)</f>
        <v>396582.48</v>
      </c>
      <c r="E36" s="186">
        <f>SUM(E37:E56)</f>
        <v>128262.55</v>
      </c>
      <c r="F36" s="186">
        <f>SUM(F37:F56)</f>
        <v>743437.45</v>
      </c>
      <c r="G36" s="186">
        <f>SUM(G37:G56)</f>
        <v>871700</v>
      </c>
      <c r="H36" s="186">
        <f>SUM(H37:H56)</f>
        <v>871700</v>
      </c>
    </row>
    <row r="37" spans="1:16" ht="13.9" customHeight="1" outlineLevel="1">
      <c r="A37" s="522" t="s">
        <v>574</v>
      </c>
      <c r="B37" s="185"/>
      <c r="C37" s="165" t="s">
        <v>405</v>
      </c>
      <c r="D37" s="184">
        <v>14287</v>
      </c>
      <c r="E37" s="183">
        <v>1800</v>
      </c>
      <c r="F37" s="238">
        <f>SUM(G37-E37)</f>
        <v>58200</v>
      </c>
      <c r="G37" s="183">
        <v>60000</v>
      </c>
      <c r="H37" s="182">
        <v>60000</v>
      </c>
    </row>
    <row r="38" spans="1:16" s="347" customFormat="1" ht="13.9" customHeight="1" outlineLevel="1">
      <c r="A38" s="178" t="s">
        <v>404</v>
      </c>
      <c r="B38" s="177"/>
      <c r="C38" s="165" t="s">
        <v>403</v>
      </c>
      <c r="D38" s="160">
        <v>5200</v>
      </c>
      <c r="E38" s="158">
        <v>1000</v>
      </c>
      <c r="F38" s="238">
        <f>SUM(G38-E38)</f>
        <v>44000</v>
      </c>
      <c r="G38" s="158">
        <v>45000</v>
      </c>
      <c r="H38" s="157">
        <v>45000</v>
      </c>
      <c r="I38" s="349"/>
    </row>
    <row r="39" spans="1:16" s="347" customFormat="1" ht="13.9" customHeight="1" outlineLevel="1">
      <c r="A39" s="178" t="s">
        <v>1393</v>
      </c>
      <c r="B39" s="177"/>
      <c r="C39" s="165"/>
      <c r="D39" s="160"/>
      <c r="E39" s="158"/>
      <c r="F39" s="238"/>
      <c r="G39" s="158"/>
      <c r="H39" s="157"/>
      <c r="I39" s="349"/>
    </row>
    <row r="40" spans="1:16" s="347" customFormat="1" ht="13.9" customHeight="1" outlineLevel="1">
      <c r="A40" s="178"/>
      <c r="B40" s="177" t="s">
        <v>1392</v>
      </c>
      <c r="C40" s="161" t="s">
        <v>1391</v>
      </c>
      <c r="D40" s="160">
        <v>26100</v>
      </c>
      <c r="E40" s="158">
        <v>16800</v>
      </c>
      <c r="F40" s="238">
        <f>SUM(G40-E40)</f>
        <v>267200</v>
      </c>
      <c r="G40" s="158">
        <v>284000</v>
      </c>
      <c r="H40" s="157">
        <v>284000</v>
      </c>
      <c r="I40" s="349"/>
    </row>
    <row r="41" spans="1:16" s="347" customFormat="1" ht="13.9" customHeight="1" outlineLevel="1">
      <c r="A41" s="178" t="s">
        <v>402</v>
      </c>
      <c r="B41" s="177"/>
      <c r="C41" s="165" t="s">
        <v>401</v>
      </c>
      <c r="D41" s="160">
        <v>38903.199999999997</v>
      </c>
      <c r="E41" s="158">
        <v>15158.5</v>
      </c>
      <c r="F41" s="238">
        <f>SUM(G41-E41)</f>
        <v>37841.5</v>
      </c>
      <c r="G41" s="158">
        <v>53000</v>
      </c>
      <c r="H41" s="157">
        <v>53000</v>
      </c>
      <c r="I41" s="349"/>
    </row>
    <row r="42" spans="1:16" s="347" customFormat="1" ht="13.9" customHeight="1" outlineLevel="1">
      <c r="A42" s="163" t="s">
        <v>400</v>
      </c>
      <c r="B42" s="162"/>
      <c r="C42" s="165"/>
      <c r="D42" s="160"/>
      <c r="E42" s="158"/>
      <c r="F42" s="238"/>
      <c r="G42" s="158"/>
      <c r="H42" s="157"/>
      <c r="I42" s="349"/>
    </row>
    <row r="43" spans="1:16" s="347" customFormat="1" ht="13.9" customHeight="1" outlineLevel="1">
      <c r="A43" s="181"/>
      <c r="B43" s="179" t="s">
        <v>399</v>
      </c>
      <c r="C43" s="161" t="s">
        <v>398</v>
      </c>
      <c r="D43" s="160">
        <v>29320</v>
      </c>
      <c r="E43" s="158">
        <v>8175</v>
      </c>
      <c r="F43" s="238">
        <f t="shared" ref="F43:F49" si="3">SUM(G43-E43)</f>
        <v>66825</v>
      </c>
      <c r="G43" s="158">
        <v>75000</v>
      </c>
      <c r="H43" s="157">
        <v>75000</v>
      </c>
      <c r="I43" s="349"/>
    </row>
    <row r="44" spans="1:16" s="347" customFormat="1" ht="13.9" customHeight="1" outlineLevel="1">
      <c r="A44" s="163" t="s">
        <v>570</v>
      </c>
      <c r="B44" s="179"/>
      <c r="C44" s="161" t="s">
        <v>569</v>
      </c>
      <c r="D44" s="160">
        <v>1050</v>
      </c>
      <c r="E44" s="158">
        <v>0</v>
      </c>
      <c r="F44" s="238">
        <f t="shared" si="3"/>
        <v>5000</v>
      </c>
      <c r="G44" s="158">
        <v>5000</v>
      </c>
      <c r="H44" s="157">
        <v>5000</v>
      </c>
      <c r="I44" s="349"/>
    </row>
    <row r="45" spans="1:16" s="347" customFormat="1" ht="13.9" customHeight="1" outlineLevel="1">
      <c r="A45" s="180" t="s">
        <v>397</v>
      </c>
      <c r="B45" s="179"/>
      <c r="C45" s="161" t="s">
        <v>396</v>
      </c>
      <c r="D45" s="160">
        <v>633.28</v>
      </c>
      <c r="E45" s="158">
        <v>0</v>
      </c>
      <c r="F45" s="238">
        <f t="shared" si="3"/>
        <v>10000</v>
      </c>
      <c r="G45" s="158">
        <v>10000</v>
      </c>
      <c r="H45" s="157">
        <v>10000</v>
      </c>
      <c r="I45" s="349"/>
      <c r="K45" s="1711" t="s">
        <v>1136</v>
      </c>
      <c r="L45" s="1710">
        <f>'PLANTILLA (6)'!B48*200</f>
        <v>4400</v>
      </c>
      <c r="M45" s="1709"/>
    </row>
    <row r="46" spans="1:16" s="347" customFormat="1" ht="13.9" customHeight="1" outlineLevel="1">
      <c r="A46" s="163" t="s">
        <v>395</v>
      </c>
      <c r="B46" s="177"/>
      <c r="C46" s="174" t="s">
        <v>394</v>
      </c>
      <c r="D46" s="160">
        <v>32334.949999999997</v>
      </c>
      <c r="E46" s="158">
        <v>13495.2</v>
      </c>
      <c r="F46" s="238">
        <f t="shared" si="3"/>
        <v>29504.799999999999</v>
      </c>
      <c r="G46" s="158">
        <v>43000</v>
      </c>
      <c r="H46" s="157">
        <v>43000</v>
      </c>
      <c r="I46" s="349"/>
      <c r="K46" s="1708" t="s">
        <v>1390</v>
      </c>
      <c r="L46" s="471">
        <f>'PLANTILLA (6)'!B48*1720</f>
        <v>37840</v>
      </c>
      <c r="M46" s="471">
        <f>SUM('PLANTILLA (6)'!B48*2100)</f>
        <v>46200</v>
      </c>
      <c r="N46" s="471">
        <f>SUM(M46-L46)</f>
        <v>8360</v>
      </c>
    </row>
    <row r="47" spans="1:16" s="347" customFormat="1" ht="13.9" customHeight="1" outlineLevel="1">
      <c r="A47" s="178" t="s">
        <v>393</v>
      </c>
      <c r="B47" s="177"/>
      <c r="C47" s="165" t="s">
        <v>392</v>
      </c>
      <c r="D47" s="160">
        <v>1557</v>
      </c>
      <c r="E47" s="158">
        <v>1753</v>
      </c>
      <c r="F47" s="238">
        <f t="shared" si="3"/>
        <v>247</v>
      </c>
      <c r="G47" s="158">
        <v>2000</v>
      </c>
      <c r="H47" s="157">
        <v>2000</v>
      </c>
      <c r="I47" s="349"/>
      <c r="K47" s="1708" t="s">
        <v>1135</v>
      </c>
      <c r="L47" s="471">
        <f>SUM(L48-L45-L46)</f>
        <v>64260</v>
      </c>
      <c r="M47" s="471"/>
      <c r="N47" s="471"/>
    </row>
    <row r="48" spans="1:16" s="347" customFormat="1" ht="13.9" customHeight="1" outlineLevel="1" thickBot="1">
      <c r="A48" s="178" t="s">
        <v>391</v>
      </c>
      <c r="B48" s="177"/>
      <c r="C48" s="161" t="s">
        <v>390</v>
      </c>
      <c r="D48" s="160">
        <v>68687.929999999993</v>
      </c>
      <c r="E48" s="158">
        <v>33764.850000000006</v>
      </c>
      <c r="F48" s="238">
        <f t="shared" si="3"/>
        <v>40235.149999999994</v>
      </c>
      <c r="G48" s="158">
        <v>74000</v>
      </c>
      <c r="H48" s="157">
        <v>74000</v>
      </c>
      <c r="I48" s="349"/>
      <c r="K48" s="475" t="s">
        <v>379</v>
      </c>
      <c r="L48" s="474">
        <f>H56</f>
        <v>106500</v>
      </c>
      <c r="M48" s="737"/>
      <c r="N48" s="471">
        <f>SUM(N46+L48)</f>
        <v>114860</v>
      </c>
    </row>
    <row r="49" spans="1:9" s="347" customFormat="1" ht="13.9" customHeight="1" outlineLevel="1" thickTop="1">
      <c r="A49" s="176" t="s">
        <v>389</v>
      </c>
      <c r="B49" s="175"/>
      <c r="C49" s="174" t="s">
        <v>388</v>
      </c>
      <c r="D49" s="160">
        <v>65098.119999999995</v>
      </c>
      <c r="E49" s="158">
        <v>27750</v>
      </c>
      <c r="F49" s="238">
        <f t="shared" si="3"/>
        <v>51450</v>
      </c>
      <c r="G49" s="158">
        <v>79200</v>
      </c>
      <c r="H49" s="157">
        <v>79200</v>
      </c>
      <c r="I49" s="156"/>
    </row>
    <row r="50" spans="1:9" s="347" customFormat="1" ht="13.9" customHeight="1" outlineLevel="1">
      <c r="A50" s="163" t="s">
        <v>383</v>
      </c>
      <c r="B50" s="162"/>
      <c r="C50" s="172"/>
      <c r="D50" s="160"/>
      <c r="E50" s="158"/>
      <c r="F50" s="238"/>
      <c r="G50" s="158"/>
      <c r="H50" s="157"/>
      <c r="I50" s="349"/>
    </row>
    <row r="51" spans="1:9" s="347" customFormat="1" ht="13.9" customHeight="1" outlineLevel="1">
      <c r="A51" s="163"/>
      <c r="B51" s="164" t="s">
        <v>386</v>
      </c>
      <c r="C51" s="161" t="s">
        <v>385</v>
      </c>
      <c r="D51" s="160">
        <v>2800</v>
      </c>
      <c r="E51" s="158">
        <v>0</v>
      </c>
      <c r="F51" s="238">
        <f>SUM(G51-E51)</f>
        <v>10000</v>
      </c>
      <c r="G51" s="158">
        <v>10000</v>
      </c>
      <c r="H51" s="157">
        <v>10000</v>
      </c>
      <c r="I51" s="349"/>
    </row>
    <row r="52" spans="1:9" s="347" customFormat="1" ht="13.9" customHeight="1" outlineLevel="1">
      <c r="A52" s="163" t="s">
        <v>383</v>
      </c>
      <c r="B52" s="162"/>
      <c r="C52" s="172"/>
      <c r="D52" s="160"/>
      <c r="E52" s="158"/>
      <c r="F52" s="238"/>
      <c r="G52" s="158"/>
      <c r="H52" s="157"/>
      <c r="I52" s="349"/>
    </row>
    <row r="53" spans="1:9" s="347" customFormat="1" ht="13.9" customHeight="1" outlineLevel="1">
      <c r="A53" s="163"/>
      <c r="B53" s="164" t="s">
        <v>381</v>
      </c>
      <c r="C53" s="161" t="s">
        <v>380</v>
      </c>
      <c r="D53" s="160">
        <v>28030</v>
      </c>
      <c r="E53" s="158">
        <v>0</v>
      </c>
      <c r="F53" s="238">
        <f>SUM(G53-E53)</f>
        <v>20000</v>
      </c>
      <c r="G53" s="158">
        <v>20000</v>
      </c>
      <c r="H53" s="157">
        <v>20000</v>
      </c>
      <c r="I53" s="349"/>
    </row>
    <row r="54" spans="1:9" s="347" customFormat="1" ht="13.9" customHeight="1" outlineLevel="1">
      <c r="A54" s="163" t="s">
        <v>1389</v>
      </c>
      <c r="B54" s="162"/>
      <c r="C54" s="165"/>
      <c r="D54" s="160"/>
      <c r="E54" s="158"/>
      <c r="F54" s="238"/>
      <c r="G54" s="158"/>
      <c r="H54" s="157"/>
      <c r="I54" s="349"/>
    </row>
    <row r="55" spans="1:9" s="347" customFormat="1" ht="13.9" customHeight="1" outlineLevel="1">
      <c r="A55" s="163"/>
      <c r="B55" s="164" t="s">
        <v>565</v>
      </c>
      <c r="C55" s="161" t="s">
        <v>1388</v>
      </c>
      <c r="D55" s="160">
        <v>0</v>
      </c>
      <c r="E55" s="158">
        <v>0</v>
      </c>
      <c r="F55" s="238">
        <f>SUM(G55-E55)</f>
        <v>5000</v>
      </c>
      <c r="G55" s="158">
        <v>5000</v>
      </c>
      <c r="H55" s="157">
        <v>5000</v>
      </c>
      <c r="I55" s="349"/>
    </row>
    <row r="56" spans="1:9" ht="13.9" customHeight="1" outlineLevel="1">
      <c r="A56" s="942" t="s">
        <v>368</v>
      </c>
      <c r="B56" s="175"/>
      <c r="C56" s="174" t="s">
        <v>367</v>
      </c>
      <c r="D56" s="160">
        <v>82581</v>
      </c>
      <c r="E56" s="157">
        <v>8566</v>
      </c>
      <c r="F56" s="238">
        <f>SUM(G56-E56)</f>
        <v>97934</v>
      </c>
      <c r="G56" s="157">
        <v>106500</v>
      </c>
      <c r="H56" s="157">
        <v>106500</v>
      </c>
      <c r="I56" s="344"/>
    </row>
    <row r="57" spans="1:9" ht="13.9" customHeight="1" outlineLevel="1">
      <c r="A57" s="565" t="s">
        <v>775</v>
      </c>
      <c r="B57" s="1127"/>
      <c r="C57" s="1707">
        <f>SUM(C58:C77)</f>
        <v>0</v>
      </c>
      <c r="D57" s="186">
        <f>D58</f>
        <v>0</v>
      </c>
      <c r="E57" s="186">
        <f>E58</f>
        <v>0</v>
      </c>
      <c r="F57" s="186">
        <f>F58</f>
        <v>15000</v>
      </c>
      <c r="G57" s="186">
        <f>G58</f>
        <v>15000</v>
      </c>
      <c r="H57" s="186">
        <f>H58</f>
        <v>0</v>
      </c>
      <c r="I57" s="344"/>
    </row>
    <row r="58" spans="1:9" ht="13.9" customHeight="1" outlineLevel="1">
      <c r="A58" s="942" t="s">
        <v>1387</v>
      </c>
      <c r="B58" s="153"/>
      <c r="C58" s="174" t="s">
        <v>1386</v>
      </c>
      <c r="D58" s="160">
        <v>0</v>
      </c>
      <c r="E58" s="157">
        <v>0</v>
      </c>
      <c r="F58" s="238">
        <f>SUM(G58-E58)</f>
        <v>15000</v>
      </c>
      <c r="G58" s="157">
        <v>15000</v>
      </c>
      <c r="H58" s="157">
        <v>0</v>
      </c>
      <c r="I58" s="344"/>
    </row>
    <row r="59" spans="1:9" s="134" customFormat="1" ht="19.5" customHeight="1" outlineLevel="2" thickBot="1">
      <c r="A59" s="147" t="s">
        <v>366</v>
      </c>
      <c r="B59" s="147"/>
      <c r="C59" s="146"/>
      <c r="D59" s="1241">
        <f>SUM(D12+D36+D57)</f>
        <v>7876625.3900000006</v>
      </c>
      <c r="E59" s="1241">
        <f>SUM(E12+E36+E57)</f>
        <v>3448248.7800000003</v>
      </c>
      <c r="F59" s="1241">
        <f>SUM(F12+F36+F57)</f>
        <v>6195180.2200000007</v>
      </c>
      <c r="G59" s="1241">
        <f>SUM(G12+G36+G57)</f>
        <v>9643429</v>
      </c>
      <c r="H59" s="1241">
        <f>SUM(H12+H36+H57)</f>
        <v>11026123</v>
      </c>
      <c r="I59" s="340" t="s">
        <v>1385</v>
      </c>
    </row>
    <row r="60" spans="1:9" ht="18.75" customHeight="1" thickTop="1">
      <c r="A60" s="134" t="s">
        <v>364</v>
      </c>
      <c r="C60" s="141" t="s">
        <v>363</v>
      </c>
      <c r="E60" s="4631" t="s">
        <v>1384</v>
      </c>
      <c r="F60" s="4631"/>
      <c r="G60" s="134"/>
      <c r="H60" s="454"/>
    </row>
    <row r="61" spans="1:9" ht="18" customHeight="1">
      <c r="B61" s="134"/>
      <c r="C61" s="141"/>
      <c r="D61" s="134"/>
      <c r="E61" s="134"/>
      <c r="F61" s="134"/>
      <c r="G61" s="134"/>
    </row>
    <row r="62" spans="1:9" s="134" customFormat="1" ht="15.75" customHeight="1">
      <c r="A62" s="139" t="s">
        <v>1383</v>
      </c>
      <c r="B62" s="139"/>
      <c r="C62" s="4635" t="s">
        <v>360</v>
      </c>
      <c r="D62" s="4635"/>
      <c r="E62" s="4630" t="s">
        <v>359</v>
      </c>
      <c r="F62" s="4630"/>
      <c r="G62" s="4630"/>
      <c r="H62" s="4630"/>
    </row>
    <row r="63" spans="1:9" s="135" customFormat="1" ht="13.5">
      <c r="A63" s="1706" t="s">
        <v>1382</v>
      </c>
      <c r="B63" s="1705"/>
      <c r="C63" s="4621" t="s">
        <v>357</v>
      </c>
      <c r="D63" s="4621"/>
      <c r="E63" s="4623" t="s">
        <v>356</v>
      </c>
      <c r="F63" s="4623"/>
      <c r="G63" s="4623"/>
      <c r="H63" s="4623"/>
      <c r="I63" s="136"/>
    </row>
    <row r="64" spans="1:9" s="135" customFormat="1" ht="13.5">
      <c r="B64" s="136"/>
      <c r="C64" s="4621"/>
      <c r="D64" s="4621"/>
      <c r="E64" s="137"/>
      <c r="F64" s="137"/>
      <c r="G64" s="137"/>
      <c r="H64" s="137"/>
      <c r="I64" s="136"/>
    </row>
    <row r="65" spans="2:9" s="135" customFormat="1" ht="12.75">
      <c r="B65" s="136"/>
      <c r="D65" s="137"/>
      <c r="E65" s="137"/>
      <c r="F65" s="137"/>
      <c r="G65" s="137"/>
      <c r="H65" s="137"/>
      <c r="I65" s="136"/>
    </row>
    <row r="66" spans="2:9" s="135" customFormat="1" ht="15" customHeight="1">
      <c r="D66" s="137"/>
      <c r="E66" s="137"/>
      <c r="F66" s="137"/>
      <c r="G66" s="137"/>
      <c r="H66" s="137"/>
      <c r="I66" s="136"/>
    </row>
    <row r="67" spans="2:9" s="336" customFormat="1" ht="15" customHeight="1"/>
    <row r="68" spans="2:9" s="336" customFormat="1" ht="15" customHeight="1"/>
    <row r="69" spans="2:9" s="336" customFormat="1" ht="15" customHeight="1"/>
    <row r="70" spans="2:9" s="336" customFormat="1" ht="15" customHeight="1">
      <c r="B70" s="1704"/>
      <c r="C70" s="471"/>
    </row>
    <row r="71" spans="2:9" s="336" customFormat="1" ht="15" customHeight="1"/>
    <row r="72" spans="2:9" s="336" customFormat="1" ht="15" customHeight="1"/>
    <row r="73" spans="2:9" ht="15" customHeight="1"/>
  </sheetData>
  <mergeCells count="10">
    <mergeCell ref="C64:D64"/>
    <mergeCell ref="C63:D63"/>
    <mergeCell ref="E63:H63"/>
    <mergeCell ref="A8:B10"/>
    <mergeCell ref="A3:H3"/>
    <mergeCell ref="A4:H4"/>
    <mergeCell ref="E8:G8"/>
    <mergeCell ref="E60:F60"/>
    <mergeCell ref="C62:D62"/>
    <mergeCell ref="E62:H62"/>
  </mergeCells>
  <pageMargins left="0.5" right="0" top="0.25" bottom="0" header="0.5" footer="0"/>
  <pageSetup paperSize="5" orientation="portrait"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3"/>
  <sheetViews>
    <sheetView showGridLines="0" showOutlineSymbols="0" topLeftCell="A11" workbookViewId="0">
      <selection activeCell="D17" sqref="D17"/>
    </sheetView>
  </sheetViews>
  <sheetFormatPr defaultColWidth="12.5703125" defaultRowHeight="15.75" outlineLevelRow="1" outlineLevelCol="2"/>
  <cols>
    <col min="1" max="1" width="1.85546875" style="235" customWidth="1"/>
    <col min="2" max="2" width="34" style="235" customWidth="1"/>
    <col min="3" max="4" width="10.7109375" style="235" customWidth="1"/>
    <col min="5" max="8" width="10.28515625" style="235" customWidth="1"/>
    <col min="9" max="9" width="14.140625" style="235" customWidth="1"/>
    <col min="10"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8">
      <c r="A1" s="271" t="s">
        <v>473</v>
      </c>
      <c r="B1" s="134"/>
      <c r="C1" s="134"/>
      <c r="E1" s="271"/>
      <c r="H1" s="271"/>
    </row>
    <row r="2" spans="1:8" ht="14.25" customHeight="1">
      <c r="A2" s="270" t="s">
        <v>584</v>
      </c>
      <c r="B2" s="134"/>
      <c r="C2" s="134"/>
      <c r="E2" s="270"/>
      <c r="H2" s="270"/>
    </row>
    <row r="3" spans="1:8" ht="26.45" customHeight="1">
      <c r="A3" s="4630" t="s">
        <v>471</v>
      </c>
      <c r="B3" s="4630"/>
      <c r="C3" s="4630"/>
      <c r="D3" s="4630"/>
      <c r="E3" s="4630"/>
      <c r="F3" s="4630"/>
      <c r="G3" s="4630"/>
      <c r="H3" s="4630"/>
    </row>
    <row r="4" spans="1:8" ht="14.25" customHeight="1">
      <c r="A4" s="4623" t="s">
        <v>583</v>
      </c>
      <c r="B4" s="4631"/>
      <c r="C4" s="4631"/>
      <c r="D4" s="4631"/>
      <c r="E4" s="4631"/>
      <c r="F4" s="4631"/>
      <c r="G4" s="4631"/>
      <c r="H4" s="4631"/>
    </row>
    <row r="5" spans="1:8" ht="14.25" customHeight="1">
      <c r="A5" s="140"/>
      <c r="B5" s="140"/>
      <c r="C5" s="140"/>
      <c r="D5" s="140"/>
      <c r="E5" s="140"/>
      <c r="F5" s="140"/>
      <c r="G5" s="140"/>
      <c r="H5" s="140"/>
    </row>
    <row r="6" spans="1:8" s="1739" customFormat="1" ht="14.25" customHeight="1">
      <c r="A6" s="1255" t="s">
        <v>1401</v>
      </c>
    </row>
    <row r="7" spans="1:8" s="1739" customFormat="1" ht="14.25" customHeight="1">
      <c r="A7" s="1740" t="s">
        <v>1400</v>
      </c>
    </row>
    <row r="8" spans="1:8" ht="14.25" customHeight="1">
      <c r="A8" s="398"/>
      <c r="B8" s="397"/>
      <c r="D8" s="134"/>
      <c r="E8" s="134"/>
      <c r="F8" s="134"/>
      <c r="G8" s="134"/>
      <c r="H8" s="134"/>
    </row>
    <row r="9" spans="1:8" ht="14.25" customHeight="1">
      <c r="A9" s="4624" t="s">
        <v>468</v>
      </c>
      <c r="B9" s="4625"/>
      <c r="C9" s="265" t="s">
        <v>467</v>
      </c>
      <c r="D9" s="264" t="s">
        <v>466</v>
      </c>
      <c r="E9" s="4632" t="s">
        <v>465</v>
      </c>
      <c r="F9" s="4633"/>
      <c r="G9" s="4634"/>
      <c r="H9" s="265" t="s">
        <v>464</v>
      </c>
    </row>
    <row r="10" spans="1:8" ht="14.25" customHeight="1">
      <c r="A10" s="4626"/>
      <c r="B10" s="4627"/>
      <c r="C10" s="261" t="s">
        <v>463</v>
      </c>
      <c r="D10" s="261">
        <v>2020</v>
      </c>
      <c r="E10" s="262" t="s">
        <v>462</v>
      </c>
      <c r="F10" s="262" t="s">
        <v>461</v>
      </c>
      <c r="G10" s="262" t="s">
        <v>244</v>
      </c>
      <c r="H10" s="261">
        <v>2022</v>
      </c>
    </row>
    <row r="11" spans="1:8" ht="14.25" customHeight="1">
      <c r="A11" s="4628"/>
      <c r="B11" s="4629"/>
      <c r="C11" s="260"/>
      <c r="D11" s="258" t="s">
        <v>460</v>
      </c>
      <c r="E11" s="258" t="s">
        <v>460</v>
      </c>
      <c r="F11" s="258" t="s">
        <v>459</v>
      </c>
      <c r="G11" s="259"/>
      <c r="H11" s="258" t="s">
        <v>458</v>
      </c>
    </row>
    <row r="12" spans="1:8" ht="20.100000000000001" customHeight="1">
      <c r="A12" s="537" t="s">
        <v>456</v>
      </c>
      <c r="B12" s="566"/>
      <c r="C12" s="396"/>
      <c r="D12" s="396"/>
      <c r="E12" s="396"/>
      <c r="F12" s="536"/>
      <c r="G12" s="536"/>
      <c r="H12" s="536"/>
    </row>
    <row r="13" spans="1:8" ht="20.100000000000001" customHeight="1">
      <c r="A13" s="189" t="s">
        <v>407</v>
      </c>
      <c r="B13" s="366"/>
      <c r="C13" s="986"/>
      <c r="D13" s="535">
        <f>SUM(D14:D26)</f>
        <v>39150</v>
      </c>
      <c r="E13" s="535">
        <f>SUM(E14:E26)</f>
        <v>14075</v>
      </c>
      <c r="F13" s="535">
        <f>SUM(F14:F26)</f>
        <v>230925</v>
      </c>
      <c r="G13" s="535">
        <f>SUM(G14:G26)</f>
        <v>245000</v>
      </c>
      <c r="H13" s="535">
        <f>SUM(H14:H26)</f>
        <v>275000</v>
      </c>
    </row>
    <row r="14" spans="1:8" ht="20.100000000000001" customHeight="1" outlineLevel="1">
      <c r="A14" s="178" t="s">
        <v>404</v>
      </c>
      <c r="B14" s="177"/>
      <c r="C14" s="533" t="s">
        <v>403</v>
      </c>
      <c r="D14" s="984">
        <f>[5]ARTA!$E$10</f>
        <v>0</v>
      </c>
      <c r="E14" s="1738">
        <v>0</v>
      </c>
      <c r="F14" s="1107">
        <f>SUM(G14-E14)</f>
        <v>100000</v>
      </c>
      <c r="G14" s="1737">
        <v>100000</v>
      </c>
      <c r="H14" s="982">
        <v>5000</v>
      </c>
    </row>
    <row r="15" spans="1:8" ht="20.100000000000001" customHeight="1" outlineLevel="1">
      <c r="A15" s="163" t="s">
        <v>395</v>
      </c>
      <c r="B15" s="177"/>
      <c r="C15" s="996" t="s">
        <v>394</v>
      </c>
      <c r="D15" s="951">
        <f>[5]ARTA!$E$12</f>
        <v>39150</v>
      </c>
      <c r="E15" s="994">
        <v>14075</v>
      </c>
      <c r="F15" s="378">
        <f>SUM(G15-E15)</f>
        <v>35925</v>
      </c>
      <c r="G15" s="390">
        <v>50000</v>
      </c>
      <c r="H15" s="157">
        <v>200000</v>
      </c>
    </row>
    <row r="16" spans="1:8" ht="20.100000000000001" customHeight="1" outlineLevel="1">
      <c r="A16" s="519" t="s">
        <v>1399</v>
      </c>
      <c r="B16" s="518"/>
      <c r="C16" s="978" t="s">
        <v>1398</v>
      </c>
      <c r="D16" s="951">
        <v>0</v>
      </c>
      <c r="E16" s="994">
        <v>0</v>
      </c>
      <c r="F16" s="378">
        <f>SUM(G16-E16)</f>
        <v>50000</v>
      </c>
      <c r="G16" s="390">
        <v>50000</v>
      </c>
      <c r="H16" s="157">
        <v>10000</v>
      </c>
    </row>
    <row r="17" spans="1:9" ht="20.100000000000001" customHeight="1" outlineLevel="1">
      <c r="A17" s="519" t="s">
        <v>776</v>
      </c>
      <c r="B17" s="518"/>
      <c r="C17" s="996" t="s">
        <v>367</v>
      </c>
      <c r="D17" s="951">
        <v>0</v>
      </c>
      <c r="E17" s="994">
        <v>0</v>
      </c>
      <c r="F17" s="378">
        <f>SUM(G17-E17)</f>
        <v>45000</v>
      </c>
      <c r="G17" s="390">
        <v>45000</v>
      </c>
      <c r="H17" s="157">
        <v>60000</v>
      </c>
    </row>
    <row r="18" spans="1:9" ht="20.100000000000001" customHeight="1" outlineLevel="1">
      <c r="A18" s="519"/>
      <c r="B18" s="518"/>
      <c r="C18" s="530"/>
      <c r="D18" s="951"/>
      <c r="E18" s="994"/>
      <c r="F18" s="238"/>
      <c r="G18" s="390"/>
      <c r="H18" s="157"/>
    </row>
    <row r="19" spans="1:9" ht="20.100000000000001" customHeight="1" outlineLevel="1">
      <c r="A19" s="519"/>
      <c r="B19" s="518"/>
      <c r="C19" s="530"/>
      <c r="D19" s="951"/>
      <c r="E19" s="994"/>
      <c r="F19" s="238"/>
      <c r="G19" s="390"/>
      <c r="H19" s="157"/>
    </row>
    <row r="20" spans="1:9" ht="20.100000000000001" customHeight="1" outlineLevel="1">
      <c r="A20" s="1736"/>
      <c r="B20" s="1735"/>
      <c r="C20" s="530"/>
      <c r="D20" s="951"/>
      <c r="E20" s="994"/>
      <c r="F20" s="238"/>
      <c r="G20" s="390"/>
      <c r="H20" s="157"/>
    </row>
    <row r="21" spans="1:9" ht="20.100000000000001" customHeight="1" outlineLevel="1">
      <c r="A21" s="519"/>
      <c r="B21" s="518"/>
      <c r="C21" s="530"/>
      <c r="D21" s="951"/>
      <c r="E21" s="994"/>
      <c r="F21" s="238"/>
      <c r="G21" s="390"/>
      <c r="H21" s="157"/>
    </row>
    <row r="22" spans="1:9" ht="20.100000000000001" customHeight="1" outlineLevel="1">
      <c r="A22" s="519"/>
      <c r="B22" s="518"/>
      <c r="C22" s="1734"/>
      <c r="D22" s="951"/>
      <c r="E22" s="994"/>
      <c r="F22" s="238"/>
      <c r="G22" s="390"/>
      <c r="H22" s="157"/>
    </row>
    <row r="23" spans="1:9" ht="20.100000000000001" customHeight="1" outlineLevel="1">
      <c r="A23" s="517"/>
      <c r="B23" s="516"/>
      <c r="C23" s="1734"/>
      <c r="D23" s="951"/>
      <c r="E23" s="994"/>
      <c r="F23" s="238"/>
      <c r="G23" s="390"/>
      <c r="H23" s="157"/>
    </row>
    <row r="24" spans="1:9" s="344" customFormat="1" ht="20.100000000000001" customHeight="1" outlineLevel="1">
      <c r="A24" s="512"/>
      <c r="B24" s="973"/>
      <c r="C24" s="972"/>
      <c r="D24" s="951"/>
      <c r="E24" s="994"/>
      <c r="F24" s="238"/>
      <c r="G24" s="390"/>
      <c r="H24" s="157"/>
    </row>
    <row r="25" spans="1:9" s="344" customFormat="1" ht="20.100000000000001" customHeight="1" outlineLevel="1">
      <c r="A25" s="512"/>
      <c r="B25" s="511"/>
      <c r="C25" s="971"/>
      <c r="D25" s="951"/>
      <c r="E25" s="994"/>
      <c r="F25" s="238"/>
      <c r="G25" s="390"/>
      <c r="H25" s="157"/>
    </row>
    <row r="26" spans="1:9" s="344" customFormat="1" ht="20.100000000000001" customHeight="1" outlineLevel="1">
      <c r="A26" s="508"/>
      <c r="B26" s="507"/>
      <c r="C26" s="970"/>
      <c r="D26" s="969"/>
      <c r="E26" s="993"/>
      <c r="F26" s="992"/>
      <c r="G26" s="991"/>
      <c r="H26" s="149"/>
    </row>
    <row r="27" spans="1:9" s="344" customFormat="1" ht="20.100000000000001" customHeight="1" outlineLevel="1" thickBot="1">
      <c r="A27" s="732" t="s">
        <v>366</v>
      </c>
      <c r="B27" s="731"/>
      <c r="C27" s="1016"/>
      <c r="D27" s="456">
        <f>SUM(D13)</f>
        <v>39150</v>
      </c>
      <c r="E27" s="456">
        <f>SUM(E13)</f>
        <v>14075</v>
      </c>
      <c r="F27" s="147">
        <f>SUM(F13)</f>
        <v>230925</v>
      </c>
      <c r="G27" s="456">
        <f>SUM(G13)</f>
        <v>245000</v>
      </c>
      <c r="H27" s="455">
        <f>SUM(H13)</f>
        <v>275000</v>
      </c>
      <c r="I27" s="339"/>
    </row>
    <row r="28" spans="1:9" s="344" customFormat="1" ht="12" customHeight="1" outlineLevel="1" thickTop="1">
      <c r="A28" s="1733"/>
      <c r="B28" s="1732"/>
      <c r="C28" s="198"/>
      <c r="D28" s="582"/>
      <c r="E28" s="582"/>
      <c r="F28" s="582"/>
      <c r="G28" s="582"/>
      <c r="H28" s="1731"/>
    </row>
    <row r="29" spans="1:9" ht="14.45" customHeight="1">
      <c r="A29" s="134" t="s">
        <v>364</v>
      </c>
      <c r="C29" s="141" t="s">
        <v>363</v>
      </c>
      <c r="E29" s="4631" t="s">
        <v>1397</v>
      </c>
      <c r="F29" s="4631"/>
      <c r="G29" s="134"/>
    </row>
    <row r="30" spans="1:9" ht="23.45" customHeight="1">
      <c r="B30" s="134"/>
      <c r="C30" s="141"/>
      <c r="D30" s="134"/>
      <c r="E30" s="134"/>
      <c r="F30" s="134"/>
      <c r="G30" s="134"/>
    </row>
    <row r="31" spans="1:9" s="134" customFormat="1" ht="12" customHeight="1">
      <c r="A31" s="139" t="s">
        <v>1383</v>
      </c>
      <c r="B31" s="139"/>
      <c r="C31" s="4635" t="s">
        <v>360</v>
      </c>
      <c r="D31" s="4635"/>
      <c r="E31" s="4630" t="s">
        <v>359</v>
      </c>
      <c r="F31" s="4630"/>
      <c r="G31" s="4630"/>
      <c r="H31" s="4630"/>
    </row>
    <row r="32" spans="1:9" s="135" customFormat="1" ht="13.5">
      <c r="A32" s="1706" t="s">
        <v>1382</v>
      </c>
      <c r="B32" s="1705"/>
      <c r="C32" s="4621" t="s">
        <v>357</v>
      </c>
      <c r="D32" s="4621"/>
      <c r="E32" s="4623" t="s">
        <v>356</v>
      </c>
      <c r="F32" s="4623"/>
      <c r="G32" s="4623"/>
      <c r="H32" s="4623"/>
      <c r="I32" s="136"/>
    </row>
    <row r="33" spans="1:9" s="135" customFormat="1" ht="13.5">
      <c r="A33" s="4645"/>
      <c r="B33" s="4645"/>
      <c r="C33" s="4621"/>
      <c r="D33" s="4621"/>
      <c r="E33" s="137"/>
      <c r="F33" s="137"/>
      <c r="G33" s="137"/>
      <c r="H33" s="137"/>
      <c r="I33" s="136"/>
    </row>
  </sheetData>
  <mergeCells count="11">
    <mergeCell ref="A3:H3"/>
    <mergeCell ref="A4:H4"/>
    <mergeCell ref="E9:G9"/>
    <mergeCell ref="E29:F29"/>
    <mergeCell ref="C31:D31"/>
    <mergeCell ref="E31:H31"/>
    <mergeCell ref="C33:D33"/>
    <mergeCell ref="C32:D32"/>
    <mergeCell ref="E32:H32"/>
    <mergeCell ref="A33:B33"/>
    <mergeCell ref="A9:B11"/>
  </mergeCells>
  <pageMargins left="0.5" right="0" top="0.25" bottom="0" header="0.5" footer="0"/>
  <pageSetup paperSize="5"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J343"/>
  <sheetViews>
    <sheetView showGridLines="0" showOutlineSymbols="0" topLeftCell="A13" zoomScale="87" zoomScaleNormal="87" workbookViewId="0">
      <selection activeCell="AB20" sqref="AB20"/>
    </sheetView>
  </sheetViews>
  <sheetFormatPr defaultColWidth="12.5703125" defaultRowHeight="12.75" outlineLevelRow="2" outlineLevelCol="2"/>
  <cols>
    <col min="1" max="1" width="5.5703125" style="1" customWidth="1"/>
    <col min="2" max="2" width="6.140625" style="1" customWidth="1"/>
    <col min="3" max="3" width="24.85546875" style="1" customWidth="1"/>
    <col min="4" max="4" width="31.5703125" style="1" bestFit="1" customWidth="1"/>
    <col min="5" max="5" width="10.7109375" style="4" customWidth="1"/>
    <col min="6" max="6" width="15.7109375" style="1" customWidth="1" outlineLevel="1"/>
    <col min="7" max="7" width="6.42578125" style="1" customWidth="1" outlineLevel="1"/>
    <col min="8" max="8" width="15.7109375" style="1" customWidth="1" outlineLevel="1"/>
    <col min="9" max="9" width="11.28515625" style="1" customWidth="1" outlineLevel="1"/>
    <col min="10" max="10" width="5.140625" style="3" hidden="1" customWidth="1" outlineLevel="1"/>
    <col min="11" max="11" width="14.28515625" style="3" hidden="1" customWidth="1" outlineLevel="1"/>
    <col min="12" max="12" width="10.140625" style="1" hidden="1" customWidth="1" outlineLevel="1"/>
    <col min="13" max="13" width="12.42578125" style="1" hidden="1" customWidth="1" outlineLevel="1"/>
    <col min="14" max="14" width="1.5703125" style="1" hidden="1" customWidth="1"/>
    <col min="15" max="15" width="10.5703125" style="1" hidden="1" customWidth="1"/>
    <col min="16" max="16" width="13.140625" style="1" hidden="1" customWidth="1"/>
    <col min="17" max="17" width="1.85546875" style="1" hidden="1" customWidth="1"/>
    <col min="18" max="18" width="9.5703125" style="1" hidden="1" customWidth="1"/>
    <col min="19" max="24" width="0" style="1" hidden="1" customWidth="1"/>
    <col min="25" max="101" width="12.5703125" style="1"/>
    <col min="102" max="105" width="12.5703125" style="1" outlineLevel="1"/>
    <col min="106" max="111" width="12.5703125" style="1" outlineLevel="2"/>
    <col min="112" max="114" width="12.5703125" style="1" outlineLevel="1"/>
    <col min="115" max="16384" width="12.5703125" style="1"/>
  </cols>
  <sheetData>
    <row r="1" spans="1:18">
      <c r="H1" s="133" t="s">
        <v>355</v>
      </c>
    </row>
    <row r="2" spans="1:18" ht="12.75" customHeight="1">
      <c r="H2" s="132" t="s">
        <v>354</v>
      </c>
    </row>
    <row r="3" spans="1:18" ht="15" customHeight="1">
      <c r="A3" s="4615" t="s">
        <v>353</v>
      </c>
      <c r="B3" s="4615"/>
      <c r="C3" s="4615"/>
      <c r="D3" s="4615"/>
      <c r="E3" s="4615"/>
      <c r="F3" s="4615"/>
      <c r="G3" s="4615"/>
      <c r="H3" s="4615"/>
      <c r="I3" s="4615"/>
      <c r="J3" s="131"/>
      <c r="K3" s="131"/>
      <c r="L3" s="335"/>
      <c r="M3" s="335"/>
    </row>
    <row r="4" spans="1:18" s="3" customFormat="1" ht="16.5" customHeight="1">
      <c r="A4" s="4616" t="s">
        <v>352</v>
      </c>
      <c r="B4" s="4616"/>
      <c r="C4" s="4616"/>
      <c r="D4" s="4616"/>
      <c r="E4" s="4616"/>
      <c r="F4" s="4616"/>
      <c r="G4" s="4616"/>
      <c r="H4" s="4616"/>
      <c r="I4" s="4616"/>
      <c r="J4" s="130"/>
      <c r="K4" s="130"/>
      <c r="L4" s="130"/>
      <c r="M4" s="130"/>
    </row>
    <row r="5" spans="1:18" ht="13.5" customHeight="1">
      <c r="A5" s="4617" t="s">
        <v>351</v>
      </c>
      <c r="B5" s="4617"/>
      <c r="C5" s="4617"/>
      <c r="D5" s="4617"/>
      <c r="E5" s="4617"/>
      <c r="F5" s="4617"/>
      <c r="G5" s="4617"/>
      <c r="H5" s="4617"/>
      <c r="I5" s="4617"/>
      <c r="J5" s="129"/>
      <c r="K5" s="129"/>
      <c r="L5" s="334"/>
      <c r="M5" s="334"/>
    </row>
    <row r="6" spans="1:18" ht="13.9" customHeight="1">
      <c r="A6" s="332" t="s">
        <v>350</v>
      </c>
      <c r="B6" s="333" t="s">
        <v>558</v>
      </c>
      <c r="D6" s="279"/>
      <c r="G6" s="4618"/>
      <c r="H6" s="4618"/>
      <c r="I6" s="126"/>
      <c r="J6" s="4618" t="s">
        <v>457</v>
      </c>
      <c r="K6" s="4618"/>
      <c r="L6" s="332"/>
      <c r="M6" s="332"/>
    </row>
    <row r="7" spans="1:18" ht="13.5" customHeight="1">
      <c r="A7" s="123"/>
      <c r="B7" s="125"/>
      <c r="C7" s="124"/>
      <c r="D7" s="123"/>
      <c r="E7" s="4619" t="s">
        <v>348</v>
      </c>
      <c r="F7" s="4620"/>
      <c r="G7" s="4619" t="s">
        <v>347</v>
      </c>
      <c r="H7" s="4620"/>
      <c r="I7" s="115"/>
      <c r="J7" s="4607" t="s">
        <v>347</v>
      </c>
      <c r="K7" s="4608"/>
      <c r="L7" s="331"/>
      <c r="M7" s="331"/>
    </row>
    <row r="8" spans="1:18" ht="13.5" customHeight="1">
      <c r="A8" s="122"/>
      <c r="B8" s="121"/>
      <c r="C8" s="120"/>
      <c r="D8" s="119"/>
      <c r="E8" s="4604" t="s">
        <v>346</v>
      </c>
      <c r="F8" s="4605"/>
      <c r="G8" s="4604" t="s">
        <v>345</v>
      </c>
      <c r="H8" s="4605"/>
      <c r="I8" s="114"/>
      <c r="J8" s="4609" t="s">
        <v>345</v>
      </c>
      <c r="K8" s="4610"/>
      <c r="L8" s="331"/>
      <c r="M8" s="331"/>
    </row>
    <row r="9" spans="1:18" ht="13.5" customHeight="1">
      <c r="A9" s="122"/>
      <c r="B9" s="121"/>
      <c r="C9" s="120"/>
      <c r="D9" s="119"/>
      <c r="E9" s="4604" t="s">
        <v>344</v>
      </c>
      <c r="F9" s="4605"/>
      <c r="G9" s="4604" t="s">
        <v>344</v>
      </c>
      <c r="H9" s="4605"/>
      <c r="I9" s="114"/>
      <c r="J9" s="4609" t="s">
        <v>344</v>
      </c>
      <c r="K9" s="4610"/>
      <c r="L9" s="331"/>
      <c r="M9" s="331"/>
    </row>
    <row r="10" spans="1:18" ht="13.5" customHeight="1">
      <c r="A10" s="4604" t="s">
        <v>343</v>
      </c>
      <c r="B10" s="4605"/>
      <c r="C10" s="114" t="s">
        <v>342</v>
      </c>
      <c r="D10" s="112" t="s">
        <v>341</v>
      </c>
      <c r="E10" s="113" t="s">
        <v>339</v>
      </c>
      <c r="F10" s="118"/>
      <c r="G10" s="113" t="s">
        <v>339</v>
      </c>
      <c r="H10" s="118"/>
      <c r="I10" s="114" t="s">
        <v>340</v>
      </c>
      <c r="J10" s="110" t="s">
        <v>339</v>
      </c>
      <c r="K10" s="117"/>
      <c r="L10" s="4612" t="s">
        <v>338</v>
      </c>
      <c r="M10" s="4613"/>
      <c r="O10" s="4612" t="s">
        <v>338</v>
      </c>
      <c r="P10" s="4613"/>
    </row>
    <row r="11" spans="1:18" ht="14.25" customHeight="1">
      <c r="A11" s="116" t="s">
        <v>337</v>
      </c>
      <c r="B11" s="115" t="s">
        <v>336</v>
      </c>
      <c r="C11" s="114"/>
      <c r="D11" s="112"/>
      <c r="E11" s="113" t="s">
        <v>334</v>
      </c>
      <c r="F11" s="112" t="s">
        <v>333</v>
      </c>
      <c r="G11" s="113" t="s">
        <v>334</v>
      </c>
      <c r="H11" s="112" t="s">
        <v>333</v>
      </c>
      <c r="I11" s="111" t="s">
        <v>335</v>
      </c>
      <c r="J11" s="110" t="s">
        <v>334</v>
      </c>
      <c r="K11" s="109" t="s">
        <v>333</v>
      </c>
      <c r="L11" s="4611" t="s">
        <v>557</v>
      </c>
      <c r="M11" s="4611"/>
      <c r="O11" s="4611" t="s">
        <v>556</v>
      </c>
      <c r="P11" s="4611"/>
    </row>
    <row r="12" spans="1:18" s="99" customFormat="1" ht="14.25" customHeight="1">
      <c r="A12" s="107" t="s">
        <v>331</v>
      </c>
      <c r="B12" s="330" t="s">
        <v>330</v>
      </c>
      <c r="C12" s="106" t="s">
        <v>329</v>
      </c>
      <c r="D12" s="105" t="s">
        <v>328</v>
      </c>
      <c r="E12" s="105" t="s">
        <v>327</v>
      </c>
      <c r="F12" s="106" t="s">
        <v>326</v>
      </c>
      <c r="G12" s="105" t="s">
        <v>324</v>
      </c>
      <c r="H12" s="329" t="s">
        <v>323</v>
      </c>
      <c r="I12" s="105" t="s">
        <v>325</v>
      </c>
      <c r="J12" s="104" t="s">
        <v>324</v>
      </c>
      <c r="K12" s="328" t="s">
        <v>323</v>
      </c>
      <c r="L12" s="101" t="s">
        <v>322</v>
      </c>
      <c r="M12" s="100" t="s">
        <v>321</v>
      </c>
      <c r="O12" s="101" t="s">
        <v>322</v>
      </c>
      <c r="P12" s="100" t="s">
        <v>321</v>
      </c>
      <c r="R12" s="327" t="s">
        <v>555</v>
      </c>
    </row>
    <row r="13" spans="1:18" ht="13.15" customHeight="1" outlineLevel="1">
      <c r="A13" s="326" t="s">
        <v>320</v>
      </c>
      <c r="B13" s="326" t="s">
        <v>320</v>
      </c>
      <c r="C13" s="325" t="s">
        <v>554</v>
      </c>
      <c r="D13" s="295" t="s">
        <v>553</v>
      </c>
      <c r="E13" s="323" t="s">
        <v>46</v>
      </c>
      <c r="F13" s="322">
        <v>1145700</v>
      </c>
      <c r="G13" s="323" t="s">
        <v>45</v>
      </c>
      <c r="H13" s="322">
        <f>IF(G13="ABOLISHED",0, (VLOOKUP(G13,$A$76:$C$315,2,FALSE)*12))</f>
        <v>1164396</v>
      </c>
      <c r="I13" s="324">
        <f>SUM(H13-F13)</f>
        <v>18696</v>
      </c>
      <c r="J13" s="323" t="s">
        <v>45</v>
      </c>
      <c r="K13" s="322">
        <f>IF(J13="ABOLISHED",0, (VLOOKUP(J13,$A$76:$C$315,3,FALSE)*12))</f>
        <v>1164396</v>
      </c>
      <c r="L13" s="3">
        <f>SUM(H13/12)</f>
        <v>97033</v>
      </c>
      <c r="M13" s="80">
        <f>IF(L13&gt;=80000,1600,SUM(L13*4%)/2)</f>
        <v>1600</v>
      </c>
      <c r="O13" s="3">
        <f>SUM(K13/12)</f>
        <v>97033</v>
      </c>
      <c r="P13" s="80">
        <f>IF(O13&gt;=70000,1600,SUM(O13*4%)/2)</f>
        <v>1600</v>
      </c>
      <c r="R13" s="1">
        <f>O13-L13</f>
        <v>0</v>
      </c>
    </row>
    <row r="14" spans="1:18" s="3" customFormat="1" ht="13.15" customHeight="1" outlineLevel="1">
      <c r="A14" s="293" t="s">
        <v>314</v>
      </c>
      <c r="B14" s="293" t="s">
        <v>314</v>
      </c>
      <c r="C14" s="321" t="s">
        <v>552</v>
      </c>
      <c r="D14" s="295" t="s">
        <v>551</v>
      </c>
      <c r="E14" s="300" t="s">
        <v>57</v>
      </c>
      <c r="F14" s="67">
        <v>964368</v>
      </c>
      <c r="G14" s="300" t="s">
        <v>56</v>
      </c>
      <c r="H14" s="67">
        <f>IF(G14="ABOLISHED",0, (VLOOKUP(G14,$A$76:$C$315,2,FALSE)*12))</f>
        <v>980112</v>
      </c>
      <c r="I14" s="290">
        <f>SUM(H14-F14)</f>
        <v>15744</v>
      </c>
      <c r="J14" s="300" t="s">
        <v>56</v>
      </c>
      <c r="K14" s="67">
        <f>IF(J14="ABOLISHED",0, (VLOOKUP(J14,$A$76:$C$315,3,FALSE)*12))</f>
        <v>980112</v>
      </c>
      <c r="L14" s="3">
        <f>SUM(H14/12)</f>
        <v>81676</v>
      </c>
      <c r="M14" s="80">
        <f>IF(L14&gt;=80000,1600,SUM(L14*4%)/2)</f>
        <v>1600</v>
      </c>
      <c r="O14" s="3">
        <f>SUM(K14/12)</f>
        <v>81676</v>
      </c>
      <c r="P14" s="80">
        <f>IF(O14&gt;=70000,1600,SUM(O14*4%)/2)</f>
        <v>1600</v>
      </c>
      <c r="R14" s="1">
        <f>O14-L14</f>
        <v>0</v>
      </c>
    </row>
    <row r="15" spans="1:18" s="3" customFormat="1" ht="13.15" customHeight="1" outlineLevel="1">
      <c r="A15" s="307"/>
      <c r="B15" s="307"/>
      <c r="C15" s="298" t="s">
        <v>550</v>
      </c>
      <c r="D15" s="291"/>
      <c r="E15" s="320"/>
      <c r="F15" s="67"/>
      <c r="G15" s="320"/>
      <c r="H15" s="67"/>
      <c r="I15" s="306"/>
      <c r="J15" s="320"/>
      <c r="K15" s="67"/>
      <c r="M15" s="80"/>
      <c r="P15" s="80"/>
      <c r="R15" s="1"/>
    </row>
    <row r="16" spans="1:18" s="3" customFormat="1" ht="13.15" customHeight="1" outlineLevel="1">
      <c r="A16" s="307"/>
      <c r="B16" s="307"/>
      <c r="C16" s="298" t="s">
        <v>549</v>
      </c>
      <c r="D16" s="291"/>
      <c r="E16" s="319"/>
      <c r="F16" s="67"/>
      <c r="G16" s="319"/>
      <c r="H16" s="67"/>
      <c r="I16" s="306"/>
      <c r="J16" s="319"/>
      <c r="K16" s="67"/>
      <c r="M16" s="80"/>
      <c r="P16" s="80"/>
      <c r="R16" s="1"/>
    </row>
    <row r="17" spans="1:18" s="3" customFormat="1" ht="13.15" customHeight="1" outlineLevel="1">
      <c r="A17" s="65" t="s">
        <v>307</v>
      </c>
      <c r="B17" s="65" t="s">
        <v>311</v>
      </c>
      <c r="C17" s="314" t="s">
        <v>548</v>
      </c>
      <c r="D17" s="311" t="s">
        <v>547</v>
      </c>
      <c r="E17" s="300" t="s">
        <v>94</v>
      </c>
      <c r="F17" s="67">
        <v>559188</v>
      </c>
      <c r="G17" s="300" t="s">
        <v>94</v>
      </c>
      <c r="H17" s="67">
        <f t="shared" ref="H17:H22" si="0">IF(G17="ABOLISHED",0, (VLOOKUP(G17,$A$76:$C$315,2,FALSE)*12))</f>
        <v>559188</v>
      </c>
      <c r="I17" s="301">
        <f t="shared" ref="I17:I22" si="1">SUM(H17-F17)</f>
        <v>0</v>
      </c>
      <c r="J17" s="300" t="s">
        <v>94</v>
      </c>
      <c r="K17" s="67">
        <f t="shared" ref="K17:K22" si="2">IF(J17="ABOLISHED",0, (VLOOKUP(J17,$A$76:$C$315,3,FALSE)*12))</f>
        <v>559188</v>
      </c>
      <c r="L17" s="3">
        <f t="shared" ref="L17:L22" si="3">SUM(H17/12)</f>
        <v>46599</v>
      </c>
      <c r="M17" s="80">
        <f t="shared" ref="M17:M22" si="4">IF(L17&gt;=80000,1600,SUM(L17*4%)/2)</f>
        <v>931.98</v>
      </c>
      <c r="O17" s="3">
        <f t="shared" ref="O17:O22" si="5">SUM(K17/12)</f>
        <v>46599</v>
      </c>
      <c r="P17" s="80">
        <f t="shared" ref="P17:P22" si="6">IF(O17&gt;=70000,1600,SUM(O17*4%)/2)</f>
        <v>931.98</v>
      </c>
      <c r="R17" s="1">
        <f t="shared" ref="R17:R22" si="7">O17-L17</f>
        <v>0</v>
      </c>
    </row>
    <row r="18" spans="1:18" s="3" customFormat="1" ht="13.15" customHeight="1" outlineLevel="1">
      <c r="A18" s="65" t="s">
        <v>308</v>
      </c>
      <c r="B18" s="65" t="s">
        <v>307</v>
      </c>
      <c r="C18" s="314" t="s">
        <v>546</v>
      </c>
      <c r="D18" s="310" t="s">
        <v>545</v>
      </c>
      <c r="E18" s="312" t="s">
        <v>119</v>
      </c>
      <c r="F18" s="67">
        <v>417564</v>
      </c>
      <c r="G18" s="312" t="s">
        <v>119</v>
      </c>
      <c r="H18" s="67">
        <f t="shared" si="0"/>
        <v>417564</v>
      </c>
      <c r="I18" s="301">
        <f t="shared" si="1"/>
        <v>0</v>
      </c>
      <c r="J18" s="312" t="s">
        <v>119</v>
      </c>
      <c r="K18" s="67">
        <f t="shared" si="2"/>
        <v>417564</v>
      </c>
      <c r="L18" s="3">
        <f t="shared" si="3"/>
        <v>34797</v>
      </c>
      <c r="M18" s="80">
        <f t="shared" si="4"/>
        <v>695.94</v>
      </c>
      <c r="O18" s="3">
        <f t="shared" si="5"/>
        <v>34797</v>
      </c>
      <c r="P18" s="80">
        <f t="shared" si="6"/>
        <v>695.94</v>
      </c>
      <c r="R18" s="1">
        <f t="shared" si="7"/>
        <v>0</v>
      </c>
    </row>
    <row r="19" spans="1:18" s="3" customFormat="1" ht="13.15" customHeight="1" outlineLevel="1">
      <c r="A19" s="65" t="s">
        <v>301</v>
      </c>
      <c r="B19" s="65" t="s">
        <v>304</v>
      </c>
      <c r="C19" s="302" t="s">
        <v>526</v>
      </c>
      <c r="D19" s="313" t="s">
        <v>245</v>
      </c>
      <c r="E19" s="308" t="s">
        <v>151</v>
      </c>
      <c r="F19" s="74">
        <v>296988</v>
      </c>
      <c r="G19" s="308" t="s">
        <v>151</v>
      </c>
      <c r="H19" s="74">
        <f t="shared" si="0"/>
        <v>296988</v>
      </c>
      <c r="I19" s="301">
        <f t="shared" si="1"/>
        <v>0</v>
      </c>
      <c r="J19" s="308" t="s">
        <v>151</v>
      </c>
      <c r="K19" s="74">
        <f t="shared" si="2"/>
        <v>296988</v>
      </c>
      <c r="L19" s="3">
        <f t="shared" si="3"/>
        <v>24749</v>
      </c>
      <c r="M19" s="80">
        <f t="shared" si="4"/>
        <v>494.98</v>
      </c>
      <c r="O19" s="3">
        <f t="shared" si="5"/>
        <v>24749</v>
      </c>
      <c r="P19" s="80">
        <f t="shared" si="6"/>
        <v>494.98</v>
      </c>
      <c r="R19" s="3">
        <f t="shared" si="7"/>
        <v>0</v>
      </c>
    </row>
    <row r="20" spans="1:18" s="3" customFormat="1" ht="13.15" customHeight="1" outlineLevel="1">
      <c r="A20" s="65" t="s">
        <v>311</v>
      </c>
      <c r="B20" s="65" t="s">
        <v>308</v>
      </c>
      <c r="C20" s="314" t="s">
        <v>532</v>
      </c>
      <c r="D20" s="313" t="s">
        <v>245</v>
      </c>
      <c r="E20" s="315" t="s">
        <v>71</v>
      </c>
      <c r="F20" s="67">
        <v>779928</v>
      </c>
      <c r="G20" s="315" t="s">
        <v>71</v>
      </c>
      <c r="H20" s="67">
        <f t="shared" si="0"/>
        <v>779928</v>
      </c>
      <c r="I20" s="301">
        <f t="shared" si="1"/>
        <v>0</v>
      </c>
      <c r="J20" s="315" t="s">
        <v>71</v>
      </c>
      <c r="K20" s="67">
        <f t="shared" si="2"/>
        <v>779928</v>
      </c>
      <c r="L20" s="3">
        <f t="shared" si="3"/>
        <v>64994</v>
      </c>
      <c r="M20" s="80">
        <f t="shared" si="4"/>
        <v>1299.8800000000001</v>
      </c>
      <c r="O20" s="3">
        <f t="shared" si="5"/>
        <v>64994</v>
      </c>
      <c r="P20" s="80">
        <f t="shared" si="6"/>
        <v>1299.8800000000001</v>
      </c>
      <c r="R20" s="1">
        <f t="shared" si="7"/>
        <v>0</v>
      </c>
    </row>
    <row r="21" spans="1:18" s="3" customFormat="1" ht="13.15" customHeight="1" outlineLevel="1">
      <c r="A21" s="65" t="s">
        <v>304</v>
      </c>
      <c r="B21" s="65" t="s">
        <v>294</v>
      </c>
      <c r="C21" s="314" t="s">
        <v>497</v>
      </c>
      <c r="D21" s="318" t="s">
        <v>544</v>
      </c>
      <c r="E21" s="300" t="s">
        <v>103</v>
      </c>
      <c r="F21" s="67">
        <v>497964</v>
      </c>
      <c r="G21" s="300" t="s">
        <v>102</v>
      </c>
      <c r="H21" s="67">
        <f t="shared" si="0"/>
        <v>503700</v>
      </c>
      <c r="I21" s="301">
        <f t="shared" si="1"/>
        <v>5736</v>
      </c>
      <c r="J21" s="300" t="s">
        <v>102</v>
      </c>
      <c r="K21" s="67">
        <f t="shared" si="2"/>
        <v>503700</v>
      </c>
      <c r="L21" s="3">
        <f t="shared" si="3"/>
        <v>41975</v>
      </c>
      <c r="M21" s="80">
        <f t="shared" si="4"/>
        <v>839.5</v>
      </c>
      <c r="O21" s="3">
        <f t="shared" si="5"/>
        <v>41975</v>
      </c>
      <c r="P21" s="80">
        <f t="shared" si="6"/>
        <v>839.5</v>
      </c>
      <c r="R21" s="1">
        <f t="shared" si="7"/>
        <v>0</v>
      </c>
    </row>
    <row r="22" spans="1:18" s="3" customFormat="1" ht="13.15" customHeight="1" outlineLevel="1">
      <c r="A22" s="65" t="s">
        <v>294</v>
      </c>
      <c r="B22" s="65" t="s">
        <v>301</v>
      </c>
      <c r="C22" s="314" t="s">
        <v>527</v>
      </c>
      <c r="D22" s="310" t="s">
        <v>543</v>
      </c>
      <c r="E22" s="300" t="s">
        <v>159</v>
      </c>
      <c r="F22" s="67">
        <v>272196</v>
      </c>
      <c r="G22" s="300" t="s">
        <v>159</v>
      </c>
      <c r="H22" s="67">
        <f t="shared" si="0"/>
        <v>272196</v>
      </c>
      <c r="I22" s="301">
        <f t="shared" si="1"/>
        <v>0</v>
      </c>
      <c r="J22" s="300" t="s">
        <v>159</v>
      </c>
      <c r="K22" s="67">
        <f t="shared" si="2"/>
        <v>272196</v>
      </c>
      <c r="L22" s="3">
        <f t="shared" si="3"/>
        <v>22683</v>
      </c>
      <c r="M22" s="80">
        <f t="shared" si="4"/>
        <v>453.66</v>
      </c>
      <c r="O22" s="3">
        <f t="shared" si="5"/>
        <v>22683</v>
      </c>
      <c r="P22" s="80">
        <f t="shared" si="6"/>
        <v>453.66</v>
      </c>
      <c r="R22" s="1">
        <f t="shared" si="7"/>
        <v>0</v>
      </c>
    </row>
    <row r="23" spans="1:18" s="3" customFormat="1" ht="13.15" customHeight="1" outlineLevel="1">
      <c r="A23" s="65"/>
      <c r="B23" s="65"/>
      <c r="C23" s="317" t="s">
        <v>542</v>
      </c>
      <c r="D23" s="318"/>
      <c r="E23" s="312"/>
      <c r="F23" s="74"/>
      <c r="G23" s="312"/>
      <c r="H23" s="74"/>
      <c r="I23" s="301"/>
      <c r="J23" s="312"/>
      <c r="K23" s="74"/>
      <c r="M23" s="80"/>
      <c r="P23" s="80"/>
    </row>
    <row r="24" spans="1:18" s="3" customFormat="1" ht="13.15" customHeight="1" outlineLevel="1">
      <c r="A24" s="65" t="s">
        <v>297</v>
      </c>
      <c r="B24" s="65" t="s">
        <v>297</v>
      </c>
      <c r="C24" s="314" t="s">
        <v>541</v>
      </c>
      <c r="D24" s="310" t="s">
        <v>540</v>
      </c>
      <c r="E24" s="294" t="s">
        <v>127</v>
      </c>
      <c r="F24" s="74">
        <v>382752</v>
      </c>
      <c r="G24" s="294" t="s">
        <v>127</v>
      </c>
      <c r="H24" s="74">
        <f>IF(G24="ABOLISHED",0, (VLOOKUP(G24,$A$76:$C$315,2,FALSE)*12))</f>
        <v>382752</v>
      </c>
      <c r="I24" s="301">
        <f>SUM(H24-F24)</f>
        <v>0</v>
      </c>
      <c r="J24" s="294" t="s">
        <v>127</v>
      </c>
      <c r="K24" s="74">
        <f>IF(J24="ABOLISHED",0, (VLOOKUP(J24,$A$76:$C$315,3,FALSE)*12))</f>
        <v>382752</v>
      </c>
      <c r="L24" s="3">
        <f>SUM(H24/12)</f>
        <v>31896</v>
      </c>
      <c r="M24" s="80">
        <f>IF(L24&gt;=80000,1600,SUM(L24*4%)/2)</f>
        <v>637.91999999999996</v>
      </c>
      <c r="O24" s="3">
        <f>SUM(K24/12)</f>
        <v>31896</v>
      </c>
      <c r="P24" s="80">
        <f>IF(O24&gt;=70000,1600,SUM(O24*4%)/2)</f>
        <v>637.91999999999996</v>
      </c>
      <c r="R24" s="3">
        <f>O24-L24</f>
        <v>0</v>
      </c>
    </row>
    <row r="25" spans="1:18" s="3" customFormat="1" ht="13.15" customHeight="1" outlineLevel="1">
      <c r="A25" s="65" t="s">
        <v>290</v>
      </c>
      <c r="B25" s="65" t="s">
        <v>290</v>
      </c>
      <c r="C25" s="314" t="s">
        <v>539</v>
      </c>
      <c r="D25" s="310" t="s">
        <v>245</v>
      </c>
      <c r="E25" s="308" t="s">
        <v>155</v>
      </c>
      <c r="F25" s="74">
        <v>285432</v>
      </c>
      <c r="G25" s="308" t="s">
        <v>159</v>
      </c>
      <c r="H25" s="74">
        <f>IF(G25="ABOLISHED",0, (VLOOKUP(G25,$A$76:$C$315,2,FALSE)*12))</f>
        <v>272196</v>
      </c>
      <c r="I25" s="301">
        <f>SUM(H25-F25)</f>
        <v>-13236</v>
      </c>
      <c r="J25" s="308" t="s">
        <v>159</v>
      </c>
      <c r="K25" s="74">
        <f>IF(J25="ABOLISHED",0, (VLOOKUP(J25,$A$76:$C$315,3,FALSE)*12))</f>
        <v>272196</v>
      </c>
      <c r="L25" s="3">
        <f>SUM(H25/12)</f>
        <v>22683</v>
      </c>
      <c r="M25" s="80">
        <f>IF(L25&gt;=80000,1600,SUM(L25*4%)/2)</f>
        <v>453.66</v>
      </c>
      <c r="O25" s="3">
        <f>SUM(K25/12)</f>
        <v>22683</v>
      </c>
      <c r="P25" s="80">
        <f>IF(O25&gt;=70000,1600,SUM(O25*4%)/2)</f>
        <v>453.66</v>
      </c>
      <c r="R25" s="3">
        <f>O25-L25</f>
        <v>0</v>
      </c>
    </row>
    <row r="26" spans="1:18" s="3" customFormat="1" ht="13.15" customHeight="1" outlineLevel="1">
      <c r="A26" s="65" t="s">
        <v>286</v>
      </c>
      <c r="B26" s="65" t="s">
        <v>286</v>
      </c>
      <c r="C26" s="314" t="s">
        <v>538</v>
      </c>
      <c r="D26" s="311" t="s">
        <v>537</v>
      </c>
      <c r="E26" s="300" t="s">
        <v>179</v>
      </c>
      <c r="F26" s="74">
        <v>215688</v>
      </c>
      <c r="G26" s="300" t="s">
        <v>179</v>
      </c>
      <c r="H26" s="74">
        <f>IF(G26="ABOLISHED",0, (VLOOKUP(G26,$A$76:$C$315,2,FALSE)*12))</f>
        <v>215688</v>
      </c>
      <c r="I26" s="301">
        <f>SUM(H26-F26)</f>
        <v>0</v>
      </c>
      <c r="J26" s="300" t="s">
        <v>179</v>
      </c>
      <c r="K26" s="74">
        <f>IF(J26="ABOLISHED",0, (VLOOKUP(J26,$A$76:$C$315,3,FALSE)*12))</f>
        <v>215688</v>
      </c>
      <c r="L26" s="3">
        <f>SUM(H26/12)</f>
        <v>17974</v>
      </c>
      <c r="M26" s="80">
        <f>IF(L26&gt;=80000,1600,SUM(L26*4%)/2)</f>
        <v>359.48</v>
      </c>
      <c r="O26" s="3">
        <f>SUM(K26/12)</f>
        <v>17974</v>
      </c>
      <c r="P26" s="80">
        <f>IF(O26&gt;=70000,1600,SUM(O26*4%)/2)</f>
        <v>359.48</v>
      </c>
      <c r="R26" s="3">
        <f>O26-L26</f>
        <v>0</v>
      </c>
    </row>
    <row r="27" spans="1:18" s="3" customFormat="1" ht="13.15" customHeight="1" outlineLevel="1">
      <c r="A27" s="65" t="s">
        <v>283</v>
      </c>
      <c r="B27" s="65" t="s">
        <v>283</v>
      </c>
      <c r="C27" s="314" t="s">
        <v>538</v>
      </c>
      <c r="D27" s="311" t="s">
        <v>537</v>
      </c>
      <c r="E27" s="300" t="s">
        <v>180</v>
      </c>
      <c r="F27" s="74">
        <v>213756</v>
      </c>
      <c r="G27" s="300" t="s">
        <v>183</v>
      </c>
      <c r="H27" s="74">
        <f>IF(G27="ABOLISHED",0, (VLOOKUP(G27,$A$76:$C$315,2,FALSE)*12))</f>
        <v>208056</v>
      </c>
      <c r="I27" s="301">
        <f>SUM(H27-F27)</f>
        <v>-5700</v>
      </c>
      <c r="J27" s="300" t="s">
        <v>183</v>
      </c>
      <c r="K27" s="74">
        <f>IF(J27="ABOLISHED",0, (VLOOKUP(J27,$A$76:$C$315,3,FALSE)*12))</f>
        <v>208056</v>
      </c>
      <c r="L27" s="3">
        <f>SUM(H27/12)</f>
        <v>17338</v>
      </c>
      <c r="M27" s="80">
        <f>IF(L27&gt;=80000,1600,SUM(L27*4%)/2)</f>
        <v>346.76</v>
      </c>
      <c r="O27" s="3">
        <f>SUM(K27/12)</f>
        <v>17338</v>
      </c>
      <c r="P27" s="80">
        <f>IF(O27&gt;=70000,1600,SUM(O27*4%)/2)</f>
        <v>346.76</v>
      </c>
      <c r="R27" s="3">
        <f>O27-L27</f>
        <v>0</v>
      </c>
    </row>
    <row r="28" spans="1:18" s="3" customFormat="1" ht="12.6" customHeight="1" outlineLevel="1">
      <c r="A28" s="65" t="s">
        <v>280</v>
      </c>
      <c r="B28" s="65" t="s">
        <v>280</v>
      </c>
      <c r="C28" s="314" t="s">
        <v>506</v>
      </c>
      <c r="D28" s="309" t="s">
        <v>245</v>
      </c>
      <c r="E28" s="308" t="s">
        <v>212</v>
      </c>
      <c r="F28" s="74">
        <v>167976</v>
      </c>
      <c r="G28" s="308" t="s">
        <v>215</v>
      </c>
      <c r="H28" s="74">
        <f>IF(G28="ABOLISHED",0, (VLOOKUP(G28,$A$76:$C$315,2,FALSE)*12))</f>
        <v>164160</v>
      </c>
      <c r="I28" s="301">
        <f>SUM(H28-F28)</f>
        <v>-3816</v>
      </c>
      <c r="J28" s="308" t="s">
        <v>215</v>
      </c>
      <c r="K28" s="74">
        <f>IF(J28="ABOLISHED",0, (VLOOKUP(J28,$A$76:$C$315,3,FALSE)*12))</f>
        <v>164160</v>
      </c>
      <c r="L28" s="3">
        <f>SUM(H28/12)</f>
        <v>13680</v>
      </c>
      <c r="M28" s="80">
        <f>IF(L28&gt;=80000,1600,SUM(L28*4%)/2)</f>
        <v>273.60000000000002</v>
      </c>
      <c r="O28" s="3">
        <f>SUM(K28/12)</f>
        <v>13680</v>
      </c>
      <c r="P28" s="80">
        <f>IF(O28&gt;=70000,1600,SUM(O28*4%)/2)</f>
        <v>273.60000000000002</v>
      </c>
      <c r="R28" s="3">
        <f>O28-L28</f>
        <v>0</v>
      </c>
    </row>
    <row r="29" spans="1:18" s="3" customFormat="1" ht="12.6" customHeight="1" outlineLevel="1">
      <c r="A29" s="65"/>
      <c r="B29" s="65"/>
      <c r="C29" s="317" t="s">
        <v>536</v>
      </c>
      <c r="D29" s="309"/>
      <c r="E29" s="308"/>
      <c r="F29" s="74"/>
      <c r="G29" s="308"/>
      <c r="H29" s="74"/>
      <c r="I29" s="301"/>
      <c r="J29" s="308"/>
      <c r="K29" s="74"/>
      <c r="M29" s="80"/>
      <c r="P29" s="80"/>
    </row>
    <row r="30" spans="1:18" s="3" customFormat="1" ht="12.6" customHeight="1" outlineLevel="1">
      <c r="A30" s="65" t="s">
        <v>278</v>
      </c>
      <c r="B30" s="65" t="s">
        <v>278</v>
      </c>
      <c r="C30" s="314" t="s">
        <v>515</v>
      </c>
      <c r="D30" s="309" t="s">
        <v>535</v>
      </c>
      <c r="E30" s="308" t="s">
        <v>230</v>
      </c>
      <c r="F30" s="74">
        <v>146928</v>
      </c>
      <c r="G30" s="308" t="s">
        <v>230</v>
      </c>
      <c r="H30" s="74">
        <f>IF(G30="ABOLISHED",0, (VLOOKUP(G30,$A$76:$C$315,2,FALSE)*12))</f>
        <v>146928</v>
      </c>
      <c r="I30" s="301">
        <f>SUM(H30-F30)</f>
        <v>0</v>
      </c>
      <c r="J30" s="308" t="s">
        <v>230</v>
      </c>
      <c r="K30" s="74">
        <f>IF(J30="ABOLISHED",0, (VLOOKUP(J30,$A$76:$C$315,3,FALSE)*12))</f>
        <v>146928</v>
      </c>
      <c r="L30" s="3">
        <f>SUM(H30/12)</f>
        <v>12244</v>
      </c>
      <c r="M30" s="80">
        <f>IF(L30&gt;=80000,1600,SUM(L30*4%)/2)</f>
        <v>244.88</v>
      </c>
      <c r="O30" s="3">
        <f>SUM(K30/12)</f>
        <v>12244</v>
      </c>
      <c r="P30" s="80">
        <f>IF(O30&gt;=70000,1600,SUM(O30*4%)/2)</f>
        <v>244.88</v>
      </c>
      <c r="R30" s="3">
        <f>O30-L30</f>
        <v>0</v>
      </c>
    </row>
    <row r="31" spans="1:18" s="3" customFormat="1" ht="13.15" customHeight="1" outlineLevel="1">
      <c r="A31" s="84"/>
      <c r="B31" s="84"/>
      <c r="C31" s="317" t="s">
        <v>534</v>
      </c>
      <c r="D31" s="311"/>
      <c r="E31" s="316"/>
      <c r="F31" s="74"/>
      <c r="G31" s="316"/>
      <c r="H31" s="74"/>
      <c r="I31" s="301"/>
      <c r="J31" s="316"/>
      <c r="K31" s="74"/>
      <c r="M31" s="80" t="s">
        <v>256</v>
      </c>
      <c r="P31" s="80" t="s">
        <v>256</v>
      </c>
    </row>
    <row r="32" spans="1:18" s="3" customFormat="1" ht="13.15" customHeight="1" outlineLevel="1">
      <c r="A32" s="84"/>
      <c r="B32" s="84"/>
      <c r="C32" s="317" t="s">
        <v>533</v>
      </c>
      <c r="D32" s="311"/>
      <c r="E32" s="316"/>
      <c r="F32" s="74"/>
      <c r="G32" s="316"/>
      <c r="H32" s="74"/>
      <c r="I32" s="301"/>
      <c r="J32" s="316"/>
      <c r="K32" s="74"/>
      <c r="M32" s="80" t="s">
        <v>256</v>
      </c>
      <c r="P32" s="80" t="s">
        <v>256</v>
      </c>
    </row>
    <row r="33" spans="1:18" s="3" customFormat="1" ht="13.15" customHeight="1" outlineLevel="1">
      <c r="A33" s="65" t="s">
        <v>275</v>
      </c>
      <c r="B33" s="65" t="s">
        <v>275</v>
      </c>
      <c r="C33" s="314" t="s">
        <v>532</v>
      </c>
      <c r="D33" s="313" t="s">
        <v>245</v>
      </c>
      <c r="E33" s="315" t="s">
        <v>71</v>
      </c>
      <c r="F33" s="74">
        <v>779928</v>
      </c>
      <c r="G33" s="315" t="s">
        <v>71</v>
      </c>
      <c r="H33" s="74">
        <f t="shared" ref="H33:H45" si="8">IF(G33="ABOLISHED",0, (VLOOKUP(G33,$A$76:$C$315,2,FALSE)*12))</f>
        <v>779928</v>
      </c>
      <c r="I33" s="301">
        <f t="shared" ref="I33:I45" si="9">SUM(H33-F33)</f>
        <v>0</v>
      </c>
      <c r="J33" s="315" t="s">
        <v>71</v>
      </c>
      <c r="K33" s="74">
        <f t="shared" ref="K33:K45" si="10">IF(J33="ABOLISHED",0, (VLOOKUP(J33,$A$76:$C$315,3,FALSE)*12))</f>
        <v>779928</v>
      </c>
      <c r="L33" s="3">
        <f t="shared" ref="L33:L45" si="11">SUM(H33/12)</f>
        <v>64994</v>
      </c>
      <c r="M33" s="80">
        <f t="shared" ref="M33:M45" si="12">IF(L33&gt;=80000,1600,SUM(L33*4%)/2)</f>
        <v>1299.8800000000001</v>
      </c>
      <c r="O33" s="3">
        <f t="shared" ref="O33:O45" si="13">SUM(K33/12)</f>
        <v>64994</v>
      </c>
      <c r="P33" s="80">
        <f t="shared" ref="P33:P45" si="14">IF(O33&gt;=70000,1600,SUM(O33*4%)/2)</f>
        <v>1299.8800000000001</v>
      </c>
      <c r="R33" s="3">
        <f t="shared" ref="R33:R45" si="15">O33-L33</f>
        <v>0</v>
      </c>
    </row>
    <row r="34" spans="1:18" s="3" customFormat="1" ht="13.15" customHeight="1" outlineLevel="1">
      <c r="A34" s="65" t="s">
        <v>272</v>
      </c>
      <c r="B34" s="65" t="s">
        <v>272</v>
      </c>
      <c r="C34" s="302" t="s">
        <v>531</v>
      </c>
      <c r="D34" s="309" t="s">
        <v>530</v>
      </c>
      <c r="E34" s="300" t="s">
        <v>100</v>
      </c>
      <c r="F34" s="74">
        <v>515388</v>
      </c>
      <c r="G34" s="300" t="s">
        <v>103</v>
      </c>
      <c r="H34" s="74">
        <f t="shared" si="8"/>
        <v>497964</v>
      </c>
      <c r="I34" s="301">
        <f t="shared" si="9"/>
        <v>-17424</v>
      </c>
      <c r="J34" s="300" t="s">
        <v>103</v>
      </c>
      <c r="K34" s="74">
        <f t="shared" si="10"/>
        <v>497964</v>
      </c>
      <c r="L34" s="3">
        <f t="shared" si="11"/>
        <v>41497</v>
      </c>
      <c r="M34" s="80">
        <f t="shared" si="12"/>
        <v>829.94</v>
      </c>
      <c r="O34" s="3">
        <f t="shared" si="13"/>
        <v>41497</v>
      </c>
      <c r="P34" s="80">
        <f t="shared" si="14"/>
        <v>829.94</v>
      </c>
      <c r="R34" s="3">
        <f t="shared" si="15"/>
        <v>0</v>
      </c>
    </row>
    <row r="35" spans="1:18" s="3" customFormat="1" ht="13.15" customHeight="1" outlineLevel="1">
      <c r="A35" s="293" t="s">
        <v>491</v>
      </c>
      <c r="B35" s="293" t="s">
        <v>268</v>
      </c>
      <c r="C35" s="302" t="s">
        <v>529</v>
      </c>
      <c r="D35" s="311" t="s">
        <v>528</v>
      </c>
      <c r="E35" s="294" t="s">
        <v>127</v>
      </c>
      <c r="F35" s="67">
        <v>382752</v>
      </c>
      <c r="G35" s="294" t="s">
        <v>126</v>
      </c>
      <c r="H35" s="67">
        <f t="shared" si="8"/>
        <v>387060</v>
      </c>
      <c r="I35" s="290">
        <f t="shared" si="9"/>
        <v>4308</v>
      </c>
      <c r="J35" s="294" t="s">
        <v>126</v>
      </c>
      <c r="K35" s="67">
        <f t="shared" si="10"/>
        <v>387060</v>
      </c>
      <c r="L35" s="3">
        <f t="shared" si="11"/>
        <v>32255</v>
      </c>
      <c r="M35" s="80">
        <f t="shared" si="12"/>
        <v>645.1</v>
      </c>
      <c r="O35" s="3">
        <f t="shared" si="13"/>
        <v>32255</v>
      </c>
      <c r="P35" s="80">
        <f t="shared" si="14"/>
        <v>645.1</v>
      </c>
      <c r="R35" s="1">
        <f t="shared" si="15"/>
        <v>0</v>
      </c>
    </row>
    <row r="36" spans="1:18" s="3" customFormat="1" ht="13.15" customHeight="1" outlineLevel="1">
      <c r="A36" s="65" t="s">
        <v>268</v>
      </c>
      <c r="B36" s="65" t="s">
        <v>265</v>
      </c>
      <c r="C36" s="314" t="s">
        <v>527</v>
      </c>
      <c r="D36" s="313" t="s">
        <v>245</v>
      </c>
      <c r="E36" s="300" t="s">
        <v>159</v>
      </c>
      <c r="F36" s="67">
        <v>272196</v>
      </c>
      <c r="G36" s="300" t="s">
        <v>159</v>
      </c>
      <c r="H36" s="67">
        <f t="shared" si="8"/>
        <v>272196</v>
      </c>
      <c r="I36" s="301">
        <f t="shared" si="9"/>
        <v>0</v>
      </c>
      <c r="J36" s="300" t="s">
        <v>159</v>
      </c>
      <c r="K36" s="67">
        <f t="shared" si="10"/>
        <v>272196</v>
      </c>
      <c r="L36" s="3">
        <f t="shared" si="11"/>
        <v>22683</v>
      </c>
      <c r="M36" s="80">
        <f t="shared" si="12"/>
        <v>453.66</v>
      </c>
      <c r="O36" s="3">
        <f t="shared" si="13"/>
        <v>22683</v>
      </c>
      <c r="P36" s="80">
        <f t="shared" si="14"/>
        <v>453.66</v>
      </c>
      <c r="R36" s="1">
        <f t="shared" si="15"/>
        <v>0</v>
      </c>
    </row>
    <row r="37" spans="1:18" s="3" customFormat="1" ht="13.15" customHeight="1" outlineLevel="1">
      <c r="A37" s="65" t="s">
        <v>265</v>
      </c>
      <c r="B37" s="65" t="s">
        <v>262</v>
      </c>
      <c r="C37" s="302" t="s">
        <v>526</v>
      </c>
      <c r="D37" s="313" t="s">
        <v>245</v>
      </c>
      <c r="E37" s="308" t="s">
        <v>151</v>
      </c>
      <c r="F37" s="74">
        <v>296988</v>
      </c>
      <c r="G37" s="308" t="s">
        <v>151</v>
      </c>
      <c r="H37" s="74">
        <f t="shared" si="8"/>
        <v>296988</v>
      </c>
      <c r="I37" s="301">
        <f t="shared" si="9"/>
        <v>0</v>
      </c>
      <c r="J37" s="308" t="s">
        <v>151</v>
      </c>
      <c r="K37" s="74">
        <f t="shared" si="10"/>
        <v>296988</v>
      </c>
      <c r="L37" s="3">
        <f t="shared" si="11"/>
        <v>24749</v>
      </c>
      <c r="M37" s="80">
        <f t="shared" si="12"/>
        <v>494.98</v>
      </c>
      <c r="O37" s="3">
        <f t="shared" si="13"/>
        <v>24749</v>
      </c>
      <c r="P37" s="80">
        <f t="shared" si="14"/>
        <v>494.98</v>
      </c>
      <c r="R37" s="3">
        <f t="shared" si="15"/>
        <v>0</v>
      </c>
    </row>
    <row r="38" spans="1:18" s="3" customFormat="1" ht="13.15" customHeight="1" outlineLevel="1">
      <c r="A38" s="65" t="s">
        <v>262</v>
      </c>
      <c r="B38" s="65" t="s">
        <v>260</v>
      </c>
      <c r="C38" s="302" t="s">
        <v>512</v>
      </c>
      <c r="D38" s="309" t="s">
        <v>525</v>
      </c>
      <c r="E38" s="300" t="s">
        <v>158</v>
      </c>
      <c r="F38" s="74">
        <v>275436</v>
      </c>
      <c r="G38" s="300" t="s">
        <v>158</v>
      </c>
      <c r="H38" s="74">
        <f t="shared" si="8"/>
        <v>275436</v>
      </c>
      <c r="I38" s="301">
        <f t="shared" si="9"/>
        <v>0</v>
      </c>
      <c r="J38" s="300" t="s">
        <v>158</v>
      </c>
      <c r="K38" s="74">
        <f t="shared" si="10"/>
        <v>275436</v>
      </c>
      <c r="L38" s="3">
        <f t="shared" si="11"/>
        <v>22953</v>
      </c>
      <c r="M38" s="80">
        <f t="shared" si="12"/>
        <v>459.06</v>
      </c>
      <c r="O38" s="3">
        <f t="shared" si="13"/>
        <v>22953</v>
      </c>
      <c r="P38" s="80">
        <f t="shared" si="14"/>
        <v>459.06</v>
      </c>
      <c r="R38" s="3">
        <f t="shared" si="15"/>
        <v>0</v>
      </c>
    </row>
    <row r="39" spans="1:18" s="3" customFormat="1" ht="13.15" customHeight="1" outlineLevel="1">
      <c r="A39" s="65" t="s">
        <v>260</v>
      </c>
      <c r="B39" s="65" t="s">
        <v>254</v>
      </c>
      <c r="C39" s="302" t="s">
        <v>512</v>
      </c>
      <c r="D39" s="311" t="s">
        <v>524</v>
      </c>
      <c r="E39" s="300" t="s">
        <v>158</v>
      </c>
      <c r="F39" s="74">
        <v>275436</v>
      </c>
      <c r="G39" s="300" t="s">
        <v>158</v>
      </c>
      <c r="H39" s="74">
        <f t="shared" si="8"/>
        <v>275436</v>
      </c>
      <c r="I39" s="301">
        <f t="shared" si="9"/>
        <v>0</v>
      </c>
      <c r="J39" s="300" t="s">
        <v>158</v>
      </c>
      <c r="K39" s="74">
        <f t="shared" si="10"/>
        <v>275436</v>
      </c>
      <c r="L39" s="3">
        <f t="shared" si="11"/>
        <v>22953</v>
      </c>
      <c r="M39" s="80">
        <f t="shared" si="12"/>
        <v>459.06</v>
      </c>
      <c r="O39" s="3">
        <f t="shared" si="13"/>
        <v>22953</v>
      </c>
      <c r="P39" s="80">
        <f t="shared" si="14"/>
        <v>459.06</v>
      </c>
      <c r="R39" s="3">
        <f t="shared" si="15"/>
        <v>0</v>
      </c>
    </row>
    <row r="40" spans="1:18" s="3" customFormat="1" ht="13.15" customHeight="1" outlineLevel="1">
      <c r="A40" s="65" t="s">
        <v>254</v>
      </c>
      <c r="B40" s="65" t="s">
        <v>255</v>
      </c>
      <c r="C40" s="302" t="s">
        <v>523</v>
      </c>
      <c r="D40" s="310" t="s">
        <v>522</v>
      </c>
      <c r="E40" s="312" t="s">
        <v>175</v>
      </c>
      <c r="F40" s="74">
        <v>223356</v>
      </c>
      <c r="G40" s="312" t="s">
        <v>175</v>
      </c>
      <c r="H40" s="74">
        <f t="shared" si="8"/>
        <v>223356</v>
      </c>
      <c r="I40" s="301">
        <f t="shared" si="9"/>
        <v>0</v>
      </c>
      <c r="J40" s="312" t="s">
        <v>175</v>
      </c>
      <c r="K40" s="74">
        <f t="shared" si="10"/>
        <v>223356</v>
      </c>
      <c r="L40" s="3">
        <f t="shared" si="11"/>
        <v>18613</v>
      </c>
      <c r="M40" s="80">
        <f t="shared" si="12"/>
        <v>372.26</v>
      </c>
      <c r="O40" s="3">
        <f t="shared" si="13"/>
        <v>18613</v>
      </c>
      <c r="P40" s="80">
        <f t="shared" si="14"/>
        <v>372.26</v>
      </c>
      <c r="R40" s="3">
        <f t="shared" si="15"/>
        <v>0</v>
      </c>
    </row>
    <row r="41" spans="1:18" s="3" customFormat="1" ht="13.15" customHeight="1" outlineLevel="1">
      <c r="A41" s="65" t="s">
        <v>255</v>
      </c>
      <c r="B41" s="65" t="s">
        <v>250</v>
      </c>
      <c r="C41" s="302" t="s">
        <v>521</v>
      </c>
      <c r="D41" s="313" t="s">
        <v>245</v>
      </c>
      <c r="E41" s="312" t="s">
        <v>175</v>
      </c>
      <c r="F41" s="74">
        <v>223356</v>
      </c>
      <c r="G41" s="312" t="s">
        <v>175</v>
      </c>
      <c r="H41" s="74">
        <f t="shared" si="8"/>
        <v>223356</v>
      </c>
      <c r="I41" s="301">
        <f t="shared" si="9"/>
        <v>0</v>
      </c>
      <c r="J41" s="312" t="s">
        <v>175</v>
      </c>
      <c r="K41" s="74">
        <f t="shared" si="10"/>
        <v>223356</v>
      </c>
      <c r="L41" s="3">
        <f t="shared" si="11"/>
        <v>18613</v>
      </c>
      <c r="M41" s="80">
        <f t="shared" si="12"/>
        <v>372.26</v>
      </c>
      <c r="O41" s="3">
        <f t="shared" si="13"/>
        <v>18613</v>
      </c>
      <c r="P41" s="80">
        <f t="shared" si="14"/>
        <v>372.26</v>
      </c>
      <c r="R41" s="3">
        <f t="shared" si="15"/>
        <v>0</v>
      </c>
    </row>
    <row r="42" spans="1:18" s="3" customFormat="1" ht="13.15" customHeight="1" outlineLevel="1">
      <c r="A42" s="65" t="s">
        <v>250</v>
      </c>
      <c r="B42" s="65" t="s">
        <v>247</v>
      </c>
      <c r="C42" s="302" t="s">
        <v>520</v>
      </c>
      <c r="D42" s="311" t="s">
        <v>519</v>
      </c>
      <c r="E42" s="300" t="s">
        <v>180</v>
      </c>
      <c r="F42" s="74">
        <v>213756</v>
      </c>
      <c r="G42" s="300" t="s">
        <v>183</v>
      </c>
      <c r="H42" s="74">
        <f t="shared" si="8"/>
        <v>208056</v>
      </c>
      <c r="I42" s="301">
        <f t="shared" si="9"/>
        <v>-5700</v>
      </c>
      <c r="J42" s="300" t="s">
        <v>183</v>
      </c>
      <c r="K42" s="74">
        <f t="shared" si="10"/>
        <v>208056</v>
      </c>
      <c r="L42" s="3">
        <f t="shared" si="11"/>
        <v>17338</v>
      </c>
      <c r="M42" s="80">
        <f t="shared" si="12"/>
        <v>346.76</v>
      </c>
      <c r="O42" s="3">
        <f t="shared" si="13"/>
        <v>17338</v>
      </c>
      <c r="P42" s="80">
        <f t="shared" si="14"/>
        <v>346.76</v>
      </c>
      <c r="R42" s="3">
        <f t="shared" si="15"/>
        <v>0</v>
      </c>
    </row>
    <row r="43" spans="1:18" s="3" customFormat="1" ht="13.15" customHeight="1" outlineLevel="1">
      <c r="A43" s="65" t="s">
        <v>247</v>
      </c>
      <c r="B43" s="65" t="s">
        <v>302</v>
      </c>
      <c r="C43" s="302" t="s">
        <v>509</v>
      </c>
      <c r="D43" s="309" t="s">
        <v>518</v>
      </c>
      <c r="E43" s="300" t="s">
        <v>199</v>
      </c>
      <c r="F43" s="74">
        <v>184680</v>
      </c>
      <c r="G43" s="300" t="s">
        <v>199</v>
      </c>
      <c r="H43" s="74">
        <f t="shared" si="8"/>
        <v>184680</v>
      </c>
      <c r="I43" s="301">
        <f t="shared" si="9"/>
        <v>0</v>
      </c>
      <c r="J43" s="300" t="s">
        <v>199</v>
      </c>
      <c r="K43" s="74">
        <f t="shared" si="10"/>
        <v>184680</v>
      </c>
      <c r="L43" s="3">
        <f t="shared" si="11"/>
        <v>15390</v>
      </c>
      <c r="M43" s="80">
        <f t="shared" si="12"/>
        <v>307.8</v>
      </c>
      <c r="O43" s="3">
        <f t="shared" si="13"/>
        <v>15390</v>
      </c>
      <c r="P43" s="80">
        <f t="shared" si="14"/>
        <v>307.8</v>
      </c>
      <c r="R43" s="3">
        <f t="shared" si="15"/>
        <v>0</v>
      </c>
    </row>
    <row r="44" spans="1:18" s="3" customFormat="1" ht="13.15" customHeight="1" outlineLevel="1">
      <c r="A44" s="65" t="s">
        <v>302</v>
      </c>
      <c r="B44" s="65" t="s">
        <v>507</v>
      </c>
      <c r="C44" s="302" t="s">
        <v>517</v>
      </c>
      <c r="D44" s="310" t="s">
        <v>516</v>
      </c>
      <c r="E44" s="308" t="s">
        <v>215</v>
      </c>
      <c r="F44" s="74">
        <v>164160</v>
      </c>
      <c r="G44" s="308" t="s">
        <v>215</v>
      </c>
      <c r="H44" s="74">
        <f t="shared" si="8"/>
        <v>164160</v>
      </c>
      <c r="I44" s="301">
        <f t="shared" si="9"/>
        <v>0</v>
      </c>
      <c r="J44" s="308" t="s">
        <v>215</v>
      </c>
      <c r="K44" s="74">
        <f t="shared" si="10"/>
        <v>164160</v>
      </c>
      <c r="L44" s="3">
        <f t="shared" si="11"/>
        <v>13680</v>
      </c>
      <c r="M44" s="80">
        <f t="shared" si="12"/>
        <v>273.60000000000002</v>
      </c>
      <c r="O44" s="3">
        <f t="shared" si="13"/>
        <v>13680</v>
      </c>
      <c r="P44" s="80">
        <f t="shared" si="14"/>
        <v>273.60000000000002</v>
      </c>
      <c r="R44" s="3">
        <f t="shared" si="15"/>
        <v>0</v>
      </c>
    </row>
    <row r="45" spans="1:18" s="3" customFormat="1" ht="13.15" customHeight="1" outlineLevel="1">
      <c r="A45" s="65" t="s">
        <v>250</v>
      </c>
      <c r="B45" s="65" t="s">
        <v>502</v>
      </c>
      <c r="C45" s="302" t="s">
        <v>515</v>
      </c>
      <c r="D45" s="310" t="s">
        <v>514</v>
      </c>
      <c r="E45" s="308" t="s">
        <v>230</v>
      </c>
      <c r="F45" s="74">
        <v>146928</v>
      </c>
      <c r="G45" s="308" t="s">
        <v>230</v>
      </c>
      <c r="H45" s="74">
        <f t="shared" si="8"/>
        <v>146928</v>
      </c>
      <c r="I45" s="301">
        <f t="shared" si="9"/>
        <v>0</v>
      </c>
      <c r="J45" s="308" t="s">
        <v>230</v>
      </c>
      <c r="K45" s="74">
        <f t="shared" si="10"/>
        <v>146928</v>
      </c>
      <c r="L45" s="3">
        <f t="shared" si="11"/>
        <v>12244</v>
      </c>
      <c r="M45" s="80">
        <f t="shared" si="12"/>
        <v>244.88</v>
      </c>
      <c r="O45" s="3">
        <f t="shared" si="13"/>
        <v>12244</v>
      </c>
      <c r="P45" s="80">
        <f t="shared" si="14"/>
        <v>244.88</v>
      </c>
      <c r="R45" s="3">
        <f t="shared" si="15"/>
        <v>0</v>
      </c>
    </row>
    <row r="46" spans="1:18" s="3" customFormat="1" ht="13.15" customHeight="1" outlineLevel="1">
      <c r="A46" s="65"/>
      <c r="B46" s="65"/>
      <c r="C46" s="302"/>
      <c r="D46" s="310"/>
      <c r="E46" s="308"/>
      <c r="F46" s="74"/>
      <c r="G46" s="308"/>
      <c r="H46" s="74"/>
      <c r="I46" s="301"/>
      <c r="J46" s="308"/>
      <c r="K46" s="74"/>
      <c r="M46" s="80"/>
      <c r="P46" s="80"/>
    </row>
    <row r="47" spans="1:18" s="3" customFormat="1" ht="13.15" customHeight="1" outlineLevel="1">
      <c r="A47" s="65"/>
      <c r="B47" s="65"/>
      <c r="C47" s="298" t="s">
        <v>513</v>
      </c>
      <c r="D47" s="310"/>
      <c r="E47" s="308"/>
      <c r="F47" s="67"/>
      <c r="G47" s="308"/>
      <c r="H47" s="67"/>
      <c r="I47" s="301"/>
      <c r="J47" s="308"/>
      <c r="K47" s="67"/>
      <c r="M47" s="80" t="s">
        <v>256</v>
      </c>
      <c r="P47" s="80" t="s">
        <v>256</v>
      </c>
      <c r="R47" s="1"/>
    </row>
    <row r="48" spans="1:18" s="3" customFormat="1" ht="13.15" customHeight="1" outlineLevel="1">
      <c r="A48" s="65" t="s">
        <v>247</v>
      </c>
      <c r="B48" s="65" t="s">
        <v>498</v>
      </c>
      <c r="C48" s="302" t="s">
        <v>512</v>
      </c>
      <c r="D48" s="311" t="s">
        <v>511</v>
      </c>
      <c r="E48" s="300" t="s">
        <v>158</v>
      </c>
      <c r="F48" s="67">
        <v>275436</v>
      </c>
      <c r="G48" s="300" t="s">
        <v>158</v>
      </c>
      <c r="H48" s="67">
        <f>IF(G48="ABOLISHED",0, (VLOOKUP(G48,$A$76:$C$315,2,FALSE)*12))</f>
        <v>275436</v>
      </c>
      <c r="I48" s="301">
        <f>SUM(H48-F48)</f>
        <v>0</v>
      </c>
      <c r="J48" s="300" t="s">
        <v>158</v>
      </c>
      <c r="K48" s="67">
        <f>IF(J48="ABOLISHED",0, (VLOOKUP(J48,$A$76:$C$315,3,FALSE)*12))</f>
        <v>275436</v>
      </c>
      <c r="L48" s="3">
        <f>SUM(H48/12)</f>
        <v>22953</v>
      </c>
      <c r="M48" s="80">
        <f>IF(L48&gt;=80000,1600,SUM(L48*4%)/2)</f>
        <v>459.06</v>
      </c>
      <c r="O48" s="3">
        <f>SUM(K48/12)</f>
        <v>22953</v>
      </c>
      <c r="P48" s="80">
        <f>IF(O48&gt;=70000,1600,SUM(O48*4%)/2)</f>
        <v>459.06</v>
      </c>
      <c r="R48" s="1">
        <f>O48-L48</f>
        <v>0</v>
      </c>
    </row>
    <row r="49" spans="1:18" s="3" customFormat="1" ht="13.15" customHeight="1" outlineLevel="1">
      <c r="A49" s="65" t="s">
        <v>302</v>
      </c>
      <c r="B49" s="65" t="s">
        <v>510</v>
      </c>
      <c r="C49" s="302" t="s">
        <v>509</v>
      </c>
      <c r="D49" s="310" t="s">
        <v>508</v>
      </c>
      <c r="E49" s="308" t="s">
        <v>198</v>
      </c>
      <c r="F49" s="67">
        <v>186108</v>
      </c>
      <c r="G49" s="308" t="s">
        <v>199</v>
      </c>
      <c r="H49" s="67">
        <f>IF(G49="ABOLISHED",0, (VLOOKUP(G49,$A$76:$C$315,2,FALSE)*12))</f>
        <v>184680</v>
      </c>
      <c r="I49" s="301">
        <f>SUM(H49-F49)</f>
        <v>-1428</v>
      </c>
      <c r="J49" s="308" t="s">
        <v>199</v>
      </c>
      <c r="K49" s="67">
        <f>IF(J49="ABOLISHED",0, (VLOOKUP(J49,$A$76:$C$315,3,FALSE)*12))</f>
        <v>184680</v>
      </c>
      <c r="L49" s="3">
        <f>SUM(H49/12)</f>
        <v>15390</v>
      </c>
      <c r="M49" s="80">
        <f>IF(L49&gt;=80000,1600,SUM(L49*4%)/2)</f>
        <v>307.8</v>
      </c>
      <c r="O49" s="3">
        <f>SUM(K49/12)</f>
        <v>15390</v>
      </c>
      <c r="P49" s="80">
        <f>IF(O49&gt;=70000,1600,SUM(O49*4%)/2)</f>
        <v>307.8</v>
      </c>
      <c r="R49" s="1">
        <f>O49-L49</f>
        <v>0</v>
      </c>
    </row>
    <row r="50" spans="1:18" s="3" customFormat="1" ht="13.15" customHeight="1" outlineLevel="1">
      <c r="A50" s="65" t="s">
        <v>507</v>
      </c>
      <c r="B50" s="65" t="s">
        <v>494</v>
      </c>
      <c r="C50" s="302" t="s">
        <v>506</v>
      </c>
      <c r="D50" s="309" t="s">
        <v>505</v>
      </c>
      <c r="E50" s="308" t="s">
        <v>213</v>
      </c>
      <c r="F50" s="67">
        <v>166692</v>
      </c>
      <c r="G50" s="308" t="s">
        <v>213</v>
      </c>
      <c r="H50" s="67">
        <f>IF(G50="ABOLISHED",0, (VLOOKUP(G50,$A$76:$C$315,2,FALSE)*12))</f>
        <v>166692</v>
      </c>
      <c r="I50" s="301">
        <f>SUM(H50-F50)</f>
        <v>0</v>
      </c>
      <c r="J50" s="308" t="s">
        <v>213</v>
      </c>
      <c r="K50" s="67">
        <f>IF(J50="ABOLISHED",0, (VLOOKUP(J50,$A$76:$C$315,3,FALSE)*12))</f>
        <v>166692</v>
      </c>
      <c r="L50" s="3">
        <f>SUM(H50/12)</f>
        <v>13891</v>
      </c>
      <c r="M50" s="80">
        <f>IF(L50&gt;=80000,1600,SUM(L50*4%)/2)</f>
        <v>277.82</v>
      </c>
      <c r="O50" s="3">
        <f>SUM(K50/12)</f>
        <v>13891</v>
      </c>
      <c r="P50" s="80">
        <f>IF(O50&gt;=70000,1600,SUM(O50*4%)/2)</f>
        <v>277.82</v>
      </c>
      <c r="R50" s="1">
        <f>O50-L50</f>
        <v>0</v>
      </c>
    </row>
    <row r="51" spans="1:18" s="3" customFormat="1" ht="13.15" customHeight="1" outlineLevel="1">
      <c r="A51" s="307"/>
      <c r="B51" s="307"/>
      <c r="C51" s="298" t="s">
        <v>504</v>
      </c>
      <c r="D51" s="291"/>
      <c r="E51" s="305"/>
      <c r="F51" s="67"/>
      <c r="G51" s="305"/>
      <c r="H51" s="67"/>
      <c r="I51" s="306"/>
      <c r="J51" s="305"/>
      <c r="K51" s="67"/>
      <c r="L51" s="304"/>
      <c r="M51" s="80" t="s">
        <v>256</v>
      </c>
      <c r="O51" s="304"/>
      <c r="P51" s="80" t="s">
        <v>256</v>
      </c>
      <c r="R51" s="1"/>
    </row>
    <row r="52" spans="1:18" s="3" customFormat="1" ht="13.15" customHeight="1" outlineLevel="1">
      <c r="A52" s="307"/>
      <c r="B52" s="307"/>
      <c r="C52" s="298" t="s">
        <v>503</v>
      </c>
      <c r="D52" s="291"/>
      <c r="E52" s="305"/>
      <c r="F52" s="67"/>
      <c r="G52" s="305"/>
      <c r="H52" s="67"/>
      <c r="I52" s="306"/>
      <c r="J52" s="305"/>
      <c r="K52" s="67"/>
      <c r="L52" s="304"/>
      <c r="M52" s="80"/>
      <c r="O52" s="304"/>
      <c r="P52" s="80"/>
      <c r="R52" s="1"/>
    </row>
    <row r="53" spans="1:18" s="3" customFormat="1" ht="13.15" customHeight="1" outlineLevel="1">
      <c r="A53" s="293" t="s">
        <v>502</v>
      </c>
      <c r="B53" s="293" t="s">
        <v>501</v>
      </c>
      <c r="C53" s="303" t="s">
        <v>500</v>
      </c>
      <c r="D53" s="295" t="s">
        <v>499</v>
      </c>
      <c r="E53" s="289" t="s">
        <v>69</v>
      </c>
      <c r="F53" s="67">
        <v>804444</v>
      </c>
      <c r="G53" s="289" t="s">
        <v>69</v>
      </c>
      <c r="H53" s="67">
        <f>IF(G53="ABOLISHED",0, (VLOOKUP(G53,$A$76:$C$315,2,FALSE)*12))</f>
        <v>804444</v>
      </c>
      <c r="I53" s="290">
        <f>SUM(H53-F53)</f>
        <v>0</v>
      </c>
      <c r="J53" s="289" t="s">
        <v>69</v>
      </c>
      <c r="K53" s="67">
        <f>IF(J53="ABOLISHED",0, (VLOOKUP(J53,$A$76:$C$315,3,FALSE)*12))</f>
        <v>804444</v>
      </c>
      <c r="L53" s="3">
        <f>SUM(H53/12)</f>
        <v>67037</v>
      </c>
      <c r="M53" s="80">
        <f>IF(L53&gt;=80000,1600,SUM(L53*4%)/2)</f>
        <v>1340.74</v>
      </c>
      <c r="O53" s="3">
        <f>SUM(K53/12)</f>
        <v>67037</v>
      </c>
      <c r="P53" s="80">
        <f>IF(O53&gt;=70000,1600,SUM(O53*4%)/2)</f>
        <v>1340.74</v>
      </c>
      <c r="R53" s="1">
        <f>O53-L53</f>
        <v>0</v>
      </c>
    </row>
    <row r="54" spans="1:18" s="3" customFormat="1" ht="13.15" customHeight="1" outlineLevel="1">
      <c r="A54" s="65" t="s">
        <v>498</v>
      </c>
      <c r="B54" s="65" t="s">
        <v>491</v>
      </c>
      <c r="C54" s="302" t="s">
        <v>497</v>
      </c>
      <c r="D54" s="299" t="s">
        <v>496</v>
      </c>
      <c r="E54" s="300" t="s">
        <v>102</v>
      </c>
      <c r="F54" s="67">
        <v>503700</v>
      </c>
      <c r="G54" s="300" t="s">
        <v>102</v>
      </c>
      <c r="H54" s="67">
        <f>IF(G54="ABOLISHED",0, (VLOOKUP(G54,$A$76:$C$315,2,FALSE)*12))</f>
        <v>503700</v>
      </c>
      <c r="I54" s="301">
        <f>SUM(H54-F54)</f>
        <v>0</v>
      </c>
      <c r="J54" s="300" t="s">
        <v>102</v>
      </c>
      <c r="K54" s="67">
        <f>IF(J54="ABOLISHED",0, (VLOOKUP(J54,$A$76:$C$315,3,FALSE)*12))</f>
        <v>503700</v>
      </c>
      <c r="L54" s="3">
        <f>SUM(H54/12)</f>
        <v>41975</v>
      </c>
      <c r="M54" s="80">
        <f>IF(L54&gt;=80000,1600,SUM(L54*4%)/2)</f>
        <v>839.5</v>
      </c>
      <c r="O54" s="3">
        <f>SUM(K54/12)</f>
        <v>41975</v>
      </c>
      <c r="P54" s="80">
        <f>IF(O54&gt;=70000,1600,SUM(O54*4%)/2)</f>
        <v>839.5</v>
      </c>
      <c r="R54" s="1">
        <f>O54-L54</f>
        <v>0</v>
      </c>
    </row>
    <row r="55" spans="1:18">
      <c r="E55" s="3"/>
      <c r="F55" s="3"/>
      <c r="G55" s="3"/>
    </row>
    <row r="56" spans="1:18" s="3" customFormat="1" ht="13.15" customHeight="1" outlineLevel="1">
      <c r="A56" s="293"/>
      <c r="B56" s="293"/>
      <c r="C56" s="298" t="s">
        <v>495</v>
      </c>
      <c r="D56" s="299"/>
      <c r="E56" s="294"/>
      <c r="F56" s="67"/>
      <c r="G56" s="294"/>
      <c r="H56" s="67"/>
      <c r="I56" s="290"/>
      <c r="J56" s="294"/>
      <c r="K56" s="67"/>
      <c r="M56" s="80" t="s">
        <v>256</v>
      </c>
      <c r="P56" s="80" t="s">
        <v>256</v>
      </c>
      <c r="R56" s="1"/>
    </row>
    <row r="57" spans="1:18" s="3" customFormat="1" ht="13.5" customHeight="1" outlineLevel="2">
      <c r="A57" s="293" t="s">
        <v>494</v>
      </c>
      <c r="B57" s="293" t="s">
        <v>493</v>
      </c>
      <c r="C57" s="296" t="s">
        <v>489</v>
      </c>
      <c r="D57" s="295" t="s">
        <v>492</v>
      </c>
      <c r="E57" s="294" t="s">
        <v>133</v>
      </c>
      <c r="F57" s="67">
        <v>358992</v>
      </c>
      <c r="G57" s="294" t="s">
        <v>133</v>
      </c>
      <c r="H57" s="67">
        <f>IF(G57="ABOLISHED",0, (VLOOKUP(G57,$A$76:$C$315,2,FALSE)*12))</f>
        <v>358992</v>
      </c>
      <c r="I57" s="290">
        <f>SUM(H57-F57)</f>
        <v>0</v>
      </c>
      <c r="J57" s="294" t="s">
        <v>133</v>
      </c>
      <c r="K57" s="67">
        <f>IF(J57="ABOLISHED",0, (VLOOKUP(J57,$A$76:$C$315,3,FALSE)*12))</f>
        <v>358992</v>
      </c>
      <c r="L57" s="3">
        <f>SUM(H57/12)</f>
        <v>29916</v>
      </c>
      <c r="M57" s="80">
        <f>IF(L57&gt;=80000,1600,SUM(L57*4%)/2)</f>
        <v>598.32000000000005</v>
      </c>
      <c r="O57" s="3">
        <f>SUM(K57/12)</f>
        <v>29916</v>
      </c>
      <c r="P57" s="80">
        <f>IF(O57&gt;=70000,1600,SUM(O57*4%)/2)</f>
        <v>598.32000000000005</v>
      </c>
      <c r="R57" s="1">
        <f>O57-L57</f>
        <v>0</v>
      </c>
    </row>
    <row r="58" spans="1:18" s="3" customFormat="1" ht="13.5" customHeight="1" outlineLevel="2">
      <c r="A58" s="293" t="s">
        <v>491</v>
      </c>
      <c r="B58" s="293" t="s">
        <v>490</v>
      </c>
      <c r="C58" s="296" t="s">
        <v>489</v>
      </c>
      <c r="D58" s="295" t="s">
        <v>488</v>
      </c>
      <c r="E58" s="294" t="s">
        <v>133</v>
      </c>
      <c r="F58" s="67">
        <v>358992</v>
      </c>
      <c r="G58" s="294" t="s">
        <v>133</v>
      </c>
      <c r="H58" s="67">
        <f>IF(G58="ABOLISHED",0, (VLOOKUP(G58,$A$76:$C$315,2,FALSE)*12))</f>
        <v>358992</v>
      </c>
      <c r="I58" s="290">
        <f>SUM(H58-F58)</f>
        <v>0</v>
      </c>
      <c r="J58" s="294" t="s">
        <v>133</v>
      </c>
      <c r="K58" s="67">
        <f>IF(J58="ABOLISHED",0, (VLOOKUP(J58,$A$76:$C$315,3,FALSE)*12))</f>
        <v>358992</v>
      </c>
      <c r="L58" s="3">
        <f>SUM(H58/12)</f>
        <v>29916</v>
      </c>
      <c r="M58" s="80">
        <f>IF(L58&gt;=80000,1600,SUM(L58*4%)/2)</f>
        <v>598.32000000000005</v>
      </c>
      <c r="O58" s="3">
        <f>SUM(K58/12)</f>
        <v>29916</v>
      </c>
      <c r="P58" s="80">
        <f>IF(O58&gt;=70000,1600,SUM(O58*4%)/2)</f>
        <v>598.32000000000005</v>
      </c>
      <c r="R58" s="1">
        <f>O58-L58</f>
        <v>0</v>
      </c>
    </row>
    <row r="59" spans="1:18" s="3" customFormat="1" ht="13.5" customHeight="1" outlineLevel="2">
      <c r="A59" s="293"/>
      <c r="B59" s="293"/>
      <c r="C59" s="298" t="s">
        <v>487</v>
      </c>
      <c r="D59" s="295"/>
      <c r="E59" s="294"/>
      <c r="F59" s="67"/>
      <c r="G59" s="294"/>
      <c r="H59" s="67"/>
      <c r="I59" s="290"/>
      <c r="J59" s="294"/>
      <c r="K59" s="67"/>
      <c r="M59" s="80" t="s">
        <v>256</v>
      </c>
      <c r="P59" s="80" t="s">
        <v>256</v>
      </c>
      <c r="R59" s="1"/>
    </row>
    <row r="60" spans="1:18" s="3" customFormat="1" ht="15" customHeight="1" outlineLevel="2">
      <c r="A60" s="293" t="s">
        <v>486</v>
      </c>
      <c r="B60" s="293" t="s">
        <v>486</v>
      </c>
      <c r="C60" s="296" t="s">
        <v>485</v>
      </c>
      <c r="D60" s="295" t="s">
        <v>484</v>
      </c>
      <c r="E60" s="297" t="s">
        <v>215</v>
      </c>
      <c r="F60" s="67">
        <v>164160</v>
      </c>
      <c r="G60" s="297" t="s">
        <v>214</v>
      </c>
      <c r="H60" s="67">
        <f>IF(G60="ABOLISHED",0, (VLOOKUP(G60,$A$76:$C$315,2,FALSE)*12))</f>
        <v>165420</v>
      </c>
      <c r="I60" s="290">
        <f>SUM(H60-F60)</f>
        <v>1260</v>
      </c>
      <c r="J60" s="297" t="s">
        <v>214</v>
      </c>
      <c r="K60" s="67">
        <f>IF(J60="ABOLISHED",0, (VLOOKUP(J60,$A$76:$C$315,3,FALSE)*12))</f>
        <v>165420</v>
      </c>
      <c r="L60" s="1">
        <f>SUM(H60/12)</f>
        <v>13785</v>
      </c>
      <c r="M60" s="80">
        <f>IF(L60&gt;=80000,1600,SUM(L60*4%)/2)</f>
        <v>275.7</v>
      </c>
      <c r="O60" s="1">
        <f>K60/12</f>
        <v>13785</v>
      </c>
      <c r="P60" s="80">
        <f>IF(O60&gt;=70000,1600,SUM(O60*4%)/2)</f>
        <v>275.7</v>
      </c>
      <c r="R60" s="1">
        <f>O60-L60</f>
        <v>0</v>
      </c>
    </row>
    <row r="61" spans="1:18" s="3" customFormat="1" ht="13.5" customHeight="1" outlineLevel="2">
      <c r="A61" s="293" t="s">
        <v>298</v>
      </c>
      <c r="B61" s="293" t="s">
        <v>298</v>
      </c>
      <c r="C61" s="296" t="s">
        <v>483</v>
      </c>
      <c r="D61" s="295" t="s">
        <v>245</v>
      </c>
      <c r="E61" s="294" t="s">
        <v>231</v>
      </c>
      <c r="F61" s="67">
        <v>145812</v>
      </c>
      <c r="G61" s="294" t="s">
        <v>231</v>
      </c>
      <c r="H61" s="67">
        <f>IF(G61="ABOLISHED",0, (VLOOKUP(G61,$A$76:$C$315,2,FALSE)*12))</f>
        <v>145812</v>
      </c>
      <c r="I61" s="290">
        <f>SUM(H61-F61)</f>
        <v>0</v>
      </c>
      <c r="J61" s="294" t="s">
        <v>231</v>
      </c>
      <c r="K61" s="67">
        <f>IF(J61="ABOLISHED",0, (VLOOKUP(J61,$A$76:$C$315,3,FALSE)*12))</f>
        <v>145812</v>
      </c>
      <c r="L61" s="3">
        <f>SUM(H61/12)</f>
        <v>12151</v>
      </c>
      <c r="M61" s="80">
        <f>IF(L61&gt;=80000,1600,SUM(L61*4%)/2)</f>
        <v>243.02</v>
      </c>
      <c r="O61" s="3">
        <f>SUM(K61/12)</f>
        <v>12151</v>
      </c>
      <c r="P61" s="80">
        <f>IF(O61&gt;=70000,1600,SUM(O61*4%)/2)</f>
        <v>243.02</v>
      </c>
      <c r="R61" s="1">
        <f>O61-L61</f>
        <v>0</v>
      </c>
    </row>
    <row r="62" spans="1:18" s="3" customFormat="1" ht="13.5" customHeight="1" outlineLevel="2">
      <c r="A62" s="293" t="s">
        <v>482</v>
      </c>
      <c r="B62" s="293" t="s">
        <v>482</v>
      </c>
      <c r="C62" s="296" t="s">
        <v>481</v>
      </c>
      <c r="D62" s="295" t="s">
        <v>480</v>
      </c>
      <c r="E62" s="294" t="s">
        <v>228</v>
      </c>
      <c r="F62" s="67">
        <v>149196</v>
      </c>
      <c r="G62" s="294" t="s">
        <v>228</v>
      </c>
      <c r="H62" s="67">
        <f>IF(G62="ABOLISHED",0, (VLOOKUP(G62,$A$76:$C$315,2,FALSE)*12))</f>
        <v>149196</v>
      </c>
      <c r="I62" s="290">
        <f>SUM(H62-F62)</f>
        <v>0</v>
      </c>
      <c r="J62" s="294" t="s">
        <v>228</v>
      </c>
      <c r="K62" s="67">
        <f>IF(J62="ABOLISHED",0, (VLOOKUP(J62,$A$76:$C$315,3,FALSE)*12))</f>
        <v>149196</v>
      </c>
      <c r="L62" s="3">
        <f>SUM(H62/12)</f>
        <v>12433</v>
      </c>
      <c r="M62" s="80">
        <f>IF(L62&gt;=80000,1600,SUM(L62*4%)/2)</f>
        <v>248.66</v>
      </c>
      <c r="O62" s="3">
        <f>SUM(K62/12)</f>
        <v>12433</v>
      </c>
      <c r="P62" s="80">
        <f>IF(O62&gt;=70000,1600,SUM(O62*4%)/2)</f>
        <v>248.66</v>
      </c>
      <c r="R62" s="1">
        <f>O62-L62</f>
        <v>0</v>
      </c>
    </row>
    <row r="63" spans="1:18" s="3" customFormat="1" ht="13.5" customHeight="1" outlineLevel="2">
      <c r="A63" s="293" t="s">
        <v>479</v>
      </c>
      <c r="B63" s="293" t="s">
        <v>479</v>
      </c>
      <c r="C63" s="296" t="s">
        <v>478</v>
      </c>
      <c r="D63" s="295" t="s">
        <v>477</v>
      </c>
      <c r="E63" s="294" t="s">
        <v>230</v>
      </c>
      <c r="F63" s="67">
        <v>146928</v>
      </c>
      <c r="G63" s="294" t="s">
        <v>230</v>
      </c>
      <c r="H63" s="67">
        <f>IF(G63="ABOLISHED",0, (VLOOKUP(G63,$A$76:$C$315,2,FALSE)*12))</f>
        <v>146928</v>
      </c>
      <c r="I63" s="290">
        <f>SUM(H63-F63)</f>
        <v>0</v>
      </c>
      <c r="J63" s="294" t="s">
        <v>230</v>
      </c>
      <c r="K63" s="67">
        <f>IF(J63="ABOLISHED",0, (VLOOKUP(J63,$A$76:$C$315,3,FALSE)*12))</f>
        <v>146928</v>
      </c>
      <c r="L63" s="3">
        <f>SUM(H63/12)</f>
        <v>12244</v>
      </c>
      <c r="M63" s="80">
        <f>IF(L63&gt;=80000,1600,SUM(L63*4%)/2)</f>
        <v>244.88</v>
      </c>
      <c r="O63" s="3">
        <f>SUM(K63/12)</f>
        <v>12244</v>
      </c>
      <c r="P63" s="80">
        <f>IF(O63&gt;=70000,1600,SUM(O63*4%)/2)</f>
        <v>244.88</v>
      </c>
      <c r="R63" s="1">
        <f>O63-L63</f>
        <v>0</v>
      </c>
    </row>
    <row r="64" spans="1:18" s="3" customFormat="1" ht="13.5" customHeight="1" outlineLevel="2">
      <c r="A64" s="293"/>
      <c r="B64" s="293"/>
      <c r="C64" s="296"/>
      <c r="D64" s="295"/>
      <c r="E64" s="294"/>
      <c r="F64" s="67"/>
      <c r="G64" s="294"/>
      <c r="H64" s="67"/>
      <c r="I64" s="290"/>
      <c r="J64" s="294"/>
      <c r="K64" s="67"/>
      <c r="M64" s="66"/>
      <c r="P64" s="66"/>
      <c r="R64" s="1"/>
    </row>
    <row r="65" spans="1:18" s="3" customFormat="1" ht="13.5" customHeight="1" outlineLevel="2">
      <c r="A65" s="293"/>
      <c r="B65" s="293"/>
      <c r="C65" s="296"/>
      <c r="D65" s="295"/>
      <c r="E65" s="294"/>
      <c r="F65" s="67"/>
      <c r="G65" s="294"/>
      <c r="H65" s="67"/>
      <c r="I65" s="290"/>
      <c r="J65" s="294"/>
      <c r="K65" s="67"/>
      <c r="M65" s="66"/>
      <c r="P65" s="66"/>
      <c r="R65" s="1"/>
    </row>
    <row r="66" spans="1:18" s="3" customFormat="1" ht="13.5" customHeight="1" outlineLevel="2">
      <c r="A66" s="293"/>
      <c r="B66" s="293"/>
      <c r="C66" s="292"/>
      <c r="D66" s="291"/>
      <c r="E66" s="289"/>
      <c r="F66" s="59"/>
      <c r="G66" s="289"/>
      <c r="H66" s="59"/>
      <c r="I66" s="290"/>
      <c r="J66" s="289"/>
      <c r="K66" s="59"/>
      <c r="M66" s="57"/>
      <c r="P66" s="57"/>
      <c r="R66" s="1"/>
    </row>
    <row r="67" spans="1:18" ht="16.149999999999999" customHeight="1">
      <c r="A67" s="56"/>
      <c r="B67" s="288">
        <v>38</v>
      </c>
      <c r="C67" s="54"/>
      <c r="D67" s="53" t="s">
        <v>244</v>
      </c>
      <c r="E67" s="52"/>
      <c r="F67" s="50">
        <f>SUM(F13:F66)</f>
        <v>13561248</v>
      </c>
      <c r="G67" s="51"/>
      <c r="H67" s="50">
        <f>SUM(H13:H66)</f>
        <v>13559688</v>
      </c>
      <c r="I67" s="287">
        <f>SUM(I13:I66)</f>
        <v>-1560</v>
      </c>
      <c r="J67" s="51"/>
      <c r="K67" s="50">
        <f>SUM(K13:K66)</f>
        <v>13559688</v>
      </c>
      <c r="L67" s="42"/>
      <c r="M67" s="39">
        <f>SUM(M13:M66)</f>
        <v>22225.300000000003</v>
      </c>
      <c r="O67" s="42"/>
      <c r="P67" s="39">
        <f>SUM(P13:P66)</f>
        <v>22225.300000000003</v>
      </c>
    </row>
    <row r="68" spans="1:18" ht="16.149999999999999" hidden="1" customHeight="1">
      <c r="A68" s="46"/>
      <c r="B68" s="46"/>
      <c r="C68" s="45"/>
      <c r="D68" s="45"/>
      <c r="E68" s="42"/>
      <c r="F68" s="44"/>
      <c r="G68" s="18"/>
      <c r="H68" s="286" t="s">
        <v>365</v>
      </c>
      <c r="I68" s="42"/>
      <c r="J68" s="41"/>
      <c r="K68" s="41"/>
      <c r="L68" s="42"/>
      <c r="M68" s="285">
        <v>12</v>
      </c>
      <c r="N68" s="28"/>
      <c r="O68" s="284"/>
      <c r="P68" s="283">
        <v>12</v>
      </c>
    </row>
    <row r="69" spans="1:18" ht="14.25" hidden="1" customHeight="1" thickBot="1">
      <c r="A69" s="282"/>
      <c r="B69" s="281"/>
      <c r="D69" s="280"/>
      <c r="F69" s="274"/>
      <c r="G69" s="279"/>
      <c r="H69" s="274"/>
      <c r="I69" s="274"/>
      <c r="J69" s="278"/>
      <c r="K69" s="278"/>
      <c r="L69" s="274"/>
      <c r="M69" s="276">
        <f>ROUNDUP(SUM(M67*M68),0)</f>
        <v>266704</v>
      </c>
      <c r="N69" s="28"/>
      <c r="O69" s="277"/>
      <c r="P69" s="276">
        <f>ROUNDUP(SUM(P67*P68),0)</f>
        <v>266704</v>
      </c>
      <c r="R69" s="275">
        <f>SUM(R13:R66)</f>
        <v>0</v>
      </c>
    </row>
    <row r="70" spans="1:18" ht="14.25" hidden="1" customHeight="1" thickTop="1">
      <c r="F70" s="274"/>
      <c r="G70" s="274"/>
    </row>
    <row r="71" spans="1:18" ht="14.25" hidden="1" customHeight="1">
      <c r="E71" s="27"/>
    </row>
    <row r="72" spans="1:18" ht="14.25" hidden="1" customHeight="1">
      <c r="E72" s="27"/>
    </row>
    <row r="73" spans="1:18" ht="15.75" hidden="1">
      <c r="A73" s="4636" t="s">
        <v>476</v>
      </c>
      <c r="B73" s="4636"/>
      <c r="C73" s="273"/>
      <c r="D73" s="272"/>
    </row>
    <row r="74" spans="1:18" hidden="1">
      <c r="A74" s="4637" t="s">
        <v>475</v>
      </c>
      <c r="B74" s="4638"/>
      <c r="C74" s="26"/>
      <c r="D74" s="3"/>
    </row>
    <row r="75" spans="1:18" ht="15" hidden="1">
      <c r="A75" s="25" t="s">
        <v>242</v>
      </c>
      <c r="B75" s="24" t="s">
        <v>241</v>
      </c>
      <c r="C75" s="23" t="s">
        <v>474</v>
      </c>
      <c r="D75" s="8"/>
      <c r="E75" s="16"/>
      <c r="F75" s="15"/>
      <c r="G75" s="17"/>
      <c r="H75" s="14"/>
      <c r="I75" s="14"/>
      <c r="J75" s="13"/>
      <c r="K75" s="13"/>
      <c r="L75" s="14"/>
      <c r="M75" s="14"/>
    </row>
    <row r="76" spans="1:18" hidden="1">
      <c r="A76" s="21" t="s">
        <v>239</v>
      </c>
      <c r="B76" s="22">
        <v>11432</v>
      </c>
      <c r="C76" s="22">
        <v>11432</v>
      </c>
      <c r="D76" s="8"/>
      <c r="E76" s="16"/>
      <c r="F76" s="15"/>
      <c r="G76" s="17"/>
      <c r="H76" s="14"/>
      <c r="I76" s="14"/>
      <c r="J76" s="13"/>
      <c r="K76" s="13"/>
      <c r="L76" s="14"/>
      <c r="M76" s="14"/>
    </row>
    <row r="77" spans="1:18" hidden="1">
      <c r="A77" s="12" t="s">
        <v>238</v>
      </c>
      <c r="B77" s="22">
        <v>11527</v>
      </c>
      <c r="C77" s="22">
        <v>11527</v>
      </c>
      <c r="D77" s="8"/>
      <c r="E77" s="16"/>
      <c r="F77" s="15"/>
      <c r="G77" s="17"/>
    </row>
    <row r="78" spans="1:18" hidden="1">
      <c r="A78" s="21" t="s">
        <v>237</v>
      </c>
      <c r="B78" s="22">
        <v>11624</v>
      </c>
      <c r="C78" s="22">
        <v>11624</v>
      </c>
      <c r="D78" s="8"/>
      <c r="E78" s="16"/>
      <c r="F78" s="15"/>
      <c r="G78" s="17"/>
      <c r="H78" s="14"/>
    </row>
    <row r="79" spans="1:18" hidden="1">
      <c r="A79" s="12" t="s">
        <v>236</v>
      </c>
      <c r="B79" s="22">
        <v>11722</v>
      </c>
      <c r="C79" s="22">
        <v>11722</v>
      </c>
      <c r="D79" s="8"/>
      <c r="E79" s="16"/>
      <c r="F79" s="15"/>
      <c r="G79" s="17"/>
      <c r="H79" s="14"/>
      <c r="I79" s="14"/>
      <c r="J79" s="13"/>
      <c r="K79" s="13"/>
      <c r="L79" s="14"/>
      <c r="M79" s="14"/>
    </row>
    <row r="80" spans="1:18" hidden="1">
      <c r="A80" s="21" t="s">
        <v>235</v>
      </c>
      <c r="B80" s="22">
        <v>11820</v>
      </c>
      <c r="C80" s="22">
        <v>11820</v>
      </c>
      <c r="D80" s="8"/>
      <c r="E80" s="16"/>
      <c r="F80" s="15"/>
      <c r="G80" s="17"/>
      <c r="H80" s="14"/>
    </row>
    <row r="81" spans="1:13" hidden="1">
      <c r="A81" s="12" t="s">
        <v>234</v>
      </c>
      <c r="B81" s="22">
        <v>11918</v>
      </c>
      <c r="C81" s="22">
        <v>11918</v>
      </c>
      <c r="D81" s="8"/>
      <c r="E81" s="16"/>
      <c r="F81" s="15"/>
      <c r="G81" s="14"/>
      <c r="H81" s="14"/>
    </row>
    <row r="82" spans="1:13" hidden="1">
      <c r="A82" s="21" t="s">
        <v>233</v>
      </c>
      <c r="B82" s="22">
        <v>12018</v>
      </c>
      <c r="C82" s="22">
        <v>12018</v>
      </c>
      <c r="D82" s="8"/>
      <c r="E82" s="16"/>
      <c r="F82" s="15"/>
      <c r="G82" s="14"/>
      <c r="H82" s="14"/>
      <c r="I82" s="14"/>
      <c r="J82" s="13"/>
      <c r="K82" s="13"/>
      <c r="L82" s="14"/>
      <c r="M82" s="14"/>
    </row>
    <row r="83" spans="1:13" hidden="1">
      <c r="A83" s="12" t="s">
        <v>232</v>
      </c>
      <c r="B83" s="22">
        <v>12118</v>
      </c>
      <c r="C83" s="22">
        <v>12118</v>
      </c>
      <c r="D83" s="8"/>
      <c r="E83" s="19"/>
      <c r="F83" s="15"/>
      <c r="G83" s="14"/>
      <c r="H83" s="14"/>
    </row>
    <row r="84" spans="1:13" hidden="1">
      <c r="A84" s="20" t="s">
        <v>231</v>
      </c>
      <c r="B84" s="9">
        <v>12151</v>
      </c>
      <c r="C84" s="9">
        <v>12151</v>
      </c>
      <c r="D84" s="8"/>
      <c r="E84" s="19"/>
      <c r="F84" s="15"/>
      <c r="G84" s="14"/>
      <c r="H84" s="14"/>
      <c r="I84" s="14"/>
      <c r="J84" s="13"/>
      <c r="K84" s="13"/>
      <c r="L84" s="14"/>
      <c r="M84" s="14"/>
    </row>
    <row r="85" spans="1:13" hidden="1">
      <c r="A85" s="10" t="s">
        <v>230</v>
      </c>
      <c r="B85" s="9">
        <v>12244</v>
      </c>
      <c r="C85" s="9">
        <v>12244</v>
      </c>
      <c r="D85" s="8"/>
      <c r="E85" s="19"/>
      <c r="F85" s="15"/>
      <c r="G85" s="14"/>
    </row>
    <row r="86" spans="1:13" hidden="1">
      <c r="A86" s="20" t="s">
        <v>229</v>
      </c>
      <c r="B86" s="9">
        <v>12338</v>
      </c>
      <c r="C86" s="9">
        <v>12338</v>
      </c>
      <c r="D86" s="8"/>
      <c r="E86" s="19"/>
      <c r="F86" s="15"/>
      <c r="G86" s="14"/>
      <c r="H86" s="14"/>
    </row>
    <row r="87" spans="1:13" hidden="1">
      <c r="A87" s="10" t="s">
        <v>228</v>
      </c>
      <c r="B87" s="9">
        <v>12433</v>
      </c>
      <c r="C87" s="9">
        <v>12433</v>
      </c>
      <c r="D87" s="8"/>
      <c r="E87" s="19"/>
      <c r="F87" s="15"/>
      <c r="G87" s="14"/>
      <c r="H87" s="14"/>
      <c r="I87" s="14"/>
      <c r="J87" s="13"/>
      <c r="K87" s="13"/>
      <c r="L87" s="14"/>
      <c r="M87" s="14"/>
    </row>
    <row r="88" spans="1:13" hidden="1">
      <c r="A88" s="20" t="s">
        <v>227</v>
      </c>
      <c r="B88" s="9">
        <v>12528</v>
      </c>
      <c r="C88" s="9">
        <v>12528</v>
      </c>
      <c r="D88" s="8"/>
      <c r="E88" s="19"/>
      <c r="F88" s="15"/>
      <c r="G88" s="14"/>
      <c r="H88" s="14"/>
      <c r="I88" s="14"/>
      <c r="J88" s="13"/>
      <c r="K88" s="13"/>
      <c r="L88" s="14"/>
      <c r="M88" s="14"/>
    </row>
    <row r="89" spans="1:13" hidden="1">
      <c r="A89" s="10" t="s">
        <v>226</v>
      </c>
      <c r="B89" s="9">
        <v>12624</v>
      </c>
      <c r="C89" s="9">
        <v>12624</v>
      </c>
      <c r="D89" s="8"/>
      <c r="E89" s="19"/>
      <c r="F89" s="15"/>
      <c r="G89" s="14"/>
      <c r="H89" s="14"/>
      <c r="I89" s="14"/>
      <c r="J89" s="13"/>
      <c r="K89" s="13"/>
      <c r="L89" s="14"/>
      <c r="M89" s="14"/>
    </row>
    <row r="90" spans="1:13" hidden="1">
      <c r="A90" s="20" t="s">
        <v>225</v>
      </c>
      <c r="B90" s="9">
        <v>12721</v>
      </c>
      <c r="C90" s="9">
        <v>12721</v>
      </c>
      <c r="D90" s="8"/>
      <c r="E90" s="19"/>
      <c r="F90" s="15"/>
      <c r="G90" s="14"/>
      <c r="H90" s="14"/>
    </row>
    <row r="91" spans="1:13" hidden="1">
      <c r="A91" s="10" t="s">
        <v>224</v>
      </c>
      <c r="B91" s="9">
        <v>12818</v>
      </c>
      <c r="C91" s="9">
        <v>12818</v>
      </c>
      <c r="D91" s="8"/>
      <c r="E91" s="16"/>
      <c r="F91" s="15"/>
      <c r="G91" s="14"/>
      <c r="H91" s="14"/>
    </row>
    <row r="92" spans="1:13" hidden="1">
      <c r="A92" s="21" t="s">
        <v>223</v>
      </c>
      <c r="B92" s="11">
        <v>12893</v>
      </c>
      <c r="C92" s="11">
        <v>12893</v>
      </c>
      <c r="D92" s="8"/>
      <c r="E92" s="16"/>
      <c r="F92" s="15"/>
      <c r="G92" s="14"/>
      <c r="H92" s="14"/>
      <c r="I92" s="14"/>
      <c r="J92" s="13"/>
      <c r="K92" s="13"/>
      <c r="L92" s="14"/>
      <c r="M92" s="14"/>
    </row>
    <row r="93" spans="1:13" hidden="1">
      <c r="A93" s="12" t="s">
        <v>222</v>
      </c>
      <c r="B93" s="11">
        <v>12993</v>
      </c>
      <c r="C93" s="11">
        <v>12993</v>
      </c>
      <c r="D93" s="8"/>
      <c r="E93" s="16"/>
      <c r="F93" s="15"/>
      <c r="G93" s="14"/>
      <c r="H93" s="14"/>
      <c r="I93" s="14"/>
      <c r="J93" s="13"/>
      <c r="K93" s="13"/>
      <c r="L93" s="14"/>
      <c r="M93" s="14"/>
    </row>
    <row r="94" spans="1:13" hidden="1">
      <c r="A94" s="21" t="s">
        <v>221</v>
      </c>
      <c r="B94" s="11">
        <v>13092</v>
      </c>
      <c r="C94" s="11">
        <v>13092</v>
      </c>
      <c r="D94" s="8"/>
      <c r="E94" s="16"/>
      <c r="F94" s="15"/>
      <c r="G94" s="14"/>
      <c r="H94" s="14"/>
    </row>
    <row r="95" spans="1:13" hidden="1">
      <c r="A95" s="12" t="s">
        <v>220</v>
      </c>
      <c r="B95" s="11">
        <v>13194</v>
      </c>
      <c r="C95" s="11">
        <v>13194</v>
      </c>
      <c r="D95" s="8"/>
      <c r="E95" s="16"/>
      <c r="F95" s="15"/>
      <c r="G95" s="14"/>
      <c r="H95" s="14"/>
      <c r="I95" s="14"/>
      <c r="J95" s="13"/>
      <c r="K95" s="13"/>
      <c r="L95" s="14"/>
      <c r="M95" s="14"/>
    </row>
    <row r="96" spans="1:13" hidden="1">
      <c r="A96" s="21" t="s">
        <v>219</v>
      </c>
      <c r="B96" s="11">
        <v>13295</v>
      </c>
      <c r="C96" s="11">
        <v>13295</v>
      </c>
      <c r="D96" s="8"/>
      <c r="E96" s="16"/>
      <c r="F96" s="15"/>
      <c r="G96" s="14"/>
      <c r="H96" s="14"/>
    </row>
    <row r="97" spans="1:13" hidden="1">
      <c r="A97" s="12" t="s">
        <v>218</v>
      </c>
      <c r="B97" s="11">
        <v>13396</v>
      </c>
      <c r="C97" s="11">
        <v>13396</v>
      </c>
      <c r="D97" s="8"/>
      <c r="E97" s="16"/>
      <c r="F97" s="15"/>
      <c r="G97" s="14"/>
      <c r="H97" s="14"/>
    </row>
    <row r="98" spans="1:13" hidden="1">
      <c r="A98" s="21" t="s">
        <v>217</v>
      </c>
      <c r="B98" s="11">
        <v>13500</v>
      </c>
      <c r="C98" s="11">
        <v>13500</v>
      </c>
      <c r="D98" s="8"/>
      <c r="E98" s="16"/>
      <c r="F98" s="15"/>
      <c r="G98" s="14"/>
      <c r="H98" s="14"/>
      <c r="I98" s="14"/>
      <c r="J98" s="13"/>
      <c r="K98" s="13"/>
      <c r="L98" s="14"/>
      <c r="M98" s="14"/>
    </row>
    <row r="99" spans="1:13" hidden="1">
      <c r="A99" s="12" t="s">
        <v>216</v>
      </c>
      <c r="B99" s="11">
        <v>13603</v>
      </c>
      <c r="C99" s="11">
        <v>13603</v>
      </c>
      <c r="D99" s="8"/>
      <c r="E99" s="16"/>
      <c r="F99" s="15"/>
    </row>
    <row r="100" spans="1:13" hidden="1">
      <c r="A100" s="20" t="s">
        <v>215</v>
      </c>
      <c r="B100" s="9">
        <v>13680</v>
      </c>
      <c r="C100" s="9">
        <v>13680</v>
      </c>
      <c r="D100" s="8"/>
      <c r="E100" s="16"/>
      <c r="F100" s="15"/>
    </row>
    <row r="101" spans="1:13" hidden="1">
      <c r="A101" s="10" t="s">
        <v>214</v>
      </c>
      <c r="B101" s="9">
        <v>13785</v>
      </c>
      <c r="C101" s="9">
        <v>13785</v>
      </c>
      <c r="D101" s="8"/>
      <c r="E101" s="16"/>
      <c r="F101" s="15"/>
    </row>
    <row r="102" spans="1:13" hidden="1">
      <c r="A102" s="20" t="s">
        <v>213</v>
      </c>
      <c r="B102" s="9">
        <v>13891</v>
      </c>
      <c r="C102" s="9">
        <v>13891</v>
      </c>
      <c r="D102" s="8"/>
      <c r="E102" s="16"/>
      <c r="F102" s="15"/>
    </row>
    <row r="103" spans="1:13" hidden="1">
      <c r="A103" s="10" t="s">
        <v>212</v>
      </c>
      <c r="B103" s="9">
        <v>13998</v>
      </c>
      <c r="C103" s="9">
        <v>13998</v>
      </c>
      <c r="D103" s="8"/>
      <c r="E103" s="16"/>
      <c r="F103" s="15"/>
    </row>
    <row r="104" spans="1:13" hidden="1">
      <c r="A104" s="20" t="s">
        <v>211</v>
      </c>
      <c r="B104" s="9">
        <v>14106</v>
      </c>
      <c r="C104" s="9">
        <v>14106</v>
      </c>
      <c r="D104" s="8"/>
      <c r="E104" s="16"/>
      <c r="F104" s="15"/>
    </row>
    <row r="105" spans="1:13" hidden="1">
      <c r="A105" s="10" t="s">
        <v>210</v>
      </c>
      <c r="B105" s="9">
        <v>14213</v>
      </c>
      <c r="C105" s="9">
        <v>14213</v>
      </c>
      <c r="D105" s="8"/>
      <c r="E105" s="16"/>
      <c r="F105" s="15"/>
    </row>
    <row r="106" spans="1:13" hidden="1">
      <c r="A106" s="20" t="s">
        <v>209</v>
      </c>
      <c r="B106" s="9">
        <v>14323</v>
      </c>
      <c r="C106" s="9">
        <v>14323</v>
      </c>
      <c r="D106" s="8"/>
      <c r="E106" s="16"/>
      <c r="F106" s="15"/>
    </row>
    <row r="107" spans="1:13" hidden="1">
      <c r="A107" s="10" t="s">
        <v>208</v>
      </c>
      <c r="B107" s="9">
        <v>14432</v>
      </c>
      <c r="C107" s="9">
        <v>14432</v>
      </c>
      <c r="D107" s="8"/>
      <c r="E107" s="16"/>
      <c r="F107" s="15"/>
      <c r="G107" s="14"/>
      <c r="H107" s="14"/>
      <c r="I107" s="14"/>
      <c r="J107" s="13"/>
      <c r="K107" s="13"/>
      <c r="L107" s="14"/>
      <c r="M107" s="14"/>
    </row>
    <row r="108" spans="1:13" hidden="1">
      <c r="A108" s="12" t="s">
        <v>207</v>
      </c>
      <c r="B108" s="11">
        <v>14511</v>
      </c>
      <c r="C108" s="11">
        <v>14511</v>
      </c>
      <c r="D108" s="8"/>
      <c r="E108" s="16"/>
      <c r="F108" s="15"/>
      <c r="G108" s="14"/>
      <c r="H108" s="14"/>
    </row>
    <row r="109" spans="1:13" hidden="1">
      <c r="A109" s="12" t="s">
        <v>206</v>
      </c>
      <c r="B109" s="11">
        <v>14623</v>
      </c>
      <c r="C109" s="11">
        <v>14623</v>
      </c>
      <c r="D109" s="8"/>
      <c r="E109" s="16"/>
      <c r="F109" s="15"/>
      <c r="G109" s="14"/>
      <c r="H109" s="14"/>
    </row>
    <row r="110" spans="1:13" hidden="1">
      <c r="A110" s="12" t="s">
        <v>205</v>
      </c>
      <c r="B110" s="11">
        <v>14735</v>
      </c>
      <c r="C110" s="11">
        <v>14735</v>
      </c>
      <c r="D110" s="8"/>
      <c r="E110" s="16"/>
      <c r="F110" s="15"/>
      <c r="G110" s="14"/>
      <c r="H110" s="14"/>
    </row>
    <row r="111" spans="1:13" hidden="1">
      <c r="A111" s="12" t="s">
        <v>204</v>
      </c>
      <c r="B111" s="11">
        <v>14849</v>
      </c>
      <c r="C111" s="11">
        <v>14849</v>
      </c>
      <c r="D111" s="8"/>
      <c r="E111" s="16"/>
      <c r="F111" s="15"/>
      <c r="G111" s="14"/>
      <c r="H111" s="14"/>
    </row>
    <row r="112" spans="1:13" hidden="1">
      <c r="A112" s="12" t="s">
        <v>203</v>
      </c>
      <c r="B112" s="11">
        <v>14963</v>
      </c>
      <c r="C112" s="11">
        <v>14963</v>
      </c>
      <c r="D112" s="8"/>
      <c r="E112" s="16"/>
      <c r="F112" s="15"/>
      <c r="G112" s="14"/>
      <c r="H112" s="14"/>
      <c r="I112" s="14"/>
      <c r="J112" s="13"/>
      <c r="K112" s="13"/>
      <c r="L112" s="14"/>
      <c r="M112" s="14"/>
    </row>
    <row r="113" spans="1:13" hidden="1">
      <c r="A113" s="12" t="s">
        <v>202</v>
      </c>
      <c r="B113" s="11">
        <v>15077</v>
      </c>
      <c r="C113" s="11">
        <v>15077</v>
      </c>
      <c r="D113" s="8"/>
      <c r="E113" s="16"/>
      <c r="F113" s="15"/>
      <c r="G113" s="14"/>
      <c r="H113" s="14"/>
      <c r="I113" s="14"/>
      <c r="J113" s="13"/>
      <c r="K113" s="13"/>
      <c r="L113" s="14"/>
      <c r="M113" s="14"/>
    </row>
    <row r="114" spans="1:13" hidden="1">
      <c r="A114" s="12" t="s">
        <v>201</v>
      </c>
      <c r="B114" s="11">
        <v>15193</v>
      </c>
      <c r="C114" s="11">
        <v>15193</v>
      </c>
      <c r="D114" s="8"/>
      <c r="E114" s="16"/>
      <c r="F114" s="15"/>
      <c r="G114" s="14"/>
      <c r="H114" s="14"/>
    </row>
    <row r="115" spans="1:13" hidden="1">
      <c r="A115" s="12" t="s">
        <v>200</v>
      </c>
      <c r="B115" s="11">
        <v>15309</v>
      </c>
      <c r="C115" s="11">
        <v>15309</v>
      </c>
      <c r="D115" s="8"/>
      <c r="E115" s="16"/>
      <c r="F115" s="15"/>
      <c r="G115" s="14"/>
      <c r="H115" s="14"/>
      <c r="I115" s="14"/>
      <c r="J115" s="13"/>
      <c r="K115" s="13"/>
      <c r="L115" s="14"/>
      <c r="M115" s="14"/>
    </row>
    <row r="116" spans="1:13" hidden="1">
      <c r="A116" s="10" t="s">
        <v>199</v>
      </c>
      <c r="B116" s="9">
        <v>15390</v>
      </c>
      <c r="C116" s="9">
        <v>15390</v>
      </c>
      <c r="D116" s="8"/>
      <c r="E116" s="16"/>
      <c r="F116" s="15"/>
      <c r="G116" s="14"/>
      <c r="H116" s="14"/>
      <c r="I116" s="14"/>
      <c r="J116" s="13"/>
      <c r="K116" s="13"/>
      <c r="L116" s="14"/>
      <c r="M116" s="14"/>
    </row>
    <row r="117" spans="1:13" hidden="1">
      <c r="A117" s="10" t="s">
        <v>198</v>
      </c>
      <c r="B117" s="9">
        <v>15509</v>
      </c>
      <c r="C117" s="9">
        <v>15509</v>
      </c>
      <c r="D117" s="8"/>
      <c r="E117" s="16"/>
      <c r="F117" s="15"/>
      <c r="G117" s="14"/>
      <c r="H117" s="14"/>
      <c r="I117" s="14"/>
      <c r="J117" s="13"/>
      <c r="K117" s="13"/>
      <c r="L117" s="14"/>
      <c r="M117" s="14"/>
    </row>
    <row r="118" spans="1:13" hidden="1">
      <c r="A118" s="10" t="s">
        <v>197</v>
      </c>
      <c r="B118" s="9">
        <v>15628</v>
      </c>
      <c r="C118" s="9">
        <v>15628</v>
      </c>
      <c r="D118" s="8"/>
      <c r="E118" s="16"/>
      <c r="F118" s="15"/>
      <c r="G118" s="14"/>
      <c r="H118" s="14"/>
      <c r="I118" s="14"/>
      <c r="J118" s="13"/>
      <c r="K118" s="13"/>
      <c r="L118" s="14"/>
      <c r="M118" s="14"/>
    </row>
    <row r="119" spans="1:13" hidden="1">
      <c r="A119" s="10" t="s">
        <v>196</v>
      </c>
      <c r="B119" s="9">
        <v>15748</v>
      </c>
      <c r="C119" s="9">
        <v>15748</v>
      </c>
      <c r="D119" s="8"/>
      <c r="E119" s="16"/>
      <c r="F119" s="15"/>
      <c r="G119" s="14"/>
      <c r="H119" s="14"/>
      <c r="I119" s="14"/>
      <c r="J119" s="13"/>
      <c r="K119" s="13"/>
      <c r="L119" s="14"/>
      <c r="M119" s="14"/>
    </row>
    <row r="120" spans="1:13" hidden="1">
      <c r="A120" s="10" t="s">
        <v>195</v>
      </c>
      <c r="B120" s="9">
        <v>15869</v>
      </c>
      <c r="C120" s="9">
        <v>15869</v>
      </c>
      <c r="D120" s="8"/>
      <c r="E120" s="16"/>
      <c r="F120" s="15"/>
      <c r="G120" s="14"/>
      <c r="H120" s="14"/>
    </row>
    <row r="121" spans="1:13" hidden="1">
      <c r="A121" s="10" t="s">
        <v>194</v>
      </c>
      <c r="B121" s="9">
        <v>15990</v>
      </c>
      <c r="C121" s="9">
        <v>15990</v>
      </c>
      <c r="D121" s="8"/>
      <c r="E121" s="16"/>
      <c r="F121" s="15"/>
      <c r="G121" s="14"/>
      <c r="H121" s="14"/>
      <c r="I121" s="14"/>
      <c r="J121" s="13"/>
      <c r="K121" s="13"/>
      <c r="L121" s="14"/>
      <c r="M121" s="14"/>
    </row>
    <row r="122" spans="1:13" hidden="1">
      <c r="A122" s="10" t="s">
        <v>193</v>
      </c>
      <c r="B122" s="9">
        <v>16114</v>
      </c>
      <c r="C122" s="9">
        <v>16114</v>
      </c>
      <c r="D122" s="8"/>
      <c r="E122" s="16"/>
      <c r="F122" s="15"/>
      <c r="G122" s="14"/>
      <c r="H122" s="14"/>
      <c r="I122" s="14"/>
      <c r="J122" s="13"/>
      <c r="K122" s="13"/>
      <c r="L122" s="14"/>
      <c r="M122" s="14"/>
    </row>
    <row r="123" spans="1:13" hidden="1">
      <c r="A123" s="10" t="s">
        <v>192</v>
      </c>
      <c r="B123" s="9">
        <v>16237</v>
      </c>
      <c r="C123" s="9">
        <v>16237</v>
      </c>
      <c r="D123" s="8"/>
      <c r="E123" s="16"/>
      <c r="F123" s="15"/>
      <c r="G123" s="14"/>
      <c r="H123" s="14"/>
    </row>
    <row r="124" spans="1:13" hidden="1">
      <c r="A124" s="12" t="s">
        <v>191</v>
      </c>
      <c r="B124" s="11">
        <v>16320</v>
      </c>
      <c r="C124" s="11">
        <v>16320</v>
      </c>
      <c r="D124" s="8"/>
      <c r="E124" s="16"/>
      <c r="F124" s="15"/>
      <c r="G124" s="14"/>
      <c r="H124" s="14"/>
      <c r="I124" s="14"/>
      <c r="J124" s="13"/>
      <c r="K124" s="13"/>
      <c r="L124" s="14"/>
      <c r="M124" s="14"/>
    </row>
    <row r="125" spans="1:13" hidden="1">
      <c r="A125" s="12" t="s">
        <v>190</v>
      </c>
      <c r="B125" s="11">
        <v>16445</v>
      </c>
      <c r="C125" s="11">
        <v>16445</v>
      </c>
      <c r="D125" s="8"/>
      <c r="E125" s="16"/>
      <c r="F125" s="15"/>
      <c r="G125" s="14"/>
      <c r="H125" s="14"/>
      <c r="I125" s="14"/>
      <c r="J125" s="13"/>
      <c r="K125" s="13"/>
      <c r="L125" s="14"/>
      <c r="M125" s="14"/>
    </row>
    <row r="126" spans="1:13" hidden="1">
      <c r="A126" s="12" t="s">
        <v>189</v>
      </c>
      <c r="B126" s="11">
        <v>16572</v>
      </c>
      <c r="C126" s="11">
        <v>16572</v>
      </c>
      <c r="D126" s="8"/>
      <c r="E126" s="16"/>
      <c r="F126" s="15"/>
      <c r="G126" s="14"/>
      <c r="H126" s="14"/>
      <c r="I126" s="14"/>
      <c r="J126" s="13"/>
      <c r="K126" s="13"/>
      <c r="L126" s="14"/>
      <c r="M126" s="14"/>
    </row>
    <row r="127" spans="1:13" hidden="1">
      <c r="A127" s="12" t="s">
        <v>188</v>
      </c>
      <c r="B127" s="11">
        <v>16699</v>
      </c>
      <c r="C127" s="11">
        <v>16699</v>
      </c>
      <c r="D127" s="8"/>
      <c r="E127" s="16"/>
      <c r="F127" s="15"/>
      <c r="G127" s="14"/>
      <c r="H127" s="14"/>
      <c r="I127" s="14"/>
      <c r="J127" s="13"/>
      <c r="K127" s="13"/>
      <c r="L127" s="14"/>
      <c r="M127" s="14"/>
    </row>
    <row r="128" spans="1:13" hidden="1">
      <c r="A128" s="12" t="s">
        <v>187</v>
      </c>
      <c r="B128" s="11">
        <v>16827</v>
      </c>
      <c r="C128" s="11">
        <v>16827</v>
      </c>
      <c r="D128" s="8"/>
      <c r="E128" s="16"/>
      <c r="F128" s="15"/>
      <c r="G128" s="14"/>
      <c r="H128" s="14"/>
    </row>
    <row r="129" spans="1:13" hidden="1">
      <c r="A129" s="12" t="s">
        <v>186</v>
      </c>
      <c r="B129" s="11">
        <v>16957</v>
      </c>
      <c r="C129" s="11">
        <v>16957</v>
      </c>
      <c r="D129" s="8"/>
      <c r="E129" s="16"/>
      <c r="F129" s="15"/>
      <c r="G129" s="14"/>
      <c r="H129" s="14"/>
      <c r="I129" s="14"/>
      <c r="J129" s="13"/>
      <c r="K129" s="13"/>
      <c r="L129" s="14"/>
      <c r="M129" s="14"/>
    </row>
    <row r="130" spans="1:13" hidden="1">
      <c r="A130" s="12" t="s">
        <v>185</v>
      </c>
      <c r="B130" s="11">
        <v>17086</v>
      </c>
      <c r="C130" s="11">
        <v>17086</v>
      </c>
      <c r="D130" s="8"/>
      <c r="E130" s="16"/>
      <c r="F130" s="15"/>
      <c r="G130" s="14"/>
      <c r="H130" s="14"/>
    </row>
    <row r="131" spans="1:13" hidden="1">
      <c r="A131" s="12" t="s">
        <v>184</v>
      </c>
      <c r="B131" s="11">
        <v>17218</v>
      </c>
      <c r="C131" s="11">
        <v>17218</v>
      </c>
      <c r="D131" s="8"/>
      <c r="E131" s="19"/>
      <c r="F131" s="15"/>
      <c r="G131" s="14"/>
      <c r="H131" s="14"/>
      <c r="I131" s="14"/>
      <c r="J131" s="13"/>
      <c r="K131" s="13"/>
      <c r="L131" s="14"/>
      <c r="M131" s="14"/>
    </row>
    <row r="132" spans="1:13" hidden="1">
      <c r="A132" s="10" t="s">
        <v>183</v>
      </c>
      <c r="B132" s="9">
        <v>17338</v>
      </c>
      <c r="C132" s="9">
        <v>17338</v>
      </c>
      <c r="D132" s="8"/>
      <c r="E132" s="19"/>
      <c r="F132" s="15"/>
      <c r="G132" s="14"/>
      <c r="H132" s="14"/>
      <c r="I132" s="14"/>
      <c r="J132" s="13"/>
      <c r="K132" s="13"/>
      <c r="L132" s="14"/>
      <c r="M132" s="14"/>
    </row>
    <row r="133" spans="1:13" hidden="1">
      <c r="A133" s="10" t="s">
        <v>182</v>
      </c>
      <c r="B133" s="9">
        <v>17496</v>
      </c>
      <c r="C133" s="9">
        <v>17496</v>
      </c>
      <c r="D133" s="8"/>
      <c r="E133" s="19"/>
      <c r="F133" s="15"/>
      <c r="G133" s="14"/>
      <c r="H133" s="14"/>
      <c r="I133" s="14"/>
      <c r="J133" s="13"/>
      <c r="K133" s="13"/>
      <c r="L133" s="14"/>
      <c r="M133" s="14"/>
    </row>
    <row r="134" spans="1:13" hidden="1">
      <c r="A134" s="10" t="s">
        <v>181</v>
      </c>
      <c r="B134" s="9">
        <v>17654</v>
      </c>
      <c r="C134" s="9">
        <v>17654</v>
      </c>
      <c r="D134" s="8"/>
      <c r="E134" s="19"/>
      <c r="F134" s="15"/>
      <c r="G134" s="14"/>
      <c r="H134" s="14"/>
      <c r="I134" s="14"/>
      <c r="J134" s="13"/>
      <c r="K134" s="13"/>
      <c r="L134" s="14"/>
      <c r="M134" s="14"/>
    </row>
    <row r="135" spans="1:13" hidden="1">
      <c r="A135" s="10" t="s">
        <v>180</v>
      </c>
      <c r="B135" s="9">
        <v>17813</v>
      </c>
      <c r="C135" s="9">
        <v>17813</v>
      </c>
      <c r="D135" s="8"/>
      <c r="E135" s="19"/>
      <c r="F135" s="15"/>
      <c r="G135" s="14"/>
      <c r="H135" s="14"/>
      <c r="I135" s="14"/>
      <c r="J135" s="13"/>
      <c r="K135" s="13"/>
      <c r="L135" s="14"/>
      <c r="M135" s="14"/>
    </row>
    <row r="136" spans="1:13" hidden="1">
      <c r="A136" s="10" t="s">
        <v>179</v>
      </c>
      <c r="B136" s="9">
        <v>17974</v>
      </c>
      <c r="C136" s="9">
        <v>17974</v>
      </c>
      <c r="D136" s="8"/>
      <c r="E136" s="19"/>
      <c r="F136" s="15"/>
      <c r="G136" s="14"/>
      <c r="H136" s="14"/>
      <c r="I136" s="14"/>
      <c r="J136" s="13"/>
      <c r="K136" s="13"/>
      <c r="L136" s="14"/>
      <c r="M136" s="14"/>
    </row>
    <row r="137" spans="1:13" hidden="1">
      <c r="A137" s="10" t="s">
        <v>178</v>
      </c>
      <c r="B137" s="9">
        <v>18136</v>
      </c>
      <c r="C137" s="9">
        <v>18136</v>
      </c>
      <c r="D137" s="8"/>
      <c r="E137" s="19"/>
      <c r="F137" s="15"/>
      <c r="G137" s="14"/>
      <c r="H137" s="14"/>
      <c r="I137" s="14"/>
      <c r="J137" s="13"/>
      <c r="K137" s="13"/>
      <c r="L137" s="14"/>
      <c r="M137" s="14"/>
    </row>
    <row r="138" spans="1:13" hidden="1">
      <c r="A138" s="10" t="s">
        <v>177</v>
      </c>
      <c r="B138" s="9">
        <v>18301</v>
      </c>
      <c r="C138" s="9">
        <v>18301</v>
      </c>
      <c r="D138" s="8"/>
      <c r="E138" s="19"/>
      <c r="F138" s="15"/>
      <c r="G138" s="14"/>
      <c r="H138" s="14"/>
      <c r="I138" s="14"/>
      <c r="J138" s="13"/>
      <c r="K138" s="13"/>
      <c r="L138" s="14"/>
      <c r="M138" s="14"/>
    </row>
    <row r="139" spans="1:13" hidden="1">
      <c r="A139" s="10" t="s">
        <v>176</v>
      </c>
      <c r="B139" s="9">
        <v>18466</v>
      </c>
      <c r="C139" s="9">
        <v>18466</v>
      </c>
      <c r="D139" s="8"/>
      <c r="E139" s="19"/>
      <c r="F139" s="15"/>
      <c r="G139" s="14"/>
    </row>
    <row r="140" spans="1:13" hidden="1">
      <c r="A140" s="12" t="s">
        <v>175</v>
      </c>
      <c r="B140" s="11">
        <v>18613</v>
      </c>
      <c r="C140" s="11">
        <v>18613</v>
      </c>
      <c r="D140" s="8"/>
      <c r="E140" s="19"/>
      <c r="F140" s="15"/>
      <c r="G140" s="14"/>
      <c r="H140" s="14"/>
    </row>
    <row r="141" spans="1:13" hidden="1">
      <c r="A141" s="12" t="s">
        <v>174</v>
      </c>
      <c r="B141" s="11">
        <v>18769</v>
      </c>
      <c r="C141" s="11">
        <v>18769</v>
      </c>
      <c r="D141" s="8"/>
      <c r="E141" s="19"/>
      <c r="F141" s="15"/>
      <c r="G141" s="14"/>
      <c r="H141" s="14"/>
    </row>
    <row r="142" spans="1:13" hidden="1">
      <c r="A142" s="12" t="s">
        <v>173</v>
      </c>
      <c r="B142" s="11">
        <v>18926</v>
      </c>
      <c r="C142" s="11">
        <v>18926</v>
      </c>
      <c r="D142" s="8"/>
      <c r="E142" s="19"/>
      <c r="F142" s="15"/>
      <c r="G142" s="14"/>
      <c r="H142" s="14"/>
    </row>
    <row r="143" spans="1:13" hidden="1">
      <c r="A143" s="12" t="s">
        <v>172</v>
      </c>
      <c r="B143" s="11">
        <v>19085</v>
      </c>
      <c r="C143" s="11">
        <v>19085</v>
      </c>
      <c r="D143" s="8"/>
      <c r="E143" s="19"/>
      <c r="F143" s="15"/>
      <c r="G143" s="14"/>
      <c r="H143" s="14"/>
      <c r="I143" s="14"/>
      <c r="J143" s="13"/>
      <c r="K143" s="13"/>
      <c r="L143" s="14"/>
      <c r="M143" s="14"/>
    </row>
    <row r="144" spans="1:13" hidden="1">
      <c r="A144" s="12" t="s">
        <v>171</v>
      </c>
      <c r="B144" s="11">
        <v>19244</v>
      </c>
      <c r="C144" s="11">
        <v>19244</v>
      </c>
      <c r="D144" s="8"/>
      <c r="E144" s="19"/>
      <c r="F144" s="15"/>
      <c r="G144" s="14"/>
      <c r="H144" s="14"/>
      <c r="I144" s="14"/>
      <c r="J144" s="13"/>
      <c r="K144" s="13"/>
      <c r="L144" s="14"/>
      <c r="M144" s="14"/>
    </row>
    <row r="145" spans="1:13" hidden="1">
      <c r="A145" s="12" t="s">
        <v>170</v>
      </c>
      <c r="B145" s="11">
        <v>19405</v>
      </c>
      <c r="C145" s="11">
        <v>19405</v>
      </c>
      <c r="D145" s="8"/>
      <c r="E145" s="19"/>
      <c r="F145" s="15"/>
      <c r="G145" s="14"/>
      <c r="H145" s="14"/>
      <c r="I145" s="14"/>
      <c r="J145" s="13"/>
      <c r="K145" s="13"/>
      <c r="L145" s="14"/>
      <c r="M145" s="14"/>
    </row>
    <row r="146" spans="1:13" hidden="1">
      <c r="A146" s="12" t="s">
        <v>169</v>
      </c>
      <c r="B146" s="11">
        <v>19567</v>
      </c>
      <c r="C146" s="11">
        <v>19567</v>
      </c>
      <c r="D146" s="8"/>
      <c r="E146" s="19"/>
      <c r="F146" s="15"/>
      <c r="G146" s="14"/>
      <c r="H146" s="14"/>
      <c r="I146" s="14"/>
      <c r="J146" s="13"/>
      <c r="K146" s="13"/>
      <c r="L146" s="14"/>
      <c r="M146" s="14"/>
    </row>
    <row r="147" spans="1:13" hidden="1">
      <c r="A147" s="12" t="s">
        <v>168</v>
      </c>
      <c r="B147" s="11">
        <v>19731</v>
      </c>
      <c r="C147" s="11">
        <v>19731</v>
      </c>
      <c r="D147" s="8"/>
      <c r="E147" s="16"/>
      <c r="F147" s="15"/>
      <c r="G147" s="14"/>
    </row>
    <row r="148" spans="1:13" hidden="1">
      <c r="A148" s="10" t="s">
        <v>167</v>
      </c>
      <c r="B148" s="9">
        <v>20145</v>
      </c>
      <c r="C148" s="9">
        <v>20145</v>
      </c>
      <c r="D148" s="8"/>
      <c r="E148" s="16"/>
      <c r="F148" s="15"/>
      <c r="G148" s="14"/>
    </row>
    <row r="149" spans="1:13" hidden="1">
      <c r="A149" s="10" t="s">
        <v>166</v>
      </c>
      <c r="B149" s="9">
        <v>20313</v>
      </c>
      <c r="C149" s="9">
        <v>20313</v>
      </c>
      <c r="D149" s="8"/>
      <c r="E149" s="16"/>
      <c r="F149" s="15"/>
      <c r="G149" s="14"/>
      <c r="H149" s="14"/>
    </row>
    <row r="150" spans="1:13" hidden="1">
      <c r="A150" s="10" t="s">
        <v>165</v>
      </c>
      <c r="B150" s="9">
        <v>20483</v>
      </c>
      <c r="C150" s="9">
        <v>20483</v>
      </c>
      <c r="D150" s="8"/>
      <c r="E150" s="16"/>
      <c r="F150" s="15"/>
      <c r="G150" s="14"/>
      <c r="H150" s="14"/>
    </row>
    <row r="151" spans="1:13" hidden="1">
      <c r="A151" s="10" t="s">
        <v>164</v>
      </c>
      <c r="B151" s="9">
        <v>20654</v>
      </c>
      <c r="C151" s="9">
        <v>20654</v>
      </c>
      <c r="D151" s="8"/>
      <c r="E151" s="16"/>
      <c r="F151" s="15"/>
      <c r="G151" s="14"/>
      <c r="H151" s="14"/>
    </row>
    <row r="152" spans="1:13" hidden="1">
      <c r="A152" s="10" t="s">
        <v>163</v>
      </c>
      <c r="B152" s="9">
        <v>20827</v>
      </c>
      <c r="C152" s="9">
        <v>20827</v>
      </c>
      <c r="D152" s="8"/>
      <c r="E152" s="16"/>
      <c r="F152" s="15"/>
      <c r="G152" s="14"/>
      <c r="H152" s="14"/>
      <c r="I152" s="14"/>
      <c r="J152" s="13"/>
      <c r="K152" s="13"/>
      <c r="L152" s="14"/>
      <c r="M152" s="14"/>
    </row>
    <row r="153" spans="1:13" hidden="1">
      <c r="A153" s="10" t="s">
        <v>162</v>
      </c>
      <c r="B153" s="9">
        <v>21001</v>
      </c>
      <c r="C153" s="9">
        <v>21001</v>
      </c>
      <c r="D153" s="8"/>
      <c r="E153" s="16"/>
      <c r="F153" s="15"/>
      <c r="G153" s="14"/>
      <c r="H153" s="17"/>
      <c r="I153" s="14"/>
      <c r="J153" s="13"/>
      <c r="K153" s="13"/>
      <c r="L153" s="14"/>
      <c r="M153" s="14"/>
    </row>
    <row r="154" spans="1:13" hidden="1">
      <c r="A154" s="10" t="s">
        <v>161</v>
      </c>
      <c r="B154" s="9">
        <v>21176</v>
      </c>
      <c r="C154" s="9">
        <v>21176</v>
      </c>
      <c r="D154" s="8"/>
      <c r="E154" s="16"/>
      <c r="F154" s="15"/>
      <c r="G154" s="14"/>
      <c r="H154" s="18"/>
    </row>
    <row r="155" spans="1:13" hidden="1">
      <c r="A155" s="10" t="s">
        <v>160</v>
      </c>
      <c r="B155" s="9">
        <v>21353</v>
      </c>
      <c r="C155" s="9">
        <v>21353</v>
      </c>
      <c r="D155" s="8"/>
      <c r="E155" s="16"/>
      <c r="F155" s="15"/>
      <c r="G155" s="14"/>
      <c r="H155" s="17"/>
      <c r="I155" s="14"/>
      <c r="J155" s="13"/>
      <c r="K155" s="13"/>
      <c r="L155" s="14"/>
      <c r="M155" s="14"/>
    </row>
    <row r="156" spans="1:13" hidden="1">
      <c r="A156" s="12" t="s">
        <v>159</v>
      </c>
      <c r="B156" s="11">
        <v>22683</v>
      </c>
      <c r="C156" s="11">
        <v>22683</v>
      </c>
      <c r="D156" s="8"/>
    </row>
    <row r="157" spans="1:13" hidden="1">
      <c r="A157" s="12" t="s">
        <v>158</v>
      </c>
      <c r="B157" s="11">
        <v>22953</v>
      </c>
      <c r="C157" s="11">
        <v>22953</v>
      </c>
      <c r="D157" s="8"/>
    </row>
    <row r="158" spans="1:13" hidden="1">
      <c r="A158" s="12" t="s">
        <v>157</v>
      </c>
      <c r="B158" s="11">
        <v>23228</v>
      </c>
      <c r="C158" s="11">
        <v>23228</v>
      </c>
      <c r="D158" s="8"/>
    </row>
    <row r="159" spans="1:13" hidden="1">
      <c r="A159" s="12" t="s">
        <v>156</v>
      </c>
      <c r="B159" s="11">
        <v>23505</v>
      </c>
      <c r="C159" s="11">
        <v>23505</v>
      </c>
      <c r="D159" s="8"/>
    </row>
    <row r="160" spans="1:13" hidden="1">
      <c r="A160" s="12" t="s">
        <v>155</v>
      </c>
      <c r="B160" s="11">
        <v>23786</v>
      </c>
      <c r="C160" s="11">
        <v>23786</v>
      </c>
      <c r="D160" s="8"/>
    </row>
    <row r="161" spans="1:13" hidden="1">
      <c r="A161" s="12" t="s">
        <v>154</v>
      </c>
      <c r="B161" s="11">
        <v>24072</v>
      </c>
      <c r="C161" s="11">
        <v>24072</v>
      </c>
      <c r="D161" s="8"/>
    </row>
    <row r="162" spans="1:13" hidden="1">
      <c r="A162" s="12" t="s">
        <v>153</v>
      </c>
      <c r="B162" s="11">
        <v>24361</v>
      </c>
      <c r="C162" s="11">
        <v>24361</v>
      </c>
      <c r="D162" s="8"/>
    </row>
    <row r="163" spans="1:13" hidden="1">
      <c r="A163" s="12" t="s">
        <v>152</v>
      </c>
      <c r="B163" s="11">
        <v>24654</v>
      </c>
      <c r="C163" s="11">
        <v>24654</v>
      </c>
      <c r="D163" s="8"/>
    </row>
    <row r="164" spans="1:13" hidden="1">
      <c r="A164" s="10" t="s">
        <v>151</v>
      </c>
      <c r="B164" s="9">
        <v>24749</v>
      </c>
      <c r="C164" s="9">
        <v>24749</v>
      </c>
      <c r="D164" s="8"/>
    </row>
    <row r="165" spans="1:13" hidden="1">
      <c r="A165" s="10" t="s">
        <v>150</v>
      </c>
      <c r="B165" s="9">
        <v>25019</v>
      </c>
      <c r="C165" s="9">
        <v>25019</v>
      </c>
      <c r="D165" s="8"/>
      <c r="F165" s="16"/>
      <c r="G165" s="15"/>
      <c r="H165" s="14"/>
      <c r="I165" s="14"/>
      <c r="J165" s="13"/>
      <c r="K165" s="13"/>
      <c r="L165" s="14"/>
      <c r="M165" s="14"/>
    </row>
    <row r="166" spans="1:13" hidden="1">
      <c r="A166" s="10" t="s">
        <v>149</v>
      </c>
      <c r="B166" s="9">
        <v>25293</v>
      </c>
      <c r="C166" s="9">
        <v>25293</v>
      </c>
      <c r="D166" s="8"/>
      <c r="F166" s="16"/>
      <c r="G166" s="15"/>
      <c r="H166" s="14"/>
      <c r="I166" s="14"/>
      <c r="J166" s="13"/>
      <c r="K166" s="13"/>
      <c r="L166" s="14"/>
      <c r="M166" s="14"/>
    </row>
    <row r="167" spans="1:13" hidden="1">
      <c r="A167" s="10" t="s">
        <v>148</v>
      </c>
      <c r="B167" s="9">
        <v>25569</v>
      </c>
      <c r="C167" s="9">
        <v>25569</v>
      </c>
      <c r="D167" s="8"/>
      <c r="F167" s="16"/>
      <c r="G167" s="15"/>
      <c r="H167" s="14"/>
      <c r="I167" s="14"/>
      <c r="J167" s="13"/>
      <c r="K167" s="13"/>
      <c r="L167" s="14"/>
      <c r="M167" s="14"/>
    </row>
    <row r="168" spans="1:13" hidden="1">
      <c r="A168" s="10" t="s">
        <v>147</v>
      </c>
      <c r="B168" s="9">
        <v>25850</v>
      </c>
      <c r="C168" s="9">
        <v>25850</v>
      </c>
      <c r="D168" s="8"/>
      <c r="F168" s="16"/>
      <c r="G168" s="15"/>
      <c r="H168" s="14"/>
      <c r="I168" s="14"/>
      <c r="J168" s="13"/>
      <c r="K168" s="13"/>
      <c r="L168" s="14"/>
      <c r="M168" s="14"/>
    </row>
    <row r="169" spans="1:13" hidden="1">
      <c r="A169" s="10" t="s">
        <v>146</v>
      </c>
      <c r="B169" s="9">
        <v>26134</v>
      </c>
      <c r="C169" s="9">
        <v>26134</v>
      </c>
      <c r="D169" s="8"/>
      <c r="F169" s="16"/>
      <c r="G169" s="15"/>
      <c r="H169" s="14"/>
      <c r="I169" s="14"/>
      <c r="J169" s="13"/>
      <c r="K169" s="13"/>
      <c r="L169" s="14"/>
      <c r="M169" s="14"/>
    </row>
    <row r="170" spans="1:13" hidden="1">
      <c r="A170" s="10" t="s">
        <v>145</v>
      </c>
      <c r="B170" s="9">
        <v>26420</v>
      </c>
      <c r="C170" s="9">
        <v>26420</v>
      </c>
      <c r="D170" s="8"/>
      <c r="F170" s="16"/>
      <c r="G170" s="15"/>
      <c r="H170" s="14"/>
      <c r="I170" s="14"/>
      <c r="J170" s="13"/>
      <c r="K170" s="13"/>
      <c r="L170" s="14"/>
      <c r="M170" s="14"/>
    </row>
    <row r="171" spans="1:13" hidden="1">
      <c r="A171" s="10" t="s">
        <v>144</v>
      </c>
      <c r="B171" s="9">
        <v>26711</v>
      </c>
      <c r="C171" s="9">
        <v>26711</v>
      </c>
      <c r="D171" s="8"/>
    </row>
    <row r="172" spans="1:13" hidden="1">
      <c r="A172" s="12" t="s">
        <v>143</v>
      </c>
      <c r="B172" s="11">
        <v>26862</v>
      </c>
      <c r="C172" s="11">
        <v>26862</v>
      </c>
      <c r="D172" s="8"/>
    </row>
    <row r="173" spans="1:13" hidden="1">
      <c r="A173" s="12" t="s">
        <v>142</v>
      </c>
      <c r="B173" s="11">
        <v>27160</v>
      </c>
      <c r="C173" s="11">
        <v>27160</v>
      </c>
      <c r="D173" s="8"/>
    </row>
    <row r="174" spans="1:13" hidden="1">
      <c r="A174" s="12" t="s">
        <v>141</v>
      </c>
      <c r="B174" s="11">
        <v>27460</v>
      </c>
      <c r="C174" s="11">
        <v>27460</v>
      </c>
      <c r="D174" s="8"/>
    </row>
    <row r="175" spans="1:13" hidden="1">
      <c r="A175" s="12" t="s">
        <v>140</v>
      </c>
      <c r="B175" s="11">
        <v>27764</v>
      </c>
      <c r="C175" s="11">
        <v>27764</v>
      </c>
      <c r="D175" s="8"/>
    </row>
    <row r="176" spans="1:13" hidden="1">
      <c r="A176" s="12" t="s">
        <v>139</v>
      </c>
      <c r="B176" s="11">
        <v>28073</v>
      </c>
      <c r="C176" s="11">
        <v>28073</v>
      </c>
      <c r="D176" s="8"/>
    </row>
    <row r="177" spans="1:4" hidden="1">
      <c r="A177" s="12" t="s">
        <v>138</v>
      </c>
      <c r="B177" s="11">
        <v>28384</v>
      </c>
      <c r="C177" s="11">
        <v>28384</v>
      </c>
      <c r="D177" s="8"/>
    </row>
    <row r="178" spans="1:4" hidden="1">
      <c r="A178" s="12" t="s">
        <v>137</v>
      </c>
      <c r="B178" s="11">
        <v>28700</v>
      </c>
      <c r="C178" s="11">
        <v>28700</v>
      </c>
      <c r="D178" s="8"/>
    </row>
    <row r="179" spans="1:4" hidden="1">
      <c r="A179" s="12" t="s">
        <v>136</v>
      </c>
      <c r="B179" s="11">
        <v>29020</v>
      </c>
      <c r="C179" s="11">
        <v>29020</v>
      </c>
      <c r="D179" s="8"/>
    </row>
    <row r="180" spans="1:4" hidden="1">
      <c r="A180" s="10" t="s">
        <v>135</v>
      </c>
      <c r="B180" s="9">
        <v>29259</v>
      </c>
      <c r="C180" s="9">
        <v>29259</v>
      </c>
      <c r="D180" s="8"/>
    </row>
    <row r="181" spans="1:4" hidden="1">
      <c r="A181" s="10" t="s">
        <v>134</v>
      </c>
      <c r="B181" s="9">
        <v>29586</v>
      </c>
      <c r="C181" s="9">
        <v>29586</v>
      </c>
      <c r="D181" s="8"/>
    </row>
    <row r="182" spans="1:4" hidden="1">
      <c r="A182" s="10" t="s">
        <v>133</v>
      </c>
      <c r="B182" s="9">
        <v>29916</v>
      </c>
      <c r="C182" s="9">
        <v>29916</v>
      </c>
      <c r="D182" s="8"/>
    </row>
    <row r="183" spans="1:4" hidden="1">
      <c r="A183" s="10" t="s">
        <v>132</v>
      </c>
      <c r="B183" s="9">
        <v>30252</v>
      </c>
      <c r="C183" s="9">
        <v>30252</v>
      </c>
      <c r="D183" s="8"/>
    </row>
    <row r="184" spans="1:4" hidden="1">
      <c r="A184" s="10" t="s">
        <v>131</v>
      </c>
      <c r="B184" s="9">
        <v>30590</v>
      </c>
      <c r="C184" s="9">
        <v>30590</v>
      </c>
      <c r="D184" s="8"/>
    </row>
    <row r="185" spans="1:4" hidden="1">
      <c r="A185" s="10" t="s">
        <v>130</v>
      </c>
      <c r="B185" s="9">
        <v>30933</v>
      </c>
      <c r="C185" s="9">
        <v>30933</v>
      </c>
      <c r="D185" s="8"/>
    </row>
    <row r="186" spans="1:4" hidden="1">
      <c r="A186" s="10" t="s">
        <v>129</v>
      </c>
      <c r="B186" s="9">
        <v>31281</v>
      </c>
      <c r="C186" s="9">
        <v>31281</v>
      </c>
      <c r="D186" s="8"/>
    </row>
    <row r="187" spans="1:4" hidden="1">
      <c r="A187" s="10" t="s">
        <v>128</v>
      </c>
      <c r="B187" s="9">
        <v>31632</v>
      </c>
      <c r="C187" s="9">
        <v>31632</v>
      </c>
      <c r="D187" s="8"/>
    </row>
    <row r="188" spans="1:4" hidden="1">
      <c r="A188" s="12" t="s">
        <v>127</v>
      </c>
      <c r="B188" s="11">
        <v>31896</v>
      </c>
      <c r="C188" s="11">
        <v>31896</v>
      </c>
      <c r="D188" s="8"/>
    </row>
    <row r="189" spans="1:4" hidden="1">
      <c r="A189" s="12" t="s">
        <v>126</v>
      </c>
      <c r="B189" s="11">
        <v>32255</v>
      </c>
      <c r="C189" s="11">
        <v>32255</v>
      </c>
      <c r="D189" s="8"/>
    </row>
    <row r="190" spans="1:4" hidden="1">
      <c r="A190" s="12" t="s">
        <v>125</v>
      </c>
      <c r="B190" s="11">
        <v>32619</v>
      </c>
      <c r="C190" s="11">
        <v>32619</v>
      </c>
      <c r="D190" s="8"/>
    </row>
    <row r="191" spans="1:4" hidden="1">
      <c r="A191" s="12" t="s">
        <v>124</v>
      </c>
      <c r="B191" s="11">
        <v>32988</v>
      </c>
      <c r="C191" s="11">
        <v>32988</v>
      </c>
      <c r="D191" s="8"/>
    </row>
    <row r="192" spans="1:4" hidden="1">
      <c r="A192" s="12" t="s">
        <v>123</v>
      </c>
      <c r="B192" s="11">
        <v>33360</v>
      </c>
      <c r="C192" s="11">
        <v>33360</v>
      </c>
      <c r="D192" s="8"/>
    </row>
    <row r="193" spans="1:4" hidden="1">
      <c r="A193" s="12" t="s">
        <v>122</v>
      </c>
      <c r="B193" s="11">
        <v>33737</v>
      </c>
      <c r="C193" s="11">
        <v>33737</v>
      </c>
      <c r="D193" s="8"/>
    </row>
    <row r="194" spans="1:4" hidden="1">
      <c r="A194" s="12" t="s">
        <v>121</v>
      </c>
      <c r="B194" s="11">
        <v>34119</v>
      </c>
      <c r="C194" s="11">
        <v>34119</v>
      </c>
      <c r="D194" s="8"/>
    </row>
    <row r="195" spans="1:4" hidden="1">
      <c r="A195" s="12" t="s">
        <v>120</v>
      </c>
      <c r="B195" s="11">
        <v>34507</v>
      </c>
      <c r="C195" s="11">
        <v>34507</v>
      </c>
      <c r="D195" s="8"/>
    </row>
    <row r="196" spans="1:4" hidden="1">
      <c r="A196" s="10" t="s">
        <v>119</v>
      </c>
      <c r="B196" s="9">
        <v>34797</v>
      </c>
      <c r="C196" s="9">
        <v>34797</v>
      </c>
      <c r="D196" s="8"/>
    </row>
    <row r="197" spans="1:4" hidden="1">
      <c r="A197" s="10" t="s">
        <v>118</v>
      </c>
      <c r="B197" s="9">
        <v>35192</v>
      </c>
      <c r="C197" s="9">
        <v>35192</v>
      </c>
      <c r="D197" s="8"/>
    </row>
    <row r="198" spans="1:4" hidden="1">
      <c r="A198" s="10" t="s">
        <v>117</v>
      </c>
      <c r="B198" s="9">
        <v>35592</v>
      </c>
      <c r="C198" s="9">
        <v>35592</v>
      </c>
      <c r="D198" s="8"/>
    </row>
    <row r="199" spans="1:4" hidden="1">
      <c r="A199" s="10" t="s">
        <v>116</v>
      </c>
      <c r="B199" s="9">
        <v>35996</v>
      </c>
      <c r="C199" s="9">
        <v>35996</v>
      </c>
      <c r="D199" s="8"/>
    </row>
    <row r="200" spans="1:4" hidden="1">
      <c r="A200" s="10" t="s">
        <v>115</v>
      </c>
      <c r="B200" s="9">
        <v>36407</v>
      </c>
      <c r="C200" s="9">
        <v>36407</v>
      </c>
      <c r="D200" s="8"/>
    </row>
    <row r="201" spans="1:4" hidden="1">
      <c r="A201" s="10" t="s">
        <v>114</v>
      </c>
      <c r="B201" s="9">
        <v>36822</v>
      </c>
      <c r="C201" s="9">
        <v>36822</v>
      </c>
      <c r="D201" s="8"/>
    </row>
    <row r="202" spans="1:4" hidden="1">
      <c r="A202" s="10" t="s">
        <v>113</v>
      </c>
      <c r="B202" s="9">
        <v>37243</v>
      </c>
      <c r="C202" s="9">
        <v>37243</v>
      </c>
      <c r="D202" s="8"/>
    </row>
    <row r="203" spans="1:4" hidden="1">
      <c r="A203" s="10" t="s">
        <v>112</v>
      </c>
      <c r="B203" s="9">
        <v>37668</v>
      </c>
      <c r="C203" s="9">
        <v>37668</v>
      </c>
      <c r="D203" s="8"/>
    </row>
    <row r="204" spans="1:4" hidden="1">
      <c r="A204" s="12" t="s">
        <v>111</v>
      </c>
      <c r="B204" s="11">
        <v>37987</v>
      </c>
      <c r="C204" s="11">
        <v>37987</v>
      </c>
      <c r="D204" s="8"/>
    </row>
    <row r="205" spans="1:4" hidden="1">
      <c r="A205" s="12" t="s">
        <v>110</v>
      </c>
      <c r="B205" s="11">
        <v>38422</v>
      </c>
      <c r="C205" s="11">
        <v>38422</v>
      </c>
      <c r="D205" s="8"/>
    </row>
    <row r="206" spans="1:4" hidden="1">
      <c r="A206" s="12" t="s">
        <v>109</v>
      </c>
      <c r="B206" s="11">
        <v>38862</v>
      </c>
      <c r="C206" s="11">
        <v>38862</v>
      </c>
      <c r="D206" s="8"/>
    </row>
    <row r="207" spans="1:4" hidden="1">
      <c r="A207" s="12" t="s">
        <v>108</v>
      </c>
      <c r="B207" s="11">
        <v>39307</v>
      </c>
      <c r="C207" s="11">
        <v>39307</v>
      </c>
      <c r="D207" s="8"/>
    </row>
    <row r="208" spans="1:4" hidden="1">
      <c r="A208" s="12" t="s">
        <v>107</v>
      </c>
      <c r="B208" s="11">
        <v>39758</v>
      </c>
      <c r="C208" s="11">
        <v>39758</v>
      </c>
      <c r="D208" s="8"/>
    </row>
    <row r="209" spans="1:4" hidden="1">
      <c r="A209" s="12" t="s">
        <v>106</v>
      </c>
      <c r="B209" s="11">
        <v>40215</v>
      </c>
      <c r="C209" s="11">
        <v>40215</v>
      </c>
      <c r="D209" s="8"/>
    </row>
    <row r="210" spans="1:4" hidden="1">
      <c r="A210" s="12" t="s">
        <v>105</v>
      </c>
      <c r="B210" s="11">
        <v>40677</v>
      </c>
      <c r="C210" s="11">
        <v>40677</v>
      </c>
      <c r="D210" s="8"/>
    </row>
    <row r="211" spans="1:4" hidden="1">
      <c r="A211" s="12" t="s">
        <v>104</v>
      </c>
      <c r="B211" s="11">
        <v>41145</v>
      </c>
      <c r="C211" s="11">
        <v>41145</v>
      </c>
      <c r="D211" s="8"/>
    </row>
    <row r="212" spans="1:4" hidden="1">
      <c r="A212" s="10" t="s">
        <v>103</v>
      </c>
      <c r="B212" s="9">
        <v>41497</v>
      </c>
      <c r="C212" s="9">
        <v>41497</v>
      </c>
      <c r="D212" s="8"/>
    </row>
    <row r="213" spans="1:4" hidden="1">
      <c r="A213" s="10" t="s">
        <v>102</v>
      </c>
      <c r="B213" s="9">
        <v>41975</v>
      </c>
      <c r="C213" s="9">
        <v>41975</v>
      </c>
      <c r="D213" s="8"/>
    </row>
    <row r="214" spans="1:4" hidden="1">
      <c r="A214" s="10" t="s">
        <v>101</v>
      </c>
      <c r="B214" s="9">
        <v>42459</v>
      </c>
      <c r="C214" s="9">
        <v>42459</v>
      </c>
      <c r="D214" s="8"/>
    </row>
    <row r="215" spans="1:4" hidden="1">
      <c r="A215" s="10" t="s">
        <v>100</v>
      </c>
      <c r="B215" s="9">
        <v>42949</v>
      </c>
      <c r="C215" s="9">
        <v>42949</v>
      </c>
      <c r="D215" s="8"/>
    </row>
    <row r="216" spans="1:4" hidden="1">
      <c r="A216" s="10" t="s">
        <v>99</v>
      </c>
      <c r="B216" s="9">
        <v>43445</v>
      </c>
      <c r="C216" s="9">
        <v>43445</v>
      </c>
      <c r="D216" s="8"/>
    </row>
    <row r="217" spans="1:4" hidden="1">
      <c r="A217" s="10" t="s">
        <v>98</v>
      </c>
      <c r="B217" s="9">
        <v>43948</v>
      </c>
      <c r="C217" s="9">
        <v>43948</v>
      </c>
      <c r="D217" s="8"/>
    </row>
    <row r="218" spans="1:4" hidden="1">
      <c r="A218" s="10" t="s">
        <v>97</v>
      </c>
      <c r="B218" s="9">
        <v>44456</v>
      </c>
      <c r="C218" s="9">
        <v>44456</v>
      </c>
      <c r="D218" s="8"/>
    </row>
    <row r="219" spans="1:4" hidden="1">
      <c r="A219" s="10" t="s">
        <v>96</v>
      </c>
      <c r="B219" s="9">
        <v>44971</v>
      </c>
      <c r="C219" s="9">
        <v>44971</v>
      </c>
      <c r="D219" s="8"/>
    </row>
    <row r="220" spans="1:4" hidden="1">
      <c r="A220" s="12" t="s">
        <v>95</v>
      </c>
      <c r="B220" s="11">
        <v>45897</v>
      </c>
      <c r="C220" s="11">
        <v>45897</v>
      </c>
      <c r="D220" s="8"/>
    </row>
    <row r="221" spans="1:4" hidden="1">
      <c r="A221" s="12" t="s">
        <v>94</v>
      </c>
      <c r="B221" s="11">
        <v>46599</v>
      </c>
      <c r="C221" s="11">
        <v>46599</v>
      </c>
      <c r="D221" s="8"/>
    </row>
    <row r="222" spans="1:4" hidden="1">
      <c r="A222" s="12" t="s">
        <v>93</v>
      </c>
      <c r="B222" s="11">
        <v>47313</v>
      </c>
      <c r="C222" s="11">
        <v>47313</v>
      </c>
      <c r="D222" s="8"/>
    </row>
    <row r="223" spans="1:4" hidden="1">
      <c r="A223" s="12" t="s">
        <v>92</v>
      </c>
      <c r="B223" s="11">
        <v>48038</v>
      </c>
      <c r="C223" s="11">
        <v>48038</v>
      </c>
      <c r="D223" s="8"/>
    </row>
    <row r="224" spans="1:4" hidden="1">
      <c r="A224" s="12" t="s">
        <v>91</v>
      </c>
      <c r="B224" s="11">
        <v>48775</v>
      </c>
      <c r="C224" s="11">
        <v>48775</v>
      </c>
      <c r="D224" s="8"/>
    </row>
    <row r="225" spans="1:4" hidden="1">
      <c r="A225" s="12" t="s">
        <v>90</v>
      </c>
      <c r="B225" s="11">
        <v>49524</v>
      </c>
      <c r="C225" s="11">
        <v>49524</v>
      </c>
      <c r="D225" s="8"/>
    </row>
    <row r="226" spans="1:4" hidden="1">
      <c r="A226" s="12" t="s">
        <v>89</v>
      </c>
      <c r="B226" s="11">
        <v>50285</v>
      </c>
      <c r="C226" s="11">
        <v>50285</v>
      </c>
      <c r="D226" s="8"/>
    </row>
    <row r="227" spans="1:4" hidden="1">
      <c r="A227" s="12" t="s">
        <v>88</v>
      </c>
      <c r="B227" s="11">
        <v>51059</v>
      </c>
      <c r="C227" s="11">
        <v>51059</v>
      </c>
      <c r="D227" s="8"/>
    </row>
    <row r="228" spans="1:4" hidden="1">
      <c r="A228" s="10" t="s">
        <v>87</v>
      </c>
      <c r="B228" s="9">
        <v>51538</v>
      </c>
      <c r="C228" s="9">
        <v>51538</v>
      </c>
      <c r="D228" s="8"/>
    </row>
    <row r="229" spans="1:4" hidden="1">
      <c r="A229" s="10" t="s">
        <v>86</v>
      </c>
      <c r="B229" s="9">
        <v>52331</v>
      </c>
      <c r="C229" s="9">
        <v>52331</v>
      </c>
      <c r="D229" s="8"/>
    </row>
    <row r="230" spans="1:4" hidden="1">
      <c r="A230" s="10" t="s">
        <v>85</v>
      </c>
      <c r="B230" s="9">
        <v>53137</v>
      </c>
      <c r="C230" s="9">
        <v>53137</v>
      </c>
      <c r="D230" s="8"/>
    </row>
    <row r="231" spans="1:4" hidden="1">
      <c r="A231" s="10" t="s">
        <v>84</v>
      </c>
      <c r="B231" s="9">
        <v>53956</v>
      </c>
      <c r="C231" s="9">
        <v>53956</v>
      </c>
      <c r="D231" s="8"/>
    </row>
    <row r="232" spans="1:4" hidden="1">
      <c r="A232" s="10" t="s">
        <v>83</v>
      </c>
      <c r="B232" s="9">
        <v>54789</v>
      </c>
      <c r="C232" s="9">
        <v>54789</v>
      </c>
      <c r="D232" s="8"/>
    </row>
    <row r="233" spans="1:4" hidden="1">
      <c r="A233" s="10" t="s">
        <v>82</v>
      </c>
      <c r="B233" s="9">
        <v>55636</v>
      </c>
      <c r="C233" s="9">
        <v>55636</v>
      </c>
      <c r="D233" s="8"/>
    </row>
    <row r="234" spans="1:4" hidden="1">
      <c r="A234" s="10" t="s">
        <v>81</v>
      </c>
      <c r="B234" s="9">
        <v>56496</v>
      </c>
      <c r="C234" s="9">
        <v>56496</v>
      </c>
      <c r="D234" s="8"/>
    </row>
    <row r="235" spans="1:4" hidden="1">
      <c r="A235" s="10" t="s">
        <v>80</v>
      </c>
      <c r="B235" s="9">
        <v>57370</v>
      </c>
      <c r="C235" s="9">
        <v>57370</v>
      </c>
      <c r="D235" s="8"/>
    </row>
    <row r="236" spans="1:4" hidden="1">
      <c r="A236" s="12" t="s">
        <v>79</v>
      </c>
      <c r="B236" s="11">
        <v>57856</v>
      </c>
      <c r="C236" s="11">
        <v>57856</v>
      </c>
      <c r="D236" s="8"/>
    </row>
    <row r="237" spans="1:4" hidden="1">
      <c r="A237" s="12" t="s">
        <v>78</v>
      </c>
      <c r="B237" s="11">
        <v>58752</v>
      </c>
      <c r="C237" s="11">
        <v>58752</v>
      </c>
      <c r="D237" s="8"/>
    </row>
    <row r="238" spans="1:4" hidden="1">
      <c r="A238" s="12" t="s">
        <v>77</v>
      </c>
      <c r="B238" s="11">
        <v>59663</v>
      </c>
      <c r="C238" s="11">
        <v>59663</v>
      </c>
      <c r="D238" s="8"/>
    </row>
    <row r="239" spans="1:4" hidden="1">
      <c r="A239" s="12" t="s">
        <v>76</v>
      </c>
      <c r="B239" s="11">
        <v>60588</v>
      </c>
      <c r="C239" s="11">
        <v>60588</v>
      </c>
      <c r="D239" s="8"/>
    </row>
    <row r="240" spans="1:4" hidden="1">
      <c r="A240" s="12" t="s">
        <v>75</v>
      </c>
      <c r="B240" s="11">
        <v>61530</v>
      </c>
      <c r="C240" s="11">
        <v>61530</v>
      </c>
      <c r="D240" s="8"/>
    </row>
    <row r="241" spans="1:4" hidden="1">
      <c r="A241" s="12" t="s">
        <v>74</v>
      </c>
      <c r="B241" s="11">
        <v>62485</v>
      </c>
      <c r="C241" s="11">
        <v>62485</v>
      </c>
      <c r="D241" s="8"/>
    </row>
    <row r="242" spans="1:4" hidden="1">
      <c r="A242" s="12" t="s">
        <v>73</v>
      </c>
      <c r="B242" s="11">
        <v>63457</v>
      </c>
      <c r="C242" s="11">
        <v>63457</v>
      </c>
      <c r="D242" s="8"/>
    </row>
    <row r="243" spans="1:4" hidden="1">
      <c r="A243" s="12" t="s">
        <v>72</v>
      </c>
      <c r="B243" s="11">
        <v>64445</v>
      </c>
      <c r="C243" s="11">
        <v>64445</v>
      </c>
      <c r="D243" s="8"/>
    </row>
    <row r="244" spans="1:4" hidden="1">
      <c r="A244" s="10" t="s">
        <v>71</v>
      </c>
      <c r="B244" s="9">
        <v>64994</v>
      </c>
      <c r="C244" s="9">
        <v>64994</v>
      </c>
      <c r="D244" s="8"/>
    </row>
    <row r="245" spans="1:4" hidden="1">
      <c r="A245" s="10" t="s">
        <v>70</v>
      </c>
      <c r="B245" s="9">
        <v>66007</v>
      </c>
      <c r="C245" s="9">
        <v>66007</v>
      </c>
      <c r="D245" s="8"/>
    </row>
    <row r="246" spans="1:4" hidden="1">
      <c r="A246" s="10" t="s">
        <v>69</v>
      </c>
      <c r="B246" s="9">
        <v>67037</v>
      </c>
      <c r="C246" s="9">
        <v>67037</v>
      </c>
      <c r="D246" s="8"/>
    </row>
    <row r="247" spans="1:4" hidden="1">
      <c r="A247" s="10" t="s">
        <v>68</v>
      </c>
      <c r="B247" s="9">
        <v>68083</v>
      </c>
      <c r="C247" s="9">
        <v>68083</v>
      </c>
      <c r="D247" s="8"/>
    </row>
    <row r="248" spans="1:4" hidden="1">
      <c r="A248" s="10" t="s">
        <v>67</v>
      </c>
      <c r="B248" s="9">
        <v>69146</v>
      </c>
      <c r="C248" s="9">
        <v>69146</v>
      </c>
      <c r="D248" s="8"/>
    </row>
    <row r="249" spans="1:4" hidden="1">
      <c r="A249" s="10" t="s">
        <v>66</v>
      </c>
      <c r="B249" s="9">
        <v>70227</v>
      </c>
      <c r="C249" s="9">
        <v>70227</v>
      </c>
      <c r="D249" s="8"/>
    </row>
    <row r="250" spans="1:4" hidden="1">
      <c r="A250" s="10" t="s">
        <v>65</v>
      </c>
      <c r="B250" s="9">
        <v>71325</v>
      </c>
      <c r="C250" s="9">
        <v>71325</v>
      </c>
      <c r="D250" s="8"/>
    </row>
    <row r="251" spans="1:4" hidden="1">
      <c r="A251" s="10" t="s">
        <v>64</v>
      </c>
      <c r="B251" s="9">
        <v>72440</v>
      </c>
      <c r="C251" s="9">
        <v>72440</v>
      </c>
      <c r="D251" s="8"/>
    </row>
    <row r="252" spans="1:4" hidden="1">
      <c r="A252" s="12" t="s">
        <v>63</v>
      </c>
      <c r="B252" s="11">
        <v>73062</v>
      </c>
      <c r="C252" s="11">
        <v>73062</v>
      </c>
      <c r="D252" s="8"/>
    </row>
    <row r="253" spans="1:4" hidden="1">
      <c r="A253" s="12" t="s">
        <v>62</v>
      </c>
      <c r="B253" s="11">
        <v>74205</v>
      </c>
      <c r="C253" s="11">
        <v>74205</v>
      </c>
      <c r="D253" s="8"/>
    </row>
    <row r="254" spans="1:4" hidden="1">
      <c r="A254" s="12" t="s">
        <v>61</v>
      </c>
      <c r="B254" s="11">
        <v>75369</v>
      </c>
      <c r="C254" s="11">
        <v>75369</v>
      </c>
      <c r="D254" s="8"/>
    </row>
    <row r="255" spans="1:4" hidden="1">
      <c r="A255" s="12" t="s">
        <v>60</v>
      </c>
      <c r="B255" s="11">
        <v>76554</v>
      </c>
      <c r="C255" s="11">
        <v>76554</v>
      </c>
      <c r="D255" s="8"/>
    </row>
    <row r="256" spans="1:4" hidden="1">
      <c r="A256" s="12" t="s">
        <v>59</v>
      </c>
      <c r="B256" s="11">
        <v>77804</v>
      </c>
      <c r="C256" s="11">
        <v>77804</v>
      </c>
      <c r="D256" s="8"/>
    </row>
    <row r="257" spans="1:4" hidden="1">
      <c r="A257" s="12" t="s">
        <v>58</v>
      </c>
      <c r="B257" s="11">
        <v>79073</v>
      </c>
      <c r="C257" s="11">
        <v>79073</v>
      </c>
      <c r="D257" s="8"/>
    </row>
    <row r="258" spans="1:4" hidden="1">
      <c r="A258" s="12" t="s">
        <v>57</v>
      </c>
      <c r="B258" s="11">
        <v>80364</v>
      </c>
      <c r="C258" s="11">
        <v>80364</v>
      </c>
      <c r="D258" s="8"/>
    </row>
    <row r="259" spans="1:4" hidden="1">
      <c r="A259" s="12" t="s">
        <v>56</v>
      </c>
      <c r="B259" s="11">
        <v>81676</v>
      </c>
      <c r="C259" s="11">
        <v>81676</v>
      </c>
      <c r="D259" s="8"/>
    </row>
    <row r="260" spans="1:4" hidden="1">
      <c r="A260" s="10" t="s">
        <v>55</v>
      </c>
      <c r="B260" s="9">
        <v>82405</v>
      </c>
      <c r="C260" s="9">
        <v>82405</v>
      </c>
      <c r="D260" s="8"/>
    </row>
    <row r="261" spans="1:4" hidden="1">
      <c r="A261" s="10" t="s">
        <v>54</v>
      </c>
      <c r="B261" s="9">
        <v>83750</v>
      </c>
      <c r="C261" s="9">
        <v>83750</v>
      </c>
      <c r="D261" s="8"/>
    </row>
    <row r="262" spans="1:4" hidden="1">
      <c r="A262" s="10" t="s">
        <v>53</v>
      </c>
      <c r="B262" s="9">
        <v>85117</v>
      </c>
      <c r="C262" s="9">
        <v>85117</v>
      </c>
      <c r="D262" s="8"/>
    </row>
    <row r="263" spans="1:4" hidden="1">
      <c r="A263" s="10" t="s">
        <v>52</v>
      </c>
      <c r="B263" s="9">
        <v>86506</v>
      </c>
      <c r="C263" s="9">
        <v>86506</v>
      </c>
      <c r="D263" s="8"/>
    </row>
    <row r="264" spans="1:4" hidden="1">
      <c r="A264" s="10" t="s">
        <v>51</v>
      </c>
      <c r="B264" s="9">
        <v>87918</v>
      </c>
      <c r="C264" s="9">
        <v>87918</v>
      </c>
      <c r="D264" s="8"/>
    </row>
    <row r="265" spans="1:4" hidden="1">
      <c r="A265" s="10" t="s">
        <v>50</v>
      </c>
      <c r="B265" s="9">
        <v>89354</v>
      </c>
      <c r="C265" s="9">
        <v>89354</v>
      </c>
      <c r="D265" s="8"/>
    </row>
    <row r="266" spans="1:4" hidden="1">
      <c r="A266" s="10" t="s">
        <v>49</v>
      </c>
      <c r="B266" s="9">
        <v>90812</v>
      </c>
      <c r="C266" s="9">
        <v>90812</v>
      </c>
      <c r="D266" s="8"/>
    </row>
    <row r="267" spans="1:4" hidden="1">
      <c r="A267" s="10" t="s">
        <v>48</v>
      </c>
      <c r="B267" s="9">
        <v>92294</v>
      </c>
      <c r="C267" s="9">
        <v>92294</v>
      </c>
      <c r="D267" s="8"/>
    </row>
    <row r="268" spans="1:4" hidden="1">
      <c r="A268" s="12" t="s">
        <v>47</v>
      </c>
      <c r="B268" s="11">
        <v>93942</v>
      </c>
      <c r="C268" s="11">
        <v>93942</v>
      </c>
      <c r="D268" s="8"/>
    </row>
    <row r="269" spans="1:4" hidden="1">
      <c r="A269" s="12" t="s">
        <v>46</v>
      </c>
      <c r="B269" s="11">
        <v>95475</v>
      </c>
      <c r="C269" s="11">
        <v>95475</v>
      </c>
      <c r="D269" s="8"/>
    </row>
    <row r="270" spans="1:4" hidden="1">
      <c r="A270" s="12" t="s">
        <v>45</v>
      </c>
      <c r="B270" s="11">
        <v>97033</v>
      </c>
      <c r="C270" s="11">
        <v>97033</v>
      </c>
      <c r="D270" s="8"/>
    </row>
    <row r="271" spans="1:4" hidden="1">
      <c r="A271" s="12" t="s">
        <v>44</v>
      </c>
      <c r="B271" s="11">
        <v>98618</v>
      </c>
      <c r="C271" s="11">
        <v>98618</v>
      </c>
      <c r="D271" s="8"/>
    </row>
    <row r="272" spans="1:4" hidden="1">
      <c r="A272" s="12" t="s">
        <v>43</v>
      </c>
      <c r="B272" s="11">
        <v>100227</v>
      </c>
      <c r="C272" s="11">
        <v>100227</v>
      </c>
      <c r="D272" s="8"/>
    </row>
    <row r="273" spans="1:13" hidden="1">
      <c r="A273" s="12" t="s">
        <v>42</v>
      </c>
      <c r="B273" s="11">
        <v>101863</v>
      </c>
      <c r="C273" s="11">
        <v>101863</v>
      </c>
      <c r="D273" s="8"/>
    </row>
    <row r="274" spans="1:13" hidden="1">
      <c r="A274" s="12" t="s">
        <v>41</v>
      </c>
      <c r="B274" s="11">
        <v>103525</v>
      </c>
      <c r="C274" s="11">
        <v>103525</v>
      </c>
      <c r="D274" s="8"/>
    </row>
    <row r="275" spans="1:13" hidden="1">
      <c r="A275" s="12" t="s">
        <v>40</v>
      </c>
      <c r="B275" s="11">
        <v>105215</v>
      </c>
      <c r="C275" s="11">
        <v>105215</v>
      </c>
      <c r="D275" s="8"/>
      <c r="F275" s="16"/>
      <c r="G275" s="15"/>
      <c r="H275" s="14"/>
      <c r="I275" s="14"/>
      <c r="J275" s="13"/>
      <c r="K275" s="13"/>
      <c r="L275" s="14"/>
      <c r="M275" s="14"/>
    </row>
    <row r="276" spans="1:13" hidden="1">
      <c r="A276" s="10" t="s">
        <v>39</v>
      </c>
      <c r="B276" s="9">
        <v>106155</v>
      </c>
      <c r="C276" s="9">
        <v>106155</v>
      </c>
      <c r="D276" s="8"/>
      <c r="F276" s="16"/>
      <c r="G276" s="15"/>
      <c r="H276" s="14"/>
      <c r="I276" s="14"/>
      <c r="J276" s="13"/>
      <c r="K276" s="13"/>
      <c r="L276" s="14"/>
      <c r="M276" s="14"/>
    </row>
    <row r="277" spans="1:13" hidden="1">
      <c r="A277" s="10" t="s">
        <v>38</v>
      </c>
      <c r="B277" s="9">
        <v>107887</v>
      </c>
      <c r="C277" s="9">
        <v>107887</v>
      </c>
      <c r="D277" s="8"/>
    </row>
    <row r="278" spans="1:13" hidden="1">
      <c r="A278" s="10" t="s">
        <v>37</v>
      </c>
      <c r="B278" s="9">
        <v>109648</v>
      </c>
      <c r="C278" s="9">
        <v>109648</v>
      </c>
      <c r="D278" s="8"/>
    </row>
    <row r="279" spans="1:13" hidden="1">
      <c r="A279" s="10" t="s">
        <v>36</v>
      </c>
      <c r="B279" s="9">
        <v>111438</v>
      </c>
      <c r="C279" s="9">
        <v>111438</v>
      </c>
      <c r="D279" s="8"/>
    </row>
    <row r="280" spans="1:13" hidden="1">
      <c r="A280" s="10" t="s">
        <v>35</v>
      </c>
      <c r="B280" s="9">
        <v>113256</v>
      </c>
      <c r="C280" s="9">
        <v>113256</v>
      </c>
      <c r="D280" s="8"/>
    </row>
    <row r="281" spans="1:13" hidden="1">
      <c r="A281" s="10" t="s">
        <v>34</v>
      </c>
      <c r="B281" s="9">
        <v>115105</v>
      </c>
      <c r="C281" s="9">
        <v>115105</v>
      </c>
      <c r="D281" s="8"/>
    </row>
    <row r="282" spans="1:13" hidden="1">
      <c r="A282" s="10" t="s">
        <v>33</v>
      </c>
      <c r="B282" s="9">
        <v>116983</v>
      </c>
      <c r="C282" s="9">
        <v>116983</v>
      </c>
      <c r="D282" s="8"/>
    </row>
    <row r="283" spans="1:13" hidden="1">
      <c r="A283" s="10" t="s">
        <v>32</v>
      </c>
      <c r="B283" s="9">
        <v>118893</v>
      </c>
      <c r="C283" s="9">
        <v>118893</v>
      </c>
      <c r="D283" s="8"/>
    </row>
    <row r="284" spans="1:13" hidden="1">
      <c r="A284" s="12" t="s">
        <v>31</v>
      </c>
      <c r="B284" s="11">
        <v>119954</v>
      </c>
      <c r="C284" s="11">
        <v>119954</v>
      </c>
      <c r="D284" s="8"/>
    </row>
    <row r="285" spans="1:13" hidden="1">
      <c r="A285" s="12" t="s">
        <v>30</v>
      </c>
      <c r="B285" s="11">
        <v>121913</v>
      </c>
      <c r="C285" s="11">
        <v>121913</v>
      </c>
      <c r="D285" s="8"/>
    </row>
    <row r="286" spans="1:13" hidden="1">
      <c r="A286" s="12" t="s">
        <v>29</v>
      </c>
      <c r="B286" s="11">
        <v>123902</v>
      </c>
      <c r="C286" s="11">
        <v>123902</v>
      </c>
      <c r="D286" s="8"/>
    </row>
    <row r="287" spans="1:13" hidden="1">
      <c r="A287" s="12" t="s">
        <v>28</v>
      </c>
      <c r="B287" s="11">
        <v>125924</v>
      </c>
      <c r="C287" s="11">
        <v>125924</v>
      </c>
      <c r="D287" s="8"/>
    </row>
    <row r="288" spans="1:13" hidden="1">
      <c r="A288" s="12" t="s">
        <v>27</v>
      </c>
      <c r="B288" s="11">
        <v>127979</v>
      </c>
      <c r="C288" s="11">
        <v>127979</v>
      </c>
      <c r="D288" s="8"/>
    </row>
    <row r="289" spans="1:4" hidden="1">
      <c r="A289" s="12" t="s">
        <v>26</v>
      </c>
      <c r="B289" s="11">
        <v>130068</v>
      </c>
      <c r="C289" s="11">
        <v>130068</v>
      </c>
      <c r="D289" s="8"/>
    </row>
    <row r="290" spans="1:4" hidden="1">
      <c r="A290" s="12" t="s">
        <v>25</v>
      </c>
      <c r="B290" s="11">
        <v>132192</v>
      </c>
      <c r="C290" s="11">
        <v>132192</v>
      </c>
      <c r="D290" s="8"/>
    </row>
    <row r="291" spans="1:4" hidden="1">
      <c r="A291" s="12" t="s">
        <v>24</v>
      </c>
      <c r="B291" s="11">
        <v>134349</v>
      </c>
      <c r="C291" s="11">
        <v>134349</v>
      </c>
      <c r="D291" s="8"/>
    </row>
    <row r="292" spans="1:4" hidden="1">
      <c r="A292" s="10" t="s">
        <v>23</v>
      </c>
      <c r="B292" s="9">
        <v>135549</v>
      </c>
      <c r="C292" s="9">
        <v>135549</v>
      </c>
      <c r="D292" s="8"/>
    </row>
    <row r="293" spans="1:4" hidden="1">
      <c r="A293" s="10" t="s">
        <v>22</v>
      </c>
      <c r="B293" s="9">
        <v>137760</v>
      </c>
      <c r="C293" s="9">
        <v>137760</v>
      </c>
      <c r="D293" s="8"/>
    </row>
    <row r="294" spans="1:4" hidden="1">
      <c r="A294" s="10" t="s">
        <v>21</v>
      </c>
      <c r="B294" s="9">
        <v>140009</v>
      </c>
      <c r="C294" s="9">
        <v>140009</v>
      </c>
      <c r="D294" s="8"/>
    </row>
    <row r="295" spans="1:4" hidden="1">
      <c r="A295" s="10" t="s">
        <v>20</v>
      </c>
      <c r="B295" s="9">
        <v>142295</v>
      </c>
      <c r="C295" s="9">
        <v>142295</v>
      </c>
      <c r="D295" s="8"/>
    </row>
    <row r="296" spans="1:4" hidden="1">
      <c r="A296" s="10" t="s">
        <v>19</v>
      </c>
      <c r="B296" s="9">
        <v>144617</v>
      </c>
      <c r="C296" s="9">
        <v>144617</v>
      </c>
      <c r="D296" s="8"/>
    </row>
    <row r="297" spans="1:4" hidden="1">
      <c r="A297" s="10" t="s">
        <v>18</v>
      </c>
      <c r="B297" s="9">
        <v>146978</v>
      </c>
      <c r="C297" s="9">
        <v>146978</v>
      </c>
      <c r="D297" s="8"/>
    </row>
    <row r="298" spans="1:4" hidden="1">
      <c r="A298" s="10" t="s">
        <v>17</v>
      </c>
      <c r="B298" s="9">
        <v>149377</v>
      </c>
      <c r="C298" s="9">
        <v>149377</v>
      </c>
      <c r="D298" s="8"/>
    </row>
    <row r="299" spans="1:4" hidden="1">
      <c r="A299" s="10" t="s">
        <v>16</v>
      </c>
      <c r="B299" s="9">
        <v>151814</v>
      </c>
      <c r="C299" s="9">
        <v>151814</v>
      </c>
      <c r="D299" s="8"/>
    </row>
    <row r="300" spans="1:4" hidden="1">
      <c r="A300" s="12" t="s">
        <v>15</v>
      </c>
      <c r="B300" s="11">
        <v>153169</v>
      </c>
      <c r="C300" s="11">
        <v>153169</v>
      </c>
      <c r="D300" s="8"/>
    </row>
    <row r="301" spans="1:4" hidden="1">
      <c r="A301" s="12" t="s">
        <v>14</v>
      </c>
      <c r="B301" s="11">
        <v>155670</v>
      </c>
      <c r="C301" s="11">
        <v>155670</v>
      </c>
      <c r="D301" s="8"/>
    </row>
    <row r="302" spans="1:4" hidden="1">
      <c r="A302" s="12" t="s">
        <v>13</v>
      </c>
      <c r="B302" s="11">
        <v>158210</v>
      </c>
      <c r="C302" s="11">
        <v>158210</v>
      </c>
      <c r="D302" s="8"/>
    </row>
    <row r="303" spans="1:4" hidden="1">
      <c r="A303" s="12" t="s">
        <v>12</v>
      </c>
      <c r="B303" s="11">
        <v>160793</v>
      </c>
      <c r="C303" s="11">
        <v>160793</v>
      </c>
      <c r="D303" s="8"/>
    </row>
    <row r="304" spans="1:4" hidden="1">
      <c r="A304" s="12" t="s">
        <v>11</v>
      </c>
      <c r="B304" s="11">
        <v>163417</v>
      </c>
      <c r="C304" s="11">
        <v>163417</v>
      </c>
      <c r="D304" s="8"/>
    </row>
    <row r="305" spans="1:5" hidden="1">
      <c r="A305" s="12" t="s">
        <v>10</v>
      </c>
      <c r="B305" s="11">
        <v>166085</v>
      </c>
      <c r="C305" s="11">
        <v>166085</v>
      </c>
      <c r="D305" s="8"/>
    </row>
    <row r="306" spans="1:5" hidden="1">
      <c r="A306" s="12" t="s">
        <v>9</v>
      </c>
      <c r="B306" s="11">
        <v>168795</v>
      </c>
      <c r="C306" s="11">
        <v>168795</v>
      </c>
      <c r="D306" s="8"/>
    </row>
    <row r="307" spans="1:5" hidden="1">
      <c r="A307" s="12" t="s">
        <v>8</v>
      </c>
      <c r="B307" s="11">
        <v>171550</v>
      </c>
      <c r="C307" s="11">
        <v>171550</v>
      </c>
      <c r="D307" s="8"/>
    </row>
    <row r="308" spans="1:5" hidden="1">
      <c r="A308" s="10" t="s">
        <v>7</v>
      </c>
      <c r="B308" s="9">
        <v>173081</v>
      </c>
      <c r="C308" s="9">
        <v>173081</v>
      </c>
      <c r="D308" s="8"/>
    </row>
    <row r="309" spans="1:5" hidden="1">
      <c r="A309" s="10" t="s">
        <v>6</v>
      </c>
      <c r="B309" s="9">
        <v>175905</v>
      </c>
      <c r="C309" s="9">
        <v>175905</v>
      </c>
      <c r="D309" s="8"/>
    </row>
    <row r="310" spans="1:5" hidden="1">
      <c r="A310" s="10" t="s">
        <v>5</v>
      </c>
      <c r="B310" s="9">
        <v>178778</v>
      </c>
      <c r="C310" s="9">
        <v>178778</v>
      </c>
      <c r="D310" s="8"/>
    </row>
    <row r="311" spans="1:5" hidden="1">
      <c r="A311" s="10" t="s">
        <v>4</v>
      </c>
      <c r="B311" s="9">
        <v>181696</v>
      </c>
      <c r="C311" s="9">
        <v>181696</v>
      </c>
      <c r="D311" s="8"/>
    </row>
    <row r="312" spans="1:5" hidden="1">
      <c r="A312" s="10" t="s">
        <v>3</v>
      </c>
      <c r="B312" s="9">
        <v>184661</v>
      </c>
      <c r="C312" s="9">
        <v>184661</v>
      </c>
      <c r="D312" s="8"/>
    </row>
    <row r="313" spans="1:5" hidden="1">
      <c r="A313" s="10" t="s">
        <v>2</v>
      </c>
      <c r="B313" s="9">
        <v>187675</v>
      </c>
      <c r="C313" s="9">
        <v>187675</v>
      </c>
      <c r="D313" s="8"/>
    </row>
    <row r="314" spans="1:5" hidden="1">
      <c r="A314" s="10" t="s">
        <v>1</v>
      </c>
      <c r="B314" s="9">
        <v>190738</v>
      </c>
      <c r="C314" s="9">
        <v>190738</v>
      </c>
      <c r="D314" s="8"/>
    </row>
    <row r="315" spans="1:5" s="3" customFormat="1" hidden="1">
      <c r="A315" s="10" t="s">
        <v>0</v>
      </c>
      <c r="B315" s="9">
        <v>193851</v>
      </c>
      <c r="C315" s="9">
        <v>193851</v>
      </c>
      <c r="E315" s="5"/>
    </row>
    <row r="316" spans="1:5" s="3" customFormat="1" ht="15" hidden="1">
      <c r="A316" s="7"/>
      <c r="B316" s="6"/>
      <c r="E316" s="5"/>
    </row>
    <row r="317" spans="1:5" s="3" customFormat="1" ht="15" hidden="1">
      <c r="A317" s="7"/>
      <c r="B317" s="6"/>
      <c r="E317" s="5"/>
    </row>
    <row r="318" spans="1:5" s="3" customFormat="1" ht="15" hidden="1">
      <c r="A318" s="7"/>
      <c r="B318" s="6"/>
      <c r="E318" s="5"/>
    </row>
    <row r="319" spans="1:5" s="3" customFormat="1" ht="15" hidden="1">
      <c r="A319" s="7"/>
      <c r="B319" s="6"/>
      <c r="E319" s="5"/>
    </row>
    <row r="320" spans="1:5" s="3" customFormat="1" ht="15" hidden="1">
      <c r="A320" s="7"/>
      <c r="B320" s="6"/>
      <c r="E320" s="5"/>
    </row>
    <row r="321" spans="1:5" s="3" customFormat="1" ht="15" hidden="1">
      <c r="A321" s="7"/>
      <c r="B321" s="6"/>
      <c r="E321" s="5"/>
    </row>
    <row r="322" spans="1:5" s="3" customFormat="1" ht="15" hidden="1">
      <c r="A322" s="7"/>
      <c r="B322" s="6"/>
      <c r="E322" s="5"/>
    </row>
    <row r="323" spans="1:5" s="3" customFormat="1" ht="15" hidden="1">
      <c r="A323" s="7"/>
      <c r="B323" s="6"/>
      <c r="E323" s="5"/>
    </row>
    <row r="324" spans="1:5" s="3" customFormat="1" ht="15" hidden="1">
      <c r="A324" s="7"/>
      <c r="B324" s="6"/>
      <c r="E324" s="5"/>
    </row>
    <row r="325" spans="1:5" s="3" customFormat="1" ht="15" hidden="1">
      <c r="A325" s="7"/>
      <c r="B325" s="6"/>
      <c r="E325" s="5"/>
    </row>
    <row r="326" spans="1:5" s="3" customFormat="1" ht="15" hidden="1">
      <c r="A326" s="7"/>
      <c r="B326" s="6"/>
      <c r="E326" s="5"/>
    </row>
    <row r="327" spans="1:5" s="3" customFormat="1" ht="15" hidden="1">
      <c r="A327" s="7"/>
      <c r="B327" s="6"/>
      <c r="E327" s="5"/>
    </row>
    <row r="328" spans="1:5" s="3" customFormat="1" ht="15" hidden="1">
      <c r="A328" s="7"/>
      <c r="B328" s="6"/>
      <c r="E328" s="5"/>
    </row>
    <row r="329" spans="1:5" s="3" customFormat="1" ht="15" hidden="1">
      <c r="A329" s="7"/>
      <c r="B329" s="6"/>
      <c r="E329" s="5"/>
    </row>
    <row r="330" spans="1:5" s="3" customFormat="1" ht="15" hidden="1">
      <c r="A330" s="7"/>
      <c r="B330" s="6"/>
      <c r="E330" s="5"/>
    </row>
    <row r="331" spans="1:5" s="3" customFormat="1" ht="15" hidden="1">
      <c r="A331" s="7"/>
      <c r="B331" s="6"/>
      <c r="E331" s="5"/>
    </row>
    <row r="332" spans="1:5" s="3" customFormat="1" ht="15" hidden="1">
      <c r="A332" s="7"/>
      <c r="B332" s="6"/>
      <c r="E332" s="5"/>
    </row>
    <row r="333" spans="1:5" s="3" customFormat="1" ht="15" hidden="1">
      <c r="A333" s="7"/>
      <c r="B333" s="6"/>
      <c r="E333" s="5"/>
    </row>
    <row r="334" spans="1:5" s="3" customFormat="1" ht="15" hidden="1">
      <c r="A334" s="7"/>
      <c r="B334" s="6"/>
      <c r="E334" s="5"/>
    </row>
    <row r="335" spans="1:5" s="3" customFormat="1" ht="15" hidden="1">
      <c r="A335" s="7"/>
      <c r="B335" s="6"/>
      <c r="E335" s="5"/>
    </row>
    <row r="336" spans="1:5" s="3" customFormat="1" ht="15" hidden="1">
      <c r="A336" s="7"/>
      <c r="B336" s="6"/>
      <c r="E336" s="5"/>
    </row>
    <row r="337" spans="1:5" s="3" customFormat="1" ht="15" hidden="1">
      <c r="A337" s="7"/>
      <c r="B337" s="6"/>
      <c r="E337" s="5"/>
    </row>
    <row r="338" spans="1:5" s="3" customFormat="1" ht="15" hidden="1">
      <c r="A338" s="7"/>
      <c r="B338" s="6"/>
      <c r="E338" s="5"/>
    </row>
    <row r="339" spans="1:5" s="3" customFormat="1" ht="15" hidden="1">
      <c r="A339" s="7"/>
      <c r="B339" s="6"/>
      <c r="E339" s="5"/>
    </row>
    <row r="340" spans="1:5" s="3" customFormat="1" ht="15">
      <c r="A340" s="7"/>
      <c r="B340" s="6"/>
      <c r="E340" s="5"/>
    </row>
    <row r="341" spans="1:5" s="3" customFormat="1" ht="15">
      <c r="A341" s="7"/>
      <c r="B341" s="6"/>
      <c r="E341" s="5"/>
    </row>
    <row r="342" spans="1:5" s="3" customFormat="1" ht="15">
      <c r="A342" s="7"/>
      <c r="B342" s="6"/>
      <c r="E342" s="5"/>
    </row>
    <row r="343" spans="1:5" s="3" customFormat="1" ht="15">
      <c r="A343" s="7"/>
      <c r="B343" s="6"/>
      <c r="E343" s="5"/>
    </row>
  </sheetData>
  <mergeCells count="21">
    <mergeCell ref="A74:B74"/>
    <mergeCell ref="O10:P10"/>
    <mergeCell ref="O11:P11"/>
    <mergeCell ref="A3:I3"/>
    <mergeCell ref="A4:I4"/>
    <mergeCell ref="A5:I5"/>
    <mergeCell ref="G6:H6"/>
    <mergeCell ref="J6:K6"/>
    <mergeCell ref="E7:F7"/>
    <mergeCell ref="G7:H7"/>
    <mergeCell ref="J7:K7"/>
    <mergeCell ref="E9:F9"/>
    <mergeCell ref="G9:H9"/>
    <mergeCell ref="J9:K9"/>
    <mergeCell ref="A10:B10"/>
    <mergeCell ref="L10:M10"/>
    <mergeCell ref="E8:F8"/>
    <mergeCell ref="G8:H8"/>
    <mergeCell ref="J8:K8"/>
    <mergeCell ref="L11:M11"/>
    <mergeCell ref="A73:B73"/>
  </mergeCells>
  <pageMargins left="0" right="0" top="0" bottom="0" header="0.5" footer="0.5"/>
  <pageSetup paperSize="5" orientation="landscape" verticalDpi="72"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4"/>
  <sheetViews>
    <sheetView showGridLines="0" showOutlineSymbols="0" workbookViewId="0">
      <selection activeCell="C22" sqref="C22"/>
    </sheetView>
  </sheetViews>
  <sheetFormatPr defaultColWidth="12.5703125" defaultRowHeight="15.75" outlineLevelRow="1" outlineLevelCol="2"/>
  <cols>
    <col min="1" max="1" width="1.85546875" style="235" customWidth="1"/>
    <col min="2" max="2" width="33.28515625" style="235" customWidth="1"/>
    <col min="3" max="3" width="10.7109375" style="235" customWidth="1"/>
    <col min="4" max="4" width="11.28515625" style="235" customWidth="1"/>
    <col min="5" max="8" width="10.7109375" style="235" customWidth="1"/>
    <col min="9" max="9" width="14.140625" style="235" hidden="1" customWidth="1"/>
    <col min="10"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8">
      <c r="A1" s="271" t="s">
        <v>473</v>
      </c>
      <c r="B1" s="134"/>
      <c r="C1" s="134"/>
      <c r="E1" s="271"/>
      <c r="H1" s="271"/>
    </row>
    <row r="2" spans="1:8" ht="14.25" customHeight="1">
      <c r="A2" s="270" t="s">
        <v>584</v>
      </c>
      <c r="B2" s="134"/>
      <c r="C2" s="134"/>
      <c r="E2" s="270"/>
      <c r="H2" s="270"/>
    </row>
    <row r="3" spans="1:8" ht="21" customHeight="1">
      <c r="A3" s="4630" t="s">
        <v>471</v>
      </c>
      <c r="B3" s="4630"/>
      <c r="C3" s="4630"/>
      <c r="D3" s="4630"/>
      <c r="E3" s="4630"/>
      <c r="F3" s="4630"/>
      <c r="G3" s="4630"/>
      <c r="H3" s="4630"/>
    </row>
    <row r="4" spans="1:8" ht="14.25" customHeight="1">
      <c r="A4" s="4623" t="s">
        <v>583</v>
      </c>
      <c r="B4" s="4631"/>
      <c r="C4" s="4631"/>
      <c r="D4" s="4631"/>
      <c r="E4" s="4631"/>
      <c r="F4" s="4631"/>
      <c r="G4" s="4631"/>
      <c r="H4" s="4631"/>
    </row>
    <row r="5" spans="1:8" ht="14.25" customHeight="1">
      <c r="A5" s="140"/>
      <c r="B5" s="140"/>
      <c r="C5" s="140"/>
      <c r="D5" s="140"/>
      <c r="E5" s="140"/>
      <c r="F5" s="140"/>
      <c r="G5" s="140"/>
      <c r="H5" s="140"/>
    </row>
    <row r="6" spans="1:8" ht="14.25" customHeight="1">
      <c r="A6" s="140"/>
      <c r="B6" s="140"/>
      <c r="C6" s="140"/>
      <c r="D6" s="140"/>
      <c r="E6" s="140"/>
      <c r="F6" s="140"/>
      <c r="G6" s="140"/>
      <c r="H6" s="140"/>
    </row>
    <row r="7" spans="1:8" s="1739" customFormat="1" ht="14.25" customHeight="1">
      <c r="A7" s="1255" t="s">
        <v>1405</v>
      </c>
    </row>
    <row r="8" spans="1:8" s="1739" customFormat="1" ht="14.25" customHeight="1">
      <c r="A8" s="739"/>
      <c r="B8" s="1740" t="s">
        <v>1404</v>
      </c>
    </row>
    <row r="9" spans="1:8" ht="14.25" customHeight="1">
      <c r="A9" s="398"/>
      <c r="B9" s="397"/>
      <c r="D9" s="134"/>
      <c r="E9" s="134"/>
      <c r="F9" s="134"/>
      <c r="G9" s="134"/>
      <c r="H9" s="134"/>
    </row>
    <row r="10" spans="1:8" ht="14.25" customHeight="1">
      <c r="A10" s="4624" t="s">
        <v>468</v>
      </c>
      <c r="B10" s="4625"/>
      <c r="C10" s="265" t="s">
        <v>467</v>
      </c>
      <c r="D10" s="264" t="s">
        <v>466</v>
      </c>
      <c r="E10" s="4632" t="s">
        <v>465</v>
      </c>
      <c r="F10" s="4633"/>
      <c r="G10" s="4634"/>
      <c r="H10" s="265" t="s">
        <v>464</v>
      </c>
    </row>
    <row r="11" spans="1:8" ht="14.25" customHeight="1">
      <c r="A11" s="4626"/>
      <c r="B11" s="4627"/>
      <c r="C11" s="261" t="s">
        <v>463</v>
      </c>
      <c r="D11" s="261">
        <v>2020</v>
      </c>
      <c r="E11" s="262" t="s">
        <v>462</v>
      </c>
      <c r="F11" s="262" t="s">
        <v>461</v>
      </c>
      <c r="G11" s="262" t="s">
        <v>244</v>
      </c>
      <c r="H11" s="261">
        <v>2022</v>
      </c>
    </row>
    <row r="12" spans="1:8" ht="14.25" customHeight="1">
      <c r="A12" s="4628"/>
      <c r="B12" s="4629"/>
      <c r="C12" s="260"/>
      <c r="D12" s="258" t="s">
        <v>460</v>
      </c>
      <c r="E12" s="258" t="s">
        <v>460</v>
      </c>
      <c r="F12" s="258" t="s">
        <v>459</v>
      </c>
      <c r="G12" s="259"/>
      <c r="H12" s="258" t="s">
        <v>458</v>
      </c>
    </row>
    <row r="13" spans="1:8" ht="20.100000000000001" customHeight="1">
      <c r="A13" s="537" t="s">
        <v>456</v>
      </c>
      <c r="B13" s="566"/>
      <c r="C13" s="396"/>
      <c r="D13" s="396"/>
      <c r="E13" s="396"/>
      <c r="F13" s="536"/>
      <c r="G13" s="536"/>
      <c r="H13" s="536"/>
    </row>
    <row r="14" spans="1:8" ht="20.100000000000001" customHeight="1">
      <c r="A14" s="189" t="s">
        <v>407</v>
      </c>
      <c r="B14" s="366"/>
      <c r="C14" s="986"/>
      <c r="D14" s="1126">
        <f>SUM(D15:D27)</f>
        <v>229425</v>
      </c>
      <c r="E14" s="535">
        <f>SUM(E15:E27)</f>
        <v>0</v>
      </c>
      <c r="F14" s="186">
        <f>SUM(F15:F27)</f>
        <v>280000</v>
      </c>
      <c r="G14" s="535">
        <f>SUM(G15:G27)</f>
        <v>280000</v>
      </c>
      <c r="H14" s="535">
        <f>SUM(H15:H27)</f>
        <v>280000</v>
      </c>
    </row>
    <row r="15" spans="1:8" ht="20.100000000000001" customHeight="1" outlineLevel="1">
      <c r="A15" s="522" t="s">
        <v>646</v>
      </c>
      <c r="B15" s="185"/>
      <c r="C15" s="533" t="s">
        <v>405</v>
      </c>
      <c r="D15" s="984">
        <v>0</v>
      </c>
      <c r="E15" s="1107">
        <v>0</v>
      </c>
      <c r="F15" s="191">
        <f>SUM(G15-E15)</f>
        <v>5000</v>
      </c>
      <c r="G15" s="1107">
        <v>5000</v>
      </c>
      <c r="H15" s="982">
        <v>5000</v>
      </c>
    </row>
    <row r="16" spans="1:8" ht="20.100000000000001" customHeight="1" outlineLevel="1">
      <c r="A16" s="178" t="s">
        <v>404</v>
      </c>
      <c r="B16" s="177"/>
      <c r="C16" s="530" t="s">
        <v>403</v>
      </c>
      <c r="D16" s="951">
        <v>0</v>
      </c>
      <c r="E16" s="378">
        <v>0</v>
      </c>
      <c r="F16" s="191">
        <f>SUM(G16-E16)</f>
        <v>5000</v>
      </c>
      <c r="G16" s="389">
        <v>5000</v>
      </c>
      <c r="H16" s="157">
        <v>5000</v>
      </c>
    </row>
    <row r="17" spans="1:9" ht="20.100000000000001" customHeight="1" outlineLevel="1">
      <c r="A17" s="178" t="s">
        <v>402</v>
      </c>
      <c r="B17" s="177"/>
      <c r="C17" s="530" t="s">
        <v>401</v>
      </c>
      <c r="D17" s="951">
        <v>0</v>
      </c>
      <c r="E17" s="378">
        <v>0</v>
      </c>
      <c r="F17" s="191">
        <f>SUM(G17-E17)</f>
        <v>10000</v>
      </c>
      <c r="G17" s="389">
        <v>10000</v>
      </c>
      <c r="H17" s="157">
        <v>10000</v>
      </c>
    </row>
    <row r="18" spans="1:9" ht="20.100000000000001" customHeight="1" outlineLevel="1">
      <c r="A18" s="519" t="s">
        <v>1403</v>
      </c>
      <c r="B18" s="518"/>
      <c r="C18" s="996" t="s">
        <v>1402</v>
      </c>
      <c r="D18" s="951">
        <v>229425</v>
      </c>
      <c r="E18" s="378">
        <v>0</v>
      </c>
      <c r="F18" s="191">
        <f>SUM(G18-E18)</f>
        <v>200000</v>
      </c>
      <c r="G18" s="389">
        <v>200000</v>
      </c>
      <c r="H18" s="157">
        <v>200000</v>
      </c>
    </row>
    <row r="19" spans="1:9" ht="20.100000000000001" customHeight="1" outlineLevel="1">
      <c r="A19" s="176" t="s">
        <v>368</v>
      </c>
      <c r="B19" s="175"/>
      <c r="C19" s="996" t="s">
        <v>367</v>
      </c>
      <c r="D19" s="951">
        <v>0</v>
      </c>
      <c r="E19" s="378">
        <v>0</v>
      </c>
      <c r="F19" s="191">
        <f>SUM(G19-E19)</f>
        <v>60000</v>
      </c>
      <c r="G19" s="389">
        <v>60000</v>
      </c>
      <c r="H19" s="157">
        <v>60000</v>
      </c>
    </row>
    <row r="20" spans="1:9" ht="20.100000000000001" customHeight="1" outlineLevel="1">
      <c r="A20" s="519"/>
      <c r="B20" s="518"/>
      <c r="C20" s="530"/>
      <c r="D20" s="951"/>
      <c r="E20" s="378"/>
      <c r="F20" s="191"/>
      <c r="G20" s="389"/>
      <c r="H20" s="157"/>
    </row>
    <row r="21" spans="1:9" ht="20.100000000000001" customHeight="1" outlineLevel="1">
      <c r="A21" s="1736"/>
      <c r="B21" s="1735"/>
      <c r="C21" s="530"/>
      <c r="D21" s="951"/>
      <c r="E21" s="378"/>
      <c r="F21" s="191"/>
      <c r="G21" s="389"/>
      <c r="H21" s="157"/>
    </row>
    <row r="22" spans="1:9" ht="20.100000000000001" customHeight="1" outlineLevel="1">
      <c r="A22" s="519"/>
      <c r="B22" s="518"/>
      <c r="C22" s="530"/>
      <c r="D22" s="951"/>
      <c r="E22" s="378"/>
      <c r="F22" s="191"/>
      <c r="G22" s="389"/>
      <c r="H22" s="157"/>
    </row>
    <row r="23" spans="1:9" ht="20.100000000000001" customHeight="1" outlineLevel="1">
      <c r="A23" s="519"/>
      <c r="B23" s="518"/>
      <c r="C23" s="1734"/>
      <c r="D23" s="951"/>
      <c r="E23" s="378"/>
      <c r="F23" s="191"/>
      <c r="G23" s="389"/>
      <c r="H23" s="157"/>
    </row>
    <row r="24" spans="1:9" ht="20.100000000000001" customHeight="1" outlineLevel="1">
      <c r="A24" s="517"/>
      <c r="B24" s="516"/>
      <c r="C24" s="1734"/>
      <c r="D24" s="951"/>
      <c r="E24" s="378"/>
      <c r="F24" s="191"/>
      <c r="G24" s="389"/>
      <c r="H24" s="157"/>
    </row>
    <row r="25" spans="1:9" s="344" customFormat="1" ht="20.100000000000001" customHeight="1" outlineLevel="1">
      <c r="A25" s="512"/>
      <c r="B25" s="973"/>
      <c r="C25" s="972"/>
      <c r="D25" s="951"/>
      <c r="E25" s="378"/>
      <c r="F25" s="191"/>
      <c r="G25" s="389"/>
      <c r="H25" s="157"/>
    </row>
    <row r="26" spans="1:9" s="344" customFormat="1" ht="20.100000000000001" customHeight="1" outlineLevel="1">
      <c r="A26" s="512"/>
      <c r="B26" s="511"/>
      <c r="C26" s="971"/>
      <c r="D26" s="951"/>
      <c r="E26" s="378"/>
      <c r="F26" s="191"/>
      <c r="G26" s="389"/>
      <c r="H26" s="157"/>
    </row>
    <row r="27" spans="1:9" s="344" customFormat="1" ht="20.100000000000001" customHeight="1" outlineLevel="1">
      <c r="A27" s="508"/>
      <c r="B27" s="507"/>
      <c r="C27" s="970"/>
      <c r="D27" s="969"/>
      <c r="E27" s="968"/>
      <c r="F27" s="967"/>
      <c r="G27" s="966"/>
      <c r="H27" s="149"/>
    </row>
    <row r="28" spans="1:9" s="344" customFormat="1" ht="20.100000000000001" customHeight="1" outlineLevel="1" thickBot="1">
      <c r="A28" s="732" t="s">
        <v>366</v>
      </c>
      <c r="B28" s="731"/>
      <c r="C28" s="1016"/>
      <c r="D28" s="456">
        <f>SUM(D14)</f>
        <v>229425</v>
      </c>
      <c r="E28" s="456">
        <f>SUM(E14)</f>
        <v>0</v>
      </c>
      <c r="F28" s="456">
        <f>SUM(F14)</f>
        <v>280000</v>
      </c>
      <c r="G28" s="456">
        <f>SUM(G14)</f>
        <v>280000</v>
      </c>
      <c r="H28" s="455">
        <f>SUM(H14)</f>
        <v>280000</v>
      </c>
      <c r="I28" s="340" t="s">
        <v>960</v>
      </c>
    </row>
    <row r="29" spans="1:9" ht="12" customHeight="1" outlineLevel="1" thickTop="1"/>
    <row r="30" spans="1:9" ht="14.45" customHeight="1">
      <c r="A30" s="134" t="s">
        <v>364</v>
      </c>
      <c r="C30" s="141" t="s">
        <v>363</v>
      </c>
      <c r="E30" s="4631" t="s">
        <v>1397</v>
      </c>
      <c r="F30" s="4631"/>
      <c r="G30" s="134"/>
    </row>
    <row r="31" spans="1:9" ht="18" customHeight="1">
      <c r="B31" s="134"/>
      <c r="C31" s="141"/>
      <c r="D31" s="134"/>
      <c r="E31" s="134"/>
      <c r="F31" s="134"/>
      <c r="G31" s="134"/>
    </row>
    <row r="32" spans="1:9" s="134" customFormat="1" ht="12" customHeight="1">
      <c r="A32" s="139" t="s">
        <v>1383</v>
      </c>
      <c r="B32" s="139"/>
      <c r="C32" s="4635" t="s">
        <v>360</v>
      </c>
      <c r="D32" s="4635"/>
      <c r="E32" s="4630" t="s">
        <v>359</v>
      </c>
      <c r="F32" s="4630"/>
      <c r="G32" s="4630"/>
      <c r="H32" s="4630"/>
    </row>
    <row r="33" spans="1:9" s="135" customFormat="1" ht="13.5">
      <c r="A33" s="1706" t="s">
        <v>1382</v>
      </c>
      <c r="B33" s="1705"/>
      <c r="C33" s="4621" t="s">
        <v>357</v>
      </c>
      <c r="D33" s="4621"/>
      <c r="E33" s="4623" t="s">
        <v>356</v>
      </c>
      <c r="F33" s="4623"/>
      <c r="G33" s="4623"/>
      <c r="H33" s="4623"/>
      <c r="I33" s="136"/>
    </row>
    <row r="34" spans="1:9" s="135" customFormat="1" ht="13.5">
      <c r="A34" s="4645"/>
      <c r="B34" s="4645"/>
      <c r="C34" s="4621"/>
      <c r="D34" s="4621"/>
      <c r="E34" s="137"/>
      <c r="F34" s="137"/>
      <c r="G34" s="137"/>
      <c r="H34" s="137"/>
      <c r="I34" s="136"/>
    </row>
  </sheetData>
  <mergeCells count="11">
    <mergeCell ref="A3:H3"/>
    <mergeCell ref="A4:H4"/>
    <mergeCell ref="E10:G10"/>
    <mergeCell ref="E30:F30"/>
    <mergeCell ref="C32:D32"/>
    <mergeCell ref="E32:H32"/>
    <mergeCell ref="C34:D34"/>
    <mergeCell ref="C33:D33"/>
    <mergeCell ref="E33:H33"/>
    <mergeCell ref="A34:B34"/>
    <mergeCell ref="A10:B12"/>
  </mergeCells>
  <pageMargins left="0.5" right="0" top="0.25" bottom="0" header="0.5" footer="0"/>
  <pageSetup paperSize="5" orientation="portrait"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L320"/>
  <sheetViews>
    <sheetView showGridLines="0" showOutlineSymbols="0" topLeftCell="E1" zoomScaleNormal="100" workbookViewId="0">
      <selection activeCell="G6" sqref="G6:H6"/>
    </sheetView>
  </sheetViews>
  <sheetFormatPr defaultColWidth="12.5703125" defaultRowHeight="12.75" outlineLevelRow="2" outlineLevelCol="2"/>
  <cols>
    <col min="1" max="2" width="10.7109375" style="1" customWidth="1"/>
    <col min="3" max="3" width="31.140625" style="1" customWidth="1"/>
    <col min="4" max="4" width="30" style="1" customWidth="1"/>
    <col min="5" max="5" width="10.7109375" style="4" customWidth="1"/>
    <col min="6" max="6" width="15.7109375" style="1" customWidth="1" outlineLevel="1"/>
    <col min="7" max="7" width="10.7109375" style="1" customWidth="1" outlineLevel="1"/>
    <col min="8" max="9" width="15.7109375" style="1" customWidth="1" outlineLevel="1"/>
    <col min="10" max="10" width="10.140625" style="3" hidden="1" customWidth="1" outlineLevel="1"/>
    <col min="11" max="11" width="12.5703125" style="3" hidden="1" customWidth="1" outlineLevel="1"/>
    <col min="12" max="13" width="0" style="1" hidden="1" customWidth="1"/>
    <col min="14" max="14" width="2.5703125" style="1" hidden="1" customWidth="1"/>
    <col min="15" max="16" width="0" style="1" hidden="1" customWidth="1"/>
    <col min="17" max="17" width="1.7109375" style="1" hidden="1" customWidth="1"/>
    <col min="18" max="26" width="0" style="1" hidden="1" customWidth="1"/>
    <col min="27" max="103" width="12.5703125" style="1"/>
    <col min="104" max="107" width="12.5703125" style="1" outlineLevel="1"/>
    <col min="108" max="113" width="12.5703125" style="1" outlineLevel="2"/>
    <col min="114" max="116" width="12.5703125" style="1" outlineLevel="1"/>
    <col min="117" max="16384" width="12.5703125" style="1"/>
  </cols>
  <sheetData>
    <row r="1" spans="1:18">
      <c r="G1" s="133" t="s">
        <v>355</v>
      </c>
    </row>
    <row r="2" spans="1:18" ht="12.75" customHeight="1">
      <c r="G2" s="132" t="s">
        <v>354</v>
      </c>
    </row>
    <row r="3" spans="1:18" ht="15" customHeight="1">
      <c r="A3" s="4615" t="s">
        <v>353</v>
      </c>
      <c r="B3" s="4615"/>
      <c r="C3" s="4615"/>
      <c r="D3" s="4615"/>
      <c r="E3" s="4615"/>
      <c r="F3" s="4615"/>
      <c r="G3" s="4615"/>
      <c r="H3" s="4615"/>
      <c r="I3" s="4615"/>
      <c r="J3" s="131"/>
      <c r="K3" s="131"/>
    </row>
    <row r="4" spans="1:18" s="3" customFormat="1" ht="16.5" customHeight="1">
      <c r="A4" s="4616" t="s">
        <v>352</v>
      </c>
      <c r="B4" s="4616"/>
      <c r="C4" s="4616"/>
      <c r="D4" s="4616"/>
      <c r="E4" s="4616"/>
      <c r="F4" s="4616"/>
      <c r="G4" s="4616"/>
      <c r="H4" s="4616"/>
      <c r="I4" s="4616"/>
      <c r="J4" s="130"/>
      <c r="K4" s="130"/>
    </row>
    <row r="5" spans="1:18" ht="13.5" customHeight="1">
      <c r="A5" s="4617" t="s">
        <v>351</v>
      </c>
      <c r="B5" s="4617"/>
      <c r="C5" s="4617"/>
      <c r="D5" s="4617"/>
      <c r="E5" s="4617"/>
      <c r="F5" s="4617"/>
      <c r="G5" s="4617"/>
      <c r="H5" s="4617"/>
      <c r="I5" s="4617"/>
      <c r="J5" s="129"/>
      <c r="K5" s="129"/>
    </row>
    <row r="6" spans="1:18" ht="13.9" customHeight="1">
      <c r="A6" s="332" t="s">
        <v>350</v>
      </c>
      <c r="B6" s="333" t="s">
        <v>1438</v>
      </c>
      <c r="D6" s="279"/>
      <c r="G6" s="4618"/>
      <c r="H6" s="4618"/>
      <c r="I6" s="332"/>
      <c r="J6" s="4618" t="s">
        <v>457</v>
      </c>
      <c r="K6" s="4618"/>
    </row>
    <row r="7" spans="1:18" ht="12" customHeight="1">
      <c r="A7" s="123"/>
      <c r="B7" s="125"/>
      <c r="C7" s="124"/>
      <c r="D7" s="123"/>
      <c r="E7" s="4619" t="s">
        <v>348</v>
      </c>
      <c r="F7" s="4620"/>
      <c r="G7" s="4619" t="s">
        <v>347</v>
      </c>
      <c r="H7" s="4620"/>
      <c r="I7" s="115"/>
      <c r="J7" s="4607" t="s">
        <v>347</v>
      </c>
      <c r="K7" s="4608"/>
    </row>
    <row r="8" spans="1:18" ht="12" customHeight="1">
      <c r="A8" s="122"/>
      <c r="B8" s="121"/>
      <c r="C8" s="120"/>
      <c r="D8" s="119"/>
      <c r="E8" s="4604" t="s">
        <v>346</v>
      </c>
      <c r="F8" s="4605"/>
      <c r="G8" s="4604" t="s">
        <v>345</v>
      </c>
      <c r="H8" s="4605"/>
      <c r="I8" s="114"/>
      <c r="J8" s="4609" t="s">
        <v>345</v>
      </c>
      <c r="K8" s="4610"/>
    </row>
    <row r="9" spans="1:18" ht="12" customHeight="1">
      <c r="A9" s="122"/>
      <c r="B9" s="121"/>
      <c r="C9" s="120"/>
      <c r="D9" s="119"/>
      <c r="E9" s="4604" t="s">
        <v>344</v>
      </c>
      <c r="F9" s="4605"/>
      <c r="G9" s="4604" t="s">
        <v>344</v>
      </c>
      <c r="H9" s="4605"/>
      <c r="I9" s="114"/>
      <c r="J9" s="4609" t="s">
        <v>344</v>
      </c>
      <c r="K9" s="4610"/>
    </row>
    <row r="10" spans="1:18" ht="12" customHeight="1">
      <c r="A10" s="4604" t="s">
        <v>343</v>
      </c>
      <c r="B10" s="4605"/>
      <c r="C10" s="114" t="s">
        <v>342</v>
      </c>
      <c r="D10" s="112" t="s">
        <v>341</v>
      </c>
      <c r="E10" s="113" t="s">
        <v>339</v>
      </c>
      <c r="F10" s="118"/>
      <c r="G10" s="113" t="s">
        <v>339</v>
      </c>
      <c r="H10" s="118"/>
      <c r="I10" s="114" t="s">
        <v>340</v>
      </c>
      <c r="J10" s="110" t="s">
        <v>339</v>
      </c>
      <c r="K10" s="117"/>
      <c r="L10" s="4612" t="s">
        <v>338</v>
      </c>
      <c r="M10" s="4613"/>
      <c r="N10" s="41"/>
      <c r="O10" s="4612" t="s">
        <v>338</v>
      </c>
      <c r="P10" s="4613"/>
    </row>
    <row r="11" spans="1:18" ht="12" customHeight="1">
      <c r="A11" s="116" t="s">
        <v>337</v>
      </c>
      <c r="B11" s="115" t="s">
        <v>336</v>
      </c>
      <c r="C11" s="114"/>
      <c r="D11" s="112"/>
      <c r="E11" s="113" t="s">
        <v>334</v>
      </c>
      <c r="F11" s="112" t="s">
        <v>333</v>
      </c>
      <c r="G11" s="113" t="s">
        <v>334</v>
      </c>
      <c r="H11" s="112" t="s">
        <v>333</v>
      </c>
      <c r="I11" s="111" t="s">
        <v>335</v>
      </c>
      <c r="J11" s="110" t="s">
        <v>334</v>
      </c>
      <c r="K11" s="109" t="s">
        <v>333</v>
      </c>
      <c r="L11" s="4611" t="s">
        <v>332</v>
      </c>
      <c r="M11" s="4611"/>
      <c r="N11" s="108"/>
    </row>
    <row r="12" spans="1:18" s="99" customFormat="1" ht="12" customHeight="1">
      <c r="A12" s="107" t="s">
        <v>331</v>
      </c>
      <c r="B12" s="106" t="s">
        <v>330</v>
      </c>
      <c r="C12" s="106" t="s">
        <v>329</v>
      </c>
      <c r="D12" s="105" t="s">
        <v>328</v>
      </c>
      <c r="E12" s="105" t="s">
        <v>327</v>
      </c>
      <c r="F12" s="106" t="s">
        <v>326</v>
      </c>
      <c r="G12" s="105" t="s">
        <v>324</v>
      </c>
      <c r="H12" s="329" t="s">
        <v>323</v>
      </c>
      <c r="I12" s="329" t="s">
        <v>325</v>
      </c>
      <c r="J12" s="104" t="s">
        <v>324</v>
      </c>
      <c r="K12" s="328" t="s">
        <v>323</v>
      </c>
      <c r="L12" s="101" t="s">
        <v>322</v>
      </c>
      <c r="M12" s="100" t="s">
        <v>321</v>
      </c>
      <c r="N12" s="102"/>
      <c r="O12" s="101" t="s">
        <v>322</v>
      </c>
      <c r="P12" s="100" t="s">
        <v>321</v>
      </c>
    </row>
    <row r="13" spans="1:18" ht="12" customHeight="1" outlineLevel="1">
      <c r="A13" s="326" t="s">
        <v>320</v>
      </c>
      <c r="B13" s="326" t="s">
        <v>320</v>
      </c>
      <c r="C13" s="1759" t="s">
        <v>1437</v>
      </c>
      <c r="D13" s="1764" t="s">
        <v>1436</v>
      </c>
      <c r="E13" s="1765" t="s">
        <v>43</v>
      </c>
      <c r="F13" s="322">
        <v>1202724</v>
      </c>
      <c r="G13" s="1765" t="s">
        <v>43</v>
      </c>
      <c r="H13" s="322">
        <f>IF(G13="ABOLISHED",0, (VLOOKUP(G13,$A$52:$C291,3,FALSE)*12))</f>
        <v>1202724</v>
      </c>
      <c r="I13" s="1767">
        <f>SUM(H13-F13)</f>
        <v>0</v>
      </c>
      <c r="J13" s="1765" t="s">
        <v>43</v>
      </c>
      <c r="K13" s="322">
        <f>IF(J13="ABOLISHED",0, (VLOOKUP(J13,$A$52:$C291,3,FALSE)*12))</f>
        <v>1202724</v>
      </c>
      <c r="L13" s="3">
        <f>SUM(H13/12)</f>
        <v>100227</v>
      </c>
      <c r="M13" s="80">
        <f>IF(L13&gt;=80000,1600,SUM(L13*4%)/2)</f>
        <v>1600</v>
      </c>
      <c r="O13" s="3">
        <f>K13/12</f>
        <v>100227</v>
      </c>
      <c r="P13" s="80">
        <f>IF(O13&gt;=80000,1600,SUM(O13*4%)/2)</f>
        <v>1600</v>
      </c>
      <c r="R13" s="1">
        <f>O13-L13</f>
        <v>0</v>
      </c>
    </row>
    <row r="14" spans="1:18" s="3" customFormat="1" ht="12" customHeight="1" outlineLevel="1">
      <c r="A14" s="307"/>
      <c r="B14" s="307"/>
      <c r="C14" s="1766" t="s">
        <v>1435</v>
      </c>
      <c r="D14" s="1748"/>
      <c r="E14" s="1757"/>
      <c r="F14" s="67" t="s">
        <v>256</v>
      </c>
      <c r="G14" s="1757"/>
      <c r="H14" s="67" t="s">
        <v>256</v>
      </c>
      <c r="I14" s="68"/>
      <c r="J14" s="1757"/>
      <c r="K14" s="67" t="s">
        <v>256</v>
      </c>
      <c r="M14" s="2" t="s">
        <v>256</v>
      </c>
      <c r="P14" s="2" t="s">
        <v>256</v>
      </c>
    </row>
    <row r="15" spans="1:18" s="3" customFormat="1" ht="12" customHeight="1" outlineLevel="1">
      <c r="A15" s="293" t="s">
        <v>314</v>
      </c>
      <c r="B15" s="293" t="s">
        <v>314</v>
      </c>
      <c r="C15" s="1759" t="s">
        <v>1434</v>
      </c>
      <c r="D15" s="1764" t="s">
        <v>1433</v>
      </c>
      <c r="E15" s="1765" t="s">
        <v>69</v>
      </c>
      <c r="F15" s="67">
        <v>804444</v>
      </c>
      <c r="G15" s="1765" t="s">
        <v>69</v>
      </c>
      <c r="H15" s="67">
        <f>IF(G15="ABOLISHED",0, (VLOOKUP(G15,$A$52:$C293,3,FALSE)*12))</f>
        <v>804444</v>
      </c>
      <c r="I15" s="1751">
        <f>SUM(H15-F15)</f>
        <v>0</v>
      </c>
      <c r="J15" s="1765" t="s">
        <v>69</v>
      </c>
      <c r="K15" s="67">
        <f>IF(J15="ABOLISHED",0, (VLOOKUP(J15,$A$52:$C293,3,FALSE)*12))</f>
        <v>804444</v>
      </c>
      <c r="L15" s="3">
        <f>SUM(H15/12)</f>
        <v>67037</v>
      </c>
      <c r="M15" s="80">
        <f>IF(L15&gt;=80000,1600,SUM(L15*4%)/2)</f>
        <v>1340.74</v>
      </c>
      <c r="O15" s="3">
        <f>K15/12</f>
        <v>67037</v>
      </c>
      <c r="P15" s="80">
        <f>IF(O15&gt;=80000,1600,SUM(O15*4%)/2)</f>
        <v>1340.74</v>
      </c>
      <c r="R15" s="1">
        <f>O15-L15</f>
        <v>0</v>
      </c>
    </row>
    <row r="16" spans="1:18" s="3" customFormat="1" ht="12" customHeight="1" outlineLevel="2">
      <c r="A16" s="307" t="s">
        <v>301</v>
      </c>
      <c r="B16" s="307" t="s">
        <v>301</v>
      </c>
      <c r="C16" s="1749" t="s">
        <v>246</v>
      </c>
      <c r="D16" s="1760" t="s">
        <v>1432</v>
      </c>
      <c r="E16" s="1758" t="s">
        <v>230</v>
      </c>
      <c r="F16" s="67">
        <v>146928</v>
      </c>
      <c r="G16" s="1758" t="s">
        <v>230</v>
      </c>
      <c r="H16" s="67">
        <f>IF(G16="ABOLISHED",0, (VLOOKUP(G16,$A$52:$C301,3,FALSE)*12))</f>
        <v>146928</v>
      </c>
      <c r="I16" s="1751">
        <f>SUM(H16-F16)</f>
        <v>0</v>
      </c>
      <c r="J16" s="1758" t="s">
        <v>230</v>
      </c>
      <c r="K16" s="67">
        <f>IF(J16="ABOLISHED",0, (VLOOKUP(J16,$A$52:$C301,3,FALSE)*12))</f>
        <v>146928</v>
      </c>
      <c r="L16" s="3">
        <f>SUM(H16/12)</f>
        <v>12244</v>
      </c>
      <c r="M16" s="80">
        <f>IF(L16&gt;=80000,1600,SUM(L16*4%)/2)</f>
        <v>244.88</v>
      </c>
      <c r="O16" s="3">
        <f>K16/12</f>
        <v>12244</v>
      </c>
      <c r="P16" s="80">
        <f>IF(O16&gt;=80000,1600,SUM(O16*4%)/2)</f>
        <v>244.88</v>
      </c>
      <c r="R16" s="1">
        <f>O16-L16</f>
        <v>0</v>
      </c>
    </row>
    <row r="17" spans="1:18" s="1752" customFormat="1" ht="12" customHeight="1" outlineLevel="1">
      <c r="A17" s="1756"/>
      <c r="B17" s="1756"/>
      <c r="C17" s="1755" t="s">
        <v>1431</v>
      </c>
      <c r="D17" s="1755"/>
      <c r="E17" s="1753"/>
      <c r="F17" s="67" t="s">
        <v>256</v>
      </c>
      <c r="G17" s="1753"/>
      <c r="H17" s="67" t="s">
        <v>256</v>
      </c>
      <c r="I17" s="1754"/>
      <c r="J17" s="1753"/>
      <c r="K17" s="67" t="s">
        <v>256</v>
      </c>
      <c r="M17" s="2" t="s">
        <v>256</v>
      </c>
      <c r="P17" s="2" t="s">
        <v>256</v>
      </c>
      <c r="R17" s="1"/>
    </row>
    <row r="18" spans="1:18" s="3" customFormat="1" ht="12" customHeight="1" outlineLevel="1">
      <c r="A18" s="293" t="s">
        <v>311</v>
      </c>
      <c r="B18" s="293" t="s">
        <v>311</v>
      </c>
      <c r="C18" s="1759" t="s">
        <v>512</v>
      </c>
      <c r="D18" s="1760" t="s">
        <v>245</v>
      </c>
      <c r="E18" s="1765" t="s">
        <v>159</v>
      </c>
      <c r="F18" s="67">
        <v>272196</v>
      </c>
      <c r="G18" s="1765" t="s">
        <v>159</v>
      </c>
      <c r="H18" s="67">
        <f>IF(G18="ABOLISHED",0, (VLOOKUP(G18,$A$52:$C295,3,FALSE)*12))</f>
        <v>272196</v>
      </c>
      <c r="I18" s="1751">
        <f>SUM(H18-F18)</f>
        <v>0</v>
      </c>
      <c r="J18" s="1765" t="s">
        <v>159</v>
      </c>
      <c r="K18" s="67">
        <f>IF(J18="ABOLISHED",0, (VLOOKUP(J18,$A$52:$C295,3,FALSE)*12))</f>
        <v>272196</v>
      </c>
      <c r="L18" s="3">
        <f>SUM(H18/12)</f>
        <v>22683</v>
      </c>
      <c r="M18" s="80">
        <f>IF(L18&gt;=80000,1600,SUM(L18*4%)/2)</f>
        <v>453.66</v>
      </c>
      <c r="O18" s="3">
        <f>K18/12</f>
        <v>22683</v>
      </c>
      <c r="P18" s="80">
        <f>IF(O18&gt;=80000,1600,SUM(O18*4%)/2)</f>
        <v>453.66</v>
      </c>
      <c r="R18" s="1">
        <f>O18-L18</f>
        <v>0</v>
      </c>
    </row>
    <row r="19" spans="1:18" s="3" customFormat="1" ht="12" customHeight="1" outlineLevel="1">
      <c r="A19" s="293" t="s">
        <v>304</v>
      </c>
      <c r="B19" s="293" t="s">
        <v>304</v>
      </c>
      <c r="C19" s="1759" t="s">
        <v>1037</v>
      </c>
      <c r="D19" s="1748" t="s">
        <v>1430</v>
      </c>
      <c r="E19" s="1758" t="s">
        <v>222</v>
      </c>
      <c r="F19" s="67">
        <v>155916</v>
      </c>
      <c r="G19" s="1758" t="s">
        <v>222</v>
      </c>
      <c r="H19" s="67">
        <f>IF(G19="ABOLISHED",0, (VLOOKUP(G19,$A$52:$C297,3,FALSE)*12))</f>
        <v>155916</v>
      </c>
      <c r="I19" s="1751">
        <f>SUM(H19-F19)</f>
        <v>0</v>
      </c>
      <c r="J19" s="1758" t="s">
        <v>222</v>
      </c>
      <c r="K19" s="67">
        <f>IF(J19="ABOLISHED",0, (VLOOKUP(J19,$A$52:$C297,3,FALSE)*12))</f>
        <v>155916</v>
      </c>
      <c r="L19" s="3">
        <f>SUM(H19/12)</f>
        <v>12993</v>
      </c>
      <c r="M19" s="80">
        <f>IF(L19&gt;=80000,1600,SUM(L19*4%)/2)</f>
        <v>259.86</v>
      </c>
      <c r="O19" s="3">
        <f>K19/12</f>
        <v>12993</v>
      </c>
      <c r="P19" s="80">
        <f>IF(O19&gt;=80000,1600,SUM(O19*4%)/2)</f>
        <v>259.86</v>
      </c>
      <c r="R19" s="1">
        <f>O19-L19</f>
        <v>0</v>
      </c>
    </row>
    <row r="20" spans="1:18" s="3" customFormat="1" ht="12" customHeight="1" outlineLevel="2">
      <c r="A20" s="293" t="s">
        <v>308</v>
      </c>
      <c r="B20" s="293" t="s">
        <v>308</v>
      </c>
      <c r="C20" s="1749" t="s">
        <v>246</v>
      </c>
      <c r="D20" s="1748" t="s">
        <v>1429</v>
      </c>
      <c r="E20" s="1750" t="s">
        <v>230</v>
      </c>
      <c r="F20" s="67">
        <v>146928</v>
      </c>
      <c r="G20" s="1750" t="s">
        <v>229</v>
      </c>
      <c r="H20" s="67">
        <f>IF(G20="ABOLISHED",0, (VLOOKUP(G20,$A$52:$C298,3,FALSE)*12))</f>
        <v>148056</v>
      </c>
      <c r="I20" s="1751">
        <f>SUM(H20-F20)</f>
        <v>1128</v>
      </c>
      <c r="J20" s="1750" t="s">
        <v>229</v>
      </c>
      <c r="K20" s="67">
        <f>IF(J20="ABOLISHED",0, (VLOOKUP(J20,$A$52:$C298,3,FALSE)*12))</f>
        <v>148056</v>
      </c>
      <c r="L20" s="3">
        <f>SUM(H20/12)</f>
        <v>12338</v>
      </c>
      <c r="M20" s="80">
        <f>IF(L20&gt;=80000,1600,SUM(L20*4%)/2)</f>
        <v>246.76000000000002</v>
      </c>
      <c r="O20" s="3">
        <f>K20/12</f>
        <v>12338</v>
      </c>
      <c r="P20" s="80">
        <f>IF(O20&gt;=80000,1600,SUM(O20*4%)/2)</f>
        <v>246.76000000000002</v>
      </c>
      <c r="R20" s="1">
        <f>O20-L20</f>
        <v>0</v>
      </c>
    </row>
    <row r="21" spans="1:18" s="1752" customFormat="1" ht="12" customHeight="1" outlineLevel="1">
      <c r="A21" s="1756"/>
      <c r="B21" s="1756"/>
      <c r="C21" s="1755" t="s">
        <v>1428</v>
      </c>
      <c r="D21" s="1755"/>
      <c r="E21" s="1753"/>
      <c r="F21" s="67" t="s">
        <v>256</v>
      </c>
      <c r="G21" s="1753"/>
      <c r="H21" s="67" t="s">
        <v>256</v>
      </c>
      <c r="I21" s="1754"/>
      <c r="J21" s="1753"/>
      <c r="K21" s="67" t="s">
        <v>256</v>
      </c>
      <c r="M21" s="2" t="s">
        <v>256</v>
      </c>
      <c r="P21" s="2" t="s">
        <v>256</v>
      </c>
      <c r="R21" s="1"/>
    </row>
    <row r="22" spans="1:18" s="3" customFormat="1" ht="12" customHeight="1" outlineLevel="1">
      <c r="A22" s="293" t="s">
        <v>307</v>
      </c>
      <c r="B22" s="293" t="s">
        <v>307</v>
      </c>
      <c r="C22" s="1759" t="s">
        <v>1426</v>
      </c>
      <c r="D22" s="1760" t="s">
        <v>1427</v>
      </c>
      <c r="E22" s="1750" t="s">
        <v>163</v>
      </c>
      <c r="F22" s="67">
        <v>249924</v>
      </c>
      <c r="G22" s="1750" t="s">
        <v>163</v>
      </c>
      <c r="H22" s="67">
        <f>IF(G22="ABOLISHED",0, (VLOOKUP(G22,$A$52:$C296,3,FALSE)*12))</f>
        <v>249924</v>
      </c>
      <c r="I22" s="1751">
        <f>SUM(H22-F22)</f>
        <v>0</v>
      </c>
      <c r="J22" s="1750" t="s">
        <v>163</v>
      </c>
      <c r="K22" s="67">
        <f>IF(J22="ABOLISHED",0, (VLOOKUP(J22,$A$52:$C296,3,FALSE)*12))</f>
        <v>249924</v>
      </c>
      <c r="L22" s="3">
        <f>SUM(H22/12)</f>
        <v>20827</v>
      </c>
      <c r="M22" s="80">
        <f>IF(L22&gt;=80000,1600,SUM(L22*4%)/2)</f>
        <v>416.54</v>
      </c>
      <c r="O22" s="3">
        <f>K22/12</f>
        <v>20827</v>
      </c>
      <c r="P22" s="80">
        <f>IF(O22&gt;=80000,1600,SUM(O22*4%)/2)</f>
        <v>416.54</v>
      </c>
      <c r="R22" s="1">
        <f>O22-L22</f>
        <v>0</v>
      </c>
    </row>
    <row r="23" spans="1:18" s="3" customFormat="1" ht="12" customHeight="1" outlineLevel="1">
      <c r="A23" s="293" t="s">
        <v>294</v>
      </c>
      <c r="B23" s="293" t="s">
        <v>294</v>
      </c>
      <c r="C23" s="1759" t="s">
        <v>1426</v>
      </c>
      <c r="D23" s="1760" t="s">
        <v>1425</v>
      </c>
      <c r="E23" s="1757" t="s">
        <v>166</v>
      </c>
      <c r="F23" s="67">
        <v>243756</v>
      </c>
      <c r="G23" s="1757" t="s">
        <v>165</v>
      </c>
      <c r="H23" s="67">
        <f>IF(G23="ABOLISHED",0, (VLOOKUP(G23,$A$52:$C300,3,FALSE)*12))</f>
        <v>245796</v>
      </c>
      <c r="I23" s="1751">
        <f>SUM(H23-F23)</f>
        <v>2040</v>
      </c>
      <c r="J23" s="1757" t="s">
        <v>165</v>
      </c>
      <c r="K23" s="67">
        <f>IF(J23="ABOLISHED",0, (VLOOKUP(J23,$A$52:$C300,3,FALSE)*12))</f>
        <v>245796</v>
      </c>
      <c r="L23" s="3">
        <f>SUM(H23/12)</f>
        <v>20483</v>
      </c>
      <c r="M23" s="80">
        <f>IF(L23&gt;=80000,1600,SUM(L23*4%)/2)</f>
        <v>409.66</v>
      </c>
      <c r="O23" s="3">
        <f>K23/12</f>
        <v>20483</v>
      </c>
      <c r="P23" s="80">
        <f>IF(O23&gt;=80000,1600,SUM(O23*4%)/2)</f>
        <v>409.66</v>
      </c>
      <c r="R23" s="1">
        <f>O23-L23</f>
        <v>0</v>
      </c>
    </row>
    <row r="24" spans="1:18" s="3" customFormat="1" ht="12" customHeight="1" outlineLevel="1">
      <c r="A24" s="307"/>
      <c r="B24" s="307"/>
      <c r="C24" s="1761" t="s">
        <v>1424</v>
      </c>
      <c r="D24" s="1760"/>
      <c r="E24" s="1750"/>
      <c r="F24" s="67" t="s">
        <v>256</v>
      </c>
      <c r="G24" s="1750"/>
      <c r="H24" s="67" t="s">
        <v>256</v>
      </c>
      <c r="I24" s="1751"/>
      <c r="J24" s="1750"/>
      <c r="K24" s="67" t="s">
        <v>256</v>
      </c>
      <c r="M24" s="2" t="s">
        <v>256</v>
      </c>
      <c r="P24" s="2" t="s">
        <v>256</v>
      </c>
      <c r="R24" s="1"/>
    </row>
    <row r="25" spans="1:18" s="3" customFormat="1" ht="12" customHeight="1" outlineLevel="1">
      <c r="A25" s="307" t="s">
        <v>297</v>
      </c>
      <c r="B25" s="307" t="s">
        <v>297</v>
      </c>
      <c r="C25" s="1749" t="s">
        <v>1372</v>
      </c>
      <c r="D25" s="1760" t="s">
        <v>245</v>
      </c>
      <c r="E25" s="1750" t="s">
        <v>135</v>
      </c>
      <c r="F25" s="67">
        <v>351108</v>
      </c>
      <c r="G25" s="1750" t="s">
        <v>135</v>
      </c>
      <c r="H25" s="67">
        <f>IF(G25="ABOLISHED",0, (VLOOKUP(G25,$A$52:$C303,3,FALSE)*12))</f>
        <v>351108</v>
      </c>
      <c r="I25" s="1751">
        <f>SUM(H25-F25)</f>
        <v>0</v>
      </c>
      <c r="J25" s="1750" t="s">
        <v>135</v>
      </c>
      <c r="K25" s="67">
        <f>IF(J25="ABOLISHED",0, (VLOOKUP(J25,$A$52:$C303,3,FALSE)*12))</f>
        <v>351108</v>
      </c>
      <c r="L25" s="3">
        <f>SUM(H25/12)</f>
        <v>29259</v>
      </c>
      <c r="M25" s="80">
        <f>IF(L25&gt;=80000,1600,SUM(L25*4%)/2)</f>
        <v>585.18000000000006</v>
      </c>
      <c r="O25" s="3">
        <f>K25/12</f>
        <v>29259</v>
      </c>
      <c r="P25" s="80">
        <f>IF(O25&gt;=80000,1600,SUM(O25*4%)/2)</f>
        <v>585.18000000000006</v>
      </c>
      <c r="R25" s="1">
        <f>O25-L25</f>
        <v>0</v>
      </c>
    </row>
    <row r="26" spans="1:18" s="3" customFormat="1" ht="12" customHeight="1" outlineLevel="1">
      <c r="A26" s="307"/>
      <c r="B26" s="307"/>
      <c r="C26" s="1755" t="s">
        <v>1423</v>
      </c>
      <c r="D26" s="1760"/>
      <c r="E26" s="1750"/>
      <c r="F26" s="67"/>
      <c r="G26" s="1750"/>
      <c r="H26" s="67"/>
      <c r="I26" s="1751"/>
      <c r="J26" s="1750"/>
      <c r="K26" s="67"/>
      <c r="M26" s="2"/>
      <c r="P26" s="2"/>
      <c r="R26" s="1"/>
    </row>
    <row r="27" spans="1:18" s="3" customFormat="1" ht="12" customHeight="1" outlineLevel="1">
      <c r="A27" s="293" t="s">
        <v>290</v>
      </c>
      <c r="B27" s="293" t="s">
        <v>290</v>
      </c>
      <c r="C27" s="1759" t="s">
        <v>606</v>
      </c>
      <c r="D27" s="1764" t="s">
        <v>1422</v>
      </c>
      <c r="E27" s="1765" t="s">
        <v>164</v>
      </c>
      <c r="F27" s="67">
        <v>247848</v>
      </c>
      <c r="G27" s="1765" t="s">
        <v>164</v>
      </c>
      <c r="H27" s="67">
        <f>IF(G27="ABOLISHED",0, (VLOOKUP(G27,$A$52:$C304,3,FALSE)*12))</f>
        <v>247848</v>
      </c>
      <c r="I27" s="1751">
        <f>SUM(H27-F27)</f>
        <v>0</v>
      </c>
      <c r="J27" s="1765" t="s">
        <v>164</v>
      </c>
      <c r="K27" s="67">
        <f>IF(J27="ABOLISHED",0, (VLOOKUP(J27,$A$52:$C304,3,FALSE)*12))</f>
        <v>247848</v>
      </c>
      <c r="L27" s="3">
        <f>SUM(H27/12)</f>
        <v>20654</v>
      </c>
      <c r="M27" s="80">
        <f>IF(L27&gt;=80000,1600,SUM(L27*4%)/2)</f>
        <v>413.08</v>
      </c>
      <c r="O27" s="3">
        <f>K27/12</f>
        <v>20654</v>
      </c>
      <c r="P27" s="80">
        <f>IF(O27&gt;=80000,1600,SUM(O27*4%)/2)</f>
        <v>413.08</v>
      </c>
      <c r="R27" s="1">
        <f>O27-L27</f>
        <v>0</v>
      </c>
    </row>
    <row r="28" spans="1:18" s="1752" customFormat="1" ht="12" customHeight="1" outlineLevel="1">
      <c r="A28" s="1756"/>
      <c r="B28" s="1756"/>
      <c r="C28" s="1755" t="s">
        <v>1421</v>
      </c>
      <c r="D28" s="1755"/>
      <c r="E28" s="1753"/>
      <c r="F28" s="67" t="s">
        <v>256</v>
      </c>
      <c r="G28" s="1753"/>
      <c r="H28" s="67" t="s">
        <v>256</v>
      </c>
      <c r="I28" s="1754"/>
      <c r="J28" s="1753"/>
      <c r="K28" s="67" t="s">
        <v>256</v>
      </c>
      <c r="M28" s="2" t="s">
        <v>256</v>
      </c>
      <c r="P28" s="2" t="s">
        <v>256</v>
      </c>
      <c r="R28" s="1"/>
    </row>
    <row r="29" spans="1:18" s="3" customFormat="1" ht="12" customHeight="1" outlineLevel="1">
      <c r="A29" s="293" t="s">
        <v>286</v>
      </c>
      <c r="B29" s="293" t="s">
        <v>286</v>
      </c>
      <c r="C29" s="1759" t="s">
        <v>736</v>
      </c>
      <c r="D29" s="1764" t="s">
        <v>1420</v>
      </c>
      <c r="E29" s="1763" t="s">
        <v>173</v>
      </c>
      <c r="F29" s="67">
        <v>227112</v>
      </c>
      <c r="G29" s="1763" t="s">
        <v>173</v>
      </c>
      <c r="H29" s="67">
        <f>IF(G29="ABOLISHED",0, (VLOOKUP(G29,$A$52:$C306,3,FALSE)*12))</f>
        <v>227112</v>
      </c>
      <c r="I29" s="1751">
        <f>SUM(H29-F29)</f>
        <v>0</v>
      </c>
      <c r="J29" s="1763" t="s">
        <v>173</v>
      </c>
      <c r="K29" s="67">
        <f>IF(J29="ABOLISHED",0, (VLOOKUP(J29,$A$52:$C306,3,FALSE)*12))</f>
        <v>227112</v>
      </c>
      <c r="L29" s="3">
        <f>SUM(H29/12)</f>
        <v>18926</v>
      </c>
      <c r="M29" s="80">
        <f>IF(L29&gt;=80000,1600,SUM(L29*4%)/2)</f>
        <v>378.52</v>
      </c>
      <c r="O29" s="3">
        <f>K29/12</f>
        <v>18926</v>
      </c>
      <c r="P29" s="80">
        <f>IF(O29&gt;=80000,1600,SUM(O29*4%)/2)</f>
        <v>378.52</v>
      </c>
      <c r="R29" s="1">
        <f>O29-L29</f>
        <v>0</v>
      </c>
    </row>
    <row r="30" spans="1:18" s="3" customFormat="1" ht="12" customHeight="1" outlineLevel="1">
      <c r="A30" s="293" t="s">
        <v>283</v>
      </c>
      <c r="B30" s="293" t="s">
        <v>283</v>
      </c>
      <c r="C30" s="1749" t="s">
        <v>253</v>
      </c>
      <c r="D30" s="1748" t="s">
        <v>1419</v>
      </c>
      <c r="E30" s="1750" t="s">
        <v>190</v>
      </c>
      <c r="F30" s="67">
        <v>197340</v>
      </c>
      <c r="G30" s="1750" t="s">
        <v>189</v>
      </c>
      <c r="H30" s="67">
        <f>IF(G30="ABOLISHED",0, (VLOOKUP(G30,$A$52:$C307,3,FALSE)*12))</f>
        <v>198864</v>
      </c>
      <c r="I30" s="1751">
        <f>SUM(H30-F30)</f>
        <v>1524</v>
      </c>
      <c r="J30" s="1750" t="s">
        <v>189</v>
      </c>
      <c r="K30" s="67">
        <f>IF(J30="ABOLISHED",0, (VLOOKUP(J30,$A$52:$C307,3,FALSE)*12))</f>
        <v>198864</v>
      </c>
      <c r="L30" s="3">
        <f>SUM(H30/12)</f>
        <v>16572</v>
      </c>
      <c r="M30" s="80">
        <f>IF(L30&gt;=80000,1600,SUM(L30*4%)/2)</f>
        <v>331.44</v>
      </c>
      <c r="O30" s="3">
        <f>K30/12</f>
        <v>16572</v>
      </c>
      <c r="P30" s="80">
        <f>IF(O30&gt;=80000,1600,SUM(O30*4%)/2)</f>
        <v>331.44</v>
      </c>
      <c r="R30" s="1">
        <f>O30-L30</f>
        <v>0</v>
      </c>
    </row>
    <row r="31" spans="1:18" s="3" customFormat="1" ht="12" customHeight="1" outlineLevel="1">
      <c r="A31" s="293" t="s">
        <v>278</v>
      </c>
      <c r="B31" s="293" t="s">
        <v>278</v>
      </c>
      <c r="C31" s="1759" t="s">
        <v>1109</v>
      </c>
      <c r="D31" s="1748" t="s">
        <v>1418</v>
      </c>
      <c r="E31" s="1758" t="s">
        <v>214</v>
      </c>
      <c r="F31" s="67">
        <v>165420</v>
      </c>
      <c r="G31" s="1758" t="s">
        <v>214</v>
      </c>
      <c r="H31" s="67">
        <f>IF(G31="ABOLISHED",0, (VLOOKUP(G31,$A$52:$C312,3,FALSE)*12))</f>
        <v>165420</v>
      </c>
      <c r="I31" s="1751">
        <f>SUM(H31-F31)</f>
        <v>0</v>
      </c>
      <c r="J31" s="1758" t="s">
        <v>214</v>
      </c>
      <c r="K31" s="67">
        <f>IF(J31="ABOLISHED",0, (VLOOKUP(J31,$A$52:$C312,3,FALSE)*12))</f>
        <v>165420</v>
      </c>
      <c r="L31" s="3">
        <f>SUM(H31/12)</f>
        <v>13785</v>
      </c>
      <c r="M31" s="80">
        <f>IF(L31&gt;=80000,1600,SUM(L31*4%)/2)</f>
        <v>275.7</v>
      </c>
      <c r="O31" s="3">
        <f>K31/12</f>
        <v>13785</v>
      </c>
      <c r="P31" s="80">
        <f>IF(O31&gt;=80000,1600,SUM(O31*4%)/2)</f>
        <v>275.7</v>
      </c>
      <c r="R31" s="1">
        <f>O31-L31</f>
        <v>0</v>
      </c>
    </row>
    <row r="32" spans="1:18" s="3" customFormat="1" ht="12" customHeight="1" outlineLevel="1">
      <c r="A32" s="293" t="s">
        <v>275</v>
      </c>
      <c r="B32" s="293" t="s">
        <v>275</v>
      </c>
      <c r="C32" s="1762" t="s">
        <v>1037</v>
      </c>
      <c r="D32" s="1748" t="s">
        <v>1417</v>
      </c>
      <c r="E32" s="1750" t="s">
        <v>222</v>
      </c>
      <c r="F32" s="67">
        <v>155916</v>
      </c>
      <c r="G32" s="1758" t="s">
        <v>222</v>
      </c>
      <c r="H32" s="67">
        <f>IF(G32="ABOLISHED",0, (VLOOKUP(G32,$A$52:$C313,3,FALSE)*12))</f>
        <v>155916</v>
      </c>
      <c r="I32" s="1751">
        <f>SUM(H32-F32)</f>
        <v>0</v>
      </c>
      <c r="J32" s="1758" t="s">
        <v>222</v>
      </c>
      <c r="K32" s="67">
        <f>IF(J32="ABOLISHED",0, (VLOOKUP(J32,$A$52:$C313,3,FALSE)*12))</f>
        <v>155916</v>
      </c>
      <c r="L32" s="3">
        <f>SUM(H32/12)</f>
        <v>12993</v>
      </c>
      <c r="M32" s="80">
        <f>IF(L32&gt;=80000,1600,SUM(L32*4%)/2)</f>
        <v>259.86</v>
      </c>
      <c r="O32" s="3">
        <f>K32/12</f>
        <v>12993</v>
      </c>
      <c r="P32" s="80">
        <f>IF(O32&gt;=80000,1600,SUM(O32*4%)/2)</f>
        <v>259.86</v>
      </c>
      <c r="R32" s="1">
        <f>O32-L32</f>
        <v>0</v>
      </c>
    </row>
    <row r="33" spans="1:18" s="3" customFormat="1" ht="12" customHeight="1" outlineLevel="1">
      <c r="A33" s="293" t="s">
        <v>272</v>
      </c>
      <c r="B33" s="293" t="s">
        <v>272</v>
      </c>
      <c r="C33" s="1759" t="s">
        <v>1037</v>
      </c>
      <c r="D33" s="1748" t="s">
        <v>1416</v>
      </c>
      <c r="E33" s="1758" t="s">
        <v>222</v>
      </c>
      <c r="F33" s="67">
        <v>155916</v>
      </c>
      <c r="G33" s="1758" t="s">
        <v>222</v>
      </c>
      <c r="H33" s="67">
        <f>IF(G33="ABOLISHED",0, (VLOOKUP(G33,$A$52:$C314,3,FALSE)*12))</f>
        <v>155916</v>
      </c>
      <c r="I33" s="1751">
        <f>SUM(H33-F33)</f>
        <v>0</v>
      </c>
      <c r="J33" s="1758" t="s">
        <v>222</v>
      </c>
      <c r="K33" s="67">
        <f>IF(J33="ABOLISHED",0, (VLOOKUP(J33,$A$52:$C314,3,FALSE)*12))</f>
        <v>155916</v>
      </c>
      <c r="L33" s="3">
        <f>SUM(H33/12)</f>
        <v>12993</v>
      </c>
      <c r="M33" s="80">
        <f>IF(L33&gt;=80000,1600,SUM(L33*4%)/2)</f>
        <v>259.86</v>
      </c>
      <c r="O33" s="3">
        <f>K33/12</f>
        <v>12993</v>
      </c>
      <c r="P33" s="80">
        <f>IF(O33&gt;=80000,1600,SUM(O33*4%)/2)</f>
        <v>259.86</v>
      </c>
      <c r="R33" s="1">
        <f>O33-L33</f>
        <v>0</v>
      </c>
    </row>
    <row r="34" spans="1:18" s="1752" customFormat="1" ht="12" customHeight="1" outlineLevel="1">
      <c r="A34" s="1756"/>
      <c r="B34" s="1756"/>
      <c r="C34" s="1755" t="s">
        <v>1415</v>
      </c>
      <c r="D34" s="1755"/>
      <c r="E34" s="1753"/>
      <c r="F34" s="67" t="s">
        <v>256</v>
      </c>
      <c r="G34" s="1753"/>
      <c r="H34" s="67" t="s">
        <v>256</v>
      </c>
      <c r="I34" s="1754"/>
      <c r="J34" s="1753"/>
      <c r="K34" s="67" t="s">
        <v>256</v>
      </c>
      <c r="M34" s="2"/>
      <c r="P34" s="2"/>
      <c r="R34" s="1"/>
    </row>
    <row r="35" spans="1:18" s="3" customFormat="1" ht="12" customHeight="1" outlineLevel="1">
      <c r="A35" s="293" t="s">
        <v>265</v>
      </c>
      <c r="B35" s="293" t="s">
        <v>265</v>
      </c>
      <c r="C35" s="1762" t="s">
        <v>1348</v>
      </c>
      <c r="D35" s="1748" t="s">
        <v>1414</v>
      </c>
      <c r="E35" s="1758" t="s">
        <v>182</v>
      </c>
      <c r="F35" s="67">
        <v>209952</v>
      </c>
      <c r="G35" s="1758" t="s">
        <v>182</v>
      </c>
      <c r="H35" s="67">
        <f>IF(G35="ABOLISHED",0, (VLOOKUP(G35,$A$52:$C318,3,FALSE)*12))</f>
        <v>209952</v>
      </c>
      <c r="I35" s="1751">
        <f>SUM(H35-F35)</f>
        <v>0</v>
      </c>
      <c r="J35" s="1758" t="s">
        <v>182</v>
      </c>
      <c r="K35" s="67">
        <f>IF(J35="ABOLISHED",0, (VLOOKUP(J35,$A$52:$C318,3,FALSE)*12))</f>
        <v>209952</v>
      </c>
      <c r="L35" s="3">
        <f>SUM(H35/12)</f>
        <v>17496</v>
      </c>
      <c r="M35" s="80">
        <f>IF(L35&gt;=80000,1600,SUM(L35*4%)/2)</f>
        <v>349.92</v>
      </c>
      <c r="O35" s="3">
        <f>K35/12</f>
        <v>17496</v>
      </c>
      <c r="P35" s="80">
        <f>IF(O35&gt;=80000,1600,SUM(O35*4%)/2)</f>
        <v>349.92</v>
      </c>
      <c r="R35" s="1">
        <f>O35-L35</f>
        <v>0</v>
      </c>
    </row>
    <row r="36" spans="1:18" s="1752" customFormat="1" ht="12" customHeight="1" outlineLevel="1">
      <c r="A36" s="1756"/>
      <c r="B36" s="1756"/>
      <c r="C36" s="1755" t="s">
        <v>1413</v>
      </c>
      <c r="D36" s="1755"/>
      <c r="E36" s="1753"/>
      <c r="F36" s="67" t="s">
        <v>256</v>
      </c>
      <c r="G36" s="1753"/>
      <c r="H36" s="67" t="s">
        <v>256</v>
      </c>
      <c r="I36" s="1754"/>
      <c r="J36" s="1753"/>
      <c r="K36" s="67" t="s">
        <v>256</v>
      </c>
      <c r="M36" s="2" t="s">
        <v>256</v>
      </c>
      <c r="P36" s="2" t="s">
        <v>256</v>
      </c>
      <c r="R36" s="1"/>
    </row>
    <row r="37" spans="1:18" s="3" customFormat="1" ht="12" customHeight="1" outlineLevel="1">
      <c r="A37" s="293" t="s">
        <v>280</v>
      </c>
      <c r="B37" s="293" t="s">
        <v>280</v>
      </c>
      <c r="C37" s="1749" t="s">
        <v>1295</v>
      </c>
      <c r="D37" s="1760" t="s">
        <v>1412</v>
      </c>
      <c r="E37" s="1758" t="s">
        <v>214</v>
      </c>
      <c r="F37" s="67">
        <v>165420</v>
      </c>
      <c r="G37" s="1758" t="s">
        <v>214</v>
      </c>
      <c r="H37" s="67">
        <f>IF(G37="ABOLISHED",0, (VLOOKUP(G37,$A$52:$C309,3,FALSE)*12))</f>
        <v>165420</v>
      </c>
      <c r="I37" s="1751">
        <f>SUM(H37-F37)</f>
        <v>0</v>
      </c>
      <c r="J37" s="1758" t="s">
        <v>214</v>
      </c>
      <c r="K37" s="67">
        <f>IF(J37="ABOLISHED",0, (VLOOKUP(J37,$A$52:$C309,3,FALSE)*12))</f>
        <v>165420</v>
      </c>
      <c r="L37" s="3">
        <f>SUM(H37/12)</f>
        <v>13785</v>
      </c>
      <c r="M37" s="80">
        <f>IF(L37&gt;=80000,1600,SUM(L37*4%)/2)</f>
        <v>275.7</v>
      </c>
      <c r="O37" s="3">
        <f>K37/12</f>
        <v>13785</v>
      </c>
      <c r="P37" s="80">
        <f>IF(O37&gt;=80000,1600,SUM(O37*4%)/2)</f>
        <v>275.7</v>
      </c>
      <c r="R37" s="1">
        <f>O37-L37</f>
        <v>0</v>
      </c>
    </row>
    <row r="38" spans="1:18" s="3" customFormat="1" ht="12" customHeight="1" outlineLevel="1">
      <c r="A38" s="293" t="s">
        <v>268</v>
      </c>
      <c r="B38" s="293" t="s">
        <v>268</v>
      </c>
      <c r="C38" s="1749" t="s">
        <v>483</v>
      </c>
      <c r="D38" s="1760" t="s">
        <v>1411</v>
      </c>
      <c r="E38" s="1758" t="s">
        <v>231</v>
      </c>
      <c r="F38" s="67">
        <v>145812</v>
      </c>
      <c r="G38" s="1758" t="s">
        <v>230</v>
      </c>
      <c r="H38" s="67">
        <f>IF(G38="ABOLISHED",0, (VLOOKUP(G38,$A$52:$C315,3,FALSE)*12))</f>
        <v>146928</v>
      </c>
      <c r="I38" s="1751">
        <f>SUM(H38-F38)</f>
        <v>1116</v>
      </c>
      <c r="J38" s="1758" t="s">
        <v>230</v>
      </c>
      <c r="K38" s="67">
        <f>IF(J38="ABOLISHED",0, (VLOOKUP(J38,$A$52:$C315,3,FALSE)*12))</f>
        <v>146928</v>
      </c>
      <c r="L38" s="3">
        <f>SUM(H38/12)</f>
        <v>12244</v>
      </c>
      <c r="M38" s="80">
        <f>IF(L38&gt;=80000,1600,SUM(L38*4%)/2)</f>
        <v>244.88</v>
      </c>
      <c r="O38" s="3">
        <f>K38/12</f>
        <v>12244</v>
      </c>
      <c r="P38" s="80">
        <f>IF(O38&gt;=80000,1600,SUM(O38*4%)/2)</f>
        <v>244.88</v>
      </c>
      <c r="R38" s="1">
        <f>O38-L38</f>
        <v>0</v>
      </c>
    </row>
    <row r="39" spans="1:18" s="3" customFormat="1" ht="12" customHeight="1" outlineLevel="1">
      <c r="A39" s="293"/>
      <c r="B39" s="293"/>
      <c r="C39" s="1761" t="s">
        <v>893</v>
      </c>
      <c r="D39" s="1760"/>
      <c r="E39" s="1750"/>
      <c r="F39" s="67" t="s">
        <v>256</v>
      </c>
      <c r="G39" s="1750"/>
      <c r="H39" s="67" t="s">
        <v>256</v>
      </c>
      <c r="I39" s="1751"/>
      <c r="J39" s="1750"/>
      <c r="K39" s="67" t="s">
        <v>256</v>
      </c>
      <c r="M39" s="2"/>
      <c r="P39" s="2"/>
      <c r="R39" s="1"/>
    </row>
    <row r="40" spans="1:18" s="1752" customFormat="1" ht="12" customHeight="1" outlineLevel="1">
      <c r="A40" s="1756"/>
      <c r="B40" s="1756"/>
      <c r="C40" s="1755" t="s">
        <v>1410</v>
      </c>
      <c r="D40" s="1755"/>
      <c r="E40" s="1753"/>
      <c r="F40" s="67" t="s">
        <v>256</v>
      </c>
      <c r="G40" s="1753"/>
      <c r="H40" s="67" t="s">
        <v>256</v>
      </c>
      <c r="I40" s="1754"/>
      <c r="J40" s="1753"/>
      <c r="K40" s="67" t="s">
        <v>256</v>
      </c>
      <c r="M40" s="2"/>
      <c r="P40" s="2"/>
      <c r="R40" s="1"/>
    </row>
    <row r="41" spans="1:18" s="3" customFormat="1" ht="12" customHeight="1" outlineLevel="1">
      <c r="A41" s="293" t="s">
        <v>262</v>
      </c>
      <c r="B41" s="293" t="s">
        <v>262</v>
      </c>
      <c r="C41" s="1759" t="s">
        <v>886</v>
      </c>
      <c r="D41" s="1748" t="s">
        <v>1409</v>
      </c>
      <c r="E41" s="1750" t="s">
        <v>214</v>
      </c>
      <c r="F41" s="67">
        <v>165420</v>
      </c>
      <c r="G41" s="1750" t="s">
        <v>214</v>
      </c>
      <c r="H41" s="67">
        <f>IF(G41="ABOLISHED",0, (VLOOKUP(G41,$A$52:$C320,3,FALSE)*12))</f>
        <v>165420</v>
      </c>
      <c r="I41" s="1751">
        <f>SUM(H41-F41)</f>
        <v>0</v>
      </c>
      <c r="J41" s="1750" t="s">
        <v>214</v>
      </c>
      <c r="K41" s="67">
        <f>IF(J41="ABOLISHED",0, (VLOOKUP(J41,$A$52:$C320,3,FALSE)*12))</f>
        <v>165420</v>
      </c>
      <c r="L41" s="3">
        <f>SUM(H41/12)</f>
        <v>13785</v>
      </c>
      <c r="M41" s="80">
        <f>IF(L41&gt;=80000,1600,SUM(L41*4%)/2)</f>
        <v>275.7</v>
      </c>
      <c r="O41" s="3">
        <f>K41/12</f>
        <v>13785</v>
      </c>
      <c r="P41" s="80">
        <f>IF(O41&gt;=80000,1600,SUM(O41*4%)/2)</f>
        <v>275.7</v>
      </c>
      <c r="R41" s="1">
        <f>O41-L41</f>
        <v>0</v>
      </c>
    </row>
    <row r="42" spans="1:18" s="3" customFormat="1" ht="12" customHeight="1" outlineLevel="1">
      <c r="A42" s="293" t="s">
        <v>260</v>
      </c>
      <c r="B42" s="293" t="s">
        <v>260</v>
      </c>
      <c r="C42" s="1759" t="s">
        <v>1037</v>
      </c>
      <c r="D42" s="1748" t="s">
        <v>1408</v>
      </c>
      <c r="E42" s="1758" t="s">
        <v>222</v>
      </c>
      <c r="F42" s="67">
        <v>155916</v>
      </c>
      <c r="G42" s="1758" t="s">
        <v>222</v>
      </c>
      <c r="H42" s="67">
        <f>IF(G42="ABOLISHED",0, (VLOOKUP(G42,$A$52:$C321,3,FALSE)*12))</f>
        <v>155916</v>
      </c>
      <c r="I42" s="1751">
        <f>SUM(H42-F42)</f>
        <v>0</v>
      </c>
      <c r="J42" s="1758" t="s">
        <v>222</v>
      </c>
      <c r="K42" s="67">
        <f>IF(J42="ABOLISHED",0, (VLOOKUP(J42,$A$52:$C321,3,FALSE)*12))</f>
        <v>155916</v>
      </c>
      <c r="L42" s="3">
        <f>SUM(H42/12)</f>
        <v>12993</v>
      </c>
      <c r="M42" s="80">
        <f>IF(L42&gt;=80000,1600,SUM(L42*4%)/2)</f>
        <v>259.86</v>
      </c>
      <c r="O42" s="3">
        <f>K42/12</f>
        <v>12993</v>
      </c>
      <c r="P42" s="80">
        <f>IF(O42&gt;=80000,1600,SUM(O42*4%)/2)</f>
        <v>259.86</v>
      </c>
      <c r="R42" s="1">
        <f>O42-L42</f>
        <v>0</v>
      </c>
    </row>
    <row r="43" spans="1:18" s="3" customFormat="1" ht="12" customHeight="1" outlineLevel="1">
      <c r="A43" s="293" t="s">
        <v>254</v>
      </c>
      <c r="B43" s="293" t="s">
        <v>254</v>
      </c>
      <c r="C43" s="1749" t="s">
        <v>246</v>
      </c>
      <c r="D43" s="1748" t="s">
        <v>245</v>
      </c>
      <c r="E43" s="1757" t="s">
        <v>231</v>
      </c>
      <c r="F43" s="67">
        <v>145812</v>
      </c>
      <c r="G43" s="1757" t="s">
        <v>231</v>
      </c>
      <c r="H43" s="67">
        <f>IF(G43="ABOLISHED",0, (VLOOKUP(G43,$A$52:$C322,3,FALSE)*12))</f>
        <v>145812</v>
      </c>
      <c r="I43" s="1751">
        <f>SUM(H43-F43)</f>
        <v>0</v>
      </c>
      <c r="J43" s="1757" t="s">
        <v>231</v>
      </c>
      <c r="K43" s="67">
        <f>IF(J43="ABOLISHED",0, (VLOOKUP(J43,$A$52:$C322,3,FALSE)*12))</f>
        <v>145812</v>
      </c>
      <c r="L43" s="3">
        <f>SUM(H43/12)</f>
        <v>12151</v>
      </c>
      <c r="M43" s="80">
        <f>IF(L43&gt;=80000,1600,SUM(L43*4%)/2)</f>
        <v>243.02</v>
      </c>
      <c r="O43" s="3">
        <f>K43/12</f>
        <v>12151</v>
      </c>
      <c r="P43" s="80">
        <f>IF(O43&gt;=80000,1600,SUM(O43*4%)/2)</f>
        <v>243.02</v>
      </c>
      <c r="R43" s="1">
        <f>O43-L43</f>
        <v>0</v>
      </c>
    </row>
    <row r="44" spans="1:18" s="1752" customFormat="1" ht="12" customHeight="1" outlineLevel="1">
      <c r="A44" s="1756"/>
      <c r="B44" s="1756"/>
      <c r="C44" s="1755" t="s">
        <v>883</v>
      </c>
      <c r="D44" s="1755"/>
      <c r="E44" s="1753"/>
      <c r="F44" s="67" t="s">
        <v>256</v>
      </c>
      <c r="G44" s="1753"/>
      <c r="H44" s="67" t="s">
        <v>256</v>
      </c>
      <c r="I44" s="1754"/>
      <c r="J44" s="1753"/>
      <c r="K44" s="67" t="s">
        <v>256</v>
      </c>
      <c r="M44" s="2"/>
      <c r="P44" s="2"/>
      <c r="R44" s="1"/>
    </row>
    <row r="45" spans="1:18" s="3" customFormat="1" ht="12" customHeight="1" outlineLevel="2">
      <c r="A45" s="293" t="s">
        <v>255</v>
      </c>
      <c r="B45" s="293" t="s">
        <v>255</v>
      </c>
      <c r="C45" s="1749" t="s">
        <v>1112</v>
      </c>
      <c r="D45" s="1748" t="s">
        <v>1407</v>
      </c>
      <c r="E45" s="1750" t="s">
        <v>230</v>
      </c>
      <c r="F45" s="67">
        <v>146928</v>
      </c>
      <c r="G45" s="1750" t="s">
        <v>230</v>
      </c>
      <c r="H45" s="67">
        <f>IF(G45="ABOLISHED",0, (VLOOKUP(G45,$A$52:$C323,3,FALSE)*12))</f>
        <v>146928</v>
      </c>
      <c r="I45" s="1751">
        <f>SUM(H45-F45)</f>
        <v>0</v>
      </c>
      <c r="J45" s="1750" t="s">
        <v>230</v>
      </c>
      <c r="K45" s="67">
        <f>IF(J45="ABOLISHED",0, (VLOOKUP(J45,$A$52:$C323,3,FALSE)*12))</f>
        <v>146928</v>
      </c>
      <c r="L45" s="3">
        <f>SUM(H45/12)</f>
        <v>12244</v>
      </c>
      <c r="M45" s="80">
        <f>IF(L45&gt;=80000,1600,SUM(L45*4%)/2)</f>
        <v>244.88</v>
      </c>
      <c r="O45" s="3">
        <f>K45/12</f>
        <v>12244</v>
      </c>
      <c r="P45" s="80">
        <f>IF(O45&gt;=80000,1600,SUM(O45*4%)/2)</f>
        <v>244.88</v>
      </c>
      <c r="R45" s="1">
        <f>O45-L45</f>
        <v>0</v>
      </c>
    </row>
    <row r="46" spans="1:18" s="3" customFormat="1" ht="12" customHeight="1" outlineLevel="1">
      <c r="A46" s="307"/>
      <c r="B46" s="307"/>
      <c r="C46" s="1749"/>
      <c r="D46" s="1748"/>
      <c r="E46" s="1746"/>
      <c r="F46" s="59"/>
      <c r="G46" s="1746"/>
      <c r="H46" s="59"/>
      <c r="I46" s="1747"/>
      <c r="J46" s="1746"/>
      <c r="K46" s="59"/>
      <c r="M46" s="1581"/>
      <c r="P46" s="1581"/>
    </row>
    <row r="47" spans="1:18" ht="12" customHeight="1">
      <c r="A47" s="56"/>
      <c r="B47" s="1745">
        <v>22</v>
      </c>
      <c r="C47" s="54"/>
      <c r="D47" s="53" t="s">
        <v>244</v>
      </c>
      <c r="E47" s="52"/>
      <c r="F47" s="287">
        <f>SUM(F13:F45)</f>
        <v>5858736</v>
      </c>
      <c r="G47" s="1744"/>
      <c r="H47" s="50">
        <f>SUM(H13:H46)</f>
        <v>5864544</v>
      </c>
      <c r="I47" s="1164">
        <f>SUM(I13:I45)</f>
        <v>5808</v>
      </c>
      <c r="J47" s="1744"/>
      <c r="K47" s="48">
        <f>SUM(K13:K45)</f>
        <v>5864544</v>
      </c>
      <c r="M47" s="39">
        <f>SUM(M13:M45)</f>
        <v>9369.6999999999989</v>
      </c>
      <c r="N47" s="47"/>
      <c r="O47" s="47"/>
      <c r="P47" s="39">
        <f>SUM(P13:P45)</f>
        <v>9369.6999999999989</v>
      </c>
    </row>
    <row r="48" spans="1:18" ht="12" hidden="1" customHeight="1">
      <c r="A48" s="46"/>
      <c r="B48" s="46"/>
      <c r="C48" s="39"/>
      <c r="D48" s="45"/>
      <c r="E48" s="42"/>
      <c r="F48" s="44"/>
      <c r="G48" s="18"/>
      <c r="H48" s="1743" t="s">
        <v>1293</v>
      </c>
      <c r="I48" s="42"/>
      <c r="J48" s="41"/>
      <c r="K48" s="41"/>
      <c r="M48" s="39">
        <v>12</v>
      </c>
      <c r="N48" s="47"/>
      <c r="O48" s="47"/>
      <c r="P48" s="39">
        <v>12</v>
      </c>
    </row>
    <row r="49" spans="1:16" ht="14.25" hidden="1" customHeight="1" thickBot="1">
      <c r="A49" s="4721" t="s">
        <v>240</v>
      </c>
      <c r="B49" s="4721"/>
      <c r="E49" s="27"/>
      <c r="M49" s="30">
        <f>ROUNDUP(SUM(M47*M48),0)</f>
        <v>112437</v>
      </c>
      <c r="P49" s="30">
        <f>ROUNDUP(SUM(P47*P48),0)</f>
        <v>112437</v>
      </c>
    </row>
    <row r="50" spans="1:16" hidden="1">
      <c r="A50" s="4637" t="s">
        <v>475</v>
      </c>
      <c r="B50" s="4638"/>
      <c r="C50" s="26"/>
      <c r="D50" s="3"/>
      <c r="E50" s="5"/>
    </row>
    <row r="51" spans="1:16" ht="15" hidden="1">
      <c r="A51" s="25" t="s">
        <v>242</v>
      </c>
      <c r="B51" s="24" t="s">
        <v>241</v>
      </c>
      <c r="C51" s="23" t="s">
        <v>1406</v>
      </c>
      <c r="D51" s="3"/>
      <c r="E51" s="5"/>
    </row>
    <row r="52" spans="1:16" hidden="1">
      <c r="A52" s="21" t="s">
        <v>239</v>
      </c>
      <c r="B52" s="22">
        <v>11432</v>
      </c>
      <c r="C52" s="22">
        <v>11432</v>
      </c>
      <c r="D52" s="8"/>
      <c r="E52" s="1741"/>
      <c r="F52" s="15"/>
      <c r="G52" s="17"/>
      <c r="H52" s="14"/>
      <c r="I52" s="14"/>
      <c r="J52" s="13"/>
      <c r="K52" s="13"/>
    </row>
    <row r="53" spans="1:16" hidden="1">
      <c r="A53" s="12" t="s">
        <v>238</v>
      </c>
      <c r="B53" s="22">
        <v>11527</v>
      </c>
      <c r="C53" s="22">
        <v>11527</v>
      </c>
      <c r="D53" s="8"/>
      <c r="E53" s="1741"/>
      <c r="F53" s="15"/>
      <c r="G53" s="17"/>
      <c r="H53" s="14"/>
      <c r="I53" s="14"/>
      <c r="J53" s="13"/>
      <c r="K53" s="13"/>
    </row>
    <row r="54" spans="1:16" hidden="1">
      <c r="A54" s="21" t="s">
        <v>237</v>
      </c>
      <c r="B54" s="22">
        <v>11624</v>
      </c>
      <c r="C54" s="22">
        <v>11624</v>
      </c>
      <c r="D54" s="8"/>
      <c r="E54" s="1741"/>
      <c r="F54" s="15"/>
      <c r="G54" s="17"/>
    </row>
    <row r="55" spans="1:16" hidden="1">
      <c r="A55" s="12" t="s">
        <v>236</v>
      </c>
      <c r="B55" s="22">
        <v>11722</v>
      </c>
      <c r="C55" s="22">
        <v>11722</v>
      </c>
      <c r="D55" s="8"/>
      <c r="E55" s="1741"/>
      <c r="F55" s="15"/>
      <c r="G55" s="17"/>
      <c r="H55" s="14"/>
    </row>
    <row r="56" spans="1:16" hidden="1">
      <c r="A56" s="21" t="s">
        <v>235</v>
      </c>
      <c r="B56" s="22">
        <v>11820</v>
      </c>
      <c r="C56" s="22">
        <v>11820</v>
      </c>
      <c r="D56" s="8"/>
      <c r="E56" s="1741"/>
      <c r="F56" s="15"/>
      <c r="G56" s="17"/>
      <c r="H56" s="14"/>
      <c r="I56" s="14"/>
      <c r="J56" s="13"/>
      <c r="K56" s="13"/>
    </row>
    <row r="57" spans="1:16" hidden="1">
      <c r="A57" s="12" t="s">
        <v>234</v>
      </c>
      <c r="B57" s="22">
        <v>11918</v>
      </c>
      <c r="C57" s="22">
        <v>11918</v>
      </c>
      <c r="D57" s="8"/>
      <c r="E57" s="1741"/>
      <c r="F57" s="15"/>
      <c r="G57" s="17"/>
      <c r="H57" s="14"/>
    </row>
    <row r="58" spans="1:16" hidden="1">
      <c r="A58" s="21" t="s">
        <v>233</v>
      </c>
      <c r="B58" s="22">
        <v>12018</v>
      </c>
      <c r="C58" s="22">
        <v>12018</v>
      </c>
      <c r="D58" s="8"/>
      <c r="E58" s="1741"/>
      <c r="F58" s="15"/>
      <c r="G58" s="14"/>
      <c r="H58" s="14"/>
    </row>
    <row r="59" spans="1:16" hidden="1">
      <c r="A59" s="12" t="s">
        <v>232</v>
      </c>
      <c r="B59" s="22">
        <v>12118</v>
      </c>
      <c r="C59" s="22">
        <v>12118</v>
      </c>
      <c r="D59" s="8"/>
      <c r="E59" s="1741"/>
      <c r="F59" s="15"/>
      <c r="G59" s="14"/>
      <c r="H59" s="14"/>
      <c r="I59" s="14"/>
      <c r="J59" s="13"/>
      <c r="K59" s="13"/>
    </row>
    <row r="60" spans="1:16" hidden="1">
      <c r="A60" s="20" t="s">
        <v>231</v>
      </c>
      <c r="B60" s="9">
        <v>12151</v>
      </c>
      <c r="C60" s="9">
        <v>12151</v>
      </c>
      <c r="D60" s="8"/>
      <c r="E60" s="1742"/>
      <c r="F60" s="15"/>
      <c r="G60" s="14"/>
      <c r="H60" s="14"/>
    </row>
    <row r="61" spans="1:16" hidden="1">
      <c r="A61" s="10" t="s">
        <v>230</v>
      </c>
      <c r="B61" s="9">
        <v>12244</v>
      </c>
      <c r="C61" s="9">
        <v>12244</v>
      </c>
      <c r="D61" s="8"/>
      <c r="E61" s="1742"/>
      <c r="F61" s="15"/>
      <c r="G61" s="14"/>
      <c r="H61" s="14"/>
      <c r="I61" s="14"/>
      <c r="J61" s="13"/>
      <c r="K61" s="13"/>
    </row>
    <row r="62" spans="1:16" hidden="1">
      <c r="A62" s="20" t="s">
        <v>229</v>
      </c>
      <c r="B62" s="9">
        <v>12338</v>
      </c>
      <c r="C62" s="9">
        <v>12338</v>
      </c>
      <c r="D62" s="8"/>
      <c r="E62" s="1742"/>
      <c r="F62" s="15"/>
      <c r="G62" s="14"/>
    </row>
    <row r="63" spans="1:16" hidden="1">
      <c r="A63" s="10" t="s">
        <v>228</v>
      </c>
      <c r="B63" s="9">
        <v>12433</v>
      </c>
      <c r="C63" s="9">
        <v>12433</v>
      </c>
      <c r="D63" s="8"/>
      <c r="E63" s="1742"/>
      <c r="F63" s="15"/>
      <c r="G63" s="14"/>
      <c r="H63" s="14"/>
    </row>
    <row r="64" spans="1:16" hidden="1">
      <c r="A64" s="20" t="s">
        <v>227</v>
      </c>
      <c r="B64" s="9">
        <v>12528</v>
      </c>
      <c r="C64" s="9">
        <v>12528</v>
      </c>
      <c r="D64" s="8"/>
      <c r="E64" s="1742"/>
      <c r="F64" s="15"/>
      <c r="G64" s="14"/>
      <c r="H64" s="14"/>
      <c r="I64" s="14"/>
      <c r="J64" s="13"/>
      <c r="K64" s="13"/>
    </row>
    <row r="65" spans="1:11" hidden="1">
      <c r="A65" s="10" t="s">
        <v>226</v>
      </c>
      <c r="B65" s="9">
        <v>12624</v>
      </c>
      <c r="C65" s="9">
        <v>12624</v>
      </c>
      <c r="D65" s="8"/>
      <c r="E65" s="1742"/>
      <c r="F65" s="15"/>
      <c r="G65" s="14"/>
      <c r="H65" s="14"/>
      <c r="I65" s="14"/>
      <c r="J65" s="13"/>
      <c r="K65" s="13"/>
    </row>
    <row r="66" spans="1:11" hidden="1">
      <c r="A66" s="20" t="s">
        <v>225</v>
      </c>
      <c r="B66" s="9">
        <v>12721</v>
      </c>
      <c r="C66" s="9">
        <v>12721</v>
      </c>
      <c r="D66" s="8"/>
      <c r="E66" s="1742"/>
      <c r="F66" s="15"/>
      <c r="G66" s="14"/>
      <c r="H66" s="14"/>
      <c r="I66" s="14"/>
      <c r="J66" s="13"/>
      <c r="K66" s="13"/>
    </row>
    <row r="67" spans="1:11" hidden="1">
      <c r="A67" s="10" t="s">
        <v>224</v>
      </c>
      <c r="B67" s="9">
        <v>12818</v>
      </c>
      <c r="C67" s="9">
        <v>12818</v>
      </c>
      <c r="D67" s="8"/>
      <c r="E67" s="1742"/>
      <c r="F67" s="15"/>
      <c r="G67" s="14"/>
      <c r="H67" s="14"/>
    </row>
    <row r="68" spans="1:11" hidden="1">
      <c r="A68" s="21" t="s">
        <v>223</v>
      </c>
      <c r="B68" s="11">
        <v>12893</v>
      </c>
      <c r="C68" s="11">
        <v>12893</v>
      </c>
      <c r="D68" s="8"/>
      <c r="E68" s="1741"/>
      <c r="F68" s="15"/>
      <c r="G68" s="14"/>
      <c r="H68" s="14"/>
    </row>
    <row r="69" spans="1:11" hidden="1">
      <c r="A69" s="12" t="s">
        <v>222</v>
      </c>
      <c r="B69" s="11">
        <v>12993</v>
      </c>
      <c r="C69" s="11">
        <v>12993</v>
      </c>
      <c r="D69" s="8"/>
      <c r="E69" s="1741"/>
      <c r="F69" s="15"/>
      <c r="G69" s="14"/>
      <c r="H69" s="14"/>
      <c r="I69" s="14"/>
      <c r="J69" s="13"/>
      <c r="K69" s="13"/>
    </row>
    <row r="70" spans="1:11" hidden="1">
      <c r="A70" s="21" t="s">
        <v>221</v>
      </c>
      <c r="B70" s="11">
        <v>13092</v>
      </c>
      <c r="C70" s="11">
        <v>13092</v>
      </c>
      <c r="D70" s="8"/>
      <c r="E70" s="1741"/>
      <c r="F70" s="15"/>
      <c r="G70" s="14"/>
      <c r="H70" s="14"/>
      <c r="I70" s="14"/>
      <c r="J70" s="13"/>
      <c r="K70" s="13"/>
    </row>
    <row r="71" spans="1:11" hidden="1">
      <c r="A71" s="12" t="s">
        <v>220</v>
      </c>
      <c r="B71" s="11">
        <v>13194</v>
      </c>
      <c r="C71" s="11">
        <v>13194</v>
      </c>
      <c r="D71" s="8"/>
      <c r="E71" s="1741"/>
      <c r="F71" s="15"/>
      <c r="G71" s="14"/>
      <c r="H71" s="14"/>
    </row>
    <row r="72" spans="1:11" hidden="1">
      <c r="A72" s="21" t="s">
        <v>219</v>
      </c>
      <c r="B72" s="11">
        <v>13295</v>
      </c>
      <c r="C72" s="11">
        <v>13295</v>
      </c>
      <c r="D72" s="8"/>
      <c r="E72" s="1741"/>
      <c r="F72" s="15"/>
      <c r="G72" s="14"/>
      <c r="H72" s="14"/>
      <c r="I72" s="14"/>
      <c r="J72" s="13"/>
      <c r="K72" s="13"/>
    </row>
    <row r="73" spans="1:11" hidden="1">
      <c r="A73" s="12" t="s">
        <v>218</v>
      </c>
      <c r="B73" s="11">
        <v>13396</v>
      </c>
      <c r="C73" s="11">
        <v>13396</v>
      </c>
      <c r="D73" s="8"/>
      <c r="E73" s="1741"/>
      <c r="F73" s="15"/>
      <c r="G73" s="14"/>
      <c r="H73" s="14"/>
    </row>
    <row r="74" spans="1:11" hidden="1">
      <c r="A74" s="21" t="s">
        <v>217</v>
      </c>
      <c r="B74" s="11">
        <v>13500</v>
      </c>
      <c r="C74" s="11">
        <v>13500</v>
      </c>
      <c r="D74" s="8"/>
      <c r="E74" s="1741"/>
      <c r="F74" s="15"/>
      <c r="G74" s="14"/>
      <c r="H74" s="14"/>
    </row>
    <row r="75" spans="1:11" hidden="1">
      <c r="A75" s="12" t="s">
        <v>216</v>
      </c>
      <c r="B75" s="11">
        <v>13603</v>
      </c>
      <c r="C75" s="11">
        <v>13603</v>
      </c>
      <c r="D75" s="8"/>
      <c r="E75" s="1741"/>
      <c r="F75" s="15"/>
      <c r="G75" s="14"/>
      <c r="H75" s="14"/>
      <c r="I75" s="14"/>
      <c r="J75" s="13"/>
      <c r="K75" s="13"/>
    </row>
    <row r="76" spans="1:11" hidden="1">
      <c r="A76" s="20" t="s">
        <v>215</v>
      </c>
      <c r="B76" s="9">
        <v>13680</v>
      </c>
      <c r="C76" s="9">
        <v>13680</v>
      </c>
      <c r="D76" s="8"/>
      <c r="E76" s="1741"/>
      <c r="F76" s="15"/>
    </row>
    <row r="77" spans="1:11" hidden="1">
      <c r="A77" s="10" t="s">
        <v>214</v>
      </c>
      <c r="B77" s="9">
        <v>13785</v>
      </c>
      <c r="C77" s="9">
        <v>13785</v>
      </c>
      <c r="D77" s="8"/>
      <c r="E77" s="1741"/>
      <c r="F77" s="15"/>
    </row>
    <row r="78" spans="1:11" hidden="1">
      <c r="A78" s="20" t="s">
        <v>213</v>
      </c>
      <c r="B78" s="9">
        <v>13891</v>
      </c>
      <c r="C78" s="9">
        <v>13891</v>
      </c>
      <c r="D78" s="8"/>
      <c r="E78" s="1741"/>
      <c r="F78" s="15"/>
    </row>
    <row r="79" spans="1:11" hidden="1">
      <c r="A79" s="10" t="s">
        <v>212</v>
      </c>
      <c r="B79" s="9">
        <v>13998</v>
      </c>
      <c r="C79" s="9">
        <v>13998</v>
      </c>
      <c r="D79" s="8"/>
      <c r="E79" s="1741"/>
      <c r="F79" s="15"/>
    </row>
    <row r="80" spans="1:11" hidden="1">
      <c r="A80" s="20" t="s">
        <v>211</v>
      </c>
      <c r="B80" s="9">
        <v>14106</v>
      </c>
      <c r="C80" s="9">
        <v>14106</v>
      </c>
      <c r="D80" s="8"/>
      <c r="E80" s="1741"/>
      <c r="F80" s="15"/>
    </row>
    <row r="81" spans="1:11" hidden="1">
      <c r="A81" s="10" t="s">
        <v>210</v>
      </c>
      <c r="B81" s="9">
        <v>14213</v>
      </c>
      <c r="C81" s="9">
        <v>14213</v>
      </c>
      <c r="D81" s="8"/>
      <c r="E81" s="1741"/>
      <c r="F81" s="15"/>
    </row>
    <row r="82" spans="1:11" hidden="1">
      <c r="A82" s="20" t="s">
        <v>209</v>
      </c>
      <c r="B82" s="9">
        <v>14323</v>
      </c>
      <c r="C82" s="9">
        <v>14323</v>
      </c>
      <c r="D82" s="8"/>
      <c r="E82" s="1741"/>
      <c r="F82" s="15"/>
    </row>
    <row r="83" spans="1:11" hidden="1">
      <c r="A83" s="10" t="s">
        <v>208</v>
      </c>
      <c r="B83" s="9">
        <v>14432</v>
      </c>
      <c r="C83" s="9">
        <v>14432</v>
      </c>
      <c r="D83" s="8"/>
      <c r="E83" s="1741"/>
      <c r="F83" s="15"/>
    </row>
    <row r="84" spans="1:11" hidden="1">
      <c r="A84" s="12" t="s">
        <v>207</v>
      </c>
      <c r="B84" s="11">
        <v>14511</v>
      </c>
      <c r="C84" s="11">
        <v>14511</v>
      </c>
      <c r="D84" s="8"/>
      <c r="E84" s="1741"/>
      <c r="F84" s="15"/>
      <c r="G84" s="14"/>
      <c r="H84" s="14"/>
      <c r="I84" s="14"/>
      <c r="J84" s="13"/>
      <c r="K84" s="13"/>
    </row>
    <row r="85" spans="1:11" hidden="1">
      <c r="A85" s="12" t="s">
        <v>206</v>
      </c>
      <c r="B85" s="11">
        <v>14623</v>
      </c>
      <c r="C85" s="11">
        <v>14623</v>
      </c>
      <c r="D85" s="8"/>
      <c r="E85" s="1741"/>
      <c r="F85" s="15"/>
      <c r="G85" s="14"/>
      <c r="H85" s="14"/>
    </row>
    <row r="86" spans="1:11" hidden="1">
      <c r="A86" s="12" t="s">
        <v>205</v>
      </c>
      <c r="B86" s="11">
        <v>14735</v>
      </c>
      <c r="C86" s="11">
        <v>14735</v>
      </c>
      <c r="D86" s="8"/>
      <c r="E86" s="1741"/>
      <c r="F86" s="15"/>
      <c r="G86" s="14"/>
      <c r="H86" s="14"/>
    </row>
    <row r="87" spans="1:11" hidden="1">
      <c r="A87" s="12" t="s">
        <v>204</v>
      </c>
      <c r="B87" s="11">
        <v>14849</v>
      </c>
      <c r="C87" s="11">
        <v>14849</v>
      </c>
      <c r="D87" s="8"/>
      <c r="E87" s="1741"/>
      <c r="F87" s="15"/>
      <c r="G87" s="14"/>
      <c r="H87" s="14"/>
    </row>
    <row r="88" spans="1:11" hidden="1">
      <c r="A88" s="12" t="s">
        <v>203</v>
      </c>
      <c r="B88" s="11">
        <v>14963</v>
      </c>
      <c r="C88" s="11">
        <v>14963</v>
      </c>
      <c r="D88" s="8"/>
      <c r="E88" s="1741"/>
      <c r="F88" s="15"/>
      <c r="G88" s="14"/>
      <c r="H88" s="14"/>
    </row>
    <row r="89" spans="1:11" hidden="1">
      <c r="A89" s="12" t="s">
        <v>202</v>
      </c>
      <c r="B89" s="11">
        <v>15077</v>
      </c>
      <c r="C89" s="11">
        <v>15077</v>
      </c>
      <c r="D89" s="8"/>
      <c r="E89" s="1741"/>
      <c r="F89" s="15"/>
      <c r="G89" s="14"/>
      <c r="H89" s="14"/>
      <c r="I89" s="14"/>
      <c r="J89" s="13"/>
      <c r="K89" s="13"/>
    </row>
    <row r="90" spans="1:11" hidden="1">
      <c r="A90" s="12" t="s">
        <v>201</v>
      </c>
      <c r="B90" s="11">
        <v>15193</v>
      </c>
      <c r="C90" s="11">
        <v>15193</v>
      </c>
      <c r="D90" s="8"/>
      <c r="E90" s="1741"/>
      <c r="F90" s="15"/>
      <c r="G90" s="14"/>
      <c r="H90" s="14"/>
      <c r="I90" s="14"/>
      <c r="J90" s="13"/>
      <c r="K90" s="13"/>
    </row>
    <row r="91" spans="1:11" hidden="1">
      <c r="A91" s="12" t="s">
        <v>200</v>
      </c>
      <c r="B91" s="11">
        <v>15309</v>
      </c>
      <c r="C91" s="11">
        <v>15309</v>
      </c>
      <c r="D91" s="8"/>
      <c r="E91" s="1741"/>
      <c r="F91" s="15"/>
      <c r="G91" s="14"/>
      <c r="H91" s="14"/>
    </row>
    <row r="92" spans="1:11" hidden="1">
      <c r="A92" s="10" t="s">
        <v>199</v>
      </c>
      <c r="B92" s="9">
        <v>15390</v>
      </c>
      <c r="C92" s="9">
        <v>15390</v>
      </c>
      <c r="D92" s="8"/>
      <c r="E92" s="1741"/>
      <c r="F92" s="15"/>
      <c r="G92" s="14"/>
      <c r="H92" s="14"/>
      <c r="I92" s="14"/>
      <c r="J92" s="13"/>
      <c r="K92" s="13"/>
    </row>
    <row r="93" spans="1:11" hidden="1">
      <c r="A93" s="10" t="s">
        <v>198</v>
      </c>
      <c r="B93" s="9">
        <v>15509</v>
      </c>
      <c r="C93" s="9">
        <v>15509</v>
      </c>
      <c r="D93" s="8"/>
      <c r="E93" s="1741"/>
      <c r="F93" s="15"/>
      <c r="G93" s="14"/>
      <c r="H93" s="14"/>
      <c r="I93" s="14"/>
      <c r="J93" s="13"/>
      <c r="K93" s="13"/>
    </row>
    <row r="94" spans="1:11" hidden="1">
      <c r="A94" s="10" t="s">
        <v>197</v>
      </c>
      <c r="B94" s="9">
        <v>15628</v>
      </c>
      <c r="C94" s="9">
        <v>15628</v>
      </c>
      <c r="D94" s="8"/>
      <c r="E94" s="1741"/>
      <c r="F94" s="15"/>
      <c r="G94" s="14"/>
      <c r="H94" s="14"/>
      <c r="I94" s="14"/>
      <c r="J94" s="13"/>
      <c r="K94" s="13"/>
    </row>
    <row r="95" spans="1:11" hidden="1">
      <c r="A95" s="10" t="s">
        <v>196</v>
      </c>
      <c r="B95" s="9">
        <v>15748</v>
      </c>
      <c r="C95" s="9">
        <v>15748</v>
      </c>
      <c r="D95" s="8"/>
      <c r="E95" s="1741"/>
      <c r="F95" s="15"/>
      <c r="G95" s="14"/>
      <c r="H95" s="14"/>
      <c r="I95" s="14"/>
      <c r="J95" s="13"/>
      <c r="K95" s="13"/>
    </row>
    <row r="96" spans="1:11" hidden="1">
      <c r="A96" s="10" t="s">
        <v>195</v>
      </c>
      <c r="B96" s="9">
        <v>15869</v>
      </c>
      <c r="C96" s="9">
        <v>15869</v>
      </c>
      <c r="D96" s="8"/>
      <c r="E96" s="1741"/>
      <c r="F96" s="15"/>
      <c r="G96" s="14"/>
      <c r="H96" s="14"/>
      <c r="I96" s="14"/>
      <c r="J96" s="13"/>
      <c r="K96" s="13"/>
    </row>
    <row r="97" spans="1:11" hidden="1">
      <c r="A97" s="10" t="s">
        <v>194</v>
      </c>
      <c r="B97" s="9">
        <v>15990</v>
      </c>
      <c r="C97" s="9">
        <v>15990</v>
      </c>
      <c r="D97" s="8"/>
      <c r="E97" s="1741"/>
      <c r="F97" s="15"/>
      <c r="G97" s="14"/>
      <c r="H97" s="14"/>
    </row>
    <row r="98" spans="1:11" hidden="1">
      <c r="A98" s="10" t="s">
        <v>193</v>
      </c>
      <c r="B98" s="9">
        <v>16114</v>
      </c>
      <c r="C98" s="9">
        <v>16114</v>
      </c>
      <c r="D98" s="8"/>
      <c r="E98" s="1741"/>
      <c r="F98" s="15"/>
      <c r="G98" s="14"/>
      <c r="H98" s="14"/>
      <c r="I98" s="14"/>
      <c r="J98" s="13"/>
      <c r="K98" s="13"/>
    </row>
    <row r="99" spans="1:11" hidden="1">
      <c r="A99" s="10" t="s">
        <v>192</v>
      </c>
      <c r="B99" s="9">
        <v>16237</v>
      </c>
      <c r="C99" s="9">
        <v>16237</v>
      </c>
      <c r="D99" s="8"/>
      <c r="E99" s="1741"/>
      <c r="F99" s="15"/>
      <c r="G99" s="14"/>
      <c r="H99" s="14"/>
      <c r="I99" s="14"/>
      <c r="J99" s="13"/>
      <c r="K99" s="13"/>
    </row>
    <row r="100" spans="1:11" hidden="1">
      <c r="A100" s="12" t="s">
        <v>191</v>
      </c>
      <c r="B100" s="11">
        <v>16320</v>
      </c>
      <c r="C100" s="11">
        <v>16320</v>
      </c>
      <c r="D100" s="8"/>
      <c r="E100" s="1741"/>
      <c r="F100" s="15"/>
      <c r="G100" s="14"/>
      <c r="H100" s="14"/>
    </row>
    <row r="101" spans="1:11" hidden="1">
      <c r="A101" s="12" t="s">
        <v>190</v>
      </c>
      <c r="B101" s="11">
        <v>16445</v>
      </c>
      <c r="C101" s="11">
        <v>16445</v>
      </c>
      <c r="D101" s="8"/>
      <c r="E101" s="1741"/>
      <c r="F101" s="15"/>
      <c r="G101" s="14"/>
      <c r="H101" s="14"/>
      <c r="I101" s="14"/>
      <c r="J101" s="13"/>
      <c r="K101" s="13"/>
    </row>
    <row r="102" spans="1:11" hidden="1">
      <c r="A102" s="12" t="s">
        <v>189</v>
      </c>
      <c r="B102" s="11">
        <v>16572</v>
      </c>
      <c r="C102" s="11">
        <v>16572</v>
      </c>
      <c r="D102" s="8"/>
      <c r="E102" s="1741"/>
      <c r="F102" s="15"/>
      <c r="G102" s="14"/>
      <c r="H102" s="14"/>
      <c r="I102" s="14"/>
      <c r="J102" s="13"/>
      <c r="K102" s="13"/>
    </row>
    <row r="103" spans="1:11" hidden="1">
      <c r="A103" s="12" t="s">
        <v>188</v>
      </c>
      <c r="B103" s="11">
        <v>16699</v>
      </c>
      <c r="C103" s="11">
        <v>16699</v>
      </c>
      <c r="D103" s="8"/>
      <c r="E103" s="1741"/>
      <c r="F103" s="15"/>
      <c r="G103" s="14"/>
      <c r="H103" s="14"/>
      <c r="I103" s="14"/>
      <c r="J103" s="13"/>
      <c r="K103" s="13"/>
    </row>
    <row r="104" spans="1:11" hidden="1">
      <c r="A104" s="12" t="s">
        <v>187</v>
      </c>
      <c r="B104" s="11">
        <v>16827</v>
      </c>
      <c r="C104" s="11">
        <v>16827</v>
      </c>
      <c r="D104" s="8"/>
      <c r="E104" s="1741"/>
      <c r="F104" s="15"/>
      <c r="G104" s="14"/>
      <c r="H104" s="14"/>
      <c r="I104" s="14"/>
      <c r="J104" s="13"/>
      <c r="K104" s="13"/>
    </row>
    <row r="105" spans="1:11" hidden="1">
      <c r="A105" s="12" t="s">
        <v>186</v>
      </c>
      <c r="B105" s="11">
        <v>16957</v>
      </c>
      <c r="C105" s="11">
        <v>16957</v>
      </c>
      <c r="D105" s="8"/>
      <c r="E105" s="1741"/>
      <c r="F105" s="15"/>
      <c r="G105" s="14"/>
      <c r="H105" s="14"/>
    </row>
    <row r="106" spans="1:11" hidden="1">
      <c r="A106" s="12" t="s">
        <v>185</v>
      </c>
      <c r="B106" s="11">
        <v>17086</v>
      </c>
      <c r="C106" s="11">
        <v>17086</v>
      </c>
      <c r="D106" s="8"/>
      <c r="E106" s="1741"/>
      <c r="F106" s="15"/>
      <c r="G106" s="14"/>
      <c r="H106" s="14"/>
      <c r="I106" s="14"/>
      <c r="J106" s="13"/>
      <c r="K106" s="13"/>
    </row>
    <row r="107" spans="1:11" hidden="1">
      <c r="A107" s="12" t="s">
        <v>184</v>
      </c>
      <c r="B107" s="11">
        <v>17218</v>
      </c>
      <c r="C107" s="11">
        <v>17218</v>
      </c>
      <c r="D107" s="8"/>
      <c r="E107" s="1741"/>
      <c r="F107" s="15"/>
      <c r="G107" s="14"/>
      <c r="H107" s="14"/>
    </row>
    <row r="108" spans="1:11" hidden="1">
      <c r="A108" s="10" t="s">
        <v>183</v>
      </c>
      <c r="B108" s="9">
        <v>17338</v>
      </c>
      <c r="C108" s="9">
        <v>17338</v>
      </c>
      <c r="D108" s="8"/>
      <c r="E108" s="1742"/>
      <c r="F108" s="15"/>
      <c r="G108" s="14"/>
      <c r="H108" s="14"/>
      <c r="I108" s="14"/>
      <c r="J108" s="13"/>
      <c r="K108" s="13"/>
    </row>
    <row r="109" spans="1:11" hidden="1">
      <c r="A109" s="10" t="s">
        <v>182</v>
      </c>
      <c r="B109" s="9">
        <v>17496</v>
      </c>
      <c r="C109" s="9">
        <v>17496</v>
      </c>
      <c r="D109" s="8"/>
      <c r="E109" s="1742"/>
      <c r="F109" s="15"/>
      <c r="G109" s="14"/>
      <c r="H109" s="14"/>
      <c r="I109" s="14"/>
      <c r="J109" s="13"/>
      <c r="K109" s="13"/>
    </row>
    <row r="110" spans="1:11" hidden="1">
      <c r="A110" s="10" t="s">
        <v>181</v>
      </c>
      <c r="B110" s="9">
        <v>17654</v>
      </c>
      <c r="C110" s="9">
        <v>17654</v>
      </c>
      <c r="D110" s="8"/>
      <c r="E110" s="1742"/>
      <c r="F110" s="15"/>
      <c r="G110" s="14"/>
      <c r="H110" s="14"/>
      <c r="I110" s="14"/>
      <c r="J110" s="13"/>
      <c r="K110" s="13"/>
    </row>
    <row r="111" spans="1:11" hidden="1">
      <c r="A111" s="10" t="s">
        <v>180</v>
      </c>
      <c r="B111" s="9">
        <v>17813</v>
      </c>
      <c r="C111" s="9">
        <v>17813</v>
      </c>
      <c r="D111" s="8"/>
      <c r="E111" s="1742"/>
      <c r="F111" s="15"/>
      <c r="G111" s="14"/>
      <c r="H111" s="14"/>
      <c r="I111" s="14"/>
      <c r="J111" s="13"/>
      <c r="K111" s="13"/>
    </row>
    <row r="112" spans="1:11" hidden="1">
      <c r="A112" s="10" t="s">
        <v>179</v>
      </c>
      <c r="B112" s="9">
        <v>17974</v>
      </c>
      <c r="C112" s="9">
        <v>17974</v>
      </c>
      <c r="D112" s="8"/>
      <c r="E112" s="1742"/>
      <c r="F112" s="15"/>
      <c r="G112" s="14"/>
      <c r="H112" s="14"/>
      <c r="I112" s="14"/>
      <c r="J112" s="13"/>
      <c r="K112" s="13"/>
    </row>
    <row r="113" spans="1:11" hidden="1">
      <c r="A113" s="10" t="s">
        <v>178</v>
      </c>
      <c r="B113" s="9">
        <v>18136</v>
      </c>
      <c r="C113" s="9">
        <v>18136</v>
      </c>
      <c r="D113" s="8"/>
      <c r="E113" s="1742"/>
      <c r="F113" s="15"/>
      <c r="G113" s="14"/>
      <c r="H113" s="14"/>
      <c r="I113" s="14"/>
      <c r="J113" s="13"/>
      <c r="K113" s="13"/>
    </row>
    <row r="114" spans="1:11" hidden="1">
      <c r="A114" s="10" t="s">
        <v>177</v>
      </c>
      <c r="B114" s="9">
        <v>18301</v>
      </c>
      <c r="C114" s="9">
        <v>18301</v>
      </c>
      <c r="D114" s="8"/>
      <c r="E114" s="1742"/>
      <c r="F114" s="15"/>
      <c r="G114" s="14"/>
      <c r="H114" s="14"/>
      <c r="I114" s="14"/>
      <c r="J114" s="13"/>
      <c r="K114" s="13"/>
    </row>
    <row r="115" spans="1:11" hidden="1">
      <c r="A115" s="10" t="s">
        <v>176</v>
      </c>
      <c r="B115" s="9">
        <v>18466</v>
      </c>
      <c r="C115" s="9">
        <v>18466</v>
      </c>
      <c r="D115" s="8"/>
      <c r="E115" s="1742"/>
      <c r="F115" s="15"/>
      <c r="G115" s="14"/>
      <c r="H115" s="14"/>
      <c r="I115" s="14"/>
      <c r="J115" s="13"/>
      <c r="K115" s="13"/>
    </row>
    <row r="116" spans="1:11" hidden="1">
      <c r="A116" s="12" t="s">
        <v>175</v>
      </c>
      <c r="B116" s="11">
        <v>18613</v>
      </c>
      <c r="C116" s="11">
        <v>18613</v>
      </c>
      <c r="D116" s="8"/>
      <c r="E116" s="1742"/>
      <c r="F116" s="15"/>
      <c r="G116" s="14"/>
    </row>
    <row r="117" spans="1:11" hidden="1">
      <c r="A117" s="12" t="s">
        <v>174</v>
      </c>
      <c r="B117" s="11">
        <v>18769</v>
      </c>
      <c r="C117" s="11">
        <v>18769</v>
      </c>
      <c r="D117" s="8"/>
      <c r="E117" s="1742"/>
      <c r="F117" s="15"/>
      <c r="G117" s="14"/>
      <c r="H117" s="14"/>
    </row>
    <row r="118" spans="1:11" hidden="1">
      <c r="A118" s="12" t="s">
        <v>173</v>
      </c>
      <c r="B118" s="11">
        <v>18926</v>
      </c>
      <c r="C118" s="11">
        <v>18926</v>
      </c>
      <c r="D118" s="8"/>
      <c r="E118" s="1742"/>
      <c r="F118" s="15"/>
      <c r="G118" s="14"/>
      <c r="H118" s="14"/>
    </row>
    <row r="119" spans="1:11" hidden="1">
      <c r="A119" s="12" t="s">
        <v>172</v>
      </c>
      <c r="B119" s="11">
        <v>19085</v>
      </c>
      <c r="C119" s="11">
        <v>19085</v>
      </c>
      <c r="D119" s="8"/>
      <c r="E119" s="1742"/>
      <c r="F119" s="15"/>
      <c r="G119" s="14"/>
      <c r="H119" s="14"/>
    </row>
    <row r="120" spans="1:11" hidden="1">
      <c r="A120" s="12" t="s">
        <v>171</v>
      </c>
      <c r="B120" s="11">
        <v>19244</v>
      </c>
      <c r="C120" s="11">
        <v>19244</v>
      </c>
      <c r="D120" s="8"/>
      <c r="E120" s="1742"/>
      <c r="F120" s="15"/>
      <c r="G120" s="14"/>
      <c r="H120" s="14"/>
      <c r="I120" s="14"/>
      <c r="J120" s="13"/>
      <c r="K120" s="13"/>
    </row>
    <row r="121" spans="1:11" hidden="1">
      <c r="A121" s="12" t="s">
        <v>170</v>
      </c>
      <c r="B121" s="11">
        <v>19405</v>
      </c>
      <c r="C121" s="11">
        <v>19405</v>
      </c>
      <c r="D121" s="8"/>
      <c r="E121" s="1742"/>
      <c r="F121" s="15"/>
      <c r="G121" s="14"/>
      <c r="H121" s="14"/>
      <c r="I121" s="14"/>
      <c r="J121" s="13"/>
      <c r="K121" s="13"/>
    </row>
    <row r="122" spans="1:11" hidden="1">
      <c r="A122" s="12" t="s">
        <v>169</v>
      </c>
      <c r="B122" s="11">
        <v>19567</v>
      </c>
      <c r="C122" s="11">
        <v>19567</v>
      </c>
      <c r="D122" s="8"/>
      <c r="E122" s="1742"/>
      <c r="F122" s="15"/>
      <c r="G122" s="14"/>
      <c r="H122" s="14"/>
      <c r="I122" s="14"/>
      <c r="J122" s="13"/>
      <c r="K122" s="13"/>
    </row>
    <row r="123" spans="1:11" hidden="1">
      <c r="A123" s="12" t="s">
        <v>168</v>
      </c>
      <c r="B123" s="11">
        <v>19731</v>
      </c>
      <c r="C123" s="11">
        <v>19731</v>
      </c>
      <c r="D123" s="8"/>
      <c r="E123" s="1742"/>
      <c r="F123" s="15"/>
      <c r="G123" s="14"/>
      <c r="H123" s="14"/>
      <c r="I123" s="14"/>
      <c r="J123" s="13"/>
      <c r="K123" s="13"/>
    </row>
    <row r="124" spans="1:11" hidden="1">
      <c r="A124" s="10" t="s">
        <v>167</v>
      </c>
      <c r="B124" s="9">
        <v>20145</v>
      </c>
      <c r="C124" s="9">
        <v>20145</v>
      </c>
      <c r="D124" s="8"/>
      <c r="E124" s="1741"/>
      <c r="F124" s="15"/>
      <c r="G124" s="14"/>
    </row>
    <row r="125" spans="1:11" hidden="1">
      <c r="A125" s="10" t="s">
        <v>166</v>
      </c>
      <c r="B125" s="9">
        <v>20313</v>
      </c>
      <c r="C125" s="9">
        <v>20313</v>
      </c>
      <c r="D125" s="8"/>
      <c r="E125" s="1741"/>
      <c r="F125" s="15"/>
      <c r="G125" s="14"/>
    </row>
    <row r="126" spans="1:11" hidden="1">
      <c r="A126" s="10" t="s">
        <v>165</v>
      </c>
      <c r="B126" s="9">
        <v>20483</v>
      </c>
      <c r="C126" s="9">
        <v>20483</v>
      </c>
      <c r="D126" s="8"/>
      <c r="E126" s="1741"/>
      <c r="F126" s="15"/>
      <c r="G126" s="14"/>
      <c r="H126" s="14"/>
    </row>
    <row r="127" spans="1:11" hidden="1">
      <c r="A127" s="10" t="s">
        <v>164</v>
      </c>
      <c r="B127" s="9">
        <v>20654</v>
      </c>
      <c r="C127" s="9">
        <v>20654</v>
      </c>
      <c r="D127" s="8"/>
      <c r="E127" s="1741"/>
      <c r="F127" s="15"/>
      <c r="G127" s="14"/>
      <c r="H127" s="14"/>
    </row>
    <row r="128" spans="1:11" hidden="1">
      <c r="A128" s="10" t="s">
        <v>163</v>
      </c>
      <c r="B128" s="9">
        <v>20827</v>
      </c>
      <c r="C128" s="9">
        <v>20827</v>
      </c>
      <c r="D128" s="8"/>
      <c r="E128" s="1741"/>
      <c r="F128" s="15"/>
      <c r="G128" s="14"/>
      <c r="H128" s="14"/>
    </row>
    <row r="129" spans="1:11" hidden="1">
      <c r="A129" s="10" t="s">
        <v>162</v>
      </c>
      <c r="B129" s="9">
        <v>21001</v>
      </c>
      <c r="C129" s="9">
        <v>21001</v>
      </c>
      <c r="D129" s="8"/>
      <c r="E129" s="1741"/>
      <c r="F129" s="15"/>
      <c r="G129" s="14"/>
      <c r="H129" s="14"/>
      <c r="I129" s="14"/>
      <c r="J129" s="13"/>
      <c r="K129" s="13"/>
    </row>
    <row r="130" spans="1:11" hidden="1">
      <c r="A130" s="10" t="s">
        <v>161</v>
      </c>
      <c r="B130" s="9">
        <v>21176</v>
      </c>
      <c r="C130" s="9">
        <v>21176</v>
      </c>
      <c r="D130" s="8"/>
      <c r="E130" s="1741"/>
      <c r="F130" s="15"/>
      <c r="G130" s="14"/>
      <c r="H130" s="17"/>
      <c r="I130" s="14"/>
      <c r="J130" s="13"/>
      <c r="K130" s="13"/>
    </row>
    <row r="131" spans="1:11" hidden="1">
      <c r="A131" s="10" t="s">
        <v>160</v>
      </c>
      <c r="B131" s="9">
        <v>21353</v>
      </c>
      <c r="C131" s="9">
        <v>21353</v>
      </c>
      <c r="D131" s="8"/>
      <c r="E131" s="1741"/>
      <c r="F131" s="15"/>
      <c r="G131" s="14"/>
      <c r="H131" s="18"/>
    </row>
    <row r="132" spans="1:11" hidden="1">
      <c r="A132" s="12" t="s">
        <v>159</v>
      </c>
      <c r="B132" s="11">
        <v>22683</v>
      </c>
      <c r="C132" s="11">
        <v>22683</v>
      </c>
      <c r="D132" s="8"/>
      <c r="E132" s="1741"/>
      <c r="F132" s="15"/>
      <c r="G132" s="14"/>
      <c r="H132" s="17"/>
      <c r="I132" s="14"/>
      <c r="J132" s="13"/>
      <c r="K132" s="13"/>
    </row>
    <row r="133" spans="1:11" hidden="1">
      <c r="A133" s="12" t="s">
        <v>158</v>
      </c>
      <c r="B133" s="11">
        <v>22953</v>
      </c>
      <c r="C133" s="11">
        <v>22953</v>
      </c>
      <c r="D133" s="8"/>
      <c r="E133" s="5"/>
    </row>
    <row r="134" spans="1:11" hidden="1">
      <c r="A134" s="12" t="s">
        <v>157</v>
      </c>
      <c r="B134" s="11">
        <v>23228</v>
      </c>
      <c r="C134" s="11">
        <v>23228</v>
      </c>
      <c r="D134" s="8"/>
      <c r="E134" s="5"/>
    </row>
    <row r="135" spans="1:11" hidden="1">
      <c r="A135" s="12" t="s">
        <v>156</v>
      </c>
      <c r="B135" s="11">
        <v>23505</v>
      </c>
      <c r="C135" s="11">
        <v>23505</v>
      </c>
      <c r="D135" s="8"/>
      <c r="E135" s="5"/>
    </row>
    <row r="136" spans="1:11" hidden="1">
      <c r="A136" s="12" t="s">
        <v>155</v>
      </c>
      <c r="B136" s="11">
        <v>23786</v>
      </c>
      <c r="C136" s="11">
        <v>23786</v>
      </c>
      <c r="D136" s="8"/>
      <c r="E136" s="5"/>
    </row>
    <row r="137" spans="1:11" hidden="1">
      <c r="A137" s="12" t="s">
        <v>154</v>
      </c>
      <c r="B137" s="11">
        <v>24072</v>
      </c>
      <c r="C137" s="11">
        <v>24072</v>
      </c>
      <c r="D137" s="8"/>
      <c r="E137" s="5"/>
    </row>
    <row r="138" spans="1:11" hidden="1">
      <c r="A138" s="12" t="s">
        <v>153</v>
      </c>
      <c r="B138" s="11">
        <v>24361</v>
      </c>
      <c r="C138" s="11">
        <v>24361</v>
      </c>
      <c r="D138" s="8"/>
      <c r="E138" s="5"/>
    </row>
    <row r="139" spans="1:11" hidden="1">
      <c r="A139" s="12" t="s">
        <v>152</v>
      </c>
      <c r="B139" s="11">
        <v>24654</v>
      </c>
      <c r="C139" s="11">
        <v>24654</v>
      </c>
      <c r="D139" s="8"/>
      <c r="E139" s="5"/>
    </row>
    <row r="140" spans="1:11" hidden="1">
      <c r="A140" s="10" t="s">
        <v>151</v>
      </c>
      <c r="B140" s="9">
        <v>24749</v>
      </c>
      <c r="C140" s="9">
        <v>24749</v>
      </c>
      <c r="D140" s="8"/>
      <c r="E140" s="5"/>
    </row>
    <row r="141" spans="1:11" hidden="1">
      <c r="A141" s="10" t="s">
        <v>150</v>
      </c>
      <c r="B141" s="9">
        <v>25019</v>
      </c>
      <c r="C141" s="9">
        <v>25019</v>
      </c>
      <c r="D141" s="8"/>
      <c r="E141" s="5"/>
    </row>
    <row r="142" spans="1:11" hidden="1">
      <c r="A142" s="10" t="s">
        <v>149</v>
      </c>
      <c r="B142" s="9">
        <v>25293</v>
      </c>
      <c r="C142" s="9">
        <v>25293</v>
      </c>
      <c r="D142" s="8"/>
      <c r="E142" s="5"/>
      <c r="F142" s="16"/>
      <c r="G142" s="15"/>
      <c r="H142" s="14"/>
      <c r="I142" s="14"/>
      <c r="J142" s="13"/>
      <c r="K142" s="13"/>
    </row>
    <row r="143" spans="1:11" hidden="1">
      <c r="A143" s="10" t="s">
        <v>148</v>
      </c>
      <c r="B143" s="9">
        <v>25569</v>
      </c>
      <c r="C143" s="9">
        <v>25569</v>
      </c>
      <c r="D143" s="8"/>
      <c r="E143" s="5"/>
      <c r="F143" s="16"/>
      <c r="G143" s="15"/>
      <c r="H143" s="14"/>
      <c r="I143" s="14"/>
      <c r="J143" s="13"/>
      <c r="K143" s="13"/>
    </row>
    <row r="144" spans="1:11" hidden="1">
      <c r="A144" s="10" t="s">
        <v>147</v>
      </c>
      <c r="B144" s="9">
        <v>25850</v>
      </c>
      <c r="C144" s="9">
        <v>25850</v>
      </c>
      <c r="D144" s="8"/>
      <c r="E144" s="5"/>
      <c r="F144" s="16"/>
      <c r="G144" s="15"/>
      <c r="H144" s="14"/>
      <c r="I144" s="14"/>
      <c r="J144" s="13"/>
      <c r="K144" s="13"/>
    </row>
    <row r="145" spans="1:116" hidden="1">
      <c r="A145" s="10" t="s">
        <v>146</v>
      </c>
      <c r="B145" s="9">
        <v>26134</v>
      </c>
      <c r="C145" s="9">
        <v>26134</v>
      </c>
      <c r="D145" s="8"/>
      <c r="E145" s="5"/>
      <c r="F145" s="16"/>
      <c r="G145" s="15"/>
      <c r="H145" s="14"/>
      <c r="I145" s="14"/>
      <c r="J145" s="13"/>
      <c r="K145" s="13"/>
    </row>
    <row r="146" spans="1:116" hidden="1">
      <c r="A146" s="10" t="s">
        <v>145</v>
      </c>
      <c r="B146" s="9">
        <v>26420</v>
      </c>
      <c r="C146" s="9">
        <v>26420</v>
      </c>
      <c r="D146" s="8"/>
      <c r="E146" s="5"/>
      <c r="F146" s="16"/>
      <c r="G146" s="15"/>
      <c r="H146" s="14"/>
      <c r="I146" s="14"/>
      <c r="J146" s="13"/>
      <c r="K146" s="13"/>
    </row>
    <row r="147" spans="1:116" hidden="1">
      <c r="A147" s="10" t="s">
        <v>144</v>
      </c>
      <c r="B147" s="9">
        <v>26711</v>
      </c>
      <c r="C147" s="9">
        <v>26711</v>
      </c>
      <c r="D147" s="8"/>
      <c r="E147" s="5"/>
      <c r="F147" s="16"/>
      <c r="G147" s="15"/>
      <c r="H147" s="14"/>
      <c r="I147" s="14"/>
      <c r="J147" s="13"/>
      <c r="K147" s="13"/>
    </row>
    <row r="148" spans="1:116" hidden="1">
      <c r="A148" s="12" t="s">
        <v>143</v>
      </c>
      <c r="B148" s="11">
        <v>26862</v>
      </c>
      <c r="C148" s="11">
        <v>26862</v>
      </c>
      <c r="D148" s="8"/>
      <c r="E148" s="5"/>
    </row>
    <row r="149" spans="1:116" hidden="1">
      <c r="A149" s="12" t="s">
        <v>142</v>
      </c>
      <c r="B149" s="11">
        <v>27160</v>
      </c>
      <c r="C149" s="11">
        <v>27160</v>
      </c>
      <c r="D149" s="8"/>
      <c r="E149" s="5"/>
    </row>
    <row r="150" spans="1:116" hidden="1">
      <c r="A150" s="12" t="s">
        <v>141</v>
      </c>
      <c r="B150" s="11">
        <v>27460</v>
      </c>
      <c r="C150" s="11">
        <v>27460</v>
      </c>
      <c r="D150" s="8"/>
      <c r="E150" s="5"/>
    </row>
    <row r="151" spans="1:116" hidden="1">
      <c r="A151" s="12" t="s">
        <v>140</v>
      </c>
      <c r="B151" s="11">
        <v>27764</v>
      </c>
      <c r="C151" s="11">
        <v>27764</v>
      </c>
      <c r="D151" s="8"/>
      <c r="E151" s="5"/>
    </row>
    <row r="152" spans="1:116" hidden="1">
      <c r="A152" s="12" t="s">
        <v>139</v>
      </c>
      <c r="B152" s="11">
        <v>28073</v>
      </c>
      <c r="C152" s="11">
        <v>28073</v>
      </c>
      <c r="D152" s="8"/>
      <c r="E152" s="5"/>
    </row>
    <row r="153" spans="1:116" s="4" customFormat="1" hidden="1">
      <c r="A153" s="12" t="s">
        <v>138</v>
      </c>
      <c r="B153" s="11">
        <v>28384</v>
      </c>
      <c r="C153" s="11">
        <v>28384</v>
      </c>
      <c r="D153" s="8"/>
      <c r="E153" s="5"/>
      <c r="F153" s="1"/>
      <c r="G153" s="1"/>
      <c r="H153" s="1"/>
      <c r="I153" s="1"/>
      <c r="J153" s="3"/>
      <c r="K153" s="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row>
    <row r="154" spans="1:116" s="4" customFormat="1" hidden="1">
      <c r="A154" s="12" t="s">
        <v>137</v>
      </c>
      <c r="B154" s="11">
        <v>28700</v>
      </c>
      <c r="C154" s="11">
        <v>28700</v>
      </c>
      <c r="D154" s="8"/>
      <c r="E154" s="5"/>
      <c r="F154" s="1"/>
      <c r="G154" s="1"/>
      <c r="H154" s="1"/>
      <c r="I154" s="1"/>
      <c r="J154" s="3"/>
      <c r="K154" s="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row>
    <row r="155" spans="1:116" s="4" customFormat="1" hidden="1">
      <c r="A155" s="12" t="s">
        <v>136</v>
      </c>
      <c r="B155" s="11">
        <v>29020</v>
      </c>
      <c r="C155" s="11">
        <v>29020</v>
      </c>
      <c r="D155" s="8"/>
      <c r="E155" s="5"/>
      <c r="F155" s="1"/>
      <c r="G155" s="1"/>
      <c r="H155" s="1"/>
      <c r="I155" s="1"/>
      <c r="J155" s="3"/>
      <c r="K155" s="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row>
    <row r="156" spans="1:116" s="4" customFormat="1" hidden="1">
      <c r="A156" s="10" t="s">
        <v>135</v>
      </c>
      <c r="B156" s="9">
        <v>29259</v>
      </c>
      <c r="C156" s="9">
        <v>29259</v>
      </c>
      <c r="D156" s="8"/>
      <c r="E156" s="5"/>
      <c r="F156" s="1"/>
      <c r="G156" s="1"/>
      <c r="H156" s="1"/>
      <c r="I156" s="1"/>
      <c r="J156" s="3"/>
      <c r="K156" s="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row>
    <row r="157" spans="1:116" s="4" customFormat="1" hidden="1">
      <c r="A157" s="10" t="s">
        <v>134</v>
      </c>
      <c r="B157" s="9">
        <v>29586</v>
      </c>
      <c r="C157" s="9">
        <v>29586</v>
      </c>
      <c r="D157" s="8"/>
      <c r="E157" s="5"/>
      <c r="F157" s="1"/>
      <c r="G157" s="1"/>
      <c r="H157" s="1"/>
      <c r="I157" s="1"/>
      <c r="J157" s="3"/>
      <c r="K157" s="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row>
    <row r="158" spans="1:116" s="4" customFormat="1" hidden="1">
      <c r="A158" s="10" t="s">
        <v>133</v>
      </c>
      <c r="B158" s="9">
        <v>29916</v>
      </c>
      <c r="C158" s="9">
        <v>29916</v>
      </c>
      <c r="D158" s="8"/>
      <c r="E158" s="5"/>
      <c r="F158" s="1"/>
      <c r="G158" s="1"/>
      <c r="H158" s="1"/>
      <c r="I158" s="1"/>
      <c r="J158" s="3"/>
      <c r="K158" s="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row>
    <row r="159" spans="1:116" s="4" customFormat="1" hidden="1">
      <c r="A159" s="10" t="s">
        <v>132</v>
      </c>
      <c r="B159" s="9">
        <v>30252</v>
      </c>
      <c r="C159" s="9">
        <v>30252</v>
      </c>
      <c r="D159" s="8"/>
      <c r="E159" s="5"/>
      <c r="F159" s="1"/>
      <c r="G159" s="1"/>
      <c r="H159" s="1"/>
      <c r="I159" s="1"/>
      <c r="J159" s="3"/>
      <c r="K159" s="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row>
    <row r="160" spans="1:116" s="4" customFormat="1" hidden="1">
      <c r="A160" s="10" t="s">
        <v>131</v>
      </c>
      <c r="B160" s="9">
        <v>30590</v>
      </c>
      <c r="C160" s="9">
        <v>30590</v>
      </c>
      <c r="D160" s="8"/>
      <c r="E160" s="5"/>
      <c r="F160" s="1"/>
      <c r="G160" s="1"/>
      <c r="H160" s="1"/>
      <c r="I160" s="1"/>
      <c r="J160" s="3"/>
      <c r="K160" s="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row>
    <row r="161" spans="1:116" s="4" customFormat="1" hidden="1">
      <c r="A161" s="10" t="s">
        <v>130</v>
      </c>
      <c r="B161" s="9">
        <v>30933</v>
      </c>
      <c r="C161" s="9">
        <v>30933</v>
      </c>
      <c r="D161" s="8"/>
      <c r="E161" s="5"/>
      <c r="F161" s="1"/>
      <c r="G161" s="1"/>
      <c r="H161" s="1"/>
      <c r="I161" s="1"/>
      <c r="J161" s="3"/>
      <c r="K161" s="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row>
    <row r="162" spans="1:116" s="4" customFormat="1" hidden="1">
      <c r="A162" s="10" t="s">
        <v>129</v>
      </c>
      <c r="B162" s="9">
        <v>31281</v>
      </c>
      <c r="C162" s="9">
        <v>31281</v>
      </c>
      <c r="D162" s="8"/>
      <c r="E162" s="5"/>
      <c r="F162" s="1"/>
      <c r="G162" s="1"/>
      <c r="H162" s="1"/>
      <c r="I162" s="1"/>
      <c r="J162" s="3"/>
      <c r="K162" s="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row>
    <row r="163" spans="1:116" s="4" customFormat="1" hidden="1">
      <c r="A163" s="10" t="s">
        <v>128</v>
      </c>
      <c r="B163" s="9">
        <v>31632</v>
      </c>
      <c r="C163" s="9">
        <v>31632</v>
      </c>
      <c r="D163" s="8"/>
      <c r="E163" s="5"/>
      <c r="F163" s="1"/>
      <c r="G163" s="1"/>
      <c r="H163" s="1"/>
      <c r="I163" s="1"/>
      <c r="J163" s="3"/>
      <c r="K163" s="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row>
    <row r="164" spans="1:116" s="4" customFormat="1" hidden="1">
      <c r="A164" s="12" t="s">
        <v>127</v>
      </c>
      <c r="B164" s="11">
        <v>31896</v>
      </c>
      <c r="C164" s="11">
        <v>31896</v>
      </c>
      <c r="D164" s="8"/>
      <c r="E164" s="5"/>
      <c r="F164" s="1"/>
      <c r="G164" s="1"/>
      <c r="H164" s="1"/>
      <c r="I164" s="1"/>
      <c r="J164" s="3"/>
      <c r="K164" s="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row>
    <row r="165" spans="1:116" s="4" customFormat="1" hidden="1">
      <c r="A165" s="12" t="s">
        <v>126</v>
      </c>
      <c r="B165" s="11">
        <v>32255</v>
      </c>
      <c r="C165" s="11">
        <v>32255</v>
      </c>
      <c r="D165" s="8"/>
      <c r="E165" s="5"/>
      <c r="F165" s="1"/>
      <c r="G165" s="1"/>
      <c r="H165" s="1"/>
      <c r="I165" s="1"/>
      <c r="J165" s="3"/>
      <c r="K165" s="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row>
    <row r="166" spans="1:116" s="4" customFormat="1" hidden="1">
      <c r="A166" s="12" t="s">
        <v>125</v>
      </c>
      <c r="B166" s="11">
        <v>32619</v>
      </c>
      <c r="C166" s="11">
        <v>32619</v>
      </c>
      <c r="D166" s="8"/>
      <c r="E166" s="5"/>
      <c r="F166" s="1"/>
      <c r="G166" s="1"/>
      <c r="H166" s="1"/>
      <c r="I166" s="1"/>
      <c r="J166" s="3"/>
      <c r="K166" s="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row>
    <row r="167" spans="1:116" s="4" customFormat="1" hidden="1">
      <c r="A167" s="12" t="s">
        <v>124</v>
      </c>
      <c r="B167" s="11">
        <v>32988</v>
      </c>
      <c r="C167" s="11">
        <v>32988</v>
      </c>
      <c r="D167" s="8"/>
      <c r="E167" s="5"/>
      <c r="F167" s="1"/>
      <c r="G167" s="1"/>
      <c r="H167" s="1"/>
      <c r="I167" s="1"/>
      <c r="J167" s="3"/>
      <c r="K167" s="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row>
    <row r="168" spans="1:116" s="4" customFormat="1" hidden="1">
      <c r="A168" s="12" t="s">
        <v>123</v>
      </c>
      <c r="B168" s="11">
        <v>33360</v>
      </c>
      <c r="C168" s="11">
        <v>33360</v>
      </c>
      <c r="D168" s="8"/>
      <c r="E168" s="5"/>
      <c r="F168" s="1"/>
      <c r="G168" s="1"/>
      <c r="H168" s="1"/>
      <c r="I168" s="1"/>
      <c r="J168" s="3"/>
      <c r="K168" s="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row>
    <row r="169" spans="1:116" s="4" customFormat="1" hidden="1">
      <c r="A169" s="12" t="s">
        <v>122</v>
      </c>
      <c r="B169" s="11">
        <v>33737</v>
      </c>
      <c r="C169" s="11">
        <v>33737</v>
      </c>
      <c r="D169" s="8"/>
      <c r="E169" s="5"/>
      <c r="F169" s="1"/>
      <c r="G169" s="1"/>
      <c r="H169" s="1"/>
      <c r="I169" s="1"/>
      <c r="J169" s="3"/>
      <c r="K169" s="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row>
    <row r="170" spans="1:116" s="4" customFormat="1" hidden="1">
      <c r="A170" s="12" t="s">
        <v>121</v>
      </c>
      <c r="B170" s="11">
        <v>34119</v>
      </c>
      <c r="C170" s="11">
        <v>34119</v>
      </c>
      <c r="D170" s="8"/>
      <c r="E170" s="5"/>
      <c r="F170" s="1"/>
      <c r="G170" s="1"/>
      <c r="H170" s="1"/>
      <c r="I170" s="1"/>
      <c r="J170" s="3"/>
      <c r="K170" s="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row>
    <row r="171" spans="1:116" s="4" customFormat="1" hidden="1">
      <c r="A171" s="12" t="s">
        <v>120</v>
      </c>
      <c r="B171" s="11">
        <v>34507</v>
      </c>
      <c r="C171" s="11">
        <v>34507</v>
      </c>
      <c r="D171" s="8"/>
      <c r="E171" s="5"/>
      <c r="F171" s="1"/>
      <c r="G171" s="1"/>
      <c r="H171" s="1"/>
      <c r="I171" s="1"/>
      <c r="J171" s="3"/>
      <c r="K171" s="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row>
    <row r="172" spans="1:116" s="4" customFormat="1" hidden="1">
      <c r="A172" s="10" t="s">
        <v>119</v>
      </c>
      <c r="B172" s="9">
        <v>34797</v>
      </c>
      <c r="C172" s="9">
        <v>34797</v>
      </c>
      <c r="D172" s="8"/>
      <c r="E172" s="5"/>
      <c r="F172" s="1"/>
      <c r="G172" s="1"/>
      <c r="H172" s="1"/>
      <c r="I172" s="1"/>
      <c r="J172" s="3"/>
      <c r="K172" s="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row>
    <row r="173" spans="1:116" s="4" customFormat="1" hidden="1">
      <c r="A173" s="10" t="s">
        <v>118</v>
      </c>
      <c r="B173" s="9">
        <v>35192</v>
      </c>
      <c r="C173" s="9">
        <v>35192</v>
      </c>
      <c r="D173" s="8"/>
      <c r="E173" s="5"/>
      <c r="F173" s="1"/>
      <c r="G173" s="1"/>
      <c r="H173" s="1"/>
      <c r="I173" s="1"/>
      <c r="J173" s="3"/>
      <c r="K173" s="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row>
    <row r="174" spans="1:116" s="4" customFormat="1" hidden="1">
      <c r="A174" s="10" t="s">
        <v>117</v>
      </c>
      <c r="B174" s="9">
        <v>35592</v>
      </c>
      <c r="C174" s="9">
        <v>35592</v>
      </c>
      <c r="D174" s="8"/>
      <c r="E174" s="5"/>
      <c r="F174" s="1"/>
      <c r="G174" s="1"/>
      <c r="H174" s="1"/>
      <c r="I174" s="1"/>
      <c r="J174" s="3"/>
      <c r="K174" s="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row>
    <row r="175" spans="1:116" s="4" customFormat="1" hidden="1">
      <c r="A175" s="10" t="s">
        <v>116</v>
      </c>
      <c r="B175" s="9">
        <v>35996</v>
      </c>
      <c r="C175" s="9">
        <v>35996</v>
      </c>
      <c r="D175" s="8"/>
      <c r="E175" s="5"/>
      <c r="F175" s="1"/>
      <c r="G175" s="1"/>
      <c r="H175" s="1"/>
      <c r="I175" s="1"/>
      <c r="J175" s="3"/>
      <c r="K175" s="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row>
    <row r="176" spans="1:116" s="4" customFormat="1" hidden="1">
      <c r="A176" s="10" t="s">
        <v>115</v>
      </c>
      <c r="B176" s="9">
        <v>36407</v>
      </c>
      <c r="C176" s="9">
        <v>36407</v>
      </c>
      <c r="D176" s="8"/>
      <c r="E176" s="5"/>
      <c r="F176" s="1"/>
      <c r="G176" s="1"/>
      <c r="H176" s="1"/>
      <c r="I176" s="1"/>
      <c r="J176" s="3"/>
      <c r="K176" s="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row>
    <row r="177" spans="1:116" s="4" customFormat="1" hidden="1">
      <c r="A177" s="10" t="s">
        <v>114</v>
      </c>
      <c r="B177" s="9">
        <v>36822</v>
      </c>
      <c r="C177" s="9">
        <v>36822</v>
      </c>
      <c r="D177" s="8"/>
      <c r="E177" s="5"/>
      <c r="F177" s="1"/>
      <c r="G177" s="1"/>
      <c r="H177" s="1"/>
      <c r="I177" s="1"/>
      <c r="J177" s="3"/>
      <c r="K177" s="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row>
    <row r="178" spans="1:116" s="4" customFormat="1" hidden="1">
      <c r="A178" s="10" t="s">
        <v>113</v>
      </c>
      <c r="B178" s="9">
        <v>37243</v>
      </c>
      <c r="C178" s="9">
        <v>37243</v>
      </c>
      <c r="D178" s="8"/>
      <c r="E178" s="5"/>
      <c r="F178" s="1"/>
      <c r="G178" s="1"/>
      <c r="H178" s="1"/>
      <c r="I178" s="1"/>
      <c r="J178" s="3"/>
      <c r="K178" s="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row>
    <row r="179" spans="1:116" s="4" customFormat="1" hidden="1">
      <c r="A179" s="10" t="s">
        <v>112</v>
      </c>
      <c r="B179" s="9">
        <v>37668</v>
      </c>
      <c r="C179" s="9">
        <v>37668</v>
      </c>
      <c r="D179" s="8"/>
      <c r="E179" s="5"/>
      <c r="F179" s="1"/>
      <c r="G179" s="1"/>
      <c r="H179" s="1"/>
      <c r="I179" s="1"/>
      <c r="J179" s="3"/>
      <c r="K179" s="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row>
    <row r="180" spans="1:116" s="4" customFormat="1" hidden="1">
      <c r="A180" s="12" t="s">
        <v>111</v>
      </c>
      <c r="B180" s="11">
        <v>37987</v>
      </c>
      <c r="C180" s="11">
        <v>37987</v>
      </c>
      <c r="D180" s="8"/>
      <c r="E180" s="5"/>
      <c r="F180" s="1"/>
      <c r="G180" s="1"/>
      <c r="H180" s="1"/>
      <c r="I180" s="1"/>
      <c r="J180" s="3"/>
      <c r="K180" s="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row>
    <row r="181" spans="1:116" s="4" customFormat="1" hidden="1">
      <c r="A181" s="12" t="s">
        <v>110</v>
      </c>
      <c r="B181" s="11">
        <v>38422</v>
      </c>
      <c r="C181" s="11">
        <v>38422</v>
      </c>
      <c r="D181" s="8"/>
      <c r="E181" s="5"/>
      <c r="F181" s="1"/>
      <c r="G181" s="1"/>
      <c r="H181" s="1"/>
      <c r="I181" s="1"/>
      <c r="J181" s="3"/>
      <c r="K181" s="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row>
    <row r="182" spans="1:116" s="4" customFormat="1" hidden="1">
      <c r="A182" s="12" t="s">
        <v>109</v>
      </c>
      <c r="B182" s="11">
        <v>38862</v>
      </c>
      <c r="C182" s="11">
        <v>38862</v>
      </c>
      <c r="D182" s="8"/>
      <c r="E182" s="5"/>
      <c r="F182" s="1"/>
      <c r="G182" s="1"/>
      <c r="H182" s="1"/>
      <c r="I182" s="1"/>
      <c r="J182" s="3"/>
      <c r="K182" s="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row>
    <row r="183" spans="1:116" s="4" customFormat="1" hidden="1">
      <c r="A183" s="12" t="s">
        <v>108</v>
      </c>
      <c r="B183" s="11">
        <v>39307</v>
      </c>
      <c r="C183" s="11">
        <v>39307</v>
      </c>
      <c r="D183" s="8"/>
      <c r="E183" s="5"/>
      <c r="F183" s="1"/>
      <c r="G183" s="1"/>
      <c r="H183" s="1"/>
      <c r="I183" s="1"/>
      <c r="J183" s="3"/>
      <c r="K183" s="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row>
    <row r="184" spans="1:116" s="4" customFormat="1" hidden="1">
      <c r="A184" s="12" t="s">
        <v>107</v>
      </c>
      <c r="B184" s="11">
        <v>39758</v>
      </c>
      <c r="C184" s="11">
        <v>39758</v>
      </c>
      <c r="D184" s="8"/>
      <c r="E184" s="5"/>
      <c r="F184" s="1"/>
      <c r="G184" s="1"/>
      <c r="H184" s="1"/>
      <c r="I184" s="1"/>
      <c r="J184" s="3"/>
      <c r="K184" s="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row>
    <row r="185" spans="1:116" s="4" customFormat="1" hidden="1">
      <c r="A185" s="12" t="s">
        <v>106</v>
      </c>
      <c r="B185" s="11">
        <v>40215</v>
      </c>
      <c r="C185" s="11">
        <v>40215</v>
      </c>
      <c r="D185" s="8"/>
      <c r="E185" s="5"/>
      <c r="F185" s="1"/>
      <c r="G185" s="1"/>
      <c r="H185" s="1"/>
      <c r="I185" s="1"/>
      <c r="J185" s="3"/>
      <c r="K185" s="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row>
    <row r="186" spans="1:116" s="4" customFormat="1" hidden="1">
      <c r="A186" s="12" t="s">
        <v>105</v>
      </c>
      <c r="B186" s="11">
        <v>40677</v>
      </c>
      <c r="C186" s="11">
        <v>40677</v>
      </c>
      <c r="D186" s="8"/>
      <c r="E186" s="5"/>
      <c r="F186" s="1"/>
      <c r="G186" s="1"/>
      <c r="H186" s="1"/>
      <c r="I186" s="1"/>
      <c r="J186" s="3"/>
      <c r="K186" s="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row>
    <row r="187" spans="1:116" s="4" customFormat="1" hidden="1">
      <c r="A187" s="12" t="s">
        <v>104</v>
      </c>
      <c r="B187" s="11">
        <v>41145</v>
      </c>
      <c r="C187" s="11">
        <v>41145</v>
      </c>
      <c r="D187" s="8"/>
      <c r="E187" s="5"/>
      <c r="F187" s="1"/>
      <c r="G187" s="1"/>
      <c r="H187" s="1"/>
      <c r="I187" s="1"/>
      <c r="J187" s="3"/>
      <c r="K187" s="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row>
    <row r="188" spans="1:116" s="4" customFormat="1" hidden="1">
      <c r="A188" s="10" t="s">
        <v>103</v>
      </c>
      <c r="B188" s="9">
        <v>41497</v>
      </c>
      <c r="C188" s="9">
        <v>41497</v>
      </c>
      <c r="D188" s="8"/>
      <c r="E188" s="5"/>
      <c r="F188" s="1"/>
      <c r="G188" s="1"/>
      <c r="H188" s="1"/>
      <c r="I188" s="1"/>
      <c r="J188" s="3"/>
      <c r="K188" s="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row>
    <row r="189" spans="1:116" s="4" customFormat="1" hidden="1">
      <c r="A189" s="10" t="s">
        <v>102</v>
      </c>
      <c r="B189" s="9">
        <v>41975</v>
      </c>
      <c r="C189" s="9">
        <v>41975</v>
      </c>
      <c r="D189" s="8"/>
      <c r="E189" s="5"/>
      <c r="F189" s="1"/>
      <c r="G189" s="1"/>
      <c r="H189" s="1"/>
      <c r="I189" s="1"/>
      <c r="J189" s="3"/>
      <c r="K189" s="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row>
    <row r="190" spans="1:116" s="4" customFormat="1" hidden="1">
      <c r="A190" s="10" t="s">
        <v>101</v>
      </c>
      <c r="B190" s="9">
        <v>42459</v>
      </c>
      <c r="C190" s="9">
        <v>42459</v>
      </c>
      <c r="D190" s="8"/>
      <c r="E190" s="5"/>
      <c r="F190" s="1"/>
      <c r="G190" s="1"/>
      <c r="H190" s="1"/>
      <c r="I190" s="1"/>
      <c r="J190" s="3"/>
      <c r="K190" s="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row>
    <row r="191" spans="1:116" s="4" customFormat="1" hidden="1">
      <c r="A191" s="10" t="s">
        <v>100</v>
      </c>
      <c r="B191" s="9">
        <v>42949</v>
      </c>
      <c r="C191" s="9">
        <v>42949</v>
      </c>
      <c r="D191" s="8"/>
      <c r="E191" s="5"/>
      <c r="F191" s="1"/>
      <c r="G191" s="1"/>
      <c r="H191" s="1"/>
      <c r="I191" s="1"/>
      <c r="J191" s="3"/>
      <c r="K191" s="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row>
    <row r="192" spans="1:116" s="4" customFormat="1" hidden="1">
      <c r="A192" s="10" t="s">
        <v>99</v>
      </c>
      <c r="B192" s="9">
        <v>43445</v>
      </c>
      <c r="C192" s="9">
        <v>43445</v>
      </c>
      <c r="D192" s="8"/>
      <c r="E192" s="5"/>
      <c r="F192" s="1"/>
      <c r="G192" s="1"/>
      <c r="H192" s="1"/>
      <c r="I192" s="1"/>
      <c r="J192" s="3"/>
      <c r="K192" s="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row>
    <row r="193" spans="1:116" s="4" customFormat="1" hidden="1">
      <c r="A193" s="10" t="s">
        <v>98</v>
      </c>
      <c r="B193" s="9">
        <v>43948</v>
      </c>
      <c r="C193" s="9">
        <v>43948</v>
      </c>
      <c r="D193" s="8"/>
      <c r="E193" s="5"/>
      <c r="F193" s="1"/>
      <c r="G193" s="1"/>
      <c r="H193" s="1"/>
      <c r="I193" s="1"/>
      <c r="J193" s="3"/>
      <c r="K193" s="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row>
    <row r="194" spans="1:116" s="4" customFormat="1" hidden="1">
      <c r="A194" s="10" t="s">
        <v>97</v>
      </c>
      <c r="B194" s="9">
        <v>44456</v>
      </c>
      <c r="C194" s="9">
        <v>44456</v>
      </c>
      <c r="D194" s="8"/>
      <c r="E194" s="5"/>
      <c r="F194" s="1"/>
      <c r="G194" s="1"/>
      <c r="H194" s="1"/>
      <c r="I194" s="1"/>
      <c r="J194" s="3"/>
      <c r="K194" s="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row>
    <row r="195" spans="1:116" s="4" customFormat="1" hidden="1">
      <c r="A195" s="10" t="s">
        <v>96</v>
      </c>
      <c r="B195" s="9">
        <v>44971</v>
      </c>
      <c r="C195" s="9">
        <v>44971</v>
      </c>
      <c r="D195" s="8"/>
      <c r="E195" s="5"/>
      <c r="F195" s="1"/>
      <c r="G195" s="1"/>
      <c r="H195" s="1"/>
      <c r="I195" s="1"/>
      <c r="J195" s="3"/>
      <c r="K195" s="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row>
    <row r="196" spans="1:116" s="4" customFormat="1" hidden="1">
      <c r="A196" s="12" t="s">
        <v>95</v>
      </c>
      <c r="B196" s="11">
        <v>45897</v>
      </c>
      <c r="C196" s="11">
        <v>45897</v>
      </c>
      <c r="D196" s="8"/>
      <c r="E196" s="5"/>
      <c r="F196" s="1"/>
      <c r="G196" s="1"/>
      <c r="H196" s="1"/>
      <c r="I196" s="1"/>
      <c r="J196" s="3"/>
      <c r="K196" s="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row>
    <row r="197" spans="1:116" s="4" customFormat="1" hidden="1">
      <c r="A197" s="12" t="s">
        <v>94</v>
      </c>
      <c r="B197" s="11">
        <v>46599</v>
      </c>
      <c r="C197" s="11">
        <v>46599</v>
      </c>
      <c r="D197" s="8"/>
      <c r="E197" s="5"/>
      <c r="F197" s="1"/>
      <c r="G197" s="1"/>
      <c r="H197" s="1"/>
      <c r="I197" s="1"/>
      <c r="J197" s="3"/>
      <c r="K197" s="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row>
    <row r="198" spans="1:116" s="4" customFormat="1" hidden="1">
      <c r="A198" s="12" t="s">
        <v>93</v>
      </c>
      <c r="B198" s="11">
        <v>47313</v>
      </c>
      <c r="C198" s="11">
        <v>47313</v>
      </c>
      <c r="D198" s="8"/>
      <c r="E198" s="5"/>
      <c r="F198" s="1"/>
      <c r="G198" s="1"/>
      <c r="H198" s="1"/>
      <c r="I198" s="1"/>
      <c r="J198" s="3"/>
      <c r="K198" s="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row>
    <row r="199" spans="1:116" s="4" customFormat="1" hidden="1">
      <c r="A199" s="12" t="s">
        <v>92</v>
      </c>
      <c r="B199" s="11">
        <v>48038</v>
      </c>
      <c r="C199" s="11">
        <v>48038</v>
      </c>
      <c r="D199" s="8"/>
      <c r="E199" s="5"/>
      <c r="F199" s="1"/>
      <c r="G199" s="1"/>
      <c r="H199" s="1"/>
      <c r="I199" s="1"/>
      <c r="J199" s="3"/>
      <c r="K199" s="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row>
    <row r="200" spans="1:116" s="4" customFormat="1" hidden="1">
      <c r="A200" s="12" t="s">
        <v>91</v>
      </c>
      <c r="B200" s="11">
        <v>48775</v>
      </c>
      <c r="C200" s="11">
        <v>48775</v>
      </c>
      <c r="D200" s="8"/>
      <c r="E200" s="5"/>
      <c r="F200" s="1"/>
      <c r="G200" s="1"/>
      <c r="H200" s="1"/>
      <c r="I200" s="1"/>
      <c r="J200" s="3"/>
      <c r="K200" s="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row>
    <row r="201" spans="1:116" s="4" customFormat="1" hidden="1">
      <c r="A201" s="12" t="s">
        <v>90</v>
      </c>
      <c r="B201" s="11">
        <v>49524</v>
      </c>
      <c r="C201" s="11">
        <v>49524</v>
      </c>
      <c r="D201" s="8"/>
      <c r="E201" s="5"/>
      <c r="F201" s="1"/>
      <c r="G201" s="1"/>
      <c r="H201" s="1"/>
      <c r="I201" s="1"/>
      <c r="J201" s="3"/>
      <c r="K201" s="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row>
    <row r="202" spans="1:116" s="4" customFormat="1" hidden="1">
      <c r="A202" s="12" t="s">
        <v>89</v>
      </c>
      <c r="B202" s="11">
        <v>50285</v>
      </c>
      <c r="C202" s="11">
        <v>50285</v>
      </c>
      <c r="D202" s="8"/>
      <c r="E202" s="5"/>
      <c r="F202" s="1"/>
      <c r="G202" s="1"/>
      <c r="H202" s="1"/>
      <c r="I202" s="1"/>
      <c r="J202" s="3"/>
      <c r="K202" s="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row>
    <row r="203" spans="1:116" s="4" customFormat="1" hidden="1">
      <c r="A203" s="12" t="s">
        <v>88</v>
      </c>
      <c r="B203" s="11">
        <v>51059</v>
      </c>
      <c r="C203" s="11">
        <v>51059</v>
      </c>
      <c r="D203" s="8"/>
      <c r="E203" s="5"/>
      <c r="F203" s="1"/>
      <c r="G203" s="1"/>
      <c r="H203" s="1"/>
      <c r="I203" s="1"/>
      <c r="J203" s="3"/>
      <c r="K203" s="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row>
    <row r="204" spans="1:116" s="4" customFormat="1" hidden="1">
      <c r="A204" s="10" t="s">
        <v>87</v>
      </c>
      <c r="B204" s="9">
        <v>51538</v>
      </c>
      <c r="C204" s="9">
        <v>51538</v>
      </c>
      <c r="D204" s="8"/>
      <c r="E204" s="5"/>
      <c r="F204" s="1"/>
      <c r="G204" s="1"/>
      <c r="H204" s="1"/>
      <c r="I204" s="1"/>
      <c r="J204" s="3"/>
      <c r="K204" s="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row>
    <row r="205" spans="1:116" s="4" customFormat="1" hidden="1">
      <c r="A205" s="10" t="s">
        <v>86</v>
      </c>
      <c r="B205" s="9">
        <v>52331</v>
      </c>
      <c r="C205" s="9">
        <v>52331</v>
      </c>
      <c r="D205" s="8"/>
      <c r="E205" s="5"/>
      <c r="F205" s="1"/>
      <c r="G205" s="1"/>
      <c r="H205" s="1"/>
      <c r="I205" s="1"/>
      <c r="J205" s="3"/>
      <c r="K205" s="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row>
    <row r="206" spans="1:116" s="4" customFormat="1" hidden="1">
      <c r="A206" s="10" t="s">
        <v>85</v>
      </c>
      <c r="B206" s="9">
        <v>53137</v>
      </c>
      <c r="C206" s="9">
        <v>53137</v>
      </c>
      <c r="D206" s="8"/>
      <c r="E206" s="5"/>
      <c r="F206" s="1"/>
      <c r="G206" s="1"/>
      <c r="H206" s="1"/>
      <c r="I206" s="1"/>
      <c r="J206" s="3"/>
      <c r="K206" s="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row>
    <row r="207" spans="1:116" s="4" customFormat="1" hidden="1">
      <c r="A207" s="10" t="s">
        <v>84</v>
      </c>
      <c r="B207" s="9">
        <v>53956</v>
      </c>
      <c r="C207" s="9">
        <v>53956</v>
      </c>
      <c r="D207" s="8"/>
      <c r="E207" s="5"/>
      <c r="F207" s="1"/>
      <c r="G207" s="1"/>
      <c r="H207" s="1"/>
      <c r="I207" s="1"/>
      <c r="J207" s="3"/>
      <c r="K207" s="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row>
    <row r="208" spans="1:116" s="4" customFormat="1" hidden="1">
      <c r="A208" s="10" t="s">
        <v>83</v>
      </c>
      <c r="B208" s="9">
        <v>54789</v>
      </c>
      <c r="C208" s="9">
        <v>54789</v>
      </c>
      <c r="D208" s="8"/>
      <c r="E208" s="5"/>
      <c r="F208" s="1"/>
      <c r="G208" s="1"/>
      <c r="H208" s="1"/>
      <c r="I208" s="1"/>
      <c r="J208" s="3"/>
      <c r="K208" s="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row>
    <row r="209" spans="1:116" s="4" customFormat="1" hidden="1">
      <c r="A209" s="10" t="s">
        <v>82</v>
      </c>
      <c r="B209" s="9">
        <v>55636</v>
      </c>
      <c r="C209" s="9">
        <v>55636</v>
      </c>
      <c r="D209" s="8"/>
      <c r="E209" s="5"/>
      <c r="F209" s="1"/>
      <c r="G209" s="1"/>
      <c r="H209" s="1"/>
      <c r="I209" s="1"/>
      <c r="J209" s="3"/>
      <c r="K209" s="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row>
    <row r="210" spans="1:116" s="4" customFormat="1" hidden="1">
      <c r="A210" s="10" t="s">
        <v>81</v>
      </c>
      <c r="B210" s="9">
        <v>56496</v>
      </c>
      <c r="C210" s="9">
        <v>56496</v>
      </c>
      <c r="D210" s="8"/>
      <c r="E210" s="5"/>
      <c r="F210" s="1"/>
      <c r="G210" s="1"/>
      <c r="H210" s="1"/>
      <c r="I210" s="1"/>
      <c r="J210" s="3"/>
      <c r="K210" s="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row>
    <row r="211" spans="1:116" s="4" customFormat="1" hidden="1">
      <c r="A211" s="10" t="s">
        <v>80</v>
      </c>
      <c r="B211" s="9">
        <v>57370</v>
      </c>
      <c r="C211" s="9">
        <v>57370</v>
      </c>
      <c r="D211" s="8"/>
      <c r="E211" s="5"/>
      <c r="F211" s="1"/>
      <c r="G211" s="1"/>
      <c r="H211" s="1"/>
      <c r="I211" s="1"/>
      <c r="J211" s="3"/>
      <c r="K211" s="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row>
    <row r="212" spans="1:116" s="4" customFormat="1" hidden="1">
      <c r="A212" s="12" t="s">
        <v>79</v>
      </c>
      <c r="B212" s="11">
        <v>57856</v>
      </c>
      <c r="C212" s="11">
        <v>57856</v>
      </c>
      <c r="D212" s="8"/>
      <c r="E212" s="5"/>
      <c r="F212" s="1"/>
      <c r="G212" s="1"/>
      <c r="H212" s="1"/>
      <c r="I212" s="1"/>
      <c r="J212" s="3"/>
      <c r="K212" s="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row>
    <row r="213" spans="1:116" s="4" customFormat="1" hidden="1">
      <c r="A213" s="12" t="s">
        <v>78</v>
      </c>
      <c r="B213" s="11">
        <v>58752</v>
      </c>
      <c r="C213" s="11">
        <v>58752</v>
      </c>
      <c r="D213" s="8"/>
      <c r="E213" s="5"/>
      <c r="F213" s="1"/>
      <c r="G213" s="1"/>
      <c r="H213" s="1"/>
      <c r="I213" s="1"/>
      <c r="J213" s="3"/>
      <c r="K213" s="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row>
    <row r="214" spans="1:116" s="4" customFormat="1" hidden="1">
      <c r="A214" s="12" t="s">
        <v>77</v>
      </c>
      <c r="B214" s="11">
        <v>59663</v>
      </c>
      <c r="C214" s="11">
        <v>59663</v>
      </c>
      <c r="D214" s="8"/>
      <c r="E214" s="5"/>
      <c r="F214" s="1"/>
      <c r="G214" s="1"/>
      <c r="H214" s="1"/>
      <c r="I214" s="1"/>
      <c r="J214" s="3"/>
      <c r="K214" s="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row>
    <row r="215" spans="1:116" s="4" customFormat="1" hidden="1">
      <c r="A215" s="12" t="s">
        <v>76</v>
      </c>
      <c r="B215" s="11">
        <v>60588</v>
      </c>
      <c r="C215" s="11">
        <v>60588</v>
      </c>
      <c r="D215" s="8"/>
      <c r="E215" s="5"/>
      <c r="F215" s="1"/>
      <c r="G215" s="1"/>
      <c r="H215" s="1"/>
      <c r="I215" s="1"/>
      <c r="J215" s="3"/>
      <c r="K215" s="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row>
    <row r="216" spans="1:116" s="4" customFormat="1" hidden="1">
      <c r="A216" s="12" t="s">
        <v>75</v>
      </c>
      <c r="B216" s="11">
        <v>61530</v>
      </c>
      <c r="C216" s="11">
        <v>61530</v>
      </c>
      <c r="D216" s="8"/>
      <c r="E216" s="5"/>
      <c r="F216" s="1"/>
      <c r="G216" s="1"/>
      <c r="H216" s="1"/>
      <c r="I216" s="1"/>
      <c r="J216" s="3"/>
      <c r="K216" s="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row>
    <row r="217" spans="1:116" s="4" customFormat="1" hidden="1">
      <c r="A217" s="12" t="s">
        <v>74</v>
      </c>
      <c r="B217" s="11">
        <v>62485</v>
      </c>
      <c r="C217" s="11">
        <v>62485</v>
      </c>
      <c r="D217" s="8"/>
      <c r="E217" s="5"/>
      <c r="F217" s="1"/>
      <c r="G217" s="1"/>
      <c r="H217" s="1"/>
      <c r="I217" s="1"/>
      <c r="J217" s="3"/>
      <c r="K217" s="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row>
    <row r="218" spans="1:116" s="4" customFormat="1" hidden="1">
      <c r="A218" s="12" t="s">
        <v>73</v>
      </c>
      <c r="B218" s="11">
        <v>63457</v>
      </c>
      <c r="C218" s="11">
        <v>63457</v>
      </c>
      <c r="D218" s="8"/>
      <c r="E218" s="5"/>
      <c r="F218" s="1"/>
      <c r="G218" s="1"/>
      <c r="H218" s="1"/>
      <c r="I218" s="1"/>
      <c r="J218" s="3"/>
      <c r="K218" s="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row>
    <row r="219" spans="1:116" s="4" customFormat="1" hidden="1">
      <c r="A219" s="12" t="s">
        <v>72</v>
      </c>
      <c r="B219" s="11">
        <v>64445</v>
      </c>
      <c r="C219" s="11">
        <v>64445</v>
      </c>
      <c r="D219" s="8"/>
      <c r="E219" s="5"/>
      <c r="F219" s="1"/>
      <c r="G219" s="1"/>
      <c r="H219" s="1"/>
      <c r="I219" s="1"/>
      <c r="J219" s="3"/>
      <c r="K219" s="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row>
    <row r="220" spans="1:116" s="4" customFormat="1" hidden="1">
      <c r="A220" s="10" t="s">
        <v>71</v>
      </c>
      <c r="B220" s="9">
        <v>64994</v>
      </c>
      <c r="C220" s="9">
        <v>64994</v>
      </c>
      <c r="D220" s="8"/>
      <c r="E220" s="5"/>
      <c r="F220" s="1"/>
      <c r="G220" s="1"/>
      <c r="H220" s="1"/>
      <c r="I220" s="1"/>
      <c r="J220" s="3"/>
      <c r="K220" s="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row>
    <row r="221" spans="1:116" s="4" customFormat="1" hidden="1">
      <c r="A221" s="10" t="s">
        <v>70</v>
      </c>
      <c r="B221" s="9">
        <v>66007</v>
      </c>
      <c r="C221" s="9">
        <v>66007</v>
      </c>
      <c r="D221" s="8"/>
      <c r="E221" s="5"/>
      <c r="F221" s="1"/>
      <c r="G221" s="1"/>
      <c r="H221" s="1"/>
      <c r="I221" s="1"/>
      <c r="J221" s="3"/>
      <c r="K221" s="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row>
    <row r="222" spans="1:116" s="4" customFormat="1" hidden="1">
      <c r="A222" s="10" t="s">
        <v>69</v>
      </c>
      <c r="B222" s="9">
        <v>67037</v>
      </c>
      <c r="C222" s="9">
        <v>67037</v>
      </c>
      <c r="D222" s="8"/>
      <c r="E222" s="5"/>
      <c r="F222" s="1"/>
      <c r="G222" s="1"/>
      <c r="H222" s="1"/>
      <c r="I222" s="1"/>
      <c r="J222" s="3"/>
      <c r="K222" s="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row>
    <row r="223" spans="1:116" s="4" customFormat="1" hidden="1">
      <c r="A223" s="10" t="s">
        <v>68</v>
      </c>
      <c r="B223" s="9">
        <v>68083</v>
      </c>
      <c r="C223" s="9">
        <v>68083</v>
      </c>
      <c r="D223" s="8"/>
      <c r="E223" s="5"/>
      <c r="F223" s="1"/>
      <c r="G223" s="1"/>
      <c r="H223" s="1"/>
      <c r="I223" s="1"/>
      <c r="J223" s="3"/>
      <c r="K223" s="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row>
    <row r="224" spans="1:116" s="4" customFormat="1" hidden="1">
      <c r="A224" s="10" t="s">
        <v>67</v>
      </c>
      <c r="B224" s="9">
        <v>69146</v>
      </c>
      <c r="C224" s="9">
        <v>69146</v>
      </c>
      <c r="D224" s="8"/>
      <c r="E224" s="5"/>
      <c r="F224" s="1"/>
      <c r="G224" s="1"/>
      <c r="H224" s="1"/>
      <c r="I224" s="1"/>
      <c r="J224" s="3"/>
      <c r="K224" s="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row>
    <row r="225" spans="1:116" s="4" customFormat="1" hidden="1">
      <c r="A225" s="10" t="s">
        <v>66</v>
      </c>
      <c r="B225" s="9">
        <v>70227</v>
      </c>
      <c r="C225" s="9">
        <v>70227</v>
      </c>
      <c r="D225" s="8"/>
      <c r="E225" s="5"/>
      <c r="F225" s="1"/>
      <c r="G225" s="1"/>
      <c r="H225" s="1"/>
      <c r="I225" s="1"/>
      <c r="J225" s="3"/>
      <c r="K225" s="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row>
    <row r="226" spans="1:116" s="4" customFormat="1" hidden="1">
      <c r="A226" s="10" t="s">
        <v>65</v>
      </c>
      <c r="B226" s="9">
        <v>71325</v>
      </c>
      <c r="C226" s="9">
        <v>71325</v>
      </c>
      <c r="D226" s="8"/>
      <c r="E226" s="5"/>
      <c r="F226" s="1"/>
      <c r="G226" s="1"/>
      <c r="H226" s="1"/>
      <c r="I226" s="1"/>
      <c r="J226" s="3"/>
      <c r="K226" s="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row>
    <row r="227" spans="1:116" s="4" customFormat="1" hidden="1">
      <c r="A227" s="10" t="s">
        <v>64</v>
      </c>
      <c r="B227" s="9">
        <v>72440</v>
      </c>
      <c r="C227" s="9">
        <v>72440</v>
      </c>
      <c r="D227" s="8"/>
      <c r="E227" s="5"/>
      <c r="F227" s="1"/>
      <c r="G227" s="1"/>
      <c r="H227" s="1"/>
      <c r="I227" s="1"/>
      <c r="J227" s="3"/>
      <c r="K227" s="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row>
    <row r="228" spans="1:116" s="4" customFormat="1" hidden="1">
      <c r="A228" s="12" t="s">
        <v>63</v>
      </c>
      <c r="B228" s="11">
        <v>73062</v>
      </c>
      <c r="C228" s="11">
        <v>73062</v>
      </c>
      <c r="D228" s="8"/>
      <c r="E228" s="5"/>
      <c r="F228" s="1"/>
      <c r="G228" s="1"/>
      <c r="H228" s="1"/>
      <c r="I228" s="1"/>
      <c r="J228" s="3"/>
      <c r="K228" s="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row>
    <row r="229" spans="1:116" s="4" customFormat="1" hidden="1">
      <c r="A229" s="12" t="s">
        <v>62</v>
      </c>
      <c r="B229" s="11">
        <v>74205</v>
      </c>
      <c r="C229" s="11">
        <v>74205</v>
      </c>
      <c r="D229" s="8"/>
      <c r="E229" s="5"/>
      <c r="F229" s="1"/>
      <c r="G229" s="1"/>
      <c r="H229" s="1"/>
      <c r="I229" s="1"/>
      <c r="J229" s="3"/>
      <c r="K229" s="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row>
    <row r="230" spans="1:116" s="4" customFormat="1" hidden="1">
      <c r="A230" s="12" t="s">
        <v>61</v>
      </c>
      <c r="B230" s="11">
        <v>75369</v>
      </c>
      <c r="C230" s="11">
        <v>75369</v>
      </c>
      <c r="D230" s="8"/>
      <c r="E230" s="5"/>
      <c r="F230" s="1"/>
      <c r="G230" s="1"/>
      <c r="H230" s="1"/>
      <c r="I230" s="1"/>
      <c r="J230" s="3"/>
      <c r="K230" s="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row>
    <row r="231" spans="1:116" s="4" customFormat="1" hidden="1">
      <c r="A231" s="12" t="s">
        <v>60</v>
      </c>
      <c r="B231" s="11">
        <v>76554</v>
      </c>
      <c r="C231" s="11">
        <v>76554</v>
      </c>
      <c r="D231" s="8"/>
      <c r="E231" s="5"/>
      <c r="F231" s="1"/>
      <c r="G231" s="1"/>
      <c r="H231" s="1"/>
      <c r="I231" s="1"/>
      <c r="J231" s="3"/>
      <c r="K231" s="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row>
    <row r="232" spans="1:116" s="4" customFormat="1" hidden="1">
      <c r="A232" s="12" t="s">
        <v>59</v>
      </c>
      <c r="B232" s="11">
        <v>77804</v>
      </c>
      <c r="C232" s="11">
        <v>77804</v>
      </c>
      <c r="D232" s="8"/>
      <c r="E232" s="5"/>
      <c r="F232" s="1"/>
      <c r="G232" s="1"/>
      <c r="H232" s="1"/>
      <c r="I232" s="1"/>
      <c r="J232" s="3"/>
      <c r="K232" s="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row>
    <row r="233" spans="1:116" s="4" customFormat="1" hidden="1">
      <c r="A233" s="12" t="s">
        <v>58</v>
      </c>
      <c r="B233" s="11">
        <v>79073</v>
      </c>
      <c r="C233" s="11">
        <v>79073</v>
      </c>
      <c r="D233" s="8"/>
      <c r="E233" s="5"/>
      <c r="F233" s="1"/>
      <c r="G233" s="1"/>
      <c r="H233" s="1"/>
      <c r="I233" s="1"/>
      <c r="J233" s="3"/>
      <c r="K233" s="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row>
    <row r="234" spans="1:116" s="4" customFormat="1" hidden="1">
      <c r="A234" s="12" t="s">
        <v>57</v>
      </c>
      <c r="B234" s="11">
        <v>80364</v>
      </c>
      <c r="C234" s="11">
        <v>80364</v>
      </c>
      <c r="D234" s="8"/>
      <c r="E234" s="5"/>
      <c r="F234" s="1"/>
      <c r="G234" s="1"/>
      <c r="H234" s="1"/>
      <c r="I234" s="1"/>
      <c r="J234" s="3"/>
      <c r="K234" s="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row>
    <row r="235" spans="1:116" s="4" customFormat="1" hidden="1">
      <c r="A235" s="12" t="s">
        <v>56</v>
      </c>
      <c r="B235" s="11">
        <v>81676</v>
      </c>
      <c r="C235" s="11">
        <v>81676</v>
      </c>
      <c r="D235" s="8"/>
      <c r="E235" s="5"/>
      <c r="F235" s="1"/>
      <c r="G235" s="1"/>
      <c r="H235" s="1"/>
      <c r="I235" s="1"/>
      <c r="J235" s="3"/>
      <c r="K235" s="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row>
    <row r="236" spans="1:116" s="4" customFormat="1" hidden="1">
      <c r="A236" s="10" t="s">
        <v>55</v>
      </c>
      <c r="B236" s="9">
        <v>82405</v>
      </c>
      <c r="C236" s="9">
        <v>82405</v>
      </c>
      <c r="D236" s="8"/>
      <c r="E236" s="5"/>
      <c r="F236" s="1"/>
      <c r="G236" s="1"/>
      <c r="H236" s="1"/>
      <c r="I236" s="1"/>
      <c r="J236" s="3"/>
      <c r="K236" s="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row>
    <row r="237" spans="1:116" s="4" customFormat="1" hidden="1">
      <c r="A237" s="10" t="s">
        <v>54</v>
      </c>
      <c r="B237" s="9">
        <v>83750</v>
      </c>
      <c r="C237" s="9">
        <v>83750</v>
      </c>
      <c r="D237" s="8"/>
      <c r="E237" s="5"/>
      <c r="F237" s="1"/>
      <c r="G237" s="1"/>
      <c r="H237" s="1"/>
      <c r="I237" s="1"/>
      <c r="J237" s="3"/>
      <c r="K237" s="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row>
    <row r="238" spans="1:116" s="4" customFormat="1" hidden="1">
      <c r="A238" s="10" t="s">
        <v>53</v>
      </c>
      <c r="B238" s="9">
        <v>85117</v>
      </c>
      <c r="C238" s="9">
        <v>85117</v>
      </c>
      <c r="D238" s="8"/>
      <c r="E238" s="5"/>
      <c r="F238" s="1"/>
      <c r="G238" s="1"/>
      <c r="H238" s="1"/>
      <c r="I238" s="1"/>
      <c r="J238" s="3"/>
      <c r="K238" s="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row>
    <row r="239" spans="1:116" s="4" customFormat="1" hidden="1">
      <c r="A239" s="10" t="s">
        <v>52</v>
      </c>
      <c r="B239" s="9">
        <v>86506</v>
      </c>
      <c r="C239" s="9">
        <v>86506</v>
      </c>
      <c r="D239" s="8"/>
      <c r="E239" s="5"/>
      <c r="F239" s="1"/>
      <c r="G239" s="1"/>
      <c r="H239" s="1"/>
      <c r="I239" s="1"/>
      <c r="J239" s="3"/>
      <c r="K239" s="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row>
    <row r="240" spans="1:116" s="4" customFormat="1" hidden="1">
      <c r="A240" s="10" t="s">
        <v>51</v>
      </c>
      <c r="B240" s="9">
        <v>87918</v>
      </c>
      <c r="C240" s="9">
        <v>87918</v>
      </c>
      <c r="D240" s="8"/>
      <c r="E240" s="5"/>
      <c r="F240" s="1"/>
      <c r="G240" s="1"/>
      <c r="H240" s="1"/>
      <c r="I240" s="1"/>
      <c r="J240" s="3"/>
      <c r="K240" s="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row>
    <row r="241" spans="1:116" s="4" customFormat="1" hidden="1">
      <c r="A241" s="10" t="s">
        <v>50</v>
      </c>
      <c r="B241" s="9">
        <v>89354</v>
      </c>
      <c r="C241" s="9">
        <v>89354</v>
      </c>
      <c r="D241" s="8"/>
      <c r="E241" s="5"/>
      <c r="F241" s="1"/>
      <c r="G241" s="1"/>
      <c r="H241" s="1"/>
      <c r="I241" s="1"/>
      <c r="J241" s="3"/>
      <c r="K241" s="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row>
    <row r="242" spans="1:116" s="4" customFormat="1" hidden="1">
      <c r="A242" s="10" t="s">
        <v>49</v>
      </c>
      <c r="B242" s="9">
        <v>90812</v>
      </c>
      <c r="C242" s="9">
        <v>90812</v>
      </c>
      <c r="D242" s="8"/>
      <c r="E242" s="5"/>
      <c r="F242" s="1"/>
      <c r="G242" s="1"/>
      <c r="H242" s="1"/>
      <c r="I242" s="1"/>
      <c r="J242" s="3"/>
      <c r="K242" s="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row>
    <row r="243" spans="1:116" s="4" customFormat="1" hidden="1">
      <c r="A243" s="10" t="s">
        <v>48</v>
      </c>
      <c r="B243" s="9">
        <v>92294</v>
      </c>
      <c r="C243" s="9">
        <v>92294</v>
      </c>
      <c r="D243" s="8"/>
      <c r="E243" s="5"/>
      <c r="F243" s="1"/>
      <c r="G243" s="1"/>
      <c r="H243" s="1"/>
      <c r="I243" s="1"/>
      <c r="J243" s="3"/>
      <c r="K243" s="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row>
    <row r="244" spans="1:116" s="4" customFormat="1" hidden="1">
      <c r="A244" s="12" t="s">
        <v>47</v>
      </c>
      <c r="B244" s="11">
        <v>93942</v>
      </c>
      <c r="C244" s="11">
        <v>93942</v>
      </c>
      <c r="D244" s="8"/>
      <c r="E244" s="5"/>
      <c r="F244" s="1"/>
      <c r="G244" s="1"/>
      <c r="H244" s="1"/>
      <c r="I244" s="1"/>
      <c r="J244" s="3"/>
      <c r="K244" s="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row>
    <row r="245" spans="1:116" s="4" customFormat="1" hidden="1">
      <c r="A245" s="12" t="s">
        <v>46</v>
      </c>
      <c r="B245" s="11">
        <v>95475</v>
      </c>
      <c r="C245" s="11">
        <v>95475</v>
      </c>
      <c r="D245" s="8"/>
      <c r="E245" s="5"/>
      <c r="F245" s="1"/>
      <c r="G245" s="1"/>
      <c r="H245" s="1"/>
      <c r="I245" s="1"/>
      <c r="J245" s="3"/>
      <c r="K245" s="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row>
    <row r="246" spans="1:116" s="4" customFormat="1" hidden="1">
      <c r="A246" s="12" t="s">
        <v>45</v>
      </c>
      <c r="B246" s="11">
        <v>97033</v>
      </c>
      <c r="C246" s="11">
        <v>97033</v>
      </c>
      <c r="D246" s="8"/>
      <c r="E246" s="5"/>
      <c r="F246" s="1"/>
      <c r="G246" s="1"/>
      <c r="H246" s="1"/>
      <c r="I246" s="1"/>
      <c r="J246" s="3"/>
      <c r="K246" s="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row>
    <row r="247" spans="1:116" s="4" customFormat="1" hidden="1">
      <c r="A247" s="12" t="s">
        <v>44</v>
      </c>
      <c r="B247" s="11">
        <v>98618</v>
      </c>
      <c r="C247" s="11">
        <v>98618</v>
      </c>
      <c r="D247" s="8"/>
      <c r="E247" s="5"/>
      <c r="F247" s="1"/>
      <c r="G247" s="1"/>
      <c r="H247" s="1"/>
      <c r="I247" s="1"/>
      <c r="J247" s="3"/>
      <c r="K247" s="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row>
    <row r="248" spans="1:116" s="4" customFormat="1" hidden="1">
      <c r="A248" s="12" t="s">
        <v>43</v>
      </c>
      <c r="B248" s="11">
        <v>100227</v>
      </c>
      <c r="C248" s="11">
        <v>100227</v>
      </c>
      <c r="D248" s="8"/>
      <c r="E248" s="5"/>
      <c r="F248" s="1"/>
      <c r="G248" s="1"/>
      <c r="H248" s="1"/>
      <c r="I248" s="1"/>
      <c r="J248" s="3"/>
      <c r="K248" s="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row>
    <row r="249" spans="1:116" hidden="1">
      <c r="A249" s="12" t="s">
        <v>42</v>
      </c>
      <c r="B249" s="11">
        <v>101863</v>
      </c>
      <c r="C249" s="11">
        <v>101863</v>
      </c>
      <c r="D249" s="8"/>
      <c r="E249" s="5"/>
    </row>
    <row r="250" spans="1:116" hidden="1">
      <c r="A250" s="12" t="s">
        <v>41</v>
      </c>
      <c r="B250" s="11">
        <v>103525</v>
      </c>
      <c r="C250" s="11">
        <v>103525</v>
      </c>
      <c r="D250" s="8"/>
      <c r="E250" s="5"/>
    </row>
    <row r="251" spans="1:116" hidden="1">
      <c r="A251" s="12" t="s">
        <v>40</v>
      </c>
      <c r="B251" s="11">
        <v>105215</v>
      </c>
      <c r="C251" s="11">
        <v>105215</v>
      </c>
      <c r="D251" s="8"/>
      <c r="E251" s="5"/>
    </row>
    <row r="252" spans="1:116" hidden="1">
      <c r="A252" s="10" t="s">
        <v>39</v>
      </c>
      <c r="B252" s="9">
        <v>106155</v>
      </c>
      <c r="C252" s="9">
        <v>106155</v>
      </c>
      <c r="D252" s="8"/>
      <c r="E252" s="5"/>
      <c r="F252" s="16"/>
      <c r="G252" s="15"/>
      <c r="H252" s="14"/>
      <c r="I252" s="14"/>
      <c r="J252" s="13"/>
      <c r="K252" s="13"/>
    </row>
    <row r="253" spans="1:116" hidden="1">
      <c r="A253" s="10" t="s">
        <v>38</v>
      </c>
      <c r="B253" s="9">
        <v>107887</v>
      </c>
      <c r="C253" s="9">
        <v>107887</v>
      </c>
      <c r="D253" s="8"/>
      <c r="E253" s="5"/>
      <c r="F253" s="16"/>
      <c r="G253" s="15"/>
      <c r="H253" s="14"/>
      <c r="I253" s="14"/>
      <c r="J253" s="13"/>
      <c r="K253" s="13"/>
    </row>
    <row r="254" spans="1:116" hidden="1">
      <c r="A254" s="10" t="s">
        <v>37</v>
      </c>
      <c r="B254" s="9">
        <v>109648</v>
      </c>
      <c r="C254" s="9">
        <v>109648</v>
      </c>
      <c r="D254" s="8"/>
      <c r="E254" s="5"/>
    </row>
    <row r="255" spans="1:116" hidden="1">
      <c r="A255" s="10" t="s">
        <v>36</v>
      </c>
      <c r="B255" s="9">
        <v>111438</v>
      </c>
      <c r="C255" s="9">
        <v>111438</v>
      </c>
      <c r="D255" s="8"/>
      <c r="E255" s="5"/>
    </row>
    <row r="256" spans="1:116" hidden="1">
      <c r="A256" s="10" t="s">
        <v>35</v>
      </c>
      <c r="B256" s="9">
        <v>113256</v>
      </c>
      <c r="C256" s="9">
        <v>113256</v>
      </c>
      <c r="D256" s="8"/>
      <c r="E256" s="5"/>
    </row>
    <row r="257" spans="1:116" hidden="1">
      <c r="A257" s="10" t="s">
        <v>34</v>
      </c>
      <c r="B257" s="9">
        <v>115105</v>
      </c>
      <c r="C257" s="9">
        <v>115105</v>
      </c>
      <c r="D257" s="8"/>
      <c r="E257" s="5"/>
    </row>
    <row r="258" spans="1:116" hidden="1">
      <c r="A258" s="10" t="s">
        <v>33</v>
      </c>
      <c r="B258" s="9">
        <v>116983</v>
      </c>
      <c r="C258" s="9">
        <v>116983</v>
      </c>
      <c r="D258" s="8"/>
      <c r="E258" s="5"/>
    </row>
    <row r="259" spans="1:116" hidden="1">
      <c r="A259" s="10" t="s">
        <v>32</v>
      </c>
      <c r="B259" s="9">
        <v>118893</v>
      </c>
      <c r="C259" s="9">
        <v>118893</v>
      </c>
      <c r="D259" s="8"/>
      <c r="E259" s="5"/>
    </row>
    <row r="260" spans="1:116" hidden="1">
      <c r="A260" s="12" t="s">
        <v>31</v>
      </c>
      <c r="B260" s="11">
        <v>119954</v>
      </c>
      <c r="C260" s="11">
        <v>119954</v>
      </c>
      <c r="D260" s="8"/>
      <c r="E260" s="5"/>
    </row>
    <row r="261" spans="1:116" hidden="1">
      <c r="A261" s="12" t="s">
        <v>30</v>
      </c>
      <c r="B261" s="11">
        <v>121913</v>
      </c>
      <c r="C261" s="11">
        <v>121913</v>
      </c>
      <c r="D261" s="8"/>
      <c r="E261" s="5"/>
    </row>
    <row r="262" spans="1:116" hidden="1">
      <c r="A262" s="12" t="s">
        <v>29</v>
      </c>
      <c r="B262" s="11">
        <v>123902</v>
      </c>
      <c r="C262" s="11">
        <v>123902</v>
      </c>
      <c r="D262" s="8"/>
      <c r="E262" s="5"/>
    </row>
    <row r="263" spans="1:116" hidden="1">
      <c r="A263" s="12" t="s">
        <v>28</v>
      </c>
      <c r="B263" s="11">
        <v>125924</v>
      </c>
      <c r="C263" s="11">
        <v>125924</v>
      </c>
      <c r="D263" s="8"/>
      <c r="E263" s="5"/>
    </row>
    <row r="264" spans="1:116" hidden="1">
      <c r="A264" s="12" t="s">
        <v>27</v>
      </c>
      <c r="B264" s="11">
        <v>127979</v>
      </c>
      <c r="C264" s="11">
        <v>127979</v>
      </c>
      <c r="D264" s="8"/>
      <c r="E264" s="5"/>
    </row>
    <row r="265" spans="1:116" s="4" customFormat="1" hidden="1">
      <c r="A265" s="12" t="s">
        <v>26</v>
      </c>
      <c r="B265" s="11">
        <v>130068</v>
      </c>
      <c r="C265" s="11">
        <v>130068</v>
      </c>
      <c r="D265" s="8"/>
      <c r="E265" s="5"/>
      <c r="F265" s="1"/>
      <c r="G265" s="1"/>
      <c r="H265" s="1"/>
      <c r="I265" s="1"/>
      <c r="J265" s="3"/>
      <c r="K265" s="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row>
    <row r="266" spans="1:116" s="4" customFormat="1" hidden="1">
      <c r="A266" s="12" t="s">
        <v>25</v>
      </c>
      <c r="B266" s="11">
        <v>132192</v>
      </c>
      <c r="C266" s="11">
        <v>132192</v>
      </c>
      <c r="D266" s="8"/>
      <c r="E266" s="5"/>
      <c r="F266" s="1"/>
      <c r="G266" s="1"/>
      <c r="H266" s="1"/>
      <c r="I266" s="1"/>
      <c r="J266" s="3"/>
      <c r="K266" s="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row>
    <row r="267" spans="1:116" s="4" customFormat="1" hidden="1">
      <c r="A267" s="12" t="s">
        <v>24</v>
      </c>
      <c r="B267" s="11">
        <v>134349</v>
      </c>
      <c r="C267" s="11">
        <v>134349</v>
      </c>
      <c r="D267" s="8"/>
      <c r="E267" s="5"/>
      <c r="F267" s="1"/>
      <c r="G267" s="1"/>
      <c r="H267" s="1"/>
      <c r="I267" s="1"/>
      <c r="J267" s="3"/>
      <c r="K267" s="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row>
    <row r="268" spans="1:116" s="4" customFormat="1" hidden="1">
      <c r="A268" s="10" t="s">
        <v>23</v>
      </c>
      <c r="B268" s="9">
        <v>135549</v>
      </c>
      <c r="C268" s="9">
        <v>135549</v>
      </c>
      <c r="D268" s="8"/>
      <c r="E268" s="5"/>
      <c r="F268" s="1"/>
      <c r="G268" s="1"/>
      <c r="H268" s="1"/>
      <c r="I268" s="1"/>
      <c r="J268" s="3"/>
      <c r="K268" s="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row>
    <row r="269" spans="1:116" s="4" customFormat="1" hidden="1">
      <c r="A269" s="10" t="s">
        <v>22</v>
      </c>
      <c r="B269" s="9">
        <v>137760</v>
      </c>
      <c r="C269" s="9">
        <v>137760</v>
      </c>
      <c r="D269" s="8"/>
      <c r="E269" s="5"/>
      <c r="F269" s="1"/>
      <c r="G269" s="1"/>
      <c r="H269" s="1"/>
      <c r="I269" s="1"/>
      <c r="J269" s="3"/>
      <c r="K269" s="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row>
    <row r="270" spans="1:116" s="4" customFormat="1" hidden="1">
      <c r="A270" s="10" t="s">
        <v>21</v>
      </c>
      <c r="B270" s="9">
        <v>140009</v>
      </c>
      <c r="C270" s="9">
        <v>140009</v>
      </c>
      <c r="D270" s="8"/>
      <c r="E270" s="5"/>
      <c r="F270" s="1"/>
      <c r="G270" s="1"/>
      <c r="H270" s="1"/>
      <c r="I270" s="1"/>
      <c r="J270" s="3"/>
      <c r="K270" s="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row>
    <row r="271" spans="1:116" s="4" customFormat="1" hidden="1">
      <c r="A271" s="10" t="s">
        <v>20</v>
      </c>
      <c r="B271" s="9">
        <v>142295</v>
      </c>
      <c r="C271" s="9">
        <v>142295</v>
      </c>
      <c r="D271" s="8"/>
      <c r="E271" s="5"/>
      <c r="F271" s="1"/>
      <c r="G271" s="1"/>
      <c r="H271" s="1"/>
      <c r="I271" s="1"/>
      <c r="J271" s="3"/>
      <c r="K271" s="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row>
    <row r="272" spans="1:116" s="4" customFormat="1" hidden="1">
      <c r="A272" s="10" t="s">
        <v>19</v>
      </c>
      <c r="B272" s="9">
        <v>144617</v>
      </c>
      <c r="C272" s="9">
        <v>144617</v>
      </c>
      <c r="D272" s="8"/>
      <c r="E272" s="5"/>
      <c r="F272" s="1"/>
      <c r="G272" s="1"/>
      <c r="H272" s="1"/>
      <c r="I272" s="1"/>
      <c r="J272" s="3"/>
      <c r="K272" s="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row>
    <row r="273" spans="1:116" s="4" customFormat="1" hidden="1">
      <c r="A273" s="10" t="s">
        <v>18</v>
      </c>
      <c r="B273" s="9">
        <v>146978</v>
      </c>
      <c r="C273" s="9">
        <v>146978</v>
      </c>
      <c r="D273" s="8"/>
      <c r="E273" s="5"/>
      <c r="F273" s="1"/>
      <c r="G273" s="1"/>
      <c r="H273" s="1"/>
      <c r="I273" s="1"/>
      <c r="J273" s="3"/>
      <c r="K273" s="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row>
    <row r="274" spans="1:116" s="4" customFormat="1" hidden="1">
      <c r="A274" s="10" t="s">
        <v>17</v>
      </c>
      <c r="B274" s="9">
        <v>149377</v>
      </c>
      <c r="C274" s="9">
        <v>149377</v>
      </c>
      <c r="D274" s="8"/>
      <c r="E274" s="5"/>
      <c r="F274" s="1"/>
      <c r="G274" s="1"/>
      <c r="H274" s="1"/>
      <c r="I274" s="1"/>
      <c r="J274" s="3"/>
      <c r="K274" s="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row>
    <row r="275" spans="1:116" s="4" customFormat="1" hidden="1">
      <c r="A275" s="10" t="s">
        <v>16</v>
      </c>
      <c r="B275" s="9">
        <v>151814</v>
      </c>
      <c r="C275" s="9">
        <v>151814</v>
      </c>
      <c r="D275" s="8"/>
      <c r="E275" s="5"/>
      <c r="F275" s="1"/>
      <c r="G275" s="1"/>
      <c r="H275" s="1"/>
      <c r="I275" s="1"/>
      <c r="J275" s="3"/>
      <c r="K275" s="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row>
    <row r="276" spans="1:116" s="4" customFormat="1" hidden="1">
      <c r="A276" s="12" t="s">
        <v>15</v>
      </c>
      <c r="B276" s="11">
        <v>153169</v>
      </c>
      <c r="C276" s="11">
        <v>153169</v>
      </c>
      <c r="D276" s="8"/>
      <c r="E276" s="5"/>
      <c r="F276" s="1"/>
      <c r="G276" s="1"/>
      <c r="H276" s="1"/>
      <c r="I276" s="1"/>
      <c r="J276" s="3"/>
      <c r="K276" s="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row>
    <row r="277" spans="1:116" s="4" customFormat="1" hidden="1">
      <c r="A277" s="12" t="s">
        <v>14</v>
      </c>
      <c r="B277" s="11">
        <v>155670</v>
      </c>
      <c r="C277" s="11">
        <v>155670</v>
      </c>
      <c r="D277" s="8"/>
      <c r="E277" s="5"/>
      <c r="F277" s="1"/>
      <c r="G277" s="1"/>
      <c r="H277" s="1"/>
      <c r="I277" s="1"/>
      <c r="J277" s="3"/>
      <c r="K277" s="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row>
    <row r="278" spans="1:116" s="4" customFormat="1" hidden="1">
      <c r="A278" s="12" t="s">
        <v>13</v>
      </c>
      <c r="B278" s="11">
        <v>158210</v>
      </c>
      <c r="C278" s="11">
        <v>158210</v>
      </c>
      <c r="D278" s="8"/>
      <c r="E278" s="5"/>
      <c r="F278" s="1"/>
      <c r="G278" s="1"/>
      <c r="H278" s="1"/>
      <c r="I278" s="1"/>
      <c r="J278" s="3"/>
      <c r="K278" s="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row>
    <row r="279" spans="1:116" s="4" customFormat="1" hidden="1">
      <c r="A279" s="12" t="s">
        <v>12</v>
      </c>
      <c r="B279" s="11">
        <v>160793</v>
      </c>
      <c r="C279" s="11">
        <v>160793</v>
      </c>
      <c r="D279" s="8"/>
      <c r="E279" s="5"/>
      <c r="F279" s="1"/>
      <c r="G279" s="1"/>
      <c r="H279" s="1"/>
      <c r="I279" s="1"/>
      <c r="J279" s="3"/>
      <c r="K279" s="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row>
    <row r="280" spans="1:116" s="4" customFormat="1" hidden="1">
      <c r="A280" s="12" t="s">
        <v>11</v>
      </c>
      <c r="B280" s="11">
        <v>163417</v>
      </c>
      <c r="C280" s="11">
        <v>163417</v>
      </c>
      <c r="D280" s="8"/>
      <c r="E280" s="5"/>
      <c r="F280" s="1"/>
      <c r="G280" s="1"/>
      <c r="H280" s="1"/>
      <c r="I280" s="1"/>
      <c r="J280" s="3"/>
      <c r="K280" s="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row>
    <row r="281" spans="1:116" hidden="1">
      <c r="A281" s="12" t="s">
        <v>10</v>
      </c>
      <c r="B281" s="11">
        <v>166085</v>
      </c>
      <c r="C281" s="11">
        <v>166085</v>
      </c>
      <c r="D281" s="8"/>
      <c r="E281" s="5"/>
    </row>
    <row r="282" spans="1:116" hidden="1">
      <c r="A282" s="12" t="s">
        <v>9</v>
      </c>
      <c r="B282" s="11">
        <v>168795</v>
      </c>
      <c r="C282" s="11">
        <v>168795</v>
      </c>
      <c r="D282" s="8"/>
      <c r="E282" s="5"/>
    </row>
    <row r="283" spans="1:116" hidden="1">
      <c r="A283" s="12" t="s">
        <v>8</v>
      </c>
      <c r="B283" s="11">
        <v>171550</v>
      </c>
      <c r="C283" s="11">
        <v>171550</v>
      </c>
      <c r="D283" s="8"/>
      <c r="E283" s="5"/>
    </row>
    <row r="284" spans="1:116" hidden="1">
      <c r="A284" s="10" t="s">
        <v>7</v>
      </c>
      <c r="B284" s="9">
        <v>173081</v>
      </c>
      <c r="C284" s="9">
        <v>173081</v>
      </c>
      <c r="D284" s="8"/>
      <c r="E284" s="5"/>
    </row>
    <row r="285" spans="1:116" hidden="1">
      <c r="A285" s="10" t="s">
        <v>6</v>
      </c>
      <c r="B285" s="9">
        <v>175905</v>
      </c>
      <c r="C285" s="9">
        <v>175905</v>
      </c>
      <c r="D285" s="8"/>
      <c r="E285" s="5"/>
    </row>
    <row r="286" spans="1:116" hidden="1">
      <c r="A286" s="10" t="s">
        <v>5</v>
      </c>
      <c r="B286" s="9">
        <v>178778</v>
      </c>
      <c r="C286" s="9">
        <v>178778</v>
      </c>
      <c r="D286" s="8"/>
      <c r="E286" s="5"/>
    </row>
    <row r="287" spans="1:116" hidden="1">
      <c r="A287" s="10" t="s">
        <v>4</v>
      </c>
      <c r="B287" s="9">
        <v>181696</v>
      </c>
      <c r="C287" s="9">
        <v>181696</v>
      </c>
      <c r="D287" s="8"/>
      <c r="E287" s="5"/>
    </row>
    <row r="288" spans="1:116" hidden="1">
      <c r="A288" s="10" t="s">
        <v>3</v>
      </c>
      <c r="B288" s="9">
        <v>184661</v>
      </c>
      <c r="C288" s="9">
        <v>184661</v>
      </c>
      <c r="D288" s="8"/>
      <c r="E288" s="5"/>
    </row>
    <row r="289" spans="1:5" hidden="1">
      <c r="A289" s="10" t="s">
        <v>2</v>
      </c>
      <c r="B289" s="9">
        <v>187675</v>
      </c>
      <c r="C289" s="9">
        <v>187675</v>
      </c>
      <c r="D289" s="8"/>
      <c r="E289" s="5"/>
    </row>
    <row r="290" spans="1:5" hidden="1">
      <c r="A290" s="10" t="s">
        <v>1</v>
      </c>
      <c r="B290" s="9">
        <v>190738</v>
      </c>
      <c r="C290" s="9">
        <v>190738</v>
      </c>
      <c r="D290" s="8"/>
      <c r="E290" s="5"/>
    </row>
    <row r="291" spans="1:5" hidden="1">
      <c r="A291" s="10" t="s">
        <v>0</v>
      </c>
      <c r="B291" s="9">
        <v>193851</v>
      </c>
      <c r="C291" s="9">
        <v>193851</v>
      </c>
      <c r="D291" s="8"/>
      <c r="E291" s="5"/>
    </row>
    <row r="292" spans="1:5" s="3" customFormat="1" ht="15" hidden="1">
      <c r="A292" s="7"/>
      <c r="B292" s="6"/>
      <c r="E292" s="5"/>
    </row>
    <row r="293" spans="1:5" s="3" customFormat="1" ht="15" hidden="1">
      <c r="A293" s="7"/>
      <c r="B293" s="6"/>
      <c r="E293" s="5"/>
    </row>
    <row r="294" spans="1:5" s="3" customFormat="1" ht="15" hidden="1">
      <c r="A294" s="7"/>
      <c r="B294" s="6"/>
      <c r="E294" s="5"/>
    </row>
    <row r="295" spans="1:5" s="3" customFormat="1" ht="15" hidden="1">
      <c r="A295" s="7"/>
      <c r="B295" s="6"/>
      <c r="E295" s="5"/>
    </row>
    <row r="296" spans="1:5" s="3" customFormat="1" ht="15" hidden="1">
      <c r="A296" s="7"/>
      <c r="B296" s="6"/>
      <c r="E296" s="5"/>
    </row>
    <row r="297" spans="1:5" s="3" customFormat="1" ht="15" hidden="1">
      <c r="A297" s="7"/>
      <c r="B297" s="6"/>
      <c r="E297" s="5"/>
    </row>
    <row r="298" spans="1:5" s="3" customFormat="1" ht="15" hidden="1">
      <c r="A298" s="7"/>
      <c r="B298" s="6"/>
      <c r="E298" s="5"/>
    </row>
    <row r="299" spans="1:5" s="3" customFormat="1" ht="15" hidden="1">
      <c r="A299" s="7"/>
      <c r="B299" s="6"/>
      <c r="E299" s="5"/>
    </row>
    <row r="300" spans="1:5" s="3" customFormat="1" ht="15" hidden="1">
      <c r="A300" s="7"/>
      <c r="B300" s="6"/>
      <c r="E300" s="5"/>
    </row>
    <row r="301" spans="1:5" s="3" customFormat="1" ht="15" hidden="1">
      <c r="A301" s="7"/>
      <c r="B301" s="6"/>
      <c r="E301" s="5"/>
    </row>
    <row r="302" spans="1:5" s="3" customFormat="1" ht="15" hidden="1">
      <c r="A302" s="7"/>
      <c r="B302" s="6"/>
      <c r="E302" s="5"/>
    </row>
    <row r="303" spans="1:5" s="3" customFormat="1" ht="15" hidden="1">
      <c r="A303" s="7"/>
      <c r="B303" s="6"/>
      <c r="E303" s="5"/>
    </row>
    <row r="304" spans="1:5" s="3" customFormat="1" ht="15" hidden="1">
      <c r="A304" s="7"/>
      <c r="B304" s="6"/>
      <c r="E304" s="5"/>
    </row>
    <row r="305" spans="1:5" s="3" customFormat="1" ht="15" hidden="1">
      <c r="A305" s="7"/>
      <c r="B305" s="6"/>
      <c r="E305" s="5"/>
    </row>
    <row r="306" spans="1:5" s="3" customFormat="1" ht="15" hidden="1">
      <c r="A306" s="7"/>
      <c r="B306" s="6"/>
      <c r="E306" s="5"/>
    </row>
    <row r="307" spans="1:5" s="3" customFormat="1" ht="15" hidden="1">
      <c r="A307" s="7"/>
      <c r="B307" s="6"/>
      <c r="E307" s="5"/>
    </row>
    <row r="308" spans="1:5" s="3" customFormat="1" ht="15" hidden="1">
      <c r="A308" s="7"/>
      <c r="B308" s="6"/>
      <c r="E308" s="5"/>
    </row>
    <row r="309" spans="1:5" s="3" customFormat="1" ht="15" hidden="1">
      <c r="A309" s="7"/>
      <c r="B309" s="6"/>
      <c r="E309" s="5"/>
    </row>
    <row r="310" spans="1:5" s="3" customFormat="1" ht="15" hidden="1">
      <c r="A310" s="7"/>
      <c r="B310" s="6"/>
      <c r="E310" s="5"/>
    </row>
    <row r="311" spans="1:5" s="3" customFormat="1" ht="15" hidden="1">
      <c r="A311" s="7"/>
      <c r="B311" s="6"/>
      <c r="E311" s="5"/>
    </row>
    <row r="312" spans="1:5" s="3" customFormat="1" ht="15" hidden="1">
      <c r="A312" s="7"/>
      <c r="B312" s="6"/>
      <c r="E312" s="5"/>
    </row>
    <row r="313" spans="1:5" s="3" customFormat="1" ht="15" hidden="1">
      <c r="A313" s="7"/>
      <c r="B313" s="6"/>
      <c r="E313" s="5"/>
    </row>
    <row r="314" spans="1:5" s="3" customFormat="1" ht="15" hidden="1">
      <c r="A314" s="7"/>
      <c r="B314" s="6"/>
      <c r="E314" s="5"/>
    </row>
    <row r="315" spans="1:5" s="3" customFormat="1" ht="15" hidden="1">
      <c r="A315" s="7"/>
      <c r="B315" s="6"/>
      <c r="E315" s="5"/>
    </row>
    <row r="316" spans="1:5" s="3" customFormat="1" ht="15" hidden="1">
      <c r="A316" s="7"/>
      <c r="B316" s="6"/>
      <c r="E316" s="5"/>
    </row>
    <row r="317" spans="1:5" s="3" customFormat="1" ht="15">
      <c r="A317" s="7"/>
      <c r="B317" s="6"/>
      <c r="E317" s="5"/>
    </row>
    <row r="318" spans="1:5" s="3" customFormat="1" ht="15">
      <c r="A318" s="7"/>
      <c r="B318" s="6"/>
      <c r="E318" s="5"/>
    </row>
    <row r="319" spans="1:5" s="3" customFormat="1" ht="15">
      <c r="A319" s="7"/>
      <c r="B319" s="6"/>
      <c r="E319" s="5"/>
    </row>
    <row r="320" spans="1:5" s="3" customFormat="1" ht="15">
      <c r="A320" s="7"/>
      <c r="B320" s="6"/>
      <c r="E320" s="5"/>
    </row>
  </sheetData>
  <mergeCells count="20">
    <mergeCell ref="O10:P10"/>
    <mergeCell ref="L11:M11"/>
    <mergeCell ref="A50:B50"/>
    <mergeCell ref="E9:F9"/>
    <mergeCell ref="G9:H9"/>
    <mergeCell ref="J9:K9"/>
    <mergeCell ref="A10:B10"/>
    <mergeCell ref="L10:M10"/>
    <mergeCell ref="A49:B49"/>
    <mergeCell ref="E7:F7"/>
    <mergeCell ref="G7:H7"/>
    <mergeCell ref="J7:K7"/>
    <mergeCell ref="E8:F8"/>
    <mergeCell ref="G8:H8"/>
    <mergeCell ref="J8:K8"/>
    <mergeCell ref="A3:I3"/>
    <mergeCell ref="A4:I4"/>
    <mergeCell ref="A5:I5"/>
    <mergeCell ref="G6:H6"/>
    <mergeCell ref="J6:K6"/>
  </mergeCells>
  <printOptions horizontalCentered="1"/>
  <pageMargins left="0.5" right="0" top="0" bottom="0" header="0.5" footer="0.5"/>
  <pageSetup paperSize="5" orientation="landscape" verticalDpi="72"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80"/>
  <sheetViews>
    <sheetView showGridLines="0" showOutlineSymbols="0" zoomScale="110" zoomScaleNormal="110" workbookViewId="0">
      <selection activeCell="D64" sqref="D64"/>
    </sheetView>
  </sheetViews>
  <sheetFormatPr defaultColWidth="13" defaultRowHeight="15.75" outlineLevelRow="2" outlineLevelCol="2"/>
  <cols>
    <col min="1" max="1" width="3" style="235" customWidth="1"/>
    <col min="2" max="2" width="30" style="235" customWidth="1"/>
    <col min="3" max="3" width="9" style="235" customWidth="1"/>
    <col min="4" max="4" width="12.28515625" style="235" customWidth="1"/>
    <col min="5" max="5" width="11.5703125" style="235" customWidth="1"/>
    <col min="6" max="7" width="11.42578125" style="235" customWidth="1"/>
    <col min="8" max="8" width="11.7109375" style="235" customWidth="1"/>
    <col min="9" max="9" width="13" style="235" hidden="1" customWidth="1"/>
    <col min="10" max="10" width="11.42578125" style="572" hidden="1" customWidth="1"/>
    <col min="11" max="23" width="13" style="235" hidden="1" customWidth="1"/>
    <col min="24" max="48" width="13" style="235" customWidth="1"/>
    <col min="49" max="53" width="13" style="235" customWidth="1" outlineLevel="1"/>
    <col min="54" max="59" width="13" style="235" customWidth="1" outlineLevel="2"/>
    <col min="60" max="62" width="13" style="235" customWidth="1" outlineLevel="1"/>
    <col min="63" max="82" width="13" style="235" customWidth="1"/>
    <col min="83" max="86" width="13" style="235" customWidth="1" outlineLevel="1"/>
    <col min="87" max="134" width="13" style="235" customWidth="1"/>
    <col min="135" max="140" width="13" style="235" customWidth="1" outlineLevel="1"/>
    <col min="141" max="146" width="13" style="235" customWidth="1" outlineLevel="2"/>
    <col min="147" max="149" width="13" style="235" customWidth="1" outlineLevel="1"/>
    <col min="150" max="150" width="13" style="235" customWidth="1"/>
    <col min="151" max="16384" width="13" style="235"/>
  </cols>
  <sheetData>
    <row r="1" spans="1:10">
      <c r="A1" s="271" t="s">
        <v>473</v>
      </c>
      <c r="B1" s="134"/>
      <c r="C1" s="134"/>
      <c r="E1" s="271"/>
      <c r="H1" s="271"/>
    </row>
    <row r="2" spans="1:10" ht="14.25" customHeight="1">
      <c r="A2" s="270" t="s">
        <v>472</v>
      </c>
      <c r="B2" s="134"/>
      <c r="C2" s="134"/>
      <c r="E2" s="270"/>
      <c r="H2" s="270"/>
    </row>
    <row r="3" spans="1:10" ht="20.25" customHeight="1">
      <c r="A3" s="4630" t="s">
        <v>471</v>
      </c>
      <c r="B3" s="4630"/>
      <c r="C3" s="4630"/>
      <c r="D3" s="4630"/>
      <c r="E3" s="4630"/>
      <c r="F3" s="4630"/>
      <c r="G3" s="4630"/>
      <c r="H3" s="4630"/>
    </row>
    <row r="4" spans="1:10" ht="14.25" customHeight="1">
      <c r="A4" s="4623" t="s">
        <v>583</v>
      </c>
      <c r="B4" s="4631"/>
      <c r="C4" s="4631"/>
      <c r="D4" s="4631"/>
      <c r="E4" s="4631"/>
      <c r="F4" s="4631"/>
      <c r="G4" s="4631"/>
      <c r="H4" s="4631"/>
    </row>
    <row r="5" spans="1:10" ht="8.25" customHeight="1">
      <c r="A5" s="140"/>
      <c r="B5" s="140"/>
      <c r="C5" s="140"/>
      <c r="D5" s="140"/>
      <c r="E5" s="140"/>
      <c r="F5" s="140"/>
      <c r="G5" s="140"/>
      <c r="H5" s="140"/>
    </row>
    <row r="6" spans="1:10" ht="15" customHeight="1">
      <c r="A6" s="757" t="s">
        <v>1454</v>
      </c>
      <c r="D6" s="134"/>
      <c r="E6" s="134"/>
      <c r="F6" s="134"/>
      <c r="G6" s="134"/>
      <c r="H6" s="134"/>
    </row>
    <row r="7" spans="1:10" ht="7.5" customHeight="1">
      <c r="A7" s="757"/>
      <c r="D7" s="134"/>
      <c r="E7" s="134"/>
      <c r="F7" s="134"/>
      <c r="G7" s="134"/>
      <c r="H7" s="134"/>
    </row>
    <row r="8" spans="1:10" ht="14.25" customHeight="1">
      <c r="A8" s="4624" t="s">
        <v>468</v>
      </c>
      <c r="B8" s="4625"/>
      <c r="C8" s="265" t="s">
        <v>467</v>
      </c>
      <c r="D8" s="264" t="s">
        <v>466</v>
      </c>
      <c r="E8" s="4632" t="s">
        <v>465</v>
      </c>
      <c r="F8" s="4633"/>
      <c r="G8" s="4634"/>
      <c r="H8" s="265" t="s">
        <v>464</v>
      </c>
      <c r="I8" s="264" t="s">
        <v>464</v>
      </c>
    </row>
    <row r="9" spans="1:10" ht="14.25" customHeight="1">
      <c r="A9" s="4626"/>
      <c r="B9" s="4627"/>
      <c r="C9" s="261" t="s">
        <v>463</v>
      </c>
      <c r="D9" s="261">
        <v>2020</v>
      </c>
      <c r="E9" s="503" t="s">
        <v>462</v>
      </c>
      <c r="F9" s="503" t="s">
        <v>461</v>
      </c>
      <c r="G9" s="262" t="s">
        <v>244</v>
      </c>
      <c r="H9" s="261">
        <v>2022</v>
      </c>
      <c r="I9" s="261">
        <v>2022</v>
      </c>
    </row>
    <row r="10" spans="1:10" ht="14.25" customHeight="1">
      <c r="A10" s="4628"/>
      <c r="B10" s="4629"/>
      <c r="C10" s="260"/>
      <c r="D10" s="258" t="s">
        <v>460</v>
      </c>
      <c r="E10" s="258" t="s">
        <v>460</v>
      </c>
      <c r="F10" s="258" t="s">
        <v>459</v>
      </c>
      <c r="G10" s="259"/>
      <c r="H10" s="258" t="s">
        <v>458</v>
      </c>
      <c r="I10" s="257" t="s">
        <v>457</v>
      </c>
      <c r="J10" s="256">
        <v>0.1</v>
      </c>
    </row>
    <row r="11" spans="1:10" ht="15" customHeight="1">
      <c r="A11" s="255" t="s">
        <v>456</v>
      </c>
      <c r="B11" s="395"/>
      <c r="C11" s="221"/>
      <c r="D11" s="221"/>
      <c r="E11" s="221"/>
      <c r="F11" s="251"/>
      <c r="G11" s="251"/>
      <c r="H11" s="221"/>
      <c r="I11" s="253"/>
      <c r="J11" s="241"/>
    </row>
    <row r="12" spans="1:10" s="134" customFormat="1" ht="12" customHeight="1">
      <c r="A12" s="252" t="s">
        <v>455</v>
      </c>
      <c r="B12" s="251"/>
      <c r="C12" s="502"/>
      <c r="D12" s="500">
        <f>SUM(D14:D34)</f>
        <v>8816996.5300000012</v>
      </c>
      <c r="E12" s="500">
        <f>SUM(E14:E34)</f>
        <v>3787445.6</v>
      </c>
      <c r="F12" s="500">
        <f>SUM(F14:F34)</f>
        <v>5452562.4000000004</v>
      </c>
      <c r="G12" s="500">
        <f>SUM(G14:G34)</f>
        <v>9240008</v>
      </c>
      <c r="H12" s="500">
        <f>SUM(H14:H34)</f>
        <v>9754308</v>
      </c>
      <c r="I12" s="500">
        <f>SUM(I14:I33)</f>
        <v>9754308</v>
      </c>
      <c r="J12" s="248"/>
    </row>
    <row r="13" spans="1:10" ht="14.1" customHeight="1" outlineLevel="1">
      <c r="A13" s="215" t="s">
        <v>454</v>
      </c>
      <c r="B13" s="499"/>
      <c r="C13" s="1252"/>
      <c r="D13" s="244"/>
      <c r="E13" s="244"/>
      <c r="F13" s="243"/>
      <c r="G13" s="243"/>
      <c r="H13" s="244"/>
      <c r="I13" s="1786"/>
      <c r="J13" s="241"/>
    </row>
    <row r="14" spans="1:10" ht="14.1" customHeight="1" outlineLevel="1">
      <c r="A14" s="166" t="s">
        <v>426</v>
      </c>
      <c r="B14" s="162"/>
      <c r="C14" s="379" t="s">
        <v>453</v>
      </c>
      <c r="D14" s="862">
        <v>5011529.99</v>
      </c>
      <c r="E14" s="150">
        <v>2538915.46</v>
      </c>
      <c r="F14" s="150">
        <f>SUM(G14-E14)</f>
        <v>3672514.54</v>
      </c>
      <c r="G14" s="193">
        <v>6211430</v>
      </c>
      <c r="H14" s="150">
        <f>'plantilla (7)'!H47</f>
        <v>5864544</v>
      </c>
      <c r="I14" s="547">
        <f>'plantilla (7)'!K47</f>
        <v>5864544</v>
      </c>
      <c r="J14" s="221">
        <f>ROUND(H14*0.1,0)</f>
        <v>586454</v>
      </c>
    </row>
    <row r="15" spans="1:10" ht="14.1" customHeight="1" outlineLevel="1">
      <c r="A15" s="215" t="s">
        <v>452</v>
      </c>
      <c r="B15" s="162"/>
      <c r="C15" s="379"/>
      <c r="D15" s="862"/>
      <c r="E15" s="150"/>
      <c r="F15" s="150"/>
      <c r="G15" s="234"/>
      <c r="H15" s="150"/>
      <c r="I15" s="547"/>
      <c r="J15" s="224"/>
    </row>
    <row r="16" spans="1:10" ht="14.1" customHeight="1" outlineLevel="1">
      <c r="A16" s="178" t="s">
        <v>451</v>
      </c>
      <c r="B16" s="177"/>
      <c r="C16" s="379" t="s">
        <v>450</v>
      </c>
      <c r="D16" s="862">
        <v>467600</v>
      </c>
      <c r="E16" s="150">
        <v>238000.09</v>
      </c>
      <c r="F16" s="150">
        <f t="shared" ref="F16:F22" si="0">SUM(G16-E16)</f>
        <v>289999.91000000003</v>
      </c>
      <c r="G16" s="233">
        <v>528000</v>
      </c>
      <c r="H16" s="458">
        <f>'plantilla (7)'!B47*2000*12</f>
        <v>528000</v>
      </c>
      <c r="I16" s="458">
        <f>'plantilla (7)'!B47*2000*12</f>
        <v>528000</v>
      </c>
      <c r="J16" s="224"/>
    </row>
    <row r="17" spans="1:15" ht="14.1" customHeight="1" outlineLevel="1">
      <c r="A17" s="178" t="s">
        <v>449</v>
      </c>
      <c r="B17" s="177"/>
      <c r="C17" s="373" t="s">
        <v>448</v>
      </c>
      <c r="D17" s="862">
        <v>85500</v>
      </c>
      <c r="E17" s="150">
        <v>35625</v>
      </c>
      <c r="F17" s="150">
        <f t="shared" si="0"/>
        <v>49875</v>
      </c>
      <c r="G17" s="233">
        <v>85500</v>
      </c>
      <c r="H17" s="1785">
        <f>7125*12</f>
        <v>85500</v>
      </c>
      <c r="I17" s="1785">
        <f>7125*12</f>
        <v>85500</v>
      </c>
      <c r="J17" s="224"/>
      <c r="K17" s="220"/>
      <c r="L17" s="490"/>
      <c r="M17" s="490"/>
    </row>
    <row r="18" spans="1:15" ht="14.1" customHeight="1" outlineLevel="1">
      <c r="A18" s="178" t="s">
        <v>447</v>
      </c>
      <c r="B18" s="177"/>
      <c r="C18" s="373" t="s">
        <v>446</v>
      </c>
      <c r="D18" s="862">
        <v>85500</v>
      </c>
      <c r="E18" s="150">
        <v>35625</v>
      </c>
      <c r="F18" s="150">
        <f t="shared" si="0"/>
        <v>49875</v>
      </c>
      <c r="G18" s="233">
        <v>85500</v>
      </c>
      <c r="H18" s="1785">
        <f>7125*12</f>
        <v>85500</v>
      </c>
      <c r="I18" s="1785">
        <f>7125*12</f>
        <v>85500</v>
      </c>
      <c r="J18" s="224"/>
      <c r="K18" s="225"/>
      <c r="L18" s="223"/>
      <c r="M18" s="490"/>
    </row>
    <row r="19" spans="1:15" ht="14.1" customHeight="1" outlineLevel="1">
      <c r="A19" s="178" t="s">
        <v>445</v>
      </c>
      <c r="B19" s="177"/>
      <c r="C19" s="373" t="s">
        <v>444</v>
      </c>
      <c r="D19" s="862">
        <v>120000</v>
      </c>
      <c r="E19" s="150">
        <v>114000</v>
      </c>
      <c r="F19" s="150">
        <f t="shared" si="0"/>
        <v>18000</v>
      </c>
      <c r="G19" s="233">
        <v>132000</v>
      </c>
      <c r="H19" s="458">
        <f>'plantilla (7)'!B47*6000</f>
        <v>132000</v>
      </c>
      <c r="I19" s="458">
        <f>'plantilla (7)'!B47*6000</f>
        <v>132000</v>
      </c>
      <c r="J19" s="224"/>
      <c r="K19" s="225"/>
      <c r="L19" s="223"/>
      <c r="M19" s="490"/>
    </row>
    <row r="20" spans="1:15" ht="14.1" customHeight="1" outlineLevel="1">
      <c r="A20" s="178" t="s">
        <v>424</v>
      </c>
      <c r="B20" s="177"/>
      <c r="C20" s="379" t="s">
        <v>439</v>
      </c>
      <c r="D20" s="862">
        <v>407664</v>
      </c>
      <c r="E20" s="150">
        <v>0</v>
      </c>
      <c r="F20" s="150">
        <f t="shared" si="0"/>
        <v>517620</v>
      </c>
      <c r="G20" s="233">
        <v>517620</v>
      </c>
      <c r="H20" s="458">
        <f>SUM(H14/12)</f>
        <v>488712</v>
      </c>
      <c r="I20" s="458">
        <f>SUM(I14/12)</f>
        <v>488712</v>
      </c>
      <c r="J20" s="221">
        <f>ROUND(H20*0.1,0)</f>
        <v>48871</v>
      </c>
      <c r="K20" s="225"/>
      <c r="L20" s="223"/>
      <c r="M20" s="490"/>
    </row>
    <row r="21" spans="1:15" ht="14.1" customHeight="1" outlineLevel="1">
      <c r="A21" s="178" t="s">
        <v>438</v>
      </c>
      <c r="B21" s="177"/>
      <c r="C21" s="379" t="s">
        <v>437</v>
      </c>
      <c r="D21" s="862">
        <v>95000</v>
      </c>
      <c r="E21" s="458">
        <v>0</v>
      </c>
      <c r="F21" s="150">
        <f t="shared" si="0"/>
        <v>157057</v>
      </c>
      <c r="G21" s="234">
        <v>157057</v>
      </c>
      <c r="H21" s="1716">
        <f>'plantilla (7)'!B47*5000</f>
        <v>110000</v>
      </c>
      <c r="I21" s="1716">
        <f>'plantilla (7)'!B47*5000</f>
        <v>110000</v>
      </c>
      <c r="J21" s="221"/>
      <c r="K21" s="225"/>
      <c r="L21" s="223"/>
      <c r="M21" s="490"/>
    </row>
    <row r="22" spans="1:15" ht="14.1" customHeight="1" outlineLevel="1">
      <c r="A22" s="178" t="s">
        <v>436</v>
      </c>
      <c r="B22" s="177"/>
      <c r="C22" s="373" t="s">
        <v>435</v>
      </c>
      <c r="D22" s="862">
        <v>428879</v>
      </c>
      <c r="E22" s="150">
        <v>423962</v>
      </c>
      <c r="F22" s="150">
        <f t="shared" si="0"/>
        <v>46601</v>
      </c>
      <c r="G22" s="234">
        <v>470563</v>
      </c>
      <c r="H22" s="1716">
        <f>SUM(H14/12)</f>
        <v>488712</v>
      </c>
      <c r="I22" s="1716">
        <f>SUM(I14/12)</f>
        <v>488712</v>
      </c>
      <c r="J22" s="221">
        <f>ROUND(H22*0.1,0)</f>
        <v>48871</v>
      </c>
      <c r="K22" s="225"/>
      <c r="L22" s="490"/>
      <c r="M22" s="490"/>
    </row>
    <row r="23" spans="1:15" ht="14.1" customHeight="1" outlineLevel="1">
      <c r="A23" s="230" t="s">
        <v>434</v>
      </c>
      <c r="B23" s="162"/>
      <c r="C23" s="386"/>
      <c r="D23" s="862"/>
      <c r="E23" s="150"/>
      <c r="F23" s="150"/>
      <c r="G23" s="228"/>
      <c r="H23" s="1782"/>
      <c r="I23" s="1782"/>
      <c r="J23" s="221"/>
      <c r="K23" s="4639"/>
      <c r="L23" s="4640"/>
      <c r="M23" s="4640"/>
      <c r="N23" s="4640"/>
      <c r="O23" s="488"/>
    </row>
    <row r="24" spans="1:15" ht="14.1" customHeight="1" outlineLevel="1">
      <c r="A24" s="178" t="s">
        <v>421</v>
      </c>
      <c r="B24" s="162"/>
      <c r="C24" s="379" t="s">
        <v>433</v>
      </c>
      <c r="D24" s="862">
        <v>601383.47</v>
      </c>
      <c r="E24" s="150">
        <v>304790.89</v>
      </c>
      <c r="F24" s="150">
        <f>SUM(G24-E24)</f>
        <v>440583.11</v>
      </c>
      <c r="G24" s="227">
        <v>745374</v>
      </c>
      <c r="H24" s="226">
        <f>ROUND(H14*0.12,0)+1</f>
        <v>703746</v>
      </c>
      <c r="I24" s="226">
        <f>ROUND(I14*0.12,0)+1</f>
        <v>703746</v>
      </c>
      <c r="J24" s="221">
        <f>ROUND(H24*0.1,0)</f>
        <v>70375</v>
      </c>
      <c r="K24" s="220" t="s">
        <v>1453</v>
      </c>
      <c r="L24" s="134"/>
      <c r="M24" s="134"/>
      <c r="N24" s="219"/>
      <c r="O24" s="344"/>
    </row>
    <row r="25" spans="1:15" ht="14.1" customHeight="1" outlineLevel="1">
      <c r="A25" s="178" t="s">
        <v>432</v>
      </c>
      <c r="B25" s="162"/>
      <c r="C25" s="379" t="s">
        <v>431</v>
      </c>
      <c r="D25" s="862">
        <v>23400</v>
      </c>
      <c r="E25" s="150">
        <v>11401.48</v>
      </c>
      <c r="F25" s="150">
        <f>SUM(G25-E25)</f>
        <v>14998.52</v>
      </c>
      <c r="G25" s="217">
        <v>26400</v>
      </c>
      <c r="H25" s="509">
        <f>'plantilla (7)'!B47*100*12</f>
        <v>26400</v>
      </c>
      <c r="I25" s="509">
        <f>'plantilla (7)'!B47*100*12</f>
        <v>26400</v>
      </c>
      <c r="J25" s="221"/>
      <c r="K25" s="179" t="s">
        <v>426</v>
      </c>
      <c r="L25" s="134"/>
      <c r="M25" s="134"/>
      <c r="N25" s="134">
        <f>ROUND(J14,0)+1</f>
        <v>586455</v>
      </c>
      <c r="O25" s="344"/>
    </row>
    <row r="26" spans="1:15" ht="14.1" customHeight="1" outlineLevel="1">
      <c r="A26" s="178" t="s">
        <v>418</v>
      </c>
      <c r="B26" s="162"/>
      <c r="C26" s="379" t="s">
        <v>430</v>
      </c>
      <c r="D26" s="862">
        <v>80320.87</v>
      </c>
      <c r="E26" s="150">
        <v>33725.68</v>
      </c>
      <c r="F26" s="150">
        <f>SUM(G26-E26)</f>
        <v>68438.320000000007</v>
      </c>
      <c r="G26" s="222">
        <v>102164</v>
      </c>
      <c r="H26" s="1784">
        <f>'plantilla (7)'!M49</f>
        <v>112437</v>
      </c>
      <c r="I26" s="1784">
        <f>'plantilla (7)'!P49</f>
        <v>112437</v>
      </c>
      <c r="J26" s="221">
        <f>ROUND(H26*0.1,0)</f>
        <v>11244</v>
      </c>
      <c r="K26" s="207" t="s">
        <v>424</v>
      </c>
      <c r="L26" s="134"/>
      <c r="M26" s="134"/>
      <c r="N26" s="134">
        <f>ROUND(J20,0)+1</f>
        <v>48872</v>
      </c>
      <c r="O26" s="344"/>
    </row>
    <row r="27" spans="1:15" ht="14.1" customHeight="1" outlineLevel="1">
      <c r="A27" s="178" t="s">
        <v>428</v>
      </c>
      <c r="B27" s="162"/>
      <c r="C27" s="379" t="s">
        <v>427</v>
      </c>
      <c r="D27" s="862">
        <v>26400</v>
      </c>
      <c r="E27" s="150">
        <v>11400</v>
      </c>
      <c r="F27" s="150">
        <f>SUM(G27-E27)</f>
        <v>15000</v>
      </c>
      <c r="G27" s="217">
        <v>26400</v>
      </c>
      <c r="H27" s="509">
        <f>'plantilla (7)'!B45*100*12</f>
        <v>26400</v>
      </c>
      <c r="I27" s="509">
        <f>'plantilla (7)'!B45*100*12</f>
        <v>26400</v>
      </c>
      <c r="J27" s="221"/>
      <c r="K27" s="207" t="s">
        <v>421</v>
      </c>
      <c r="L27" s="148"/>
      <c r="M27" s="148"/>
      <c r="N27" s="134">
        <f>ROUND(J22,0)+1</f>
        <v>48872</v>
      </c>
      <c r="O27" s="344"/>
    </row>
    <row r="28" spans="1:15" ht="14.1" customHeight="1" outlineLevel="1">
      <c r="A28" s="215" t="s">
        <v>425</v>
      </c>
      <c r="B28" s="162"/>
      <c r="C28" s="379"/>
      <c r="D28" s="862"/>
      <c r="E28" s="212"/>
      <c r="F28" s="150"/>
      <c r="G28" s="193"/>
      <c r="H28" s="1783"/>
      <c r="I28" s="1783"/>
      <c r="J28" s="216"/>
      <c r="K28" s="207" t="s">
        <v>418</v>
      </c>
      <c r="L28" s="148"/>
      <c r="M28" s="148"/>
      <c r="N28" s="134">
        <f>ROUND(J24,0)+1</f>
        <v>70376</v>
      </c>
      <c r="O28" s="344"/>
    </row>
    <row r="29" spans="1:15" ht="14.1" customHeight="1" outlineLevel="1">
      <c r="A29" s="178" t="s">
        <v>423</v>
      </c>
      <c r="B29" s="162"/>
      <c r="C29" s="379" t="s">
        <v>422</v>
      </c>
      <c r="D29" s="862">
        <v>31927.9</v>
      </c>
      <c r="E29" s="212">
        <v>0</v>
      </c>
      <c r="F29" s="150">
        <f t="shared" ref="F29:F34" si="1">SUM(G29-E29)</f>
        <v>1000</v>
      </c>
      <c r="G29" s="193">
        <v>1000</v>
      </c>
      <c r="H29" s="1783">
        <v>187910</v>
      </c>
      <c r="I29" s="1783">
        <f>H29</f>
        <v>187910</v>
      </c>
      <c r="J29" s="214"/>
      <c r="K29" s="377" t="s">
        <v>579</v>
      </c>
      <c r="L29" s="148"/>
      <c r="M29" s="148"/>
      <c r="N29" s="134">
        <f>ROUND(J22,0)+1</f>
        <v>48872</v>
      </c>
      <c r="O29" s="223"/>
    </row>
    <row r="30" spans="1:15" ht="14.1" customHeight="1" outlineLevel="1" thickBot="1">
      <c r="A30" s="197" t="s">
        <v>420</v>
      </c>
      <c r="B30" s="162"/>
      <c r="C30" s="373" t="s">
        <v>419</v>
      </c>
      <c r="D30" s="862">
        <v>1199891.3</v>
      </c>
      <c r="E30" s="212">
        <v>0</v>
      </c>
      <c r="F30" s="150">
        <f t="shared" si="1"/>
        <v>0</v>
      </c>
      <c r="G30" s="193">
        <v>0</v>
      </c>
      <c r="H30" s="1716">
        <f>N31</f>
        <v>803447</v>
      </c>
      <c r="I30" s="1716">
        <f>H30</f>
        <v>803447</v>
      </c>
      <c r="J30" s="210">
        <f>SUM(J14:J29)</f>
        <v>765815</v>
      </c>
      <c r="K30" s="207"/>
      <c r="L30" s="148"/>
      <c r="M30" s="148"/>
      <c r="N30" s="148"/>
      <c r="O30" s="190"/>
    </row>
    <row r="31" spans="1:15" ht="14.1" customHeight="1" outlineLevel="1" thickTop="1" thickBot="1">
      <c r="A31" s="197" t="s">
        <v>417</v>
      </c>
      <c r="B31" s="162"/>
      <c r="C31" s="373" t="s">
        <v>416</v>
      </c>
      <c r="D31" s="862">
        <v>0</v>
      </c>
      <c r="E31" s="194">
        <v>40000</v>
      </c>
      <c r="F31" s="458">
        <f t="shared" si="1"/>
        <v>0</v>
      </c>
      <c r="G31" s="193">
        <v>40000</v>
      </c>
      <c r="H31" s="1783">
        <v>0</v>
      </c>
      <c r="I31" s="1783">
        <f>H31</f>
        <v>0</v>
      </c>
      <c r="J31" s="1438"/>
      <c r="K31" s="190" t="s">
        <v>577</v>
      </c>
      <c r="L31" s="190"/>
      <c r="M31" s="190"/>
      <c r="N31" s="357">
        <f>SUM(N25:N30)</f>
        <v>803447</v>
      </c>
      <c r="O31" s="344"/>
    </row>
    <row r="32" spans="1:15" ht="14.1" customHeight="1" outlineLevel="1" thickTop="1">
      <c r="A32" s="197" t="s">
        <v>649</v>
      </c>
      <c r="B32" s="162"/>
      <c r="C32" s="373" t="s">
        <v>413</v>
      </c>
      <c r="D32" s="1781">
        <v>0</v>
      </c>
      <c r="E32" s="509">
        <v>0</v>
      </c>
      <c r="F32" s="150">
        <f t="shared" si="1"/>
        <v>1000</v>
      </c>
      <c r="G32" s="193">
        <v>1000</v>
      </c>
      <c r="H32" s="1782">
        <v>1000</v>
      </c>
      <c r="I32" s="1782">
        <v>1000</v>
      </c>
      <c r="J32" s="1779"/>
      <c r="K32" s="344"/>
      <c r="L32" s="344"/>
      <c r="M32" s="344"/>
      <c r="N32" s="344"/>
      <c r="O32" s="344"/>
    </row>
    <row r="33" spans="1:15" ht="14.1" customHeight="1" outlineLevel="1">
      <c r="A33" s="956" t="s">
        <v>1452</v>
      </c>
      <c r="B33" s="162"/>
      <c r="C33" s="373" t="s">
        <v>411</v>
      </c>
      <c r="D33" s="1781">
        <v>95000</v>
      </c>
      <c r="E33" s="509">
        <v>0</v>
      </c>
      <c r="F33" s="150">
        <f t="shared" si="1"/>
        <v>110000</v>
      </c>
      <c r="G33" s="228">
        <v>110000</v>
      </c>
      <c r="H33" s="1782">
        <f>'plantilla (7)'!B47*5000</f>
        <v>110000</v>
      </c>
      <c r="I33" s="1782">
        <f>'plantilla (7)'!B47*5000</f>
        <v>110000</v>
      </c>
      <c r="J33" s="1779"/>
      <c r="K33" s="344"/>
      <c r="L33" s="344"/>
      <c r="M33" s="344"/>
      <c r="N33" s="344"/>
      <c r="O33" s="344"/>
    </row>
    <row r="34" spans="1:15" ht="14.1" customHeight="1" outlineLevel="1">
      <c r="A34" s="956" t="s">
        <v>1451</v>
      </c>
      <c r="B34" s="162"/>
      <c r="C34" s="371" t="s">
        <v>408</v>
      </c>
      <c r="D34" s="1781">
        <v>57000</v>
      </c>
      <c r="E34" s="509">
        <v>0</v>
      </c>
      <c r="F34" s="150">
        <f t="shared" si="1"/>
        <v>0</v>
      </c>
      <c r="G34" s="228">
        <v>0</v>
      </c>
      <c r="H34" s="1780">
        <v>0</v>
      </c>
      <c r="I34" s="1780">
        <v>0</v>
      </c>
      <c r="J34" s="1779"/>
      <c r="K34" s="344"/>
      <c r="L34" s="344"/>
      <c r="M34" s="344"/>
      <c r="N34" s="344"/>
      <c r="O34" s="344"/>
    </row>
    <row r="35" spans="1:15" s="134" customFormat="1" ht="17.25" customHeight="1" outlineLevel="1">
      <c r="A35" s="189" t="s">
        <v>407</v>
      </c>
      <c r="B35" s="188"/>
      <c r="C35" s="365"/>
      <c r="D35" s="186">
        <f>SUM(D36:D56)</f>
        <v>490578.34</v>
      </c>
      <c r="E35" s="186">
        <f>SUM(E36:E56)</f>
        <v>234125.14</v>
      </c>
      <c r="F35" s="186">
        <f>SUM(F36:F56)</f>
        <v>794774.86</v>
      </c>
      <c r="G35" s="186">
        <f>SUM(G36:G56)</f>
        <v>1028900</v>
      </c>
      <c r="H35" s="479">
        <f>SUM(H36:H56)</f>
        <v>1028900</v>
      </c>
      <c r="I35" s="579"/>
      <c r="J35" s="1408"/>
    </row>
    <row r="36" spans="1:15" ht="14.1" customHeight="1" outlineLevel="1">
      <c r="A36" s="522" t="s">
        <v>406</v>
      </c>
      <c r="B36" s="185"/>
      <c r="C36" s="354" t="s">
        <v>405</v>
      </c>
      <c r="D36" s="184">
        <v>15413.5</v>
      </c>
      <c r="E36" s="183">
        <v>0</v>
      </c>
      <c r="F36" s="238">
        <f>SUM(G36-E36)</f>
        <v>65000</v>
      </c>
      <c r="G36" s="183">
        <v>65000</v>
      </c>
      <c r="H36" s="182">
        <v>65000</v>
      </c>
      <c r="I36" s="363"/>
      <c r="N36" s="1778" t="s">
        <v>1450</v>
      </c>
    </row>
    <row r="37" spans="1:15" s="347" customFormat="1" ht="14.1" customHeight="1" outlineLevel="1">
      <c r="A37" s="178" t="s">
        <v>404</v>
      </c>
      <c r="B37" s="177"/>
      <c r="C37" s="354" t="s">
        <v>403</v>
      </c>
      <c r="D37" s="160">
        <v>1200</v>
      </c>
      <c r="E37" s="158">
        <v>0</v>
      </c>
      <c r="F37" s="238">
        <f>SUM(G37-E37)</f>
        <v>40000</v>
      </c>
      <c r="G37" s="158">
        <v>40000</v>
      </c>
      <c r="H37" s="157">
        <v>40000</v>
      </c>
      <c r="I37" s="352"/>
      <c r="J37" s="741"/>
      <c r="L37" s="1623"/>
      <c r="M37" s="1622" t="s">
        <v>387</v>
      </c>
      <c r="N37" s="1777">
        <f>'plantilla (7)'!B47*200</f>
        <v>4400</v>
      </c>
    </row>
    <row r="38" spans="1:15" s="347" customFormat="1" ht="14.1" customHeight="1" outlineLevel="1">
      <c r="A38" s="178" t="s">
        <v>402</v>
      </c>
      <c r="B38" s="177"/>
      <c r="C38" s="354" t="s">
        <v>401</v>
      </c>
      <c r="D38" s="160">
        <v>86641.670000000013</v>
      </c>
      <c r="E38" s="158">
        <v>42637.85</v>
      </c>
      <c r="F38" s="238">
        <f>SUM(G38-E38)</f>
        <v>72362.149999999994</v>
      </c>
      <c r="G38" s="390">
        <v>115000</v>
      </c>
      <c r="H38" s="157">
        <v>115000</v>
      </c>
      <c r="I38" s="352"/>
      <c r="J38" s="741"/>
      <c r="L38" s="1623"/>
      <c r="M38" s="1622" t="s">
        <v>384</v>
      </c>
      <c r="N38" s="1777">
        <f>'plantilla (7)'!B47*2100</f>
        <v>46200</v>
      </c>
    </row>
    <row r="39" spans="1:15" s="347" customFormat="1" ht="14.1" customHeight="1" outlineLevel="1">
      <c r="A39" s="166" t="s">
        <v>400</v>
      </c>
      <c r="B39" s="162"/>
      <c r="C39" s="354"/>
      <c r="D39" s="160"/>
      <c r="E39" s="158"/>
      <c r="F39" s="238"/>
      <c r="G39" s="390"/>
      <c r="H39" s="157"/>
      <c r="I39" s="352"/>
      <c r="J39" s="741"/>
      <c r="L39" s="1623"/>
      <c r="M39" s="1622" t="s">
        <v>382</v>
      </c>
      <c r="N39" s="1777">
        <f>SUM(H56-N37-N38)</f>
        <v>27400</v>
      </c>
    </row>
    <row r="40" spans="1:15" s="347" customFormat="1" ht="14.1" customHeight="1" outlineLevel="1" thickBot="1">
      <c r="A40" s="181"/>
      <c r="B40" s="360" t="s">
        <v>571</v>
      </c>
      <c r="C40" s="350" t="s">
        <v>398</v>
      </c>
      <c r="D40" s="160">
        <v>15068</v>
      </c>
      <c r="E40" s="158">
        <v>9137.4</v>
      </c>
      <c r="F40" s="238">
        <f t="shared" ref="F40:F46" si="2">SUM(G40-E40)</f>
        <v>55862.6</v>
      </c>
      <c r="G40" s="390">
        <v>65000</v>
      </c>
      <c r="H40" s="157">
        <v>65000</v>
      </c>
      <c r="I40" s="352"/>
      <c r="J40" s="741"/>
      <c r="L40" s="1623"/>
      <c r="M40" s="1622" t="s">
        <v>379</v>
      </c>
      <c r="N40" s="1776">
        <f>SUM(N37:N39)</f>
        <v>78000</v>
      </c>
    </row>
    <row r="41" spans="1:15" s="347" customFormat="1" ht="14.1" customHeight="1" outlineLevel="1" thickTop="1">
      <c r="A41" s="178" t="s">
        <v>1449</v>
      </c>
      <c r="B41" s="177"/>
      <c r="C41" s="350" t="s">
        <v>1448</v>
      </c>
      <c r="D41" s="160">
        <v>0</v>
      </c>
      <c r="E41" s="158">
        <v>0</v>
      </c>
      <c r="F41" s="238">
        <f t="shared" si="2"/>
        <v>4000</v>
      </c>
      <c r="G41" s="742">
        <v>4000</v>
      </c>
      <c r="H41" s="157">
        <v>4000</v>
      </c>
      <c r="I41" s="352"/>
      <c r="J41" s="741"/>
      <c r="K41" s="1775" t="s">
        <v>1447</v>
      </c>
      <c r="L41" s="1623"/>
      <c r="M41" s="1623"/>
    </row>
    <row r="42" spans="1:15" s="347" customFormat="1" ht="14.1" customHeight="1" outlineLevel="1">
      <c r="A42" s="178" t="s">
        <v>674</v>
      </c>
      <c r="B42" s="177"/>
      <c r="C42" s="350" t="s">
        <v>396</v>
      </c>
      <c r="D42" s="160">
        <v>0</v>
      </c>
      <c r="E42" s="158">
        <v>0</v>
      </c>
      <c r="F42" s="238">
        <f t="shared" si="2"/>
        <v>7500</v>
      </c>
      <c r="G42" s="1627">
        <v>7500</v>
      </c>
      <c r="H42" s="157">
        <v>7500</v>
      </c>
      <c r="I42" s="352"/>
      <c r="J42" s="741"/>
      <c r="K42" s="1775"/>
      <c r="L42" s="1623"/>
      <c r="M42" s="1623"/>
    </row>
    <row r="43" spans="1:15" s="347" customFormat="1" ht="14.1" customHeight="1" outlineLevel="1">
      <c r="A43" s="166" t="s">
        <v>395</v>
      </c>
      <c r="B43" s="177"/>
      <c r="C43" s="341" t="s">
        <v>394</v>
      </c>
      <c r="D43" s="160">
        <v>12319.5</v>
      </c>
      <c r="E43" s="158">
        <v>10377.549999999999</v>
      </c>
      <c r="F43" s="238">
        <f t="shared" si="2"/>
        <v>17622.45</v>
      </c>
      <c r="G43" s="742">
        <v>28000</v>
      </c>
      <c r="H43" s="157">
        <v>28000</v>
      </c>
      <c r="I43" s="352"/>
      <c r="J43" s="741"/>
      <c r="K43" s="136" t="s">
        <v>1446</v>
      </c>
      <c r="L43" s="135"/>
      <c r="M43" s="585">
        <v>78000</v>
      </c>
    </row>
    <row r="44" spans="1:15" s="347" customFormat="1" ht="14.1" customHeight="1" outlineLevel="1">
      <c r="A44" s="178" t="s">
        <v>393</v>
      </c>
      <c r="B44" s="177"/>
      <c r="C44" s="354" t="s">
        <v>392</v>
      </c>
      <c r="D44" s="160">
        <v>0</v>
      </c>
      <c r="E44" s="158">
        <v>0</v>
      </c>
      <c r="F44" s="238">
        <f t="shared" si="2"/>
        <v>1000</v>
      </c>
      <c r="G44" s="742">
        <v>1000</v>
      </c>
      <c r="H44" s="157">
        <v>1000</v>
      </c>
      <c r="I44" s="352"/>
      <c r="J44" s="741"/>
      <c r="K44" s="136" t="s">
        <v>1445</v>
      </c>
      <c r="M44" s="155">
        <v>396000</v>
      </c>
    </row>
    <row r="45" spans="1:15" s="347" customFormat="1" ht="14.1" customHeight="1" outlineLevel="1" thickBot="1">
      <c r="A45" s="178" t="s">
        <v>391</v>
      </c>
      <c r="B45" s="177"/>
      <c r="C45" s="350" t="s">
        <v>390</v>
      </c>
      <c r="D45" s="160">
        <v>41313.680000000008</v>
      </c>
      <c r="E45" s="158">
        <v>23018.739999999998</v>
      </c>
      <c r="F45" s="238">
        <f t="shared" si="2"/>
        <v>52381.26</v>
      </c>
      <c r="G45" s="742">
        <v>75400</v>
      </c>
      <c r="H45" s="157">
        <v>75400</v>
      </c>
      <c r="I45" s="349"/>
      <c r="J45" s="741"/>
      <c r="M45" s="1774">
        <f>SUM(M43:M44)</f>
        <v>474000</v>
      </c>
    </row>
    <row r="46" spans="1:15" s="464" customFormat="1" ht="14.1" customHeight="1" outlineLevel="1" thickTop="1">
      <c r="A46" s="469" t="s">
        <v>389</v>
      </c>
      <c r="B46" s="468"/>
      <c r="C46" s="979" t="s">
        <v>388</v>
      </c>
      <c r="D46" s="663">
        <v>306332.49</v>
      </c>
      <c r="E46" s="157">
        <v>146400</v>
      </c>
      <c r="F46" s="547">
        <f t="shared" si="2"/>
        <v>327600</v>
      </c>
      <c r="G46" s="1658">
        <v>474000</v>
      </c>
      <c r="H46" s="157">
        <f>M45</f>
        <v>474000</v>
      </c>
      <c r="I46" s="359" t="s">
        <v>1444</v>
      </c>
      <c r="J46" s="1773"/>
    </row>
    <row r="47" spans="1:15" s="347" customFormat="1" ht="14.1" customHeight="1" outlineLevel="1">
      <c r="A47" s="166" t="s">
        <v>1443</v>
      </c>
      <c r="B47" s="173"/>
      <c r="C47" s="345"/>
      <c r="D47" s="160"/>
      <c r="E47" s="158"/>
      <c r="F47" s="238"/>
      <c r="G47" s="742"/>
      <c r="H47" s="157"/>
      <c r="I47" s="1772" t="s">
        <v>568</v>
      </c>
      <c r="J47" s="1771"/>
    </row>
    <row r="48" spans="1:15" s="347" customFormat="1" ht="14.1" customHeight="1" outlineLevel="1">
      <c r="A48" s="163"/>
      <c r="B48" s="164" t="s">
        <v>386</v>
      </c>
      <c r="C48" s="350" t="s">
        <v>385</v>
      </c>
      <c r="D48" s="160">
        <v>0</v>
      </c>
      <c r="E48" s="158">
        <v>0</v>
      </c>
      <c r="F48" s="238">
        <f>SUM(G48-E48)</f>
        <v>20000</v>
      </c>
      <c r="G48" s="742">
        <v>20000</v>
      </c>
      <c r="H48" s="157">
        <v>20000</v>
      </c>
      <c r="I48" s="156"/>
      <c r="J48" s="1771"/>
    </row>
    <row r="49" spans="1:11" s="347" customFormat="1" ht="14.1" customHeight="1" outlineLevel="1">
      <c r="A49" s="166" t="s">
        <v>1443</v>
      </c>
      <c r="B49" s="173"/>
      <c r="C49" s="345"/>
      <c r="D49" s="160"/>
      <c r="E49" s="158"/>
      <c r="F49" s="238"/>
      <c r="G49" s="742"/>
      <c r="H49" s="157"/>
      <c r="I49" s="156"/>
      <c r="J49" s="1771"/>
      <c r="K49" s="155"/>
    </row>
    <row r="50" spans="1:11" s="347" customFormat="1" ht="14.1" customHeight="1" outlineLevel="1">
      <c r="A50" s="163"/>
      <c r="B50" s="164" t="s">
        <v>381</v>
      </c>
      <c r="C50" s="350" t="s">
        <v>380</v>
      </c>
      <c r="D50" s="160">
        <v>0</v>
      </c>
      <c r="E50" s="158">
        <v>0</v>
      </c>
      <c r="F50" s="238">
        <f>SUM(G50-E50)</f>
        <v>45000</v>
      </c>
      <c r="G50" s="742">
        <v>45000</v>
      </c>
      <c r="H50" s="157">
        <v>45000</v>
      </c>
      <c r="I50" s="349"/>
      <c r="J50" s="741"/>
    </row>
    <row r="51" spans="1:11" s="347" customFormat="1" ht="14.1" customHeight="1" outlineLevel="1">
      <c r="A51" s="166" t="s">
        <v>666</v>
      </c>
      <c r="B51" s="173"/>
      <c r="C51" s="345"/>
      <c r="D51" s="160"/>
      <c r="E51" s="158"/>
      <c r="F51" s="238"/>
      <c r="G51" s="742"/>
      <c r="H51" s="157"/>
      <c r="I51" s="156"/>
      <c r="J51" s="1771"/>
      <c r="K51" s="155"/>
    </row>
    <row r="52" spans="1:11" s="347" customFormat="1" ht="14.1" customHeight="1" outlineLevel="1">
      <c r="A52" s="163"/>
      <c r="B52" s="164" t="s">
        <v>1244</v>
      </c>
      <c r="C52" s="350" t="s">
        <v>376</v>
      </c>
      <c r="D52" s="160">
        <v>0</v>
      </c>
      <c r="E52" s="158">
        <v>0</v>
      </c>
      <c r="F52" s="238">
        <f>SUM(G52-E52)</f>
        <v>5000</v>
      </c>
      <c r="G52" s="1627">
        <v>5000</v>
      </c>
      <c r="H52" s="157">
        <v>5000</v>
      </c>
      <c r="I52" s="349"/>
      <c r="J52" s="741"/>
    </row>
    <row r="53" spans="1:11" s="347" customFormat="1" ht="14.1" customHeight="1" outlineLevel="1">
      <c r="A53" s="166" t="s">
        <v>666</v>
      </c>
      <c r="B53" s="173"/>
      <c r="C53" s="345"/>
      <c r="D53" s="160"/>
      <c r="E53" s="158"/>
      <c r="F53" s="238"/>
      <c r="G53" s="1627"/>
      <c r="H53" s="493"/>
      <c r="I53" s="156"/>
      <c r="J53" s="1771"/>
      <c r="K53" s="155"/>
    </row>
    <row r="54" spans="1:11" s="347" customFormat="1" ht="14.1" customHeight="1" outlineLevel="1">
      <c r="A54" s="163"/>
      <c r="B54" s="164" t="s">
        <v>1442</v>
      </c>
      <c r="C54" s="350" t="s">
        <v>371</v>
      </c>
      <c r="D54" s="160">
        <v>0</v>
      </c>
      <c r="E54" s="158">
        <v>0</v>
      </c>
      <c r="F54" s="238">
        <f>SUM(G54-E54)</f>
        <v>5000</v>
      </c>
      <c r="G54" s="1627">
        <v>5000</v>
      </c>
      <c r="H54" s="157">
        <v>5000</v>
      </c>
      <c r="I54" s="349"/>
      <c r="J54" s="741"/>
    </row>
    <row r="55" spans="1:11" ht="14.1" customHeight="1" outlineLevel="1">
      <c r="A55" s="176" t="s">
        <v>370</v>
      </c>
      <c r="B55" s="1618"/>
      <c r="C55" s="350" t="s">
        <v>369</v>
      </c>
      <c r="D55" s="160">
        <v>0</v>
      </c>
      <c r="E55" s="158">
        <v>0</v>
      </c>
      <c r="F55" s="238">
        <f>SUM(G55-E55)</f>
        <v>1000</v>
      </c>
      <c r="G55" s="390">
        <v>1000</v>
      </c>
      <c r="H55" s="157">
        <v>1000</v>
      </c>
      <c r="I55" s="344"/>
    </row>
    <row r="56" spans="1:11" ht="14.1" customHeight="1" outlineLevel="1">
      <c r="A56" s="154" t="s">
        <v>368</v>
      </c>
      <c r="B56" s="153"/>
      <c r="C56" s="1770" t="s">
        <v>367</v>
      </c>
      <c r="D56" s="160">
        <v>12289.5</v>
      </c>
      <c r="E56" s="157">
        <v>2553.6</v>
      </c>
      <c r="F56" s="238">
        <f>SUM(G56-E56)</f>
        <v>75446.399999999994</v>
      </c>
      <c r="G56" s="390">
        <v>78000</v>
      </c>
      <c r="H56" s="157">
        <v>78000</v>
      </c>
      <c r="I56" s="344"/>
    </row>
    <row r="57" spans="1:11" s="134" customFormat="1" ht="19.149999999999999" customHeight="1" outlineLevel="2" thickBot="1">
      <c r="A57" s="147" t="s">
        <v>366</v>
      </c>
      <c r="B57" s="147"/>
      <c r="C57" s="1016"/>
      <c r="D57" s="456">
        <f>SUM(D12+D35)</f>
        <v>9307574.870000001</v>
      </c>
      <c r="E57" s="456">
        <f>SUM(E12+E35)</f>
        <v>4021570.74</v>
      </c>
      <c r="F57" s="456">
        <f>SUM(F12+F35)</f>
        <v>6247337.2600000007</v>
      </c>
      <c r="G57" s="456">
        <f>SUM(G12+G35)</f>
        <v>10268908</v>
      </c>
      <c r="H57" s="456">
        <f>SUM(H12+H35)</f>
        <v>10783208</v>
      </c>
      <c r="I57" s="143" t="s">
        <v>960</v>
      </c>
      <c r="J57" s="1408"/>
    </row>
    <row r="58" spans="1:11" ht="18.600000000000001" customHeight="1" thickTop="1">
      <c r="A58" s="134" t="s">
        <v>364</v>
      </c>
      <c r="C58" s="1768" t="s">
        <v>363</v>
      </c>
      <c r="E58" s="4631" t="s">
        <v>1441</v>
      </c>
      <c r="F58" s="4631"/>
      <c r="G58" s="134"/>
      <c r="H58" s="1769"/>
    </row>
    <row r="59" spans="1:11" ht="14.25" customHeight="1">
      <c r="A59" s="134"/>
      <c r="C59" s="1768"/>
      <c r="E59" s="140"/>
      <c r="F59" s="140"/>
      <c r="G59" s="134"/>
    </row>
    <row r="60" spans="1:11" s="134" customFormat="1" ht="18" customHeight="1">
      <c r="A60" s="726" t="s">
        <v>1440</v>
      </c>
      <c r="C60" s="4635" t="s">
        <v>360</v>
      </c>
      <c r="D60" s="4635"/>
      <c r="E60" s="4630" t="s">
        <v>359</v>
      </c>
      <c r="F60" s="4630"/>
      <c r="G60" s="4630"/>
      <c r="H60" s="4630"/>
      <c r="J60" s="1408"/>
    </row>
    <row r="61" spans="1:11" s="135" customFormat="1" ht="12" customHeight="1">
      <c r="A61" s="138" t="s">
        <v>1439</v>
      </c>
      <c r="B61" s="141"/>
      <c r="C61" s="4622" t="s">
        <v>357</v>
      </c>
      <c r="D61" s="4622"/>
      <c r="E61" s="4623" t="s">
        <v>356</v>
      </c>
      <c r="F61" s="4623"/>
      <c r="G61" s="4623"/>
      <c r="H61" s="4623"/>
      <c r="I61" s="136"/>
      <c r="J61" s="1405"/>
    </row>
    <row r="62" spans="1:11" s="135" customFormat="1" ht="10.15" customHeight="1">
      <c r="B62" s="136"/>
      <c r="C62" s="4621"/>
      <c r="D62" s="4621"/>
      <c r="E62" s="137"/>
      <c r="F62" s="137"/>
      <c r="G62" s="137"/>
      <c r="H62" s="137"/>
      <c r="I62" s="136"/>
      <c r="J62" s="1405"/>
    </row>
    <row r="63" spans="1:11" s="135" customFormat="1" ht="12.75">
      <c r="E63" s="137"/>
      <c r="F63" s="137"/>
      <c r="G63" s="137"/>
      <c r="H63" s="137"/>
      <c r="I63" s="136"/>
      <c r="J63" s="1405"/>
    </row>
    <row r="64" spans="1:11" s="135" customFormat="1" ht="12.75">
      <c r="E64" s="137"/>
      <c r="F64" s="137"/>
      <c r="G64" s="137"/>
      <c r="H64" s="137"/>
      <c r="I64" s="136"/>
      <c r="J64" s="1405"/>
    </row>
    <row r="65" spans="2:10" s="135" customFormat="1" ht="12.75">
      <c r="E65" s="137"/>
      <c r="F65" s="137"/>
      <c r="G65" s="137"/>
      <c r="H65" s="137"/>
      <c r="I65" s="136"/>
      <c r="J65" s="1405"/>
    </row>
    <row r="66" spans="2:10" s="135" customFormat="1" ht="12.75">
      <c r="E66" s="137"/>
      <c r="F66" s="137"/>
      <c r="G66" s="137"/>
      <c r="H66" s="137"/>
      <c r="I66" s="136"/>
      <c r="J66" s="1405"/>
    </row>
    <row r="67" spans="2:10" s="135" customFormat="1" ht="12.75">
      <c r="E67" s="137"/>
      <c r="F67" s="137"/>
      <c r="G67" s="137"/>
      <c r="H67" s="137"/>
      <c r="I67" s="136"/>
      <c r="J67" s="1405"/>
    </row>
    <row r="68" spans="2:10" s="135" customFormat="1" ht="12.75">
      <c r="E68" s="137"/>
      <c r="F68" s="137"/>
      <c r="G68" s="137"/>
      <c r="H68" s="137"/>
      <c r="I68" s="136"/>
      <c r="J68" s="1405"/>
    </row>
    <row r="69" spans="2:10" s="135" customFormat="1" ht="12.75">
      <c r="B69" s="136"/>
      <c r="D69" s="137"/>
      <c r="E69" s="137"/>
      <c r="F69" s="137"/>
      <c r="G69" s="137"/>
      <c r="H69" s="137"/>
      <c r="I69" s="136"/>
      <c r="J69" s="1405"/>
    </row>
    <row r="70" spans="2:10" s="135" customFormat="1" ht="12.75">
      <c r="B70" s="136"/>
      <c r="D70" s="137"/>
      <c r="E70" s="137"/>
      <c r="F70" s="137"/>
      <c r="G70" s="137"/>
      <c r="H70" s="137"/>
      <c r="I70" s="136"/>
      <c r="J70" s="1405"/>
    </row>
    <row r="71" spans="2:10" s="135" customFormat="1" ht="12.75">
      <c r="B71" s="136"/>
      <c r="D71" s="137"/>
      <c r="E71" s="137"/>
      <c r="F71" s="137"/>
      <c r="G71" s="137"/>
      <c r="H71" s="137"/>
      <c r="I71" s="136"/>
      <c r="J71" s="1405"/>
    </row>
    <row r="72" spans="2:10" s="135" customFormat="1" ht="12.75">
      <c r="B72" s="136"/>
      <c r="D72" s="137"/>
      <c r="E72" s="137"/>
      <c r="F72" s="137"/>
      <c r="G72" s="137"/>
      <c r="H72" s="137"/>
      <c r="I72" s="136"/>
      <c r="J72" s="1405"/>
    </row>
    <row r="73" spans="2:10" s="135" customFormat="1" ht="12.75">
      <c r="B73" s="136"/>
      <c r="D73" s="137"/>
      <c r="E73" s="137"/>
      <c r="F73" s="137"/>
      <c r="G73" s="137"/>
      <c r="H73" s="137"/>
      <c r="I73" s="136"/>
      <c r="J73" s="1405"/>
    </row>
    <row r="74" spans="2:10" s="135" customFormat="1" ht="12.75">
      <c r="B74" s="136"/>
      <c r="D74" s="137"/>
      <c r="E74" s="137"/>
      <c r="F74" s="137"/>
      <c r="G74" s="137"/>
      <c r="H74" s="137"/>
      <c r="I74" s="136"/>
      <c r="J74" s="1405"/>
    </row>
    <row r="75" spans="2:10" s="336" customFormat="1" ht="9" customHeight="1">
      <c r="J75" s="1604"/>
    </row>
    <row r="76" spans="2:10" s="336" customFormat="1" ht="9" customHeight="1">
      <c r="J76" s="1604"/>
    </row>
    <row r="77" spans="2:10" s="336" customFormat="1" ht="9" customHeight="1">
      <c r="J77" s="1604"/>
    </row>
    <row r="78" spans="2:10" s="336" customFormat="1" ht="9" customHeight="1">
      <c r="J78" s="1604"/>
    </row>
    <row r="79" spans="2:10" s="336" customFormat="1" ht="9" customHeight="1">
      <c r="J79" s="1604"/>
    </row>
    <row r="80" spans="2:10" s="336" customFormat="1" ht="9.9499999999999993" customHeight="1">
      <c r="J80" s="1604"/>
    </row>
  </sheetData>
  <mergeCells count="11">
    <mergeCell ref="A8:B10"/>
    <mergeCell ref="A3:H3"/>
    <mergeCell ref="A4:H4"/>
    <mergeCell ref="E8:G8"/>
    <mergeCell ref="E58:F58"/>
    <mergeCell ref="E60:H60"/>
    <mergeCell ref="K23:N23"/>
    <mergeCell ref="C62:D62"/>
    <mergeCell ref="C61:D61"/>
    <mergeCell ref="E61:H61"/>
    <mergeCell ref="C60:D60"/>
  </mergeCells>
  <pageMargins left="0.5" right="0" top="0.25" bottom="0" header="0.5" footer="0"/>
  <pageSetup paperSize="5" orientation="portrait"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57"/>
  <sheetViews>
    <sheetView showGridLines="0" showOutlineSymbols="0" zoomScale="120" zoomScaleNormal="120" workbookViewId="0">
      <selection activeCell="F20" sqref="F20"/>
    </sheetView>
  </sheetViews>
  <sheetFormatPr defaultColWidth="12.5703125" defaultRowHeight="12.75" outlineLevelRow="2" outlineLevelCol="2"/>
  <cols>
    <col min="1" max="1" width="1.85546875" style="134" customWidth="1"/>
    <col min="2" max="2" width="37.140625" style="134" customWidth="1"/>
    <col min="3" max="3" width="8.28515625" style="134" customWidth="1"/>
    <col min="4" max="4" width="11.140625" style="134" customWidth="1"/>
    <col min="5" max="5" width="10.140625" style="134" customWidth="1"/>
    <col min="6" max="6" width="11.28515625" style="134" customWidth="1"/>
    <col min="7" max="7" width="10.5703125" style="134" customWidth="1"/>
    <col min="8" max="8" width="10" style="134" customWidth="1"/>
    <col min="9" max="9" width="14.140625" style="134" hidden="1" customWidth="1"/>
    <col min="10" max="12" width="0" style="134" hidden="1" customWidth="1"/>
    <col min="13" max="13" width="11.28515625" style="134" hidden="1" customWidth="1"/>
    <col min="14" max="18" width="0" style="134" hidden="1" customWidth="1"/>
    <col min="19"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10" s="235" customFormat="1" ht="14.25" customHeight="1">
      <c r="A1" s="575" t="s">
        <v>473</v>
      </c>
      <c r="B1" s="134"/>
      <c r="C1" s="573"/>
      <c r="E1" s="270"/>
      <c r="H1" s="270"/>
      <c r="J1" s="572"/>
    </row>
    <row r="2" spans="1:10" s="235" customFormat="1" ht="14.25" customHeight="1">
      <c r="A2" s="574" t="s">
        <v>584</v>
      </c>
      <c r="B2" s="134"/>
      <c r="C2" s="573"/>
      <c r="E2" s="270"/>
      <c r="H2" s="270"/>
      <c r="J2" s="572"/>
    </row>
    <row r="3" spans="1:10" s="235" customFormat="1" ht="14.25" customHeight="1">
      <c r="A3" s="134"/>
      <c r="B3" s="134"/>
      <c r="C3" s="573"/>
      <c r="E3" s="270"/>
      <c r="G3" s="271"/>
      <c r="H3" s="270"/>
      <c r="J3" s="572"/>
    </row>
    <row r="4" spans="1:10" s="235" customFormat="1" ht="14.25" customHeight="1">
      <c r="A4" s="134"/>
      <c r="B4" s="134"/>
      <c r="C4" s="573"/>
      <c r="E4" s="270"/>
      <c r="G4" s="271"/>
      <c r="H4" s="270"/>
      <c r="J4" s="572"/>
    </row>
    <row r="5" spans="1:10" s="235" customFormat="1" ht="14.25" customHeight="1">
      <c r="A5" s="4648" t="s">
        <v>471</v>
      </c>
      <c r="B5" s="4648"/>
      <c r="C5" s="4648"/>
      <c r="D5" s="4648"/>
      <c r="E5" s="4648"/>
      <c r="F5" s="4648"/>
      <c r="G5" s="4648"/>
      <c r="H5" s="4648"/>
      <c r="J5" s="572"/>
    </row>
    <row r="6" spans="1:10" s="235" customFormat="1" ht="14.25" customHeight="1">
      <c r="A6" s="4623" t="s">
        <v>583</v>
      </c>
      <c r="B6" s="4631"/>
      <c r="C6" s="4631"/>
      <c r="D6" s="4631"/>
      <c r="E6" s="4631"/>
      <c r="F6" s="4631"/>
      <c r="G6" s="4631"/>
      <c r="H6" s="4631"/>
      <c r="J6" s="572"/>
    </row>
    <row r="7" spans="1:10" ht="14.25" customHeight="1">
      <c r="A7" s="140"/>
      <c r="B7" s="140"/>
      <c r="C7" s="140"/>
      <c r="D7" s="140"/>
      <c r="E7" s="140"/>
      <c r="F7" s="140"/>
      <c r="G7" s="140"/>
      <c r="H7" s="140"/>
    </row>
    <row r="8" spans="1:10" ht="14.25" customHeight="1">
      <c r="A8" s="399" t="s">
        <v>1480</v>
      </c>
    </row>
    <row r="9" spans="1:10" ht="14.25" customHeight="1">
      <c r="A9" s="267"/>
      <c r="B9" s="266"/>
    </row>
    <row r="10" spans="1:10" ht="14.25" customHeight="1">
      <c r="A10" s="4624" t="s">
        <v>468</v>
      </c>
      <c r="B10" s="4625"/>
      <c r="C10" s="570" t="s">
        <v>467</v>
      </c>
      <c r="D10" s="264" t="s">
        <v>466</v>
      </c>
      <c r="E10" s="4632" t="s">
        <v>465</v>
      </c>
      <c r="F10" s="4633"/>
      <c r="G10" s="4634"/>
      <c r="H10" s="265" t="s">
        <v>464</v>
      </c>
    </row>
    <row r="11" spans="1:10" ht="14.25" customHeight="1">
      <c r="A11" s="4626"/>
      <c r="B11" s="4627"/>
      <c r="C11" s="569" t="s">
        <v>463</v>
      </c>
      <c r="D11" s="261">
        <v>2020</v>
      </c>
      <c r="E11" s="597" t="s">
        <v>462</v>
      </c>
      <c r="F11" s="597" t="s">
        <v>461</v>
      </c>
      <c r="G11" s="262" t="s">
        <v>244</v>
      </c>
      <c r="H11" s="261">
        <v>2022</v>
      </c>
    </row>
    <row r="12" spans="1:10" ht="14.25" customHeight="1">
      <c r="A12" s="4628"/>
      <c r="B12" s="4629"/>
      <c r="C12" s="567"/>
      <c r="D12" s="258" t="s">
        <v>460</v>
      </c>
      <c r="E12" s="258" t="s">
        <v>460</v>
      </c>
      <c r="F12" s="258" t="s">
        <v>459</v>
      </c>
      <c r="G12" s="259"/>
      <c r="H12" s="258" t="s">
        <v>458</v>
      </c>
    </row>
    <row r="13" spans="1:10" ht="17.100000000000001" customHeight="1">
      <c r="A13" s="255" t="s">
        <v>456</v>
      </c>
      <c r="B13" s="536"/>
      <c r="C13" s="195"/>
      <c r="D13" s="158"/>
      <c r="E13" s="158"/>
      <c r="F13" s="158"/>
      <c r="G13" s="157"/>
      <c r="H13" s="157"/>
      <c r="I13" s="148"/>
    </row>
    <row r="14" spans="1:10" s="155" customFormat="1" ht="17.100000000000001" customHeight="1" outlineLevel="1">
      <c r="A14" s="565" t="s">
        <v>407</v>
      </c>
      <c r="B14" s="596"/>
      <c r="C14" s="563"/>
      <c r="D14" s="562">
        <f>SUM(D15:D40)</f>
        <v>13076184.07</v>
      </c>
      <c r="E14" s="562">
        <f>SUM(E15:E40)</f>
        <v>2981185.06</v>
      </c>
      <c r="F14" s="562">
        <f>SUM(F15:F40)</f>
        <v>5485814.9399999995</v>
      </c>
      <c r="G14" s="562">
        <f>SUM(G15:G40)</f>
        <v>8467000</v>
      </c>
      <c r="H14" s="562">
        <f>SUM(H15:H40)</f>
        <v>8277000</v>
      </c>
      <c r="I14" s="155">
        <v>11179600</v>
      </c>
    </row>
    <row r="15" spans="1:10" s="155" customFormat="1" ht="19.899999999999999" customHeight="1" outlineLevel="1">
      <c r="A15" s="560" t="s">
        <v>678</v>
      </c>
      <c r="B15" s="162"/>
      <c r="C15" s="1808" t="s">
        <v>677</v>
      </c>
      <c r="D15" s="558"/>
      <c r="E15" s="158"/>
      <c r="F15" s="158"/>
      <c r="G15" s="157"/>
      <c r="H15" s="157"/>
      <c r="I15" s="156"/>
    </row>
    <row r="16" spans="1:10" s="155" customFormat="1" ht="19.899999999999999" customHeight="1" outlineLevel="1">
      <c r="A16" s="588" t="s">
        <v>646</v>
      </c>
      <c r="B16" s="162"/>
      <c r="C16" s="548"/>
      <c r="D16" s="160">
        <v>397589.48</v>
      </c>
      <c r="E16" s="158">
        <v>114370</v>
      </c>
      <c r="F16" s="158">
        <f>SUM(G16-E16)</f>
        <v>265630</v>
      </c>
      <c r="G16" s="157">
        <v>380000</v>
      </c>
      <c r="H16" s="157">
        <v>180000</v>
      </c>
      <c r="I16" s="156"/>
    </row>
    <row r="17" spans="1:13" s="155" customFormat="1" ht="19.899999999999999" customHeight="1" outlineLevel="1">
      <c r="A17" s="588" t="s">
        <v>704</v>
      </c>
      <c r="B17" s="587"/>
      <c r="C17" s="548"/>
      <c r="D17" s="160">
        <v>219340</v>
      </c>
      <c r="E17" s="158">
        <v>0</v>
      </c>
      <c r="F17" s="158">
        <f>SUM(G17-E17)</f>
        <v>135000</v>
      </c>
      <c r="G17" s="157">
        <v>135000</v>
      </c>
      <c r="H17" s="157">
        <v>135000</v>
      </c>
      <c r="I17" s="156"/>
    </row>
    <row r="18" spans="1:13" s="155" customFormat="1" ht="19.899999999999999" customHeight="1" outlineLevel="1">
      <c r="A18" s="588" t="s">
        <v>402</v>
      </c>
      <c r="B18" s="587"/>
      <c r="C18" s="548"/>
      <c r="D18" s="195">
        <v>102122.09</v>
      </c>
      <c r="E18" s="158">
        <v>19804.350000000006</v>
      </c>
      <c r="F18" s="158">
        <f>SUM(G18-E18)</f>
        <v>110195.65</v>
      </c>
      <c r="G18" s="157">
        <v>130000</v>
      </c>
      <c r="H18" s="157">
        <v>80000</v>
      </c>
      <c r="I18" s="156"/>
    </row>
    <row r="19" spans="1:13" s="155" customFormat="1" ht="19.899999999999999" customHeight="1" outlineLevel="1">
      <c r="A19" s="588" t="s">
        <v>402</v>
      </c>
      <c r="B19" s="162"/>
      <c r="C19" s="160"/>
      <c r="D19" s="158"/>
      <c r="E19" s="158"/>
      <c r="F19" s="158"/>
      <c r="G19" s="157"/>
      <c r="H19" s="157"/>
      <c r="I19" s="156"/>
    </row>
    <row r="20" spans="1:13" s="155" customFormat="1" ht="19.899999999999999" customHeight="1" outlineLevel="1">
      <c r="A20" s="588"/>
      <c r="B20" s="590" t="s">
        <v>399</v>
      </c>
      <c r="C20" s="548"/>
      <c r="D20" s="160">
        <v>19449</v>
      </c>
      <c r="E20" s="158">
        <v>9870</v>
      </c>
      <c r="F20" s="158">
        <f t="shared" ref="F20:F28" si="0">SUM(G20-E20)</f>
        <v>50130</v>
      </c>
      <c r="G20" s="157">
        <v>60000</v>
      </c>
      <c r="H20" s="157">
        <v>60000</v>
      </c>
      <c r="I20" s="156"/>
    </row>
    <row r="21" spans="1:13" s="155" customFormat="1" ht="19.899999999999999" customHeight="1" outlineLevel="1">
      <c r="A21" s="588" t="s">
        <v>674</v>
      </c>
      <c r="B21" s="590"/>
      <c r="C21" s="548"/>
      <c r="D21" s="160">
        <v>1502413.9300000002</v>
      </c>
      <c r="E21" s="158">
        <v>501132.91000000015</v>
      </c>
      <c r="F21" s="158">
        <f t="shared" si="0"/>
        <v>1614867.0899999999</v>
      </c>
      <c r="G21" s="157">
        <v>2116000</v>
      </c>
      <c r="H21" s="157">
        <v>2116000</v>
      </c>
      <c r="I21" s="156"/>
    </row>
    <row r="22" spans="1:13" s="155" customFormat="1" ht="19.899999999999999" customHeight="1" outlineLevel="1">
      <c r="A22" s="588" t="s">
        <v>1479</v>
      </c>
      <c r="B22" s="590"/>
      <c r="C22" s="548"/>
      <c r="D22" s="160">
        <v>429179.5</v>
      </c>
      <c r="E22" s="158">
        <v>13057.5</v>
      </c>
      <c r="F22" s="158">
        <f t="shared" si="0"/>
        <v>656942.5</v>
      </c>
      <c r="G22" s="157">
        <v>670000</v>
      </c>
      <c r="H22" s="157">
        <v>40000</v>
      </c>
      <c r="I22" s="156"/>
    </row>
    <row r="23" spans="1:13" s="155" customFormat="1" ht="19.899999999999999" customHeight="1" outlineLevel="1">
      <c r="A23" s="592" t="s">
        <v>673</v>
      </c>
      <c r="B23" s="590"/>
      <c r="C23" s="548"/>
      <c r="D23" s="160">
        <v>28470</v>
      </c>
      <c r="E23" s="158">
        <v>8292.5</v>
      </c>
      <c r="F23" s="158">
        <f t="shared" si="0"/>
        <v>21707.5</v>
      </c>
      <c r="G23" s="157">
        <v>30000</v>
      </c>
      <c r="H23" s="157">
        <v>30000</v>
      </c>
      <c r="I23" s="156"/>
    </row>
    <row r="24" spans="1:13" s="155" customFormat="1" ht="19.899999999999999" customHeight="1" outlineLevel="1">
      <c r="A24" s="592" t="s">
        <v>700</v>
      </c>
      <c r="B24" s="590"/>
      <c r="C24" s="548"/>
      <c r="D24" s="160">
        <v>0</v>
      </c>
      <c r="E24" s="158">
        <v>0</v>
      </c>
      <c r="F24" s="158">
        <f t="shared" si="0"/>
        <v>1000</v>
      </c>
      <c r="G24" s="157">
        <v>1000</v>
      </c>
      <c r="H24" s="157">
        <v>1000</v>
      </c>
      <c r="I24" s="156"/>
      <c r="J24" s="1807" t="s">
        <v>1447</v>
      </c>
      <c r="K24" s="1807"/>
      <c r="L24" s="1807"/>
      <c r="M24" s="1807"/>
    </row>
    <row r="25" spans="1:13" s="155" customFormat="1" ht="19.899999999999999" customHeight="1" outlineLevel="1">
      <c r="A25" s="588" t="s">
        <v>699</v>
      </c>
      <c r="B25" s="590"/>
      <c r="C25" s="548"/>
      <c r="D25" s="160">
        <v>8289.1200000000008</v>
      </c>
      <c r="E25" s="158">
        <v>4522.2000000000007</v>
      </c>
      <c r="F25" s="158">
        <f t="shared" si="0"/>
        <v>20477.8</v>
      </c>
      <c r="G25" s="157">
        <v>25000</v>
      </c>
      <c r="H25" s="157">
        <v>25000</v>
      </c>
      <c r="I25" s="156"/>
      <c r="J25" s="156" t="s">
        <v>1478</v>
      </c>
      <c r="L25" s="155">
        <v>2448000</v>
      </c>
    </row>
    <row r="26" spans="1:13" s="155" customFormat="1" ht="19.899999999999999" customHeight="1" outlineLevel="1">
      <c r="A26" s="588" t="s">
        <v>1264</v>
      </c>
      <c r="B26" s="590"/>
      <c r="C26" s="548"/>
      <c r="D26" s="160">
        <v>17272.079999999998</v>
      </c>
      <c r="E26" s="158">
        <v>7277.1600000000008</v>
      </c>
      <c r="F26" s="158">
        <f t="shared" si="0"/>
        <v>32722.84</v>
      </c>
      <c r="G26" s="157">
        <v>40000</v>
      </c>
      <c r="H26" s="157">
        <v>48000</v>
      </c>
      <c r="I26" s="156"/>
      <c r="J26" s="156" t="s">
        <v>1477</v>
      </c>
      <c r="L26" s="155">
        <v>78000</v>
      </c>
    </row>
    <row r="27" spans="1:13" s="155" customFormat="1" ht="19.899999999999999" customHeight="1" outlineLevel="1">
      <c r="A27" s="588" t="s">
        <v>1476</v>
      </c>
      <c r="B27" s="590"/>
      <c r="C27" s="548"/>
      <c r="D27" s="160">
        <v>2236286.15</v>
      </c>
      <c r="E27" s="157">
        <v>1005000</v>
      </c>
      <c r="F27" s="158">
        <f t="shared" si="0"/>
        <v>1365000</v>
      </c>
      <c r="G27" s="157">
        <v>2370000</v>
      </c>
      <c r="H27" s="157">
        <v>2526000</v>
      </c>
      <c r="I27" s="1806">
        <v>19</v>
      </c>
      <c r="J27" s="156"/>
    </row>
    <row r="28" spans="1:13" s="155" customFormat="1" ht="19.899999999999999" customHeight="1" outlineLevel="1" thickBot="1">
      <c r="A28" s="588" t="s">
        <v>1475</v>
      </c>
      <c r="B28" s="590"/>
      <c r="C28" s="548"/>
      <c r="D28" s="160">
        <v>5530723.0899999999</v>
      </c>
      <c r="E28" s="157">
        <v>0</v>
      </c>
      <c r="F28" s="158">
        <f t="shared" si="0"/>
        <v>0</v>
      </c>
      <c r="G28" s="157">
        <v>0</v>
      </c>
      <c r="H28" s="547">
        <v>0</v>
      </c>
      <c r="I28" s="1806"/>
      <c r="J28" s="198" t="s">
        <v>244</v>
      </c>
      <c r="K28" s="1805"/>
      <c r="L28" s="199">
        <f>SUM(L25:L27)</f>
        <v>2526000</v>
      </c>
    </row>
    <row r="29" spans="1:13" s="155" customFormat="1" ht="19.899999999999999" customHeight="1" outlineLevel="1" thickTop="1">
      <c r="A29" s="588" t="s">
        <v>383</v>
      </c>
      <c r="B29" s="590"/>
      <c r="C29" s="548"/>
      <c r="D29" s="160"/>
      <c r="E29" s="158"/>
      <c r="F29" s="158"/>
      <c r="G29" s="157"/>
      <c r="H29" s="547"/>
      <c r="I29" s="941"/>
      <c r="J29" s="359"/>
      <c r="K29" s="359"/>
    </row>
    <row r="30" spans="1:13" s="155" customFormat="1" ht="19.899999999999999" customHeight="1" outlineLevel="1">
      <c r="A30" s="588"/>
      <c r="B30" s="1797" t="s">
        <v>1474</v>
      </c>
      <c r="C30" s="548"/>
      <c r="D30" s="160">
        <v>0</v>
      </c>
      <c r="E30" s="158">
        <v>8712.64</v>
      </c>
      <c r="F30" s="158">
        <f>SUM(G30-E30)</f>
        <v>11287.36</v>
      </c>
      <c r="G30" s="157">
        <v>20000</v>
      </c>
      <c r="H30" s="547">
        <v>20000</v>
      </c>
      <c r="I30" s="156"/>
    </row>
    <row r="31" spans="1:13" s="155" customFormat="1" ht="19.899999999999999" customHeight="1" outlineLevel="1">
      <c r="A31" s="588" t="s">
        <v>566</v>
      </c>
      <c r="B31" s="590"/>
      <c r="C31" s="548"/>
      <c r="D31" s="160"/>
      <c r="E31" s="158"/>
      <c r="F31" s="158"/>
      <c r="G31" s="157"/>
      <c r="H31" s="157"/>
      <c r="I31" s="156"/>
      <c r="J31" s="4767" t="s">
        <v>1473</v>
      </c>
      <c r="K31" s="4767"/>
      <c r="L31" s="4767"/>
      <c r="M31" s="4767"/>
    </row>
    <row r="32" spans="1:13" s="155" customFormat="1" ht="19.899999999999999" customHeight="1" outlineLevel="1">
      <c r="A32" s="588"/>
      <c r="B32" s="1797" t="s">
        <v>1472</v>
      </c>
      <c r="C32" s="548"/>
      <c r="D32" s="160">
        <v>133839.97999999998</v>
      </c>
      <c r="E32" s="158">
        <v>49080</v>
      </c>
      <c r="F32" s="158">
        <f>SUM(G32-E32)</f>
        <v>110920</v>
      </c>
      <c r="G32" s="157">
        <v>160000</v>
      </c>
      <c r="H32" s="157">
        <v>160000</v>
      </c>
      <c r="I32" s="156"/>
      <c r="J32" s="4768" t="s">
        <v>1471</v>
      </c>
      <c r="K32" s="4768"/>
      <c r="L32" s="4768"/>
      <c r="M32" s="4768"/>
    </row>
    <row r="33" spans="1:16" s="155" customFormat="1" ht="19.899999999999999" customHeight="1" outlineLevel="1">
      <c r="A33" s="588" t="s">
        <v>566</v>
      </c>
      <c r="B33" s="590"/>
      <c r="C33" s="548"/>
      <c r="D33" s="160"/>
      <c r="E33" s="158"/>
      <c r="F33" s="158"/>
      <c r="G33" s="157"/>
      <c r="H33" s="157"/>
      <c r="I33" s="156"/>
      <c r="J33" s="1803" t="s">
        <v>1470</v>
      </c>
      <c r="K33" s="1802">
        <v>1</v>
      </c>
      <c r="L33" s="1800">
        <v>10000</v>
      </c>
      <c r="M33" s="1056">
        <f>SUM(K33*L33)</f>
        <v>10000</v>
      </c>
    </row>
    <row r="34" spans="1:16" s="155" customFormat="1" ht="19.899999999999999" customHeight="1" outlineLevel="1">
      <c r="A34" s="588"/>
      <c r="B34" s="1797" t="s">
        <v>1469</v>
      </c>
      <c r="C34" s="548"/>
      <c r="D34" s="160">
        <v>83805</v>
      </c>
      <c r="E34" s="158">
        <v>21450</v>
      </c>
      <c r="F34" s="158">
        <f>SUM(G34-E34)</f>
        <v>128550</v>
      </c>
      <c r="G34" s="157">
        <v>150000</v>
      </c>
      <c r="H34" s="157">
        <v>150000</v>
      </c>
      <c r="I34" s="156"/>
      <c r="J34" s="1803" t="s">
        <v>1468</v>
      </c>
      <c r="K34" s="1802">
        <v>1</v>
      </c>
      <c r="L34" s="1800">
        <v>5000</v>
      </c>
      <c r="M34" s="1056">
        <f>SUM(K34*L34)</f>
        <v>5000</v>
      </c>
    </row>
    <row r="35" spans="1:16" s="155" customFormat="1" ht="19.899999999999999" customHeight="1" outlineLevel="1">
      <c r="A35" s="588" t="s">
        <v>666</v>
      </c>
      <c r="B35" s="162"/>
      <c r="C35" s="548"/>
      <c r="D35" s="160"/>
      <c r="E35" s="158"/>
      <c r="F35" s="158"/>
      <c r="G35" s="157"/>
      <c r="H35" s="157"/>
      <c r="I35" s="156"/>
      <c r="J35" s="1803" t="s">
        <v>1467</v>
      </c>
      <c r="K35" s="1802">
        <v>1</v>
      </c>
      <c r="L35" s="1800">
        <v>4000</v>
      </c>
      <c r="M35" s="1056">
        <f>SUM(K35*L35)</f>
        <v>4000</v>
      </c>
    </row>
    <row r="36" spans="1:16" s="155" customFormat="1" ht="19.899999999999999" customHeight="1" outlineLevel="1">
      <c r="A36" s="588"/>
      <c r="B36" s="1804" t="s">
        <v>1466</v>
      </c>
      <c r="C36" s="548"/>
      <c r="D36" s="160">
        <v>181641</v>
      </c>
      <c r="E36" s="158">
        <v>61880</v>
      </c>
      <c r="F36" s="158">
        <f>SUM(G36-E36)</f>
        <v>188120</v>
      </c>
      <c r="G36" s="157">
        <v>250000</v>
      </c>
      <c r="H36" s="157">
        <v>200000</v>
      </c>
      <c r="I36" s="156"/>
      <c r="J36" s="1803" t="s">
        <v>1465</v>
      </c>
      <c r="K36" s="1802">
        <v>55</v>
      </c>
      <c r="L36" s="1800">
        <v>2000</v>
      </c>
      <c r="M36" s="1056">
        <f>SUM(K36*L36)</f>
        <v>110000</v>
      </c>
    </row>
    <row r="37" spans="1:16" s="155" customFormat="1" ht="19.899999999999999" customHeight="1" outlineLevel="1" thickBot="1">
      <c r="A37" s="588" t="s">
        <v>776</v>
      </c>
      <c r="B37" s="162"/>
      <c r="C37" s="548"/>
      <c r="D37" s="160">
        <v>2101663.6500000004</v>
      </c>
      <c r="E37" s="158">
        <v>1156735.8</v>
      </c>
      <c r="F37" s="158">
        <f>SUM(G37-E37)</f>
        <v>773264.2</v>
      </c>
      <c r="G37" s="157">
        <v>1930000</v>
      </c>
      <c r="H37" s="157">
        <v>2506000</v>
      </c>
      <c r="I37" s="156"/>
      <c r="K37" s="1801">
        <f>SUM(K33:K36)</f>
        <v>58</v>
      </c>
      <c r="L37" s="1800"/>
      <c r="M37" s="1799">
        <f>SUM(M33:M36)</f>
        <v>129000</v>
      </c>
    </row>
    <row r="38" spans="1:16" s="155" customFormat="1" ht="19.899999999999999" customHeight="1" outlineLevel="1" thickTop="1">
      <c r="A38" s="588" t="s">
        <v>776</v>
      </c>
      <c r="B38" s="162"/>
      <c r="C38" s="548"/>
      <c r="D38" s="160"/>
      <c r="E38" s="158"/>
      <c r="F38" s="158"/>
      <c r="G38" s="157"/>
      <c r="H38" s="157"/>
      <c r="I38" s="156"/>
      <c r="K38" s="1056"/>
      <c r="L38" s="1649" t="s">
        <v>1326</v>
      </c>
      <c r="M38" s="1798">
        <f>SUM(M37*12)</f>
        <v>1548000</v>
      </c>
    </row>
    <row r="39" spans="1:16" s="155" customFormat="1" ht="19.899999999999999" customHeight="1" outlineLevel="1">
      <c r="A39" s="588"/>
      <c r="B39" s="1797" t="s">
        <v>1464</v>
      </c>
      <c r="C39" s="548"/>
      <c r="D39" s="160">
        <v>84100</v>
      </c>
      <c r="E39" s="158">
        <v>0</v>
      </c>
      <c r="F39" s="158">
        <f>SUM(G39-E39)</f>
        <v>0</v>
      </c>
      <c r="G39" s="157">
        <v>0</v>
      </c>
      <c r="H39" s="157">
        <v>0</v>
      </c>
      <c r="I39" s="157">
        <v>100000</v>
      </c>
      <c r="K39" s="1056"/>
      <c r="L39" s="1649"/>
      <c r="M39" s="1798"/>
    </row>
    <row r="40" spans="1:16" s="155" customFormat="1" ht="19.899999999999999" customHeight="1" outlineLevel="1">
      <c r="A40" s="588"/>
      <c r="B40" s="1797"/>
      <c r="C40" s="548"/>
      <c r="D40" s="160"/>
      <c r="E40" s="158"/>
      <c r="F40" s="158"/>
      <c r="G40" s="157"/>
      <c r="H40" s="157"/>
      <c r="I40" s="156"/>
      <c r="J40" s="155" t="s">
        <v>1463</v>
      </c>
      <c r="M40" s="1796">
        <v>96000</v>
      </c>
      <c r="N40" s="135"/>
      <c r="O40" s="136"/>
      <c r="P40" s="135"/>
    </row>
    <row r="41" spans="1:16" ht="19.899999999999999" customHeight="1" outlineLevel="2" thickBot="1">
      <c r="A41" s="584" t="s">
        <v>366</v>
      </c>
      <c r="B41" s="583"/>
      <c r="C41" s="146"/>
      <c r="D41" s="1795">
        <f>SUM(D16:D40)</f>
        <v>13076184.07</v>
      </c>
      <c r="E41" s="1795">
        <f>SUM(E16:E40)</f>
        <v>2981185.06</v>
      </c>
      <c r="F41" s="1795">
        <f>SUM(F16:F40)</f>
        <v>5485814.9399999995</v>
      </c>
      <c r="G41" s="1795">
        <f>SUM(G16:G40)</f>
        <v>8467000</v>
      </c>
      <c r="H41" s="1794">
        <f>SUM(H16:H40)</f>
        <v>8277000</v>
      </c>
      <c r="I41" s="454" t="s">
        <v>872</v>
      </c>
      <c r="J41" s="134" t="s">
        <v>1462</v>
      </c>
      <c r="M41" s="357">
        <f>SUM(M38:M40)</f>
        <v>1644000</v>
      </c>
    </row>
    <row r="42" spans="1:16" ht="21" customHeight="1" thickTop="1">
      <c r="A42" s="134" t="s">
        <v>364</v>
      </c>
      <c r="C42" s="141" t="s">
        <v>363</v>
      </c>
      <c r="F42" s="544" t="s">
        <v>870</v>
      </c>
      <c r="H42" s="339"/>
      <c r="J42" s="1793"/>
      <c r="K42" s="148"/>
      <c r="L42" s="156"/>
      <c r="M42" s="440"/>
    </row>
    <row r="43" spans="1:16" ht="18" customHeight="1">
      <c r="A43" s="542"/>
      <c r="C43" s="141"/>
      <c r="J43" s="1792"/>
      <c r="K43" s="148"/>
      <c r="L43" s="148"/>
      <c r="M43" s="190"/>
    </row>
    <row r="44" spans="1:16" ht="21" customHeight="1">
      <c r="A44" s="1791" t="s">
        <v>1461</v>
      </c>
      <c r="B44" s="578" t="s">
        <v>1460</v>
      </c>
      <c r="C44" s="4651" t="s">
        <v>360</v>
      </c>
      <c r="D44" s="4651"/>
      <c r="E44" s="4651"/>
      <c r="F44" s="4630" t="s">
        <v>359</v>
      </c>
      <c r="G44" s="4630"/>
      <c r="H44" s="541"/>
      <c r="J44" s="1790"/>
      <c r="K44" s="148"/>
      <c r="L44" s="148"/>
      <c r="M44" s="190"/>
    </row>
    <row r="45" spans="1:16" s="135" customFormat="1" ht="13.5">
      <c r="A45" s="577" t="s">
        <v>1459</v>
      </c>
      <c r="B45" s="577" t="s">
        <v>1458</v>
      </c>
      <c r="C45" s="1789" t="s">
        <v>658</v>
      </c>
      <c r="D45" s="1789"/>
      <c r="F45" s="1788" t="s">
        <v>1457</v>
      </c>
      <c r="G45" s="1788"/>
      <c r="H45" s="540"/>
      <c r="I45" s="136"/>
      <c r="J45" s="440"/>
      <c r="K45" s="440"/>
      <c r="L45" s="440"/>
      <c r="M45" s="440"/>
    </row>
    <row r="46" spans="1:16" s="135" customFormat="1" ht="13.5">
      <c r="A46" s="1787" t="s">
        <v>1456</v>
      </c>
      <c r="B46" s="540" t="s">
        <v>1455</v>
      </c>
      <c r="C46" s="4621"/>
      <c r="D46" s="4621"/>
      <c r="E46" s="137"/>
      <c r="F46" s="137"/>
      <c r="G46" s="137"/>
      <c r="H46" s="137"/>
      <c r="I46" s="136"/>
    </row>
    <row r="47" spans="1:16" s="135" customFormat="1">
      <c r="A47" s="1787"/>
      <c r="B47" s="136"/>
      <c r="D47" s="137"/>
      <c r="E47" s="137"/>
      <c r="F47" s="137"/>
      <c r="G47" s="137"/>
      <c r="H47" s="137"/>
      <c r="I47" s="136"/>
    </row>
    <row r="48" spans="1:16" s="135" customFormat="1">
      <c r="D48" s="137"/>
      <c r="E48" s="137"/>
      <c r="F48" s="137"/>
      <c r="G48" s="137"/>
      <c r="H48" s="137"/>
      <c r="I48" s="136"/>
    </row>
    <row r="49" spans="2:9" s="135" customFormat="1">
      <c r="D49" s="137"/>
      <c r="E49" s="137"/>
      <c r="F49" s="137"/>
      <c r="G49" s="137"/>
      <c r="H49" s="137"/>
      <c r="I49" s="136"/>
    </row>
    <row r="50" spans="2:9" s="135" customFormat="1">
      <c r="D50" s="137"/>
      <c r="E50" s="137"/>
      <c r="F50" s="137"/>
      <c r="G50" s="137"/>
      <c r="H50" s="137"/>
      <c r="I50" s="136"/>
    </row>
    <row r="51" spans="2:9" s="135" customFormat="1">
      <c r="D51" s="137"/>
      <c r="E51" s="137"/>
      <c r="F51" s="137"/>
      <c r="G51" s="137"/>
      <c r="H51" s="137"/>
      <c r="I51" s="136"/>
    </row>
    <row r="52" spans="2:9" s="135" customFormat="1">
      <c r="D52" s="137"/>
      <c r="E52" s="137"/>
      <c r="F52" s="137"/>
      <c r="G52" s="137"/>
      <c r="H52" s="137"/>
      <c r="I52" s="136"/>
    </row>
    <row r="53" spans="2:9" s="135" customFormat="1">
      <c r="D53" s="137"/>
      <c r="E53" s="137"/>
      <c r="F53" s="137"/>
      <c r="G53" s="137"/>
      <c r="H53" s="137"/>
      <c r="I53" s="136"/>
    </row>
    <row r="54" spans="2:9" s="135" customFormat="1">
      <c r="D54" s="137"/>
      <c r="E54" s="137"/>
      <c r="F54" s="137"/>
      <c r="G54" s="137"/>
      <c r="H54" s="137"/>
      <c r="I54" s="136"/>
    </row>
    <row r="55" spans="2:9" s="135" customFormat="1">
      <c r="D55" s="137"/>
      <c r="E55" s="137"/>
      <c r="F55" s="137"/>
      <c r="G55" s="137"/>
      <c r="H55" s="137"/>
      <c r="I55" s="136"/>
    </row>
    <row r="56" spans="2:9" s="135" customFormat="1">
      <c r="B56" s="136"/>
      <c r="D56" s="137"/>
      <c r="E56" s="137"/>
      <c r="F56" s="137"/>
      <c r="G56" s="137"/>
      <c r="H56" s="137"/>
      <c r="I56" s="136"/>
    </row>
    <row r="57" spans="2:9" s="135" customFormat="1">
      <c r="B57" s="136"/>
      <c r="D57" s="137"/>
      <c r="E57" s="137"/>
      <c r="F57" s="137"/>
      <c r="G57" s="137"/>
      <c r="H57" s="137"/>
      <c r="I57" s="136"/>
    </row>
  </sheetData>
  <mergeCells count="9">
    <mergeCell ref="C46:D46"/>
    <mergeCell ref="J31:M31"/>
    <mergeCell ref="A5:H5"/>
    <mergeCell ref="A6:H6"/>
    <mergeCell ref="E10:G10"/>
    <mergeCell ref="A10:B12"/>
    <mergeCell ref="J32:M32"/>
    <mergeCell ref="F44:G44"/>
    <mergeCell ref="C44:E44"/>
  </mergeCells>
  <pageMargins left="0.5" right="0" top="0" bottom="0" header="0.5" footer="0"/>
  <pageSetup paperSize="5" orientation="portrait"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43"/>
  <sheetViews>
    <sheetView showGridLines="0" showOutlineSymbols="0" workbookViewId="0">
      <selection activeCell="B39" sqref="B39"/>
    </sheetView>
  </sheetViews>
  <sheetFormatPr defaultColWidth="12.5703125" defaultRowHeight="15.75" outlineLevelRow="2" outlineLevelCol="2"/>
  <cols>
    <col min="1" max="1" width="1.5703125" style="235" customWidth="1"/>
    <col min="2" max="2" width="35.7109375" style="235" customWidth="1"/>
    <col min="3" max="3" width="9.42578125" style="235" customWidth="1"/>
    <col min="4" max="8" width="10.7109375" style="235" customWidth="1"/>
    <col min="9" max="9" width="14.140625" style="235" hidden="1" customWidth="1"/>
    <col min="10" max="13" width="0" style="235" hidden="1" customWidth="1"/>
    <col min="14"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13" ht="14.25" customHeight="1">
      <c r="A1" s="271" t="s">
        <v>473</v>
      </c>
      <c r="B1" s="134"/>
      <c r="C1" s="573"/>
      <c r="E1" s="270"/>
      <c r="H1" s="270"/>
      <c r="J1" s="572"/>
    </row>
    <row r="2" spans="1:13" ht="14.25" customHeight="1">
      <c r="A2" s="270" t="s">
        <v>584</v>
      </c>
      <c r="B2" s="134"/>
      <c r="C2" s="573"/>
      <c r="E2" s="270"/>
      <c r="H2" s="270"/>
      <c r="J2" s="572"/>
    </row>
    <row r="3" spans="1:13" ht="14.25" customHeight="1">
      <c r="A3" s="134"/>
      <c r="B3" s="134"/>
      <c r="C3" s="573"/>
      <c r="E3" s="270"/>
      <c r="G3" s="271"/>
      <c r="H3" s="270"/>
      <c r="J3" s="572"/>
    </row>
    <row r="4" spans="1:13" ht="14.25" customHeight="1">
      <c r="A4" s="134"/>
      <c r="B4" s="134"/>
      <c r="C4" s="573"/>
      <c r="E4" s="270"/>
      <c r="G4" s="271"/>
      <c r="H4" s="270"/>
      <c r="J4" s="572"/>
    </row>
    <row r="5" spans="1:13" ht="14.25" customHeight="1">
      <c r="A5" s="4648" t="s">
        <v>471</v>
      </c>
      <c r="B5" s="4648"/>
      <c r="C5" s="4648"/>
      <c r="D5" s="4648"/>
      <c r="E5" s="4648"/>
      <c r="F5" s="4648"/>
      <c r="G5" s="4648"/>
      <c r="H5" s="4648"/>
      <c r="J5" s="572"/>
    </row>
    <row r="6" spans="1:13" ht="14.25" customHeight="1">
      <c r="A6" s="4631" t="s">
        <v>470</v>
      </c>
      <c r="B6" s="4631"/>
      <c r="C6" s="4631"/>
      <c r="D6" s="4631"/>
      <c r="E6" s="4631"/>
      <c r="F6" s="4631"/>
      <c r="G6" s="4631"/>
      <c r="H6" s="4631"/>
      <c r="J6" s="572"/>
    </row>
    <row r="7" spans="1:13" ht="14.25" customHeight="1">
      <c r="A7" s="868"/>
      <c r="B7" s="868"/>
      <c r="C7" s="869"/>
      <c r="D7" s="868"/>
      <c r="E7" s="868"/>
      <c r="F7" s="868"/>
      <c r="G7" s="868"/>
      <c r="H7" s="868"/>
      <c r="J7" s="572"/>
    </row>
    <row r="8" spans="1:13" ht="14.25" customHeight="1">
      <c r="A8" s="4631"/>
      <c r="B8" s="4631"/>
      <c r="C8" s="4631"/>
      <c r="D8" s="4631"/>
      <c r="E8" s="4631"/>
      <c r="F8" s="4631"/>
      <c r="G8" s="4631"/>
      <c r="H8" s="4631"/>
    </row>
    <row r="9" spans="1:13" ht="18.75" customHeight="1">
      <c r="A9" s="267" t="s">
        <v>1487</v>
      </c>
      <c r="B9" s="397"/>
      <c r="D9" s="134"/>
      <c r="E9" s="134"/>
      <c r="F9" s="134"/>
      <c r="G9" s="134"/>
      <c r="H9" s="134"/>
    </row>
    <row r="10" spans="1:13" ht="14.25" customHeight="1">
      <c r="A10" s="398"/>
      <c r="B10" s="397"/>
      <c r="D10" s="134"/>
      <c r="E10" s="134"/>
      <c r="F10" s="134"/>
      <c r="G10" s="134"/>
      <c r="H10" s="134"/>
    </row>
    <row r="11" spans="1:13" ht="14.25" customHeight="1">
      <c r="A11" s="4624" t="s">
        <v>468</v>
      </c>
      <c r="B11" s="4625"/>
      <c r="C11" s="570" t="s">
        <v>467</v>
      </c>
      <c r="D11" s="264" t="s">
        <v>466</v>
      </c>
      <c r="E11" s="4632" t="s">
        <v>465</v>
      </c>
      <c r="F11" s="4633"/>
      <c r="G11" s="4634"/>
      <c r="H11" s="265" t="s">
        <v>464</v>
      </c>
    </row>
    <row r="12" spans="1:13" ht="14.25" customHeight="1">
      <c r="A12" s="4626"/>
      <c r="B12" s="4627"/>
      <c r="C12" s="569" t="s">
        <v>463</v>
      </c>
      <c r="D12" s="261">
        <v>2020</v>
      </c>
      <c r="E12" s="597" t="s">
        <v>462</v>
      </c>
      <c r="F12" s="597" t="s">
        <v>461</v>
      </c>
      <c r="G12" s="262" t="s">
        <v>244</v>
      </c>
      <c r="H12" s="261">
        <v>2022</v>
      </c>
    </row>
    <row r="13" spans="1:13" ht="14.25" customHeight="1">
      <c r="A13" s="4628"/>
      <c r="B13" s="4629"/>
      <c r="C13" s="567"/>
      <c r="D13" s="258" t="s">
        <v>460</v>
      </c>
      <c r="E13" s="258" t="s">
        <v>460</v>
      </c>
      <c r="F13" s="258" t="s">
        <v>459</v>
      </c>
      <c r="G13" s="259"/>
      <c r="H13" s="258" t="s">
        <v>458</v>
      </c>
    </row>
    <row r="14" spans="1:13" ht="20.100000000000001" customHeight="1">
      <c r="A14" s="255" t="s">
        <v>456</v>
      </c>
      <c r="B14" s="395"/>
      <c r="C14" s="195"/>
      <c r="D14" s="158"/>
      <c r="E14" s="158"/>
      <c r="F14" s="158"/>
      <c r="G14" s="157"/>
      <c r="H14" s="157"/>
      <c r="I14" s="344"/>
    </row>
    <row r="15" spans="1:13" s="347" customFormat="1" ht="20.100000000000001" customHeight="1" outlineLevel="1">
      <c r="A15" s="252" t="s">
        <v>1486</v>
      </c>
      <c r="B15" s="1825"/>
      <c r="C15" s="563"/>
      <c r="D15" s="561">
        <f>SUM(D16:D25)</f>
        <v>228747.23</v>
      </c>
      <c r="E15" s="561">
        <f>SUM(E16:E25)</f>
        <v>69962.679999999993</v>
      </c>
      <c r="F15" s="561">
        <f>SUM(F16:F25)</f>
        <v>280037.32</v>
      </c>
      <c r="G15" s="561">
        <f>SUM(G16:G25)</f>
        <v>350000</v>
      </c>
      <c r="H15" s="561">
        <f>SUM(H16:H25)</f>
        <v>350000</v>
      </c>
    </row>
    <row r="16" spans="1:13" s="347" customFormat="1" ht="20.100000000000001" customHeight="1" outlineLevel="1">
      <c r="A16" s="560" t="s">
        <v>678</v>
      </c>
      <c r="B16" s="162"/>
      <c r="C16" s="1824" t="s">
        <v>677</v>
      </c>
      <c r="D16" s="866"/>
      <c r="E16" s="861"/>
      <c r="F16" s="861"/>
      <c r="G16" s="861"/>
      <c r="H16" s="493"/>
      <c r="I16" s="349"/>
      <c r="J16" s="1818"/>
      <c r="K16" s="1823" t="s">
        <v>1331</v>
      </c>
      <c r="L16" s="1823"/>
      <c r="M16" s="1823"/>
    </row>
    <row r="17" spans="1:13" s="347" customFormat="1" ht="20.100000000000001" customHeight="1" outlineLevel="1">
      <c r="A17" s="1815" t="s">
        <v>1335</v>
      </c>
      <c r="B17" s="1650"/>
      <c r="C17" s="548"/>
      <c r="D17" s="1631">
        <f>'[2]1141'!$E$14</f>
        <v>10329</v>
      </c>
      <c r="E17" s="217">
        <f>'[3]1141'!$E$14</f>
        <v>0</v>
      </c>
      <c r="F17" s="217">
        <f t="shared" ref="F17:F23" si="0">SUM(G17-E17)</f>
        <v>33000</v>
      </c>
      <c r="G17" s="1628">
        <f>'[3]1141'!$C$14</f>
        <v>33000</v>
      </c>
      <c r="H17" s="218">
        <v>21500</v>
      </c>
      <c r="I17" s="349"/>
      <c r="J17" s="1822" t="s">
        <v>1485</v>
      </c>
      <c r="K17" s="1818">
        <v>9000</v>
      </c>
      <c r="L17" s="1821">
        <v>1</v>
      </c>
      <c r="M17" s="1817">
        <f>SUM(K17*L17)</f>
        <v>9000</v>
      </c>
    </row>
    <row r="18" spans="1:13" s="347" customFormat="1" ht="20.100000000000001" customHeight="1" outlineLevel="1">
      <c r="A18" s="1815" t="s">
        <v>404</v>
      </c>
      <c r="B18" s="1650"/>
      <c r="C18" s="548"/>
      <c r="D18" s="1631">
        <f>'[2]1141'!$E$15</f>
        <v>4000</v>
      </c>
      <c r="E18" s="217">
        <f>'[3]1141'!$E$15</f>
        <v>0</v>
      </c>
      <c r="F18" s="217">
        <f t="shared" si="0"/>
        <v>20000</v>
      </c>
      <c r="G18" s="1628">
        <f>'[3]1141'!$C$15</f>
        <v>20000</v>
      </c>
      <c r="H18" s="218">
        <v>10000</v>
      </c>
      <c r="I18" s="349"/>
      <c r="J18" s="1822" t="s">
        <v>1484</v>
      </c>
      <c r="K18" s="1818">
        <v>6000</v>
      </c>
      <c r="L18" s="1821">
        <v>2</v>
      </c>
      <c r="M18" s="1817">
        <f>SUM(K18*L18)</f>
        <v>12000</v>
      </c>
    </row>
    <row r="19" spans="1:13" s="347" customFormat="1" ht="20.100000000000001" customHeight="1" outlineLevel="1">
      <c r="A19" s="1815" t="s">
        <v>402</v>
      </c>
      <c r="B19" s="1650"/>
      <c r="C19" s="160"/>
      <c r="D19" s="217">
        <f>'[2]1141'!$E$16</f>
        <v>12002.119999999999</v>
      </c>
      <c r="E19" s="217">
        <f>'[3]1141'!$E$16</f>
        <v>15362</v>
      </c>
      <c r="F19" s="217">
        <f t="shared" si="0"/>
        <v>138</v>
      </c>
      <c r="G19" s="1814">
        <f>'[3]1141'!$C$16</f>
        <v>15500</v>
      </c>
      <c r="H19" s="218">
        <v>30000</v>
      </c>
      <c r="I19" s="349"/>
      <c r="J19" s="1822"/>
      <c r="K19" s="1818"/>
      <c r="L19" s="1821"/>
      <c r="M19" s="1817"/>
    </row>
    <row r="20" spans="1:13" s="347" customFormat="1" ht="20.100000000000001" customHeight="1" outlineLevel="1">
      <c r="A20" s="1815" t="s">
        <v>700</v>
      </c>
      <c r="B20" s="1650"/>
      <c r="C20" s="160"/>
      <c r="D20" s="217">
        <f>'[2]1141'!$E$17</f>
        <v>0</v>
      </c>
      <c r="E20" s="217">
        <f>'[3]1141'!$E$17</f>
        <v>0</v>
      </c>
      <c r="F20" s="217">
        <f t="shared" si="0"/>
        <v>1500</v>
      </c>
      <c r="G20" s="1813">
        <f>'[3]1141'!$C$17</f>
        <v>1500</v>
      </c>
      <c r="H20" s="218">
        <v>1500</v>
      </c>
      <c r="I20" s="349"/>
      <c r="J20" s="1819"/>
      <c r="K20" s="1818"/>
      <c r="L20" s="1821" t="s">
        <v>1327</v>
      </c>
      <c r="M20" s="1820">
        <f>SUM(M17:M19)</f>
        <v>21000</v>
      </c>
    </row>
    <row r="21" spans="1:13" s="347" customFormat="1" ht="20.100000000000001" customHeight="1" outlineLevel="1" thickBot="1">
      <c r="A21" s="1815" t="s">
        <v>699</v>
      </c>
      <c r="B21" s="1650"/>
      <c r="C21" s="548"/>
      <c r="D21" s="1631">
        <f>'[2]1141'!$E$18</f>
        <v>8252.82</v>
      </c>
      <c r="E21" s="217">
        <f>'[3]1141'!$E$18</f>
        <v>2703.68</v>
      </c>
      <c r="F21" s="217">
        <f t="shared" si="0"/>
        <v>7296.32</v>
      </c>
      <c r="G21" s="1813">
        <f>'[3]1141'!$C$18</f>
        <v>10000</v>
      </c>
      <c r="H21" s="218">
        <v>10000</v>
      </c>
      <c r="I21" s="349"/>
      <c r="J21" s="1819"/>
      <c r="K21" s="1818"/>
      <c r="L21" s="1817" t="s">
        <v>1326</v>
      </c>
      <c r="M21" s="1816">
        <f>SUM(M20*12)</f>
        <v>252000</v>
      </c>
    </row>
    <row r="22" spans="1:13" s="347" customFormat="1" ht="20.100000000000001" customHeight="1" outlineLevel="1" thickTop="1">
      <c r="A22" s="1651" t="s">
        <v>698</v>
      </c>
      <c r="B22" s="1650"/>
      <c r="C22" s="548"/>
      <c r="D22" s="1631">
        <f>'[2]1141'!$E$19</f>
        <v>14163.29</v>
      </c>
      <c r="E22" s="217">
        <f>'[3]1141'!$E$19</f>
        <v>3897</v>
      </c>
      <c r="F22" s="217">
        <f t="shared" si="0"/>
        <v>12103</v>
      </c>
      <c r="G22" s="1813">
        <f>'[3]1141'!$C$19</f>
        <v>16000</v>
      </c>
      <c r="H22" s="218">
        <v>23000</v>
      </c>
      <c r="I22" s="349"/>
    </row>
    <row r="23" spans="1:13" s="347" customFormat="1" ht="20.100000000000001" customHeight="1" outlineLevel="1">
      <c r="A23" s="1651" t="s">
        <v>952</v>
      </c>
      <c r="B23" s="1650"/>
      <c r="C23" s="548"/>
      <c r="D23" s="1631">
        <f>'[2]1141'!$E$20</f>
        <v>180000</v>
      </c>
      <c r="E23" s="217">
        <f>'[3]1141'!$E$20</f>
        <v>48000</v>
      </c>
      <c r="F23" s="217">
        <f t="shared" si="0"/>
        <v>204000</v>
      </c>
      <c r="G23" s="1813">
        <f>'[3]1141'!$C$20</f>
        <v>252000</v>
      </c>
      <c r="H23" s="218">
        <f>M21</f>
        <v>252000</v>
      </c>
      <c r="I23" s="349"/>
    </row>
    <row r="24" spans="1:13" s="347" customFormat="1" ht="20.100000000000001" customHeight="1" outlineLevel="1">
      <c r="A24" s="1815" t="s">
        <v>1328</v>
      </c>
      <c r="B24" s="1650"/>
      <c r="C24" s="548"/>
      <c r="D24" s="1631"/>
      <c r="E24" s="217"/>
      <c r="F24" s="217"/>
      <c r="G24" s="1814"/>
      <c r="H24" s="218"/>
      <c r="I24" s="349"/>
    </row>
    <row r="25" spans="1:13" s="347" customFormat="1" ht="20.100000000000001" customHeight="1" outlineLevel="1">
      <c r="A25" s="1653"/>
      <c r="B25" s="1652" t="s">
        <v>386</v>
      </c>
      <c r="C25" s="548"/>
      <c r="D25" s="1631">
        <f>'[2]1141'!$E$21</f>
        <v>0</v>
      </c>
      <c r="E25" s="217">
        <f>'[3]1141'!$E$21</f>
        <v>0</v>
      </c>
      <c r="F25" s="217">
        <f>SUM(G25-E25)</f>
        <v>2000</v>
      </c>
      <c r="G25" s="1813">
        <f>'[3]1141'!$C$21</f>
        <v>2000</v>
      </c>
      <c r="H25" s="218">
        <v>2000</v>
      </c>
      <c r="I25" s="349"/>
    </row>
    <row r="26" spans="1:13" s="347" customFormat="1" ht="20.100000000000001" customHeight="1" outlineLevel="1">
      <c r="A26" s="1653"/>
      <c r="B26" s="1652"/>
      <c r="C26" s="587"/>
      <c r="D26" s="1631"/>
      <c r="E26" s="217"/>
      <c r="F26" s="217"/>
      <c r="G26" s="1813"/>
      <c r="H26" s="218"/>
      <c r="I26" s="349"/>
    </row>
    <row r="27" spans="1:13" ht="21" customHeight="1" outlineLevel="2" thickBot="1">
      <c r="A27" s="4649" t="s">
        <v>366</v>
      </c>
      <c r="B27" s="4650"/>
      <c r="C27" s="146"/>
      <c r="D27" s="456">
        <f>SUM(D17:D26)</f>
        <v>228747.23</v>
      </c>
      <c r="E27" s="456">
        <f>SUM(E17:E25)</f>
        <v>69962.679999999993</v>
      </c>
      <c r="F27" s="456">
        <f>SUM(F17:F25)</f>
        <v>280037.32</v>
      </c>
      <c r="G27" s="456">
        <f>SUM(G17:G25)</f>
        <v>350000</v>
      </c>
      <c r="H27" s="455">
        <f>SUM(H17:H26)</f>
        <v>350000</v>
      </c>
      <c r="I27" s="1812" t="s">
        <v>872</v>
      </c>
    </row>
    <row r="28" spans="1:13" ht="25.15" customHeight="1" thickTop="1">
      <c r="A28" s="134" t="s">
        <v>364</v>
      </c>
      <c r="C28" s="141" t="s">
        <v>363</v>
      </c>
      <c r="F28" s="544" t="s">
        <v>661</v>
      </c>
      <c r="G28" s="134"/>
      <c r="H28" s="1811"/>
    </row>
    <row r="29" spans="1:13" ht="12.6" customHeight="1">
      <c r="A29" s="134"/>
      <c r="C29" s="141"/>
      <c r="D29" s="134"/>
      <c r="F29" s="134"/>
      <c r="G29" s="134"/>
    </row>
    <row r="30" spans="1:13" s="134" customFormat="1" ht="28.5" customHeight="1">
      <c r="A30" s="1810" t="s">
        <v>1483</v>
      </c>
      <c r="B30" s="714"/>
      <c r="C30" s="4635" t="s">
        <v>360</v>
      </c>
      <c r="D30" s="4635"/>
      <c r="E30" s="1606"/>
      <c r="F30" s="4769" t="s">
        <v>359</v>
      </c>
      <c r="G30" s="4769"/>
      <c r="H30" s="541"/>
    </row>
    <row r="31" spans="1:13" s="135" customFormat="1" ht="13.5">
      <c r="A31" s="1809" t="s">
        <v>1482</v>
      </c>
      <c r="B31" s="721"/>
      <c r="C31" s="4655" t="s">
        <v>357</v>
      </c>
      <c r="D31" s="4655"/>
      <c r="E31" s="772"/>
      <c r="F31" s="4770" t="s">
        <v>356</v>
      </c>
      <c r="G31" s="4770"/>
      <c r="H31" s="540"/>
      <c r="I31" s="136"/>
    </row>
    <row r="32" spans="1:13" s="135" customFormat="1" ht="13.5">
      <c r="B32" s="721" t="s">
        <v>1481</v>
      </c>
      <c r="C32" s="4655"/>
      <c r="D32" s="4655"/>
      <c r="E32" s="772"/>
      <c r="F32" s="137"/>
      <c r="G32" s="137"/>
      <c r="H32" s="137"/>
      <c r="I32" s="136"/>
    </row>
    <row r="33" spans="2:9" s="135" customFormat="1" ht="12.75">
      <c r="B33" s="136"/>
      <c r="D33" s="137"/>
      <c r="E33" s="137"/>
      <c r="F33" s="137"/>
      <c r="G33" s="137"/>
      <c r="H33" s="137"/>
      <c r="I33" s="136"/>
    </row>
    <row r="34" spans="2:9" s="135" customFormat="1" ht="12.75">
      <c r="B34" s="136"/>
      <c r="D34" s="137"/>
      <c r="E34" s="137"/>
      <c r="F34" s="137"/>
      <c r="G34" s="137"/>
      <c r="H34" s="137"/>
      <c r="I34" s="136"/>
    </row>
    <row r="35" spans="2:9" s="135" customFormat="1" ht="12.75">
      <c r="B35" s="136"/>
      <c r="D35" s="137"/>
      <c r="E35" s="137"/>
      <c r="F35" s="137"/>
      <c r="G35" s="137"/>
      <c r="H35" s="137"/>
      <c r="I35" s="136"/>
    </row>
    <row r="36" spans="2:9" s="135" customFormat="1" ht="12.75">
      <c r="B36" s="136"/>
      <c r="D36" s="137"/>
      <c r="E36" s="137"/>
      <c r="F36" s="137"/>
      <c r="G36" s="137"/>
      <c r="H36" s="137"/>
      <c r="I36" s="136"/>
    </row>
    <row r="37" spans="2:9" s="135" customFormat="1" ht="12.75">
      <c r="B37" s="136"/>
      <c r="D37" s="137"/>
      <c r="E37" s="137"/>
      <c r="F37" s="137"/>
      <c r="G37" s="137"/>
      <c r="H37" s="137"/>
      <c r="I37" s="136"/>
    </row>
    <row r="38" spans="2:9" s="135" customFormat="1" ht="12.75">
      <c r="B38" s="136"/>
      <c r="D38" s="137"/>
      <c r="E38" s="137"/>
      <c r="F38" s="137"/>
      <c r="G38" s="137"/>
      <c r="H38" s="137"/>
      <c r="I38" s="136"/>
    </row>
    <row r="39" spans="2:9" s="135" customFormat="1" ht="12.75">
      <c r="B39" s="136"/>
      <c r="D39" s="137"/>
      <c r="E39" s="137"/>
      <c r="F39" s="137"/>
      <c r="G39" s="137"/>
      <c r="H39" s="137"/>
      <c r="I39" s="136"/>
    </row>
    <row r="40" spans="2:9" s="135" customFormat="1" ht="12.75">
      <c r="B40" s="136"/>
      <c r="D40" s="137"/>
      <c r="E40" s="137"/>
      <c r="F40" s="137"/>
      <c r="G40" s="137"/>
      <c r="H40" s="137"/>
      <c r="I40" s="136"/>
    </row>
    <row r="41" spans="2:9" s="135" customFormat="1" ht="12.75">
      <c r="B41" s="136"/>
      <c r="D41" s="137"/>
      <c r="E41" s="137"/>
      <c r="F41" s="137"/>
      <c r="G41" s="137"/>
      <c r="H41" s="137"/>
      <c r="I41" s="136"/>
    </row>
    <row r="42" spans="2:9" s="135" customFormat="1" ht="12.75">
      <c r="B42" s="136"/>
      <c r="D42" s="137"/>
      <c r="E42" s="137"/>
      <c r="F42" s="137"/>
      <c r="G42" s="137"/>
      <c r="H42" s="137"/>
      <c r="I42" s="136"/>
    </row>
    <row r="43" spans="2:9" s="135" customFormat="1" ht="12.75">
      <c r="B43" s="136"/>
      <c r="D43" s="137"/>
      <c r="E43" s="137"/>
      <c r="F43" s="137"/>
      <c r="G43" s="137"/>
      <c r="H43" s="137"/>
      <c r="I43" s="136"/>
    </row>
  </sheetData>
  <mergeCells count="11">
    <mergeCell ref="A27:B27"/>
    <mergeCell ref="C32:D32"/>
    <mergeCell ref="C30:D30"/>
    <mergeCell ref="F30:G30"/>
    <mergeCell ref="C31:D31"/>
    <mergeCell ref="F31:G31"/>
    <mergeCell ref="A11:B13"/>
    <mergeCell ref="A5:H5"/>
    <mergeCell ref="A6:H6"/>
    <mergeCell ref="A8:H8"/>
    <mergeCell ref="E11:G11"/>
  </mergeCells>
  <pageMargins left="0.5" right="0" top="0.25" bottom="0" header="0.5" footer="0"/>
  <pageSetup paperSize="5" orientation="portrait"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L305"/>
  <sheetViews>
    <sheetView showGridLines="0" showOutlineSymbols="0" zoomScale="115" zoomScaleNormal="115" workbookViewId="0">
      <selection activeCell="D301" sqref="D301"/>
    </sheetView>
  </sheetViews>
  <sheetFormatPr defaultColWidth="12.5703125" defaultRowHeight="12.75" outlineLevelRow="2" outlineLevelCol="2"/>
  <cols>
    <col min="1" max="2" width="10.7109375" style="1" customWidth="1"/>
    <col min="3" max="3" width="23.5703125" style="1" customWidth="1"/>
    <col min="4" max="4" width="21.5703125" style="1" customWidth="1"/>
    <col min="5" max="5" width="10.7109375" style="1" customWidth="1"/>
    <col min="6" max="6" width="15.7109375" style="1" customWidth="1" outlineLevel="1"/>
    <col min="7" max="7" width="10.7109375" style="1" customWidth="1" outlineLevel="1"/>
    <col min="8" max="9" width="15.7109375" style="1" customWidth="1" outlineLevel="1"/>
    <col min="10" max="10" width="10.140625" style="3" hidden="1" customWidth="1" outlineLevel="1"/>
    <col min="11" max="11" width="11.42578125" style="3" hidden="1" customWidth="1" outlineLevel="1"/>
    <col min="12" max="13" width="10.140625" style="1" hidden="1" customWidth="1" outlineLevel="1"/>
    <col min="14" max="19" width="0" style="1" hidden="1" customWidth="1"/>
    <col min="20" max="92" width="12.5703125" style="1"/>
    <col min="93" max="96" width="12.5703125" style="1" outlineLevel="1"/>
    <col min="97" max="102" width="12.5703125" style="1" outlineLevel="2"/>
    <col min="103" max="105" width="12.5703125" style="1" outlineLevel="1"/>
    <col min="106" max="16384" width="12.5703125" style="1"/>
  </cols>
  <sheetData>
    <row r="1" spans="1:15">
      <c r="H1" s="133" t="s">
        <v>355</v>
      </c>
    </row>
    <row r="2" spans="1:15" ht="12.75" customHeight="1">
      <c r="H2" s="132" t="s">
        <v>625</v>
      </c>
    </row>
    <row r="3" spans="1:15" ht="18" customHeight="1">
      <c r="A3" s="4615" t="s">
        <v>353</v>
      </c>
      <c r="B3" s="4615"/>
      <c r="C3" s="4615"/>
      <c r="D3" s="4615"/>
      <c r="E3" s="4615"/>
      <c r="F3" s="4615"/>
      <c r="G3" s="4615"/>
      <c r="H3" s="4615"/>
      <c r="I3" s="4615"/>
      <c r="J3" s="131"/>
      <c r="K3" s="131"/>
      <c r="L3" s="335"/>
      <c r="M3" s="335"/>
    </row>
    <row r="4" spans="1:15" s="3" customFormat="1" ht="16.5" customHeight="1">
      <c r="A4" s="4616" t="s">
        <v>352</v>
      </c>
      <c r="B4" s="4616"/>
      <c r="C4" s="4616"/>
      <c r="D4" s="4616"/>
      <c r="E4" s="4616"/>
      <c r="F4" s="4616"/>
      <c r="G4" s="4616"/>
      <c r="H4" s="4616"/>
      <c r="I4" s="4616"/>
      <c r="J4" s="130"/>
      <c r="K4" s="130"/>
      <c r="L4" s="130"/>
      <c r="M4" s="130"/>
    </row>
    <row r="5" spans="1:15" ht="13.5" customHeight="1">
      <c r="A5" s="4617" t="s">
        <v>351</v>
      </c>
      <c r="B5" s="4617"/>
      <c r="C5" s="4617"/>
      <c r="D5" s="4617"/>
      <c r="E5" s="4617"/>
      <c r="F5" s="4617"/>
      <c r="G5" s="4617"/>
      <c r="H5" s="4617"/>
      <c r="I5" s="4617"/>
      <c r="J5" s="129"/>
      <c r="K5" s="129"/>
      <c r="L5" s="334"/>
      <c r="M5" s="334"/>
    </row>
    <row r="6" spans="1:15" ht="9.75" customHeight="1"/>
    <row r="7" spans="1:15" ht="13.9" customHeight="1">
      <c r="A7" s="332" t="s">
        <v>350</v>
      </c>
      <c r="B7" s="333" t="s">
        <v>1494</v>
      </c>
      <c r="D7" s="279"/>
      <c r="I7" s="332"/>
      <c r="J7" s="126"/>
      <c r="K7" s="126"/>
      <c r="L7" s="332"/>
      <c r="M7" s="332"/>
    </row>
    <row r="8" spans="1:15" ht="13.9" customHeight="1">
      <c r="A8" s="332"/>
      <c r="D8" s="279"/>
      <c r="G8" s="4618"/>
      <c r="H8" s="4618"/>
      <c r="I8" s="332"/>
      <c r="J8" s="4771" t="s">
        <v>457</v>
      </c>
      <c r="K8" s="4771"/>
      <c r="L8" s="332"/>
      <c r="M8" s="332"/>
    </row>
    <row r="9" spans="1:15" ht="13.5" customHeight="1">
      <c r="A9" s="123"/>
      <c r="B9" s="125"/>
      <c r="C9" s="124"/>
      <c r="D9" s="123"/>
      <c r="E9" s="4619" t="s">
        <v>348</v>
      </c>
      <c r="F9" s="4620"/>
      <c r="G9" s="4619" t="s">
        <v>347</v>
      </c>
      <c r="H9" s="4620"/>
      <c r="I9" s="115"/>
      <c r="J9" s="4607" t="s">
        <v>347</v>
      </c>
      <c r="K9" s="4608"/>
      <c r="L9" s="331"/>
      <c r="M9" s="331"/>
    </row>
    <row r="10" spans="1:15" ht="13.5" customHeight="1">
      <c r="A10" s="122"/>
      <c r="B10" s="121"/>
      <c r="C10" s="120"/>
      <c r="D10" s="119"/>
      <c r="E10" s="4604" t="s">
        <v>346</v>
      </c>
      <c r="F10" s="4605"/>
      <c r="G10" s="4604" t="s">
        <v>345</v>
      </c>
      <c r="H10" s="4605"/>
      <c r="I10" s="114"/>
      <c r="J10" s="4609" t="s">
        <v>345</v>
      </c>
      <c r="K10" s="4610"/>
      <c r="L10" s="331"/>
      <c r="M10" s="331"/>
    </row>
    <row r="11" spans="1:15" ht="13.5" customHeight="1">
      <c r="A11" s="122"/>
      <c r="B11" s="121"/>
      <c r="C11" s="120"/>
      <c r="D11" s="119"/>
      <c r="E11" s="4604" t="s">
        <v>344</v>
      </c>
      <c r="F11" s="4605"/>
      <c r="G11" s="4604" t="s">
        <v>344</v>
      </c>
      <c r="H11" s="4605"/>
      <c r="I11" s="114"/>
      <c r="J11" s="4609" t="s">
        <v>344</v>
      </c>
      <c r="K11" s="4610"/>
      <c r="L11" s="331"/>
      <c r="M11" s="331"/>
    </row>
    <row r="12" spans="1:15" ht="13.5" customHeight="1">
      <c r="A12" s="4604" t="s">
        <v>343</v>
      </c>
      <c r="B12" s="4605"/>
      <c r="C12" s="114" t="s">
        <v>342</v>
      </c>
      <c r="D12" s="112" t="s">
        <v>341</v>
      </c>
      <c r="E12" s="113" t="s">
        <v>339</v>
      </c>
      <c r="F12" s="118"/>
      <c r="G12" s="113" t="s">
        <v>339</v>
      </c>
      <c r="H12" s="118"/>
      <c r="I12" s="114" t="s">
        <v>340</v>
      </c>
      <c r="J12" s="110" t="s">
        <v>339</v>
      </c>
      <c r="K12" s="117"/>
      <c r="L12" s="4612" t="s">
        <v>338</v>
      </c>
      <c r="M12" s="4613"/>
      <c r="N12" s="4612" t="s">
        <v>338</v>
      </c>
      <c r="O12" s="4613"/>
    </row>
    <row r="13" spans="1:15" ht="14.25" customHeight="1">
      <c r="A13" s="116" t="s">
        <v>337</v>
      </c>
      <c r="B13" s="115" t="s">
        <v>336</v>
      </c>
      <c r="C13" s="114"/>
      <c r="D13" s="112"/>
      <c r="E13" s="113" t="s">
        <v>334</v>
      </c>
      <c r="F13" s="112" t="s">
        <v>333</v>
      </c>
      <c r="G13" s="113" t="s">
        <v>334</v>
      </c>
      <c r="H13" s="112" t="s">
        <v>333</v>
      </c>
      <c r="I13" s="111" t="s">
        <v>335</v>
      </c>
      <c r="J13" s="110" t="s">
        <v>334</v>
      </c>
      <c r="K13" s="109" t="s">
        <v>333</v>
      </c>
      <c r="L13" s="4611" t="s">
        <v>1493</v>
      </c>
      <c r="M13" s="4611"/>
      <c r="N13" s="4611" t="s">
        <v>1492</v>
      </c>
      <c r="O13" s="4611"/>
    </row>
    <row r="14" spans="1:15" s="99" customFormat="1" ht="14.25" customHeight="1">
      <c r="A14" s="107" t="s">
        <v>331</v>
      </c>
      <c r="B14" s="106" t="s">
        <v>330</v>
      </c>
      <c r="C14" s="106" t="s">
        <v>329</v>
      </c>
      <c r="D14" s="105" t="s">
        <v>328</v>
      </c>
      <c r="E14" s="105" t="s">
        <v>327</v>
      </c>
      <c r="F14" s="106" t="s">
        <v>326</v>
      </c>
      <c r="G14" s="105" t="s">
        <v>324</v>
      </c>
      <c r="H14" s="105" t="s">
        <v>323</v>
      </c>
      <c r="I14" s="105" t="s">
        <v>325</v>
      </c>
      <c r="J14" s="104" t="s">
        <v>324</v>
      </c>
      <c r="K14" s="104" t="s">
        <v>323</v>
      </c>
      <c r="L14" s="101" t="s">
        <v>322</v>
      </c>
      <c r="M14" s="100" t="s">
        <v>321</v>
      </c>
      <c r="N14" s="101" t="s">
        <v>322</v>
      </c>
      <c r="O14" s="100" t="s">
        <v>321</v>
      </c>
    </row>
    <row r="15" spans="1:15" ht="13.15" customHeight="1" outlineLevel="1">
      <c r="A15" s="1859"/>
      <c r="B15" s="1858"/>
      <c r="C15" s="1857"/>
      <c r="D15" s="1856"/>
      <c r="E15" s="1853"/>
      <c r="F15" s="1854"/>
      <c r="G15" s="1855"/>
      <c r="H15" s="1854"/>
      <c r="I15" s="1853"/>
      <c r="J15" s="1852"/>
      <c r="K15" s="1837"/>
      <c r="L15" s="3"/>
      <c r="M15" s="3"/>
    </row>
    <row r="16" spans="1:15" s="3" customFormat="1" ht="13.15" customHeight="1" outlineLevel="1">
      <c r="A16" s="1839"/>
      <c r="B16" s="1838"/>
      <c r="C16" s="1837"/>
      <c r="D16" s="1846"/>
      <c r="E16" s="1834"/>
      <c r="F16" s="1833"/>
      <c r="G16" s="1834"/>
      <c r="H16" s="1833"/>
      <c r="I16" s="1835"/>
      <c r="J16" s="1834"/>
      <c r="K16" s="1833"/>
    </row>
    <row r="17" spans="1:17" s="3" customFormat="1" ht="13.15" customHeight="1" outlineLevel="1">
      <c r="A17" s="1839"/>
      <c r="B17" s="1838"/>
      <c r="C17" s="1851"/>
      <c r="D17" s="1846"/>
      <c r="E17" s="1834"/>
      <c r="F17" s="1833"/>
      <c r="G17" s="1834"/>
      <c r="H17" s="1833"/>
      <c r="I17" s="1835"/>
      <c r="J17" s="1834"/>
      <c r="K17" s="1833"/>
    </row>
    <row r="18" spans="1:17" s="3" customFormat="1" ht="13.15" customHeight="1" outlineLevel="1">
      <c r="A18" s="1839"/>
      <c r="B18" s="1838"/>
      <c r="C18" s="1851"/>
      <c r="D18" s="1846"/>
      <c r="E18" s="1834"/>
      <c r="F18" s="1833"/>
      <c r="G18" s="1834"/>
      <c r="H18" s="1833"/>
      <c r="I18" s="1835"/>
      <c r="J18" s="1834"/>
      <c r="K18" s="1833"/>
    </row>
    <row r="19" spans="1:17" s="3" customFormat="1" ht="13.5" customHeight="1" outlineLevel="2">
      <c r="A19" s="293" t="s">
        <v>320</v>
      </c>
      <c r="B19" s="897" t="s">
        <v>320</v>
      </c>
      <c r="C19" s="1850" t="s">
        <v>1358</v>
      </c>
      <c r="D19" s="1849" t="s">
        <v>1491</v>
      </c>
      <c r="E19" s="1847" t="s">
        <v>196</v>
      </c>
      <c r="F19" s="1174">
        <v>188976</v>
      </c>
      <c r="G19" s="1847" t="s">
        <v>195</v>
      </c>
      <c r="H19" s="69">
        <f>IF(G19="ABOLISHED",0,(VLOOKUP(G19,A37:B276,2,FALSE)*12))</f>
        <v>190428</v>
      </c>
      <c r="I19" s="1848">
        <f>SUM(H19-F19)</f>
        <v>1452</v>
      </c>
      <c r="J19" s="1847" t="s">
        <v>195</v>
      </c>
      <c r="K19" s="1174">
        <f>IF(J19="ABOLISHED",0, (VLOOKUP(J19,$A37:C276,3,FALSE)*12))</f>
        <v>190428</v>
      </c>
      <c r="L19" s="3">
        <f>SUM(H19/12)</f>
        <v>15869</v>
      </c>
      <c r="M19" s="80">
        <f>IF(L19&gt;=80000,1600,SUM(L19*4%)/2)</f>
        <v>317.38</v>
      </c>
      <c r="N19" s="3">
        <f>SUM(K19/12)</f>
        <v>15869</v>
      </c>
      <c r="O19" s="80">
        <f>IF(N19&gt;=80000,1600,SUM(N19*4%)/2)</f>
        <v>317.38</v>
      </c>
      <c r="Q19" s="3">
        <f>SUM(N19-L19)</f>
        <v>0</v>
      </c>
    </row>
    <row r="20" spans="1:17" s="3" customFormat="1" ht="13.5" customHeight="1" outlineLevel="2">
      <c r="A20" s="293" t="s">
        <v>314</v>
      </c>
      <c r="B20" s="897" t="s">
        <v>314</v>
      </c>
      <c r="C20" s="1850" t="s">
        <v>246</v>
      </c>
      <c r="D20" s="1849" t="s">
        <v>1490</v>
      </c>
      <c r="E20" s="1847" t="s">
        <v>231</v>
      </c>
      <c r="F20" s="1174">
        <v>146928</v>
      </c>
      <c r="G20" s="1847" t="s">
        <v>230</v>
      </c>
      <c r="H20" s="69">
        <f>IF(G20="ABOLISHED",0,(VLOOKUP(G20,A38:B277,2,FALSE)*12))</f>
        <v>146928</v>
      </c>
      <c r="I20" s="1848">
        <f>SUM(H20-F20)</f>
        <v>0</v>
      </c>
      <c r="J20" s="1847" t="s">
        <v>230</v>
      </c>
      <c r="K20" s="1174">
        <f>IF(J20="ABOLISHED",0, (VLOOKUP(J20,$A38:C277,3,FALSE)*12))</f>
        <v>146928</v>
      </c>
      <c r="L20" s="3">
        <f>SUM(H20/12)</f>
        <v>12244</v>
      </c>
      <c r="M20" s="80">
        <f>IF(L20&gt;=80000,1600,SUM(L20*4%)/2)</f>
        <v>244.88</v>
      </c>
      <c r="N20" s="3">
        <f>SUM(K20/12)</f>
        <v>12244</v>
      </c>
      <c r="O20" s="80">
        <f>IF(N20&gt;=80000,1600,SUM(N20*4%)/2)</f>
        <v>244.88</v>
      </c>
      <c r="Q20" s="3">
        <f>SUM(N20-L20)</f>
        <v>0</v>
      </c>
    </row>
    <row r="21" spans="1:17" s="3" customFormat="1" ht="13.5" customHeight="1" outlineLevel="2">
      <c r="A21" s="1839"/>
      <c r="B21" s="1838"/>
      <c r="C21" s="1845"/>
      <c r="D21" s="1846"/>
      <c r="E21" s="1834"/>
      <c r="F21" s="1833"/>
      <c r="G21" s="1834"/>
      <c r="H21" s="1833"/>
      <c r="I21" s="1835"/>
      <c r="J21" s="1834"/>
      <c r="K21" s="1833"/>
      <c r="M21" s="921">
        <f>SUM(M19:M20)</f>
        <v>562.26</v>
      </c>
      <c r="O21" s="921">
        <f>SUM(O19:O20)</f>
        <v>562.26</v>
      </c>
    </row>
    <row r="22" spans="1:17" s="3" customFormat="1" ht="13.5" customHeight="1" outlineLevel="2">
      <c r="A22" s="1839"/>
      <c r="B22" s="1838"/>
      <c r="C22" s="1845"/>
      <c r="D22" s="1844"/>
      <c r="E22" s="1833"/>
      <c r="F22" s="1833"/>
      <c r="G22" s="1833"/>
      <c r="H22" s="1833"/>
      <c r="I22" s="1835"/>
      <c r="J22" s="1833"/>
      <c r="K22" s="1833"/>
      <c r="M22" s="1151">
        <v>12</v>
      </c>
      <c r="O22" s="1151">
        <v>12</v>
      </c>
    </row>
    <row r="23" spans="1:17" s="3" customFormat="1" ht="13.5" customHeight="1" outlineLevel="2" thickBot="1">
      <c r="A23" s="1839"/>
      <c r="B23" s="1838"/>
      <c r="C23" s="1845"/>
      <c r="D23" s="1844"/>
      <c r="E23" s="1833"/>
      <c r="F23" s="1833"/>
      <c r="G23" s="1833"/>
      <c r="H23" s="1833"/>
      <c r="I23" s="1835"/>
      <c r="J23" s="1833"/>
      <c r="K23" s="1833"/>
      <c r="L23" s="1"/>
      <c r="M23" s="30">
        <f>ROUNDUP(SUM(M21*M22),0)</f>
        <v>6748</v>
      </c>
      <c r="N23" s="1"/>
      <c r="O23" s="30">
        <f>ROUNDUP(SUM(O21*O22),0)</f>
        <v>6748</v>
      </c>
      <c r="P23" s="3">
        <f>SUM(O23-M23)</f>
        <v>0</v>
      </c>
    </row>
    <row r="24" spans="1:17" s="3" customFormat="1" ht="13.5" customHeight="1" outlineLevel="2" thickTop="1">
      <c r="A24" s="1839"/>
      <c r="B24" s="1838"/>
      <c r="C24" s="1845"/>
      <c r="D24" s="1844"/>
      <c r="E24" s="1834"/>
      <c r="F24" s="1833"/>
      <c r="G24" s="1834"/>
      <c r="H24" s="1833"/>
      <c r="I24" s="1835"/>
      <c r="J24" s="1834"/>
      <c r="K24" s="1833"/>
      <c r="L24" s="1"/>
      <c r="M24" s="1159"/>
    </row>
    <row r="25" spans="1:17" s="3" customFormat="1" ht="12.75" customHeight="1" outlineLevel="2">
      <c r="A25" s="1839"/>
      <c r="B25" s="1838"/>
      <c r="C25" s="1843"/>
      <c r="D25" s="1841"/>
      <c r="E25" s="1834"/>
      <c r="F25" s="1833"/>
      <c r="G25" s="1834"/>
      <c r="H25" s="1833"/>
      <c r="I25" s="1835"/>
      <c r="J25" s="1834"/>
      <c r="K25" s="1833"/>
      <c r="L25" s="304"/>
      <c r="M25" s="304"/>
    </row>
    <row r="26" spans="1:17" s="3" customFormat="1" ht="12.75" customHeight="1" outlineLevel="2">
      <c r="A26" s="1839"/>
      <c r="B26" s="1838"/>
      <c r="C26" s="1842"/>
      <c r="D26" s="1841"/>
      <c r="E26" s="1834"/>
      <c r="F26" s="1833"/>
      <c r="G26" s="1840"/>
      <c r="H26" s="1833"/>
      <c r="I26" s="1835"/>
      <c r="J26" s="1840"/>
      <c r="K26" s="1833"/>
      <c r="L26" s="304"/>
      <c r="M26" s="304"/>
    </row>
    <row r="27" spans="1:17" s="3" customFormat="1" ht="12.75" customHeight="1" outlineLevel="2">
      <c r="A27" s="1839"/>
      <c r="B27" s="1838"/>
      <c r="C27" s="1837"/>
      <c r="D27" s="1836"/>
      <c r="E27" s="1834"/>
      <c r="F27" s="1833"/>
      <c r="G27" s="1834"/>
      <c r="H27" s="1833"/>
      <c r="I27" s="1835"/>
      <c r="J27" s="1834"/>
      <c r="K27" s="1833"/>
      <c r="L27" s="304"/>
      <c r="M27" s="304"/>
    </row>
    <row r="28" spans="1:17" s="3" customFormat="1" ht="12" customHeight="1">
      <c r="A28" s="1832"/>
      <c r="B28" s="1831"/>
      <c r="C28" s="1830"/>
      <c r="D28" s="1830"/>
      <c r="E28" s="1829"/>
      <c r="F28" s="1826"/>
      <c r="G28" s="1827"/>
      <c r="H28" s="1826"/>
      <c r="I28" s="1828"/>
      <c r="J28" s="1827"/>
      <c r="K28" s="1826"/>
      <c r="L28" s="304"/>
      <c r="M28" s="304"/>
    </row>
    <row r="29" spans="1:17" ht="16.149999999999999" customHeight="1">
      <c r="A29" s="406"/>
      <c r="B29" s="55">
        <v>2</v>
      </c>
      <c r="C29" s="54"/>
      <c r="D29" s="53" t="s">
        <v>244</v>
      </c>
      <c r="E29" s="887"/>
      <c r="F29" s="287">
        <f>SUM(F19:F28)</f>
        <v>335904</v>
      </c>
      <c r="G29" s="51"/>
      <c r="H29" s="287">
        <f>SUM(H19:H28)</f>
        <v>337356</v>
      </c>
      <c r="I29" s="287">
        <f>SUM(I15:I28)</f>
        <v>1452</v>
      </c>
      <c r="J29" s="49"/>
      <c r="K29" s="404">
        <f>SUM(K15:K28)</f>
        <v>337356</v>
      </c>
      <c r="L29" s="42"/>
      <c r="M29" s="42"/>
    </row>
    <row r="30" spans="1:17" ht="16.149999999999999" hidden="1" customHeight="1">
      <c r="A30" s="46"/>
      <c r="B30" s="46"/>
      <c r="C30" s="39"/>
      <c r="D30" s="45"/>
      <c r="E30" s="45"/>
      <c r="F30" s="44"/>
      <c r="G30" s="18"/>
      <c r="H30" s="286" t="s">
        <v>1293</v>
      </c>
      <c r="I30" s="42"/>
      <c r="J30" s="2"/>
      <c r="K30" s="1153"/>
      <c r="L30" s="42"/>
      <c r="M30" s="42"/>
    </row>
    <row r="31" spans="1:17" ht="16.149999999999999" customHeight="1">
      <c r="A31" s="46"/>
      <c r="B31" s="46"/>
      <c r="C31" s="39"/>
      <c r="D31" s="45"/>
      <c r="E31" s="45"/>
      <c r="F31" s="44"/>
      <c r="G31" s="18"/>
      <c r="H31" s="43"/>
      <c r="I31" s="42"/>
      <c r="J31" s="2"/>
      <c r="K31" s="1153"/>
      <c r="L31" s="42"/>
      <c r="M31" s="42"/>
    </row>
    <row r="32" spans="1:17" ht="14.25" customHeight="1">
      <c r="E32" s="279"/>
    </row>
    <row r="33" spans="1:11" ht="14.25" hidden="1" customHeight="1">
      <c r="E33" s="279"/>
    </row>
    <row r="34" spans="1:11" ht="14.25" hidden="1" customHeight="1">
      <c r="A34" s="1141"/>
      <c r="B34" s="1141"/>
      <c r="E34" s="27"/>
    </row>
    <row r="35" spans="1:11" hidden="1">
      <c r="A35" s="4637" t="s">
        <v>1489</v>
      </c>
      <c r="B35" s="4638"/>
      <c r="C35" s="26"/>
      <c r="D35" s="3"/>
      <c r="E35" s="4"/>
    </row>
    <row r="36" spans="1:11" ht="15" hidden="1">
      <c r="A36" s="25" t="s">
        <v>242</v>
      </c>
      <c r="B36" s="24" t="s">
        <v>241</v>
      </c>
      <c r="C36" s="23" t="s">
        <v>1488</v>
      </c>
      <c r="D36" s="3"/>
      <c r="E36" s="4"/>
    </row>
    <row r="37" spans="1:11" hidden="1">
      <c r="A37" s="21" t="s">
        <v>239</v>
      </c>
      <c r="B37" s="22">
        <v>11432</v>
      </c>
      <c r="C37" s="22">
        <v>11432</v>
      </c>
      <c r="D37" s="8"/>
      <c r="E37" s="16"/>
      <c r="F37" s="15"/>
      <c r="G37" s="17"/>
      <c r="H37" s="14"/>
      <c r="I37" s="14"/>
      <c r="J37" s="13"/>
      <c r="K37" s="13"/>
    </row>
    <row r="38" spans="1:11" hidden="1">
      <c r="A38" s="12" t="s">
        <v>238</v>
      </c>
      <c r="B38" s="22">
        <v>11527</v>
      </c>
      <c r="C38" s="22">
        <v>11527</v>
      </c>
      <c r="D38" s="8"/>
      <c r="E38" s="16"/>
      <c r="F38" s="15"/>
      <c r="G38" s="17"/>
      <c r="H38" s="14"/>
      <c r="I38" s="14"/>
      <c r="J38" s="13"/>
      <c r="K38" s="13"/>
    </row>
    <row r="39" spans="1:11" hidden="1">
      <c r="A39" s="21" t="s">
        <v>237</v>
      </c>
      <c r="B39" s="22">
        <v>11624</v>
      </c>
      <c r="C39" s="22">
        <v>11624</v>
      </c>
      <c r="D39" s="8"/>
      <c r="E39" s="16"/>
      <c r="F39" s="15"/>
      <c r="G39" s="17"/>
    </row>
    <row r="40" spans="1:11" hidden="1">
      <c r="A40" s="12" t="s">
        <v>236</v>
      </c>
      <c r="B40" s="22">
        <v>11722</v>
      </c>
      <c r="C40" s="22">
        <v>11722</v>
      </c>
      <c r="D40" s="8"/>
      <c r="E40" s="16"/>
      <c r="F40" s="15"/>
      <c r="G40" s="17"/>
      <c r="H40" s="14"/>
    </row>
    <row r="41" spans="1:11" hidden="1">
      <c r="A41" s="21" t="s">
        <v>235</v>
      </c>
      <c r="B41" s="22">
        <v>11820</v>
      </c>
      <c r="C41" s="22">
        <v>11820</v>
      </c>
      <c r="D41" s="8"/>
      <c r="E41" s="16"/>
      <c r="F41" s="15"/>
      <c r="G41" s="17"/>
      <c r="H41" s="14"/>
      <c r="I41" s="14"/>
      <c r="J41" s="13"/>
      <c r="K41" s="13"/>
    </row>
    <row r="42" spans="1:11" hidden="1">
      <c r="A42" s="12" t="s">
        <v>234</v>
      </c>
      <c r="B42" s="22">
        <v>11918</v>
      </c>
      <c r="C42" s="22">
        <v>11918</v>
      </c>
      <c r="D42" s="8"/>
      <c r="E42" s="16"/>
      <c r="F42" s="15"/>
      <c r="G42" s="17"/>
      <c r="H42" s="14"/>
    </row>
    <row r="43" spans="1:11" hidden="1">
      <c r="A43" s="21" t="s">
        <v>233</v>
      </c>
      <c r="B43" s="22">
        <v>12018</v>
      </c>
      <c r="C43" s="22">
        <v>12018</v>
      </c>
      <c r="D43" s="8"/>
      <c r="E43" s="16"/>
      <c r="F43" s="15"/>
      <c r="G43" s="14"/>
      <c r="H43" s="14"/>
    </row>
    <row r="44" spans="1:11" hidden="1">
      <c r="A44" s="12" t="s">
        <v>232</v>
      </c>
      <c r="B44" s="22">
        <v>12118</v>
      </c>
      <c r="C44" s="22">
        <v>12118</v>
      </c>
      <c r="D44" s="8"/>
      <c r="E44" s="16"/>
      <c r="F44" s="15"/>
      <c r="G44" s="14"/>
      <c r="H44" s="14"/>
      <c r="I44" s="14"/>
      <c r="J44" s="13"/>
      <c r="K44" s="13"/>
    </row>
    <row r="45" spans="1:11" hidden="1">
      <c r="A45" s="20" t="s">
        <v>231</v>
      </c>
      <c r="B45" s="9">
        <v>12151</v>
      </c>
      <c r="C45" s="9">
        <v>12151</v>
      </c>
      <c r="D45" s="8"/>
      <c r="E45" s="19"/>
      <c r="F45" s="15"/>
      <c r="G45" s="14"/>
      <c r="H45" s="14"/>
    </row>
    <row r="46" spans="1:11" hidden="1">
      <c r="A46" s="10" t="s">
        <v>230</v>
      </c>
      <c r="B46" s="9">
        <v>12244</v>
      </c>
      <c r="C46" s="9">
        <v>12244</v>
      </c>
      <c r="D46" s="8"/>
      <c r="E46" s="19"/>
      <c r="F46" s="15"/>
      <c r="G46" s="14"/>
      <c r="H46" s="14"/>
      <c r="I46" s="14"/>
      <c r="J46" s="13"/>
      <c r="K46" s="13"/>
    </row>
    <row r="47" spans="1:11" hidden="1">
      <c r="A47" s="20" t="s">
        <v>229</v>
      </c>
      <c r="B47" s="9">
        <v>12338</v>
      </c>
      <c r="C47" s="9">
        <v>12338</v>
      </c>
      <c r="D47" s="8"/>
      <c r="E47" s="19"/>
      <c r="F47" s="15"/>
      <c r="G47" s="14"/>
    </row>
    <row r="48" spans="1:11" hidden="1">
      <c r="A48" s="10" t="s">
        <v>228</v>
      </c>
      <c r="B48" s="9">
        <v>12433</v>
      </c>
      <c r="C48" s="9">
        <v>12433</v>
      </c>
      <c r="D48" s="8"/>
      <c r="E48" s="19"/>
      <c r="F48" s="15"/>
      <c r="G48" s="14"/>
      <c r="H48" s="14"/>
    </row>
    <row r="49" spans="1:11" hidden="1">
      <c r="A49" s="20" t="s">
        <v>227</v>
      </c>
      <c r="B49" s="9">
        <v>12528</v>
      </c>
      <c r="C49" s="9">
        <v>12528</v>
      </c>
      <c r="D49" s="8"/>
      <c r="E49" s="19"/>
      <c r="F49" s="15"/>
      <c r="G49" s="14"/>
      <c r="H49" s="14"/>
      <c r="I49" s="14"/>
      <c r="J49" s="13"/>
      <c r="K49" s="13"/>
    </row>
    <row r="50" spans="1:11" hidden="1">
      <c r="A50" s="10" t="s">
        <v>226</v>
      </c>
      <c r="B50" s="9">
        <v>12624</v>
      </c>
      <c r="C50" s="9">
        <v>12624</v>
      </c>
      <c r="D50" s="8"/>
      <c r="E50" s="19"/>
      <c r="F50" s="15"/>
      <c r="G50" s="14"/>
      <c r="H50" s="14"/>
      <c r="I50" s="14"/>
      <c r="J50" s="13"/>
      <c r="K50" s="13"/>
    </row>
    <row r="51" spans="1:11" hidden="1">
      <c r="A51" s="20" t="s">
        <v>225</v>
      </c>
      <c r="B51" s="9">
        <v>12721</v>
      </c>
      <c r="C51" s="9">
        <v>12721</v>
      </c>
      <c r="D51" s="8"/>
      <c r="E51" s="19"/>
      <c r="F51" s="15"/>
      <c r="G51" s="14"/>
      <c r="H51" s="14"/>
      <c r="I51" s="14"/>
      <c r="J51" s="13"/>
      <c r="K51" s="13"/>
    </row>
    <row r="52" spans="1:11" hidden="1">
      <c r="A52" s="10" t="s">
        <v>224</v>
      </c>
      <c r="B52" s="9">
        <v>12818</v>
      </c>
      <c r="C52" s="9">
        <v>12818</v>
      </c>
      <c r="D52" s="8"/>
      <c r="E52" s="19"/>
      <c r="F52" s="15"/>
      <c r="G52" s="14"/>
      <c r="H52" s="14"/>
    </row>
    <row r="53" spans="1:11" hidden="1">
      <c r="A53" s="21" t="s">
        <v>223</v>
      </c>
      <c r="B53" s="11">
        <v>12893</v>
      </c>
      <c r="C53" s="11">
        <v>12893</v>
      </c>
      <c r="D53" s="8"/>
      <c r="E53" s="16"/>
      <c r="F53" s="15"/>
      <c r="G53" s="14"/>
      <c r="H53" s="14"/>
    </row>
    <row r="54" spans="1:11" hidden="1">
      <c r="A54" s="12" t="s">
        <v>222</v>
      </c>
      <c r="B54" s="11">
        <v>12993</v>
      </c>
      <c r="C54" s="11">
        <v>12993</v>
      </c>
      <c r="D54" s="8"/>
      <c r="E54" s="16"/>
      <c r="F54" s="15"/>
      <c r="G54" s="14"/>
      <c r="H54" s="14"/>
      <c r="I54" s="14"/>
      <c r="J54" s="13"/>
      <c r="K54" s="13"/>
    </row>
    <row r="55" spans="1:11" hidden="1">
      <c r="A55" s="21" t="s">
        <v>221</v>
      </c>
      <c r="B55" s="11">
        <v>13092</v>
      </c>
      <c r="C55" s="11">
        <v>13092</v>
      </c>
      <c r="D55" s="8"/>
      <c r="E55" s="16"/>
      <c r="F55" s="15"/>
      <c r="G55" s="14"/>
      <c r="H55" s="14"/>
      <c r="I55" s="14"/>
      <c r="J55" s="13"/>
      <c r="K55" s="13"/>
    </row>
    <row r="56" spans="1:11" hidden="1">
      <c r="A56" s="12" t="s">
        <v>220</v>
      </c>
      <c r="B56" s="11">
        <v>13194</v>
      </c>
      <c r="C56" s="11">
        <v>13194</v>
      </c>
      <c r="D56" s="8"/>
      <c r="E56" s="16"/>
      <c r="F56" s="15"/>
      <c r="G56" s="14"/>
      <c r="H56" s="14"/>
    </row>
    <row r="57" spans="1:11" hidden="1">
      <c r="A57" s="21" t="s">
        <v>219</v>
      </c>
      <c r="B57" s="11">
        <v>13295</v>
      </c>
      <c r="C57" s="11">
        <v>13295</v>
      </c>
      <c r="D57" s="8"/>
      <c r="E57" s="16"/>
      <c r="F57" s="15"/>
      <c r="G57" s="14"/>
      <c r="H57" s="14"/>
      <c r="I57" s="14"/>
      <c r="J57" s="13"/>
      <c r="K57" s="13"/>
    </row>
    <row r="58" spans="1:11" hidden="1">
      <c r="A58" s="12" t="s">
        <v>218</v>
      </c>
      <c r="B58" s="11">
        <v>13396</v>
      </c>
      <c r="C58" s="11">
        <v>13396</v>
      </c>
      <c r="D58" s="8"/>
      <c r="E58" s="16"/>
      <c r="F58" s="15"/>
      <c r="G58" s="14"/>
      <c r="H58" s="14"/>
    </row>
    <row r="59" spans="1:11" hidden="1">
      <c r="A59" s="21" t="s">
        <v>217</v>
      </c>
      <c r="B59" s="11">
        <v>13500</v>
      </c>
      <c r="C59" s="11">
        <v>13500</v>
      </c>
      <c r="D59" s="8"/>
      <c r="E59" s="16"/>
      <c r="F59" s="15"/>
      <c r="G59" s="14"/>
      <c r="H59" s="14"/>
    </row>
    <row r="60" spans="1:11" hidden="1">
      <c r="A60" s="12" t="s">
        <v>216</v>
      </c>
      <c r="B60" s="11">
        <v>13603</v>
      </c>
      <c r="C60" s="11">
        <v>13603</v>
      </c>
      <c r="D60" s="8"/>
      <c r="E60" s="16"/>
      <c r="F60" s="15"/>
      <c r="G60" s="14"/>
      <c r="H60" s="14"/>
      <c r="I60" s="14"/>
      <c r="J60" s="13"/>
      <c r="K60" s="13"/>
    </row>
    <row r="61" spans="1:11" hidden="1">
      <c r="A61" s="20" t="s">
        <v>215</v>
      </c>
      <c r="B61" s="9">
        <v>13680</v>
      </c>
      <c r="C61" s="9">
        <v>13680</v>
      </c>
      <c r="D61" s="8"/>
      <c r="E61" s="16"/>
      <c r="F61" s="15"/>
    </row>
    <row r="62" spans="1:11" hidden="1">
      <c r="A62" s="10" t="s">
        <v>214</v>
      </c>
      <c r="B62" s="9">
        <v>13785</v>
      </c>
      <c r="C62" s="9">
        <v>13785</v>
      </c>
      <c r="D62" s="8"/>
      <c r="E62" s="16"/>
      <c r="F62" s="15"/>
    </row>
    <row r="63" spans="1:11" hidden="1">
      <c r="A63" s="20" t="s">
        <v>213</v>
      </c>
      <c r="B63" s="9">
        <v>13891</v>
      </c>
      <c r="C63" s="9">
        <v>13891</v>
      </c>
      <c r="D63" s="8"/>
      <c r="E63" s="16"/>
      <c r="F63" s="15"/>
    </row>
    <row r="64" spans="1:11" hidden="1">
      <c r="A64" s="10" t="s">
        <v>212</v>
      </c>
      <c r="B64" s="9">
        <v>13998</v>
      </c>
      <c r="C64" s="9">
        <v>13998</v>
      </c>
      <c r="D64" s="8"/>
      <c r="E64" s="16"/>
      <c r="F64" s="15"/>
    </row>
    <row r="65" spans="1:11" hidden="1">
      <c r="A65" s="20" t="s">
        <v>211</v>
      </c>
      <c r="B65" s="9">
        <v>14106</v>
      </c>
      <c r="C65" s="9">
        <v>14106</v>
      </c>
      <c r="D65" s="8"/>
      <c r="E65" s="16"/>
      <c r="F65" s="15"/>
    </row>
    <row r="66" spans="1:11" hidden="1">
      <c r="A66" s="10" t="s">
        <v>210</v>
      </c>
      <c r="B66" s="9">
        <v>14213</v>
      </c>
      <c r="C66" s="9">
        <v>14213</v>
      </c>
      <c r="D66" s="8"/>
      <c r="E66" s="16"/>
      <c r="F66" s="15"/>
    </row>
    <row r="67" spans="1:11" hidden="1">
      <c r="A67" s="20" t="s">
        <v>209</v>
      </c>
      <c r="B67" s="9">
        <v>14323</v>
      </c>
      <c r="C67" s="9">
        <v>14323</v>
      </c>
      <c r="D67" s="8"/>
      <c r="E67" s="16"/>
      <c r="F67" s="15"/>
    </row>
    <row r="68" spans="1:11" hidden="1">
      <c r="A68" s="10" t="s">
        <v>208</v>
      </c>
      <c r="B68" s="9">
        <v>14432</v>
      </c>
      <c r="C68" s="9">
        <v>14432</v>
      </c>
      <c r="D68" s="8"/>
      <c r="E68" s="16"/>
      <c r="F68" s="15"/>
    </row>
    <row r="69" spans="1:11" hidden="1">
      <c r="A69" s="12" t="s">
        <v>207</v>
      </c>
      <c r="B69" s="11">
        <v>14511</v>
      </c>
      <c r="C69" s="11">
        <v>14511</v>
      </c>
      <c r="D69" s="8"/>
      <c r="E69" s="16"/>
      <c r="F69" s="15"/>
      <c r="G69" s="14"/>
      <c r="H69" s="14"/>
      <c r="I69" s="14"/>
      <c r="J69" s="13"/>
      <c r="K69" s="13"/>
    </row>
    <row r="70" spans="1:11" hidden="1">
      <c r="A70" s="12" t="s">
        <v>206</v>
      </c>
      <c r="B70" s="11">
        <v>14623</v>
      </c>
      <c r="C70" s="11">
        <v>14623</v>
      </c>
      <c r="D70" s="8"/>
      <c r="E70" s="16"/>
      <c r="F70" s="15"/>
      <c r="G70" s="14"/>
      <c r="H70" s="14"/>
    </row>
    <row r="71" spans="1:11" hidden="1">
      <c r="A71" s="12" t="s">
        <v>205</v>
      </c>
      <c r="B71" s="11">
        <v>14735</v>
      </c>
      <c r="C71" s="11">
        <v>14735</v>
      </c>
      <c r="D71" s="8"/>
      <c r="E71" s="16"/>
      <c r="F71" s="15"/>
      <c r="G71" s="14"/>
      <c r="H71" s="14"/>
    </row>
    <row r="72" spans="1:11" hidden="1">
      <c r="A72" s="12" t="s">
        <v>204</v>
      </c>
      <c r="B72" s="11">
        <v>14849</v>
      </c>
      <c r="C72" s="11">
        <v>14849</v>
      </c>
      <c r="D72" s="8"/>
      <c r="E72" s="16"/>
      <c r="F72" s="15"/>
      <c r="G72" s="14"/>
      <c r="H72" s="14"/>
    </row>
    <row r="73" spans="1:11" hidden="1">
      <c r="A73" s="12" t="s">
        <v>203</v>
      </c>
      <c r="B73" s="11">
        <v>14963</v>
      </c>
      <c r="C73" s="11">
        <v>14963</v>
      </c>
      <c r="D73" s="8"/>
      <c r="E73" s="16"/>
      <c r="F73" s="15"/>
      <c r="G73" s="14"/>
      <c r="H73" s="14"/>
    </row>
    <row r="74" spans="1:11" hidden="1">
      <c r="A74" s="12" t="s">
        <v>202</v>
      </c>
      <c r="B74" s="11">
        <v>15077</v>
      </c>
      <c r="C74" s="11">
        <v>15077</v>
      </c>
      <c r="D74" s="8"/>
      <c r="E74" s="16"/>
      <c r="F74" s="15"/>
      <c r="G74" s="14"/>
      <c r="H74" s="14"/>
      <c r="I74" s="14"/>
      <c r="J74" s="13"/>
      <c r="K74" s="13"/>
    </row>
    <row r="75" spans="1:11" hidden="1">
      <c r="A75" s="12" t="s">
        <v>201</v>
      </c>
      <c r="B75" s="11">
        <v>15193</v>
      </c>
      <c r="C75" s="11">
        <v>15193</v>
      </c>
      <c r="D75" s="8"/>
      <c r="E75" s="16"/>
      <c r="F75" s="15"/>
      <c r="G75" s="14"/>
      <c r="H75" s="14"/>
      <c r="I75" s="14"/>
      <c r="J75" s="13"/>
      <c r="K75" s="13"/>
    </row>
    <row r="76" spans="1:11" hidden="1">
      <c r="A76" s="12" t="s">
        <v>200</v>
      </c>
      <c r="B76" s="11">
        <v>15309</v>
      </c>
      <c r="C76" s="11">
        <v>15309</v>
      </c>
      <c r="D76" s="8"/>
      <c r="E76" s="16"/>
      <c r="F76" s="15"/>
      <c r="G76" s="14"/>
      <c r="H76" s="14"/>
    </row>
    <row r="77" spans="1:11" hidden="1">
      <c r="A77" s="10" t="s">
        <v>199</v>
      </c>
      <c r="B77" s="9">
        <v>15390</v>
      </c>
      <c r="C77" s="9">
        <v>15390</v>
      </c>
      <c r="D77" s="8"/>
      <c r="E77" s="16"/>
      <c r="F77" s="15"/>
      <c r="G77" s="14"/>
      <c r="H77" s="14"/>
      <c r="I77" s="14"/>
      <c r="J77" s="13"/>
      <c r="K77" s="13"/>
    </row>
    <row r="78" spans="1:11" hidden="1">
      <c r="A78" s="10" t="s">
        <v>198</v>
      </c>
      <c r="B78" s="9">
        <v>15509</v>
      </c>
      <c r="C78" s="9">
        <v>15509</v>
      </c>
      <c r="D78" s="8"/>
      <c r="E78" s="16"/>
      <c r="F78" s="15"/>
      <c r="G78" s="14"/>
      <c r="H78" s="14"/>
      <c r="I78" s="14"/>
      <c r="J78" s="13"/>
      <c r="K78" s="13"/>
    </row>
    <row r="79" spans="1:11" hidden="1">
      <c r="A79" s="10" t="s">
        <v>197</v>
      </c>
      <c r="B79" s="9">
        <v>15628</v>
      </c>
      <c r="C79" s="9">
        <v>15628</v>
      </c>
      <c r="D79" s="8"/>
      <c r="E79" s="16"/>
      <c r="F79" s="15"/>
      <c r="G79" s="14"/>
      <c r="H79" s="14"/>
      <c r="I79" s="14"/>
      <c r="J79" s="13"/>
      <c r="K79" s="13"/>
    </row>
    <row r="80" spans="1:11" hidden="1">
      <c r="A80" s="10" t="s">
        <v>196</v>
      </c>
      <c r="B80" s="9">
        <v>15748</v>
      </c>
      <c r="C80" s="9">
        <v>15748</v>
      </c>
      <c r="D80" s="8"/>
      <c r="E80" s="16"/>
      <c r="F80" s="15"/>
      <c r="G80" s="14"/>
      <c r="H80" s="14"/>
      <c r="I80" s="14"/>
      <c r="J80" s="13"/>
      <c r="K80" s="13"/>
    </row>
    <row r="81" spans="1:11" hidden="1">
      <c r="A81" s="10" t="s">
        <v>195</v>
      </c>
      <c r="B81" s="9">
        <v>15869</v>
      </c>
      <c r="C81" s="9">
        <v>15869</v>
      </c>
      <c r="D81" s="8"/>
      <c r="E81" s="16"/>
      <c r="F81" s="15"/>
      <c r="G81" s="14"/>
      <c r="H81" s="14"/>
      <c r="I81" s="14"/>
      <c r="J81" s="13"/>
      <c r="K81" s="13"/>
    </row>
    <row r="82" spans="1:11" hidden="1">
      <c r="A82" s="10" t="s">
        <v>194</v>
      </c>
      <c r="B82" s="9">
        <v>15990</v>
      </c>
      <c r="C82" s="9">
        <v>15990</v>
      </c>
      <c r="D82" s="8"/>
      <c r="E82" s="16"/>
      <c r="F82" s="15"/>
      <c r="G82" s="14"/>
      <c r="H82" s="14"/>
    </row>
    <row r="83" spans="1:11" hidden="1">
      <c r="A83" s="10" t="s">
        <v>193</v>
      </c>
      <c r="B83" s="9">
        <v>16114</v>
      </c>
      <c r="C83" s="9">
        <v>16114</v>
      </c>
      <c r="D83" s="8"/>
      <c r="E83" s="16"/>
      <c r="F83" s="15"/>
      <c r="G83" s="14"/>
      <c r="H83" s="14"/>
      <c r="I83" s="14"/>
      <c r="J83" s="13"/>
      <c r="K83" s="13"/>
    </row>
    <row r="84" spans="1:11" hidden="1">
      <c r="A84" s="10" t="s">
        <v>192</v>
      </c>
      <c r="B84" s="9">
        <v>16237</v>
      </c>
      <c r="C84" s="9">
        <v>16237</v>
      </c>
      <c r="D84" s="8"/>
      <c r="E84" s="16"/>
      <c r="F84" s="15"/>
      <c r="G84" s="14"/>
      <c r="H84" s="14"/>
      <c r="I84" s="14"/>
      <c r="J84" s="13"/>
      <c r="K84" s="13"/>
    </row>
    <row r="85" spans="1:11" hidden="1">
      <c r="A85" s="12" t="s">
        <v>191</v>
      </c>
      <c r="B85" s="11">
        <v>16320</v>
      </c>
      <c r="C85" s="11">
        <v>16320</v>
      </c>
      <c r="D85" s="8"/>
      <c r="E85" s="16"/>
      <c r="F85" s="15"/>
      <c r="G85" s="14"/>
      <c r="H85" s="14"/>
    </row>
    <row r="86" spans="1:11" hidden="1">
      <c r="A86" s="12" t="s">
        <v>190</v>
      </c>
      <c r="B86" s="11">
        <v>16445</v>
      </c>
      <c r="C86" s="11">
        <v>16445</v>
      </c>
      <c r="D86" s="8"/>
      <c r="E86" s="16"/>
      <c r="F86" s="15"/>
      <c r="G86" s="14"/>
      <c r="H86" s="14"/>
      <c r="I86" s="14"/>
      <c r="J86" s="13"/>
      <c r="K86" s="13"/>
    </row>
    <row r="87" spans="1:11" hidden="1">
      <c r="A87" s="12" t="s">
        <v>189</v>
      </c>
      <c r="B87" s="11">
        <v>16572</v>
      </c>
      <c r="C87" s="11">
        <v>16572</v>
      </c>
      <c r="D87" s="8"/>
      <c r="E87" s="16"/>
      <c r="F87" s="15"/>
      <c r="G87" s="14"/>
      <c r="H87" s="14"/>
      <c r="I87" s="14"/>
      <c r="J87" s="13"/>
      <c r="K87" s="13"/>
    </row>
    <row r="88" spans="1:11" hidden="1">
      <c r="A88" s="12" t="s">
        <v>188</v>
      </c>
      <c r="B88" s="11">
        <v>16699</v>
      </c>
      <c r="C88" s="11">
        <v>16699</v>
      </c>
      <c r="D88" s="8"/>
      <c r="E88" s="16"/>
      <c r="F88" s="15"/>
      <c r="G88" s="14"/>
      <c r="H88" s="14"/>
      <c r="I88" s="14"/>
      <c r="J88" s="13"/>
      <c r="K88" s="13"/>
    </row>
    <row r="89" spans="1:11" hidden="1">
      <c r="A89" s="12" t="s">
        <v>187</v>
      </c>
      <c r="B89" s="11">
        <v>16827</v>
      </c>
      <c r="C89" s="11">
        <v>16827</v>
      </c>
      <c r="D89" s="8"/>
      <c r="E89" s="16"/>
      <c r="F89" s="15"/>
      <c r="G89" s="14"/>
      <c r="H89" s="14"/>
      <c r="I89" s="14"/>
      <c r="J89" s="13"/>
      <c r="K89" s="13"/>
    </row>
    <row r="90" spans="1:11" hidden="1">
      <c r="A90" s="12" t="s">
        <v>186</v>
      </c>
      <c r="B90" s="11">
        <v>16957</v>
      </c>
      <c r="C90" s="11">
        <v>16957</v>
      </c>
      <c r="D90" s="8"/>
      <c r="E90" s="16"/>
      <c r="F90" s="15"/>
      <c r="G90" s="14"/>
      <c r="H90" s="14"/>
    </row>
    <row r="91" spans="1:11" hidden="1">
      <c r="A91" s="12" t="s">
        <v>185</v>
      </c>
      <c r="B91" s="11">
        <v>17086</v>
      </c>
      <c r="C91" s="11">
        <v>17086</v>
      </c>
      <c r="D91" s="8"/>
      <c r="E91" s="16"/>
      <c r="F91" s="15"/>
      <c r="G91" s="14"/>
      <c r="H91" s="14"/>
      <c r="I91" s="14"/>
      <c r="J91" s="13"/>
      <c r="K91" s="13"/>
    </row>
    <row r="92" spans="1:11" hidden="1">
      <c r="A92" s="12" t="s">
        <v>184</v>
      </c>
      <c r="B92" s="11">
        <v>17218</v>
      </c>
      <c r="C92" s="11">
        <v>17218</v>
      </c>
      <c r="D92" s="8"/>
      <c r="E92" s="16"/>
      <c r="F92" s="15"/>
      <c r="G92" s="14"/>
      <c r="H92" s="14"/>
    </row>
    <row r="93" spans="1:11" hidden="1">
      <c r="A93" s="10" t="s">
        <v>183</v>
      </c>
      <c r="B93" s="9">
        <v>17338</v>
      </c>
      <c r="C93" s="9">
        <v>17338</v>
      </c>
      <c r="D93" s="8"/>
      <c r="E93" s="19"/>
      <c r="F93" s="15"/>
      <c r="G93" s="14"/>
      <c r="H93" s="14"/>
      <c r="I93" s="14"/>
      <c r="J93" s="13"/>
      <c r="K93" s="13"/>
    </row>
    <row r="94" spans="1:11" hidden="1">
      <c r="A94" s="10" t="s">
        <v>182</v>
      </c>
      <c r="B94" s="9">
        <v>17496</v>
      </c>
      <c r="C94" s="9">
        <v>17496</v>
      </c>
      <c r="D94" s="8"/>
      <c r="E94" s="19"/>
      <c r="F94" s="15"/>
      <c r="G94" s="14"/>
      <c r="H94" s="14"/>
      <c r="I94" s="14"/>
      <c r="J94" s="13"/>
      <c r="K94" s="13"/>
    </row>
    <row r="95" spans="1:11" hidden="1">
      <c r="A95" s="10" t="s">
        <v>181</v>
      </c>
      <c r="B95" s="9">
        <v>17654</v>
      </c>
      <c r="C95" s="9">
        <v>17654</v>
      </c>
      <c r="D95" s="8"/>
      <c r="E95" s="19"/>
      <c r="F95" s="15"/>
      <c r="G95" s="14"/>
      <c r="H95" s="14"/>
      <c r="I95" s="14"/>
      <c r="J95" s="13"/>
      <c r="K95" s="13"/>
    </row>
    <row r="96" spans="1:11" hidden="1">
      <c r="A96" s="10" t="s">
        <v>180</v>
      </c>
      <c r="B96" s="9">
        <v>17813</v>
      </c>
      <c r="C96" s="9">
        <v>17813</v>
      </c>
      <c r="D96" s="8"/>
      <c r="E96" s="19"/>
      <c r="F96" s="15"/>
      <c r="G96" s="14"/>
      <c r="H96" s="14"/>
      <c r="I96" s="14"/>
      <c r="J96" s="13"/>
      <c r="K96" s="13"/>
    </row>
    <row r="97" spans="1:11" hidden="1">
      <c r="A97" s="10" t="s">
        <v>179</v>
      </c>
      <c r="B97" s="9">
        <v>17974</v>
      </c>
      <c r="C97" s="9">
        <v>17974</v>
      </c>
      <c r="D97" s="8"/>
      <c r="E97" s="19"/>
      <c r="F97" s="15"/>
      <c r="G97" s="14"/>
      <c r="H97" s="14"/>
      <c r="I97" s="14"/>
      <c r="J97" s="13"/>
      <c r="K97" s="13"/>
    </row>
    <row r="98" spans="1:11" hidden="1">
      <c r="A98" s="10" t="s">
        <v>178</v>
      </c>
      <c r="B98" s="9">
        <v>18136</v>
      </c>
      <c r="C98" s="9">
        <v>18136</v>
      </c>
      <c r="D98" s="8"/>
      <c r="E98" s="19"/>
      <c r="F98" s="15"/>
      <c r="G98" s="14"/>
      <c r="H98" s="14"/>
      <c r="I98" s="14"/>
      <c r="J98" s="13"/>
      <c r="K98" s="13"/>
    </row>
    <row r="99" spans="1:11" hidden="1">
      <c r="A99" s="10" t="s">
        <v>177</v>
      </c>
      <c r="B99" s="9">
        <v>18301</v>
      </c>
      <c r="C99" s="9">
        <v>18301</v>
      </c>
      <c r="D99" s="8"/>
      <c r="E99" s="19"/>
      <c r="F99" s="15"/>
      <c r="G99" s="14"/>
      <c r="H99" s="14"/>
      <c r="I99" s="14"/>
      <c r="J99" s="13"/>
      <c r="K99" s="13"/>
    </row>
    <row r="100" spans="1:11" hidden="1">
      <c r="A100" s="10" t="s">
        <v>176</v>
      </c>
      <c r="B100" s="9">
        <v>18466</v>
      </c>
      <c r="C100" s="9">
        <v>18466</v>
      </c>
      <c r="D100" s="8"/>
      <c r="E100" s="19"/>
      <c r="F100" s="15"/>
      <c r="G100" s="14"/>
      <c r="H100" s="14"/>
      <c r="I100" s="14"/>
      <c r="J100" s="13"/>
      <c r="K100" s="13"/>
    </row>
    <row r="101" spans="1:11" hidden="1">
      <c r="A101" s="12" t="s">
        <v>175</v>
      </c>
      <c r="B101" s="11">
        <v>18613</v>
      </c>
      <c r="C101" s="11">
        <v>18613</v>
      </c>
      <c r="D101" s="8"/>
      <c r="E101" s="19"/>
      <c r="F101" s="15"/>
      <c r="G101" s="14"/>
    </row>
    <row r="102" spans="1:11" hidden="1">
      <c r="A102" s="12" t="s">
        <v>174</v>
      </c>
      <c r="B102" s="11">
        <v>18769</v>
      </c>
      <c r="C102" s="11">
        <v>18769</v>
      </c>
      <c r="D102" s="8"/>
      <c r="E102" s="19"/>
      <c r="F102" s="15"/>
      <c r="G102" s="14"/>
      <c r="H102" s="14"/>
    </row>
    <row r="103" spans="1:11" hidden="1">
      <c r="A103" s="12" t="s">
        <v>173</v>
      </c>
      <c r="B103" s="11">
        <v>18926</v>
      </c>
      <c r="C103" s="11">
        <v>18926</v>
      </c>
      <c r="D103" s="8"/>
      <c r="E103" s="19"/>
      <c r="F103" s="15"/>
      <c r="G103" s="14"/>
      <c r="H103" s="14"/>
    </row>
    <row r="104" spans="1:11" hidden="1">
      <c r="A104" s="12" t="s">
        <v>172</v>
      </c>
      <c r="B104" s="11">
        <v>19085</v>
      </c>
      <c r="C104" s="11">
        <v>19085</v>
      </c>
      <c r="D104" s="8"/>
      <c r="E104" s="19"/>
      <c r="F104" s="15"/>
      <c r="G104" s="14"/>
      <c r="H104" s="14"/>
    </row>
    <row r="105" spans="1:11" hidden="1">
      <c r="A105" s="12" t="s">
        <v>171</v>
      </c>
      <c r="B105" s="11">
        <v>19244</v>
      </c>
      <c r="C105" s="11">
        <v>19244</v>
      </c>
      <c r="D105" s="8"/>
      <c r="E105" s="19"/>
      <c r="F105" s="15"/>
      <c r="G105" s="14"/>
      <c r="H105" s="14"/>
      <c r="I105" s="14"/>
      <c r="J105" s="13"/>
      <c r="K105" s="13"/>
    </row>
    <row r="106" spans="1:11" hidden="1">
      <c r="A106" s="12" t="s">
        <v>170</v>
      </c>
      <c r="B106" s="11">
        <v>19405</v>
      </c>
      <c r="C106" s="11">
        <v>19405</v>
      </c>
      <c r="D106" s="8"/>
      <c r="E106" s="19"/>
      <c r="F106" s="15"/>
      <c r="G106" s="14"/>
      <c r="H106" s="14"/>
      <c r="I106" s="14"/>
      <c r="J106" s="13"/>
      <c r="K106" s="13"/>
    </row>
    <row r="107" spans="1:11" hidden="1">
      <c r="A107" s="12" t="s">
        <v>169</v>
      </c>
      <c r="B107" s="11">
        <v>19567</v>
      </c>
      <c r="C107" s="11">
        <v>19567</v>
      </c>
      <c r="D107" s="8"/>
      <c r="E107" s="19"/>
      <c r="F107" s="15"/>
      <c r="G107" s="14"/>
      <c r="H107" s="14"/>
      <c r="I107" s="14"/>
      <c r="J107" s="13"/>
      <c r="K107" s="13"/>
    </row>
    <row r="108" spans="1:11" hidden="1">
      <c r="A108" s="12" t="s">
        <v>168</v>
      </c>
      <c r="B108" s="11">
        <v>19731</v>
      </c>
      <c r="C108" s="11">
        <v>19731</v>
      </c>
      <c r="D108" s="8"/>
      <c r="E108" s="19"/>
      <c r="F108" s="15"/>
      <c r="G108" s="14"/>
      <c r="H108" s="14"/>
      <c r="I108" s="14"/>
      <c r="J108" s="13"/>
      <c r="K108" s="13"/>
    </row>
    <row r="109" spans="1:11" hidden="1">
      <c r="A109" s="10" t="s">
        <v>167</v>
      </c>
      <c r="B109" s="9">
        <v>20145</v>
      </c>
      <c r="C109" s="9">
        <v>20145</v>
      </c>
      <c r="D109" s="8"/>
      <c r="E109" s="16"/>
      <c r="F109" s="15"/>
      <c r="G109" s="14"/>
    </row>
    <row r="110" spans="1:11" hidden="1">
      <c r="A110" s="10" t="s">
        <v>166</v>
      </c>
      <c r="B110" s="9">
        <v>20313</v>
      </c>
      <c r="C110" s="9">
        <v>20313</v>
      </c>
      <c r="D110" s="8"/>
      <c r="E110" s="16"/>
      <c r="F110" s="15"/>
      <c r="G110" s="14"/>
    </row>
    <row r="111" spans="1:11" hidden="1">
      <c r="A111" s="10" t="s">
        <v>165</v>
      </c>
      <c r="B111" s="9">
        <v>20483</v>
      </c>
      <c r="C111" s="9">
        <v>20483</v>
      </c>
      <c r="D111" s="8"/>
      <c r="E111" s="16"/>
      <c r="F111" s="15"/>
      <c r="G111" s="14"/>
      <c r="H111" s="14"/>
    </row>
    <row r="112" spans="1:11" hidden="1">
      <c r="A112" s="10" t="s">
        <v>164</v>
      </c>
      <c r="B112" s="9">
        <v>20654</v>
      </c>
      <c r="C112" s="9">
        <v>20654</v>
      </c>
      <c r="D112" s="8"/>
      <c r="E112" s="16"/>
      <c r="F112" s="15"/>
      <c r="G112" s="14"/>
      <c r="H112" s="14"/>
    </row>
    <row r="113" spans="1:11" hidden="1">
      <c r="A113" s="10" t="s">
        <v>163</v>
      </c>
      <c r="B113" s="9">
        <v>20827</v>
      </c>
      <c r="C113" s="9">
        <v>20827</v>
      </c>
      <c r="D113" s="8"/>
      <c r="E113" s="16"/>
      <c r="F113" s="15"/>
      <c r="G113" s="14"/>
      <c r="H113" s="14"/>
    </row>
    <row r="114" spans="1:11" hidden="1">
      <c r="A114" s="10" t="s">
        <v>162</v>
      </c>
      <c r="B114" s="9">
        <v>21001</v>
      </c>
      <c r="C114" s="9">
        <v>21001</v>
      </c>
      <c r="D114" s="8"/>
      <c r="E114" s="16"/>
      <c r="F114" s="15"/>
      <c r="G114" s="14"/>
      <c r="H114" s="14"/>
      <c r="I114" s="14"/>
      <c r="J114" s="13"/>
      <c r="K114" s="13"/>
    </row>
    <row r="115" spans="1:11" hidden="1">
      <c r="A115" s="10" t="s">
        <v>161</v>
      </c>
      <c r="B115" s="9">
        <v>21176</v>
      </c>
      <c r="C115" s="9">
        <v>21176</v>
      </c>
      <c r="D115" s="8"/>
      <c r="E115" s="16"/>
      <c r="F115" s="15"/>
      <c r="G115" s="14"/>
      <c r="H115" s="17"/>
      <c r="I115" s="14"/>
      <c r="J115" s="13"/>
      <c r="K115" s="13"/>
    </row>
    <row r="116" spans="1:11" hidden="1">
      <c r="A116" s="10" t="s">
        <v>160</v>
      </c>
      <c r="B116" s="9">
        <v>21353</v>
      </c>
      <c r="C116" s="9">
        <v>21353</v>
      </c>
      <c r="D116" s="8"/>
      <c r="E116" s="16"/>
      <c r="F116" s="15"/>
      <c r="G116" s="14"/>
      <c r="H116" s="18"/>
    </row>
    <row r="117" spans="1:11" hidden="1">
      <c r="A117" s="12" t="s">
        <v>159</v>
      </c>
      <c r="B117" s="11">
        <v>22683</v>
      </c>
      <c r="C117" s="11">
        <v>22683</v>
      </c>
      <c r="D117" s="8"/>
      <c r="E117" s="16"/>
      <c r="F117" s="15"/>
      <c r="G117" s="14"/>
      <c r="H117" s="17"/>
      <c r="I117" s="14"/>
      <c r="J117" s="13"/>
      <c r="K117" s="13"/>
    </row>
    <row r="118" spans="1:11" hidden="1">
      <c r="A118" s="12" t="s">
        <v>158</v>
      </c>
      <c r="B118" s="11">
        <v>22953</v>
      </c>
      <c r="C118" s="11">
        <v>22953</v>
      </c>
      <c r="D118" s="8"/>
      <c r="E118" s="4"/>
    </row>
    <row r="119" spans="1:11" hidden="1">
      <c r="A119" s="12" t="s">
        <v>157</v>
      </c>
      <c r="B119" s="11">
        <v>23228</v>
      </c>
      <c r="C119" s="11">
        <v>23228</v>
      </c>
      <c r="D119" s="8"/>
      <c r="E119" s="4"/>
    </row>
    <row r="120" spans="1:11" hidden="1">
      <c r="A120" s="12" t="s">
        <v>156</v>
      </c>
      <c r="B120" s="11">
        <v>23505</v>
      </c>
      <c r="C120" s="11">
        <v>23505</v>
      </c>
      <c r="D120" s="8"/>
      <c r="E120" s="4"/>
    </row>
    <row r="121" spans="1:11" hidden="1">
      <c r="A121" s="12" t="s">
        <v>155</v>
      </c>
      <c r="B121" s="11">
        <v>23786</v>
      </c>
      <c r="C121" s="11">
        <v>23786</v>
      </c>
      <c r="D121" s="8"/>
      <c r="E121" s="4"/>
    </row>
    <row r="122" spans="1:11" hidden="1">
      <c r="A122" s="12" t="s">
        <v>154</v>
      </c>
      <c r="B122" s="11">
        <v>24072</v>
      </c>
      <c r="C122" s="11">
        <v>24072</v>
      </c>
      <c r="D122" s="8"/>
      <c r="E122" s="4"/>
    </row>
    <row r="123" spans="1:11" hidden="1">
      <c r="A123" s="12" t="s">
        <v>153</v>
      </c>
      <c r="B123" s="11">
        <v>24361</v>
      </c>
      <c r="C123" s="11">
        <v>24361</v>
      </c>
      <c r="D123" s="8"/>
      <c r="E123" s="4"/>
    </row>
    <row r="124" spans="1:11" hidden="1">
      <c r="A124" s="12" t="s">
        <v>152</v>
      </c>
      <c r="B124" s="11">
        <v>24654</v>
      </c>
      <c r="C124" s="11">
        <v>24654</v>
      </c>
      <c r="D124" s="8"/>
      <c r="E124" s="4"/>
    </row>
    <row r="125" spans="1:11" hidden="1">
      <c r="A125" s="10" t="s">
        <v>151</v>
      </c>
      <c r="B125" s="9">
        <v>24749</v>
      </c>
      <c r="C125" s="9">
        <v>24749</v>
      </c>
      <c r="D125" s="8"/>
      <c r="E125" s="4"/>
    </row>
    <row r="126" spans="1:11" hidden="1">
      <c r="A126" s="10" t="s">
        <v>150</v>
      </c>
      <c r="B126" s="9">
        <v>25019</v>
      </c>
      <c r="C126" s="9">
        <v>25019</v>
      </c>
      <c r="D126" s="8"/>
      <c r="E126" s="4"/>
    </row>
    <row r="127" spans="1:11" hidden="1">
      <c r="A127" s="10" t="s">
        <v>149</v>
      </c>
      <c r="B127" s="9">
        <v>25293</v>
      </c>
      <c r="C127" s="9">
        <v>25293</v>
      </c>
      <c r="D127" s="8"/>
      <c r="E127" s="4"/>
      <c r="F127" s="16"/>
      <c r="G127" s="15"/>
      <c r="H127" s="14"/>
      <c r="I127" s="14"/>
      <c r="J127" s="13"/>
      <c r="K127" s="13"/>
    </row>
    <row r="128" spans="1:11" hidden="1">
      <c r="A128" s="10" t="s">
        <v>148</v>
      </c>
      <c r="B128" s="9">
        <v>25569</v>
      </c>
      <c r="C128" s="9">
        <v>25569</v>
      </c>
      <c r="D128" s="8"/>
      <c r="E128" s="4"/>
      <c r="F128" s="16"/>
      <c r="G128" s="15"/>
      <c r="H128" s="14"/>
      <c r="I128" s="14"/>
      <c r="J128" s="13"/>
      <c r="K128" s="13"/>
    </row>
    <row r="129" spans="1:116" hidden="1">
      <c r="A129" s="10" t="s">
        <v>147</v>
      </c>
      <c r="B129" s="9">
        <v>25850</v>
      </c>
      <c r="C129" s="9">
        <v>25850</v>
      </c>
      <c r="D129" s="8"/>
      <c r="E129" s="4"/>
      <c r="F129" s="16"/>
      <c r="G129" s="15"/>
      <c r="H129" s="14"/>
      <c r="I129" s="14"/>
      <c r="J129" s="13"/>
      <c r="K129" s="13"/>
    </row>
    <row r="130" spans="1:116" hidden="1">
      <c r="A130" s="10" t="s">
        <v>146</v>
      </c>
      <c r="B130" s="9">
        <v>26134</v>
      </c>
      <c r="C130" s="9">
        <v>26134</v>
      </c>
      <c r="D130" s="8"/>
      <c r="E130" s="4"/>
      <c r="F130" s="16"/>
      <c r="G130" s="15"/>
      <c r="H130" s="14"/>
      <c r="I130" s="14"/>
      <c r="J130" s="13"/>
      <c r="K130" s="13"/>
    </row>
    <row r="131" spans="1:116" hidden="1">
      <c r="A131" s="10" t="s">
        <v>145</v>
      </c>
      <c r="B131" s="9">
        <v>26420</v>
      </c>
      <c r="C131" s="9">
        <v>26420</v>
      </c>
      <c r="D131" s="8"/>
      <c r="E131" s="4"/>
      <c r="F131" s="16"/>
      <c r="G131" s="15"/>
      <c r="H131" s="14"/>
      <c r="I131" s="14"/>
      <c r="J131" s="13"/>
      <c r="K131" s="13"/>
    </row>
    <row r="132" spans="1:116" hidden="1">
      <c r="A132" s="10" t="s">
        <v>144</v>
      </c>
      <c r="B132" s="9">
        <v>26711</v>
      </c>
      <c r="C132" s="9">
        <v>26711</v>
      </c>
      <c r="D132" s="8"/>
      <c r="E132" s="4"/>
      <c r="F132" s="16"/>
      <c r="G132" s="15"/>
      <c r="H132" s="14"/>
      <c r="I132" s="14"/>
      <c r="J132" s="13"/>
      <c r="K132" s="13"/>
    </row>
    <row r="133" spans="1:116" hidden="1">
      <c r="A133" s="12" t="s">
        <v>143</v>
      </c>
      <c r="B133" s="11">
        <v>26862</v>
      </c>
      <c r="C133" s="11">
        <v>26862</v>
      </c>
      <c r="D133" s="8"/>
      <c r="E133" s="4"/>
    </row>
    <row r="134" spans="1:116" hidden="1">
      <c r="A134" s="12" t="s">
        <v>142</v>
      </c>
      <c r="B134" s="11">
        <v>27160</v>
      </c>
      <c r="C134" s="11">
        <v>27160</v>
      </c>
      <c r="D134" s="8"/>
      <c r="E134" s="4"/>
    </row>
    <row r="135" spans="1:116" hidden="1">
      <c r="A135" s="12" t="s">
        <v>141</v>
      </c>
      <c r="B135" s="11">
        <v>27460</v>
      </c>
      <c r="C135" s="11">
        <v>27460</v>
      </c>
      <c r="D135" s="8"/>
      <c r="E135" s="4"/>
    </row>
    <row r="136" spans="1:116" hidden="1">
      <c r="A136" s="12" t="s">
        <v>140</v>
      </c>
      <c r="B136" s="11">
        <v>27764</v>
      </c>
      <c r="C136" s="11">
        <v>27764</v>
      </c>
      <c r="D136" s="8"/>
      <c r="E136" s="4"/>
    </row>
    <row r="137" spans="1:116" hidden="1">
      <c r="A137" s="12" t="s">
        <v>139</v>
      </c>
      <c r="B137" s="11">
        <v>28073</v>
      </c>
      <c r="C137" s="11">
        <v>28073</v>
      </c>
      <c r="D137" s="8"/>
      <c r="E137" s="4"/>
    </row>
    <row r="138" spans="1:116" s="4" customFormat="1" hidden="1">
      <c r="A138" s="12" t="s">
        <v>138</v>
      </c>
      <c r="B138" s="11">
        <v>28384</v>
      </c>
      <c r="C138" s="11">
        <v>28384</v>
      </c>
      <c r="D138" s="8"/>
      <c r="F138" s="1"/>
      <c r="G138" s="1"/>
      <c r="H138" s="1"/>
      <c r="I138" s="1"/>
      <c r="J138" s="3"/>
      <c r="K138" s="3"/>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row>
    <row r="139" spans="1:116" s="4" customFormat="1" hidden="1">
      <c r="A139" s="12" t="s">
        <v>137</v>
      </c>
      <c r="B139" s="11">
        <v>28700</v>
      </c>
      <c r="C139" s="11">
        <v>28700</v>
      </c>
      <c r="D139" s="8"/>
      <c r="F139" s="1"/>
      <c r="G139" s="1"/>
      <c r="H139" s="1"/>
      <c r="I139" s="1"/>
      <c r="J139" s="3"/>
      <c r="K139" s="3"/>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row>
    <row r="140" spans="1:116" s="4" customFormat="1" hidden="1">
      <c r="A140" s="12" t="s">
        <v>136</v>
      </c>
      <c r="B140" s="11">
        <v>29020</v>
      </c>
      <c r="C140" s="11">
        <v>29020</v>
      </c>
      <c r="D140" s="8"/>
      <c r="F140" s="1"/>
      <c r="G140" s="1"/>
      <c r="H140" s="1"/>
      <c r="I140" s="1"/>
      <c r="J140" s="3"/>
      <c r="K140" s="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row>
    <row r="141" spans="1:116" s="4" customFormat="1" hidden="1">
      <c r="A141" s="10" t="s">
        <v>135</v>
      </c>
      <c r="B141" s="9">
        <v>29259</v>
      </c>
      <c r="C141" s="9">
        <v>29259</v>
      </c>
      <c r="D141" s="8"/>
      <c r="F141" s="1"/>
      <c r="G141" s="1"/>
      <c r="H141" s="1"/>
      <c r="I141" s="1"/>
      <c r="J141" s="3"/>
      <c r="K141" s="3"/>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row>
    <row r="142" spans="1:116" s="4" customFormat="1" hidden="1">
      <c r="A142" s="10" t="s">
        <v>134</v>
      </c>
      <c r="B142" s="9">
        <v>29586</v>
      </c>
      <c r="C142" s="9">
        <v>29586</v>
      </c>
      <c r="D142" s="8"/>
      <c r="F142" s="1"/>
      <c r="G142" s="1"/>
      <c r="H142" s="1"/>
      <c r="I142" s="1"/>
      <c r="J142" s="3"/>
      <c r="K142" s="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row>
    <row r="143" spans="1:116" s="4" customFormat="1" hidden="1">
      <c r="A143" s="10" t="s">
        <v>133</v>
      </c>
      <c r="B143" s="9">
        <v>29916</v>
      </c>
      <c r="C143" s="9">
        <v>29916</v>
      </c>
      <c r="D143" s="8"/>
      <c r="F143" s="1"/>
      <c r="G143" s="1"/>
      <c r="H143" s="1"/>
      <c r="I143" s="1"/>
      <c r="J143" s="3"/>
      <c r="K143" s="3"/>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row>
    <row r="144" spans="1:116" s="4" customFormat="1" hidden="1">
      <c r="A144" s="10" t="s">
        <v>132</v>
      </c>
      <c r="B144" s="9">
        <v>30252</v>
      </c>
      <c r="C144" s="9">
        <v>30252</v>
      </c>
      <c r="D144" s="8"/>
      <c r="F144" s="1"/>
      <c r="G144" s="1"/>
      <c r="H144" s="1"/>
      <c r="I144" s="1"/>
      <c r="J144" s="3"/>
      <c r="K144" s="3"/>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row>
    <row r="145" spans="1:116" s="4" customFormat="1" hidden="1">
      <c r="A145" s="10" t="s">
        <v>131</v>
      </c>
      <c r="B145" s="9">
        <v>30590</v>
      </c>
      <c r="C145" s="9">
        <v>30590</v>
      </c>
      <c r="D145" s="8"/>
      <c r="F145" s="1"/>
      <c r="G145" s="1"/>
      <c r="H145" s="1"/>
      <c r="I145" s="1"/>
      <c r="J145" s="3"/>
      <c r="K145" s="3"/>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row>
    <row r="146" spans="1:116" s="4" customFormat="1" hidden="1">
      <c r="A146" s="10" t="s">
        <v>130</v>
      </c>
      <c r="B146" s="9">
        <v>30933</v>
      </c>
      <c r="C146" s="9">
        <v>30933</v>
      </c>
      <c r="D146" s="8"/>
      <c r="F146" s="1"/>
      <c r="G146" s="1"/>
      <c r="H146" s="1"/>
      <c r="I146" s="1"/>
      <c r="J146" s="3"/>
      <c r="K146" s="3"/>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row>
    <row r="147" spans="1:116" s="4" customFormat="1" hidden="1">
      <c r="A147" s="10" t="s">
        <v>129</v>
      </c>
      <c r="B147" s="9">
        <v>31281</v>
      </c>
      <c r="C147" s="9">
        <v>31281</v>
      </c>
      <c r="D147" s="8"/>
      <c r="F147" s="1"/>
      <c r="G147" s="1"/>
      <c r="H147" s="1"/>
      <c r="I147" s="1"/>
      <c r="J147" s="3"/>
      <c r="K147" s="3"/>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row>
    <row r="148" spans="1:116" s="4" customFormat="1" hidden="1">
      <c r="A148" s="10" t="s">
        <v>128</v>
      </c>
      <c r="B148" s="9">
        <v>31632</v>
      </c>
      <c r="C148" s="9">
        <v>31632</v>
      </c>
      <c r="D148" s="8"/>
      <c r="F148" s="1"/>
      <c r="G148" s="1"/>
      <c r="H148" s="1"/>
      <c r="I148" s="1"/>
      <c r="J148" s="3"/>
      <c r="K148" s="3"/>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row>
    <row r="149" spans="1:116" s="4" customFormat="1" hidden="1">
      <c r="A149" s="12" t="s">
        <v>127</v>
      </c>
      <c r="B149" s="11">
        <v>31896</v>
      </c>
      <c r="C149" s="11">
        <v>31896</v>
      </c>
      <c r="D149" s="8"/>
      <c r="F149" s="1"/>
      <c r="G149" s="1"/>
      <c r="H149" s="1"/>
      <c r="I149" s="1"/>
      <c r="J149" s="3"/>
      <c r="K149" s="3"/>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row>
    <row r="150" spans="1:116" s="4" customFormat="1" hidden="1">
      <c r="A150" s="12" t="s">
        <v>126</v>
      </c>
      <c r="B150" s="11">
        <v>32255</v>
      </c>
      <c r="C150" s="11">
        <v>32255</v>
      </c>
      <c r="D150" s="8"/>
      <c r="F150" s="1"/>
      <c r="G150" s="1"/>
      <c r="H150" s="1"/>
      <c r="I150" s="1"/>
      <c r="J150" s="3"/>
      <c r="K150" s="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row>
    <row r="151" spans="1:116" s="4" customFormat="1" hidden="1">
      <c r="A151" s="12" t="s">
        <v>125</v>
      </c>
      <c r="B151" s="11">
        <v>32619</v>
      </c>
      <c r="C151" s="11">
        <v>32619</v>
      </c>
      <c r="D151" s="8"/>
      <c r="F151" s="1"/>
      <c r="G151" s="1"/>
      <c r="H151" s="1"/>
      <c r="I151" s="1"/>
      <c r="J151" s="3"/>
      <c r="K151" s="3"/>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row>
    <row r="152" spans="1:116" s="4" customFormat="1" hidden="1">
      <c r="A152" s="12" t="s">
        <v>124</v>
      </c>
      <c r="B152" s="11">
        <v>32988</v>
      </c>
      <c r="C152" s="11">
        <v>32988</v>
      </c>
      <c r="D152" s="8"/>
      <c r="F152" s="1"/>
      <c r="G152" s="1"/>
      <c r="H152" s="1"/>
      <c r="I152" s="1"/>
      <c r="J152" s="3"/>
      <c r="K152" s="3"/>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row>
    <row r="153" spans="1:116" s="4" customFormat="1" hidden="1">
      <c r="A153" s="12" t="s">
        <v>123</v>
      </c>
      <c r="B153" s="11">
        <v>33360</v>
      </c>
      <c r="C153" s="11">
        <v>33360</v>
      </c>
      <c r="D153" s="8"/>
      <c r="F153" s="1"/>
      <c r="G153" s="1"/>
      <c r="H153" s="1"/>
      <c r="I153" s="1"/>
      <c r="J153" s="3"/>
      <c r="K153" s="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row>
    <row r="154" spans="1:116" s="4" customFormat="1" hidden="1">
      <c r="A154" s="12" t="s">
        <v>122</v>
      </c>
      <c r="B154" s="11">
        <v>33737</v>
      </c>
      <c r="C154" s="11">
        <v>33737</v>
      </c>
      <c r="D154" s="8"/>
      <c r="F154" s="1"/>
      <c r="G154" s="1"/>
      <c r="H154" s="1"/>
      <c r="I154" s="1"/>
      <c r="J154" s="3"/>
      <c r="K154" s="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row>
    <row r="155" spans="1:116" s="4" customFormat="1" hidden="1">
      <c r="A155" s="12" t="s">
        <v>121</v>
      </c>
      <c r="B155" s="11">
        <v>34119</v>
      </c>
      <c r="C155" s="11">
        <v>34119</v>
      </c>
      <c r="D155" s="8"/>
      <c r="F155" s="1"/>
      <c r="G155" s="1"/>
      <c r="H155" s="1"/>
      <c r="I155" s="1"/>
      <c r="J155" s="3"/>
      <c r="K155" s="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row>
    <row r="156" spans="1:116" s="4" customFormat="1" hidden="1">
      <c r="A156" s="12" t="s">
        <v>120</v>
      </c>
      <c r="B156" s="11">
        <v>34507</v>
      </c>
      <c r="C156" s="11">
        <v>34507</v>
      </c>
      <c r="D156" s="8"/>
      <c r="F156" s="1"/>
      <c r="G156" s="1"/>
      <c r="H156" s="1"/>
      <c r="I156" s="1"/>
      <c r="J156" s="3"/>
      <c r="K156" s="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row>
    <row r="157" spans="1:116" s="4" customFormat="1" hidden="1">
      <c r="A157" s="10" t="s">
        <v>119</v>
      </c>
      <c r="B157" s="9">
        <v>34797</v>
      </c>
      <c r="C157" s="9">
        <v>34797</v>
      </c>
      <c r="D157" s="8"/>
      <c r="F157" s="1"/>
      <c r="G157" s="1"/>
      <c r="H157" s="1"/>
      <c r="I157" s="1"/>
      <c r="J157" s="3"/>
      <c r="K157" s="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row>
    <row r="158" spans="1:116" s="4" customFormat="1" hidden="1">
      <c r="A158" s="10" t="s">
        <v>118</v>
      </c>
      <c r="B158" s="9">
        <v>35192</v>
      </c>
      <c r="C158" s="9">
        <v>35192</v>
      </c>
      <c r="D158" s="8"/>
      <c r="F158" s="1"/>
      <c r="G158" s="1"/>
      <c r="H158" s="1"/>
      <c r="I158" s="1"/>
      <c r="J158" s="3"/>
      <c r="K158" s="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row>
    <row r="159" spans="1:116" s="4" customFormat="1" hidden="1">
      <c r="A159" s="10" t="s">
        <v>117</v>
      </c>
      <c r="B159" s="9">
        <v>35592</v>
      </c>
      <c r="C159" s="9">
        <v>35592</v>
      </c>
      <c r="D159" s="8"/>
      <c r="F159" s="1"/>
      <c r="G159" s="1"/>
      <c r="H159" s="1"/>
      <c r="I159" s="1"/>
      <c r="J159" s="3"/>
      <c r="K159" s="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row>
    <row r="160" spans="1:116" s="4" customFormat="1" hidden="1">
      <c r="A160" s="10" t="s">
        <v>116</v>
      </c>
      <c r="B160" s="9">
        <v>35996</v>
      </c>
      <c r="C160" s="9">
        <v>35996</v>
      </c>
      <c r="D160" s="8"/>
      <c r="F160" s="1"/>
      <c r="G160" s="1"/>
      <c r="H160" s="1"/>
      <c r="I160" s="1"/>
      <c r="J160" s="3"/>
      <c r="K160" s="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row>
    <row r="161" spans="1:116" s="4" customFormat="1" hidden="1">
      <c r="A161" s="10" t="s">
        <v>115</v>
      </c>
      <c r="B161" s="9">
        <v>36407</v>
      </c>
      <c r="C161" s="9">
        <v>36407</v>
      </c>
      <c r="D161" s="8"/>
      <c r="F161" s="1"/>
      <c r="G161" s="1"/>
      <c r="H161" s="1"/>
      <c r="I161" s="1"/>
      <c r="J161" s="3"/>
      <c r="K161" s="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row>
    <row r="162" spans="1:116" s="4" customFormat="1" hidden="1">
      <c r="A162" s="10" t="s">
        <v>114</v>
      </c>
      <c r="B162" s="9">
        <v>36822</v>
      </c>
      <c r="C162" s="9">
        <v>36822</v>
      </c>
      <c r="D162" s="8"/>
      <c r="F162" s="1"/>
      <c r="G162" s="1"/>
      <c r="H162" s="1"/>
      <c r="I162" s="1"/>
      <c r="J162" s="3"/>
      <c r="K162" s="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row>
    <row r="163" spans="1:116" s="4" customFormat="1" hidden="1">
      <c r="A163" s="10" t="s">
        <v>113</v>
      </c>
      <c r="B163" s="9">
        <v>37243</v>
      </c>
      <c r="C163" s="9">
        <v>37243</v>
      </c>
      <c r="D163" s="8"/>
      <c r="F163" s="1"/>
      <c r="G163" s="1"/>
      <c r="H163" s="1"/>
      <c r="I163" s="1"/>
      <c r="J163" s="3"/>
      <c r="K163" s="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row>
    <row r="164" spans="1:116" s="4" customFormat="1" hidden="1">
      <c r="A164" s="10" t="s">
        <v>112</v>
      </c>
      <c r="B164" s="9">
        <v>37668</v>
      </c>
      <c r="C164" s="9">
        <v>37668</v>
      </c>
      <c r="D164" s="8"/>
      <c r="F164" s="1"/>
      <c r="G164" s="1"/>
      <c r="H164" s="1"/>
      <c r="I164" s="1"/>
      <c r="J164" s="3"/>
      <c r="K164" s="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row>
    <row r="165" spans="1:116" s="4" customFormat="1" hidden="1">
      <c r="A165" s="12" t="s">
        <v>111</v>
      </c>
      <c r="B165" s="11">
        <v>37987</v>
      </c>
      <c r="C165" s="11">
        <v>37987</v>
      </c>
      <c r="D165" s="8"/>
      <c r="F165" s="1"/>
      <c r="G165" s="1"/>
      <c r="H165" s="1"/>
      <c r="I165" s="1"/>
      <c r="J165" s="3"/>
      <c r="K165" s="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row>
    <row r="166" spans="1:116" s="4" customFormat="1" hidden="1">
      <c r="A166" s="12" t="s">
        <v>110</v>
      </c>
      <c r="B166" s="11">
        <v>38422</v>
      </c>
      <c r="C166" s="11">
        <v>38422</v>
      </c>
      <c r="D166" s="8"/>
      <c r="F166" s="1"/>
      <c r="G166" s="1"/>
      <c r="H166" s="1"/>
      <c r="I166" s="1"/>
      <c r="J166" s="3"/>
      <c r="K166" s="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row>
    <row r="167" spans="1:116" s="4" customFormat="1" hidden="1">
      <c r="A167" s="12" t="s">
        <v>109</v>
      </c>
      <c r="B167" s="11">
        <v>38862</v>
      </c>
      <c r="C167" s="11">
        <v>38862</v>
      </c>
      <c r="D167" s="8"/>
      <c r="F167" s="1"/>
      <c r="G167" s="1"/>
      <c r="H167" s="1"/>
      <c r="I167" s="1"/>
      <c r="J167" s="3"/>
      <c r="K167" s="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row>
    <row r="168" spans="1:116" s="4" customFormat="1" hidden="1">
      <c r="A168" s="12" t="s">
        <v>108</v>
      </c>
      <c r="B168" s="11">
        <v>39307</v>
      </c>
      <c r="C168" s="11">
        <v>39307</v>
      </c>
      <c r="D168" s="8"/>
      <c r="F168" s="1"/>
      <c r="G168" s="1"/>
      <c r="H168" s="1"/>
      <c r="I168" s="1"/>
      <c r="J168" s="3"/>
      <c r="K168" s="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row>
    <row r="169" spans="1:116" s="4" customFormat="1" hidden="1">
      <c r="A169" s="12" t="s">
        <v>107</v>
      </c>
      <c r="B169" s="11">
        <v>39758</v>
      </c>
      <c r="C169" s="11">
        <v>39758</v>
      </c>
      <c r="D169" s="8"/>
      <c r="F169" s="1"/>
      <c r="G169" s="1"/>
      <c r="H169" s="1"/>
      <c r="I169" s="1"/>
      <c r="J169" s="3"/>
      <c r="K169" s="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row>
    <row r="170" spans="1:116" s="4" customFormat="1" hidden="1">
      <c r="A170" s="12" t="s">
        <v>106</v>
      </c>
      <c r="B170" s="11">
        <v>40215</v>
      </c>
      <c r="C170" s="11">
        <v>40215</v>
      </c>
      <c r="D170" s="8"/>
      <c r="F170" s="1"/>
      <c r="G170" s="1"/>
      <c r="H170" s="1"/>
      <c r="I170" s="1"/>
      <c r="J170" s="3"/>
      <c r="K170" s="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row>
    <row r="171" spans="1:116" s="4" customFormat="1" hidden="1">
      <c r="A171" s="12" t="s">
        <v>105</v>
      </c>
      <c r="B171" s="11">
        <v>40677</v>
      </c>
      <c r="C171" s="11">
        <v>40677</v>
      </c>
      <c r="D171" s="8"/>
      <c r="F171" s="1"/>
      <c r="G171" s="1"/>
      <c r="H171" s="1"/>
      <c r="I171" s="1"/>
      <c r="J171" s="3"/>
      <c r="K171" s="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row>
    <row r="172" spans="1:116" s="4" customFormat="1" hidden="1">
      <c r="A172" s="12" t="s">
        <v>104</v>
      </c>
      <c r="B172" s="11">
        <v>41145</v>
      </c>
      <c r="C172" s="11">
        <v>41145</v>
      </c>
      <c r="D172" s="8"/>
      <c r="F172" s="1"/>
      <c r="G172" s="1"/>
      <c r="H172" s="1"/>
      <c r="I172" s="1"/>
      <c r="J172" s="3"/>
      <c r="K172" s="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row>
    <row r="173" spans="1:116" s="4" customFormat="1" hidden="1">
      <c r="A173" s="10" t="s">
        <v>103</v>
      </c>
      <c r="B173" s="9">
        <v>41497</v>
      </c>
      <c r="C173" s="9">
        <v>41497</v>
      </c>
      <c r="D173" s="8"/>
      <c r="F173" s="1"/>
      <c r="G173" s="1"/>
      <c r="H173" s="1"/>
      <c r="I173" s="1"/>
      <c r="J173" s="3"/>
      <c r="K173" s="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row>
    <row r="174" spans="1:116" s="4" customFormat="1" hidden="1">
      <c r="A174" s="10" t="s">
        <v>102</v>
      </c>
      <c r="B174" s="9">
        <v>41975</v>
      </c>
      <c r="C174" s="9">
        <v>41975</v>
      </c>
      <c r="D174" s="8"/>
      <c r="F174" s="1"/>
      <c r="G174" s="1"/>
      <c r="H174" s="1"/>
      <c r="I174" s="1"/>
      <c r="J174" s="3"/>
      <c r="K174" s="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row>
    <row r="175" spans="1:116" s="4" customFormat="1" hidden="1">
      <c r="A175" s="10" t="s">
        <v>101</v>
      </c>
      <c r="B175" s="9">
        <v>42459</v>
      </c>
      <c r="C175" s="9">
        <v>42459</v>
      </c>
      <c r="D175" s="8"/>
      <c r="F175" s="1"/>
      <c r="G175" s="1"/>
      <c r="H175" s="1"/>
      <c r="I175" s="1"/>
      <c r="J175" s="3"/>
      <c r="K175" s="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row>
    <row r="176" spans="1:116" s="4" customFormat="1" hidden="1">
      <c r="A176" s="10" t="s">
        <v>100</v>
      </c>
      <c r="B176" s="9">
        <v>42949</v>
      </c>
      <c r="C176" s="9">
        <v>42949</v>
      </c>
      <c r="D176" s="8"/>
      <c r="F176" s="1"/>
      <c r="G176" s="1"/>
      <c r="H176" s="1"/>
      <c r="I176" s="1"/>
      <c r="J176" s="3"/>
      <c r="K176" s="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row>
    <row r="177" spans="1:116" s="4" customFormat="1" hidden="1">
      <c r="A177" s="10" t="s">
        <v>99</v>
      </c>
      <c r="B177" s="9">
        <v>43445</v>
      </c>
      <c r="C177" s="9">
        <v>43445</v>
      </c>
      <c r="D177" s="8"/>
      <c r="F177" s="1"/>
      <c r="G177" s="1"/>
      <c r="H177" s="1"/>
      <c r="I177" s="1"/>
      <c r="J177" s="3"/>
      <c r="K177" s="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row>
    <row r="178" spans="1:116" s="4" customFormat="1" hidden="1">
      <c r="A178" s="10" t="s">
        <v>98</v>
      </c>
      <c r="B178" s="9">
        <v>43948</v>
      </c>
      <c r="C178" s="9">
        <v>43948</v>
      </c>
      <c r="D178" s="8"/>
      <c r="F178" s="1"/>
      <c r="G178" s="1"/>
      <c r="H178" s="1"/>
      <c r="I178" s="1"/>
      <c r="J178" s="3"/>
      <c r="K178" s="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row>
    <row r="179" spans="1:116" s="4" customFormat="1" hidden="1">
      <c r="A179" s="10" t="s">
        <v>97</v>
      </c>
      <c r="B179" s="9">
        <v>44456</v>
      </c>
      <c r="C179" s="9">
        <v>44456</v>
      </c>
      <c r="D179" s="8"/>
      <c r="F179" s="1"/>
      <c r="G179" s="1"/>
      <c r="H179" s="1"/>
      <c r="I179" s="1"/>
      <c r="J179" s="3"/>
      <c r="K179" s="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row>
    <row r="180" spans="1:116" s="4" customFormat="1" hidden="1">
      <c r="A180" s="10" t="s">
        <v>96</v>
      </c>
      <c r="B180" s="9">
        <v>44971</v>
      </c>
      <c r="C180" s="9">
        <v>44971</v>
      </c>
      <c r="D180" s="8"/>
      <c r="F180" s="1"/>
      <c r="G180" s="1"/>
      <c r="H180" s="1"/>
      <c r="I180" s="1"/>
      <c r="J180" s="3"/>
      <c r="K180" s="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row>
    <row r="181" spans="1:116" s="4" customFormat="1" hidden="1">
      <c r="A181" s="12" t="s">
        <v>95</v>
      </c>
      <c r="B181" s="11">
        <v>45897</v>
      </c>
      <c r="C181" s="11">
        <v>45897</v>
      </c>
      <c r="D181" s="8"/>
      <c r="F181" s="1"/>
      <c r="G181" s="1"/>
      <c r="H181" s="1"/>
      <c r="I181" s="1"/>
      <c r="J181" s="3"/>
      <c r="K181" s="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row>
    <row r="182" spans="1:116" s="4" customFormat="1" hidden="1">
      <c r="A182" s="12" t="s">
        <v>94</v>
      </c>
      <c r="B182" s="11">
        <v>46599</v>
      </c>
      <c r="C182" s="11">
        <v>46599</v>
      </c>
      <c r="D182" s="8"/>
      <c r="F182" s="1"/>
      <c r="G182" s="1"/>
      <c r="H182" s="1"/>
      <c r="I182" s="1"/>
      <c r="J182" s="3"/>
      <c r="K182" s="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row>
    <row r="183" spans="1:116" s="4" customFormat="1" hidden="1">
      <c r="A183" s="12" t="s">
        <v>93</v>
      </c>
      <c r="B183" s="11">
        <v>47313</v>
      </c>
      <c r="C183" s="11">
        <v>47313</v>
      </c>
      <c r="D183" s="8"/>
      <c r="F183" s="1"/>
      <c r="G183" s="1"/>
      <c r="H183" s="1"/>
      <c r="I183" s="1"/>
      <c r="J183" s="3"/>
      <c r="K183" s="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row>
    <row r="184" spans="1:116" s="4" customFormat="1" hidden="1">
      <c r="A184" s="12" t="s">
        <v>92</v>
      </c>
      <c r="B184" s="11">
        <v>48038</v>
      </c>
      <c r="C184" s="11">
        <v>48038</v>
      </c>
      <c r="D184" s="8"/>
      <c r="F184" s="1"/>
      <c r="G184" s="1"/>
      <c r="H184" s="1"/>
      <c r="I184" s="1"/>
      <c r="J184" s="3"/>
      <c r="K184" s="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row>
    <row r="185" spans="1:116" s="4" customFormat="1" hidden="1">
      <c r="A185" s="12" t="s">
        <v>91</v>
      </c>
      <c r="B185" s="11">
        <v>48775</v>
      </c>
      <c r="C185" s="11">
        <v>48775</v>
      </c>
      <c r="D185" s="8"/>
      <c r="F185" s="1"/>
      <c r="G185" s="1"/>
      <c r="H185" s="1"/>
      <c r="I185" s="1"/>
      <c r="J185" s="3"/>
      <c r="K185" s="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row>
    <row r="186" spans="1:116" s="4" customFormat="1" hidden="1">
      <c r="A186" s="12" t="s">
        <v>90</v>
      </c>
      <c r="B186" s="11">
        <v>49524</v>
      </c>
      <c r="C186" s="11">
        <v>49524</v>
      </c>
      <c r="D186" s="8"/>
      <c r="F186" s="1"/>
      <c r="G186" s="1"/>
      <c r="H186" s="1"/>
      <c r="I186" s="1"/>
      <c r="J186" s="3"/>
      <c r="K186" s="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row>
    <row r="187" spans="1:116" s="4" customFormat="1" hidden="1">
      <c r="A187" s="12" t="s">
        <v>89</v>
      </c>
      <c r="B187" s="11">
        <v>50285</v>
      </c>
      <c r="C187" s="11">
        <v>50285</v>
      </c>
      <c r="D187" s="8"/>
      <c r="F187" s="1"/>
      <c r="G187" s="1"/>
      <c r="H187" s="1"/>
      <c r="I187" s="1"/>
      <c r="J187" s="3"/>
      <c r="K187" s="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row>
    <row r="188" spans="1:116" s="4" customFormat="1" hidden="1">
      <c r="A188" s="12" t="s">
        <v>88</v>
      </c>
      <c r="B188" s="11">
        <v>51059</v>
      </c>
      <c r="C188" s="11">
        <v>51059</v>
      </c>
      <c r="D188" s="8"/>
      <c r="F188" s="1"/>
      <c r="G188" s="1"/>
      <c r="H188" s="1"/>
      <c r="I188" s="1"/>
      <c r="J188" s="3"/>
      <c r="K188" s="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row>
    <row r="189" spans="1:116" s="4" customFormat="1" hidden="1">
      <c r="A189" s="10" t="s">
        <v>87</v>
      </c>
      <c r="B189" s="9">
        <v>51538</v>
      </c>
      <c r="C189" s="9">
        <v>51538</v>
      </c>
      <c r="D189" s="8"/>
      <c r="F189" s="1"/>
      <c r="G189" s="1"/>
      <c r="H189" s="1"/>
      <c r="I189" s="1"/>
      <c r="J189" s="3"/>
      <c r="K189" s="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row>
    <row r="190" spans="1:116" s="4" customFormat="1" hidden="1">
      <c r="A190" s="10" t="s">
        <v>86</v>
      </c>
      <c r="B190" s="9">
        <v>52331</v>
      </c>
      <c r="C190" s="9">
        <v>52331</v>
      </c>
      <c r="D190" s="8"/>
      <c r="F190" s="1"/>
      <c r="G190" s="1"/>
      <c r="H190" s="1"/>
      <c r="I190" s="1"/>
      <c r="J190" s="3"/>
      <c r="K190" s="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row>
    <row r="191" spans="1:116" s="4" customFormat="1" hidden="1">
      <c r="A191" s="10" t="s">
        <v>85</v>
      </c>
      <c r="B191" s="9">
        <v>53137</v>
      </c>
      <c r="C191" s="9">
        <v>53137</v>
      </c>
      <c r="D191" s="8"/>
      <c r="F191" s="1"/>
      <c r="G191" s="1"/>
      <c r="H191" s="1"/>
      <c r="I191" s="1"/>
      <c r="J191" s="3"/>
      <c r="K191" s="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row>
    <row r="192" spans="1:116" s="4" customFormat="1" hidden="1">
      <c r="A192" s="10" t="s">
        <v>84</v>
      </c>
      <c r="B192" s="9">
        <v>53956</v>
      </c>
      <c r="C192" s="9">
        <v>53956</v>
      </c>
      <c r="D192" s="8"/>
      <c r="F192" s="1"/>
      <c r="G192" s="1"/>
      <c r="H192" s="1"/>
      <c r="I192" s="1"/>
      <c r="J192" s="3"/>
      <c r="K192" s="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row>
    <row r="193" spans="1:116" s="4" customFormat="1" hidden="1">
      <c r="A193" s="10" t="s">
        <v>83</v>
      </c>
      <c r="B193" s="9">
        <v>54789</v>
      </c>
      <c r="C193" s="9">
        <v>54789</v>
      </c>
      <c r="D193" s="8"/>
      <c r="F193" s="1"/>
      <c r="G193" s="1"/>
      <c r="H193" s="1"/>
      <c r="I193" s="1"/>
      <c r="J193" s="3"/>
      <c r="K193" s="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row>
    <row r="194" spans="1:116" s="4" customFormat="1" hidden="1">
      <c r="A194" s="10" t="s">
        <v>82</v>
      </c>
      <c r="B194" s="9">
        <v>55636</v>
      </c>
      <c r="C194" s="9">
        <v>55636</v>
      </c>
      <c r="D194" s="8"/>
      <c r="F194" s="1"/>
      <c r="G194" s="1"/>
      <c r="H194" s="1"/>
      <c r="I194" s="1"/>
      <c r="J194" s="3"/>
      <c r="K194" s="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row>
    <row r="195" spans="1:116" s="4" customFormat="1" hidden="1">
      <c r="A195" s="10" t="s">
        <v>81</v>
      </c>
      <c r="B195" s="9">
        <v>56496</v>
      </c>
      <c r="C195" s="9">
        <v>56496</v>
      </c>
      <c r="D195" s="8"/>
      <c r="F195" s="1"/>
      <c r="G195" s="1"/>
      <c r="H195" s="1"/>
      <c r="I195" s="1"/>
      <c r="J195" s="3"/>
      <c r="K195" s="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row>
    <row r="196" spans="1:116" s="4" customFormat="1" hidden="1">
      <c r="A196" s="10" t="s">
        <v>80</v>
      </c>
      <c r="B196" s="9">
        <v>57370</v>
      </c>
      <c r="C196" s="9">
        <v>57370</v>
      </c>
      <c r="D196" s="8"/>
      <c r="F196" s="1"/>
      <c r="G196" s="1"/>
      <c r="H196" s="1"/>
      <c r="I196" s="1"/>
      <c r="J196" s="3"/>
      <c r="K196" s="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row>
    <row r="197" spans="1:116" s="4" customFormat="1" hidden="1">
      <c r="A197" s="12" t="s">
        <v>79</v>
      </c>
      <c r="B197" s="11">
        <v>57856</v>
      </c>
      <c r="C197" s="11">
        <v>57856</v>
      </c>
      <c r="D197" s="8"/>
      <c r="F197" s="1"/>
      <c r="G197" s="1"/>
      <c r="H197" s="1"/>
      <c r="I197" s="1"/>
      <c r="J197" s="3"/>
      <c r="K197" s="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row>
    <row r="198" spans="1:116" s="4" customFormat="1" hidden="1">
      <c r="A198" s="12" t="s">
        <v>78</v>
      </c>
      <c r="B198" s="11">
        <v>58752</v>
      </c>
      <c r="C198" s="11">
        <v>58752</v>
      </c>
      <c r="D198" s="8"/>
      <c r="F198" s="1"/>
      <c r="G198" s="1"/>
      <c r="H198" s="1"/>
      <c r="I198" s="1"/>
      <c r="J198" s="3"/>
      <c r="K198" s="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row>
    <row r="199" spans="1:116" s="4" customFormat="1" hidden="1">
      <c r="A199" s="12" t="s">
        <v>77</v>
      </c>
      <c r="B199" s="11">
        <v>59663</v>
      </c>
      <c r="C199" s="11">
        <v>59663</v>
      </c>
      <c r="D199" s="8"/>
      <c r="F199" s="1"/>
      <c r="G199" s="1"/>
      <c r="H199" s="1"/>
      <c r="I199" s="1"/>
      <c r="J199" s="3"/>
      <c r="K199" s="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row>
    <row r="200" spans="1:116" s="4" customFormat="1" hidden="1">
      <c r="A200" s="12" t="s">
        <v>76</v>
      </c>
      <c r="B200" s="11">
        <v>60588</v>
      </c>
      <c r="C200" s="11">
        <v>60588</v>
      </c>
      <c r="D200" s="8"/>
      <c r="F200" s="1"/>
      <c r="G200" s="1"/>
      <c r="H200" s="1"/>
      <c r="I200" s="1"/>
      <c r="J200" s="3"/>
      <c r="K200" s="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row>
    <row r="201" spans="1:116" s="4" customFormat="1" hidden="1">
      <c r="A201" s="12" t="s">
        <v>75</v>
      </c>
      <c r="B201" s="11">
        <v>61530</v>
      </c>
      <c r="C201" s="11">
        <v>61530</v>
      </c>
      <c r="D201" s="8"/>
      <c r="F201" s="1"/>
      <c r="G201" s="1"/>
      <c r="H201" s="1"/>
      <c r="I201" s="1"/>
      <c r="J201" s="3"/>
      <c r="K201" s="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row>
    <row r="202" spans="1:116" s="4" customFormat="1" hidden="1">
      <c r="A202" s="12" t="s">
        <v>74</v>
      </c>
      <c r="B202" s="11">
        <v>62485</v>
      </c>
      <c r="C202" s="11">
        <v>62485</v>
      </c>
      <c r="D202" s="8"/>
      <c r="F202" s="1"/>
      <c r="G202" s="1"/>
      <c r="H202" s="1"/>
      <c r="I202" s="1"/>
      <c r="J202" s="3"/>
      <c r="K202" s="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row>
    <row r="203" spans="1:116" s="4" customFormat="1" hidden="1">
      <c r="A203" s="12" t="s">
        <v>73</v>
      </c>
      <c r="B203" s="11">
        <v>63457</v>
      </c>
      <c r="C203" s="11">
        <v>63457</v>
      </c>
      <c r="D203" s="8"/>
      <c r="F203" s="1"/>
      <c r="G203" s="1"/>
      <c r="H203" s="1"/>
      <c r="I203" s="1"/>
      <c r="J203" s="3"/>
      <c r="K203" s="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row>
    <row r="204" spans="1:116" s="4" customFormat="1" hidden="1">
      <c r="A204" s="12" t="s">
        <v>72</v>
      </c>
      <c r="B204" s="11">
        <v>64445</v>
      </c>
      <c r="C204" s="11">
        <v>64445</v>
      </c>
      <c r="D204" s="8"/>
      <c r="F204" s="1"/>
      <c r="G204" s="1"/>
      <c r="H204" s="1"/>
      <c r="I204" s="1"/>
      <c r="J204" s="3"/>
      <c r="K204" s="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row>
    <row r="205" spans="1:116" s="4" customFormat="1" hidden="1">
      <c r="A205" s="10" t="s">
        <v>71</v>
      </c>
      <c r="B205" s="9">
        <v>64994</v>
      </c>
      <c r="C205" s="9">
        <v>64994</v>
      </c>
      <c r="D205" s="8"/>
      <c r="F205" s="1"/>
      <c r="G205" s="1"/>
      <c r="H205" s="1"/>
      <c r="I205" s="1"/>
      <c r="J205" s="3"/>
      <c r="K205" s="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row>
    <row r="206" spans="1:116" s="4" customFormat="1" hidden="1">
      <c r="A206" s="10" t="s">
        <v>70</v>
      </c>
      <c r="B206" s="9">
        <v>66007</v>
      </c>
      <c r="C206" s="9">
        <v>66007</v>
      </c>
      <c r="D206" s="8"/>
      <c r="F206" s="1"/>
      <c r="G206" s="1"/>
      <c r="H206" s="1"/>
      <c r="I206" s="1"/>
      <c r="J206" s="3"/>
      <c r="K206" s="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row>
    <row r="207" spans="1:116" s="4" customFormat="1" hidden="1">
      <c r="A207" s="10" t="s">
        <v>69</v>
      </c>
      <c r="B207" s="9">
        <v>67037</v>
      </c>
      <c r="C207" s="9">
        <v>67037</v>
      </c>
      <c r="D207" s="8"/>
      <c r="F207" s="1"/>
      <c r="G207" s="1"/>
      <c r="H207" s="1"/>
      <c r="I207" s="1"/>
      <c r="J207" s="3"/>
      <c r="K207" s="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row>
    <row r="208" spans="1:116" s="4" customFormat="1" hidden="1">
      <c r="A208" s="10" t="s">
        <v>68</v>
      </c>
      <c r="B208" s="9">
        <v>68083</v>
      </c>
      <c r="C208" s="9">
        <v>68083</v>
      </c>
      <c r="D208" s="8"/>
      <c r="F208" s="1"/>
      <c r="G208" s="1"/>
      <c r="H208" s="1"/>
      <c r="I208" s="1"/>
      <c r="J208" s="3"/>
      <c r="K208" s="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row>
    <row r="209" spans="1:116" s="4" customFormat="1" hidden="1">
      <c r="A209" s="10" t="s">
        <v>67</v>
      </c>
      <c r="B209" s="9">
        <v>69146</v>
      </c>
      <c r="C209" s="9">
        <v>69146</v>
      </c>
      <c r="D209" s="8"/>
      <c r="F209" s="1"/>
      <c r="G209" s="1"/>
      <c r="H209" s="1"/>
      <c r="I209" s="1"/>
      <c r="J209" s="3"/>
      <c r="K209" s="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row>
    <row r="210" spans="1:116" s="4" customFormat="1" hidden="1">
      <c r="A210" s="10" t="s">
        <v>66</v>
      </c>
      <c r="B210" s="9">
        <v>70227</v>
      </c>
      <c r="C210" s="9">
        <v>70227</v>
      </c>
      <c r="D210" s="8"/>
      <c r="F210" s="1"/>
      <c r="G210" s="1"/>
      <c r="H210" s="1"/>
      <c r="I210" s="1"/>
      <c r="J210" s="3"/>
      <c r="K210" s="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row>
    <row r="211" spans="1:116" s="4" customFormat="1" hidden="1">
      <c r="A211" s="10" t="s">
        <v>65</v>
      </c>
      <c r="B211" s="9">
        <v>71325</v>
      </c>
      <c r="C211" s="9">
        <v>71325</v>
      </c>
      <c r="D211" s="8"/>
      <c r="F211" s="1"/>
      <c r="G211" s="1"/>
      <c r="H211" s="1"/>
      <c r="I211" s="1"/>
      <c r="J211" s="3"/>
      <c r="K211" s="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row>
    <row r="212" spans="1:116" s="4" customFormat="1" hidden="1">
      <c r="A212" s="10" t="s">
        <v>64</v>
      </c>
      <c r="B212" s="9">
        <v>72440</v>
      </c>
      <c r="C212" s="9">
        <v>72440</v>
      </c>
      <c r="D212" s="8"/>
      <c r="F212" s="1"/>
      <c r="G212" s="1"/>
      <c r="H212" s="1"/>
      <c r="I212" s="1"/>
      <c r="J212" s="3"/>
      <c r="K212" s="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row>
    <row r="213" spans="1:116" s="4" customFormat="1" hidden="1">
      <c r="A213" s="12" t="s">
        <v>63</v>
      </c>
      <c r="B213" s="11">
        <v>73062</v>
      </c>
      <c r="C213" s="11">
        <v>73062</v>
      </c>
      <c r="D213" s="8"/>
      <c r="F213" s="1"/>
      <c r="G213" s="1"/>
      <c r="H213" s="1"/>
      <c r="I213" s="1"/>
      <c r="J213" s="3"/>
      <c r="K213" s="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row>
    <row r="214" spans="1:116" s="4" customFormat="1" hidden="1">
      <c r="A214" s="12" t="s">
        <v>62</v>
      </c>
      <c r="B214" s="11">
        <v>74205</v>
      </c>
      <c r="C214" s="11">
        <v>74205</v>
      </c>
      <c r="D214" s="8"/>
      <c r="F214" s="1"/>
      <c r="G214" s="1"/>
      <c r="H214" s="1"/>
      <c r="I214" s="1"/>
      <c r="J214" s="3"/>
      <c r="K214" s="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row>
    <row r="215" spans="1:116" s="4" customFormat="1" hidden="1">
      <c r="A215" s="12" t="s">
        <v>61</v>
      </c>
      <c r="B215" s="11">
        <v>75369</v>
      </c>
      <c r="C215" s="11">
        <v>75369</v>
      </c>
      <c r="D215" s="8"/>
      <c r="F215" s="1"/>
      <c r="G215" s="1"/>
      <c r="H215" s="1"/>
      <c r="I215" s="1"/>
      <c r="J215" s="3"/>
      <c r="K215" s="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row>
    <row r="216" spans="1:116" s="4" customFormat="1" hidden="1">
      <c r="A216" s="12" t="s">
        <v>60</v>
      </c>
      <c r="B216" s="11">
        <v>76554</v>
      </c>
      <c r="C216" s="11">
        <v>76554</v>
      </c>
      <c r="D216" s="8"/>
      <c r="F216" s="1"/>
      <c r="G216" s="1"/>
      <c r="H216" s="1"/>
      <c r="I216" s="1"/>
      <c r="J216" s="3"/>
      <c r="K216" s="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row>
    <row r="217" spans="1:116" s="4" customFormat="1" hidden="1">
      <c r="A217" s="12" t="s">
        <v>59</v>
      </c>
      <c r="B217" s="11">
        <v>77804</v>
      </c>
      <c r="C217" s="11">
        <v>77804</v>
      </c>
      <c r="D217" s="8"/>
      <c r="F217" s="1"/>
      <c r="G217" s="1"/>
      <c r="H217" s="1"/>
      <c r="I217" s="1"/>
      <c r="J217" s="3"/>
      <c r="K217" s="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row>
    <row r="218" spans="1:116" s="4" customFormat="1" hidden="1">
      <c r="A218" s="12" t="s">
        <v>58</v>
      </c>
      <c r="B218" s="11">
        <v>79073</v>
      </c>
      <c r="C218" s="11">
        <v>79073</v>
      </c>
      <c r="D218" s="8"/>
      <c r="F218" s="1"/>
      <c r="G218" s="1"/>
      <c r="H218" s="1"/>
      <c r="I218" s="1"/>
      <c r="J218" s="3"/>
      <c r="K218" s="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row>
    <row r="219" spans="1:116" s="4" customFormat="1" hidden="1">
      <c r="A219" s="12" t="s">
        <v>57</v>
      </c>
      <c r="B219" s="11">
        <v>80364</v>
      </c>
      <c r="C219" s="11">
        <v>80364</v>
      </c>
      <c r="D219" s="8"/>
      <c r="F219" s="1"/>
      <c r="G219" s="1"/>
      <c r="H219" s="1"/>
      <c r="I219" s="1"/>
      <c r="J219" s="3"/>
      <c r="K219" s="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row>
    <row r="220" spans="1:116" s="4" customFormat="1" hidden="1">
      <c r="A220" s="12" t="s">
        <v>56</v>
      </c>
      <c r="B220" s="11">
        <v>81676</v>
      </c>
      <c r="C220" s="11">
        <v>81676</v>
      </c>
      <c r="D220" s="8"/>
      <c r="F220" s="1"/>
      <c r="G220" s="1"/>
      <c r="H220" s="1"/>
      <c r="I220" s="1"/>
      <c r="J220" s="3"/>
      <c r="K220" s="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row>
    <row r="221" spans="1:116" s="4" customFormat="1" hidden="1">
      <c r="A221" s="10" t="s">
        <v>55</v>
      </c>
      <c r="B221" s="9">
        <v>82405</v>
      </c>
      <c r="C221" s="9">
        <v>82405</v>
      </c>
      <c r="D221" s="8"/>
      <c r="F221" s="1"/>
      <c r="G221" s="1"/>
      <c r="H221" s="1"/>
      <c r="I221" s="1"/>
      <c r="J221" s="3"/>
      <c r="K221" s="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row>
    <row r="222" spans="1:116" s="4" customFormat="1" hidden="1">
      <c r="A222" s="10" t="s">
        <v>54</v>
      </c>
      <c r="B222" s="9">
        <v>83750</v>
      </c>
      <c r="C222" s="9">
        <v>83750</v>
      </c>
      <c r="D222" s="8"/>
      <c r="F222" s="1"/>
      <c r="G222" s="1"/>
      <c r="H222" s="1"/>
      <c r="I222" s="1"/>
      <c r="J222" s="3"/>
      <c r="K222" s="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row>
    <row r="223" spans="1:116" s="4" customFormat="1" hidden="1">
      <c r="A223" s="10" t="s">
        <v>53</v>
      </c>
      <c r="B223" s="9">
        <v>85117</v>
      </c>
      <c r="C223" s="9">
        <v>85117</v>
      </c>
      <c r="D223" s="8"/>
      <c r="F223" s="1"/>
      <c r="G223" s="1"/>
      <c r="H223" s="1"/>
      <c r="I223" s="1"/>
      <c r="J223" s="3"/>
      <c r="K223" s="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row>
    <row r="224" spans="1:116" s="4" customFormat="1" hidden="1">
      <c r="A224" s="10" t="s">
        <v>52</v>
      </c>
      <c r="B224" s="9">
        <v>86506</v>
      </c>
      <c r="C224" s="9">
        <v>86506</v>
      </c>
      <c r="D224" s="8"/>
      <c r="F224" s="1"/>
      <c r="G224" s="1"/>
      <c r="H224" s="1"/>
      <c r="I224" s="1"/>
      <c r="J224" s="3"/>
      <c r="K224" s="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row>
    <row r="225" spans="1:116" s="4" customFormat="1" hidden="1">
      <c r="A225" s="10" t="s">
        <v>51</v>
      </c>
      <c r="B225" s="9">
        <v>87918</v>
      </c>
      <c r="C225" s="9">
        <v>87918</v>
      </c>
      <c r="D225" s="8"/>
      <c r="F225" s="1"/>
      <c r="G225" s="1"/>
      <c r="H225" s="1"/>
      <c r="I225" s="1"/>
      <c r="J225" s="3"/>
      <c r="K225" s="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row>
    <row r="226" spans="1:116" s="4" customFormat="1" hidden="1">
      <c r="A226" s="10" t="s">
        <v>50</v>
      </c>
      <c r="B226" s="9">
        <v>89354</v>
      </c>
      <c r="C226" s="9">
        <v>89354</v>
      </c>
      <c r="D226" s="8"/>
      <c r="F226" s="1"/>
      <c r="G226" s="1"/>
      <c r="H226" s="1"/>
      <c r="I226" s="1"/>
      <c r="J226" s="3"/>
      <c r="K226" s="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row>
    <row r="227" spans="1:116" s="4" customFormat="1" hidden="1">
      <c r="A227" s="10" t="s">
        <v>49</v>
      </c>
      <c r="B227" s="9">
        <v>90812</v>
      </c>
      <c r="C227" s="9">
        <v>90812</v>
      </c>
      <c r="D227" s="8"/>
      <c r="F227" s="1"/>
      <c r="G227" s="1"/>
      <c r="H227" s="1"/>
      <c r="I227" s="1"/>
      <c r="J227" s="3"/>
      <c r="K227" s="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row>
    <row r="228" spans="1:116" s="4" customFormat="1" hidden="1">
      <c r="A228" s="10" t="s">
        <v>48</v>
      </c>
      <c r="B228" s="9">
        <v>92294</v>
      </c>
      <c r="C228" s="9">
        <v>92294</v>
      </c>
      <c r="D228" s="8"/>
      <c r="F228" s="1"/>
      <c r="G228" s="1"/>
      <c r="H228" s="1"/>
      <c r="I228" s="1"/>
      <c r="J228" s="3"/>
      <c r="K228" s="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row>
    <row r="229" spans="1:116" s="4" customFormat="1" hidden="1">
      <c r="A229" s="12" t="s">
        <v>47</v>
      </c>
      <c r="B229" s="11">
        <v>93942</v>
      </c>
      <c r="C229" s="11">
        <v>93942</v>
      </c>
      <c r="D229" s="8"/>
      <c r="F229" s="1"/>
      <c r="G229" s="1"/>
      <c r="H229" s="1"/>
      <c r="I229" s="1"/>
      <c r="J229" s="3"/>
      <c r="K229" s="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row>
    <row r="230" spans="1:116" s="4" customFormat="1" hidden="1">
      <c r="A230" s="12" t="s">
        <v>46</v>
      </c>
      <c r="B230" s="11">
        <v>95475</v>
      </c>
      <c r="C230" s="11">
        <v>95475</v>
      </c>
      <c r="D230" s="8"/>
      <c r="F230" s="1"/>
      <c r="G230" s="1"/>
      <c r="H230" s="1"/>
      <c r="I230" s="1"/>
      <c r="J230" s="3"/>
      <c r="K230" s="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row>
    <row r="231" spans="1:116" s="4" customFormat="1" hidden="1">
      <c r="A231" s="12" t="s">
        <v>45</v>
      </c>
      <c r="B231" s="11">
        <v>97033</v>
      </c>
      <c r="C231" s="11">
        <v>97033</v>
      </c>
      <c r="D231" s="8"/>
      <c r="F231" s="1"/>
      <c r="G231" s="1"/>
      <c r="H231" s="1"/>
      <c r="I231" s="1"/>
      <c r="J231" s="3"/>
      <c r="K231" s="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row>
    <row r="232" spans="1:116" s="4" customFormat="1" hidden="1">
      <c r="A232" s="12" t="s">
        <v>44</v>
      </c>
      <c r="B232" s="11">
        <v>98618</v>
      </c>
      <c r="C232" s="11">
        <v>98618</v>
      </c>
      <c r="D232" s="8"/>
      <c r="F232" s="1"/>
      <c r="G232" s="1"/>
      <c r="H232" s="1"/>
      <c r="I232" s="1"/>
      <c r="J232" s="3"/>
      <c r="K232" s="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row>
    <row r="233" spans="1:116" s="4" customFormat="1" hidden="1">
      <c r="A233" s="12" t="s">
        <v>43</v>
      </c>
      <c r="B233" s="11">
        <v>100227</v>
      </c>
      <c r="C233" s="11">
        <v>100227</v>
      </c>
      <c r="D233" s="8"/>
      <c r="F233" s="1"/>
      <c r="G233" s="1"/>
      <c r="H233" s="1"/>
      <c r="I233" s="1"/>
      <c r="J233" s="3"/>
      <c r="K233" s="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row>
    <row r="234" spans="1:116" hidden="1">
      <c r="A234" s="12" t="s">
        <v>42</v>
      </c>
      <c r="B234" s="11">
        <v>101863</v>
      </c>
      <c r="C234" s="11">
        <v>101863</v>
      </c>
      <c r="D234" s="8"/>
      <c r="E234" s="4"/>
    </row>
    <row r="235" spans="1:116" hidden="1">
      <c r="A235" s="12" t="s">
        <v>41</v>
      </c>
      <c r="B235" s="11">
        <v>103525</v>
      </c>
      <c r="C235" s="11">
        <v>103525</v>
      </c>
      <c r="D235" s="8"/>
      <c r="E235" s="4"/>
    </row>
    <row r="236" spans="1:116" hidden="1">
      <c r="A236" s="12" t="s">
        <v>40</v>
      </c>
      <c r="B236" s="11">
        <v>105215</v>
      </c>
      <c r="C236" s="11">
        <v>105215</v>
      </c>
      <c r="D236" s="8"/>
      <c r="E236" s="4"/>
    </row>
    <row r="237" spans="1:116" hidden="1">
      <c r="A237" s="10" t="s">
        <v>39</v>
      </c>
      <c r="B237" s="9">
        <v>106155</v>
      </c>
      <c r="C237" s="9">
        <v>106155</v>
      </c>
      <c r="D237" s="8"/>
      <c r="E237" s="4"/>
      <c r="F237" s="16"/>
      <c r="G237" s="15"/>
      <c r="H237" s="14"/>
      <c r="I237" s="14"/>
      <c r="J237" s="13"/>
      <c r="K237" s="13"/>
    </row>
    <row r="238" spans="1:116" hidden="1">
      <c r="A238" s="10" t="s">
        <v>38</v>
      </c>
      <c r="B238" s="9">
        <v>107887</v>
      </c>
      <c r="C238" s="9">
        <v>107887</v>
      </c>
      <c r="D238" s="8"/>
      <c r="E238" s="4"/>
      <c r="F238" s="16"/>
      <c r="G238" s="15"/>
      <c r="H238" s="14"/>
      <c r="I238" s="14"/>
      <c r="J238" s="13"/>
      <c r="K238" s="13"/>
    </row>
    <row r="239" spans="1:116" hidden="1">
      <c r="A239" s="10" t="s">
        <v>37</v>
      </c>
      <c r="B239" s="9">
        <v>109648</v>
      </c>
      <c r="C239" s="9">
        <v>109648</v>
      </c>
      <c r="D239" s="8"/>
      <c r="E239" s="4"/>
    </row>
    <row r="240" spans="1:116" hidden="1">
      <c r="A240" s="10" t="s">
        <v>36</v>
      </c>
      <c r="B240" s="9">
        <v>111438</v>
      </c>
      <c r="C240" s="9">
        <v>111438</v>
      </c>
      <c r="D240" s="8"/>
      <c r="E240" s="4"/>
    </row>
    <row r="241" spans="1:116" hidden="1">
      <c r="A241" s="10" t="s">
        <v>35</v>
      </c>
      <c r="B241" s="9">
        <v>113256</v>
      </c>
      <c r="C241" s="9">
        <v>113256</v>
      </c>
      <c r="D241" s="8"/>
      <c r="E241" s="4"/>
    </row>
    <row r="242" spans="1:116" hidden="1">
      <c r="A242" s="10" t="s">
        <v>34</v>
      </c>
      <c r="B242" s="9">
        <v>115105</v>
      </c>
      <c r="C242" s="9">
        <v>115105</v>
      </c>
      <c r="D242" s="8"/>
      <c r="E242" s="4"/>
    </row>
    <row r="243" spans="1:116" hidden="1">
      <c r="A243" s="10" t="s">
        <v>33</v>
      </c>
      <c r="B243" s="9">
        <v>116983</v>
      </c>
      <c r="C243" s="9">
        <v>116983</v>
      </c>
      <c r="D243" s="8"/>
      <c r="E243" s="4"/>
    </row>
    <row r="244" spans="1:116" hidden="1">
      <c r="A244" s="10" t="s">
        <v>32</v>
      </c>
      <c r="B244" s="9">
        <v>118893</v>
      </c>
      <c r="C244" s="9">
        <v>118893</v>
      </c>
      <c r="D244" s="8"/>
      <c r="E244" s="4"/>
    </row>
    <row r="245" spans="1:116" hidden="1">
      <c r="A245" s="12" t="s">
        <v>31</v>
      </c>
      <c r="B245" s="11">
        <v>119954</v>
      </c>
      <c r="C245" s="11">
        <v>119954</v>
      </c>
      <c r="D245" s="8"/>
      <c r="E245" s="4"/>
    </row>
    <row r="246" spans="1:116" hidden="1">
      <c r="A246" s="12" t="s">
        <v>30</v>
      </c>
      <c r="B246" s="11">
        <v>121913</v>
      </c>
      <c r="C246" s="11">
        <v>121913</v>
      </c>
      <c r="D246" s="8"/>
      <c r="E246" s="4"/>
    </row>
    <row r="247" spans="1:116" hidden="1">
      <c r="A247" s="12" t="s">
        <v>29</v>
      </c>
      <c r="B247" s="11">
        <v>123902</v>
      </c>
      <c r="C247" s="11">
        <v>123902</v>
      </c>
      <c r="D247" s="8"/>
      <c r="E247" s="4"/>
    </row>
    <row r="248" spans="1:116" hidden="1">
      <c r="A248" s="12" t="s">
        <v>28</v>
      </c>
      <c r="B248" s="11">
        <v>125924</v>
      </c>
      <c r="C248" s="11">
        <v>125924</v>
      </c>
      <c r="D248" s="8"/>
      <c r="E248" s="4"/>
    </row>
    <row r="249" spans="1:116" hidden="1">
      <c r="A249" s="12" t="s">
        <v>27</v>
      </c>
      <c r="B249" s="11">
        <v>127979</v>
      </c>
      <c r="C249" s="11">
        <v>127979</v>
      </c>
      <c r="D249" s="8"/>
      <c r="E249" s="4"/>
    </row>
    <row r="250" spans="1:116" s="4" customFormat="1" hidden="1">
      <c r="A250" s="12" t="s">
        <v>26</v>
      </c>
      <c r="B250" s="11">
        <v>130068</v>
      </c>
      <c r="C250" s="11">
        <v>130068</v>
      </c>
      <c r="D250" s="8"/>
      <c r="F250" s="1"/>
      <c r="G250" s="1"/>
      <c r="H250" s="1"/>
      <c r="I250" s="1"/>
      <c r="J250" s="3"/>
      <c r="K250" s="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row>
    <row r="251" spans="1:116" s="4" customFormat="1" hidden="1">
      <c r="A251" s="12" t="s">
        <v>25</v>
      </c>
      <c r="B251" s="11">
        <v>132192</v>
      </c>
      <c r="C251" s="11">
        <v>132192</v>
      </c>
      <c r="D251" s="8"/>
      <c r="F251" s="1"/>
      <c r="G251" s="1"/>
      <c r="H251" s="1"/>
      <c r="I251" s="1"/>
      <c r="J251" s="3"/>
      <c r="K251" s="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row>
    <row r="252" spans="1:116" s="4" customFormat="1" hidden="1">
      <c r="A252" s="12" t="s">
        <v>24</v>
      </c>
      <c r="B252" s="11">
        <v>134349</v>
      </c>
      <c r="C252" s="11">
        <v>134349</v>
      </c>
      <c r="D252" s="8"/>
      <c r="F252" s="1"/>
      <c r="G252" s="1"/>
      <c r="H252" s="1"/>
      <c r="I252" s="1"/>
      <c r="J252" s="3"/>
      <c r="K252" s="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row>
    <row r="253" spans="1:116" s="4" customFormat="1" hidden="1">
      <c r="A253" s="10" t="s">
        <v>23</v>
      </c>
      <c r="B253" s="9">
        <v>135549</v>
      </c>
      <c r="C253" s="9">
        <v>135549</v>
      </c>
      <c r="D253" s="8"/>
      <c r="F253" s="1"/>
      <c r="G253" s="1"/>
      <c r="H253" s="1"/>
      <c r="I253" s="1"/>
      <c r="J253" s="3"/>
      <c r="K253" s="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row>
    <row r="254" spans="1:116" s="4" customFormat="1" hidden="1">
      <c r="A254" s="10" t="s">
        <v>22</v>
      </c>
      <c r="B254" s="9">
        <v>137760</v>
      </c>
      <c r="C254" s="9">
        <v>137760</v>
      </c>
      <c r="D254" s="8"/>
      <c r="F254" s="1"/>
      <c r="G254" s="1"/>
      <c r="H254" s="1"/>
      <c r="I254" s="1"/>
      <c r="J254" s="3"/>
      <c r="K254" s="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row>
    <row r="255" spans="1:116" s="4" customFormat="1" hidden="1">
      <c r="A255" s="10" t="s">
        <v>21</v>
      </c>
      <c r="B255" s="9">
        <v>140009</v>
      </c>
      <c r="C255" s="9">
        <v>140009</v>
      </c>
      <c r="D255" s="8"/>
      <c r="F255" s="1"/>
      <c r="G255" s="1"/>
      <c r="H255" s="1"/>
      <c r="I255" s="1"/>
      <c r="J255" s="3"/>
      <c r="K255" s="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row>
    <row r="256" spans="1:116" s="4" customFormat="1" hidden="1">
      <c r="A256" s="10" t="s">
        <v>20</v>
      </c>
      <c r="B256" s="9">
        <v>142295</v>
      </c>
      <c r="C256" s="9">
        <v>142295</v>
      </c>
      <c r="D256" s="8"/>
      <c r="F256" s="1"/>
      <c r="G256" s="1"/>
      <c r="H256" s="1"/>
      <c r="I256" s="1"/>
      <c r="J256" s="3"/>
      <c r="K256" s="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row>
    <row r="257" spans="1:116" s="4" customFormat="1" hidden="1">
      <c r="A257" s="10" t="s">
        <v>19</v>
      </c>
      <c r="B257" s="9">
        <v>144617</v>
      </c>
      <c r="C257" s="9">
        <v>144617</v>
      </c>
      <c r="D257" s="8"/>
      <c r="F257" s="1"/>
      <c r="G257" s="1"/>
      <c r="H257" s="1"/>
      <c r="I257" s="1"/>
      <c r="J257" s="3"/>
      <c r="K257" s="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row>
    <row r="258" spans="1:116" s="4" customFormat="1" hidden="1">
      <c r="A258" s="10" t="s">
        <v>18</v>
      </c>
      <c r="B258" s="9">
        <v>146978</v>
      </c>
      <c r="C258" s="9">
        <v>146978</v>
      </c>
      <c r="D258" s="8"/>
      <c r="F258" s="1"/>
      <c r="G258" s="1"/>
      <c r="H258" s="1"/>
      <c r="I258" s="1"/>
      <c r="J258" s="3"/>
      <c r="K258" s="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row>
    <row r="259" spans="1:116" s="4" customFormat="1" hidden="1">
      <c r="A259" s="10" t="s">
        <v>17</v>
      </c>
      <c r="B259" s="9">
        <v>149377</v>
      </c>
      <c r="C259" s="9">
        <v>149377</v>
      </c>
      <c r="D259" s="8"/>
      <c r="F259" s="1"/>
      <c r="G259" s="1"/>
      <c r="H259" s="1"/>
      <c r="I259" s="1"/>
      <c r="J259" s="3"/>
      <c r="K259" s="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row>
    <row r="260" spans="1:116" s="4" customFormat="1" hidden="1">
      <c r="A260" s="10" t="s">
        <v>16</v>
      </c>
      <c r="B260" s="9">
        <v>151814</v>
      </c>
      <c r="C260" s="9">
        <v>151814</v>
      </c>
      <c r="D260" s="8"/>
      <c r="F260" s="1"/>
      <c r="G260" s="1"/>
      <c r="H260" s="1"/>
      <c r="I260" s="1"/>
      <c r="J260" s="3"/>
      <c r="K260" s="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row>
    <row r="261" spans="1:116" s="4" customFormat="1" hidden="1">
      <c r="A261" s="12" t="s">
        <v>15</v>
      </c>
      <c r="B261" s="11">
        <v>153169</v>
      </c>
      <c r="C261" s="11">
        <v>153169</v>
      </c>
      <c r="D261" s="8"/>
      <c r="F261" s="1"/>
      <c r="G261" s="1"/>
      <c r="H261" s="1"/>
      <c r="I261" s="1"/>
      <c r="J261" s="3"/>
      <c r="K261" s="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row>
    <row r="262" spans="1:116" s="4" customFormat="1" hidden="1">
      <c r="A262" s="12" t="s">
        <v>14</v>
      </c>
      <c r="B262" s="11">
        <v>155670</v>
      </c>
      <c r="C262" s="11">
        <v>155670</v>
      </c>
      <c r="D262" s="8"/>
      <c r="F262" s="1"/>
      <c r="G262" s="1"/>
      <c r="H262" s="1"/>
      <c r="I262" s="1"/>
      <c r="J262" s="3"/>
      <c r="K262" s="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row>
    <row r="263" spans="1:116" s="4" customFormat="1" hidden="1">
      <c r="A263" s="12" t="s">
        <v>13</v>
      </c>
      <c r="B263" s="11">
        <v>158210</v>
      </c>
      <c r="C263" s="11">
        <v>158210</v>
      </c>
      <c r="D263" s="8"/>
      <c r="F263" s="1"/>
      <c r="G263" s="1"/>
      <c r="H263" s="1"/>
      <c r="I263" s="1"/>
      <c r="J263" s="3"/>
      <c r="K263" s="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row>
    <row r="264" spans="1:116" s="4" customFormat="1" hidden="1">
      <c r="A264" s="12" t="s">
        <v>12</v>
      </c>
      <c r="B264" s="11">
        <v>160793</v>
      </c>
      <c r="C264" s="11">
        <v>160793</v>
      </c>
      <c r="D264" s="8"/>
      <c r="F264" s="1"/>
      <c r="G264" s="1"/>
      <c r="H264" s="1"/>
      <c r="I264" s="1"/>
      <c r="J264" s="3"/>
      <c r="K264" s="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row>
    <row r="265" spans="1:116" s="4" customFormat="1" hidden="1">
      <c r="A265" s="12" t="s">
        <v>11</v>
      </c>
      <c r="B265" s="11">
        <v>163417</v>
      </c>
      <c r="C265" s="11">
        <v>163417</v>
      </c>
      <c r="D265" s="8"/>
      <c r="F265" s="1"/>
      <c r="G265" s="1"/>
      <c r="H265" s="1"/>
      <c r="I265" s="1"/>
      <c r="J265" s="3"/>
      <c r="K265" s="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row>
    <row r="266" spans="1:116" hidden="1">
      <c r="A266" s="12" t="s">
        <v>10</v>
      </c>
      <c r="B266" s="11">
        <v>166085</v>
      </c>
      <c r="C266" s="11">
        <v>166085</v>
      </c>
      <c r="D266" s="8"/>
      <c r="E266" s="4"/>
    </row>
    <row r="267" spans="1:116" hidden="1">
      <c r="A267" s="12" t="s">
        <v>9</v>
      </c>
      <c r="B267" s="11">
        <v>168795</v>
      </c>
      <c r="C267" s="11">
        <v>168795</v>
      </c>
      <c r="D267" s="8"/>
      <c r="E267" s="4"/>
    </row>
    <row r="268" spans="1:116" hidden="1">
      <c r="A268" s="12" t="s">
        <v>8</v>
      </c>
      <c r="B268" s="11">
        <v>171550</v>
      </c>
      <c r="C268" s="11">
        <v>171550</v>
      </c>
      <c r="D268" s="8"/>
      <c r="E268" s="4"/>
    </row>
    <row r="269" spans="1:116" hidden="1">
      <c r="A269" s="10" t="s">
        <v>7</v>
      </c>
      <c r="B269" s="9">
        <v>173081</v>
      </c>
      <c r="C269" s="9">
        <v>173081</v>
      </c>
      <c r="D269" s="8"/>
      <c r="E269" s="4"/>
    </row>
    <row r="270" spans="1:116" hidden="1">
      <c r="A270" s="10" t="s">
        <v>6</v>
      </c>
      <c r="B270" s="9">
        <v>175905</v>
      </c>
      <c r="C270" s="9">
        <v>175905</v>
      </c>
      <c r="D270" s="8"/>
      <c r="E270" s="4"/>
    </row>
    <row r="271" spans="1:116" hidden="1">
      <c r="A271" s="10" t="s">
        <v>5</v>
      </c>
      <c r="B271" s="9">
        <v>178778</v>
      </c>
      <c r="C271" s="9">
        <v>178778</v>
      </c>
      <c r="D271" s="8"/>
      <c r="E271" s="4"/>
    </row>
    <row r="272" spans="1:116" hidden="1">
      <c r="A272" s="10" t="s">
        <v>4</v>
      </c>
      <c r="B272" s="9">
        <v>181696</v>
      </c>
      <c r="C272" s="9">
        <v>181696</v>
      </c>
      <c r="D272" s="8"/>
      <c r="E272" s="4"/>
    </row>
    <row r="273" spans="1:5" hidden="1">
      <c r="A273" s="10" t="s">
        <v>3</v>
      </c>
      <c r="B273" s="9">
        <v>184661</v>
      </c>
      <c r="C273" s="9">
        <v>184661</v>
      </c>
      <c r="D273" s="8"/>
      <c r="E273" s="4"/>
    </row>
    <row r="274" spans="1:5" hidden="1">
      <c r="A274" s="10" t="s">
        <v>2</v>
      </c>
      <c r="B274" s="9">
        <v>187675</v>
      </c>
      <c r="C274" s="9">
        <v>187675</v>
      </c>
      <c r="D274" s="8"/>
      <c r="E274" s="4"/>
    </row>
    <row r="275" spans="1:5" hidden="1">
      <c r="A275" s="10" t="s">
        <v>1</v>
      </c>
      <c r="B275" s="9">
        <v>190738</v>
      </c>
      <c r="C275" s="9">
        <v>190738</v>
      </c>
      <c r="D275" s="8"/>
      <c r="E275" s="4"/>
    </row>
    <row r="276" spans="1:5" hidden="1">
      <c r="A276" s="10" t="s">
        <v>0</v>
      </c>
      <c r="B276" s="9">
        <v>193851</v>
      </c>
      <c r="C276" s="9">
        <v>193851</v>
      </c>
      <c r="D276" s="8"/>
      <c r="E276" s="4"/>
    </row>
    <row r="277" spans="1:5" s="3" customFormat="1" ht="15" hidden="1">
      <c r="A277" s="7"/>
      <c r="B277" s="6"/>
      <c r="C277" s="579"/>
    </row>
    <row r="278" spans="1:5" s="3" customFormat="1" ht="15" hidden="1">
      <c r="A278" s="7"/>
      <c r="B278" s="6"/>
    </row>
    <row r="279" spans="1:5" s="3" customFormat="1" ht="15" hidden="1">
      <c r="A279" s="7"/>
      <c r="B279" s="6"/>
    </row>
    <row r="280" spans="1:5" s="3" customFormat="1" ht="15" hidden="1">
      <c r="A280" s="7"/>
      <c r="B280" s="6"/>
    </row>
    <row r="281" spans="1:5" s="3" customFormat="1" ht="15" hidden="1">
      <c r="A281" s="7"/>
      <c r="B281" s="6"/>
    </row>
    <row r="282" spans="1:5" s="3" customFormat="1" ht="15" hidden="1">
      <c r="A282" s="7"/>
      <c r="B282" s="6"/>
    </row>
    <row r="283" spans="1:5" s="3" customFormat="1" ht="15" hidden="1">
      <c r="A283" s="7"/>
      <c r="B283" s="6"/>
    </row>
    <row r="284" spans="1:5" s="3" customFormat="1" ht="15" hidden="1">
      <c r="A284" s="7"/>
      <c r="B284" s="6"/>
    </row>
    <row r="285" spans="1:5" s="3" customFormat="1" ht="15" hidden="1">
      <c r="A285" s="7"/>
      <c r="B285" s="6"/>
    </row>
    <row r="286" spans="1:5" s="3" customFormat="1" ht="15" hidden="1">
      <c r="A286" s="7"/>
      <c r="B286" s="6"/>
    </row>
    <row r="287" spans="1:5" s="3" customFormat="1" ht="15" hidden="1">
      <c r="A287" s="7"/>
      <c r="B287" s="6"/>
    </row>
    <row r="288" spans="1:5" s="3" customFormat="1" ht="15" hidden="1">
      <c r="A288" s="7"/>
      <c r="B288" s="6"/>
    </row>
    <row r="289" spans="1:2" s="3" customFormat="1" ht="15" hidden="1">
      <c r="A289" s="7"/>
      <c r="B289" s="6"/>
    </row>
    <row r="290" spans="1:2" s="3" customFormat="1" ht="15" hidden="1">
      <c r="A290" s="7"/>
      <c r="B290" s="6"/>
    </row>
    <row r="291" spans="1:2" s="3" customFormat="1" ht="15" hidden="1">
      <c r="A291" s="7"/>
      <c r="B291" s="6"/>
    </row>
    <row r="292" spans="1:2" s="3" customFormat="1" ht="15" hidden="1">
      <c r="A292" s="7"/>
      <c r="B292" s="6"/>
    </row>
    <row r="293" spans="1:2" s="3" customFormat="1" ht="15" hidden="1">
      <c r="A293" s="7"/>
      <c r="B293" s="6"/>
    </row>
    <row r="294" spans="1:2" s="3" customFormat="1" ht="15" hidden="1">
      <c r="A294" s="7"/>
      <c r="B294" s="6"/>
    </row>
    <row r="295" spans="1:2" s="3" customFormat="1" ht="15" hidden="1">
      <c r="A295" s="7"/>
      <c r="B295" s="6"/>
    </row>
    <row r="296" spans="1:2" s="3" customFormat="1" ht="15" hidden="1">
      <c r="A296" s="7"/>
      <c r="B296" s="6"/>
    </row>
    <row r="297" spans="1:2" s="3" customFormat="1" ht="15" hidden="1">
      <c r="A297" s="7"/>
      <c r="B297" s="6"/>
    </row>
    <row r="298" spans="1:2" s="3" customFormat="1" ht="15" hidden="1">
      <c r="A298" s="7"/>
      <c r="B298" s="6"/>
    </row>
    <row r="299" spans="1:2" s="3" customFormat="1" ht="15" hidden="1">
      <c r="A299" s="7"/>
      <c r="B299" s="6"/>
    </row>
    <row r="300" spans="1:2" s="3" customFormat="1" ht="15">
      <c r="A300" s="7"/>
      <c r="B300" s="6"/>
    </row>
    <row r="301" spans="1:2" s="3" customFormat="1" ht="15">
      <c r="A301" s="7"/>
      <c r="B301" s="6"/>
    </row>
    <row r="302" spans="1:2" s="3" customFormat="1" ht="15">
      <c r="A302" s="7"/>
      <c r="B302" s="6"/>
    </row>
    <row r="303" spans="1:2" s="3" customFormat="1" ht="15">
      <c r="A303" s="7"/>
      <c r="B303" s="6"/>
    </row>
    <row r="304" spans="1:2" s="3" customFormat="1" ht="15">
      <c r="A304" s="7"/>
      <c r="B304" s="6"/>
    </row>
    <row r="305" spans="1:2" s="3" customFormat="1" ht="15">
      <c r="A305" s="7"/>
      <c r="B305" s="6"/>
    </row>
  </sheetData>
  <mergeCells count="20">
    <mergeCell ref="E9:F9"/>
    <mergeCell ref="G9:H9"/>
    <mergeCell ref="J9:K9"/>
    <mergeCell ref="E10:F10"/>
    <mergeCell ref="A35:B35"/>
    <mergeCell ref="E11:F11"/>
    <mergeCell ref="G11:H11"/>
    <mergeCell ref="J11:K11"/>
    <mergeCell ref="A12:B12"/>
    <mergeCell ref="A3:I3"/>
    <mergeCell ref="A4:I4"/>
    <mergeCell ref="A5:I5"/>
    <mergeCell ref="G8:H8"/>
    <mergeCell ref="J8:K8"/>
    <mergeCell ref="G10:H10"/>
    <mergeCell ref="J10:K10"/>
    <mergeCell ref="L12:M12"/>
    <mergeCell ref="N13:O13"/>
    <mergeCell ref="N12:O12"/>
    <mergeCell ref="L13:M13"/>
  </mergeCells>
  <printOptions horizontalCentered="1"/>
  <pageMargins left="0.5" right="0" top="0.25" bottom="0.25" header="0.5" footer="0.5"/>
  <pageSetup paperSize="5" orientation="landscape" verticalDpi="72"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73"/>
  <sheetViews>
    <sheetView showGridLines="0" showOutlineSymbols="0" workbookViewId="0">
      <selection activeCell="F42" sqref="F42"/>
    </sheetView>
  </sheetViews>
  <sheetFormatPr defaultColWidth="12.5703125" defaultRowHeight="12.75" outlineLevelRow="2" outlineLevelCol="2"/>
  <cols>
    <col min="1" max="1" width="1.85546875" style="134" customWidth="1"/>
    <col min="2" max="2" width="34.7109375" style="134" customWidth="1"/>
    <col min="3" max="3" width="10.85546875" style="134" customWidth="1"/>
    <col min="4" max="8" width="10.7109375" style="134" customWidth="1"/>
    <col min="9" max="9" width="14.140625" style="134" hidden="1" customWidth="1"/>
    <col min="10" max="10" width="0" style="1408" hidden="1" customWidth="1"/>
    <col min="11" max="19" width="0" style="134" hidden="1" customWidth="1"/>
    <col min="2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13" ht="13.5">
      <c r="A1" s="575" t="s">
        <v>473</v>
      </c>
      <c r="E1" s="1668"/>
      <c r="H1" s="1668"/>
    </row>
    <row r="2" spans="1:13" ht="14.25" customHeight="1">
      <c r="A2" s="574" t="s">
        <v>584</v>
      </c>
      <c r="E2" s="1667"/>
      <c r="H2" s="1667"/>
    </row>
    <row r="3" spans="1:13" ht="14.25" customHeight="1">
      <c r="E3" s="1667"/>
      <c r="F3" s="1667"/>
      <c r="H3" s="1667"/>
    </row>
    <row r="4" spans="1:13" ht="14.25" customHeight="1">
      <c r="A4" s="4630" t="s">
        <v>471</v>
      </c>
      <c r="B4" s="4630"/>
      <c r="C4" s="4630"/>
      <c r="D4" s="4630"/>
      <c r="E4" s="4630"/>
      <c r="F4" s="4630"/>
      <c r="G4" s="4630"/>
      <c r="H4" s="4630"/>
    </row>
    <row r="5" spans="1:13" ht="14.25" customHeight="1">
      <c r="A5" s="4623" t="s">
        <v>583</v>
      </c>
      <c r="B5" s="4631"/>
      <c r="C5" s="4631"/>
      <c r="D5" s="4631"/>
      <c r="E5" s="4631"/>
      <c r="F5" s="4631"/>
      <c r="G5" s="4631"/>
      <c r="H5" s="4631"/>
    </row>
    <row r="6" spans="1:13" ht="7.15" customHeight="1">
      <c r="A6" s="868"/>
      <c r="B6" s="868"/>
      <c r="C6" s="868"/>
      <c r="D6" s="868"/>
      <c r="E6" s="868"/>
      <c r="F6" s="868"/>
      <c r="G6" s="868"/>
      <c r="H6" s="868"/>
    </row>
    <row r="7" spans="1:13" ht="14.25" customHeight="1">
      <c r="A7" s="1667" t="s">
        <v>1508</v>
      </c>
    </row>
    <row r="8" spans="1:13" ht="7.9" customHeight="1">
      <c r="A8" s="267"/>
      <c r="B8" s="266"/>
    </row>
    <row r="9" spans="1:13" ht="14.25" customHeight="1">
      <c r="A9" s="4772" t="s">
        <v>468</v>
      </c>
      <c r="B9" s="4773"/>
      <c r="C9" s="265" t="s">
        <v>467</v>
      </c>
      <c r="D9" s="264" t="s">
        <v>466</v>
      </c>
      <c r="E9" s="4632" t="s">
        <v>465</v>
      </c>
      <c r="F9" s="4633"/>
      <c r="G9" s="4634"/>
      <c r="H9" s="265" t="s">
        <v>464</v>
      </c>
      <c r="I9" s="265" t="s">
        <v>464</v>
      </c>
    </row>
    <row r="10" spans="1:13" ht="14.25" customHeight="1">
      <c r="A10" s="4774"/>
      <c r="B10" s="4775"/>
      <c r="C10" s="261" t="s">
        <v>463</v>
      </c>
      <c r="D10" s="261">
        <v>2020</v>
      </c>
      <c r="E10" s="597" t="s">
        <v>462</v>
      </c>
      <c r="F10" s="597" t="s">
        <v>461</v>
      </c>
      <c r="G10" s="262" t="s">
        <v>244</v>
      </c>
      <c r="H10" s="261">
        <v>2022</v>
      </c>
      <c r="I10" s="261">
        <v>2022</v>
      </c>
    </row>
    <row r="11" spans="1:13" ht="14.25" customHeight="1">
      <c r="A11" s="4776"/>
      <c r="B11" s="4777"/>
      <c r="C11" s="260"/>
      <c r="D11" s="258" t="s">
        <v>460</v>
      </c>
      <c r="E11" s="258" t="s">
        <v>460</v>
      </c>
      <c r="F11" s="258" t="s">
        <v>459</v>
      </c>
      <c r="G11" s="259"/>
      <c r="H11" s="258" t="s">
        <v>458</v>
      </c>
      <c r="I11" s="258" t="s">
        <v>1380</v>
      </c>
      <c r="J11" s="256">
        <v>0.1</v>
      </c>
      <c r="K11" s="225"/>
      <c r="L11" s="579"/>
      <c r="M11" s="579"/>
    </row>
    <row r="12" spans="1:13" ht="15.95" customHeight="1">
      <c r="A12" s="255" t="s">
        <v>456</v>
      </c>
      <c r="B12" s="251"/>
      <c r="C12" s="221"/>
      <c r="D12" s="221"/>
      <c r="E12" s="221"/>
      <c r="F12" s="251"/>
      <c r="G12" s="251"/>
      <c r="H12" s="251"/>
      <c r="I12" s="251"/>
      <c r="J12" s="241"/>
      <c r="K12" s="225"/>
      <c r="L12" s="579"/>
      <c r="M12" s="579"/>
    </row>
    <row r="13" spans="1:13" ht="15.95" customHeight="1">
      <c r="A13" s="252" t="s">
        <v>455</v>
      </c>
      <c r="B13" s="251"/>
      <c r="C13" s="502"/>
      <c r="D13" s="500">
        <f t="shared" ref="D13:I13" si="0">SUM(D15:D34)</f>
        <v>621434.34000000008</v>
      </c>
      <c r="E13" s="500">
        <f t="shared" si="0"/>
        <v>265990.81</v>
      </c>
      <c r="F13" s="500">
        <f t="shared" si="0"/>
        <v>287879.19</v>
      </c>
      <c r="G13" s="500">
        <f t="shared" si="0"/>
        <v>553870</v>
      </c>
      <c r="H13" s="500">
        <f t="shared" si="0"/>
        <v>571700</v>
      </c>
      <c r="I13" s="500">
        <f t="shared" si="0"/>
        <v>571700</v>
      </c>
      <c r="J13" s="248"/>
      <c r="K13" s="225"/>
      <c r="L13" s="579"/>
      <c r="M13" s="579"/>
    </row>
    <row r="14" spans="1:13" ht="18" customHeight="1" outlineLevel="1">
      <c r="A14" s="215" t="s">
        <v>454</v>
      </c>
      <c r="B14" s="499"/>
      <c r="C14" s="1253"/>
      <c r="D14" s="392"/>
      <c r="E14" s="1561"/>
      <c r="F14" s="1866"/>
      <c r="G14" s="1866"/>
      <c r="H14" s="1866"/>
      <c r="I14" s="245"/>
      <c r="J14" s="495"/>
      <c r="K14" s="225"/>
      <c r="L14" s="579"/>
      <c r="M14" s="579"/>
    </row>
    <row r="15" spans="1:13" ht="18" customHeight="1" outlineLevel="1">
      <c r="A15" s="166" t="s">
        <v>426</v>
      </c>
      <c r="B15" s="162"/>
      <c r="C15" s="379" t="s">
        <v>453</v>
      </c>
      <c r="D15" s="862">
        <v>321024</v>
      </c>
      <c r="E15" s="458">
        <v>167946</v>
      </c>
      <c r="F15" s="458">
        <f>SUM(G15-E15)</f>
        <v>167958</v>
      </c>
      <c r="G15" s="233">
        <v>335904</v>
      </c>
      <c r="H15" s="233">
        <f>'LBPF No.3'!H29</f>
        <v>337356</v>
      </c>
      <c r="I15" s="240">
        <f>'LBPF No.3'!K29</f>
        <v>337356</v>
      </c>
      <c r="J15" s="485">
        <f>SUM(H15*10%)</f>
        <v>33735.599999999999</v>
      </c>
      <c r="K15" s="225"/>
      <c r="L15" s="579"/>
      <c r="M15" s="579"/>
    </row>
    <row r="16" spans="1:13" ht="18" customHeight="1" outlineLevel="1">
      <c r="A16" s="215" t="s">
        <v>452</v>
      </c>
      <c r="B16" s="162"/>
      <c r="C16" s="379"/>
      <c r="D16" s="862"/>
      <c r="E16" s="458"/>
      <c r="F16" s="458"/>
      <c r="G16" s="233"/>
      <c r="H16" s="233"/>
      <c r="I16" s="240"/>
      <c r="J16" s="224"/>
      <c r="K16" s="225"/>
      <c r="L16" s="579"/>
      <c r="M16" s="579"/>
    </row>
    <row r="17" spans="1:15" ht="18" customHeight="1" outlineLevel="1">
      <c r="A17" s="166" t="s">
        <v>1507</v>
      </c>
      <c r="B17" s="162"/>
      <c r="C17" s="379" t="s">
        <v>450</v>
      </c>
      <c r="D17" s="862">
        <v>48000</v>
      </c>
      <c r="E17" s="458">
        <v>28000</v>
      </c>
      <c r="F17" s="458">
        <f>SUM(G17-E17)</f>
        <v>20000</v>
      </c>
      <c r="G17" s="233">
        <v>48000</v>
      </c>
      <c r="H17" s="233">
        <f>2000*12*2</f>
        <v>48000</v>
      </c>
      <c r="I17" s="233">
        <f>2000*12*2</f>
        <v>48000</v>
      </c>
      <c r="J17" s="224"/>
      <c r="K17" s="225"/>
      <c r="L17" s="579"/>
      <c r="M17" s="579"/>
    </row>
    <row r="18" spans="1:15" ht="18" customHeight="1" outlineLevel="1">
      <c r="A18" s="166" t="s">
        <v>445</v>
      </c>
      <c r="B18" s="162"/>
      <c r="C18" s="379" t="s">
        <v>444</v>
      </c>
      <c r="D18" s="862">
        <v>12000</v>
      </c>
      <c r="E18" s="458">
        <v>12000</v>
      </c>
      <c r="F18" s="458">
        <f>SUM(G18-E18)</f>
        <v>0</v>
      </c>
      <c r="G18" s="233">
        <v>12000</v>
      </c>
      <c r="H18" s="233">
        <f>6000*2</f>
        <v>12000</v>
      </c>
      <c r="I18" s="233">
        <f>6000*2</f>
        <v>12000</v>
      </c>
      <c r="J18" s="224"/>
      <c r="K18" s="225"/>
      <c r="L18" s="579"/>
      <c r="M18" s="579"/>
    </row>
    <row r="19" spans="1:15" ht="18" customHeight="1" outlineLevel="1">
      <c r="A19" s="166" t="s">
        <v>1506</v>
      </c>
      <c r="B19" s="162"/>
      <c r="C19" s="379" t="s">
        <v>439</v>
      </c>
      <c r="D19" s="862">
        <v>26752</v>
      </c>
      <c r="E19" s="458">
        <v>0</v>
      </c>
      <c r="F19" s="458">
        <f>SUM(G19-E19)</f>
        <v>27992</v>
      </c>
      <c r="G19" s="233">
        <v>27992</v>
      </c>
      <c r="H19" s="233">
        <f>H15/12</f>
        <v>28113</v>
      </c>
      <c r="I19" s="233">
        <f>I15/12</f>
        <v>28113</v>
      </c>
      <c r="J19" s="485">
        <f>SUM(H19*10%)</f>
        <v>2811.3</v>
      </c>
      <c r="K19" s="220"/>
      <c r="L19" s="579"/>
      <c r="M19" s="579"/>
    </row>
    <row r="20" spans="1:15" ht="18" customHeight="1" outlineLevel="1">
      <c r="A20" s="166" t="s">
        <v>438</v>
      </c>
      <c r="B20" s="162"/>
      <c r="C20" s="379" t="s">
        <v>437</v>
      </c>
      <c r="D20" s="862">
        <v>10000</v>
      </c>
      <c r="E20" s="458">
        <v>0</v>
      </c>
      <c r="F20" s="458">
        <f>SUM(G20-E20)</f>
        <v>10000</v>
      </c>
      <c r="G20" s="233">
        <v>10000</v>
      </c>
      <c r="H20" s="233">
        <f>'LBPF No.3'!B20*5000</f>
        <v>10000</v>
      </c>
      <c r="I20" s="233">
        <f>'LBPF No.3'!B20*5000</f>
        <v>10000</v>
      </c>
      <c r="J20" s="224"/>
      <c r="K20" s="225"/>
      <c r="L20" s="223"/>
      <c r="M20" s="579"/>
    </row>
    <row r="21" spans="1:15" ht="18" customHeight="1" outlineLevel="1">
      <c r="A21" s="163" t="s">
        <v>436</v>
      </c>
      <c r="B21" s="162"/>
      <c r="C21" s="373" t="s">
        <v>435</v>
      </c>
      <c r="D21" s="458">
        <v>26752</v>
      </c>
      <c r="E21" s="458">
        <v>27992</v>
      </c>
      <c r="F21" s="458">
        <f>SUM(G21-E21)</f>
        <v>0</v>
      </c>
      <c r="G21" s="458">
        <v>27992</v>
      </c>
      <c r="H21" s="217">
        <f>SUM(H15/12)</f>
        <v>28113</v>
      </c>
      <c r="I21" s="217">
        <f>SUM(I15/12)</f>
        <v>28113</v>
      </c>
      <c r="J21" s="485">
        <f>SUM(H21*10%)</f>
        <v>2811.3</v>
      </c>
      <c r="K21" s="225"/>
      <c r="L21" s="223"/>
      <c r="M21" s="579"/>
    </row>
    <row r="22" spans="1:15" ht="18" customHeight="1" outlineLevel="1">
      <c r="A22" s="230" t="s">
        <v>434</v>
      </c>
      <c r="B22" s="162"/>
      <c r="C22" s="386"/>
      <c r="D22" s="862"/>
      <c r="E22" s="458"/>
      <c r="F22" s="458"/>
      <c r="G22" s="1627"/>
      <c r="H22" s="1627"/>
      <c r="I22" s="228"/>
      <c r="J22" s="485"/>
      <c r="K22" s="220"/>
      <c r="L22" s="579"/>
      <c r="M22" s="579"/>
    </row>
    <row r="23" spans="1:15" ht="18" customHeight="1" outlineLevel="1">
      <c r="A23" s="166" t="s">
        <v>421</v>
      </c>
      <c r="B23" s="162"/>
      <c r="C23" s="379" t="s">
        <v>433</v>
      </c>
      <c r="D23" s="862">
        <v>38522.879999999997</v>
      </c>
      <c r="E23" s="458">
        <v>20153.52</v>
      </c>
      <c r="F23" s="458">
        <f>SUM(G23-E23)</f>
        <v>20156.48</v>
      </c>
      <c r="G23" s="1632">
        <v>40310</v>
      </c>
      <c r="H23" s="226">
        <f>ROUND(H15*0.12,0)+1</f>
        <v>40484</v>
      </c>
      <c r="I23" s="226">
        <f>ROUND(I15*0.12,0)+1</f>
        <v>40484</v>
      </c>
      <c r="J23" s="485">
        <f>SUM(H23*10%)</f>
        <v>4048.4</v>
      </c>
      <c r="K23" s="225"/>
      <c r="L23" s="223"/>
      <c r="M23" s="579"/>
    </row>
    <row r="24" spans="1:15" ht="18" customHeight="1" outlineLevel="1">
      <c r="A24" s="166" t="s">
        <v>432</v>
      </c>
      <c r="B24" s="162"/>
      <c r="C24" s="379" t="s">
        <v>431</v>
      </c>
      <c r="D24" s="862">
        <v>2400</v>
      </c>
      <c r="E24" s="458">
        <v>1200</v>
      </c>
      <c r="F24" s="458">
        <f>SUM(G24-E24)</f>
        <v>1200</v>
      </c>
      <c r="G24" s="217">
        <v>2400</v>
      </c>
      <c r="H24" s="217">
        <f>'LBPF No.3'!B29*100*12</f>
        <v>2400</v>
      </c>
      <c r="I24" s="217">
        <f>'LBPF No.3'!B29*100*12</f>
        <v>2400</v>
      </c>
      <c r="J24" s="485"/>
      <c r="K24" s="225"/>
      <c r="L24" s="223"/>
      <c r="M24" s="579"/>
    </row>
    <row r="25" spans="1:15" ht="18" customHeight="1" outlineLevel="1">
      <c r="A25" s="166" t="s">
        <v>418</v>
      </c>
      <c r="B25" s="162"/>
      <c r="C25" s="379" t="s">
        <v>430</v>
      </c>
      <c r="D25" s="862">
        <v>4780.96</v>
      </c>
      <c r="E25" s="458">
        <v>2499.29</v>
      </c>
      <c r="F25" s="458">
        <f>SUM(G25-E25)</f>
        <v>3380.71</v>
      </c>
      <c r="G25" s="217">
        <v>5880</v>
      </c>
      <c r="H25" s="217">
        <f>'LBPF No.3'!M23</f>
        <v>6748</v>
      </c>
      <c r="I25" s="222">
        <f>'LBPF No.3'!O23</f>
        <v>6748</v>
      </c>
      <c r="J25" s="485">
        <f>SUM(H25*10%)</f>
        <v>674.80000000000007</v>
      </c>
      <c r="K25" s="220" t="s">
        <v>1453</v>
      </c>
      <c r="N25" s="219"/>
    </row>
    <row r="26" spans="1:15" ht="18" customHeight="1" outlineLevel="1">
      <c r="A26" s="166" t="s">
        <v>428</v>
      </c>
      <c r="B26" s="162"/>
      <c r="C26" s="379" t="s">
        <v>427</v>
      </c>
      <c r="D26" s="862">
        <v>2400</v>
      </c>
      <c r="E26" s="458">
        <v>1200</v>
      </c>
      <c r="F26" s="458">
        <f>SUM(G26-E26)</f>
        <v>1200</v>
      </c>
      <c r="G26" s="217">
        <v>2400</v>
      </c>
      <c r="H26" s="217">
        <f>100*12*2</f>
        <v>2400</v>
      </c>
      <c r="I26" s="217">
        <f>100*12*2</f>
        <v>2400</v>
      </c>
      <c r="J26" s="485"/>
      <c r="K26" s="179" t="s">
        <v>426</v>
      </c>
      <c r="N26" s="134">
        <f>ROUND(J15,0)+1</f>
        <v>33737</v>
      </c>
    </row>
    <row r="27" spans="1:15" ht="18" customHeight="1" outlineLevel="1">
      <c r="A27" s="215" t="s">
        <v>425</v>
      </c>
      <c r="B27" s="162"/>
      <c r="C27" s="379"/>
      <c r="D27" s="862"/>
      <c r="E27" s="509"/>
      <c r="F27" s="458"/>
      <c r="G27" s="233"/>
      <c r="H27" s="233"/>
      <c r="I27" s="193"/>
      <c r="J27" s="224"/>
      <c r="K27" s="207" t="s">
        <v>424</v>
      </c>
      <c r="N27" s="134">
        <f>ROUND(J19,0)+1</f>
        <v>2812</v>
      </c>
    </row>
    <row r="28" spans="1:15" ht="18" customHeight="1" outlineLevel="1">
      <c r="A28" s="163" t="s">
        <v>423</v>
      </c>
      <c r="B28" s="162"/>
      <c r="C28" s="379" t="s">
        <v>422</v>
      </c>
      <c r="D28" s="458">
        <v>0</v>
      </c>
      <c r="E28" s="458">
        <v>0</v>
      </c>
      <c r="F28" s="458">
        <f>SUM(G28-E28)</f>
        <v>1000</v>
      </c>
      <c r="G28" s="233">
        <v>1000</v>
      </c>
      <c r="H28" s="218">
        <v>1000</v>
      </c>
      <c r="I28" s="218">
        <v>1000</v>
      </c>
      <c r="J28" s="485"/>
      <c r="K28" s="207" t="s">
        <v>421</v>
      </c>
      <c r="L28" s="148"/>
      <c r="M28" s="148"/>
      <c r="N28" s="134">
        <f>ROUND(J23,0)+1</f>
        <v>4049</v>
      </c>
      <c r="O28" s="148"/>
    </row>
    <row r="29" spans="1:15" ht="18" customHeight="1" outlineLevel="1" thickBot="1">
      <c r="A29" s="166" t="s">
        <v>420</v>
      </c>
      <c r="B29" s="162"/>
      <c r="C29" s="373" t="s">
        <v>419</v>
      </c>
      <c r="D29" s="458">
        <v>112802.5</v>
      </c>
      <c r="E29" s="458">
        <v>0</v>
      </c>
      <c r="F29" s="458">
        <f>SUM(G29-E29)</f>
        <v>23992</v>
      </c>
      <c r="G29" s="458">
        <v>23992</v>
      </c>
      <c r="H29" s="226">
        <f>N32</f>
        <v>44086</v>
      </c>
      <c r="I29" s="226">
        <f>H29</f>
        <v>44086</v>
      </c>
      <c r="J29" s="210">
        <f>SUM(J15:J28)</f>
        <v>44081.400000000009</v>
      </c>
      <c r="K29" s="207" t="s">
        <v>418</v>
      </c>
      <c r="L29" s="148"/>
      <c r="M29" s="148"/>
      <c r="N29" s="134">
        <f>ROUND(J25,0)+1</f>
        <v>676</v>
      </c>
      <c r="O29" s="148"/>
    </row>
    <row r="30" spans="1:15" ht="18" customHeight="1" outlineLevel="1" thickTop="1">
      <c r="A30" s="166" t="s">
        <v>1505</v>
      </c>
      <c r="B30" s="162"/>
      <c r="C30" s="373" t="s">
        <v>416</v>
      </c>
      <c r="D30" s="458">
        <v>0</v>
      </c>
      <c r="E30" s="458">
        <v>5000</v>
      </c>
      <c r="F30" s="458">
        <f>SUM(G30-E30)</f>
        <v>0</v>
      </c>
      <c r="G30" s="458">
        <v>5000</v>
      </c>
      <c r="H30" s="218">
        <v>0</v>
      </c>
      <c r="I30" s="218">
        <f>H30</f>
        <v>0</v>
      </c>
      <c r="J30" s="1865"/>
      <c r="K30" s="377" t="s">
        <v>579</v>
      </c>
      <c r="L30" s="148"/>
      <c r="M30" s="148"/>
      <c r="N30" s="134">
        <f>ROUND(J21,0)+1</f>
        <v>2812</v>
      </c>
      <c r="O30" s="148"/>
    </row>
    <row r="31" spans="1:15" ht="18" customHeight="1" outlineLevel="1">
      <c r="A31" s="166" t="s">
        <v>414</v>
      </c>
      <c r="B31" s="162"/>
      <c r="C31" s="373" t="s">
        <v>413</v>
      </c>
      <c r="D31" s="862">
        <v>0</v>
      </c>
      <c r="E31" s="458">
        <v>0</v>
      </c>
      <c r="F31" s="458">
        <f>SUM(G31-E31)</f>
        <v>1000</v>
      </c>
      <c r="G31" s="233">
        <v>1000</v>
      </c>
      <c r="H31" s="1814">
        <v>1000</v>
      </c>
      <c r="I31" s="1814">
        <v>1000</v>
      </c>
      <c r="J31" s="744"/>
      <c r="K31" s="207"/>
      <c r="L31" s="148"/>
      <c r="M31" s="148"/>
      <c r="N31" s="148"/>
      <c r="O31" s="223"/>
    </row>
    <row r="32" spans="1:15" ht="18" customHeight="1" outlineLevel="1" thickBot="1">
      <c r="A32" s="166" t="s">
        <v>420</v>
      </c>
      <c r="B32" s="162"/>
      <c r="C32" s="379"/>
      <c r="D32" s="862"/>
      <c r="E32" s="509"/>
      <c r="F32" s="458"/>
      <c r="G32" s="1627"/>
      <c r="H32" s="1814"/>
      <c r="I32" s="1814"/>
      <c r="J32" s="744"/>
      <c r="K32" s="190" t="s">
        <v>1504</v>
      </c>
      <c r="L32" s="190"/>
      <c r="M32" s="190"/>
      <c r="N32" s="357">
        <f>SUM(N26:N31)</f>
        <v>44086</v>
      </c>
      <c r="O32" s="190"/>
    </row>
    <row r="33" spans="1:16" ht="18" customHeight="1" outlineLevel="1" thickTop="1">
      <c r="A33" s="1864" t="s">
        <v>1503</v>
      </c>
      <c r="B33" s="162"/>
      <c r="C33" s="373" t="s">
        <v>411</v>
      </c>
      <c r="D33" s="862">
        <v>10000</v>
      </c>
      <c r="E33" s="458">
        <v>0</v>
      </c>
      <c r="F33" s="458">
        <f>SUM(G33-E33)</f>
        <v>10000</v>
      </c>
      <c r="G33" s="1627">
        <v>10000</v>
      </c>
      <c r="H33" s="1814">
        <f>'LBPF No.3'!B29*5000</f>
        <v>10000</v>
      </c>
      <c r="I33" s="1814">
        <f>'LBPF No.3'!B29*5000</f>
        <v>10000</v>
      </c>
      <c r="J33" s="1863"/>
      <c r="O33" s="148"/>
    </row>
    <row r="34" spans="1:16" ht="18" customHeight="1" outlineLevel="1">
      <c r="A34" s="166" t="s">
        <v>409</v>
      </c>
      <c r="B34" s="162"/>
      <c r="C34" s="371" t="s">
        <v>408</v>
      </c>
      <c r="D34" s="862">
        <v>6000</v>
      </c>
      <c r="E34" s="458">
        <v>0</v>
      </c>
      <c r="F34" s="458">
        <f>SUM(G34-E34)</f>
        <v>0</v>
      </c>
      <c r="G34" s="233">
        <v>0</v>
      </c>
      <c r="H34" s="1814">
        <v>0</v>
      </c>
      <c r="I34" s="1814">
        <v>0</v>
      </c>
      <c r="J34" s="1862"/>
      <c r="O34" s="190"/>
    </row>
    <row r="35" spans="1:16" ht="20.100000000000001" customHeight="1" outlineLevel="1">
      <c r="A35" s="189" t="s">
        <v>407</v>
      </c>
      <c r="B35" s="188"/>
      <c r="C35" s="365"/>
      <c r="D35" s="186">
        <f>SUM(D37:D48)</f>
        <v>153990.15</v>
      </c>
      <c r="E35" s="186">
        <f>SUM(E37:E48)</f>
        <v>68206.84</v>
      </c>
      <c r="F35" s="186">
        <f>SUM(F37:F48)</f>
        <v>129693.15999999999</v>
      </c>
      <c r="G35" s="186">
        <f>SUM(G37:G48)</f>
        <v>197900</v>
      </c>
      <c r="H35" s="186">
        <f>SUM(H37:H48)</f>
        <v>197900</v>
      </c>
      <c r="O35" s="155"/>
      <c r="P35" s="148"/>
    </row>
    <row r="36" spans="1:16" s="155" customFormat="1" ht="18" customHeight="1" outlineLevel="1">
      <c r="A36" s="215" t="s">
        <v>678</v>
      </c>
      <c r="B36" s="162"/>
      <c r="C36" s="1861" t="s">
        <v>677</v>
      </c>
      <c r="D36" s="862"/>
      <c r="E36" s="861"/>
      <c r="F36" s="861"/>
      <c r="G36" s="861"/>
      <c r="H36" s="493"/>
      <c r="I36" s="156"/>
      <c r="J36" s="1771"/>
    </row>
    <row r="37" spans="1:16" s="155" customFormat="1" ht="18" customHeight="1" outlineLevel="1">
      <c r="A37" s="166" t="s">
        <v>646</v>
      </c>
      <c r="B37" s="162"/>
      <c r="C37" s="345"/>
      <c r="D37" s="862">
        <v>3570</v>
      </c>
      <c r="E37" s="233">
        <v>0</v>
      </c>
      <c r="F37" s="458">
        <f>SUM(G37-E37)</f>
        <v>12000</v>
      </c>
      <c r="G37" s="233">
        <v>12000</v>
      </c>
      <c r="H37" s="233">
        <v>12000</v>
      </c>
      <c r="I37" s="156"/>
      <c r="J37" s="1771"/>
    </row>
    <row r="38" spans="1:16" s="155" customFormat="1" ht="18" customHeight="1" outlineLevel="1">
      <c r="A38" s="166" t="s">
        <v>404</v>
      </c>
      <c r="B38" s="162"/>
      <c r="C38" s="345"/>
      <c r="D38" s="862">
        <v>0</v>
      </c>
      <c r="E38" s="233">
        <v>0</v>
      </c>
      <c r="F38" s="458">
        <f>SUM(G38-E38)</f>
        <v>10000</v>
      </c>
      <c r="G38" s="233">
        <v>10000</v>
      </c>
      <c r="H38" s="233">
        <v>10000</v>
      </c>
      <c r="I38" s="156"/>
      <c r="J38" s="1771"/>
    </row>
    <row r="39" spans="1:16" s="155" customFormat="1" ht="18" customHeight="1" outlineLevel="1">
      <c r="A39" s="166" t="s">
        <v>402</v>
      </c>
      <c r="B39" s="162"/>
      <c r="C39" s="345"/>
      <c r="D39" s="862">
        <v>8555.11</v>
      </c>
      <c r="E39" s="1627">
        <v>1393</v>
      </c>
      <c r="F39" s="458">
        <f>SUM(G39-E39)</f>
        <v>8607</v>
      </c>
      <c r="G39" s="1627">
        <v>10000</v>
      </c>
      <c r="H39" s="1627">
        <v>10000</v>
      </c>
      <c r="I39" s="156"/>
      <c r="J39" s="1771"/>
    </row>
    <row r="40" spans="1:16" s="155" customFormat="1" ht="18" customHeight="1" outlineLevel="1">
      <c r="A40" s="166" t="s">
        <v>572</v>
      </c>
      <c r="B40" s="162"/>
      <c r="C40" s="345"/>
      <c r="D40" s="862"/>
      <c r="E40" s="1627"/>
      <c r="F40" s="458"/>
      <c r="G40" s="1627"/>
      <c r="H40" s="1627"/>
      <c r="I40" s="156"/>
      <c r="J40" s="1771"/>
    </row>
    <row r="41" spans="1:16" s="155" customFormat="1" ht="18" customHeight="1" outlineLevel="1">
      <c r="A41" s="181"/>
      <c r="B41" s="360" t="s">
        <v>703</v>
      </c>
      <c r="C41" s="345"/>
      <c r="D41" s="458">
        <v>0</v>
      </c>
      <c r="E41" s="1627">
        <v>0</v>
      </c>
      <c r="F41" s="458">
        <f>SUM(G41-E41)</f>
        <v>1000</v>
      </c>
      <c r="G41" s="1627">
        <v>1000</v>
      </c>
      <c r="H41" s="1627">
        <v>1000</v>
      </c>
      <c r="I41" s="156"/>
      <c r="J41" s="1771"/>
    </row>
    <row r="42" spans="1:16" s="155" customFormat="1" ht="18" customHeight="1" outlineLevel="1">
      <c r="A42" s="166" t="s">
        <v>395</v>
      </c>
      <c r="B42" s="162"/>
      <c r="C42" s="345"/>
      <c r="D42" s="458">
        <v>0</v>
      </c>
      <c r="E42" s="1627">
        <v>0</v>
      </c>
      <c r="F42" s="458">
        <f>SUM(G42-E42)</f>
        <v>3700</v>
      </c>
      <c r="G42" s="1627">
        <v>3700</v>
      </c>
      <c r="H42" s="1627">
        <v>3700</v>
      </c>
      <c r="I42" s="156"/>
      <c r="J42" s="1771"/>
    </row>
    <row r="43" spans="1:16" ht="18" customHeight="1" outlineLevel="1">
      <c r="A43" s="166" t="s">
        <v>700</v>
      </c>
      <c r="B43" s="162"/>
      <c r="C43" s="345"/>
      <c r="D43" s="458">
        <v>0</v>
      </c>
      <c r="E43" s="233">
        <v>0</v>
      </c>
      <c r="F43" s="458">
        <f>SUM(G43-E43)</f>
        <v>500</v>
      </c>
      <c r="G43" s="233">
        <v>500</v>
      </c>
      <c r="H43" s="233">
        <v>500</v>
      </c>
      <c r="I43" s="148"/>
    </row>
    <row r="44" spans="1:16" ht="18" customHeight="1" outlineLevel="1">
      <c r="A44" s="166" t="s">
        <v>389</v>
      </c>
      <c r="B44" s="162"/>
      <c r="C44" s="345"/>
      <c r="D44" s="458">
        <v>71850</v>
      </c>
      <c r="E44" s="233">
        <v>30000</v>
      </c>
      <c r="F44" s="458">
        <f>SUM(G44-E44)</f>
        <v>49200</v>
      </c>
      <c r="G44" s="233">
        <v>79200</v>
      </c>
      <c r="H44" s="233">
        <v>79200</v>
      </c>
      <c r="I44" s="148"/>
      <c r="J44" s="358" t="s">
        <v>387</v>
      </c>
      <c r="K44" s="338">
        <f>200*2</f>
        <v>400</v>
      </c>
      <c r="L44" s="135"/>
    </row>
    <row r="45" spans="1:16" ht="18" customHeight="1" outlineLevel="1">
      <c r="A45" s="166" t="s">
        <v>699</v>
      </c>
      <c r="B45" s="162"/>
      <c r="C45" s="345"/>
      <c r="D45" s="862">
        <v>10015.040000000001</v>
      </c>
      <c r="E45" s="233">
        <v>1545.04</v>
      </c>
      <c r="F45" s="458">
        <f>SUM(G45-E45)</f>
        <v>12954.96</v>
      </c>
      <c r="G45" s="233">
        <v>14500</v>
      </c>
      <c r="H45" s="233">
        <v>14500</v>
      </c>
      <c r="I45" s="148"/>
      <c r="J45" s="358" t="s">
        <v>384</v>
      </c>
      <c r="K45" s="338">
        <f>2100*2</f>
        <v>4200</v>
      </c>
      <c r="L45" s="135"/>
    </row>
    <row r="46" spans="1:16" ht="18" customHeight="1" outlineLevel="2">
      <c r="A46" s="351" t="s">
        <v>383</v>
      </c>
      <c r="B46" s="173"/>
      <c r="C46" s="345"/>
      <c r="D46" s="862"/>
      <c r="E46" s="233"/>
      <c r="F46" s="458"/>
      <c r="G46" s="233"/>
      <c r="H46" s="233"/>
      <c r="J46" s="358" t="s">
        <v>1502</v>
      </c>
      <c r="K46" s="338">
        <v>60000</v>
      </c>
      <c r="L46" s="1860" t="s">
        <v>1501</v>
      </c>
    </row>
    <row r="47" spans="1:16" ht="18" customHeight="1" outlineLevel="2">
      <c r="A47" s="163"/>
      <c r="B47" s="164" t="s">
        <v>381</v>
      </c>
      <c r="C47" s="345"/>
      <c r="D47" s="458">
        <v>0</v>
      </c>
      <c r="E47" s="233">
        <v>0</v>
      </c>
      <c r="F47" s="458">
        <f>SUM(G47-E47)</f>
        <v>2000</v>
      </c>
      <c r="G47" s="233">
        <v>2000</v>
      </c>
      <c r="H47" s="233">
        <v>2000</v>
      </c>
      <c r="J47" s="358" t="s">
        <v>382</v>
      </c>
      <c r="K47" s="338">
        <f>SUM(K48-K44-K45-K46)</f>
        <v>400</v>
      </c>
      <c r="L47" s="135"/>
    </row>
    <row r="48" spans="1:16" ht="18" customHeight="1" outlineLevel="2" thickBot="1">
      <c r="A48" s="166" t="s">
        <v>368</v>
      </c>
      <c r="B48" s="162"/>
      <c r="C48" s="345"/>
      <c r="D48" s="150">
        <v>60000</v>
      </c>
      <c r="E48" s="233">
        <v>35268.800000000003</v>
      </c>
      <c r="F48" s="458">
        <f>SUM(G48-E48)</f>
        <v>29731.199999999997</v>
      </c>
      <c r="G48" s="233">
        <v>65000</v>
      </c>
      <c r="H48" s="218">
        <v>65000</v>
      </c>
      <c r="J48" s="358" t="s">
        <v>379</v>
      </c>
      <c r="K48" s="357">
        <v>65000</v>
      </c>
      <c r="L48" s="135"/>
    </row>
    <row r="49" spans="1:12" ht="20.100000000000001" customHeight="1" outlineLevel="2" thickTop="1" thickBot="1">
      <c r="A49" s="456" t="s">
        <v>366</v>
      </c>
      <c r="B49" s="456"/>
      <c r="C49" s="730"/>
      <c r="D49" s="456">
        <f>SUM(D13+D35)</f>
        <v>775424.49000000011</v>
      </c>
      <c r="E49" s="456">
        <f>SUM(E13+E35)</f>
        <v>334197.65000000002</v>
      </c>
      <c r="F49" s="456">
        <f>SUM(F13+F35)</f>
        <v>417572.35</v>
      </c>
      <c r="G49" s="456">
        <f>SUM(G13+G35)</f>
        <v>751770</v>
      </c>
      <c r="H49" s="455">
        <f>SUM(H13+H35)</f>
        <v>769600</v>
      </c>
      <c r="I49" s="1812" t="s">
        <v>1500</v>
      </c>
      <c r="J49" s="358" t="s">
        <v>1499</v>
      </c>
      <c r="K49" s="338"/>
      <c r="L49" s="338"/>
    </row>
    <row r="50" spans="1:12" ht="16.5" customHeight="1" thickTop="1">
      <c r="A50" s="134" t="s">
        <v>364</v>
      </c>
      <c r="C50" s="1768" t="s">
        <v>363</v>
      </c>
      <c r="E50" s="4631" t="s">
        <v>1498</v>
      </c>
      <c r="F50" s="4631"/>
      <c r="H50" s="1811"/>
    </row>
    <row r="51" spans="1:12" ht="18" customHeight="1">
      <c r="C51" s="141"/>
    </row>
    <row r="52" spans="1:12" ht="18" customHeight="1">
      <c r="A52" s="726" t="s">
        <v>1497</v>
      </c>
      <c r="C52" s="4635" t="s">
        <v>360</v>
      </c>
      <c r="D52" s="4635"/>
      <c r="E52" s="4630" t="s">
        <v>359</v>
      </c>
      <c r="F52" s="4630"/>
      <c r="G52" s="4630"/>
      <c r="H52" s="4630"/>
    </row>
    <row r="53" spans="1:12" s="135" customFormat="1">
      <c r="A53" s="138" t="s">
        <v>1496</v>
      </c>
      <c r="B53" s="136"/>
      <c r="C53" s="4622" t="s">
        <v>357</v>
      </c>
      <c r="D53" s="4622"/>
      <c r="E53" s="4623" t="s">
        <v>356</v>
      </c>
      <c r="F53" s="4623"/>
      <c r="G53" s="4623"/>
      <c r="H53" s="4623"/>
      <c r="I53" s="136"/>
      <c r="J53" s="1405"/>
    </row>
    <row r="54" spans="1:12" s="135" customFormat="1">
      <c r="A54" s="540" t="s">
        <v>1495</v>
      </c>
      <c r="B54" s="540"/>
      <c r="C54" s="4622"/>
      <c r="D54" s="4622"/>
      <c r="E54" s="137"/>
      <c r="F54" s="137"/>
      <c r="G54" s="137"/>
      <c r="H54" s="137"/>
      <c r="I54" s="136"/>
      <c r="J54" s="1405"/>
    </row>
    <row r="55" spans="1:12" s="135" customFormat="1">
      <c r="B55" s="136"/>
      <c r="D55" s="137"/>
      <c r="E55" s="137"/>
      <c r="F55" s="137"/>
      <c r="G55" s="137"/>
      <c r="H55" s="137"/>
      <c r="I55" s="136"/>
      <c r="J55" s="1405"/>
    </row>
    <row r="56" spans="1:12" s="135" customFormat="1">
      <c r="B56" s="136"/>
      <c r="D56" s="137"/>
      <c r="E56" s="137"/>
      <c r="F56" s="137"/>
      <c r="G56" s="137"/>
      <c r="H56" s="137"/>
      <c r="I56" s="136"/>
      <c r="J56" s="1405"/>
    </row>
    <row r="57" spans="1:12" s="135" customFormat="1">
      <c r="B57" s="136"/>
      <c r="D57" s="137"/>
      <c r="E57" s="137"/>
      <c r="F57" s="137"/>
      <c r="G57" s="137"/>
      <c r="H57" s="137"/>
      <c r="I57" s="136"/>
      <c r="J57" s="1405"/>
    </row>
    <row r="58" spans="1:12" s="135" customFormat="1">
      <c r="E58" s="137"/>
      <c r="F58" s="137"/>
      <c r="G58" s="137"/>
      <c r="H58" s="137"/>
      <c r="I58" s="136"/>
      <c r="J58" s="1405"/>
    </row>
    <row r="59" spans="1:12" s="135" customFormat="1">
      <c r="E59" s="137"/>
      <c r="F59" s="137"/>
      <c r="G59" s="137"/>
      <c r="H59" s="137"/>
      <c r="I59" s="136"/>
      <c r="J59" s="1405"/>
    </row>
    <row r="60" spans="1:12" s="135" customFormat="1">
      <c r="E60" s="137"/>
      <c r="F60" s="137"/>
      <c r="G60" s="137"/>
      <c r="H60" s="137"/>
      <c r="I60" s="136"/>
      <c r="J60" s="1405"/>
    </row>
    <row r="61" spans="1:12" s="135" customFormat="1">
      <c r="E61" s="137"/>
      <c r="F61" s="137"/>
      <c r="G61" s="137"/>
      <c r="H61" s="137"/>
      <c r="I61" s="136"/>
      <c r="J61" s="1405"/>
    </row>
    <row r="62" spans="1:12" s="135" customFormat="1">
      <c r="E62" s="137"/>
      <c r="F62" s="137"/>
      <c r="G62" s="137"/>
      <c r="H62" s="137"/>
      <c r="I62" s="136"/>
      <c r="J62" s="1405"/>
    </row>
    <row r="63" spans="1:12" s="135" customFormat="1">
      <c r="E63" s="137"/>
      <c r="F63" s="137"/>
      <c r="G63" s="137"/>
      <c r="H63" s="137"/>
      <c r="I63" s="136"/>
      <c r="J63" s="1405"/>
    </row>
    <row r="64" spans="1:12" s="135" customFormat="1">
      <c r="B64" s="136"/>
      <c r="D64" s="137"/>
      <c r="E64" s="137"/>
      <c r="F64" s="137"/>
      <c r="G64" s="137"/>
      <c r="H64" s="137"/>
      <c r="I64" s="136"/>
      <c r="J64" s="1405"/>
    </row>
    <row r="65" spans="2:10" s="135" customFormat="1">
      <c r="B65" s="136"/>
      <c r="D65" s="137"/>
      <c r="E65" s="137"/>
      <c r="F65" s="137"/>
      <c r="G65" s="137"/>
      <c r="H65" s="137"/>
      <c r="I65" s="136"/>
      <c r="J65" s="1405"/>
    </row>
    <row r="66" spans="2:10" s="135" customFormat="1">
      <c r="B66" s="136"/>
      <c r="D66" s="137"/>
      <c r="E66" s="137"/>
      <c r="F66" s="137"/>
      <c r="G66" s="137"/>
      <c r="H66" s="137"/>
      <c r="I66" s="136"/>
      <c r="J66" s="1405"/>
    </row>
    <row r="67" spans="2:10" s="135" customFormat="1">
      <c r="B67" s="136"/>
      <c r="D67" s="137"/>
      <c r="E67" s="137"/>
      <c r="F67" s="137"/>
      <c r="G67" s="137"/>
      <c r="H67" s="137"/>
      <c r="I67" s="136"/>
      <c r="J67" s="1405"/>
    </row>
    <row r="68" spans="2:10" ht="9" customHeight="1"/>
    <row r="69" spans="2:10" ht="9" customHeight="1"/>
    <row r="70" spans="2:10" ht="9" customHeight="1"/>
    <row r="71" spans="2:10" ht="9" customHeight="1"/>
    <row r="72" spans="2:10" ht="9" customHeight="1"/>
    <row r="73" spans="2:10" ht="9.9499999999999993" customHeight="1"/>
  </sheetData>
  <mergeCells count="10">
    <mergeCell ref="C54:D54"/>
    <mergeCell ref="C53:D53"/>
    <mergeCell ref="E53:H53"/>
    <mergeCell ref="A9:B11"/>
    <mergeCell ref="A4:H4"/>
    <mergeCell ref="A5:H5"/>
    <mergeCell ref="E9:G9"/>
    <mergeCell ref="E50:F50"/>
    <mergeCell ref="C52:D52"/>
    <mergeCell ref="E52:H52"/>
  </mergeCells>
  <pageMargins left="0.5" right="0" top="0.25" bottom="0" header="0.5" footer="0"/>
  <pageSetup paperSize="5" orientation="portrait"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42"/>
  <sheetViews>
    <sheetView showGridLines="0" showOutlineSymbols="0" topLeftCell="A40" zoomScale="120" zoomScaleNormal="120" workbookViewId="0">
      <selection activeCell="A56" sqref="A56"/>
    </sheetView>
  </sheetViews>
  <sheetFormatPr defaultColWidth="12.5703125" defaultRowHeight="15.75" outlineLevelRow="2" outlineLevelCol="2"/>
  <cols>
    <col min="1" max="1" width="1.85546875" style="235" customWidth="1"/>
    <col min="2" max="2" width="34.28515625" style="235" customWidth="1"/>
    <col min="3" max="3" width="7.85546875" style="235" customWidth="1"/>
    <col min="4" max="4" width="13.28515625" style="235" customWidth="1"/>
    <col min="5" max="5" width="10.140625" style="235" customWidth="1"/>
    <col min="6" max="6" width="9.7109375" style="235" customWidth="1"/>
    <col min="7" max="8" width="11.28515625" style="235" customWidth="1"/>
    <col min="9" max="9" width="14.140625" style="235" hidden="1" customWidth="1"/>
    <col min="10" max="11" width="0" style="235" hidden="1" customWidth="1"/>
    <col min="12" max="12" width="18.140625" style="235" hidden="1" customWidth="1"/>
    <col min="13" max="15" width="0" style="235" hidden="1" customWidth="1"/>
    <col min="16"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9">
      <c r="A1" s="575" t="s">
        <v>473</v>
      </c>
      <c r="B1" s="134"/>
      <c r="C1" s="134"/>
      <c r="E1" s="271"/>
      <c r="H1" s="271"/>
    </row>
    <row r="2" spans="1:9" ht="11.45" customHeight="1">
      <c r="A2" s="574" t="s">
        <v>584</v>
      </c>
      <c r="B2" s="134"/>
      <c r="C2" s="134"/>
      <c r="E2" s="270"/>
      <c r="H2" s="270"/>
    </row>
    <row r="3" spans="1:9" ht="14.25" customHeight="1">
      <c r="A3" s="134"/>
      <c r="B3" s="134"/>
      <c r="C3" s="134"/>
      <c r="E3" s="270"/>
      <c r="G3" s="270"/>
      <c r="H3" s="270"/>
    </row>
    <row r="4" spans="1:9" ht="22.15" customHeight="1">
      <c r="A4" s="4648" t="s">
        <v>471</v>
      </c>
      <c r="B4" s="4648"/>
      <c r="C4" s="4648"/>
      <c r="D4" s="4648"/>
      <c r="E4" s="4648"/>
      <c r="F4" s="4648"/>
      <c r="G4" s="4648"/>
      <c r="H4" s="4648"/>
      <c r="I4" s="936"/>
    </row>
    <row r="5" spans="1:9" ht="14.25" customHeight="1">
      <c r="A5" s="4623" t="s">
        <v>583</v>
      </c>
      <c r="B5" s="4631"/>
      <c r="C5" s="4631"/>
      <c r="D5" s="4631"/>
      <c r="E5" s="4631"/>
      <c r="F5" s="4631"/>
      <c r="G5" s="4631"/>
      <c r="H5" s="4631"/>
      <c r="I5" s="140"/>
    </row>
    <row r="6" spans="1:9" ht="13.5" customHeight="1">
      <c r="A6" s="140"/>
      <c r="B6" s="140"/>
      <c r="C6" s="140"/>
      <c r="D6" s="140"/>
      <c r="E6" s="140"/>
      <c r="F6" s="140"/>
      <c r="G6" s="140"/>
      <c r="H6" s="140"/>
    </row>
    <row r="7" spans="1:9" ht="19.5" customHeight="1">
      <c r="A7" s="757" t="s">
        <v>1514</v>
      </c>
      <c r="D7" s="134"/>
      <c r="E7" s="134"/>
      <c r="F7" s="134"/>
      <c r="G7" s="134"/>
      <c r="H7" s="134"/>
    </row>
    <row r="8" spans="1:9" ht="14.25" customHeight="1">
      <c r="A8" s="398"/>
      <c r="B8" s="397"/>
      <c r="D8" s="134"/>
      <c r="E8" s="134"/>
      <c r="F8" s="134"/>
      <c r="G8" s="134"/>
      <c r="H8" s="134"/>
    </row>
    <row r="9" spans="1:9" ht="14.25" customHeight="1">
      <c r="A9" s="4624" t="s">
        <v>468</v>
      </c>
      <c r="B9" s="4625"/>
      <c r="C9" s="265" t="s">
        <v>467</v>
      </c>
      <c r="D9" s="264" t="s">
        <v>466</v>
      </c>
      <c r="E9" s="4632" t="s">
        <v>465</v>
      </c>
      <c r="F9" s="4633"/>
      <c r="G9" s="4634"/>
      <c r="H9" s="265" t="s">
        <v>464</v>
      </c>
    </row>
    <row r="10" spans="1:9" ht="14.25" customHeight="1">
      <c r="A10" s="4626"/>
      <c r="B10" s="4627"/>
      <c r="C10" s="261" t="s">
        <v>463</v>
      </c>
      <c r="D10" s="261">
        <v>2020</v>
      </c>
      <c r="E10" s="597" t="s">
        <v>462</v>
      </c>
      <c r="F10" s="597" t="s">
        <v>461</v>
      </c>
      <c r="G10" s="262" t="s">
        <v>244</v>
      </c>
      <c r="H10" s="262">
        <v>2022</v>
      </c>
    </row>
    <row r="11" spans="1:9" ht="14.25" customHeight="1">
      <c r="A11" s="4626"/>
      <c r="B11" s="4627"/>
      <c r="C11" s="260"/>
      <c r="D11" s="258" t="s">
        <v>460</v>
      </c>
      <c r="E11" s="258" t="s">
        <v>460</v>
      </c>
      <c r="F11" s="258" t="s">
        <v>459</v>
      </c>
      <c r="G11" s="259"/>
      <c r="H11" s="258" t="s">
        <v>458</v>
      </c>
    </row>
    <row r="12" spans="1:9" ht="17.100000000000001" customHeight="1">
      <c r="A12" s="537" t="s">
        <v>456</v>
      </c>
      <c r="B12" s="566"/>
      <c r="C12" s="195"/>
      <c r="D12" s="158"/>
      <c r="E12" s="158"/>
      <c r="F12" s="158"/>
      <c r="G12" s="157"/>
      <c r="H12" s="157"/>
      <c r="I12" s="344"/>
    </row>
    <row r="13" spans="1:9" ht="17.100000000000001" customHeight="1" outlineLevel="1">
      <c r="A13" s="565" t="s">
        <v>407</v>
      </c>
      <c r="B13" s="564"/>
      <c r="C13" s="563"/>
      <c r="D13" s="561">
        <f>SUM(D14:D28)</f>
        <v>735813.32000000007</v>
      </c>
      <c r="E13" s="561">
        <f>SUM(E14:E28)</f>
        <v>334609.34999999998</v>
      </c>
      <c r="F13" s="561">
        <f>SUM(F14:F28)</f>
        <v>505390.65</v>
      </c>
      <c r="G13" s="1890">
        <f>SUM(G14:G28)</f>
        <v>840000</v>
      </c>
      <c r="H13" s="1890">
        <f>SUM(H14:H28)</f>
        <v>840000</v>
      </c>
    </row>
    <row r="14" spans="1:9" s="347" customFormat="1" ht="20.65" customHeight="1" outlineLevel="1">
      <c r="A14" s="1889" t="s">
        <v>1513</v>
      </c>
      <c r="B14" s="148"/>
      <c r="C14" s="1888" t="s">
        <v>677</v>
      </c>
      <c r="D14" s="558"/>
      <c r="E14" s="158"/>
      <c r="F14" s="946"/>
      <c r="G14" s="1738"/>
      <c r="H14" s="1099"/>
      <c r="I14" s="349"/>
    </row>
    <row r="15" spans="1:9" s="347" customFormat="1" ht="20.65" customHeight="1" outlineLevel="1">
      <c r="A15" s="1815" t="s">
        <v>1335</v>
      </c>
      <c r="B15" s="1875"/>
      <c r="C15" s="548"/>
      <c r="D15" s="1874">
        <f>'[2]1151'!$E$14</f>
        <v>89291.37</v>
      </c>
      <c r="E15" s="493">
        <v>0</v>
      </c>
      <c r="F15" s="1873">
        <f>SUM(G15-E15)</f>
        <v>21000</v>
      </c>
      <c r="G15" s="1877">
        <v>21000</v>
      </c>
      <c r="H15" s="1884">
        <v>21000</v>
      </c>
      <c r="I15" s="349"/>
    </row>
    <row r="16" spans="1:9" s="347" customFormat="1" ht="20.65" customHeight="1" outlineLevel="1">
      <c r="A16" s="1815" t="s">
        <v>404</v>
      </c>
      <c r="B16" s="1875"/>
      <c r="C16" s="548"/>
      <c r="D16" s="1874">
        <f>'[2]1151'!$E$15</f>
        <v>30900</v>
      </c>
      <c r="E16" s="493">
        <v>0</v>
      </c>
      <c r="F16" s="1873">
        <f>SUM(G16-E16)</f>
        <v>20000</v>
      </c>
      <c r="G16" s="1877">
        <v>20000</v>
      </c>
      <c r="H16" s="1876">
        <v>20000</v>
      </c>
      <c r="I16" s="349"/>
    </row>
    <row r="17" spans="1:13" s="347" customFormat="1" ht="20.65" customHeight="1" outlineLevel="1">
      <c r="A17" s="1815" t="s">
        <v>402</v>
      </c>
      <c r="B17" s="1875"/>
      <c r="C17" s="160"/>
      <c r="D17" s="493">
        <f>'[2]1151'!$E$16:$E$16</f>
        <v>66006.849999999991</v>
      </c>
      <c r="E17" s="493">
        <v>23229.75</v>
      </c>
      <c r="F17" s="1873">
        <f>SUM(G17-E17)</f>
        <v>31770.25</v>
      </c>
      <c r="G17" s="1877">
        <v>55000</v>
      </c>
      <c r="H17" s="1876">
        <v>55000</v>
      </c>
      <c r="I17" s="349"/>
    </row>
    <row r="18" spans="1:13" s="347" customFormat="1" ht="20.65" customHeight="1" outlineLevel="1">
      <c r="A18" s="1815" t="s">
        <v>572</v>
      </c>
      <c r="B18" s="1875"/>
      <c r="C18" s="548"/>
      <c r="D18" s="1874"/>
      <c r="E18" s="493"/>
      <c r="F18" s="1887"/>
      <c r="G18" s="1877"/>
      <c r="H18" s="1876"/>
      <c r="I18" s="349"/>
    </row>
    <row r="19" spans="1:13" s="347" customFormat="1" ht="20.65" customHeight="1" outlineLevel="1">
      <c r="A19" s="1653"/>
      <c r="B19" s="1652" t="s">
        <v>1512</v>
      </c>
      <c r="C19" s="548"/>
      <c r="D19" s="1874">
        <f>'[2]1151'!$E$17</f>
        <v>0</v>
      </c>
      <c r="E19" s="218">
        <v>0</v>
      </c>
      <c r="F19" s="1873">
        <f>SUM(G19-E19)</f>
        <v>2000</v>
      </c>
      <c r="G19" s="1886">
        <v>2000</v>
      </c>
      <c r="H19" s="1876">
        <v>2000</v>
      </c>
      <c r="I19" s="349"/>
    </row>
    <row r="20" spans="1:13" s="347" customFormat="1" ht="20.65" customHeight="1" outlineLevel="1">
      <c r="A20" s="1815" t="s">
        <v>878</v>
      </c>
      <c r="B20" s="1875"/>
      <c r="C20" s="548"/>
      <c r="D20" s="1874">
        <f>'[2]1151'!$E$18</f>
        <v>0</v>
      </c>
      <c r="E20" s="493">
        <v>0</v>
      </c>
      <c r="F20" s="1873">
        <f>SUM(G20-E20)</f>
        <v>2000</v>
      </c>
      <c r="G20" s="1877">
        <v>2000</v>
      </c>
      <c r="H20" s="1876">
        <v>2000</v>
      </c>
      <c r="I20" s="349"/>
      <c r="J20" s="1885"/>
      <c r="K20" s="1878"/>
      <c r="L20" s="1878"/>
      <c r="M20" s="1878"/>
    </row>
    <row r="21" spans="1:13" s="347" customFormat="1" ht="20.65" customHeight="1" outlineLevel="1">
      <c r="A21" s="1815" t="s">
        <v>699</v>
      </c>
      <c r="B21" s="1875"/>
      <c r="C21" s="548"/>
      <c r="D21" s="1874">
        <f>'[2]1151'!$E$19</f>
        <v>11234.95</v>
      </c>
      <c r="E21" s="493">
        <v>3310.64</v>
      </c>
      <c r="F21" s="1873">
        <f>SUM(G21-E21)</f>
        <v>16689.36</v>
      </c>
      <c r="G21" s="1877">
        <v>20000</v>
      </c>
      <c r="H21" s="1876">
        <v>20000</v>
      </c>
      <c r="I21" s="349"/>
      <c r="J21" s="1879"/>
      <c r="K21" s="1885"/>
      <c r="L21" s="1885"/>
      <c r="M21" s="1885"/>
    </row>
    <row r="22" spans="1:13" s="347" customFormat="1" ht="20.65" customHeight="1" outlineLevel="1">
      <c r="A22" s="1651" t="s">
        <v>698</v>
      </c>
      <c r="B22" s="1875"/>
      <c r="C22" s="548"/>
      <c r="D22" s="1874">
        <f>'[2]1151'!$E$20</f>
        <v>46966.76</v>
      </c>
      <c r="E22" s="493">
        <v>23068.959999999999</v>
      </c>
      <c r="F22" s="1873">
        <f>SUM(G22-E22)</f>
        <v>86931.040000000008</v>
      </c>
      <c r="G22" s="1877">
        <v>110000</v>
      </c>
      <c r="H22" s="1876">
        <v>110000</v>
      </c>
      <c r="I22" s="349"/>
      <c r="J22" s="1882">
        <v>26872.14</v>
      </c>
      <c r="K22" s="1879"/>
      <c r="L22" s="1881"/>
      <c r="M22" s="1058"/>
    </row>
    <row r="23" spans="1:13" s="347" customFormat="1" ht="20.65" customHeight="1" outlineLevel="1">
      <c r="A23" s="1651" t="s">
        <v>952</v>
      </c>
      <c r="B23" s="1875"/>
      <c r="C23" s="548"/>
      <c r="D23" s="1874">
        <f>'[2]1151'!$E$21</f>
        <v>480013.39</v>
      </c>
      <c r="E23" s="493">
        <v>285000</v>
      </c>
      <c r="F23" s="1873">
        <f>SUM(G23-E23)</f>
        <v>315000</v>
      </c>
      <c r="G23" s="1877">
        <v>600000</v>
      </c>
      <c r="H23" s="1884">
        <f>M31</f>
        <v>600000</v>
      </c>
      <c r="I23" s="349"/>
      <c r="J23" s="1883">
        <f>SUM(J22-E22)</f>
        <v>3803.1800000000003</v>
      </c>
      <c r="K23" s="1879"/>
      <c r="L23" s="1881"/>
      <c r="M23" s="1058"/>
    </row>
    <row r="24" spans="1:13" s="347" customFormat="1" ht="20.65" customHeight="1" outlineLevel="1">
      <c r="A24" s="1815" t="s">
        <v>1328</v>
      </c>
      <c r="B24" s="1875"/>
      <c r="C24" s="548"/>
      <c r="D24" s="1874"/>
      <c r="E24" s="493"/>
      <c r="F24" s="1873"/>
      <c r="G24" s="1877"/>
      <c r="H24" s="1876"/>
      <c r="I24" s="349"/>
      <c r="J24" s="1882"/>
      <c r="K24" s="1879"/>
      <c r="L24" s="1881"/>
      <c r="M24" s="1058"/>
    </row>
    <row r="25" spans="1:13" s="347" customFormat="1" ht="20.65" customHeight="1" outlineLevel="1">
      <c r="A25" s="1653"/>
      <c r="B25" s="1652" t="s">
        <v>381</v>
      </c>
      <c r="C25" s="548"/>
      <c r="D25" s="1874">
        <f>'[2]1151'!$E$22</f>
        <v>11400</v>
      </c>
      <c r="E25" s="493">
        <v>0</v>
      </c>
      <c r="F25" s="1873">
        <f>SUM(G25-E25)</f>
        <v>3000</v>
      </c>
      <c r="G25" s="1877">
        <v>3000</v>
      </c>
      <c r="H25" s="1876">
        <v>3000</v>
      </c>
      <c r="I25" s="349"/>
      <c r="J25" s="1880"/>
      <c r="K25" s="1879"/>
      <c r="L25" s="1881"/>
      <c r="M25" s="1878"/>
    </row>
    <row r="26" spans="1:13" s="347" customFormat="1" ht="20.65" customHeight="1" outlineLevel="1">
      <c r="A26" s="1815" t="s">
        <v>1328</v>
      </c>
      <c r="B26" s="1875"/>
      <c r="C26" s="548"/>
      <c r="D26" s="1874"/>
      <c r="E26" s="493"/>
      <c r="F26" s="1873"/>
      <c r="G26" s="1877"/>
      <c r="H26" s="1876"/>
      <c r="I26" s="349"/>
      <c r="J26" s="1880"/>
      <c r="K26" s="1879"/>
      <c r="L26" s="1058"/>
      <c r="M26" s="1878"/>
    </row>
    <row r="27" spans="1:13" s="347" customFormat="1" ht="20.65" customHeight="1" outlineLevel="1">
      <c r="A27" s="1653"/>
      <c r="B27" s="1652" t="s">
        <v>386</v>
      </c>
      <c r="C27" s="548"/>
      <c r="D27" s="1874">
        <f>'[2]1151'!$E$23</f>
        <v>0</v>
      </c>
      <c r="E27" s="493">
        <v>0</v>
      </c>
      <c r="F27" s="1873">
        <f>SUM(G27-E27)</f>
        <v>5000</v>
      </c>
      <c r="G27" s="1877">
        <v>5000</v>
      </c>
      <c r="H27" s="1876">
        <v>5000</v>
      </c>
      <c r="I27" s="349"/>
      <c r="J27" s="1818"/>
      <c r="K27" s="1823" t="s">
        <v>1331</v>
      </c>
      <c r="L27" s="1823"/>
      <c r="M27" s="1823"/>
    </row>
    <row r="28" spans="1:13" s="347" customFormat="1" ht="20.65" customHeight="1" outlineLevel="1">
      <c r="A28" s="1815" t="s">
        <v>1511</v>
      </c>
      <c r="B28" s="1875"/>
      <c r="C28" s="548"/>
      <c r="D28" s="1874">
        <f>'[2]1151'!$E$24</f>
        <v>0</v>
      </c>
      <c r="E28" s="493">
        <v>0</v>
      </c>
      <c r="F28" s="1873">
        <f>SUM(G28-E28)</f>
        <v>2000</v>
      </c>
      <c r="G28" s="1872">
        <v>2000</v>
      </c>
      <c r="H28" s="1871">
        <v>2000</v>
      </c>
      <c r="I28" s="349"/>
      <c r="J28" s="1822" t="s">
        <v>1330</v>
      </c>
      <c r="K28" s="1818">
        <v>10000</v>
      </c>
      <c r="L28" s="1821">
        <v>3</v>
      </c>
      <c r="M28" s="1817">
        <f>SUM(K28*L28)</f>
        <v>30000</v>
      </c>
    </row>
    <row r="29" spans="1:13" ht="20.100000000000001" customHeight="1" outlineLevel="2" thickBot="1">
      <c r="A29" s="4778" t="s">
        <v>366</v>
      </c>
      <c r="B29" s="4779"/>
      <c r="C29" s="4780"/>
      <c r="D29" s="456">
        <f>SUM(D15:D28)</f>
        <v>735813.32000000007</v>
      </c>
      <c r="E29" s="456">
        <f>SUM(E15:E28)</f>
        <v>334609.34999999998</v>
      </c>
      <c r="F29" s="456">
        <f>SUM(F15:F28)</f>
        <v>505390.65</v>
      </c>
      <c r="G29" s="456">
        <f>SUM(G15:G28)</f>
        <v>840000</v>
      </c>
      <c r="H29" s="1067">
        <f>SUM(H15:H28)</f>
        <v>840000</v>
      </c>
      <c r="I29" s="1870" t="s">
        <v>872</v>
      </c>
      <c r="J29" s="1822" t="s">
        <v>1329</v>
      </c>
      <c r="K29" s="1818">
        <v>5000</v>
      </c>
      <c r="L29" s="1821">
        <v>4</v>
      </c>
      <c r="M29" s="1817">
        <f>SUM(K29*L29)</f>
        <v>20000</v>
      </c>
    </row>
    <row r="30" spans="1:13" ht="25.15" customHeight="1" thickTop="1">
      <c r="A30" s="134" t="s">
        <v>364</v>
      </c>
      <c r="C30" s="141" t="s">
        <v>363</v>
      </c>
      <c r="F30" s="544" t="s">
        <v>661</v>
      </c>
      <c r="G30" s="134"/>
      <c r="H30" s="1869"/>
      <c r="J30" s="1868"/>
      <c r="K30" s="1818"/>
      <c r="L30" s="1821" t="s">
        <v>1327</v>
      </c>
      <c r="M30" s="1820">
        <f>SUM(M28:M29)</f>
        <v>50000</v>
      </c>
    </row>
    <row r="31" spans="1:13" ht="25.15" customHeight="1" thickBot="1">
      <c r="A31" s="134"/>
      <c r="C31" s="141"/>
      <c r="F31" s="544"/>
      <c r="G31" s="134"/>
      <c r="J31" s="1868"/>
      <c r="K31" s="1818"/>
      <c r="L31" s="1817" t="s">
        <v>1326</v>
      </c>
      <c r="M31" s="1816">
        <f>SUM(M30*12)</f>
        <v>600000</v>
      </c>
    </row>
    <row r="32" spans="1:13" s="134" customFormat="1" ht="18" customHeight="1" thickTop="1">
      <c r="A32" s="1640" t="s">
        <v>1510</v>
      </c>
      <c r="C32" s="4635" t="s">
        <v>360</v>
      </c>
      <c r="D32" s="4635"/>
      <c r="F32" s="4630" t="s">
        <v>359</v>
      </c>
      <c r="G32" s="4630"/>
      <c r="H32" s="541"/>
    </row>
    <row r="33" spans="1:12" s="135" customFormat="1" ht="13.5">
      <c r="A33" s="576" t="s">
        <v>1509</v>
      </c>
      <c r="C33" s="4655" t="s">
        <v>357</v>
      </c>
      <c r="D33" s="4655"/>
      <c r="F33" s="4623" t="s">
        <v>356</v>
      </c>
      <c r="G33" s="4623"/>
      <c r="H33" s="540"/>
      <c r="I33" s="136"/>
      <c r="K33" s="576"/>
      <c r="L33" s="576"/>
    </row>
    <row r="34" spans="1:12" s="135" customFormat="1" ht="13.5">
      <c r="B34" s="136"/>
      <c r="C34" s="4621"/>
      <c r="D34" s="4621"/>
      <c r="E34" s="137"/>
      <c r="F34" s="137"/>
      <c r="G34" s="137"/>
      <c r="H34" s="137"/>
      <c r="I34" s="136"/>
    </row>
    <row r="35" spans="1:12" s="135" customFormat="1" ht="12.75">
      <c r="B35" s="136"/>
      <c r="D35" s="137"/>
      <c r="E35" s="137"/>
      <c r="F35" s="137"/>
      <c r="G35" s="137"/>
      <c r="H35" s="137"/>
      <c r="I35" s="136"/>
    </row>
    <row r="36" spans="1:12" s="135" customFormat="1" ht="12.75">
      <c r="F36" s="137"/>
      <c r="G36" s="137"/>
      <c r="H36" s="137"/>
      <c r="I36" s="136"/>
    </row>
    <row r="37" spans="1:12" s="135" customFormat="1" ht="12.75">
      <c r="F37" s="137"/>
      <c r="G37" s="137"/>
      <c r="H37" s="137"/>
      <c r="I37" s="136"/>
    </row>
    <row r="38" spans="1:12" s="135" customFormat="1" ht="12.75">
      <c r="F38" s="137"/>
      <c r="G38" s="137"/>
      <c r="H38" s="137"/>
      <c r="I38" s="136"/>
    </row>
    <row r="39" spans="1:12" s="135" customFormat="1" ht="12.75">
      <c r="F39" s="137"/>
      <c r="G39" s="137"/>
      <c r="H39" s="137"/>
      <c r="I39" s="136"/>
    </row>
    <row r="40" spans="1:12" s="135" customFormat="1" ht="12.75">
      <c r="B40" s="136"/>
      <c r="C40" s="1867"/>
      <c r="D40" s="1867"/>
      <c r="E40" s="1867"/>
      <c r="F40" s="137"/>
      <c r="G40" s="137"/>
      <c r="H40" s="137"/>
      <c r="I40" s="136"/>
    </row>
    <row r="41" spans="1:12" s="135" customFormat="1" ht="12.75">
      <c r="B41" s="136"/>
      <c r="D41" s="137"/>
      <c r="E41" s="137"/>
      <c r="F41" s="137"/>
      <c r="G41" s="137"/>
      <c r="H41" s="137"/>
      <c r="I41" s="136"/>
    </row>
    <row r="42" spans="1:12" s="135" customFormat="1" ht="12.75">
      <c r="B42" s="136"/>
      <c r="D42" s="137"/>
      <c r="E42" s="137"/>
      <c r="F42" s="137"/>
      <c r="G42" s="137"/>
      <c r="H42" s="137"/>
      <c r="I42" s="136"/>
    </row>
  </sheetData>
  <mergeCells count="10">
    <mergeCell ref="C34:D34"/>
    <mergeCell ref="C33:D33"/>
    <mergeCell ref="F33:G33"/>
    <mergeCell ref="A9:B11"/>
    <mergeCell ref="A4:H4"/>
    <mergeCell ref="A5:H5"/>
    <mergeCell ref="E9:G9"/>
    <mergeCell ref="A29:C29"/>
    <mergeCell ref="C32:D32"/>
    <mergeCell ref="F32:G32"/>
  </mergeCells>
  <pageMargins left="0.5" right="0" top="0.25" bottom="0" header="0.5" footer="0"/>
  <pageSetup paperSize="5" orientation="portrait"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HL409"/>
  <sheetViews>
    <sheetView showGridLines="0" showOutlineSymbols="0" topLeftCell="A91" zoomScaleNormal="100" workbookViewId="0">
      <selection activeCell="F29" sqref="F29"/>
    </sheetView>
  </sheetViews>
  <sheetFormatPr defaultColWidth="12.5703125" defaultRowHeight="12.75" outlineLevelRow="1" outlineLevelCol="2"/>
  <cols>
    <col min="1" max="2" width="10.7109375" style="1" customWidth="1"/>
    <col min="3" max="3" width="29.7109375" style="1" customWidth="1"/>
    <col min="4" max="4" width="32.140625" style="1" customWidth="1"/>
    <col min="5" max="5" width="10.7109375" style="4" customWidth="1"/>
    <col min="6" max="6" width="15.7109375" style="1" customWidth="1" outlineLevel="1"/>
    <col min="7" max="7" width="10.7109375" style="1" customWidth="1" outlineLevel="1"/>
    <col min="8" max="8" width="15.7109375" style="1" customWidth="1" outlineLevel="1"/>
    <col min="9" max="9" width="13.28515625" style="1" customWidth="1" outlineLevel="1"/>
    <col min="10" max="10" width="10.140625" style="3" hidden="1" customWidth="1" outlineLevel="1"/>
    <col min="11" max="11" width="13" style="3" hidden="1" customWidth="1" outlineLevel="1"/>
    <col min="12" max="12" width="13.85546875" style="1" hidden="1" customWidth="1" outlineLevel="1"/>
    <col min="13" max="13" width="12" style="1" hidden="1" customWidth="1" outlineLevel="1"/>
    <col min="14" max="14" width="13.5703125" style="1" hidden="1" customWidth="1" outlineLevel="1"/>
    <col min="15" max="15" width="13.28515625" style="1" hidden="1" customWidth="1" outlineLevel="1"/>
    <col min="16" max="16" width="0" style="1" hidden="1" customWidth="1"/>
    <col min="17" max="17" width="13.85546875" style="1" hidden="1" customWidth="1"/>
    <col min="18" max="19" width="0" style="1" hidden="1" customWidth="1"/>
    <col min="20" max="20" width="3.5703125" style="1" hidden="1" customWidth="1"/>
    <col min="21" max="33" width="0" style="1" hidden="1" customWidth="1"/>
    <col min="34" max="100" width="12.5703125" style="1"/>
    <col min="101" max="104" width="12.5703125" style="1" outlineLevel="1"/>
    <col min="105" max="110" width="12.5703125" style="1" outlineLevel="2"/>
    <col min="111" max="113" width="12.5703125" style="1" outlineLevel="1"/>
    <col min="114" max="16384" width="12.5703125" style="1"/>
  </cols>
  <sheetData>
    <row r="1" spans="1:19">
      <c r="H1" s="133" t="s">
        <v>355</v>
      </c>
    </row>
    <row r="2" spans="1:19" ht="12.75" customHeight="1">
      <c r="H2" s="132" t="s">
        <v>354</v>
      </c>
    </row>
    <row r="3" spans="1:19" ht="15" customHeight="1">
      <c r="A3" s="4615" t="s">
        <v>353</v>
      </c>
      <c r="B3" s="4615"/>
      <c r="C3" s="4615"/>
      <c r="D3" s="4615"/>
      <c r="E3" s="4615"/>
      <c r="F3" s="4615"/>
      <c r="G3" s="4615"/>
      <c r="H3" s="4615"/>
      <c r="I3" s="4615"/>
      <c r="J3" s="131"/>
      <c r="K3" s="131"/>
      <c r="L3" s="335"/>
      <c r="M3" s="335"/>
      <c r="N3" s="335"/>
      <c r="O3" s="335"/>
      <c r="P3" s="921" t="s">
        <v>1652</v>
      </c>
    </row>
    <row r="4" spans="1:19" s="3" customFormat="1" ht="16.5" customHeight="1">
      <c r="A4" s="4616" t="s">
        <v>352</v>
      </c>
      <c r="B4" s="4616"/>
      <c r="C4" s="4616"/>
      <c r="D4" s="4616"/>
      <c r="E4" s="4616"/>
      <c r="F4" s="4616"/>
      <c r="G4" s="4616"/>
      <c r="H4" s="4616"/>
      <c r="I4" s="4616"/>
      <c r="J4" s="130"/>
      <c r="K4" s="130"/>
      <c r="L4" s="130"/>
      <c r="M4" s="130"/>
      <c r="N4" s="130"/>
      <c r="O4" s="130"/>
      <c r="P4" s="1159"/>
      <c r="Q4" s="1968"/>
    </row>
    <row r="5" spans="1:19" ht="13.5" customHeight="1">
      <c r="A5" s="4617" t="s">
        <v>351</v>
      </c>
      <c r="B5" s="4617"/>
      <c r="C5" s="4617"/>
      <c r="D5" s="4617"/>
      <c r="E5" s="4617"/>
      <c r="F5" s="4617"/>
      <c r="G5" s="4617"/>
      <c r="H5" s="4617"/>
      <c r="I5" s="4617"/>
      <c r="J5" s="129"/>
      <c r="K5" s="129"/>
      <c r="L5" s="334"/>
      <c r="N5" s="334"/>
      <c r="O5" s="334"/>
      <c r="P5" s="1159"/>
      <c r="Q5" s="1968"/>
    </row>
    <row r="6" spans="1:19" s="3" customFormat="1" ht="13.9" customHeight="1">
      <c r="A6" s="126"/>
      <c r="B6" s="128"/>
      <c r="D6" s="127"/>
      <c r="E6" s="5"/>
      <c r="G6" s="4618"/>
      <c r="H6" s="4618"/>
      <c r="I6" s="126"/>
      <c r="J6" s="4618"/>
      <c r="K6" s="4618"/>
      <c r="L6" s="126"/>
      <c r="M6" s="1972"/>
      <c r="N6" s="126"/>
      <c r="O6" s="126"/>
      <c r="P6" s="1151"/>
      <c r="Q6" s="1971"/>
    </row>
    <row r="7" spans="1:19" ht="13.5" customHeight="1">
      <c r="A7" s="123"/>
      <c r="B7" s="125"/>
      <c r="C7" s="124"/>
      <c r="D7" s="123"/>
      <c r="E7" s="4619" t="s">
        <v>348</v>
      </c>
      <c r="F7" s="4620"/>
      <c r="G7" s="4619" t="s">
        <v>347</v>
      </c>
      <c r="H7" s="4620"/>
      <c r="I7" s="115"/>
      <c r="J7" s="4607" t="s">
        <v>347</v>
      </c>
      <c r="K7" s="4608"/>
      <c r="L7" s="331"/>
      <c r="M7" s="1970" t="s">
        <v>1651</v>
      </c>
      <c r="N7" s="331"/>
      <c r="O7" s="331"/>
      <c r="P7" s="1159"/>
      <c r="Q7" s="1968"/>
    </row>
    <row r="8" spans="1:19" ht="13.5" customHeight="1">
      <c r="A8" s="122"/>
      <c r="B8" s="121"/>
      <c r="C8" s="120"/>
      <c r="D8" s="119"/>
      <c r="E8" s="4604" t="s">
        <v>346</v>
      </c>
      <c r="F8" s="4605"/>
      <c r="G8" s="4604" t="s">
        <v>345</v>
      </c>
      <c r="H8" s="4605"/>
      <c r="I8" s="114"/>
      <c r="J8" s="4609" t="s">
        <v>345</v>
      </c>
      <c r="K8" s="4610"/>
      <c r="L8" s="331"/>
      <c r="M8" s="331"/>
      <c r="N8" s="331"/>
      <c r="O8" s="331"/>
      <c r="P8" s="1159"/>
      <c r="Q8" s="1968"/>
    </row>
    <row r="9" spans="1:19" ht="13.5" customHeight="1">
      <c r="A9" s="122"/>
      <c r="B9" s="121"/>
      <c r="C9" s="120"/>
      <c r="D9" s="119"/>
      <c r="E9" s="4604" t="s">
        <v>344</v>
      </c>
      <c r="F9" s="4605"/>
      <c r="G9" s="4604" t="s">
        <v>344</v>
      </c>
      <c r="H9" s="4605"/>
      <c r="I9" s="114"/>
      <c r="J9" s="4609" t="s">
        <v>344</v>
      </c>
      <c r="K9" s="4610"/>
      <c r="L9" s="331"/>
      <c r="M9" s="331"/>
      <c r="N9" s="331"/>
      <c r="O9" s="331"/>
      <c r="P9" s="1969"/>
      <c r="Q9" s="1968"/>
      <c r="R9" s="1967"/>
      <c r="S9" s="1967"/>
    </row>
    <row r="10" spans="1:19" ht="13.5" customHeight="1">
      <c r="A10" s="4604" t="s">
        <v>343</v>
      </c>
      <c r="B10" s="4605"/>
      <c r="C10" s="114" t="s">
        <v>342</v>
      </c>
      <c r="D10" s="112" t="s">
        <v>341</v>
      </c>
      <c r="E10" s="113" t="s">
        <v>339</v>
      </c>
      <c r="F10" s="118"/>
      <c r="G10" s="113" t="s">
        <v>339</v>
      </c>
      <c r="H10" s="118"/>
      <c r="I10" s="114" t="s">
        <v>340</v>
      </c>
      <c r="J10" s="110" t="s">
        <v>339</v>
      </c>
      <c r="K10" s="1966"/>
      <c r="L10" s="4783"/>
      <c r="M10" s="4783"/>
      <c r="N10" s="4783"/>
      <c r="O10" s="4783"/>
      <c r="R10" s="1965"/>
      <c r="S10" s="1965"/>
    </row>
    <row r="11" spans="1:19" ht="14.25" customHeight="1">
      <c r="A11" s="116" t="s">
        <v>337</v>
      </c>
      <c r="B11" s="115" t="s">
        <v>336</v>
      </c>
      <c r="C11" s="114"/>
      <c r="D11" s="112"/>
      <c r="E11" s="113" t="s">
        <v>334</v>
      </c>
      <c r="F11" s="112" t="s">
        <v>333</v>
      </c>
      <c r="G11" s="113" t="s">
        <v>334</v>
      </c>
      <c r="H11" s="112" t="s">
        <v>333</v>
      </c>
      <c r="I11" s="111" t="s">
        <v>335</v>
      </c>
      <c r="J11" s="110" t="s">
        <v>334</v>
      </c>
      <c r="K11" s="109" t="s">
        <v>333</v>
      </c>
      <c r="L11" s="4787"/>
      <c r="M11" s="4788"/>
      <c r="N11" s="4788"/>
      <c r="O11" s="4789"/>
      <c r="P11" s="4784" t="s">
        <v>1650</v>
      </c>
      <c r="Q11" s="4785"/>
      <c r="R11" s="4785"/>
      <c r="S11" s="4786"/>
    </row>
    <row r="12" spans="1:19" s="99" customFormat="1" ht="14.25" customHeight="1">
      <c r="A12" s="107" t="s">
        <v>331</v>
      </c>
      <c r="B12" s="106" t="s">
        <v>330</v>
      </c>
      <c r="C12" s="330" t="s">
        <v>329</v>
      </c>
      <c r="D12" s="329" t="s">
        <v>328</v>
      </c>
      <c r="E12" s="329" t="s">
        <v>327</v>
      </c>
      <c r="F12" s="330" t="s">
        <v>326</v>
      </c>
      <c r="G12" s="105" t="s">
        <v>324</v>
      </c>
      <c r="H12" s="106" t="s">
        <v>323</v>
      </c>
      <c r="I12" s="329" t="s">
        <v>325</v>
      </c>
      <c r="J12" s="104" t="s">
        <v>324</v>
      </c>
      <c r="K12" s="103" t="s">
        <v>323</v>
      </c>
      <c r="L12" s="1964" t="s">
        <v>322</v>
      </c>
      <c r="M12" s="1963" t="s">
        <v>321</v>
      </c>
      <c r="N12" s="1962" t="s">
        <v>1649</v>
      </c>
      <c r="O12" s="1962" t="s">
        <v>1648</v>
      </c>
      <c r="P12" s="1961" t="s">
        <v>1649</v>
      </c>
      <c r="Q12" s="1960" t="s">
        <v>321</v>
      </c>
      <c r="R12" s="1959" t="s">
        <v>1649</v>
      </c>
      <c r="S12" s="1958" t="s">
        <v>1648</v>
      </c>
    </row>
    <row r="13" spans="1:19" s="3" customFormat="1" ht="13.15" customHeight="1" outlineLevel="1">
      <c r="A13" s="65" t="s">
        <v>320</v>
      </c>
      <c r="B13" s="65" t="s">
        <v>320</v>
      </c>
      <c r="C13" s="1957" t="s">
        <v>1647</v>
      </c>
      <c r="D13" s="1956" t="s">
        <v>1646</v>
      </c>
      <c r="E13" s="1953" t="s">
        <v>43</v>
      </c>
      <c r="F13" s="1955">
        <f>IF(E13="ABOLISHED",0, (VLOOKUP(E13,$A$126:$B$365,2,FALSE)*12))</f>
        <v>1266024</v>
      </c>
      <c r="G13" s="1953" t="s">
        <v>43</v>
      </c>
      <c r="H13" s="1955">
        <f>IF(G13="ABOLISHED",0, (VLOOKUP(G13,$A$126:$B$365,2,FALSE)*12))</f>
        <v>1266024</v>
      </c>
      <c r="I13" s="1954">
        <f>SUM(H13-F13)</f>
        <v>0</v>
      </c>
      <c r="J13" s="1953" t="s">
        <v>43</v>
      </c>
      <c r="K13" s="1952">
        <f>IF(J13="ABOLISHED",0,(VLOOKUP(J13,$A$126:$C$365,3,FALSE)*12))</f>
        <v>1266024</v>
      </c>
      <c r="L13" s="3">
        <f>SUM(H13/12)</f>
        <v>105502</v>
      </c>
      <c r="M13" s="1951">
        <f>IF(L13&gt;=80000,1600,SUM(L13*4%)/2)</f>
        <v>1600</v>
      </c>
      <c r="N13" s="3">
        <f>L13</f>
        <v>105502</v>
      </c>
      <c r="O13" s="66">
        <f>IF(J13="ABOLISHED",0,IF(INT(LEFT(J13,LEN(J13)-2))&lt;=19,N13*0.25,IF(INT(LEFT(J13,LEN(J13)-2))=20,N13*0.15,IF(INT(LEFT(J13,LEN(J13)-2))=21,N13*0.13,IF(INT(LEFT(J13,LEN(J13)-2))=22,N13*0.12,IF(INT(LEFT(J13,LEN(J13)-2))=23,N13*0.11,IF(INT(LEFT(J13,LEN(J13)-2))&gt;=24,N13*0.1)))))))</f>
        <v>10550.2</v>
      </c>
      <c r="P13" s="3">
        <f>SUM(K13/12)</f>
        <v>105502</v>
      </c>
      <c r="Q13" s="1951">
        <f>IF(P13&gt;=80000,1600,SUM(P13*4%)/2)</f>
        <v>1600</v>
      </c>
      <c r="R13" s="3">
        <f>P13</f>
        <v>105502</v>
      </c>
      <c r="S13" s="66">
        <f>IF(J13="ABOLISHED",0,IF(INT(LEFT(J13,LEN(J13)-2))&lt;=19,R13*0.25,IF(INT(LEFT(J13,LEN(J13)-2))=20,R13*0.15,IF(INT(LEFT(J13,LEN(J13)-2))=21,R13*0.13,IF(INT(LEFT(J13,LEN(J13)-2))=22,R13*0.12,IF(INT(LEFT(J13,LEN(J13)-2))=23,R13*0.11,IF(INT(LEFT(J13,LEN(J13)-2))&gt;=24,R13*0.1)))))))</f>
        <v>10550.2</v>
      </c>
    </row>
    <row r="14" spans="1:19" s="3" customFormat="1" ht="13.15" customHeight="1" outlineLevel="1">
      <c r="A14" s="84"/>
      <c r="B14" s="84"/>
      <c r="C14" s="1941" t="s">
        <v>1645</v>
      </c>
      <c r="D14" s="1935"/>
      <c r="E14" s="1942"/>
      <c r="F14" s="1940" t="s">
        <v>256</v>
      </c>
      <c r="G14" s="1942"/>
      <c r="H14" s="1940" t="s">
        <v>256</v>
      </c>
      <c r="I14" s="301"/>
      <c r="J14" s="1942"/>
      <c r="K14" s="1927" t="s">
        <v>256</v>
      </c>
      <c r="M14" s="66" t="s">
        <v>256</v>
      </c>
      <c r="N14" s="3" t="s">
        <v>256</v>
      </c>
      <c r="O14" s="66"/>
      <c r="Q14" s="66" t="s">
        <v>256</v>
      </c>
      <c r="S14" s="66" t="s">
        <v>256</v>
      </c>
    </row>
    <row r="15" spans="1:19" s="3" customFormat="1" ht="13.15" customHeight="1" outlineLevel="1">
      <c r="A15" s="84"/>
      <c r="B15" s="84"/>
      <c r="C15" s="1941" t="s">
        <v>1644</v>
      </c>
      <c r="D15" s="1935"/>
      <c r="E15" s="1942"/>
      <c r="F15" s="1940" t="s">
        <v>256</v>
      </c>
      <c r="G15" s="1942"/>
      <c r="H15" s="1940" t="s">
        <v>256</v>
      </c>
      <c r="I15" s="301"/>
      <c r="J15" s="1942"/>
      <c r="K15" s="1927" t="s">
        <v>256</v>
      </c>
      <c r="M15" s="66" t="s">
        <v>256</v>
      </c>
      <c r="O15" s="66"/>
      <c r="Q15" s="66" t="s">
        <v>256</v>
      </c>
      <c r="S15" s="66" t="s">
        <v>256</v>
      </c>
    </row>
    <row r="16" spans="1:19" s="3" customFormat="1" ht="13.15" customHeight="1" outlineLevel="1">
      <c r="A16" s="65" t="s">
        <v>314</v>
      </c>
      <c r="B16" s="65" t="s">
        <v>314</v>
      </c>
      <c r="C16" s="1945" t="s">
        <v>1643</v>
      </c>
      <c r="D16" s="1944" t="s">
        <v>1642</v>
      </c>
      <c r="E16" s="1943"/>
      <c r="F16" s="1930"/>
      <c r="G16" s="1943" t="s">
        <v>62</v>
      </c>
      <c r="H16" s="1930">
        <f>IF(G16="ABOLISHED",0, (VLOOKUP(G16,$A$126:$B$365,2,FALSE)*12))</f>
        <v>937332</v>
      </c>
      <c r="I16" s="1929">
        <f>SUM(H16-F16)</f>
        <v>937332</v>
      </c>
      <c r="J16" s="1943" t="s">
        <v>62</v>
      </c>
      <c r="K16" s="1927">
        <f>IF(J16="ABOLISHED",0,(VLOOKUP(J16,$A$126:$C$365,3,FALSE)*12))</f>
        <v>937332</v>
      </c>
      <c r="L16" s="3">
        <f>SUM(H16/12)</f>
        <v>78111</v>
      </c>
      <c r="M16" s="66">
        <f>IF(L16&gt;=80000,1600,SUM(L16*4%)/2)</f>
        <v>1562.22</v>
      </c>
      <c r="N16" s="3">
        <f>L16</f>
        <v>78111</v>
      </c>
      <c r="O16" s="66">
        <f>IF(J16="ABOLISHED",0,IF(INT(LEFT(J16,LEN(J16)-2))&lt;=19,N16*0.25,IF(INT(LEFT(J16,LEN(J16)-2))=20,N16*0.15,IF(INT(LEFT(J16,LEN(J16)-2))=21,N16*0.13,IF(INT(LEFT(J16,LEN(J16)-2))=22,N16*0.12,IF(INT(LEFT(J16,LEN(J16)-2))=23,N16*0.11,IF(INT(LEFT(J16,LEN(J16)-2))&gt;=24,N16*0.1)))))))</f>
        <v>8592.2100000000009</v>
      </c>
      <c r="P16" s="3">
        <f>SUM(K16/12)</f>
        <v>78111</v>
      </c>
      <c r="Q16" s="66">
        <f>IF(P16&gt;=80000,1600,SUM(P16*4%)/2)</f>
        <v>1562.22</v>
      </c>
      <c r="R16" s="3">
        <f>P16</f>
        <v>78111</v>
      </c>
      <c r="S16" s="66">
        <f>IF(J16="ABOLISHED",0,IF(INT(LEFT(J16,LEN(J16)-2))&lt;=19,R16*0.25,IF(INT(LEFT(J16,LEN(J16)-2))=20,R16*0.15,IF(INT(LEFT(J16,LEN(J16)-2))=21,R16*0.13,IF(INT(LEFT(J16,LEN(J16)-2))=22,R16*0.12,IF(INT(LEFT(J16,LEN(J16)-2))=23,R16*0.11,IF(INT(LEFT(J16,LEN(J16)-2))&gt;=24,R16*0.1)))))))</f>
        <v>8592.2100000000009</v>
      </c>
    </row>
    <row r="17" spans="1:21" s="3" customFormat="1" ht="13.15" customHeight="1" outlineLevel="1">
      <c r="A17" s="65" t="s">
        <v>314</v>
      </c>
      <c r="B17" s="65" t="s">
        <v>311</v>
      </c>
      <c r="C17" s="1945" t="s">
        <v>1640</v>
      </c>
      <c r="D17" s="1944" t="s">
        <v>1641</v>
      </c>
      <c r="E17" s="1943" t="s">
        <v>79</v>
      </c>
      <c r="F17" s="1930">
        <f>IF(E17="ABOLISHED",0, (VLOOKUP(E17,$A$126:$B$365,2,FALSE)*12))</f>
        <v>730812</v>
      </c>
      <c r="G17" s="1943" t="s">
        <v>79</v>
      </c>
      <c r="H17" s="1930">
        <f>IF(G17="ABOLISHED",0, (VLOOKUP(G17,$A$126:$B$365,2,FALSE)*12))</f>
        <v>730812</v>
      </c>
      <c r="I17" s="1929">
        <f>SUM(H17-F17)</f>
        <v>0</v>
      </c>
      <c r="J17" s="1943" t="s">
        <v>79</v>
      </c>
      <c r="K17" s="1927">
        <f>IF(J17="ABOLISHED",0,(VLOOKUP(J17,$A$126:$C$365,3,FALSE)*12))</f>
        <v>730812</v>
      </c>
      <c r="L17" s="3">
        <f>SUM(H17/12)</f>
        <v>60901</v>
      </c>
      <c r="M17" s="66">
        <f>IF(L17&gt;=80000,1600,SUM(L17*4%)/2)</f>
        <v>1218.02</v>
      </c>
      <c r="N17" s="3">
        <f>L17</f>
        <v>60901</v>
      </c>
      <c r="O17" s="66">
        <f>IF(J17="ABOLISHED",0,IF(INT(LEFT(J17,LEN(J17)-2))&lt;=19,N17*0.25,IF(INT(LEFT(J17,LEN(J17)-2))=20,N17*0.15,IF(INT(LEFT(J17,LEN(J17)-2))=21,N17*0.13,IF(INT(LEFT(J17,LEN(J17)-2))=22,N17*0.12,IF(INT(LEFT(J17,LEN(J17)-2))=23,N17*0.11,IF(INT(LEFT(J17,LEN(J17)-2))&gt;=24,N17*0.1)))))))</f>
        <v>7917.13</v>
      </c>
      <c r="P17" s="3">
        <f>SUM(K17/12)</f>
        <v>60901</v>
      </c>
      <c r="Q17" s="66">
        <f>IF(P17&gt;=80000,1600,SUM(P17*4%)/2)</f>
        <v>1218.02</v>
      </c>
      <c r="R17" s="3">
        <f>P17</f>
        <v>60901</v>
      </c>
      <c r="S17" s="66">
        <f>IF(J17="ABOLISHED",0,IF(INT(LEFT(J17,LEN(J17)-2))&lt;=19,R17*0.25,IF(INT(LEFT(J17,LEN(J17)-2))=20,R17*0.15,IF(INT(LEFT(J17,LEN(J17)-2))=21,R17*0.13,IF(INT(LEFT(J17,LEN(J17)-2))=22,R17*0.12,IF(INT(LEFT(J17,LEN(J17)-2))=23,R17*0.11,IF(INT(LEFT(J17,LEN(J17)-2))&gt;=24,R17*0.1)))))))</f>
        <v>7917.13</v>
      </c>
    </row>
    <row r="18" spans="1:21" s="3" customFormat="1" ht="13.15" customHeight="1" outlineLevel="1">
      <c r="A18" s="65" t="s">
        <v>1540</v>
      </c>
      <c r="B18" s="65" t="s">
        <v>307</v>
      </c>
      <c r="C18" s="1945" t="s">
        <v>1640</v>
      </c>
      <c r="D18" s="1944" t="s">
        <v>245</v>
      </c>
      <c r="E18" s="1943"/>
      <c r="F18" s="1930"/>
      <c r="G18" s="1943" t="s">
        <v>79</v>
      </c>
      <c r="H18" s="1930">
        <f>IF(G18="ABOLISHED",0, (VLOOKUP(G18,$A$126:$B$365,2,FALSE)*12))</f>
        <v>730812</v>
      </c>
      <c r="I18" s="1929">
        <f>SUM(H18-F18)</f>
        <v>730812</v>
      </c>
      <c r="J18" s="1943" t="s">
        <v>79</v>
      </c>
      <c r="K18" s="1927">
        <f>IF(J18="ABOLISHED",0,(VLOOKUP(J18,$A$126:$C$365,3,FALSE)*12))</f>
        <v>730812</v>
      </c>
      <c r="L18" s="3">
        <f>SUM(H18/12)</f>
        <v>60901</v>
      </c>
      <c r="M18" s="66">
        <f>IF(L18&gt;=80000,1600,SUM(L18*4%)/2)</f>
        <v>1218.02</v>
      </c>
      <c r="N18" s="3">
        <f>L18</f>
        <v>60901</v>
      </c>
      <c r="O18" s="66">
        <f>IF(J18="ABOLISHED",0,IF(INT(LEFT(J18,LEN(J18)-2))&lt;=19,N18*0.25,IF(INT(LEFT(J18,LEN(J18)-2))=20,N18*0.15,IF(INT(LEFT(J18,LEN(J18)-2))=21,N18*0.13,IF(INT(LEFT(J18,LEN(J18)-2))=22,N18*0.12,IF(INT(LEFT(J18,LEN(J18)-2))=23,N18*0.11,IF(INT(LEFT(J18,LEN(J18)-2))&gt;=24,N18*0.1)))))))</f>
        <v>7917.13</v>
      </c>
      <c r="P18" s="3">
        <f>SUM(K18/12)</f>
        <v>60901</v>
      </c>
      <c r="Q18" s="66">
        <f>IF(P18&gt;=80000,1600,SUM(P18*4%)/2)</f>
        <v>1218.02</v>
      </c>
      <c r="R18" s="3">
        <f>P18</f>
        <v>60901</v>
      </c>
      <c r="S18" s="66">
        <f>IF(J18="ABOLISHED",0,IF(INT(LEFT(J18,LEN(J18)-2))&lt;=19,R18*0.25,IF(INT(LEFT(J18,LEN(J18)-2))=20,R18*0.15,IF(INT(LEFT(J18,LEN(J18)-2))=21,R18*0.13,IF(INT(LEFT(J18,LEN(J18)-2))=22,R18*0.12,IF(INT(LEFT(J18,LEN(J18)-2))=23,R18*0.11,IF(INT(LEFT(J18,LEN(J18)-2))&gt;=24,R18*0.1)))))))</f>
        <v>7917.13</v>
      </c>
    </row>
    <row r="19" spans="1:21" s="3" customFormat="1" ht="13.15" customHeight="1" outlineLevel="1">
      <c r="A19" s="84"/>
      <c r="B19" s="84"/>
      <c r="C19" s="1941" t="s">
        <v>1639</v>
      </c>
      <c r="D19" s="1944"/>
      <c r="E19" s="1948"/>
      <c r="F19" s="1940" t="s">
        <v>256</v>
      </c>
      <c r="G19" s="1948"/>
      <c r="H19" s="1940" t="s">
        <v>256</v>
      </c>
      <c r="I19" s="1929"/>
      <c r="J19" s="1948"/>
      <c r="K19" s="1927" t="s">
        <v>256</v>
      </c>
      <c r="M19" s="66" t="s">
        <v>256</v>
      </c>
      <c r="O19" s="66" t="s">
        <v>256</v>
      </c>
      <c r="Q19" s="66" t="s">
        <v>256</v>
      </c>
      <c r="S19" s="66" t="s">
        <v>256</v>
      </c>
    </row>
    <row r="20" spans="1:21" s="3" customFormat="1" ht="13.15" customHeight="1" outlineLevel="1">
      <c r="A20" s="65" t="s">
        <v>311</v>
      </c>
      <c r="B20" s="65" t="s">
        <v>304</v>
      </c>
      <c r="C20" s="1936" t="s">
        <v>1638</v>
      </c>
      <c r="D20" s="1938" t="s">
        <v>1637</v>
      </c>
      <c r="E20" s="1928" t="s">
        <v>81</v>
      </c>
      <c r="F20" s="1930">
        <f>IF(E20="ABOLISHED",0, (VLOOKUP(E20,$A$126:$B$365,2,FALSE)*12))</f>
        <v>713628</v>
      </c>
      <c r="G20" s="1928" t="s">
        <v>81</v>
      </c>
      <c r="H20" s="1930">
        <f>IF(G20="ABOLISHED",0, (VLOOKUP(G20,$A$126:$B$365,2,FALSE)*12))</f>
        <v>713628</v>
      </c>
      <c r="I20" s="1929">
        <f>SUM(H20-F20)</f>
        <v>0</v>
      </c>
      <c r="J20" s="1928" t="s">
        <v>81</v>
      </c>
      <c r="K20" s="1927">
        <f>IF(J20="ABOLISHED",0,(VLOOKUP(J20,$A$126:$C$365,3,FALSE)*12))</f>
        <v>713628</v>
      </c>
      <c r="L20" s="3">
        <f>SUM(H20/12)</f>
        <v>59469</v>
      </c>
      <c r="M20" s="66">
        <f>IF(L20&gt;=80000,1600,SUM(L20*4%)/2)</f>
        <v>1189.3800000000001</v>
      </c>
      <c r="N20" s="3">
        <f>L20</f>
        <v>59469</v>
      </c>
      <c r="O20" s="66">
        <f>IF(J20="ABOLISHED",0,IF(INT(LEFT(J20,LEN(J20)-2))&lt;=19,N20*0.25,IF(INT(LEFT(J20,LEN(J20)-2))=20,N20*0.15,IF(INT(LEFT(J20,LEN(J20)-2))=21,N20*0.13,IF(INT(LEFT(J20,LEN(J20)-2))=22,N20*0.12,IF(INT(LEFT(J20,LEN(J20)-2))=23,N20*0.11,IF(INT(LEFT(J20,LEN(J20)-2))&gt;=24,N20*0.1)))))))</f>
        <v>8920.35</v>
      </c>
      <c r="P20" s="3">
        <f>SUM(K20/12)</f>
        <v>59469</v>
      </c>
      <c r="Q20" s="66">
        <f>IF(P20&gt;=80000,1600,SUM(P20*4%)/2)</f>
        <v>1189.3800000000001</v>
      </c>
      <c r="R20" s="3">
        <f>P20</f>
        <v>59469</v>
      </c>
      <c r="S20" s="66">
        <f>IF(J20="ABOLISHED",0,IF(INT(LEFT(J20,LEN(J20)-2))&lt;=19,R20*0.25,IF(INT(LEFT(J20,LEN(J20)-2))=20,R20*0.15,IF(INT(LEFT(J20,LEN(J20)-2))=21,R20*0.13,IF(INT(LEFT(J20,LEN(J20)-2))=22,R20*0.12,IF(INT(LEFT(J20,LEN(J20)-2))=23,R20*0.11,IF(INT(LEFT(J20,LEN(J20)-2))&gt;=24,R20*0.1)))))))</f>
        <v>8920.35</v>
      </c>
    </row>
    <row r="21" spans="1:21" s="3" customFormat="1" ht="13.15" customHeight="1" outlineLevel="1">
      <c r="A21" s="65" t="s">
        <v>307</v>
      </c>
      <c r="B21" s="65" t="s">
        <v>308</v>
      </c>
      <c r="C21" s="1936" t="s">
        <v>1636</v>
      </c>
      <c r="D21" s="1938" t="s">
        <v>1635</v>
      </c>
      <c r="E21" s="1928" t="s">
        <v>105</v>
      </c>
      <c r="F21" s="1930">
        <f>IF(E21="ABOLISHED",0, (VLOOKUP(E21,$A$126:$B$365,2,FALSE)*12))</f>
        <v>513816</v>
      </c>
      <c r="G21" s="1928" t="s">
        <v>105</v>
      </c>
      <c r="H21" s="1930">
        <f>IF(G21="ABOLISHED",0, (VLOOKUP(G21,$A$126:$B$365,2,FALSE)*12))</f>
        <v>513816</v>
      </c>
      <c r="I21" s="1929">
        <f>SUM(H21-F21)</f>
        <v>0</v>
      </c>
      <c r="J21" s="1928" t="s">
        <v>105</v>
      </c>
      <c r="K21" s="1927">
        <f>IF(J21="ABOLISHED",0,(VLOOKUP(J21,$A$126:$C$365,3,FALSE)*12))</f>
        <v>513816</v>
      </c>
      <c r="L21" s="3">
        <f>SUM(H21/12)</f>
        <v>42818</v>
      </c>
      <c r="M21" s="66">
        <f>IF(L21&gt;=80000,1600,SUM(L21*4%)/2)</f>
        <v>856.36</v>
      </c>
      <c r="N21" s="3">
        <f>L21</f>
        <v>42818</v>
      </c>
      <c r="O21" s="66">
        <f>IF(J21="ABOLISHED",0,IF(INT(LEFT(J21,LEN(J21)-2))&lt;=19,N21*0.25,IF(INT(LEFT(J21,LEN(J21)-2))=20,N21*0.15,IF(INT(LEFT(J21,LEN(J21)-2))=21,N21*0.13,IF(INT(LEFT(J21,LEN(J21)-2))=22,N21*0.12,IF(INT(LEFT(J21,LEN(J21)-2))=23,N21*0.11,IF(INT(LEFT(J21,LEN(J21)-2))&gt;=24,N21*0.1)))))))</f>
        <v>10704.5</v>
      </c>
      <c r="P21" s="3">
        <f>SUM(K21/12)</f>
        <v>42818</v>
      </c>
      <c r="Q21" s="66">
        <f>IF(P21&gt;=80000,1600,SUM(P21*4%)/2)</f>
        <v>856.36</v>
      </c>
      <c r="R21" s="3">
        <f>P21</f>
        <v>42818</v>
      </c>
      <c r="S21" s="66">
        <f>IF(J21="ABOLISHED",0,IF(INT(LEFT(J21,LEN(J21)-2))&lt;=19,R21*0.25,IF(INT(LEFT(J21,LEN(J21)-2))=20,R21*0.15,IF(INT(LEFT(J21,LEN(J21)-2))=21,R21*0.13,IF(INT(LEFT(J21,LEN(J21)-2))=22,R21*0.12,IF(INT(LEFT(J21,LEN(J21)-2))=23,R21*0.11,IF(INT(LEFT(J21,LEN(J21)-2))&gt;=24,R21*0.1)))))))</f>
        <v>10704.5</v>
      </c>
    </row>
    <row r="22" spans="1:21" s="3" customFormat="1" ht="13.15" customHeight="1" outlineLevel="1">
      <c r="A22" s="65" t="s">
        <v>307</v>
      </c>
      <c r="B22" s="65" t="s">
        <v>294</v>
      </c>
      <c r="C22" s="1936" t="s">
        <v>1634</v>
      </c>
      <c r="D22" s="1938" t="s">
        <v>1633</v>
      </c>
      <c r="E22" s="1928"/>
      <c r="F22" s="1930"/>
      <c r="G22" s="1928" t="s">
        <v>135</v>
      </c>
      <c r="H22" s="1930">
        <f>IF(G22="ABOLISHED",0, (VLOOKUP(G22,$A$126:$B$365,2,FALSE)*12))</f>
        <v>369588</v>
      </c>
      <c r="I22" s="1929">
        <f>SUM(H22-F22)</f>
        <v>369588</v>
      </c>
      <c r="J22" s="1928" t="s">
        <v>135</v>
      </c>
      <c r="K22" s="1927">
        <f>IF(J22="ABOLISHED",0,(VLOOKUP(J22,$A$126:$C$365,3,FALSE)*12))</f>
        <v>369588</v>
      </c>
      <c r="L22" s="3">
        <f>SUM(H22/12)</f>
        <v>30799</v>
      </c>
      <c r="M22" s="66">
        <f>IF(L22&gt;=80000,1600,SUM(L22*4%)/2)</f>
        <v>615.98</v>
      </c>
      <c r="N22" s="3">
        <f>L22</f>
        <v>30799</v>
      </c>
      <c r="O22" s="66">
        <f>IF(J22="ABOLISHED",0,IF(INT(LEFT(J22,LEN(J22)-2))&lt;=19,N22*0.25,IF(INT(LEFT(J22,LEN(J22)-2))=20,N22*0.15,IF(INT(LEFT(J22,LEN(J22)-2))=21,N22*0.13,IF(INT(LEFT(J22,LEN(J22)-2))=22,N22*0.12,IF(INT(LEFT(J22,LEN(J22)-2))=23,N22*0.11,IF(INT(LEFT(J22,LEN(J22)-2))&gt;=24,N22*0.1)))))))</f>
        <v>7699.75</v>
      </c>
      <c r="P22" s="3">
        <f>SUM(K22/12)</f>
        <v>30799</v>
      </c>
      <c r="Q22" s="66">
        <f>IF(P22&gt;=80000,1600,SUM(P22*4%)/2)</f>
        <v>615.98</v>
      </c>
      <c r="R22" s="3">
        <f>P22</f>
        <v>30799</v>
      </c>
      <c r="S22" s="66">
        <f>IF(J22="ABOLISHED",0,IF(INT(LEFT(J22,LEN(J22)-2))&lt;=19,R22*0.25,IF(INT(LEFT(J22,LEN(J22)-2))=20,R22*0.15,IF(INT(LEFT(J22,LEN(J22)-2))=21,R22*0.13,IF(INT(LEFT(J22,LEN(J22)-2))=22,R22*0.12,IF(INT(LEFT(J22,LEN(J22)-2))=23,R22*0.11,IF(INT(LEFT(J22,LEN(J22)-2))&gt;=24,R22*0.1)))))))</f>
        <v>7699.75</v>
      </c>
    </row>
    <row r="23" spans="1:21" s="3" customFormat="1" ht="13.15" customHeight="1" outlineLevel="1">
      <c r="A23" s="84"/>
      <c r="B23" s="84"/>
      <c r="C23" s="1941" t="s">
        <v>1632</v>
      </c>
      <c r="D23" s="1938"/>
      <c r="E23" s="1928"/>
      <c r="F23" s="1940" t="s">
        <v>256</v>
      </c>
      <c r="G23" s="1928"/>
      <c r="H23" s="1940" t="s">
        <v>256</v>
      </c>
      <c r="I23" s="1929"/>
      <c r="J23" s="1928"/>
      <c r="K23" s="1927" t="s">
        <v>256</v>
      </c>
      <c r="M23" s="66" t="s">
        <v>256</v>
      </c>
      <c r="O23" s="66" t="s">
        <v>256</v>
      </c>
      <c r="Q23" s="66" t="s">
        <v>256</v>
      </c>
      <c r="S23" s="66" t="s">
        <v>256</v>
      </c>
    </row>
    <row r="24" spans="1:21" s="3" customFormat="1" ht="13.15" customHeight="1" outlineLevel="1">
      <c r="A24" s="65" t="s">
        <v>304</v>
      </c>
      <c r="B24" s="65" t="s">
        <v>301</v>
      </c>
      <c r="C24" s="1936" t="s">
        <v>1631</v>
      </c>
      <c r="D24" s="1938" t="s">
        <v>245</v>
      </c>
      <c r="E24" s="1928" t="s">
        <v>159</v>
      </c>
      <c r="F24" s="1950">
        <f>IF(E24="ABOLISHED",0, (VLOOKUP(E24,$A$126:$B$365,2,FALSE)*12))</f>
        <v>286524</v>
      </c>
      <c r="G24" s="1928" t="s">
        <v>159</v>
      </c>
      <c r="H24" s="1950">
        <f>IF(G24="ABOLISHED",0, (VLOOKUP(G24,$A$126:$B$365,2,FALSE)*12))</f>
        <v>286524</v>
      </c>
      <c r="I24" s="1929">
        <f>SUM(H24-F24)</f>
        <v>0</v>
      </c>
      <c r="J24" s="1928" t="s">
        <v>159</v>
      </c>
      <c r="K24" s="1927">
        <f>IF(J24="ABOLISHED",0,(VLOOKUP(J24,$A$126:$C$365,3,FALSE)*12))</f>
        <v>286524</v>
      </c>
      <c r="L24" s="3">
        <f>SUM(H24/12)</f>
        <v>23877</v>
      </c>
      <c r="M24" s="66">
        <f>IF(L24&gt;=80000,1600,SUM(L24*4%)/2)</f>
        <v>477.54</v>
      </c>
      <c r="N24" s="3">
        <f>L24</f>
        <v>23877</v>
      </c>
      <c r="O24" s="66">
        <f>IF(J24="ABOLISHED",0,IF(INT(LEFT(J24,LEN(J24)-2))&lt;=19,N24*0.25,IF(INT(LEFT(J24,LEN(J24)-2))=20,N24*0.15,IF(INT(LEFT(J24,LEN(J24)-2))=21,N24*0.13,IF(INT(LEFT(J24,LEN(J24)-2))=22,N24*0.12,IF(INT(LEFT(J24,LEN(J24)-2))=23,N24*0.11,IF(INT(LEFT(J24,LEN(J24)-2))&gt;=24,N24*0.1)))))))</f>
        <v>5969.25</v>
      </c>
      <c r="P24" s="3">
        <f>SUM(K24/12)</f>
        <v>23877</v>
      </c>
      <c r="Q24" s="66">
        <f>IF(P24&gt;=80000,1600,SUM(P24*4%)/2)</f>
        <v>477.54</v>
      </c>
      <c r="R24" s="3">
        <f>P24</f>
        <v>23877</v>
      </c>
      <c r="S24" s="66">
        <f>IF(J24="ABOLISHED",0,IF(INT(LEFT(J24,LEN(J24)-2))&lt;=19,R24*0.25,IF(INT(LEFT(J24,LEN(J24)-2))=20,R24*0.15,IF(INT(LEFT(J24,LEN(J24)-2))=21,R24*0.13,IF(INT(LEFT(J24,LEN(J24)-2))=22,R24*0.12,IF(INT(LEFT(J24,LEN(J24)-2))=23,R24*0.11,IF(INT(LEFT(J24,LEN(J24)-2))&gt;=24,R24*0.1)))))))</f>
        <v>5969.25</v>
      </c>
    </row>
    <row r="25" spans="1:21" s="3" customFormat="1" ht="13.15" customHeight="1" outlineLevel="1">
      <c r="A25" s="84"/>
      <c r="B25" s="84"/>
      <c r="C25" s="1941" t="s">
        <v>1630</v>
      </c>
      <c r="D25" s="1938"/>
      <c r="E25" s="1928"/>
      <c r="F25" s="1940" t="s">
        <v>256</v>
      </c>
      <c r="G25" s="1928"/>
      <c r="H25" s="1940" t="s">
        <v>256</v>
      </c>
      <c r="I25" s="1929"/>
      <c r="J25" s="1928"/>
      <c r="K25" s="1927" t="s">
        <v>256</v>
      </c>
      <c r="M25" s="66"/>
      <c r="O25" s="66" t="s">
        <v>256</v>
      </c>
      <c r="Q25" s="66"/>
      <c r="S25" s="66" t="s">
        <v>256</v>
      </c>
    </row>
    <row r="26" spans="1:21" s="3" customFormat="1" ht="13.15" customHeight="1" outlineLevel="1">
      <c r="A26" s="65" t="s">
        <v>308</v>
      </c>
      <c r="B26" s="65" t="s">
        <v>297</v>
      </c>
      <c r="C26" s="1945" t="s">
        <v>1629</v>
      </c>
      <c r="D26" s="1938" t="s">
        <v>1628</v>
      </c>
      <c r="E26" s="1943" t="s">
        <v>127</v>
      </c>
      <c r="F26" s="1930">
        <f>IF(E26="ABOLISHED",0, (VLOOKUP(E26,$A$126:$B$365,2,FALSE)*12))</f>
        <v>402900</v>
      </c>
      <c r="G26" s="1943" t="s">
        <v>127</v>
      </c>
      <c r="H26" s="1930">
        <f t="shared" ref="H26:H31" si="0">IF(G26="ABOLISHED",0, (VLOOKUP(G26,$A$126:$B$365,2,FALSE)*12))</f>
        <v>402900</v>
      </c>
      <c r="I26" s="1929">
        <f t="shared" ref="I26:I31" si="1">SUM(H26-F26)</f>
        <v>0</v>
      </c>
      <c r="J26" s="1943" t="s">
        <v>127</v>
      </c>
      <c r="K26" s="1927">
        <f t="shared" ref="K26:K31" si="2">IF(J26="ABOLISHED",0,(VLOOKUP(J26,$A$126:$C$365,3,FALSE)*12))</f>
        <v>402900</v>
      </c>
      <c r="L26" s="3">
        <f t="shared" ref="L26:L31" si="3">SUM(H26/12)</f>
        <v>33575</v>
      </c>
      <c r="M26" s="66">
        <f t="shared" ref="M26:M31" si="4">IF(L26&gt;=80000,1600,SUM(L26*4%)/2)</f>
        <v>671.5</v>
      </c>
      <c r="N26" s="3">
        <f t="shared" ref="N26:N31" si="5">L26</f>
        <v>33575</v>
      </c>
      <c r="O26" s="66">
        <f t="shared" ref="O26:O31" si="6">IF(J26="ABOLISHED",0,IF(INT(LEFT(J26,LEN(J26)-2))&lt;=19,N26*0.25,IF(INT(LEFT(J26,LEN(J26)-2))=20,N26*0.15,IF(INT(LEFT(J26,LEN(J26)-2))=21,N26*0.13,IF(INT(LEFT(J26,LEN(J26)-2))=22,N26*0.12,IF(INT(LEFT(J26,LEN(J26)-2))=23,N26*0.11,IF(INT(LEFT(J26,LEN(J26)-2))&gt;=24,N26*0.1)))))))</f>
        <v>8393.75</v>
      </c>
      <c r="P26" s="3">
        <f t="shared" ref="P26:P31" si="7">SUM(K26/12)</f>
        <v>33575</v>
      </c>
      <c r="Q26" s="66">
        <f t="shared" ref="Q26:Q31" si="8">IF(P26&gt;=80000,1600,SUM(P26*4%)/2)</f>
        <v>671.5</v>
      </c>
      <c r="R26" s="3">
        <f t="shared" ref="R26:R31" si="9">P26</f>
        <v>33575</v>
      </c>
      <c r="S26" s="66">
        <f t="shared" ref="S26:S31" si="10">IF(J26="ABOLISHED",0,IF(INT(LEFT(J26,LEN(J26)-2))&lt;=19,R26*0.25,IF(INT(LEFT(J26,LEN(J26)-2))=20,R26*0.15,IF(INT(LEFT(J26,LEN(J26)-2))=21,R26*0.13,IF(INT(LEFT(J26,LEN(J26)-2))=22,R26*0.12,IF(INT(LEFT(J26,LEN(J26)-2))=23,R26*0.11,IF(INT(LEFT(J26,LEN(J26)-2))&gt;=24,R26*0.1)))))))</f>
        <v>8393.75</v>
      </c>
    </row>
    <row r="27" spans="1:21" s="3" customFormat="1" ht="13.15" customHeight="1" outlineLevel="1">
      <c r="A27" s="65" t="s">
        <v>294</v>
      </c>
      <c r="B27" s="65" t="s">
        <v>290</v>
      </c>
      <c r="C27" s="1936" t="s">
        <v>1625</v>
      </c>
      <c r="D27" s="1938" t="s">
        <v>1627</v>
      </c>
      <c r="E27" s="1928" t="s">
        <v>159</v>
      </c>
      <c r="F27" s="1930">
        <f>IF(E27="ABOLISHED",0, (VLOOKUP(E27,$A$126:$B$365,2,FALSE)*12))</f>
        <v>286524</v>
      </c>
      <c r="G27" s="1928" t="s">
        <v>159</v>
      </c>
      <c r="H27" s="1930">
        <f t="shared" si="0"/>
        <v>286524</v>
      </c>
      <c r="I27" s="1929">
        <f t="shared" si="1"/>
        <v>0</v>
      </c>
      <c r="J27" s="1928" t="s">
        <v>159</v>
      </c>
      <c r="K27" s="1927">
        <f t="shared" si="2"/>
        <v>286524</v>
      </c>
      <c r="L27" s="3">
        <f t="shared" si="3"/>
        <v>23877</v>
      </c>
      <c r="M27" s="66">
        <f t="shared" si="4"/>
        <v>477.54</v>
      </c>
      <c r="N27" s="3">
        <f t="shared" si="5"/>
        <v>23877</v>
      </c>
      <c r="O27" s="66">
        <f t="shared" si="6"/>
        <v>5969.25</v>
      </c>
      <c r="P27" s="3">
        <f t="shared" si="7"/>
        <v>23877</v>
      </c>
      <c r="Q27" s="66">
        <f t="shared" si="8"/>
        <v>477.54</v>
      </c>
      <c r="R27" s="3">
        <f t="shared" si="9"/>
        <v>23877</v>
      </c>
      <c r="S27" s="66">
        <f t="shared" si="10"/>
        <v>5969.25</v>
      </c>
    </row>
    <row r="28" spans="1:21" s="921" customFormat="1" ht="13.15" customHeight="1" outlineLevel="1">
      <c r="A28" s="65" t="s">
        <v>301</v>
      </c>
      <c r="B28" s="65" t="s">
        <v>286</v>
      </c>
      <c r="C28" s="1936" t="s">
        <v>1625</v>
      </c>
      <c r="D28" s="1938" t="s">
        <v>1626</v>
      </c>
      <c r="E28" s="1928" t="s">
        <v>159</v>
      </c>
      <c r="F28" s="1940">
        <f>IF(E28="ABOLISHED",0, (VLOOKUP(E28,$A$126:$B$365,2,FALSE)*12))</f>
        <v>286524</v>
      </c>
      <c r="G28" s="1928" t="s">
        <v>159</v>
      </c>
      <c r="H28" s="1940">
        <f t="shared" si="0"/>
        <v>286524</v>
      </c>
      <c r="I28" s="1929">
        <f t="shared" si="1"/>
        <v>0</v>
      </c>
      <c r="J28" s="1928" t="s">
        <v>159</v>
      </c>
      <c r="K28" s="1927">
        <f t="shared" si="2"/>
        <v>286524</v>
      </c>
      <c r="L28" s="3">
        <f t="shared" si="3"/>
        <v>23877</v>
      </c>
      <c r="M28" s="66">
        <f t="shared" si="4"/>
        <v>477.54</v>
      </c>
      <c r="N28" s="3">
        <f t="shared" si="5"/>
        <v>23877</v>
      </c>
      <c r="O28" s="66">
        <f t="shared" si="6"/>
        <v>5969.25</v>
      </c>
      <c r="P28" s="921">
        <f t="shared" si="7"/>
        <v>23877</v>
      </c>
      <c r="Q28" s="66">
        <f t="shared" si="8"/>
        <v>477.54</v>
      </c>
      <c r="R28" s="3">
        <f t="shared" si="9"/>
        <v>23877</v>
      </c>
      <c r="S28" s="66">
        <f t="shared" si="10"/>
        <v>5969.25</v>
      </c>
      <c r="U28" s="3"/>
    </row>
    <row r="29" spans="1:21" s="921" customFormat="1" ht="13.15" customHeight="1" outlineLevel="1">
      <c r="A29" s="65" t="s">
        <v>301</v>
      </c>
      <c r="B29" s="65" t="s">
        <v>283</v>
      </c>
      <c r="C29" s="1936" t="s">
        <v>1625</v>
      </c>
      <c r="D29" s="1938" t="s">
        <v>1624</v>
      </c>
      <c r="E29" s="1928"/>
      <c r="F29" s="1940"/>
      <c r="G29" s="1928" t="s">
        <v>159</v>
      </c>
      <c r="H29" s="1940">
        <f t="shared" si="0"/>
        <v>286524</v>
      </c>
      <c r="I29" s="1929">
        <f t="shared" si="1"/>
        <v>286524</v>
      </c>
      <c r="J29" s="1928" t="s">
        <v>159</v>
      </c>
      <c r="K29" s="1927">
        <f t="shared" si="2"/>
        <v>286524</v>
      </c>
      <c r="L29" s="3">
        <f t="shared" si="3"/>
        <v>23877</v>
      </c>
      <c r="M29" s="66">
        <f t="shared" si="4"/>
        <v>477.54</v>
      </c>
      <c r="N29" s="3">
        <f t="shared" si="5"/>
        <v>23877</v>
      </c>
      <c r="O29" s="66">
        <f t="shared" si="6"/>
        <v>5969.25</v>
      </c>
      <c r="P29" s="921">
        <f t="shared" si="7"/>
        <v>23877</v>
      </c>
      <c r="Q29" s="66">
        <f t="shared" si="8"/>
        <v>477.54</v>
      </c>
      <c r="R29" s="3">
        <f t="shared" si="9"/>
        <v>23877</v>
      </c>
      <c r="S29" s="66">
        <f t="shared" si="10"/>
        <v>5969.25</v>
      </c>
      <c r="U29" s="3"/>
    </row>
    <row r="30" spans="1:21" s="3" customFormat="1" ht="13.15" customHeight="1" outlineLevel="1">
      <c r="A30" s="65" t="s">
        <v>297</v>
      </c>
      <c r="B30" s="65" t="s">
        <v>280</v>
      </c>
      <c r="C30" s="1936" t="s">
        <v>1623</v>
      </c>
      <c r="D30" s="1938" t="s">
        <v>245</v>
      </c>
      <c r="E30" s="1928" t="s">
        <v>215</v>
      </c>
      <c r="F30" s="1930">
        <f>IF(E30="ABOLISHED",0, (VLOOKUP(E30,$A$126:$B$365,2,FALSE)*12))</f>
        <v>172800</v>
      </c>
      <c r="G30" s="1928" t="s">
        <v>215</v>
      </c>
      <c r="H30" s="1930">
        <f t="shared" si="0"/>
        <v>172800</v>
      </c>
      <c r="I30" s="1929">
        <f t="shared" si="1"/>
        <v>0</v>
      </c>
      <c r="J30" s="1928" t="s">
        <v>215</v>
      </c>
      <c r="K30" s="1927">
        <f t="shared" si="2"/>
        <v>172800</v>
      </c>
      <c r="L30" s="3">
        <f t="shared" si="3"/>
        <v>14400</v>
      </c>
      <c r="M30" s="66">
        <f t="shared" si="4"/>
        <v>288</v>
      </c>
      <c r="N30" s="3">
        <f t="shared" si="5"/>
        <v>14400</v>
      </c>
      <c r="O30" s="66">
        <f t="shared" si="6"/>
        <v>3600</v>
      </c>
      <c r="P30" s="3">
        <f t="shared" si="7"/>
        <v>14400</v>
      </c>
      <c r="Q30" s="66">
        <f t="shared" si="8"/>
        <v>288</v>
      </c>
      <c r="R30" s="3">
        <f t="shared" si="9"/>
        <v>14400</v>
      </c>
      <c r="S30" s="66">
        <f t="shared" si="10"/>
        <v>3600</v>
      </c>
    </row>
    <row r="31" spans="1:21" s="3" customFormat="1" ht="13.15" customHeight="1" outlineLevel="1">
      <c r="A31" s="65" t="s">
        <v>1535</v>
      </c>
      <c r="B31" s="65" t="s">
        <v>278</v>
      </c>
      <c r="C31" s="1936" t="s">
        <v>1623</v>
      </c>
      <c r="D31" s="1938" t="s">
        <v>245</v>
      </c>
      <c r="E31" s="1928"/>
      <c r="F31" s="1930"/>
      <c r="G31" s="1928" t="s">
        <v>215</v>
      </c>
      <c r="H31" s="1930">
        <f t="shared" si="0"/>
        <v>172800</v>
      </c>
      <c r="I31" s="1929">
        <f t="shared" si="1"/>
        <v>172800</v>
      </c>
      <c r="J31" s="1928" t="s">
        <v>215</v>
      </c>
      <c r="K31" s="1927">
        <f t="shared" si="2"/>
        <v>172800</v>
      </c>
      <c r="L31" s="3">
        <f t="shared" si="3"/>
        <v>14400</v>
      </c>
      <c r="M31" s="66">
        <f t="shared" si="4"/>
        <v>288</v>
      </c>
      <c r="N31" s="3">
        <f t="shared" si="5"/>
        <v>14400</v>
      </c>
      <c r="O31" s="66">
        <f t="shared" si="6"/>
        <v>3600</v>
      </c>
      <c r="P31" s="3">
        <f t="shared" si="7"/>
        <v>14400</v>
      </c>
      <c r="Q31" s="66">
        <f t="shared" si="8"/>
        <v>288</v>
      </c>
      <c r="R31" s="3">
        <f t="shared" si="9"/>
        <v>14400</v>
      </c>
      <c r="S31" s="66">
        <f t="shared" si="10"/>
        <v>3600</v>
      </c>
    </row>
    <row r="32" spans="1:21" s="3" customFormat="1" ht="13.15" customHeight="1" outlineLevel="1">
      <c r="A32" s="84"/>
      <c r="B32" s="84"/>
      <c r="C32" s="1941" t="s">
        <v>1622</v>
      </c>
      <c r="D32" s="1938"/>
      <c r="E32" s="1928"/>
      <c r="F32" s="1940" t="s">
        <v>256</v>
      </c>
      <c r="G32" s="1928"/>
      <c r="H32" s="1940" t="s">
        <v>256</v>
      </c>
      <c r="I32" s="1929"/>
      <c r="J32" s="1928"/>
      <c r="K32" s="1927" t="s">
        <v>256</v>
      </c>
      <c r="M32" s="66" t="s">
        <v>256</v>
      </c>
      <c r="O32" s="66" t="s">
        <v>256</v>
      </c>
      <c r="Q32" s="66" t="s">
        <v>256</v>
      </c>
      <c r="S32" s="66" t="s">
        <v>256</v>
      </c>
    </row>
    <row r="33" spans="1:19" s="3" customFormat="1" ht="13.15" customHeight="1" outlineLevel="1">
      <c r="A33" s="84"/>
      <c r="B33" s="84"/>
      <c r="C33" s="1941" t="s">
        <v>1621</v>
      </c>
      <c r="D33" s="1938"/>
      <c r="E33" s="1928"/>
      <c r="F33" s="1940" t="s">
        <v>256</v>
      </c>
      <c r="G33" s="1928"/>
      <c r="H33" s="1940" t="s">
        <v>256</v>
      </c>
      <c r="I33" s="1929"/>
      <c r="J33" s="1928"/>
      <c r="K33" s="1927" t="s">
        <v>256</v>
      </c>
      <c r="M33" s="66" t="s">
        <v>256</v>
      </c>
      <c r="O33" s="66" t="s">
        <v>256</v>
      </c>
      <c r="Q33" s="66" t="s">
        <v>256</v>
      </c>
      <c r="S33" s="66" t="s">
        <v>256</v>
      </c>
    </row>
    <row r="34" spans="1:19" s="3" customFormat="1" ht="13.15" customHeight="1" outlineLevel="1">
      <c r="A34" s="65" t="s">
        <v>290</v>
      </c>
      <c r="B34" s="65" t="s">
        <v>275</v>
      </c>
      <c r="C34" s="1945" t="s">
        <v>1620</v>
      </c>
      <c r="D34" s="1938" t="s">
        <v>1619</v>
      </c>
      <c r="E34" s="1928" t="s">
        <v>95</v>
      </c>
      <c r="F34" s="1930">
        <f t="shared" ref="F34:F44" si="11">IF(E34="ABOLISHED",0, (VLOOKUP(E34,$A$126:$B$365,2,FALSE)*12))</f>
        <v>579756</v>
      </c>
      <c r="G34" s="1928" t="s">
        <v>95</v>
      </c>
      <c r="H34" s="1930">
        <f t="shared" ref="H34:H44" si="12">IF(G34="ABOLISHED",0, (VLOOKUP(G34,$A$126:$B$365,2,FALSE)*12))</f>
        <v>579756</v>
      </c>
      <c r="I34" s="1929">
        <f t="shared" ref="I34:I44" si="13">SUM(H34-F34)</f>
        <v>0</v>
      </c>
      <c r="J34" s="1928" t="s">
        <v>95</v>
      </c>
      <c r="K34" s="1927">
        <f t="shared" ref="K34:K44" si="14">IF(J34="ABOLISHED",0,(VLOOKUP(J34,$A$126:$C$365,3,FALSE)*12))</f>
        <v>579756</v>
      </c>
      <c r="L34" s="3">
        <f t="shared" ref="L34:L44" si="15">SUM(H34/12)</f>
        <v>48313</v>
      </c>
      <c r="M34" s="66">
        <f t="shared" ref="M34:M44" si="16">IF(L34&gt;=80000,1600,SUM(L34*4%)/2)</f>
        <v>966.26</v>
      </c>
      <c r="N34" s="3">
        <f t="shared" ref="N34:N44" si="17">L34</f>
        <v>48313</v>
      </c>
      <c r="O34" s="66">
        <f t="shared" ref="O34:O44" si="18">IF(J34="ABOLISHED",0,IF(INT(LEFT(J34,LEN(J34)-2))&lt;=19,N34*0.25,IF(INT(LEFT(J34,LEN(J34)-2))=20,N34*0.15,IF(INT(LEFT(J34,LEN(J34)-2))=21,N34*0.13,IF(INT(LEFT(J34,LEN(J34)-2))=22,N34*0.12,IF(INT(LEFT(J34,LEN(J34)-2))=23,N34*0.11,IF(INT(LEFT(J34,LEN(J34)-2))&gt;=24,N34*0.1)))))))</f>
        <v>12078.25</v>
      </c>
      <c r="P34" s="3">
        <f t="shared" ref="P34:P44" si="19">SUM(K34/12)</f>
        <v>48313</v>
      </c>
      <c r="Q34" s="66">
        <f t="shared" ref="Q34:Q44" si="20">IF(P34&gt;=80000,1600,SUM(P34*4%)/2)</f>
        <v>966.26</v>
      </c>
      <c r="R34" s="3">
        <f t="shared" ref="R34:R44" si="21">P34</f>
        <v>48313</v>
      </c>
      <c r="S34" s="66">
        <f t="shared" ref="S34:S44" si="22">IF(J34="ABOLISHED",0,IF(INT(LEFT(J34,LEN(J34)-2))&lt;=19,R34*0.25,IF(INT(LEFT(J34,LEN(J34)-2))=20,R34*0.15,IF(INT(LEFT(J34,LEN(J34)-2))=21,R34*0.13,IF(INT(LEFT(J34,LEN(J34)-2))=22,R34*0.12,IF(INT(LEFT(J34,LEN(J34)-2))=23,R34*0.11,IF(INT(LEFT(J34,LEN(J34)-2))&gt;=24,R34*0.1)))))))</f>
        <v>12078.25</v>
      </c>
    </row>
    <row r="35" spans="1:19" s="3" customFormat="1" ht="13.15" customHeight="1" outlineLevel="1">
      <c r="A35" s="65" t="s">
        <v>286</v>
      </c>
      <c r="B35" s="65" t="s">
        <v>272</v>
      </c>
      <c r="C35" s="1945" t="s">
        <v>1616</v>
      </c>
      <c r="D35" s="1944" t="s">
        <v>1618</v>
      </c>
      <c r="E35" s="1928" t="s">
        <v>106</v>
      </c>
      <c r="F35" s="1930">
        <f t="shared" si="11"/>
        <v>507984</v>
      </c>
      <c r="G35" s="1928" t="s">
        <v>106</v>
      </c>
      <c r="H35" s="1930">
        <f t="shared" si="12"/>
        <v>507984</v>
      </c>
      <c r="I35" s="1929">
        <f t="shared" si="13"/>
        <v>0</v>
      </c>
      <c r="J35" s="1928" t="s">
        <v>106</v>
      </c>
      <c r="K35" s="1927">
        <f t="shared" si="14"/>
        <v>507984</v>
      </c>
      <c r="L35" s="3">
        <f t="shared" si="15"/>
        <v>42332</v>
      </c>
      <c r="M35" s="66">
        <f t="shared" si="16"/>
        <v>846.64</v>
      </c>
      <c r="N35" s="3">
        <f t="shared" si="17"/>
        <v>42332</v>
      </c>
      <c r="O35" s="66">
        <f t="shared" si="18"/>
        <v>10583</v>
      </c>
      <c r="P35" s="3">
        <f t="shared" si="19"/>
        <v>42332</v>
      </c>
      <c r="Q35" s="66">
        <f t="shared" si="20"/>
        <v>846.64</v>
      </c>
      <c r="R35" s="3">
        <f t="shared" si="21"/>
        <v>42332</v>
      </c>
      <c r="S35" s="66">
        <f t="shared" si="22"/>
        <v>10583</v>
      </c>
    </row>
    <row r="36" spans="1:19" s="3" customFormat="1" ht="13.15" customHeight="1" outlineLevel="1">
      <c r="A36" s="65" t="s">
        <v>280</v>
      </c>
      <c r="B36" s="65" t="s">
        <v>268</v>
      </c>
      <c r="C36" s="1945" t="s">
        <v>1616</v>
      </c>
      <c r="D36" s="1944" t="s">
        <v>1617</v>
      </c>
      <c r="E36" s="1928" t="s">
        <v>111</v>
      </c>
      <c r="F36" s="1930">
        <f t="shared" si="11"/>
        <v>479832</v>
      </c>
      <c r="G36" s="1928" t="s">
        <v>111</v>
      </c>
      <c r="H36" s="1930">
        <f t="shared" si="12"/>
        <v>479832</v>
      </c>
      <c r="I36" s="1929">
        <f t="shared" si="13"/>
        <v>0</v>
      </c>
      <c r="J36" s="1928" t="s">
        <v>111</v>
      </c>
      <c r="K36" s="1927">
        <f t="shared" si="14"/>
        <v>479832</v>
      </c>
      <c r="L36" s="3">
        <f t="shared" si="15"/>
        <v>39986</v>
      </c>
      <c r="M36" s="66">
        <f t="shared" si="16"/>
        <v>799.72</v>
      </c>
      <c r="N36" s="3">
        <f t="shared" si="17"/>
        <v>39986</v>
      </c>
      <c r="O36" s="66">
        <f t="shared" si="18"/>
        <v>9996.5</v>
      </c>
      <c r="P36" s="3">
        <f t="shared" si="19"/>
        <v>39986</v>
      </c>
      <c r="Q36" s="66">
        <f t="shared" si="20"/>
        <v>799.72</v>
      </c>
      <c r="R36" s="3">
        <f t="shared" si="21"/>
        <v>39986</v>
      </c>
      <c r="S36" s="66">
        <f t="shared" si="22"/>
        <v>9996.5</v>
      </c>
    </row>
    <row r="37" spans="1:19" s="3" customFormat="1" ht="13.15" customHeight="1" outlineLevel="1">
      <c r="A37" s="65" t="s">
        <v>283</v>
      </c>
      <c r="B37" s="65" t="s">
        <v>265</v>
      </c>
      <c r="C37" s="1945" t="s">
        <v>1616</v>
      </c>
      <c r="D37" s="1944" t="s">
        <v>245</v>
      </c>
      <c r="E37" s="1928" t="s">
        <v>106</v>
      </c>
      <c r="F37" s="1930">
        <f t="shared" si="11"/>
        <v>507984</v>
      </c>
      <c r="G37" s="1928" t="s">
        <v>111</v>
      </c>
      <c r="H37" s="1930">
        <f t="shared" si="12"/>
        <v>479832</v>
      </c>
      <c r="I37" s="1929">
        <f t="shared" si="13"/>
        <v>-28152</v>
      </c>
      <c r="J37" s="1928" t="s">
        <v>111</v>
      </c>
      <c r="K37" s="1927">
        <f t="shared" si="14"/>
        <v>479832</v>
      </c>
      <c r="L37" s="3">
        <f t="shared" si="15"/>
        <v>39986</v>
      </c>
      <c r="M37" s="66">
        <f t="shared" si="16"/>
        <v>799.72</v>
      </c>
      <c r="N37" s="3">
        <f t="shared" si="17"/>
        <v>39986</v>
      </c>
      <c r="O37" s="66">
        <f t="shared" si="18"/>
        <v>9996.5</v>
      </c>
      <c r="P37" s="3">
        <f t="shared" si="19"/>
        <v>39986</v>
      </c>
      <c r="Q37" s="66">
        <f t="shared" si="20"/>
        <v>799.72</v>
      </c>
      <c r="R37" s="3">
        <f t="shared" si="21"/>
        <v>39986</v>
      </c>
      <c r="S37" s="66">
        <f t="shared" si="22"/>
        <v>9996.5</v>
      </c>
    </row>
    <row r="38" spans="1:19" s="3" customFormat="1" ht="13.15" customHeight="1" outlineLevel="1">
      <c r="A38" s="65" t="s">
        <v>278</v>
      </c>
      <c r="B38" s="65" t="s">
        <v>262</v>
      </c>
      <c r="C38" s="1945" t="s">
        <v>1612</v>
      </c>
      <c r="D38" s="1935" t="s">
        <v>1615</v>
      </c>
      <c r="E38" s="1928" t="s">
        <v>127</v>
      </c>
      <c r="F38" s="1930">
        <f t="shared" si="11"/>
        <v>402900</v>
      </c>
      <c r="G38" s="1928" t="s">
        <v>119</v>
      </c>
      <c r="H38" s="1930">
        <f t="shared" si="12"/>
        <v>439536</v>
      </c>
      <c r="I38" s="1929">
        <f t="shared" si="13"/>
        <v>36636</v>
      </c>
      <c r="J38" s="1928" t="s">
        <v>119</v>
      </c>
      <c r="K38" s="1927">
        <f t="shared" si="14"/>
        <v>439536</v>
      </c>
      <c r="L38" s="3">
        <f t="shared" si="15"/>
        <v>36628</v>
      </c>
      <c r="M38" s="66">
        <f t="shared" si="16"/>
        <v>732.56000000000006</v>
      </c>
      <c r="N38" s="3">
        <f t="shared" si="17"/>
        <v>36628</v>
      </c>
      <c r="O38" s="66">
        <f t="shared" si="18"/>
        <v>9157</v>
      </c>
      <c r="P38" s="3">
        <f t="shared" si="19"/>
        <v>36628</v>
      </c>
      <c r="Q38" s="66">
        <f t="shared" si="20"/>
        <v>732.56000000000006</v>
      </c>
      <c r="R38" s="3">
        <f t="shared" si="21"/>
        <v>36628</v>
      </c>
      <c r="S38" s="66">
        <f t="shared" si="22"/>
        <v>9157</v>
      </c>
    </row>
    <row r="39" spans="1:19" s="3" customFormat="1" ht="13.15" customHeight="1" outlineLevel="1">
      <c r="A39" s="65" t="s">
        <v>275</v>
      </c>
      <c r="B39" s="65" t="s">
        <v>260</v>
      </c>
      <c r="C39" s="1945" t="s">
        <v>1612</v>
      </c>
      <c r="D39" s="1938" t="s">
        <v>1614</v>
      </c>
      <c r="E39" s="1928" t="s">
        <v>127</v>
      </c>
      <c r="F39" s="1930">
        <f t="shared" si="11"/>
        <v>402900</v>
      </c>
      <c r="G39" s="1928" t="s">
        <v>127</v>
      </c>
      <c r="H39" s="1930">
        <f t="shared" si="12"/>
        <v>402900</v>
      </c>
      <c r="I39" s="1929">
        <f t="shared" si="13"/>
        <v>0</v>
      </c>
      <c r="J39" s="1928" t="s">
        <v>127</v>
      </c>
      <c r="K39" s="1927">
        <f t="shared" si="14"/>
        <v>402900</v>
      </c>
      <c r="L39" s="3">
        <f t="shared" si="15"/>
        <v>33575</v>
      </c>
      <c r="M39" s="66">
        <f t="shared" si="16"/>
        <v>671.5</v>
      </c>
      <c r="N39" s="3">
        <f t="shared" si="17"/>
        <v>33575</v>
      </c>
      <c r="O39" s="66">
        <f t="shared" si="18"/>
        <v>8393.75</v>
      </c>
      <c r="P39" s="3">
        <f t="shared" si="19"/>
        <v>33575</v>
      </c>
      <c r="Q39" s="66">
        <f t="shared" si="20"/>
        <v>671.5</v>
      </c>
      <c r="R39" s="3">
        <f t="shared" si="21"/>
        <v>33575</v>
      </c>
      <c r="S39" s="66">
        <f t="shared" si="22"/>
        <v>8393.75</v>
      </c>
    </row>
    <row r="40" spans="1:19" s="3" customFormat="1" ht="13.15" customHeight="1" outlineLevel="1">
      <c r="A40" s="65" t="s">
        <v>268</v>
      </c>
      <c r="B40" s="65" t="s">
        <v>254</v>
      </c>
      <c r="C40" s="1945" t="s">
        <v>1612</v>
      </c>
      <c r="D40" s="1935" t="s">
        <v>1567</v>
      </c>
      <c r="E40" s="1928" t="s">
        <v>127</v>
      </c>
      <c r="F40" s="1930">
        <f t="shared" si="11"/>
        <v>402900</v>
      </c>
      <c r="G40" s="1928" t="s">
        <v>127</v>
      </c>
      <c r="H40" s="1930">
        <f t="shared" si="12"/>
        <v>402900</v>
      </c>
      <c r="I40" s="1929">
        <f t="shared" si="13"/>
        <v>0</v>
      </c>
      <c r="J40" s="1928" t="s">
        <v>127</v>
      </c>
      <c r="K40" s="1927">
        <f t="shared" si="14"/>
        <v>402900</v>
      </c>
      <c r="L40" s="3">
        <f t="shared" si="15"/>
        <v>33575</v>
      </c>
      <c r="M40" s="66">
        <f t="shared" si="16"/>
        <v>671.5</v>
      </c>
      <c r="N40" s="3">
        <f t="shared" si="17"/>
        <v>33575</v>
      </c>
      <c r="O40" s="66">
        <f t="shared" si="18"/>
        <v>8393.75</v>
      </c>
      <c r="P40" s="3">
        <f t="shared" si="19"/>
        <v>33575</v>
      </c>
      <c r="Q40" s="66">
        <f t="shared" si="20"/>
        <v>671.5</v>
      </c>
      <c r="R40" s="3">
        <f t="shared" si="21"/>
        <v>33575</v>
      </c>
      <c r="S40" s="66">
        <f t="shared" si="22"/>
        <v>8393.75</v>
      </c>
    </row>
    <row r="41" spans="1:19" s="3" customFormat="1" ht="13.15" customHeight="1" outlineLevel="1">
      <c r="A41" s="65" t="s">
        <v>272</v>
      </c>
      <c r="B41" s="65" t="s">
        <v>255</v>
      </c>
      <c r="C41" s="1945" t="s">
        <v>1612</v>
      </c>
      <c r="D41" s="1935" t="s">
        <v>1566</v>
      </c>
      <c r="E41" s="1928" t="s">
        <v>127</v>
      </c>
      <c r="F41" s="1930">
        <f t="shared" si="11"/>
        <v>402900</v>
      </c>
      <c r="G41" s="1928" t="s">
        <v>127</v>
      </c>
      <c r="H41" s="1930">
        <f t="shared" si="12"/>
        <v>402900</v>
      </c>
      <c r="I41" s="1929">
        <f t="shared" si="13"/>
        <v>0</v>
      </c>
      <c r="J41" s="1928" t="s">
        <v>127</v>
      </c>
      <c r="K41" s="1927">
        <f t="shared" si="14"/>
        <v>402900</v>
      </c>
      <c r="L41" s="3">
        <f t="shared" si="15"/>
        <v>33575</v>
      </c>
      <c r="M41" s="66">
        <f t="shared" si="16"/>
        <v>671.5</v>
      </c>
      <c r="N41" s="3">
        <f t="shared" si="17"/>
        <v>33575</v>
      </c>
      <c r="O41" s="66">
        <f t="shared" si="18"/>
        <v>8393.75</v>
      </c>
      <c r="P41" s="3">
        <f t="shared" si="19"/>
        <v>33575</v>
      </c>
      <c r="Q41" s="66">
        <f t="shared" si="20"/>
        <v>671.5</v>
      </c>
      <c r="R41" s="3">
        <f t="shared" si="21"/>
        <v>33575</v>
      </c>
      <c r="S41" s="66">
        <f t="shared" si="22"/>
        <v>8393.75</v>
      </c>
    </row>
    <row r="42" spans="1:19" s="3" customFormat="1" ht="13.15" customHeight="1" outlineLevel="1">
      <c r="A42" s="65" t="s">
        <v>265</v>
      </c>
      <c r="B42" s="65" t="s">
        <v>250</v>
      </c>
      <c r="C42" s="1945" t="s">
        <v>1612</v>
      </c>
      <c r="D42" s="1938" t="s">
        <v>1613</v>
      </c>
      <c r="E42" s="1928" t="s">
        <v>127</v>
      </c>
      <c r="F42" s="1930">
        <f t="shared" si="11"/>
        <v>402900</v>
      </c>
      <c r="G42" s="1928" t="s">
        <v>127</v>
      </c>
      <c r="H42" s="1930">
        <f t="shared" si="12"/>
        <v>402900</v>
      </c>
      <c r="I42" s="1929">
        <f t="shared" si="13"/>
        <v>0</v>
      </c>
      <c r="J42" s="1928" t="s">
        <v>127</v>
      </c>
      <c r="K42" s="1927">
        <f t="shared" si="14"/>
        <v>402900</v>
      </c>
      <c r="L42" s="3">
        <f t="shared" si="15"/>
        <v>33575</v>
      </c>
      <c r="M42" s="66">
        <f t="shared" si="16"/>
        <v>671.5</v>
      </c>
      <c r="N42" s="3">
        <f t="shared" si="17"/>
        <v>33575</v>
      </c>
      <c r="O42" s="66">
        <f t="shared" si="18"/>
        <v>8393.75</v>
      </c>
      <c r="P42" s="3">
        <f t="shared" si="19"/>
        <v>33575</v>
      </c>
      <c r="Q42" s="66">
        <f t="shared" si="20"/>
        <v>671.5</v>
      </c>
      <c r="R42" s="3">
        <f t="shared" si="21"/>
        <v>33575</v>
      </c>
      <c r="S42" s="66">
        <f t="shared" si="22"/>
        <v>8393.75</v>
      </c>
    </row>
    <row r="43" spans="1:19" s="3" customFormat="1" ht="13.15" customHeight="1" outlineLevel="1">
      <c r="A43" s="65" t="s">
        <v>262</v>
      </c>
      <c r="B43" s="65" t="s">
        <v>247</v>
      </c>
      <c r="C43" s="1945" t="s">
        <v>1612</v>
      </c>
      <c r="D43" s="1938" t="s">
        <v>1611</v>
      </c>
      <c r="E43" s="1928" t="s">
        <v>127</v>
      </c>
      <c r="F43" s="1930">
        <f t="shared" si="11"/>
        <v>402900</v>
      </c>
      <c r="G43" s="1928" t="s">
        <v>127</v>
      </c>
      <c r="H43" s="1930">
        <f t="shared" si="12"/>
        <v>402900</v>
      </c>
      <c r="I43" s="1929">
        <f t="shared" si="13"/>
        <v>0</v>
      </c>
      <c r="J43" s="1928" t="s">
        <v>127</v>
      </c>
      <c r="K43" s="1927">
        <f t="shared" si="14"/>
        <v>402900</v>
      </c>
      <c r="L43" s="3">
        <f t="shared" si="15"/>
        <v>33575</v>
      </c>
      <c r="M43" s="66">
        <f t="shared" si="16"/>
        <v>671.5</v>
      </c>
      <c r="N43" s="3">
        <f t="shared" si="17"/>
        <v>33575</v>
      </c>
      <c r="O43" s="66">
        <f t="shared" si="18"/>
        <v>8393.75</v>
      </c>
      <c r="P43" s="3">
        <f t="shared" si="19"/>
        <v>33575</v>
      </c>
      <c r="Q43" s="66">
        <f t="shared" si="20"/>
        <v>671.5</v>
      </c>
      <c r="R43" s="3">
        <f t="shared" si="21"/>
        <v>33575</v>
      </c>
      <c r="S43" s="66">
        <f t="shared" si="22"/>
        <v>8393.75</v>
      </c>
    </row>
    <row r="44" spans="1:19" s="3" customFormat="1" ht="13.15" customHeight="1" outlineLevel="1">
      <c r="A44" s="65" t="s">
        <v>260</v>
      </c>
      <c r="B44" s="65" t="s">
        <v>302</v>
      </c>
      <c r="C44" s="1949" t="s">
        <v>1610</v>
      </c>
      <c r="D44" s="1938" t="s">
        <v>1609</v>
      </c>
      <c r="E44" s="1937" t="s">
        <v>135</v>
      </c>
      <c r="F44" s="1930">
        <f t="shared" si="11"/>
        <v>369588</v>
      </c>
      <c r="G44" s="1937" t="s">
        <v>135</v>
      </c>
      <c r="H44" s="1930">
        <f t="shared" si="12"/>
        <v>369588</v>
      </c>
      <c r="I44" s="1929">
        <f t="shared" si="13"/>
        <v>0</v>
      </c>
      <c r="J44" s="1937" t="s">
        <v>135</v>
      </c>
      <c r="K44" s="1927">
        <f t="shared" si="14"/>
        <v>369588</v>
      </c>
      <c r="L44" s="3">
        <f t="shared" si="15"/>
        <v>30799</v>
      </c>
      <c r="M44" s="66">
        <f t="shared" si="16"/>
        <v>615.98</v>
      </c>
      <c r="N44" s="3">
        <f t="shared" si="17"/>
        <v>30799</v>
      </c>
      <c r="O44" s="66">
        <f t="shared" si="18"/>
        <v>7699.75</v>
      </c>
      <c r="P44" s="3">
        <f t="shared" si="19"/>
        <v>30799</v>
      </c>
      <c r="Q44" s="66">
        <f t="shared" si="20"/>
        <v>615.98</v>
      </c>
      <c r="R44" s="3">
        <f t="shared" si="21"/>
        <v>30799</v>
      </c>
      <c r="S44" s="66">
        <f t="shared" si="22"/>
        <v>7699.75</v>
      </c>
    </row>
    <row r="45" spans="1:19" s="3" customFormat="1" ht="13.15" customHeight="1" outlineLevel="1">
      <c r="A45" s="84"/>
      <c r="B45" s="84"/>
      <c r="C45" s="1941" t="s">
        <v>1608</v>
      </c>
      <c r="D45" s="1931"/>
      <c r="E45" s="1928"/>
      <c r="F45" s="1940" t="s">
        <v>256</v>
      </c>
      <c r="G45" s="1928"/>
      <c r="H45" s="1940" t="s">
        <v>256</v>
      </c>
      <c r="I45" s="1929"/>
      <c r="J45" s="1928"/>
      <c r="K45" s="1927" t="s">
        <v>256</v>
      </c>
      <c r="M45" s="66" t="s">
        <v>256</v>
      </c>
      <c r="O45" s="66" t="s">
        <v>256</v>
      </c>
      <c r="Q45" s="66" t="s">
        <v>256</v>
      </c>
      <c r="S45" s="66" t="s">
        <v>256</v>
      </c>
    </row>
    <row r="46" spans="1:19" s="3" customFormat="1" ht="13.15" customHeight="1" outlineLevel="1">
      <c r="A46" s="65" t="s">
        <v>254</v>
      </c>
      <c r="B46" s="65" t="s">
        <v>507</v>
      </c>
      <c r="C46" s="1936" t="s">
        <v>1602</v>
      </c>
      <c r="D46" s="1938" t="s">
        <v>1607</v>
      </c>
      <c r="E46" s="1928" t="s">
        <v>140</v>
      </c>
      <c r="F46" s="1930">
        <f t="shared" ref="F46:F60" si="23">IF(E46="ABOLISHED",0, (VLOOKUP(E46,$A$126:$B$365,2,FALSE)*12))</f>
        <v>350700</v>
      </c>
      <c r="G46" s="1928" t="s">
        <v>140</v>
      </c>
      <c r="H46" s="1930">
        <f t="shared" ref="H46:H78" si="24">IF(G46="ABOLISHED",0, (VLOOKUP(G46,$A$126:$B$365,2,FALSE)*12))</f>
        <v>350700</v>
      </c>
      <c r="I46" s="1929">
        <f t="shared" ref="I46:I78" si="25">SUM(H46-F46)</f>
        <v>0</v>
      </c>
      <c r="J46" s="1928" t="s">
        <v>140</v>
      </c>
      <c r="K46" s="1927">
        <f t="shared" ref="K46:K78" si="26">IF(J46="ABOLISHED",0,(VLOOKUP(J46,$A$126:$C$365,3,FALSE)*12))</f>
        <v>350700</v>
      </c>
      <c r="L46" s="3">
        <f t="shared" ref="L46:L78" si="27">SUM(H46/12)</f>
        <v>29225</v>
      </c>
      <c r="M46" s="66">
        <f t="shared" ref="M46:M78" si="28">IF(L46&gt;=80000,1600,SUM(L46*4%)/2)</f>
        <v>584.5</v>
      </c>
      <c r="N46" s="3">
        <f t="shared" ref="N46:N78" si="29">L46</f>
        <v>29225</v>
      </c>
      <c r="O46" s="66">
        <f t="shared" ref="O46:O78" si="30">IF(J46="ABOLISHED",0,IF(INT(LEFT(J46,LEN(J46)-2))&lt;=19,N46*0.25,IF(INT(LEFT(J46,LEN(J46)-2))=20,N46*0.15,IF(INT(LEFT(J46,LEN(J46)-2))=21,N46*0.13,IF(INT(LEFT(J46,LEN(J46)-2))=22,N46*0.12,IF(INT(LEFT(J46,LEN(J46)-2))=23,N46*0.11,IF(INT(LEFT(J46,LEN(J46)-2))&gt;=24,N46*0.1)))))))</f>
        <v>7306.25</v>
      </c>
      <c r="P46" s="3">
        <f t="shared" ref="P46:P78" si="31">SUM(K46/12)</f>
        <v>29225</v>
      </c>
      <c r="Q46" s="66">
        <f t="shared" ref="Q46:Q78" si="32">IF(P46&gt;=80000,1600,SUM(P46*4%)/2)</f>
        <v>584.5</v>
      </c>
      <c r="R46" s="3">
        <f t="shared" ref="R46:R78" si="33">P46</f>
        <v>29225</v>
      </c>
      <c r="S46" s="66">
        <f t="shared" ref="S46:S78" si="34">IF(J46="ABOLISHED",0,IF(INT(LEFT(J46,LEN(J46)-2))&lt;=19,R46*0.25,IF(INT(LEFT(J46,LEN(J46)-2))=20,R46*0.15,IF(INT(LEFT(J46,LEN(J46)-2))=21,R46*0.13,IF(INT(LEFT(J46,LEN(J46)-2))=22,R46*0.12,IF(INT(LEFT(J46,LEN(J46)-2))=23,R46*0.11,IF(INT(LEFT(J46,LEN(J46)-2))&gt;=24,R46*0.1)))))))</f>
        <v>7306.25</v>
      </c>
    </row>
    <row r="47" spans="1:19" s="3" customFormat="1" ht="13.15" customHeight="1" outlineLevel="1">
      <c r="A47" s="65" t="s">
        <v>250</v>
      </c>
      <c r="B47" s="65" t="s">
        <v>502</v>
      </c>
      <c r="C47" s="1936" t="s">
        <v>1602</v>
      </c>
      <c r="D47" s="1938" t="s">
        <v>1606</v>
      </c>
      <c r="E47" s="1937" t="s">
        <v>142</v>
      </c>
      <c r="F47" s="1930">
        <f t="shared" si="23"/>
        <v>343068</v>
      </c>
      <c r="G47" s="1937" t="s">
        <v>142</v>
      </c>
      <c r="H47" s="1930">
        <f t="shared" si="24"/>
        <v>343068</v>
      </c>
      <c r="I47" s="1929">
        <f t="shared" si="25"/>
        <v>0</v>
      </c>
      <c r="J47" s="1937" t="s">
        <v>142</v>
      </c>
      <c r="K47" s="1927">
        <f t="shared" si="26"/>
        <v>343068</v>
      </c>
      <c r="L47" s="3">
        <f t="shared" si="27"/>
        <v>28589</v>
      </c>
      <c r="M47" s="66">
        <f t="shared" si="28"/>
        <v>571.78</v>
      </c>
      <c r="N47" s="3">
        <f t="shared" si="29"/>
        <v>28589</v>
      </c>
      <c r="O47" s="66">
        <f t="shared" si="30"/>
        <v>7147.25</v>
      </c>
      <c r="P47" s="3">
        <f t="shared" si="31"/>
        <v>28589</v>
      </c>
      <c r="Q47" s="66">
        <f t="shared" si="32"/>
        <v>571.78</v>
      </c>
      <c r="R47" s="3">
        <f t="shared" si="33"/>
        <v>28589</v>
      </c>
      <c r="S47" s="66">
        <f t="shared" si="34"/>
        <v>7147.25</v>
      </c>
    </row>
    <row r="48" spans="1:19" s="3" customFormat="1" ht="13.15" customHeight="1" outlineLevel="1">
      <c r="A48" s="65" t="s">
        <v>247</v>
      </c>
      <c r="B48" s="65" t="s">
        <v>498</v>
      </c>
      <c r="C48" s="1936" t="s">
        <v>1602</v>
      </c>
      <c r="D48" s="1938" t="s">
        <v>1605</v>
      </c>
      <c r="E48" s="1928" t="s">
        <v>143</v>
      </c>
      <c r="F48" s="1930">
        <f t="shared" si="23"/>
        <v>339312</v>
      </c>
      <c r="G48" s="1928" t="s">
        <v>143</v>
      </c>
      <c r="H48" s="1930">
        <f t="shared" si="24"/>
        <v>339312</v>
      </c>
      <c r="I48" s="1929">
        <f t="shared" si="25"/>
        <v>0</v>
      </c>
      <c r="J48" s="1928" t="s">
        <v>143</v>
      </c>
      <c r="K48" s="1927">
        <f t="shared" si="26"/>
        <v>339312</v>
      </c>
      <c r="L48" s="3">
        <f t="shared" si="27"/>
        <v>28276</v>
      </c>
      <c r="M48" s="66">
        <f t="shared" si="28"/>
        <v>565.52</v>
      </c>
      <c r="N48" s="3">
        <f t="shared" si="29"/>
        <v>28276</v>
      </c>
      <c r="O48" s="66">
        <f t="shared" si="30"/>
        <v>7069</v>
      </c>
      <c r="P48" s="3">
        <f t="shared" si="31"/>
        <v>28276</v>
      </c>
      <c r="Q48" s="66">
        <f t="shared" si="32"/>
        <v>565.52</v>
      </c>
      <c r="R48" s="3">
        <f t="shared" si="33"/>
        <v>28276</v>
      </c>
      <c r="S48" s="66">
        <f t="shared" si="34"/>
        <v>7069</v>
      </c>
    </row>
    <row r="49" spans="1:19" s="3" customFormat="1" ht="13.15" customHeight="1" outlineLevel="1">
      <c r="A49" s="65" t="s">
        <v>302</v>
      </c>
      <c r="B49" s="65" t="s">
        <v>510</v>
      </c>
      <c r="C49" s="1936" t="s">
        <v>1602</v>
      </c>
      <c r="D49" s="1938" t="s">
        <v>1604</v>
      </c>
      <c r="E49" s="1928" t="s">
        <v>143</v>
      </c>
      <c r="F49" s="1930">
        <f t="shared" si="23"/>
        <v>339312</v>
      </c>
      <c r="G49" s="1928" t="s">
        <v>143</v>
      </c>
      <c r="H49" s="1930">
        <f t="shared" si="24"/>
        <v>339312</v>
      </c>
      <c r="I49" s="1929">
        <f t="shared" si="25"/>
        <v>0</v>
      </c>
      <c r="J49" s="1928" t="s">
        <v>143</v>
      </c>
      <c r="K49" s="1927">
        <f t="shared" si="26"/>
        <v>339312</v>
      </c>
      <c r="L49" s="3">
        <f t="shared" si="27"/>
        <v>28276</v>
      </c>
      <c r="M49" s="66">
        <f t="shared" si="28"/>
        <v>565.52</v>
      </c>
      <c r="N49" s="3">
        <f t="shared" si="29"/>
        <v>28276</v>
      </c>
      <c r="O49" s="66">
        <f t="shared" si="30"/>
        <v>7069</v>
      </c>
      <c r="P49" s="3">
        <f t="shared" si="31"/>
        <v>28276</v>
      </c>
      <c r="Q49" s="66">
        <f t="shared" si="32"/>
        <v>565.52</v>
      </c>
      <c r="R49" s="3">
        <f t="shared" si="33"/>
        <v>28276</v>
      </c>
      <c r="S49" s="66">
        <f t="shared" si="34"/>
        <v>7069</v>
      </c>
    </row>
    <row r="50" spans="1:19" s="3" customFormat="1" ht="13.15" customHeight="1" outlineLevel="1">
      <c r="A50" s="65" t="s">
        <v>255</v>
      </c>
      <c r="B50" s="65" t="s">
        <v>494</v>
      </c>
      <c r="C50" s="1936" t="s">
        <v>1602</v>
      </c>
      <c r="D50" s="1938" t="s">
        <v>1603</v>
      </c>
      <c r="E50" s="1928" t="s">
        <v>143</v>
      </c>
      <c r="F50" s="1930">
        <f t="shared" si="23"/>
        <v>339312</v>
      </c>
      <c r="G50" s="1928" t="s">
        <v>143</v>
      </c>
      <c r="H50" s="1930">
        <f t="shared" si="24"/>
        <v>339312</v>
      </c>
      <c r="I50" s="1929">
        <f t="shared" si="25"/>
        <v>0</v>
      </c>
      <c r="J50" s="1928" t="s">
        <v>143</v>
      </c>
      <c r="K50" s="1927">
        <f t="shared" si="26"/>
        <v>339312</v>
      </c>
      <c r="L50" s="3">
        <f t="shared" si="27"/>
        <v>28276</v>
      </c>
      <c r="M50" s="66">
        <f t="shared" si="28"/>
        <v>565.52</v>
      </c>
      <c r="N50" s="3">
        <f t="shared" si="29"/>
        <v>28276</v>
      </c>
      <c r="O50" s="66">
        <f t="shared" si="30"/>
        <v>7069</v>
      </c>
      <c r="P50" s="3">
        <f t="shared" si="31"/>
        <v>28276</v>
      </c>
      <c r="Q50" s="66">
        <f t="shared" si="32"/>
        <v>565.52</v>
      </c>
      <c r="R50" s="3">
        <f t="shared" si="33"/>
        <v>28276</v>
      </c>
      <c r="S50" s="66">
        <f t="shared" si="34"/>
        <v>7069</v>
      </c>
    </row>
    <row r="51" spans="1:19" s="3" customFormat="1" ht="13.15" customHeight="1" outlineLevel="1">
      <c r="A51" s="65" t="s">
        <v>507</v>
      </c>
      <c r="B51" s="65" t="s">
        <v>501</v>
      </c>
      <c r="C51" s="1936" t="s">
        <v>1602</v>
      </c>
      <c r="D51" s="1938" t="s">
        <v>245</v>
      </c>
      <c r="E51" s="1937" t="s">
        <v>143</v>
      </c>
      <c r="F51" s="1930">
        <f t="shared" si="23"/>
        <v>339312</v>
      </c>
      <c r="G51" s="1937" t="s">
        <v>143</v>
      </c>
      <c r="H51" s="1930">
        <f t="shared" si="24"/>
        <v>339312</v>
      </c>
      <c r="I51" s="1929">
        <f t="shared" si="25"/>
        <v>0</v>
      </c>
      <c r="J51" s="1937" t="s">
        <v>143</v>
      </c>
      <c r="K51" s="1927">
        <f t="shared" si="26"/>
        <v>339312</v>
      </c>
      <c r="L51" s="3">
        <f t="shared" si="27"/>
        <v>28276</v>
      </c>
      <c r="M51" s="66">
        <f t="shared" si="28"/>
        <v>565.52</v>
      </c>
      <c r="N51" s="3">
        <f t="shared" si="29"/>
        <v>28276</v>
      </c>
      <c r="O51" s="66">
        <f t="shared" si="30"/>
        <v>7069</v>
      </c>
      <c r="P51" s="3">
        <f t="shared" si="31"/>
        <v>28276</v>
      </c>
      <c r="Q51" s="66">
        <f t="shared" si="32"/>
        <v>565.52</v>
      </c>
      <c r="R51" s="3">
        <f t="shared" si="33"/>
        <v>28276</v>
      </c>
      <c r="S51" s="66">
        <f t="shared" si="34"/>
        <v>7069</v>
      </c>
    </row>
    <row r="52" spans="1:19" s="3" customFormat="1" ht="13.15" customHeight="1" outlineLevel="1">
      <c r="A52" s="65" t="s">
        <v>498</v>
      </c>
      <c r="B52" s="65" t="s">
        <v>491</v>
      </c>
      <c r="C52" s="1936" t="s">
        <v>1592</v>
      </c>
      <c r="D52" s="1933" t="s">
        <v>1601</v>
      </c>
      <c r="E52" s="1928" t="s">
        <v>154</v>
      </c>
      <c r="F52" s="1930">
        <f t="shared" si="23"/>
        <v>304068</v>
      </c>
      <c r="G52" s="1928" t="s">
        <v>154</v>
      </c>
      <c r="H52" s="1930">
        <f t="shared" si="24"/>
        <v>304068</v>
      </c>
      <c r="I52" s="1929">
        <f t="shared" si="25"/>
        <v>0</v>
      </c>
      <c r="J52" s="1928" t="s">
        <v>154</v>
      </c>
      <c r="K52" s="1927">
        <f t="shared" si="26"/>
        <v>304068</v>
      </c>
      <c r="L52" s="3">
        <f t="shared" si="27"/>
        <v>25339</v>
      </c>
      <c r="M52" s="66">
        <f t="shared" si="28"/>
        <v>506.78000000000003</v>
      </c>
      <c r="N52" s="3">
        <f t="shared" si="29"/>
        <v>25339</v>
      </c>
      <c r="O52" s="66">
        <f t="shared" si="30"/>
        <v>6334.75</v>
      </c>
      <c r="P52" s="3">
        <f t="shared" si="31"/>
        <v>25339</v>
      </c>
      <c r="Q52" s="66">
        <f t="shared" si="32"/>
        <v>506.78000000000003</v>
      </c>
      <c r="R52" s="3">
        <f t="shared" si="33"/>
        <v>25339</v>
      </c>
      <c r="S52" s="66">
        <f t="shared" si="34"/>
        <v>6334.75</v>
      </c>
    </row>
    <row r="53" spans="1:19" s="3" customFormat="1" ht="13.15" customHeight="1" outlineLevel="1">
      <c r="A53" s="65" t="s">
        <v>510</v>
      </c>
      <c r="B53" s="65" t="s">
        <v>493</v>
      </c>
      <c r="C53" s="1936" t="s">
        <v>1592</v>
      </c>
      <c r="D53" s="1938" t="s">
        <v>1600</v>
      </c>
      <c r="E53" s="1928" t="s">
        <v>155</v>
      </c>
      <c r="F53" s="1930">
        <f t="shared" si="23"/>
        <v>300456</v>
      </c>
      <c r="G53" s="1928" t="s">
        <v>155</v>
      </c>
      <c r="H53" s="1930">
        <f t="shared" si="24"/>
        <v>300456</v>
      </c>
      <c r="I53" s="1929">
        <f t="shared" si="25"/>
        <v>0</v>
      </c>
      <c r="J53" s="1928" t="s">
        <v>155</v>
      </c>
      <c r="K53" s="1927">
        <f t="shared" si="26"/>
        <v>300456</v>
      </c>
      <c r="L53" s="3">
        <f t="shared" si="27"/>
        <v>25038</v>
      </c>
      <c r="M53" s="66">
        <f t="shared" si="28"/>
        <v>500.76</v>
      </c>
      <c r="N53" s="3">
        <f t="shared" si="29"/>
        <v>25038</v>
      </c>
      <c r="O53" s="66">
        <f t="shared" si="30"/>
        <v>6259.5</v>
      </c>
      <c r="P53" s="3">
        <f t="shared" si="31"/>
        <v>25038</v>
      </c>
      <c r="Q53" s="66">
        <f t="shared" si="32"/>
        <v>500.76</v>
      </c>
      <c r="R53" s="3">
        <f t="shared" si="33"/>
        <v>25038</v>
      </c>
      <c r="S53" s="66">
        <f t="shared" si="34"/>
        <v>6259.5</v>
      </c>
    </row>
    <row r="54" spans="1:19" s="3" customFormat="1" ht="13.15" customHeight="1" outlineLevel="1">
      <c r="A54" s="65" t="s">
        <v>494</v>
      </c>
      <c r="B54" s="65" t="s">
        <v>490</v>
      </c>
      <c r="C54" s="1936" t="s">
        <v>1592</v>
      </c>
      <c r="D54" s="1935" t="s">
        <v>1599</v>
      </c>
      <c r="E54" s="1928" t="s">
        <v>155</v>
      </c>
      <c r="F54" s="1930">
        <f t="shared" si="23"/>
        <v>300456</v>
      </c>
      <c r="G54" s="1928" t="s">
        <v>155</v>
      </c>
      <c r="H54" s="1930">
        <f t="shared" si="24"/>
        <v>300456</v>
      </c>
      <c r="I54" s="1929">
        <f t="shared" si="25"/>
        <v>0</v>
      </c>
      <c r="J54" s="1928" t="s">
        <v>155</v>
      </c>
      <c r="K54" s="1927">
        <f t="shared" si="26"/>
        <v>300456</v>
      </c>
      <c r="L54" s="3">
        <f t="shared" si="27"/>
        <v>25038</v>
      </c>
      <c r="M54" s="66">
        <f t="shared" si="28"/>
        <v>500.76</v>
      </c>
      <c r="N54" s="3">
        <f t="shared" si="29"/>
        <v>25038</v>
      </c>
      <c r="O54" s="66">
        <f t="shared" si="30"/>
        <v>6259.5</v>
      </c>
      <c r="P54" s="3">
        <f t="shared" si="31"/>
        <v>25038</v>
      </c>
      <c r="Q54" s="66">
        <f t="shared" si="32"/>
        <v>500.76</v>
      </c>
      <c r="R54" s="3">
        <f t="shared" si="33"/>
        <v>25038</v>
      </c>
      <c r="S54" s="66">
        <f t="shared" si="34"/>
        <v>6259.5</v>
      </c>
    </row>
    <row r="55" spans="1:19" s="3" customFormat="1" ht="13.15" customHeight="1" outlineLevel="1">
      <c r="A55" s="65" t="s">
        <v>501</v>
      </c>
      <c r="B55" s="65" t="s">
        <v>486</v>
      </c>
      <c r="C55" s="1936" t="s">
        <v>1592</v>
      </c>
      <c r="D55" s="1944" t="s">
        <v>1598</v>
      </c>
      <c r="E55" s="1928" t="s">
        <v>155</v>
      </c>
      <c r="F55" s="1930">
        <f t="shared" si="23"/>
        <v>300456</v>
      </c>
      <c r="G55" s="1928" t="s">
        <v>155</v>
      </c>
      <c r="H55" s="1930">
        <f t="shared" si="24"/>
        <v>300456</v>
      </c>
      <c r="I55" s="1929">
        <f t="shared" si="25"/>
        <v>0</v>
      </c>
      <c r="J55" s="1928" t="s">
        <v>155</v>
      </c>
      <c r="K55" s="1927">
        <f t="shared" si="26"/>
        <v>300456</v>
      </c>
      <c r="L55" s="3">
        <f t="shared" si="27"/>
        <v>25038</v>
      </c>
      <c r="M55" s="66">
        <f t="shared" si="28"/>
        <v>500.76</v>
      </c>
      <c r="N55" s="3">
        <f t="shared" si="29"/>
        <v>25038</v>
      </c>
      <c r="O55" s="66">
        <f t="shared" si="30"/>
        <v>6259.5</v>
      </c>
      <c r="P55" s="3">
        <f t="shared" si="31"/>
        <v>25038</v>
      </c>
      <c r="Q55" s="66">
        <f t="shared" si="32"/>
        <v>500.76</v>
      </c>
      <c r="R55" s="3">
        <f t="shared" si="33"/>
        <v>25038</v>
      </c>
      <c r="S55" s="66">
        <f t="shared" si="34"/>
        <v>6259.5</v>
      </c>
    </row>
    <row r="56" spans="1:19" s="3" customFormat="1" ht="13.15" customHeight="1" outlineLevel="1">
      <c r="A56" s="65" t="s">
        <v>491</v>
      </c>
      <c r="B56" s="65" t="s">
        <v>298</v>
      </c>
      <c r="C56" s="1936" t="s">
        <v>1592</v>
      </c>
      <c r="D56" s="1944" t="s">
        <v>1597</v>
      </c>
      <c r="E56" s="1928" t="s">
        <v>156</v>
      </c>
      <c r="F56" s="1930">
        <f t="shared" si="23"/>
        <v>296904</v>
      </c>
      <c r="G56" s="1928" t="s">
        <v>156</v>
      </c>
      <c r="H56" s="1930">
        <f t="shared" si="24"/>
        <v>296904</v>
      </c>
      <c r="I56" s="1929">
        <f t="shared" si="25"/>
        <v>0</v>
      </c>
      <c r="J56" s="1928" t="s">
        <v>156</v>
      </c>
      <c r="K56" s="1927">
        <f t="shared" si="26"/>
        <v>296904</v>
      </c>
      <c r="L56" s="3">
        <f t="shared" si="27"/>
        <v>24742</v>
      </c>
      <c r="M56" s="66">
        <f t="shared" si="28"/>
        <v>494.84000000000003</v>
      </c>
      <c r="N56" s="3">
        <f t="shared" si="29"/>
        <v>24742</v>
      </c>
      <c r="O56" s="66">
        <f t="shared" si="30"/>
        <v>6185.5</v>
      </c>
      <c r="P56" s="3">
        <f t="shared" si="31"/>
        <v>24742</v>
      </c>
      <c r="Q56" s="66">
        <f t="shared" si="32"/>
        <v>494.84000000000003</v>
      </c>
      <c r="R56" s="3">
        <f t="shared" si="33"/>
        <v>24742</v>
      </c>
      <c r="S56" s="66">
        <f t="shared" si="34"/>
        <v>6185.5</v>
      </c>
    </row>
    <row r="57" spans="1:19" s="3" customFormat="1" ht="13.15" customHeight="1" outlineLevel="1">
      <c r="A57" s="65" t="s">
        <v>493</v>
      </c>
      <c r="B57" s="65" t="s">
        <v>482</v>
      </c>
      <c r="C57" s="1936" t="s">
        <v>1592</v>
      </c>
      <c r="D57" s="1944" t="s">
        <v>1596</v>
      </c>
      <c r="E57" s="1948" t="s">
        <v>156</v>
      </c>
      <c r="F57" s="1930">
        <f t="shared" si="23"/>
        <v>296904</v>
      </c>
      <c r="G57" s="1948" t="s">
        <v>156</v>
      </c>
      <c r="H57" s="1930">
        <f t="shared" si="24"/>
        <v>296904</v>
      </c>
      <c r="I57" s="1929">
        <f t="shared" si="25"/>
        <v>0</v>
      </c>
      <c r="J57" s="1948" t="s">
        <v>156</v>
      </c>
      <c r="K57" s="1927">
        <f t="shared" si="26"/>
        <v>296904</v>
      </c>
      <c r="L57" s="3">
        <f t="shared" si="27"/>
        <v>24742</v>
      </c>
      <c r="M57" s="66">
        <f t="shared" si="28"/>
        <v>494.84000000000003</v>
      </c>
      <c r="N57" s="3">
        <f t="shared" si="29"/>
        <v>24742</v>
      </c>
      <c r="O57" s="66">
        <f t="shared" si="30"/>
        <v>6185.5</v>
      </c>
      <c r="P57" s="3">
        <f t="shared" si="31"/>
        <v>24742</v>
      </c>
      <c r="Q57" s="66">
        <f t="shared" si="32"/>
        <v>494.84000000000003</v>
      </c>
      <c r="R57" s="3">
        <f t="shared" si="33"/>
        <v>24742</v>
      </c>
      <c r="S57" s="66">
        <f t="shared" si="34"/>
        <v>6185.5</v>
      </c>
    </row>
    <row r="58" spans="1:19" s="3" customFormat="1" ht="13.15" customHeight="1" outlineLevel="1">
      <c r="A58" s="65" t="s">
        <v>490</v>
      </c>
      <c r="B58" s="65" t="s">
        <v>479</v>
      </c>
      <c r="C58" s="1936" t="s">
        <v>1592</v>
      </c>
      <c r="D58" s="1938" t="s">
        <v>1595</v>
      </c>
      <c r="E58" s="1928" t="s">
        <v>159</v>
      </c>
      <c r="F58" s="1930">
        <f t="shared" si="23"/>
        <v>286524</v>
      </c>
      <c r="G58" s="1928" t="s">
        <v>159</v>
      </c>
      <c r="H58" s="1930">
        <f t="shared" si="24"/>
        <v>286524</v>
      </c>
      <c r="I58" s="1929">
        <f t="shared" si="25"/>
        <v>0</v>
      </c>
      <c r="J58" s="1928" t="s">
        <v>159</v>
      </c>
      <c r="K58" s="1927">
        <f t="shared" si="26"/>
        <v>286524</v>
      </c>
      <c r="L58" s="3">
        <f t="shared" si="27"/>
        <v>23877</v>
      </c>
      <c r="M58" s="66">
        <f t="shared" si="28"/>
        <v>477.54</v>
      </c>
      <c r="N58" s="3">
        <f t="shared" si="29"/>
        <v>23877</v>
      </c>
      <c r="O58" s="66">
        <f t="shared" si="30"/>
        <v>5969.25</v>
      </c>
      <c r="P58" s="3">
        <f t="shared" si="31"/>
        <v>23877</v>
      </c>
      <c r="Q58" s="66">
        <f t="shared" si="32"/>
        <v>477.54</v>
      </c>
      <c r="R58" s="3">
        <f t="shared" si="33"/>
        <v>23877</v>
      </c>
      <c r="S58" s="66">
        <f t="shared" si="34"/>
        <v>5969.25</v>
      </c>
    </row>
    <row r="59" spans="1:19" s="3" customFormat="1" ht="13.15" customHeight="1" outlineLevel="1">
      <c r="A59" s="65" t="s">
        <v>486</v>
      </c>
      <c r="B59" s="65" t="s">
        <v>1063</v>
      </c>
      <c r="C59" s="1936" t="s">
        <v>1592</v>
      </c>
      <c r="D59" s="1938" t="s">
        <v>1594</v>
      </c>
      <c r="E59" s="1928" t="s">
        <v>159</v>
      </c>
      <c r="F59" s="1930">
        <f t="shared" si="23"/>
        <v>286524</v>
      </c>
      <c r="G59" s="1928" t="s">
        <v>159</v>
      </c>
      <c r="H59" s="1930">
        <f t="shared" si="24"/>
        <v>286524</v>
      </c>
      <c r="I59" s="1929">
        <f t="shared" si="25"/>
        <v>0</v>
      </c>
      <c r="J59" s="1928" t="s">
        <v>159</v>
      </c>
      <c r="K59" s="1927">
        <f t="shared" si="26"/>
        <v>286524</v>
      </c>
      <c r="L59" s="3">
        <f t="shared" si="27"/>
        <v>23877</v>
      </c>
      <c r="M59" s="66">
        <f t="shared" si="28"/>
        <v>477.54</v>
      </c>
      <c r="N59" s="3">
        <f t="shared" si="29"/>
        <v>23877</v>
      </c>
      <c r="O59" s="66">
        <f t="shared" si="30"/>
        <v>5969.25</v>
      </c>
      <c r="P59" s="3">
        <f t="shared" si="31"/>
        <v>23877</v>
      </c>
      <c r="Q59" s="66">
        <f t="shared" si="32"/>
        <v>477.54</v>
      </c>
      <c r="R59" s="3">
        <f t="shared" si="33"/>
        <v>23877</v>
      </c>
      <c r="S59" s="66">
        <f t="shared" si="34"/>
        <v>5969.25</v>
      </c>
    </row>
    <row r="60" spans="1:19" s="3" customFormat="1" ht="13.15" customHeight="1" outlineLevel="1">
      <c r="A60" s="65" t="s">
        <v>298</v>
      </c>
      <c r="B60" s="65" t="s">
        <v>1060</v>
      </c>
      <c r="C60" s="1936" t="s">
        <v>1592</v>
      </c>
      <c r="D60" s="1933" t="s">
        <v>1593</v>
      </c>
      <c r="E60" s="1928" t="s">
        <v>159</v>
      </c>
      <c r="F60" s="1930">
        <f t="shared" si="23"/>
        <v>286524</v>
      </c>
      <c r="G60" s="1928" t="s">
        <v>159</v>
      </c>
      <c r="H60" s="1930">
        <f t="shared" si="24"/>
        <v>286524</v>
      </c>
      <c r="I60" s="1929">
        <f t="shared" si="25"/>
        <v>0</v>
      </c>
      <c r="J60" s="1928" t="s">
        <v>159</v>
      </c>
      <c r="K60" s="1927">
        <f t="shared" si="26"/>
        <v>286524</v>
      </c>
      <c r="L60" s="3">
        <f t="shared" si="27"/>
        <v>23877</v>
      </c>
      <c r="M60" s="66">
        <f t="shared" si="28"/>
        <v>477.54</v>
      </c>
      <c r="N60" s="3">
        <f t="shared" si="29"/>
        <v>23877</v>
      </c>
      <c r="O60" s="66">
        <f t="shared" si="30"/>
        <v>5969.25</v>
      </c>
      <c r="P60" s="3">
        <f t="shared" si="31"/>
        <v>23877</v>
      </c>
      <c r="Q60" s="66">
        <f t="shared" si="32"/>
        <v>477.54</v>
      </c>
      <c r="R60" s="3">
        <f t="shared" si="33"/>
        <v>23877</v>
      </c>
      <c r="S60" s="66">
        <f t="shared" si="34"/>
        <v>5969.25</v>
      </c>
    </row>
    <row r="61" spans="1:19" s="3" customFormat="1" ht="13.15" customHeight="1" outlineLevel="1">
      <c r="A61" s="65" t="s">
        <v>502</v>
      </c>
      <c r="B61" s="65" t="s">
        <v>1058</v>
      </c>
      <c r="C61" s="1936" t="s">
        <v>1592</v>
      </c>
      <c r="D61" s="1938" t="s">
        <v>245</v>
      </c>
      <c r="E61" s="1928" t="s">
        <v>153</v>
      </c>
      <c r="F61" s="1930">
        <v>307716</v>
      </c>
      <c r="G61" s="1928" t="s">
        <v>159</v>
      </c>
      <c r="H61" s="1930">
        <f t="shared" si="24"/>
        <v>286524</v>
      </c>
      <c r="I61" s="1929">
        <f t="shared" si="25"/>
        <v>-21192</v>
      </c>
      <c r="J61" s="1928" t="s">
        <v>159</v>
      </c>
      <c r="K61" s="1927">
        <f t="shared" si="26"/>
        <v>286524</v>
      </c>
      <c r="L61" s="3">
        <f t="shared" si="27"/>
        <v>23877</v>
      </c>
      <c r="M61" s="66">
        <f t="shared" si="28"/>
        <v>477.54</v>
      </c>
      <c r="N61" s="3">
        <f t="shared" si="29"/>
        <v>23877</v>
      </c>
      <c r="O61" s="66">
        <f t="shared" si="30"/>
        <v>5969.25</v>
      </c>
      <c r="P61" s="3">
        <f t="shared" si="31"/>
        <v>23877</v>
      </c>
      <c r="Q61" s="66">
        <f t="shared" si="32"/>
        <v>477.54</v>
      </c>
      <c r="R61" s="3">
        <f t="shared" si="33"/>
        <v>23877</v>
      </c>
      <c r="S61" s="66">
        <f t="shared" si="34"/>
        <v>5969.25</v>
      </c>
    </row>
    <row r="62" spans="1:19" s="3" customFormat="1" ht="13.15" customHeight="1" outlineLevel="1">
      <c r="A62" s="65" t="s">
        <v>479</v>
      </c>
      <c r="B62" s="65" t="s">
        <v>901</v>
      </c>
      <c r="C62" s="1936" t="s">
        <v>1578</v>
      </c>
      <c r="D62" s="1933" t="s">
        <v>1591</v>
      </c>
      <c r="E62" s="1928" t="s">
        <v>173</v>
      </c>
      <c r="F62" s="1930">
        <f t="shared" ref="F62:F77" si="35">IF(E62="ABOLISHED",0, (VLOOKUP(E62,$A$126:$B$365,2,FALSE)*12))</f>
        <v>239064</v>
      </c>
      <c r="G62" s="1928" t="s">
        <v>173</v>
      </c>
      <c r="H62" s="1930">
        <f t="shared" si="24"/>
        <v>239064</v>
      </c>
      <c r="I62" s="1929">
        <f t="shared" si="25"/>
        <v>0</v>
      </c>
      <c r="J62" s="1928" t="s">
        <v>173</v>
      </c>
      <c r="K62" s="1927">
        <f t="shared" si="26"/>
        <v>239064</v>
      </c>
      <c r="L62" s="3">
        <f t="shared" si="27"/>
        <v>19922</v>
      </c>
      <c r="M62" s="66">
        <f t="shared" si="28"/>
        <v>398.44</v>
      </c>
      <c r="N62" s="3">
        <f t="shared" si="29"/>
        <v>19922</v>
      </c>
      <c r="O62" s="66">
        <f t="shared" si="30"/>
        <v>4980.5</v>
      </c>
      <c r="P62" s="3">
        <f t="shared" si="31"/>
        <v>19922</v>
      </c>
      <c r="Q62" s="66">
        <f t="shared" si="32"/>
        <v>398.44</v>
      </c>
      <c r="R62" s="3">
        <f t="shared" si="33"/>
        <v>19922</v>
      </c>
      <c r="S62" s="66">
        <f t="shared" si="34"/>
        <v>4980.5</v>
      </c>
    </row>
    <row r="63" spans="1:19" s="3" customFormat="1" ht="13.15" customHeight="1" outlineLevel="1">
      <c r="A63" s="65" t="s">
        <v>1063</v>
      </c>
      <c r="B63" s="65" t="s">
        <v>895</v>
      </c>
      <c r="C63" s="1936" t="s">
        <v>1578</v>
      </c>
      <c r="D63" s="1944" t="s">
        <v>1590</v>
      </c>
      <c r="E63" s="1928" t="s">
        <v>174</v>
      </c>
      <c r="F63" s="1930">
        <f t="shared" si="35"/>
        <v>237084</v>
      </c>
      <c r="G63" s="1928" t="s">
        <v>174</v>
      </c>
      <c r="H63" s="1930">
        <f t="shared" si="24"/>
        <v>237084</v>
      </c>
      <c r="I63" s="1929">
        <f t="shared" si="25"/>
        <v>0</v>
      </c>
      <c r="J63" s="1928" t="s">
        <v>174</v>
      </c>
      <c r="K63" s="1927">
        <f t="shared" si="26"/>
        <v>237084</v>
      </c>
      <c r="L63" s="3">
        <f t="shared" si="27"/>
        <v>19757</v>
      </c>
      <c r="M63" s="66">
        <f t="shared" si="28"/>
        <v>395.14</v>
      </c>
      <c r="N63" s="3">
        <f t="shared" si="29"/>
        <v>19757</v>
      </c>
      <c r="O63" s="66">
        <f t="shared" si="30"/>
        <v>4939.25</v>
      </c>
      <c r="P63" s="3">
        <f t="shared" si="31"/>
        <v>19757</v>
      </c>
      <c r="Q63" s="66">
        <f t="shared" si="32"/>
        <v>395.14</v>
      </c>
      <c r="R63" s="3">
        <f t="shared" si="33"/>
        <v>19757</v>
      </c>
      <c r="S63" s="66">
        <f t="shared" si="34"/>
        <v>4939.25</v>
      </c>
    </row>
    <row r="64" spans="1:19" s="3" customFormat="1" ht="13.15" customHeight="1" outlineLevel="1">
      <c r="A64" s="65" t="s">
        <v>1060</v>
      </c>
      <c r="B64" s="65" t="s">
        <v>900</v>
      </c>
      <c r="C64" s="1936" t="s">
        <v>1578</v>
      </c>
      <c r="D64" s="1944" t="s">
        <v>1589</v>
      </c>
      <c r="E64" s="1928" t="s">
        <v>174</v>
      </c>
      <c r="F64" s="1930">
        <f t="shared" si="35"/>
        <v>237084</v>
      </c>
      <c r="G64" s="1928" t="s">
        <v>174</v>
      </c>
      <c r="H64" s="1930">
        <f t="shared" si="24"/>
        <v>237084</v>
      </c>
      <c r="I64" s="1929">
        <f t="shared" si="25"/>
        <v>0</v>
      </c>
      <c r="J64" s="1928" t="s">
        <v>174</v>
      </c>
      <c r="K64" s="1927">
        <f t="shared" si="26"/>
        <v>237084</v>
      </c>
      <c r="L64" s="3">
        <f t="shared" si="27"/>
        <v>19757</v>
      </c>
      <c r="M64" s="66">
        <f t="shared" si="28"/>
        <v>395.14</v>
      </c>
      <c r="N64" s="3">
        <f t="shared" si="29"/>
        <v>19757</v>
      </c>
      <c r="O64" s="66">
        <f t="shared" si="30"/>
        <v>4939.25</v>
      </c>
      <c r="P64" s="3">
        <f t="shared" si="31"/>
        <v>19757</v>
      </c>
      <c r="Q64" s="66">
        <f t="shared" si="32"/>
        <v>395.14</v>
      </c>
      <c r="R64" s="3">
        <f t="shared" si="33"/>
        <v>19757</v>
      </c>
      <c r="S64" s="66">
        <f t="shared" si="34"/>
        <v>4939.25</v>
      </c>
    </row>
    <row r="65" spans="1:19" s="3" customFormat="1" ht="13.15" customHeight="1" outlineLevel="1">
      <c r="A65" s="65" t="s">
        <v>1058</v>
      </c>
      <c r="B65" s="65" t="s">
        <v>1053</v>
      </c>
      <c r="C65" s="1936" t="s">
        <v>1578</v>
      </c>
      <c r="D65" s="1938" t="s">
        <v>1588</v>
      </c>
      <c r="E65" s="1928" t="s">
        <v>174</v>
      </c>
      <c r="F65" s="1930">
        <f t="shared" si="35"/>
        <v>237084</v>
      </c>
      <c r="G65" s="1928" t="s">
        <v>174</v>
      </c>
      <c r="H65" s="1930">
        <f t="shared" si="24"/>
        <v>237084</v>
      </c>
      <c r="I65" s="1929">
        <f t="shared" si="25"/>
        <v>0</v>
      </c>
      <c r="J65" s="1928" t="s">
        <v>174</v>
      </c>
      <c r="K65" s="1927">
        <f t="shared" si="26"/>
        <v>237084</v>
      </c>
      <c r="L65" s="3">
        <f t="shared" si="27"/>
        <v>19757</v>
      </c>
      <c r="M65" s="66">
        <f t="shared" si="28"/>
        <v>395.14</v>
      </c>
      <c r="N65" s="3">
        <f t="shared" si="29"/>
        <v>19757</v>
      </c>
      <c r="O65" s="66">
        <f t="shared" si="30"/>
        <v>4939.25</v>
      </c>
      <c r="P65" s="3">
        <f t="shared" si="31"/>
        <v>19757</v>
      </c>
      <c r="Q65" s="66">
        <f t="shared" si="32"/>
        <v>395.14</v>
      </c>
      <c r="R65" s="3">
        <f t="shared" si="33"/>
        <v>19757</v>
      </c>
      <c r="S65" s="66">
        <f t="shared" si="34"/>
        <v>4939.25</v>
      </c>
    </row>
    <row r="66" spans="1:19" s="3" customFormat="1" ht="13.15" customHeight="1" outlineLevel="1">
      <c r="A66" s="65" t="s">
        <v>901</v>
      </c>
      <c r="B66" s="65" t="s">
        <v>994</v>
      </c>
      <c r="C66" s="1936" t="s">
        <v>1578</v>
      </c>
      <c r="D66" s="1938" t="s">
        <v>1587</v>
      </c>
      <c r="E66" s="1928" t="s">
        <v>174</v>
      </c>
      <c r="F66" s="1930">
        <f t="shared" si="35"/>
        <v>237084</v>
      </c>
      <c r="G66" s="1928" t="s">
        <v>174</v>
      </c>
      <c r="H66" s="1930">
        <f t="shared" si="24"/>
        <v>237084</v>
      </c>
      <c r="I66" s="1929">
        <f t="shared" si="25"/>
        <v>0</v>
      </c>
      <c r="J66" s="1928" t="s">
        <v>174</v>
      </c>
      <c r="K66" s="1927">
        <f t="shared" si="26"/>
        <v>237084</v>
      </c>
      <c r="L66" s="3">
        <f t="shared" si="27"/>
        <v>19757</v>
      </c>
      <c r="M66" s="66">
        <f t="shared" si="28"/>
        <v>395.14</v>
      </c>
      <c r="N66" s="3">
        <f t="shared" si="29"/>
        <v>19757</v>
      </c>
      <c r="O66" s="66">
        <f t="shared" si="30"/>
        <v>4939.25</v>
      </c>
      <c r="P66" s="3">
        <f t="shared" si="31"/>
        <v>19757</v>
      </c>
      <c r="Q66" s="66">
        <f t="shared" si="32"/>
        <v>395.14</v>
      </c>
      <c r="R66" s="3">
        <f t="shared" si="33"/>
        <v>19757</v>
      </c>
      <c r="S66" s="66">
        <f t="shared" si="34"/>
        <v>4939.25</v>
      </c>
    </row>
    <row r="67" spans="1:19" s="3" customFormat="1" ht="13.15" customHeight="1" outlineLevel="1">
      <c r="A67" s="65" t="s">
        <v>895</v>
      </c>
      <c r="B67" s="65" t="s">
        <v>1049</v>
      </c>
      <c r="C67" s="1936" t="s">
        <v>1578</v>
      </c>
      <c r="D67" s="1933" t="s">
        <v>1586</v>
      </c>
      <c r="E67" s="1928" t="s">
        <v>175</v>
      </c>
      <c r="F67" s="1930">
        <f t="shared" si="35"/>
        <v>235116</v>
      </c>
      <c r="G67" s="1928" t="s">
        <v>175</v>
      </c>
      <c r="H67" s="1930">
        <f t="shared" si="24"/>
        <v>235116</v>
      </c>
      <c r="I67" s="1929">
        <f t="shared" si="25"/>
        <v>0</v>
      </c>
      <c r="J67" s="1928" t="s">
        <v>175</v>
      </c>
      <c r="K67" s="1927">
        <f t="shared" si="26"/>
        <v>235116</v>
      </c>
      <c r="L67" s="3">
        <f t="shared" si="27"/>
        <v>19593</v>
      </c>
      <c r="M67" s="66">
        <f t="shared" si="28"/>
        <v>391.86</v>
      </c>
      <c r="N67" s="3">
        <f t="shared" si="29"/>
        <v>19593</v>
      </c>
      <c r="O67" s="66">
        <f t="shared" si="30"/>
        <v>4898.25</v>
      </c>
      <c r="P67" s="3">
        <f t="shared" si="31"/>
        <v>19593</v>
      </c>
      <c r="Q67" s="66">
        <f t="shared" si="32"/>
        <v>391.86</v>
      </c>
      <c r="R67" s="3">
        <f t="shared" si="33"/>
        <v>19593</v>
      </c>
      <c r="S67" s="66">
        <f t="shared" si="34"/>
        <v>4898.25</v>
      </c>
    </row>
    <row r="68" spans="1:19" s="3" customFormat="1" ht="13.15" customHeight="1" outlineLevel="1">
      <c r="A68" s="65" t="s">
        <v>900</v>
      </c>
      <c r="B68" s="65" t="s">
        <v>1046</v>
      </c>
      <c r="C68" s="1936" t="s">
        <v>1578</v>
      </c>
      <c r="D68" s="1933" t="s">
        <v>1585</v>
      </c>
      <c r="E68" s="1928" t="s">
        <v>175</v>
      </c>
      <c r="F68" s="1930">
        <f t="shared" si="35"/>
        <v>235116</v>
      </c>
      <c r="G68" s="1928" t="s">
        <v>175</v>
      </c>
      <c r="H68" s="1930">
        <f t="shared" si="24"/>
        <v>235116</v>
      </c>
      <c r="I68" s="1929">
        <f t="shared" si="25"/>
        <v>0</v>
      </c>
      <c r="J68" s="1928" t="s">
        <v>175</v>
      </c>
      <c r="K68" s="1927">
        <f t="shared" si="26"/>
        <v>235116</v>
      </c>
      <c r="L68" s="3">
        <f t="shared" si="27"/>
        <v>19593</v>
      </c>
      <c r="M68" s="66">
        <f t="shared" si="28"/>
        <v>391.86</v>
      </c>
      <c r="N68" s="3">
        <f t="shared" si="29"/>
        <v>19593</v>
      </c>
      <c r="O68" s="66">
        <f t="shared" si="30"/>
        <v>4898.25</v>
      </c>
      <c r="P68" s="3">
        <f t="shared" si="31"/>
        <v>19593</v>
      </c>
      <c r="Q68" s="66">
        <f t="shared" si="32"/>
        <v>391.86</v>
      </c>
      <c r="R68" s="3">
        <f t="shared" si="33"/>
        <v>19593</v>
      </c>
      <c r="S68" s="66">
        <f t="shared" si="34"/>
        <v>4898.25</v>
      </c>
    </row>
    <row r="69" spans="1:19" s="3" customFormat="1" ht="13.15" customHeight="1" outlineLevel="1">
      <c r="A69" s="65" t="s">
        <v>1053</v>
      </c>
      <c r="B69" s="65" t="s">
        <v>1044</v>
      </c>
      <c r="C69" s="1936" t="s">
        <v>1578</v>
      </c>
      <c r="D69" s="1933" t="s">
        <v>1584</v>
      </c>
      <c r="E69" s="1928" t="s">
        <v>175</v>
      </c>
      <c r="F69" s="1930">
        <f t="shared" si="35"/>
        <v>235116</v>
      </c>
      <c r="G69" s="1928" t="s">
        <v>175</v>
      </c>
      <c r="H69" s="1930">
        <f t="shared" si="24"/>
        <v>235116</v>
      </c>
      <c r="I69" s="1929">
        <f t="shared" si="25"/>
        <v>0</v>
      </c>
      <c r="J69" s="1928" t="s">
        <v>175</v>
      </c>
      <c r="K69" s="1927">
        <f t="shared" si="26"/>
        <v>235116</v>
      </c>
      <c r="L69" s="3">
        <f t="shared" si="27"/>
        <v>19593</v>
      </c>
      <c r="M69" s="66">
        <f t="shared" si="28"/>
        <v>391.86</v>
      </c>
      <c r="N69" s="3">
        <f t="shared" si="29"/>
        <v>19593</v>
      </c>
      <c r="O69" s="66">
        <f t="shared" si="30"/>
        <v>4898.25</v>
      </c>
      <c r="P69" s="3">
        <f t="shared" si="31"/>
        <v>19593</v>
      </c>
      <c r="Q69" s="66">
        <f t="shared" si="32"/>
        <v>391.86</v>
      </c>
      <c r="R69" s="3">
        <f t="shared" si="33"/>
        <v>19593</v>
      </c>
      <c r="S69" s="66">
        <f t="shared" si="34"/>
        <v>4898.25</v>
      </c>
    </row>
    <row r="70" spans="1:19" s="3" customFormat="1" ht="13.15" customHeight="1" outlineLevel="1">
      <c r="A70" s="65" t="s">
        <v>994</v>
      </c>
      <c r="B70" s="65" t="s">
        <v>1041</v>
      </c>
      <c r="C70" s="1936" t="s">
        <v>1578</v>
      </c>
      <c r="D70" s="1933" t="s">
        <v>1583</v>
      </c>
      <c r="E70" s="1928" t="s">
        <v>175</v>
      </c>
      <c r="F70" s="1930">
        <f t="shared" si="35"/>
        <v>235116</v>
      </c>
      <c r="G70" s="1928" t="s">
        <v>175</v>
      </c>
      <c r="H70" s="1930">
        <f t="shared" si="24"/>
        <v>235116</v>
      </c>
      <c r="I70" s="1929">
        <f t="shared" si="25"/>
        <v>0</v>
      </c>
      <c r="J70" s="1928" t="s">
        <v>175</v>
      </c>
      <c r="K70" s="1927">
        <f t="shared" si="26"/>
        <v>235116</v>
      </c>
      <c r="L70" s="3">
        <f t="shared" si="27"/>
        <v>19593</v>
      </c>
      <c r="M70" s="66">
        <f t="shared" si="28"/>
        <v>391.86</v>
      </c>
      <c r="N70" s="3">
        <f t="shared" si="29"/>
        <v>19593</v>
      </c>
      <c r="O70" s="66">
        <f t="shared" si="30"/>
        <v>4898.25</v>
      </c>
      <c r="P70" s="3">
        <f t="shared" si="31"/>
        <v>19593</v>
      </c>
      <c r="Q70" s="66">
        <f t="shared" si="32"/>
        <v>391.86</v>
      </c>
      <c r="R70" s="3">
        <f t="shared" si="33"/>
        <v>19593</v>
      </c>
      <c r="S70" s="66">
        <f t="shared" si="34"/>
        <v>4898.25</v>
      </c>
    </row>
    <row r="71" spans="1:19" s="3" customFormat="1" ht="13.15" customHeight="1" outlineLevel="1">
      <c r="A71" s="65" t="s">
        <v>1049</v>
      </c>
      <c r="B71" s="65" t="s">
        <v>1025</v>
      </c>
      <c r="C71" s="1936" t="s">
        <v>1578</v>
      </c>
      <c r="D71" s="1933" t="s">
        <v>1582</v>
      </c>
      <c r="E71" s="1928" t="s">
        <v>175</v>
      </c>
      <c r="F71" s="1930">
        <f t="shared" si="35"/>
        <v>235116</v>
      </c>
      <c r="G71" s="1928" t="s">
        <v>175</v>
      </c>
      <c r="H71" s="1930">
        <f t="shared" si="24"/>
        <v>235116</v>
      </c>
      <c r="I71" s="1929">
        <f t="shared" si="25"/>
        <v>0</v>
      </c>
      <c r="J71" s="1928" t="s">
        <v>175</v>
      </c>
      <c r="K71" s="1927">
        <f t="shared" si="26"/>
        <v>235116</v>
      </c>
      <c r="L71" s="3">
        <f t="shared" si="27"/>
        <v>19593</v>
      </c>
      <c r="M71" s="66">
        <f t="shared" si="28"/>
        <v>391.86</v>
      </c>
      <c r="N71" s="3">
        <f t="shared" si="29"/>
        <v>19593</v>
      </c>
      <c r="O71" s="66">
        <f t="shared" si="30"/>
        <v>4898.25</v>
      </c>
      <c r="P71" s="3">
        <f t="shared" si="31"/>
        <v>19593</v>
      </c>
      <c r="Q71" s="66">
        <f t="shared" si="32"/>
        <v>391.86</v>
      </c>
      <c r="R71" s="3">
        <f t="shared" si="33"/>
        <v>19593</v>
      </c>
      <c r="S71" s="66">
        <f t="shared" si="34"/>
        <v>4898.25</v>
      </c>
    </row>
    <row r="72" spans="1:19" s="3" customFormat="1" ht="12.75" customHeight="1" outlineLevel="1">
      <c r="A72" s="65" t="s">
        <v>1046</v>
      </c>
      <c r="B72" s="65" t="s">
        <v>1034</v>
      </c>
      <c r="C72" s="1936" t="s">
        <v>1578</v>
      </c>
      <c r="D72" s="1933" t="s">
        <v>1581</v>
      </c>
      <c r="E72" s="1928" t="s">
        <v>175</v>
      </c>
      <c r="F72" s="1930">
        <f t="shared" si="35"/>
        <v>235116</v>
      </c>
      <c r="G72" s="1928" t="s">
        <v>175</v>
      </c>
      <c r="H72" s="1930">
        <f t="shared" si="24"/>
        <v>235116</v>
      </c>
      <c r="I72" s="1929">
        <f t="shared" si="25"/>
        <v>0</v>
      </c>
      <c r="J72" s="1928" t="s">
        <v>175</v>
      </c>
      <c r="K72" s="1927">
        <f t="shared" si="26"/>
        <v>235116</v>
      </c>
      <c r="L72" s="3">
        <f t="shared" si="27"/>
        <v>19593</v>
      </c>
      <c r="M72" s="66">
        <f t="shared" si="28"/>
        <v>391.86</v>
      </c>
      <c r="N72" s="3">
        <f t="shared" si="29"/>
        <v>19593</v>
      </c>
      <c r="O72" s="66">
        <f t="shared" si="30"/>
        <v>4898.25</v>
      </c>
      <c r="P72" s="3">
        <f t="shared" si="31"/>
        <v>19593</v>
      </c>
      <c r="Q72" s="66">
        <f t="shared" si="32"/>
        <v>391.86</v>
      </c>
      <c r="R72" s="3">
        <f t="shared" si="33"/>
        <v>19593</v>
      </c>
      <c r="S72" s="66">
        <f t="shared" si="34"/>
        <v>4898.25</v>
      </c>
    </row>
    <row r="73" spans="1:19" s="3" customFormat="1" ht="13.15" customHeight="1" outlineLevel="1">
      <c r="A73" s="65" t="s">
        <v>1044</v>
      </c>
      <c r="B73" s="65" t="s">
        <v>1030</v>
      </c>
      <c r="C73" s="1936" t="s">
        <v>1578</v>
      </c>
      <c r="D73" s="1933" t="s">
        <v>1580</v>
      </c>
      <c r="E73" s="1928" t="s">
        <v>175</v>
      </c>
      <c r="F73" s="1930">
        <f t="shared" si="35"/>
        <v>235116</v>
      </c>
      <c r="G73" s="1928" t="s">
        <v>175</v>
      </c>
      <c r="H73" s="1930">
        <f t="shared" si="24"/>
        <v>235116</v>
      </c>
      <c r="I73" s="1929">
        <f t="shared" si="25"/>
        <v>0</v>
      </c>
      <c r="J73" s="1928" t="s">
        <v>175</v>
      </c>
      <c r="K73" s="1927">
        <f t="shared" si="26"/>
        <v>235116</v>
      </c>
      <c r="L73" s="3">
        <f t="shared" si="27"/>
        <v>19593</v>
      </c>
      <c r="M73" s="66">
        <f t="shared" si="28"/>
        <v>391.86</v>
      </c>
      <c r="N73" s="3">
        <f t="shared" si="29"/>
        <v>19593</v>
      </c>
      <c r="O73" s="66">
        <f t="shared" si="30"/>
        <v>4898.25</v>
      </c>
      <c r="P73" s="3">
        <f t="shared" si="31"/>
        <v>19593</v>
      </c>
      <c r="Q73" s="66">
        <f t="shared" si="32"/>
        <v>391.86</v>
      </c>
      <c r="R73" s="3">
        <f t="shared" si="33"/>
        <v>19593</v>
      </c>
      <c r="S73" s="66">
        <f t="shared" si="34"/>
        <v>4898.25</v>
      </c>
    </row>
    <row r="74" spans="1:19" s="3" customFormat="1" ht="13.15" customHeight="1" outlineLevel="1">
      <c r="A74" s="65" t="s">
        <v>1041</v>
      </c>
      <c r="B74" s="65" t="s">
        <v>1035</v>
      </c>
      <c r="C74" s="1936" t="s">
        <v>1578</v>
      </c>
      <c r="D74" s="1933" t="s">
        <v>1579</v>
      </c>
      <c r="E74" s="1928" t="s">
        <v>175</v>
      </c>
      <c r="F74" s="1930">
        <f t="shared" si="35"/>
        <v>235116</v>
      </c>
      <c r="G74" s="1928" t="s">
        <v>175</v>
      </c>
      <c r="H74" s="1930">
        <f t="shared" si="24"/>
        <v>235116</v>
      </c>
      <c r="I74" s="1929">
        <f t="shared" si="25"/>
        <v>0</v>
      </c>
      <c r="J74" s="1928" t="s">
        <v>175</v>
      </c>
      <c r="K74" s="1927">
        <f t="shared" si="26"/>
        <v>235116</v>
      </c>
      <c r="L74" s="3">
        <f t="shared" si="27"/>
        <v>19593</v>
      </c>
      <c r="M74" s="66">
        <f t="shared" si="28"/>
        <v>391.86</v>
      </c>
      <c r="N74" s="3">
        <f t="shared" si="29"/>
        <v>19593</v>
      </c>
      <c r="O74" s="66">
        <f t="shared" si="30"/>
        <v>4898.25</v>
      </c>
      <c r="P74" s="3">
        <f t="shared" si="31"/>
        <v>19593</v>
      </c>
      <c r="Q74" s="66">
        <f t="shared" si="32"/>
        <v>391.86</v>
      </c>
      <c r="R74" s="3">
        <f t="shared" si="33"/>
        <v>19593</v>
      </c>
      <c r="S74" s="66">
        <f t="shared" si="34"/>
        <v>4898.25</v>
      </c>
    </row>
    <row r="75" spans="1:19" s="3" customFormat="1" ht="13.15" customHeight="1" outlineLevel="1">
      <c r="A75" s="65" t="s">
        <v>1025</v>
      </c>
      <c r="B75" s="65" t="s">
        <v>1028</v>
      </c>
      <c r="C75" s="1936" t="s">
        <v>1578</v>
      </c>
      <c r="D75" s="1933" t="s">
        <v>1577</v>
      </c>
      <c r="E75" s="1928" t="s">
        <v>175</v>
      </c>
      <c r="F75" s="1930">
        <f t="shared" si="35"/>
        <v>235116</v>
      </c>
      <c r="G75" s="1928" t="s">
        <v>175</v>
      </c>
      <c r="H75" s="1930">
        <f t="shared" si="24"/>
        <v>235116</v>
      </c>
      <c r="I75" s="1929">
        <f t="shared" si="25"/>
        <v>0</v>
      </c>
      <c r="J75" s="1928" t="s">
        <v>175</v>
      </c>
      <c r="K75" s="1927">
        <f t="shared" si="26"/>
        <v>235116</v>
      </c>
      <c r="L75" s="3">
        <f t="shared" si="27"/>
        <v>19593</v>
      </c>
      <c r="M75" s="66">
        <f t="shared" si="28"/>
        <v>391.86</v>
      </c>
      <c r="N75" s="3">
        <f t="shared" si="29"/>
        <v>19593</v>
      </c>
      <c r="O75" s="66">
        <f t="shared" si="30"/>
        <v>4898.25</v>
      </c>
      <c r="P75" s="3">
        <f t="shared" si="31"/>
        <v>19593</v>
      </c>
      <c r="Q75" s="66">
        <f t="shared" si="32"/>
        <v>391.86</v>
      </c>
      <c r="R75" s="3">
        <f t="shared" si="33"/>
        <v>19593</v>
      </c>
      <c r="S75" s="66">
        <f t="shared" si="34"/>
        <v>4898.25</v>
      </c>
    </row>
    <row r="76" spans="1:19" s="3" customFormat="1" ht="13.15" customHeight="1" outlineLevel="1">
      <c r="A76" s="65" t="s">
        <v>1034</v>
      </c>
      <c r="B76" s="65" t="s">
        <v>1033</v>
      </c>
      <c r="C76" s="1936" t="s">
        <v>1574</v>
      </c>
      <c r="D76" s="1933" t="s">
        <v>1576</v>
      </c>
      <c r="E76" s="1928" t="s">
        <v>175</v>
      </c>
      <c r="F76" s="1930">
        <f t="shared" si="35"/>
        <v>235116</v>
      </c>
      <c r="G76" s="1928" t="s">
        <v>175</v>
      </c>
      <c r="H76" s="1930">
        <f t="shared" si="24"/>
        <v>235116</v>
      </c>
      <c r="I76" s="1929">
        <f t="shared" si="25"/>
        <v>0</v>
      </c>
      <c r="J76" s="1928" t="s">
        <v>175</v>
      </c>
      <c r="K76" s="1927">
        <f t="shared" si="26"/>
        <v>235116</v>
      </c>
      <c r="L76" s="3">
        <f t="shared" si="27"/>
        <v>19593</v>
      </c>
      <c r="M76" s="66">
        <f t="shared" si="28"/>
        <v>391.86</v>
      </c>
      <c r="N76" s="3">
        <f t="shared" si="29"/>
        <v>19593</v>
      </c>
      <c r="O76" s="66">
        <f t="shared" si="30"/>
        <v>4898.25</v>
      </c>
      <c r="P76" s="3">
        <f t="shared" si="31"/>
        <v>19593</v>
      </c>
      <c r="Q76" s="66">
        <f t="shared" si="32"/>
        <v>391.86</v>
      </c>
      <c r="R76" s="3">
        <f t="shared" si="33"/>
        <v>19593</v>
      </c>
      <c r="S76" s="66">
        <f t="shared" si="34"/>
        <v>4898.25</v>
      </c>
    </row>
    <row r="77" spans="1:19" s="3" customFormat="1" ht="13.15" customHeight="1" outlineLevel="1">
      <c r="A77" s="65" t="s">
        <v>1030</v>
      </c>
      <c r="B77" s="65" t="s">
        <v>1021</v>
      </c>
      <c r="C77" s="1936" t="s">
        <v>1574</v>
      </c>
      <c r="D77" s="1933" t="s">
        <v>1575</v>
      </c>
      <c r="E77" s="1928" t="s">
        <v>175</v>
      </c>
      <c r="F77" s="1930">
        <f t="shared" si="35"/>
        <v>235116</v>
      </c>
      <c r="G77" s="1928" t="s">
        <v>175</v>
      </c>
      <c r="H77" s="1930">
        <f t="shared" si="24"/>
        <v>235116</v>
      </c>
      <c r="I77" s="1929">
        <f t="shared" si="25"/>
        <v>0</v>
      </c>
      <c r="J77" s="1928" t="s">
        <v>175</v>
      </c>
      <c r="K77" s="1927">
        <f t="shared" si="26"/>
        <v>235116</v>
      </c>
      <c r="L77" s="3">
        <f t="shared" si="27"/>
        <v>19593</v>
      </c>
      <c r="M77" s="66">
        <f t="shared" si="28"/>
        <v>391.86</v>
      </c>
      <c r="N77" s="3">
        <f t="shared" si="29"/>
        <v>19593</v>
      </c>
      <c r="O77" s="66">
        <f t="shared" si="30"/>
        <v>4898.25</v>
      </c>
      <c r="P77" s="3">
        <f t="shared" si="31"/>
        <v>19593</v>
      </c>
      <c r="Q77" s="66">
        <f t="shared" si="32"/>
        <v>391.86</v>
      </c>
      <c r="R77" s="3">
        <f t="shared" si="33"/>
        <v>19593</v>
      </c>
      <c r="S77" s="66">
        <f t="shared" si="34"/>
        <v>4898.25</v>
      </c>
    </row>
    <row r="78" spans="1:19" s="3" customFormat="1" ht="13.15" customHeight="1" outlineLevel="1">
      <c r="A78" s="65" t="s">
        <v>482</v>
      </c>
      <c r="B78" s="65" t="s">
        <v>1019</v>
      </c>
      <c r="C78" s="1936" t="s">
        <v>1574</v>
      </c>
      <c r="D78" s="1933" t="s">
        <v>245</v>
      </c>
      <c r="E78" s="1928" t="s">
        <v>173</v>
      </c>
      <c r="F78" s="1930">
        <v>239064</v>
      </c>
      <c r="G78" s="1928" t="s">
        <v>175</v>
      </c>
      <c r="H78" s="1930">
        <f t="shared" si="24"/>
        <v>235116</v>
      </c>
      <c r="I78" s="1929">
        <f t="shared" si="25"/>
        <v>-3948</v>
      </c>
      <c r="J78" s="1928" t="s">
        <v>175</v>
      </c>
      <c r="K78" s="1927">
        <f t="shared" si="26"/>
        <v>235116</v>
      </c>
      <c r="L78" s="3">
        <f t="shared" si="27"/>
        <v>19593</v>
      </c>
      <c r="M78" s="66">
        <f t="shared" si="28"/>
        <v>391.86</v>
      </c>
      <c r="N78" s="3">
        <f t="shared" si="29"/>
        <v>19593</v>
      </c>
      <c r="O78" s="66">
        <f t="shared" si="30"/>
        <v>4898.25</v>
      </c>
      <c r="P78" s="3">
        <f t="shared" si="31"/>
        <v>19593</v>
      </c>
      <c r="Q78" s="66">
        <f t="shared" si="32"/>
        <v>391.86</v>
      </c>
      <c r="R78" s="3">
        <f t="shared" si="33"/>
        <v>19593</v>
      </c>
      <c r="S78" s="66">
        <f t="shared" si="34"/>
        <v>4898.25</v>
      </c>
    </row>
    <row r="79" spans="1:19" s="3" customFormat="1" ht="13.15" customHeight="1" outlineLevel="1">
      <c r="A79" s="65"/>
      <c r="B79" s="65"/>
      <c r="C79" s="1941" t="s">
        <v>1573</v>
      </c>
      <c r="D79" s="1935"/>
      <c r="E79" s="1942"/>
      <c r="F79" s="1940" t="s">
        <v>256</v>
      </c>
      <c r="G79" s="1942"/>
      <c r="H79" s="1940" t="s">
        <v>256</v>
      </c>
      <c r="I79" s="1929"/>
      <c r="J79" s="1942"/>
      <c r="K79" s="1927" t="s">
        <v>256</v>
      </c>
      <c r="M79" s="66" t="s">
        <v>256</v>
      </c>
      <c r="O79" s="66" t="s">
        <v>256</v>
      </c>
      <c r="Q79" s="66" t="s">
        <v>256</v>
      </c>
      <c r="S79" s="66" t="s">
        <v>256</v>
      </c>
    </row>
    <row r="80" spans="1:19" s="3" customFormat="1" ht="12.75" customHeight="1" outlineLevel="1">
      <c r="A80" s="65" t="s">
        <v>1035</v>
      </c>
      <c r="B80" s="65" t="s">
        <v>1027</v>
      </c>
      <c r="C80" s="1936" t="s">
        <v>1572</v>
      </c>
      <c r="D80" s="1933" t="s">
        <v>245</v>
      </c>
      <c r="E80" s="1937" t="s">
        <v>143</v>
      </c>
      <c r="F80" s="1930">
        <f t="shared" ref="F80:F88" si="36">IF(E80="ABOLISHED",0, (VLOOKUP(E80,$A$126:$B$365,2,FALSE)*12))</f>
        <v>339312</v>
      </c>
      <c r="G80" s="1937" t="s">
        <v>143</v>
      </c>
      <c r="H80" s="1930">
        <f t="shared" ref="H80:H89" si="37">IF(G80="ABOLISHED",0, (VLOOKUP(G80,$A$126:$B$365,2,FALSE)*12))</f>
        <v>339312</v>
      </c>
      <c r="I80" s="1929">
        <f t="shared" ref="I80:I89" si="38">SUM(H80-F80)</f>
        <v>0</v>
      </c>
      <c r="J80" s="1937" t="s">
        <v>143</v>
      </c>
      <c r="K80" s="1927">
        <f t="shared" ref="K80:K89" si="39">IF(J80="ABOLISHED",0,(VLOOKUP(J80,$A$126:$C$365,3,FALSE)*12))</f>
        <v>339312</v>
      </c>
      <c r="L80" s="3">
        <f t="shared" ref="L80:L89" si="40">SUM(H80/12)</f>
        <v>28276</v>
      </c>
      <c r="M80" s="66">
        <f t="shared" ref="M80:M89" si="41">IF(L80&gt;=80000,1600,SUM(L80*4%)/2)</f>
        <v>565.52</v>
      </c>
      <c r="N80" s="3">
        <f t="shared" ref="N80:N89" si="42">L80</f>
        <v>28276</v>
      </c>
      <c r="O80" s="66">
        <f t="shared" ref="O80:O89" si="43">IF(J80="ABOLISHED",0,IF(INT(LEFT(J80,LEN(J80)-2))&lt;=19,N80*0.25,IF(INT(LEFT(J80,LEN(J80)-2))=20,N80*0.15,IF(INT(LEFT(J80,LEN(J80)-2))=21,N80*0.13,IF(INT(LEFT(J80,LEN(J80)-2))=22,N80*0.12,IF(INT(LEFT(J80,LEN(J80)-2))=23,N80*0.11,IF(INT(LEFT(J80,LEN(J80)-2))&gt;=24,N80*0.1)))))))</f>
        <v>7069</v>
      </c>
      <c r="P80" s="3">
        <f t="shared" ref="P80:P89" si="44">SUM(K80/12)</f>
        <v>28276</v>
      </c>
      <c r="Q80" s="66">
        <f t="shared" ref="Q80:Q89" si="45">IF(P80&gt;=80000,1600,SUM(P80*4%)/2)</f>
        <v>565.52</v>
      </c>
      <c r="R80" s="3">
        <f t="shared" ref="R80:R89" si="46">P80</f>
        <v>28276</v>
      </c>
      <c r="S80" s="66">
        <f t="shared" ref="S80:S89" si="47">IF(J80="ABOLISHED",0,IF(INT(LEFT(J80,LEN(J80)-2))&lt;=19,R80*0.25,IF(INT(LEFT(J80,LEN(J80)-2))=20,R80*0.15,IF(INT(LEFT(J80,LEN(J80)-2))=21,R80*0.13,IF(INT(LEFT(J80,LEN(J80)-2))=22,R80*0.12,IF(INT(LEFT(J80,LEN(J80)-2))=23,R80*0.11,IF(INT(LEFT(J80,LEN(J80)-2))&gt;=24,R80*0.1)))))))</f>
        <v>7069</v>
      </c>
    </row>
    <row r="81" spans="1:19" s="3" customFormat="1" ht="12.75" customHeight="1" outlineLevel="1">
      <c r="A81" s="65" t="s">
        <v>1028</v>
      </c>
      <c r="B81" s="65" t="s">
        <v>1024</v>
      </c>
      <c r="C81" s="1936" t="s">
        <v>1571</v>
      </c>
      <c r="D81" s="1933" t="s">
        <v>1570</v>
      </c>
      <c r="E81" s="1937" t="s">
        <v>159</v>
      </c>
      <c r="F81" s="1930">
        <f t="shared" si="36"/>
        <v>286524</v>
      </c>
      <c r="G81" s="1937" t="s">
        <v>159</v>
      </c>
      <c r="H81" s="1930">
        <f t="shared" si="37"/>
        <v>286524</v>
      </c>
      <c r="I81" s="1929">
        <f t="shared" si="38"/>
        <v>0</v>
      </c>
      <c r="J81" s="1937" t="s">
        <v>159</v>
      </c>
      <c r="K81" s="1927">
        <f t="shared" si="39"/>
        <v>286524</v>
      </c>
      <c r="L81" s="3">
        <f t="shared" si="40"/>
        <v>23877</v>
      </c>
      <c r="M81" s="66">
        <f t="shared" si="41"/>
        <v>477.54</v>
      </c>
      <c r="N81" s="3">
        <f t="shared" si="42"/>
        <v>23877</v>
      </c>
      <c r="O81" s="66">
        <f t="shared" si="43"/>
        <v>5969.25</v>
      </c>
      <c r="P81" s="3">
        <f t="shared" si="44"/>
        <v>23877</v>
      </c>
      <c r="Q81" s="66">
        <f t="shared" si="45"/>
        <v>477.54</v>
      </c>
      <c r="R81" s="3">
        <f t="shared" si="46"/>
        <v>23877</v>
      </c>
      <c r="S81" s="66">
        <f t="shared" si="47"/>
        <v>5969.25</v>
      </c>
    </row>
    <row r="82" spans="1:19" s="3" customFormat="1" ht="13.15" customHeight="1" outlineLevel="1">
      <c r="A82" s="65" t="s">
        <v>1033</v>
      </c>
      <c r="B82" s="65" t="s">
        <v>1016</v>
      </c>
      <c r="C82" s="1934" t="s">
        <v>1569</v>
      </c>
      <c r="D82" s="1946" t="s">
        <v>1568</v>
      </c>
      <c r="E82" s="1937" t="s">
        <v>183</v>
      </c>
      <c r="F82" s="1930">
        <f t="shared" si="36"/>
        <v>219012</v>
      </c>
      <c r="G82" s="1937" t="s">
        <v>183</v>
      </c>
      <c r="H82" s="1930">
        <f t="shared" si="37"/>
        <v>219012</v>
      </c>
      <c r="I82" s="1929">
        <f t="shared" si="38"/>
        <v>0</v>
      </c>
      <c r="J82" s="1937" t="s">
        <v>183</v>
      </c>
      <c r="K82" s="1927">
        <f t="shared" si="39"/>
        <v>219012</v>
      </c>
      <c r="L82" s="3">
        <f t="shared" si="40"/>
        <v>18251</v>
      </c>
      <c r="M82" s="66">
        <f t="shared" si="41"/>
        <v>365.02</v>
      </c>
      <c r="N82" s="3">
        <f t="shared" si="42"/>
        <v>18251</v>
      </c>
      <c r="O82" s="66">
        <f t="shared" si="43"/>
        <v>4562.75</v>
      </c>
      <c r="P82" s="3">
        <f t="shared" si="44"/>
        <v>18251</v>
      </c>
      <c r="Q82" s="66">
        <f t="shared" si="45"/>
        <v>365.02</v>
      </c>
      <c r="R82" s="3">
        <f t="shared" si="46"/>
        <v>18251</v>
      </c>
      <c r="S82" s="66">
        <f t="shared" si="47"/>
        <v>4562.75</v>
      </c>
    </row>
    <row r="83" spans="1:19" s="3" customFormat="1" ht="13.15" customHeight="1" outlineLevel="1">
      <c r="A83" s="65" t="s">
        <v>1027</v>
      </c>
      <c r="B83" s="65" t="s">
        <v>1018</v>
      </c>
      <c r="C83" s="1947" t="s">
        <v>1562</v>
      </c>
      <c r="D83" s="1935" t="s">
        <v>1567</v>
      </c>
      <c r="E83" s="1937" t="s">
        <v>199</v>
      </c>
      <c r="F83" s="1930">
        <f t="shared" si="36"/>
        <v>194400</v>
      </c>
      <c r="G83" s="1937" t="s">
        <v>199</v>
      </c>
      <c r="H83" s="1930">
        <f t="shared" si="37"/>
        <v>194400</v>
      </c>
      <c r="I83" s="1929">
        <f t="shared" si="38"/>
        <v>0</v>
      </c>
      <c r="J83" s="1937" t="s">
        <v>199</v>
      </c>
      <c r="K83" s="1927">
        <f t="shared" si="39"/>
        <v>194400</v>
      </c>
      <c r="L83" s="3">
        <f t="shared" si="40"/>
        <v>16200</v>
      </c>
      <c r="M83" s="66">
        <f t="shared" si="41"/>
        <v>324</v>
      </c>
      <c r="N83" s="3">
        <f t="shared" si="42"/>
        <v>16200</v>
      </c>
      <c r="O83" s="66">
        <f t="shared" si="43"/>
        <v>4050</v>
      </c>
      <c r="P83" s="3">
        <f t="shared" si="44"/>
        <v>16200</v>
      </c>
      <c r="Q83" s="66">
        <f t="shared" si="45"/>
        <v>324</v>
      </c>
      <c r="R83" s="3">
        <f t="shared" si="46"/>
        <v>16200</v>
      </c>
      <c r="S83" s="66">
        <f t="shared" si="47"/>
        <v>4050</v>
      </c>
    </row>
    <row r="84" spans="1:19" s="3" customFormat="1" ht="13.15" customHeight="1" outlineLevel="1">
      <c r="A84" s="65" t="s">
        <v>1024</v>
      </c>
      <c r="B84" s="65" t="s">
        <v>1014</v>
      </c>
      <c r="C84" s="1947" t="s">
        <v>1562</v>
      </c>
      <c r="D84" s="1935" t="s">
        <v>1566</v>
      </c>
      <c r="E84" s="1937" t="s">
        <v>199</v>
      </c>
      <c r="F84" s="1930">
        <f t="shared" si="36"/>
        <v>194400</v>
      </c>
      <c r="G84" s="1937" t="s">
        <v>199</v>
      </c>
      <c r="H84" s="1930">
        <f t="shared" si="37"/>
        <v>194400</v>
      </c>
      <c r="I84" s="1929">
        <f t="shared" si="38"/>
        <v>0</v>
      </c>
      <c r="J84" s="1937" t="s">
        <v>199</v>
      </c>
      <c r="K84" s="1927">
        <f t="shared" si="39"/>
        <v>194400</v>
      </c>
      <c r="L84" s="3">
        <f t="shared" si="40"/>
        <v>16200</v>
      </c>
      <c r="M84" s="66">
        <f t="shared" si="41"/>
        <v>324</v>
      </c>
      <c r="N84" s="3">
        <f t="shared" si="42"/>
        <v>16200</v>
      </c>
      <c r="O84" s="66">
        <f t="shared" si="43"/>
        <v>4050</v>
      </c>
      <c r="P84" s="3">
        <f t="shared" si="44"/>
        <v>16200</v>
      </c>
      <c r="Q84" s="66">
        <f t="shared" si="45"/>
        <v>324</v>
      </c>
      <c r="R84" s="3">
        <f t="shared" si="46"/>
        <v>16200</v>
      </c>
      <c r="S84" s="66">
        <f t="shared" si="47"/>
        <v>4050</v>
      </c>
    </row>
    <row r="85" spans="1:19" s="3" customFormat="1" ht="13.15" customHeight="1" outlineLevel="1">
      <c r="A85" s="65" t="s">
        <v>1016</v>
      </c>
      <c r="B85" s="65" t="s">
        <v>1011</v>
      </c>
      <c r="C85" s="1947" t="s">
        <v>1562</v>
      </c>
      <c r="D85" s="1935" t="s">
        <v>1565</v>
      </c>
      <c r="E85" s="1937" t="s">
        <v>199</v>
      </c>
      <c r="F85" s="1930">
        <f t="shared" si="36"/>
        <v>194400</v>
      </c>
      <c r="G85" s="1937" t="s">
        <v>199</v>
      </c>
      <c r="H85" s="1930">
        <f t="shared" si="37"/>
        <v>194400</v>
      </c>
      <c r="I85" s="1929">
        <f t="shared" si="38"/>
        <v>0</v>
      </c>
      <c r="J85" s="1937" t="s">
        <v>199</v>
      </c>
      <c r="K85" s="1927">
        <f t="shared" si="39"/>
        <v>194400</v>
      </c>
      <c r="L85" s="3">
        <f t="shared" si="40"/>
        <v>16200</v>
      </c>
      <c r="M85" s="66">
        <f t="shared" si="41"/>
        <v>324</v>
      </c>
      <c r="N85" s="3">
        <f t="shared" si="42"/>
        <v>16200</v>
      </c>
      <c r="O85" s="66">
        <f t="shared" si="43"/>
        <v>4050</v>
      </c>
      <c r="P85" s="3">
        <f t="shared" si="44"/>
        <v>16200</v>
      </c>
      <c r="Q85" s="66">
        <f t="shared" si="45"/>
        <v>324</v>
      </c>
      <c r="R85" s="3">
        <f t="shared" si="46"/>
        <v>16200</v>
      </c>
      <c r="S85" s="66">
        <f t="shared" si="47"/>
        <v>4050</v>
      </c>
    </row>
    <row r="86" spans="1:19" s="3" customFormat="1" ht="12.75" customHeight="1" outlineLevel="1">
      <c r="A86" s="65" t="s">
        <v>1018</v>
      </c>
      <c r="B86" s="65" t="s">
        <v>1008</v>
      </c>
      <c r="C86" s="1947" t="s">
        <v>1562</v>
      </c>
      <c r="D86" s="1935" t="s">
        <v>1564</v>
      </c>
      <c r="E86" s="1937" t="s">
        <v>199</v>
      </c>
      <c r="F86" s="1930">
        <f t="shared" si="36"/>
        <v>194400</v>
      </c>
      <c r="G86" s="1937" t="s">
        <v>199</v>
      </c>
      <c r="H86" s="1930">
        <f t="shared" si="37"/>
        <v>194400</v>
      </c>
      <c r="I86" s="1929">
        <f t="shared" si="38"/>
        <v>0</v>
      </c>
      <c r="J86" s="1937" t="s">
        <v>199</v>
      </c>
      <c r="K86" s="1927">
        <f t="shared" si="39"/>
        <v>194400</v>
      </c>
      <c r="L86" s="3">
        <f t="shared" si="40"/>
        <v>16200</v>
      </c>
      <c r="M86" s="66">
        <f t="shared" si="41"/>
        <v>324</v>
      </c>
      <c r="N86" s="3">
        <f t="shared" si="42"/>
        <v>16200</v>
      </c>
      <c r="O86" s="66">
        <f t="shared" si="43"/>
        <v>4050</v>
      </c>
      <c r="P86" s="3">
        <f t="shared" si="44"/>
        <v>16200</v>
      </c>
      <c r="Q86" s="66">
        <f t="shared" si="45"/>
        <v>324</v>
      </c>
      <c r="R86" s="3">
        <f t="shared" si="46"/>
        <v>16200</v>
      </c>
      <c r="S86" s="66">
        <f t="shared" si="47"/>
        <v>4050</v>
      </c>
    </row>
    <row r="87" spans="1:19" s="3" customFormat="1" ht="13.15" customHeight="1" outlineLevel="1">
      <c r="A87" s="65" t="s">
        <v>1021</v>
      </c>
      <c r="B87" s="65" t="s">
        <v>1004</v>
      </c>
      <c r="C87" s="1946" t="s">
        <v>1562</v>
      </c>
      <c r="D87" s="1935" t="s">
        <v>1563</v>
      </c>
      <c r="E87" s="1937" t="s">
        <v>199</v>
      </c>
      <c r="F87" s="1930">
        <f t="shared" si="36"/>
        <v>194400</v>
      </c>
      <c r="G87" s="1937" t="s">
        <v>199</v>
      </c>
      <c r="H87" s="1930">
        <f t="shared" si="37"/>
        <v>194400</v>
      </c>
      <c r="I87" s="1929">
        <f t="shared" si="38"/>
        <v>0</v>
      </c>
      <c r="J87" s="1937" t="s">
        <v>199</v>
      </c>
      <c r="K87" s="1927">
        <f t="shared" si="39"/>
        <v>194400</v>
      </c>
      <c r="L87" s="3">
        <f t="shared" si="40"/>
        <v>16200</v>
      </c>
      <c r="M87" s="66">
        <f t="shared" si="41"/>
        <v>324</v>
      </c>
      <c r="N87" s="3">
        <f t="shared" si="42"/>
        <v>16200</v>
      </c>
      <c r="O87" s="66">
        <f t="shared" si="43"/>
        <v>4050</v>
      </c>
      <c r="P87" s="3">
        <f t="shared" si="44"/>
        <v>16200</v>
      </c>
      <c r="Q87" s="66">
        <f t="shared" si="45"/>
        <v>324</v>
      </c>
      <c r="R87" s="3">
        <f t="shared" si="46"/>
        <v>16200</v>
      </c>
      <c r="S87" s="66">
        <f t="shared" si="47"/>
        <v>4050</v>
      </c>
    </row>
    <row r="88" spans="1:19" s="3" customFormat="1" ht="13.15" customHeight="1" outlineLevel="1">
      <c r="A88" s="65" t="s">
        <v>1019</v>
      </c>
      <c r="B88" s="65" t="s">
        <v>1002</v>
      </c>
      <c r="C88" s="1946" t="s">
        <v>1562</v>
      </c>
      <c r="D88" s="1935" t="s">
        <v>245</v>
      </c>
      <c r="E88" s="1937" t="s">
        <v>199</v>
      </c>
      <c r="F88" s="1930">
        <f t="shared" si="36"/>
        <v>194400</v>
      </c>
      <c r="G88" s="1937" t="s">
        <v>199</v>
      </c>
      <c r="H88" s="1930">
        <f t="shared" si="37"/>
        <v>194400</v>
      </c>
      <c r="I88" s="1929">
        <f t="shared" si="38"/>
        <v>0</v>
      </c>
      <c r="J88" s="1937" t="s">
        <v>199</v>
      </c>
      <c r="K88" s="1927">
        <f t="shared" si="39"/>
        <v>194400</v>
      </c>
      <c r="L88" s="3">
        <f t="shared" si="40"/>
        <v>16200</v>
      </c>
      <c r="M88" s="66">
        <f t="shared" si="41"/>
        <v>324</v>
      </c>
      <c r="N88" s="3">
        <f t="shared" si="42"/>
        <v>16200</v>
      </c>
      <c r="O88" s="66">
        <f t="shared" si="43"/>
        <v>4050</v>
      </c>
      <c r="P88" s="3">
        <f t="shared" si="44"/>
        <v>16200</v>
      </c>
      <c r="Q88" s="66">
        <f t="shared" si="45"/>
        <v>324</v>
      </c>
      <c r="R88" s="3">
        <f t="shared" si="46"/>
        <v>16200</v>
      </c>
      <c r="S88" s="66">
        <f t="shared" si="47"/>
        <v>4050</v>
      </c>
    </row>
    <row r="89" spans="1:19" s="3" customFormat="1" ht="13.15" customHeight="1" outlineLevel="1">
      <c r="A89" s="65" t="s">
        <v>1538</v>
      </c>
      <c r="B89" s="65" t="s">
        <v>998</v>
      </c>
      <c r="C89" s="1946" t="s">
        <v>1562</v>
      </c>
      <c r="D89" s="1935" t="s">
        <v>245</v>
      </c>
      <c r="E89" s="1937"/>
      <c r="F89" s="1930">
        <v>0</v>
      </c>
      <c r="G89" s="1937" t="s">
        <v>199</v>
      </c>
      <c r="H89" s="1930">
        <f t="shared" si="37"/>
        <v>194400</v>
      </c>
      <c r="I89" s="1929">
        <f t="shared" si="38"/>
        <v>194400</v>
      </c>
      <c r="J89" s="1937" t="s">
        <v>199</v>
      </c>
      <c r="K89" s="1927">
        <f t="shared" si="39"/>
        <v>194400</v>
      </c>
      <c r="L89" s="3">
        <f t="shared" si="40"/>
        <v>16200</v>
      </c>
      <c r="M89" s="66">
        <f t="shared" si="41"/>
        <v>324</v>
      </c>
      <c r="N89" s="3">
        <f t="shared" si="42"/>
        <v>16200</v>
      </c>
      <c r="O89" s="66">
        <f t="shared" si="43"/>
        <v>4050</v>
      </c>
      <c r="P89" s="3">
        <f t="shared" si="44"/>
        <v>16200</v>
      </c>
      <c r="Q89" s="66">
        <f t="shared" si="45"/>
        <v>324</v>
      </c>
      <c r="R89" s="3">
        <f t="shared" si="46"/>
        <v>16200</v>
      </c>
      <c r="S89" s="66">
        <f t="shared" si="47"/>
        <v>4050</v>
      </c>
    </row>
    <row r="90" spans="1:19" s="3" customFormat="1" ht="13.15" customHeight="1" outlineLevel="1">
      <c r="A90" s="65"/>
      <c r="B90" s="65"/>
      <c r="C90" s="1941" t="s">
        <v>1561</v>
      </c>
      <c r="D90" s="1935"/>
      <c r="E90" s="1939"/>
      <c r="F90" s="1940" t="s">
        <v>256</v>
      </c>
      <c r="G90" s="1939"/>
      <c r="H90" s="1940" t="s">
        <v>256</v>
      </c>
      <c r="I90" s="1929"/>
      <c r="J90" s="1939"/>
      <c r="K90" s="1927" t="s">
        <v>256</v>
      </c>
      <c r="M90" s="66" t="s">
        <v>256</v>
      </c>
      <c r="O90" s="66" t="s">
        <v>256</v>
      </c>
      <c r="Q90" s="66" t="s">
        <v>256</v>
      </c>
      <c r="S90" s="66" t="s">
        <v>256</v>
      </c>
    </row>
    <row r="91" spans="1:19" s="3" customFormat="1" ht="13.15" customHeight="1" outlineLevel="1">
      <c r="A91" s="65" t="s">
        <v>1014</v>
      </c>
      <c r="B91" s="65" t="s">
        <v>999</v>
      </c>
      <c r="C91" s="1945" t="s">
        <v>1559</v>
      </c>
      <c r="D91" s="1944" t="s">
        <v>1560</v>
      </c>
      <c r="E91" s="1943" t="s">
        <v>228</v>
      </c>
      <c r="F91" s="1930">
        <f>IF(E91="ABOLISHED",0, (VLOOKUP(E91,$A$126:$B$365,2,FALSE)*12))</f>
        <v>157044</v>
      </c>
      <c r="G91" s="1943" t="s">
        <v>228</v>
      </c>
      <c r="H91" s="1930">
        <f>IF(G91="ABOLISHED",0, (VLOOKUP(G91,$A$126:$B$365,2,FALSE)*12))</f>
        <v>157044</v>
      </c>
      <c r="I91" s="1929">
        <f>SUM(H91-F91)</f>
        <v>0</v>
      </c>
      <c r="J91" s="1943" t="s">
        <v>228</v>
      </c>
      <c r="K91" s="1927">
        <f>IF(J91="ABOLISHED",0,(VLOOKUP(J91,$A$126:$C$365,3,FALSE)*12))</f>
        <v>157044</v>
      </c>
      <c r="L91" s="3">
        <f>SUM(H91/12)</f>
        <v>13087</v>
      </c>
      <c r="M91" s="66">
        <f>IF(L91&gt;=80000,1600,SUM(L91*4%)/2)</f>
        <v>261.74</v>
      </c>
      <c r="N91" s="3">
        <f>L91</f>
        <v>13087</v>
      </c>
      <c r="O91" s="66">
        <f>IF(J91="ABOLISHED",0,IF(INT(LEFT(J91,LEN(J91)-2))&lt;=19,N91*0.25,IF(INT(LEFT(J91,LEN(J91)-2))=20,N91*0.15,IF(INT(LEFT(J91,LEN(J91)-2))=21,N91*0.13,IF(INT(LEFT(J91,LEN(J91)-2))=22,N91*0.12,IF(INT(LEFT(J91,LEN(J91)-2))=23,N91*0.11,IF(INT(LEFT(J91,LEN(J91)-2))&gt;=24,N91*0.1)))))))</f>
        <v>3271.75</v>
      </c>
      <c r="P91" s="3">
        <f>SUM(K91/12)</f>
        <v>13087</v>
      </c>
      <c r="Q91" s="66">
        <f>IF(P91&gt;=80000,1600,SUM(P91*4%)/2)</f>
        <v>261.74</v>
      </c>
      <c r="R91" s="3">
        <f>P91</f>
        <v>13087</v>
      </c>
      <c r="S91" s="66">
        <f>IF(J91="ABOLISHED",0,IF(INT(LEFT(J91,LEN(J91)-2))&lt;=19,R91*0.25,IF(INT(LEFT(J91,LEN(J91)-2))=20,R91*0.15,IF(INT(LEFT(J91,LEN(J91)-2))=21,R91*0.13,IF(INT(LEFT(J91,LEN(J91)-2))=22,R91*0.12,IF(INT(LEFT(J91,LEN(J91)-2))=23,R91*0.11,IF(INT(LEFT(J91,LEN(J91)-2))&gt;=24,R91*0.1)))))))</f>
        <v>3271.75</v>
      </c>
    </row>
    <row r="92" spans="1:19" s="3" customFormat="1" ht="13.15" customHeight="1" outlineLevel="1">
      <c r="A92" s="65" t="s">
        <v>1011</v>
      </c>
      <c r="B92" s="65" t="s">
        <v>1548</v>
      </c>
      <c r="C92" s="1945" t="s">
        <v>1559</v>
      </c>
      <c r="D92" s="1944" t="s">
        <v>1558</v>
      </c>
      <c r="E92" s="1943" t="s">
        <v>229</v>
      </c>
      <c r="F92" s="1930">
        <f>IF(E92="ABOLISHED",0, (VLOOKUP(E92,$A$126:$B$365,2,FALSE)*12))</f>
        <v>155844</v>
      </c>
      <c r="G92" s="1943" t="s">
        <v>229</v>
      </c>
      <c r="H92" s="1930">
        <f>IF(G92="ABOLISHED",0, (VLOOKUP(G92,$A$126:$B$365,2,FALSE)*12))</f>
        <v>155844</v>
      </c>
      <c r="I92" s="1929">
        <f>SUM(H92-F92)</f>
        <v>0</v>
      </c>
      <c r="J92" s="1943" t="s">
        <v>229</v>
      </c>
      <c r="K92" s="1927">
        <f>IF(J92="ABOLISHED",0,(VLOOKUP(J92,$A$126:$C$365,3,FALSE)*12))</f>
        <v>155844</v>
      </c>
      <c r="L92" s="3">
        <f>SUM(H92/12)</f>
        <v>12987</v>
      </c>
      <c r="M92" s="66">
        <f>IF(L92&gt;=80000,1600,SUM(L92*4%)/2)</f>
        <v>259.74</v>
      </c>
      <c r="N92" s="3">
        <f>L92</f>
        <v>12987</v>
      </c>
      <c r="O92" s="66">
        <f>IF(J92="ABOLISHED",0,IF(INT(LEFT(J92,LEN(J92)-2))&lt;=19,N92*0.25,IF(INT(LEFT(J92,LEN(J92)-2))=20,N92*0.15,IF(INT(LEFT(J92,LEN(J92)-2))=21,N92*0.13,IF(INT(LEFT(J92,LEN(J92)-2))=22,N92*0.12,IF(INT(LEFT(J92,LEN(J92)-2))=23,N92*0.11,IF(INT(LEFT(J92,LEN(J92)-2))&gt;=24,N92*0.1)))))))</f>
        <v>3246.75</v>
      </c>
      <c r="P92" s="3">
        <f>SUM(K92/12)</f>
        <v>12987</v>
      </c>
      <c r="Q92" s="66">
        <f>IF(P92&gt;=80000,1600,SUM(P92*4%)/2)</f>
        <v>259.74</v>
      </c>
      <c r="R92" s="3">
        <f>P92</f>
        <v>12987</v>
      </c>
      <c r="S92" s="66">
        <f>IF(J92="ABOLISHED",0,IF(INT(LEFT(J92,LEN(J92)-2))&lt;=19,R92*0.25,IF(INT(LEFT(J92,LEN(J92)-2))=20,R92*0.15,IF(INT(LEFT(J92,LEN(J92)-2))=21,R92*0.13,IF(INT(LEFT(J92,LEN(J92)-2))=22,R92*0.12,IF(INT(LEFT(J92,LEN(J92)-2))=23,R92*0.11,IF(INT(LEFT(J92,LEN(J92)-2))&gt;=24,R92*0.1)))))))</f>
        <v>3246.75</v>
      </c>
    </row>
    <row r="93" spans="1:19" s="3" customFormat="1" ht="13.15" customHeight="1" outlineLevel="1">
      <c r="A93" s="65"/>
      <c r="B93" s="65"/>
      <c r="C93" s="1941" t="s">
        <v>1557</v>
      </c>
      <c r="D93" s="1935"/>
      <c r="E93" s="1942"/>
      <c r="F93" s="1940" t="s">
        <v>256</v>
      </c>
      <c r="G93" s="1942"/>
      <c r="H93" s="1940" t="s">
        <v>256</v>
      </c>
      <c r="I93" s="1929"/>
      <c r="J93" s="1942"/>
      <c r="K93" s="1927" t="s">
        <v>256</v>
      </c>
      <c r="M93" s="66" t="s">
        <v>256</v>
      </c>
      <c r="O93" s="66" t="s">
        <v>256</v>
      </c>
      <c r="Q93" s="66" t="s">
        <v>256</v>
      </c>
      <c r="S93" s="66" t="s">
        <v>256</v>
      </c>
    </row>
    <row r="94" spans="1:19" s="3" customFormat="1" ht="13.15" customHeight="1" outlineLevel="1">
      <c r="A94" s="65" t="s">
        <v>1008</v>
      </c>
      <c r="B94" s="65" t="s">
        <v>1546</v>
      </c>
      <c r="C94" s="1936" t="s">
        <v>1556</v>
      </c>
      <c r="D94" s="1933" t="s">
        <v>1555</v>
      </c>
      <c r="E94" s="1937" t="s">
        <v>70</v>
      </c>
      <c r="F94" s="1930">
        <f>IF(E94="ABOLISHED",0, (VLOOKUP(E94,$A$126:$B$365,2,FALSE)*12))</f>
        <v>833772</v>
      </c>
      <c r="G94" s="1937" t="s">
        <v>71</v>
      </c>
      <c r="H94" s="1930">
        <f>IF(G94="ABOLISHED",0, (VLOOKUP(G94,$A$126:$B$365,2,FALSE)*12))</f>
        <v>820980</v>
      </c>
      <c r="I94" s="1929">
        <f>SUM(H94-F94)</f>
        <v>-12792</v>
      </c>
      <c r="J94" s="1937" t="s">
        <v>71</v>
      </c>
      <c r="K94" s="1927">
        <f>IF(J94="ABOLISHED",0,(VLOOKUP(J94,$A$126:$C$365,3,FALSE)*12))</f>
        <v>820980</v>
      </c>
      <c r="L94" s="3">
        <f>SUM(H94/12)</f>
        <v>68415</v>
      </c>
      <c r="M94" s="66">
        <f>IF(L94&gt;=80000,1600,SUM(L94*4%)/2)</f>
        <v>1368.3</v>
      </c>
      <c r="N94" s="3">
        <f>L94</f>
        <v>68415</v>
      </c>
      <c r="O94" s="66">
        <f>IF(J94="ABOLISHED",0,IF(INT(LEFT(J94,LEN(J94)-2))&lt;=19,N94*0.25,IF(INT(LEFT(J94,LEN(J94)-2))=20,N94*0.15,IF(INT(LEFT(J94,LEN(J94)-2))=21,N94*0.13,IF(INT(LEFT(J94,LEN(J94)-2))=22,N94*0.12,IF(INT(LEFT(J94,LEN(J94)-2))=23,N94*0.11,IF(INT(LEFT(J94,LEN(J94)-2))&gt;=24,N94*0.1)))))))</f>
        <v>8209.7999999999993</v>
      </c>
      <c r="P94" s="3">
        <f>SUM(K94/12)</f>
        <v>68415</v>
      </c>
      <c r="Q94" s="66">
        <f>IF(P94&gt;=80000,1600,SUM(P94*4%)/2)</f>
        <v>1368.3</v>
      </c>
      <c r="R94" s="3">
        <f>P94</f>
        <v>68415</v>
      </c>
      <c r="S94" s="66">
        <f>IF(J94="ABOLISHED",0,IF(INT(LEFT(J94,LEN(J94)-2))&lt;=19,R94*0.25,IF(INT(LEFT(J94,LEN(J94)-2))=20,R94*0.15,IF(INT(LEFT(J94,LEN(J94)-2))=21,R94*0.13,IF(INT(LEFT(J94,LEN(J94)-2))=22,R94*0.12,IF(INT(LEFT(J94,LEN(J94)-2))=23,R94*0.11,IF(INT(LEFT(J94,LEN(J94)-2))&gt;=24,R94*0.1)))))))</f>
        <v>8209.7999999999993</v>
      </c>
    </row>
    <row r="95" spans="1:19" s="3" customFormat="1" ht="13.15" customHeight="1" outlineLevel="1">
      <c r="A95" s="65" t="s">
        <v>1004</v>
      </c>
      <c r="B95" s="65" t="s">
        <v>1544</v>
      </c>
      <c r="C95" s="1936" t="s">
        <v>1119</v>
      </c>
      <c r="D95" s="1933" t="s">
        <v>245</v>
      </c>
      <c r="E95" s="1937" t="s">
        <v>102</v>
      </c>
      <c r="F95" s="1930">
        <f>IF(E95="ABOLISHED",0, (VLOOKUP(E95,$A$126:$B$365,2,FALSE)*12))</f>
        <v>530208</v>
      </c>
      <c r="G95" s="1937" t="s">
        <v>103</v>
      </c>
      <c r="H95" s="1930">
        <f>IF(G95="ABOLISHED",0, (VLOOKUP(G95,$A$126:$B$365,2,FALSE)*12))</f>
        <v>524172</v>
      </c>
      <c r="I95" s="1929">
        <f>SUM(H95-F95)</f>
        <v>-6036</v>
      </c>
      <c r="J95" s="1937" t="s">
        <v>103</v>
      </c>
      <c r="K95" s="1927">
        <f>IF(J95="ABOLISHED",0,(VLOOKUP(J95,$A$126:$C$365,3,FALSE)*12))</f>
        <v>524172</v>
      </c>
      <c r="L95" s="3">
        <f>SUM(H95/12)</f>
        <v>43681</v>
      </c>
      <c r="M95" s="66">
        <f>IF(L95&gt;=80000,1600,SUM(L95*4%)/2)</f>
        <v>873.62</v>
      </c>
      <c r="N95" s="3">
        <f>L95</f>
        <v>43681</v>
      </c>
      <c r="O95" s="66">
        <f>IF(J95="ABOLISHED",0,IF(INT(LEFT(J95,LEN(J95)-2))&lt;=19,N95*0.25,IF(INT(LEFT(J95,LEN(J95)-2))=20,N95*0.15,IF(INT(LEFT(J95,LEN(J95)-2))=21,N95*0.13,IF(INT(LEFT(J95,LEN(J95)-2))=22,N95*0.12,IF(INT(LEFT(J95,LEN(J95)-2))=23,N95*0.11,IF(INT(LEFT(J95,LEN(J95)-2))&gt;=24,N95*0.1)))))))</f>
        <v>10920.25</v>
      </c>
      <c r="P95" s="3">
        <f>SUM(K95/12)</f>
        <v>43681</v>
      </c>
      <c r="Q95" s="66">
        <f>IF(P95&gt;=80000,1600,SUM(P95*4%)/2)</f>
        <v>873.62</v>
      </c>
      <c r="R95" s="3">
        <f>P95</f>
        <v>43681</v>
      </c>
      <c r="S95" s="66">
        <f>IF(J95="ABOLISHED",0,IF(INT(LEFT(J95,LEN(J95)-2))&lt;=19,R95*0.25,IF(INT(LEFT(J95,LEN(J95)-2))=20,R95*0.15,IF(INT(LEFT(J95,LEN(J95)-2))=21,R95*0.13,IF(INT(LEFT(J95,LEN(J95)-2))=22,R95*0.12,IF(INT(LEFT(J95,LEN(J95)-2))=23,R95*0.11,IF(INT(LEFT(J95,LEN(J95)-2))&gt;=24,R95*0.1)))))))</f>
        <v>10920.25</v>
      </c>
    </row>
    <row r="96" spans="1:19" s="3" customFormat="1" ht="13.15" customHeight="1" outlineLevel="1">
      <c r="A96" s="65" t="s">
        <v>1002</v>
      </c>
      <c r="B96" s="65" t="s">
        <v>1541</v>
      </c>
      <c r="C96" s="1932" t="s">
        <v>246</v>
      </c>
      <c r="D96" s="1931" t="s">
        <v>1554</v>
      </c>
      <c r="E96" s="1928" t="s">
        <v>231</v>
      </c>
      <c r="F96" s="1930">
        <f>IF(E96="ABOLISHED",0, (VLOOKUP(E96,$A$126:$B$365,2,FALSE)*12))</f>
        <v>153480</v>
      </c>
      <c r="G96" s="1928" t="s">
        <v>231</v>
      </c>
      <c r="H96" s="1930">
        <f>IF(G96="ABOLISHED",0, (VLOOKUP(G96,$A$126:$B$365,2,FALSE)*12))</f>
        <v>153480</v>
      </c>
      <c r="I96" s="1929">
        <f>SUM(H96-F96)</f>
        <v>0</v>
      </c>
      <c r="J96" s="1928" t="s">
        <v>231</v>
      </c>
      <c r="K96" s="1927">
        <f>IF(J96="ABOLISHED",0,(VLOOKUP(J96,$A$126:$C$365,3,FALSE)*12))</f>
        <v>153480</v>
      </c>
      <c r="L96" s="3">
        <f>SUM(H96/12)</f>
        <v>12790</v>
      </c>
      <c r="M96" s="66">
        <f>IF(L96&gt;=80000,1600,SUM(L96*4%)/2)</f>
        <v>255.8</v>
      </c>
      <c r="N96" s="3">
        <f>L96</f>
        <v>12790</v>
      </c>
      <c r="O96" s="66">
        <f>IF(J96="ABOLISHED",0,IF(INT(LEFT(J96,LEN(J96)-2))&lt;=19,N96*0.25,IF(INT(LEFT(J96,LEN(J96)-2))=20,N96*0.15,IF(INT(LEFT(J96,LEN(J96)-2))=21,N96*0.13,IF(INT(LEFT(J96,LEN(J96)-2))=22,N96*0.12,IF(INT(LEFT(J96,LEN(J96)-2))=23,N96*0.11,IF(INT(LEFT(J96,LEN(J96)-2))&gt;=24,N96*0.1)))))))</f>
        <v>3197.5</v>
      </c>
      <c r="P96" s="3">
        <f>SUM(K96/12)</f>
        <v>12790</v>
      </c>
      <c r="Q96" s="66">
        <f>IF(P96&gt;=80000,1600,SUM(P96*4%)/2)</f>
        <v>255.8</v>
      </c>
      <c r="R96" s="3">
        <f>P96</f>
        <v>12790</v>
      </c>
      <c r="S96" s="66">
        <f>IF(J96="ABOLISHED",0,IF(INT(LEFT(J96,LEN(J96)-2))&lt;=19,R96*0.25,IF(INT(LEFT(J96,LEN(J96)-2))=20,R96*0.15,IF(INT(LEFT(J96,LEN(J96)-2))=21,R96*0.13,IF(INT(LEFT(J96,LEN(J96)-2))=22,R96*0.12,IF(INT(LEFT(J96,LEN(J96)-2))=23,R96*0.11,IF(INT(LEFT(J96,LEN(J96)-2))&gt;=24,R96*0.1)))))))</f>
        <v>3197.5</v>
      </c>
    </row>
    <row r="97" spans="1:21" s="3" customFormat="1" ht="13.15" customHeight="1" outlineLevel="1">
      <c r="A97" s="65" t="s">
        <v>1526</v>
      </c>
      <c r="B97" s="65" t="s">
        <v>1539</v>
      </c>
      <c r="C97" s="1932" t="s">
        <v>246</v>
      </c>
      <c r="D97" s="1931" t="s">
        <v>245</v>
      </c>
      <c r="E97" s="1928"/>
      <c r="F97" s="1930"/>
      <c r="G97" s="1928" t="s">
        <v>231</v>
      </c>
      <c r="H97" s="1930">
        <f>IF(G97="ABOLISHED",0, (VLOOKUP(G97,$A$126:$B$365,2,FALSE)*12))</f>
        <v>153480</v>
      </c>
      <c r="I97" s="1929">
        <f>SUM(H97-F97)</f>
        <v>153480</v>
      </c>
      <c r="J97" s="1928" t="s">
        <v>231</v>
      </c>
      <c r="K97" s="1927">
        <f>IF(J97="ABOLISHED",0,(VLOOKUP(J97,$A$126:$C$365,3,FALSE)*12))</f>
        <v>153480</v>
      </c>
      <c r="L97" s="3">
        <f>SUM(H97/12)</f>
        <v>12790</v>
      </c>
      <c r="M97" s="66">
        <f>IF(L97&gt;=80000,1600,SUM(L97*4%)/2)</f>
        <v>255.8</v>
      </c>
      <c r="N97" s="3">
        <f>L97</f>
        <v>12790</v>
      </c>
      <c r="O97" s="66">
        <f>IF(J97="ABOLISHED",0,IF(INT(LEFT(J97,LEN(J97)-2))&lt;=19,N97*0.25,IF(INT(LEFT(J97,LEN(J97)-2))=20,N97*0.15,IF(INT(LEFT(J97,LEN(J97)-2))=21,N97*0.13,IF(INT(LEFT(J97,LEN(J97)-2))=22,N97*0.12,IF(INT(LEFT(J97,LEN(J97)-2))=23,N97*0.11,IF(INT(LEFT(J97,LEN(J97)-2))&gt;=24,N97*0.1)))))))</f>
        <v>3197.5</v>
      </c>
      <c r="P97" s="3">
        <f>SUM(K97/12)</f>
        <v>12790</v>
      </c>
      <c r="Q97" s="66">
        <f>IF(P97&gt;=80000,1600,SUM(P97*4%)/2)</f>
        <v>255.8</v>
      </c>
      <c r="R97" s="3">
        <f>P97</f>
        <v>12790</v>
      </c>
      <c r="S97" s="66">
        <f>IF(J97="ABOLISHED",0,IF(INT(LEFT(J97,LEN(J97)-2))&lt;=19,R97*0.25,IF(INT(LEFT(J97,LEN(J97)-2))=20,R97*0.15,IF(INT(LEFT(J97,LEN(J97)-2))=21,R97*0.13,IF(INT(LEFT(J97,LEN(J97)-2))=22,R97*0.12,IF(INT(LEFT(J97,LEN(J97)-2))=23,R97*0.11,IF(INT(LEFT(J97,LEN(J97)-2))&gt;=24,R97*0.1)))))))</f>
        <v>3197.5</v>
      </c>
    </row>
    <row r="98" spans="1:21" s="3" customFormat="1" ht="13.15" customHeight="1" outlineLevel="1">
      <c r="A98" s="65"/>
      <c r="B98" s="65"/>
      <c r="C98" s="1941" t="s">
        <v>1553</v>
      </c>
      <c r="D98" s="1935"/>
      <c r="E98" s="1939"/>
      <c r="F98" s="1940" t="s">
        <v>256</v>
      </c>
      <c r="G98" s="1939"/>
      <c r="H98" s="1940" t="s">
        <v>256</v>
      </c>
      <c r="I98" s="1929"/>
      <c r="J98" s="1939"/>
      <c r="K98" s="1927" t="s">
        <v>256</v>
      </c>
      <c r="M98" s="66" t="s">
        <v>256</v>
      </c>
      <c r="O98" s="66" t="s">
        <v>256</v>
      </c>
      <c r="Q98" s="66" t="s">
        <v>256</v>
      </c>
      <c r="S98" s="66" t="s">
        <v>256</v>
      </c>
    </row>
    <row r="99" spans="1:21" s="3" customFormat="1" ht="13.15" customHeight="1" outlineLevel="1">
      <c r="A99" s="65" t="s">
        <v>998</v>
      </c>
      <c r="B99" s="65" t="s">
        <v>1536</v>
      </c>
      <c r="C99" s="1932" t="s">
        <v>1552</v>
      </c>
      <c r="D99" s="1938" t="s">
        <v>1551</v>
      </c>
      <c r="E99" s="1937" t="s">
        <v>127</v>
      </c>
      <c r="F99" s="1930">
        <f>IF(E99="ABOLISHED",0, (VLOOKUP(E99,$A$126:$B$365,2,FALSE)*12))</f>
        <v>402900</v>
      </c>
      <c r="G99" s="1937" t="s">
        <v>127</v>
      </c>
      <c r="H99" s="1930">
        <f>IF(G99="ABOLISHED",0, (VLOOKUP(G99,$A$126:$B$365,2,FALSE)*12))</f>
        <v>402900</v>
      </c>
      <c r="I99" s="1929">
        <f>SUM(H99-F99)</f>
        <v>0</v>
      </c>
      <c r="J99" s="1937" t="s">
        <v>127</v>
      </c>
      <c r="K99" s="1927">
        <f>IF(J99="ABOLISHED",0,(VLOOKUP(J99,$A$126:$C$365,3,FALSE)*12))</f>
        <v>402900</v>
      </c>
      <c r="L99" s="3">
        <f>SUM(H99/12)</f>
        <v>33575</v>
      </c>
      <c r="M99" s="66">
        <f>IF(L99&gt;=80000,1600,SUM(L99*4%)/2)</f>
        <v>671.5</v>
      </c>
      <c r="N99" s="3">
        <f>L99</f>
        <v>33575</v>
      </c>
      <c r="O99" s="66">
        <f>IF(J99="ABOLISHED",0,IF(INT(LEFT(J99,LEN(J99)-2))&lt;=19,N99*0.25,IF(INT(LEFT(J99,LEN(J99)-2))=20,N99*0.15,IF(INT(LEFT(J99,LEN(J99)-2))=21,N99*0.13,IF(INT(LEFT(J99,LEN(J99)-2))=22,N99*0.12,IF(INT(LEFT(J99,LEN(J99)-2))=23,N99*0.11,IF(INT(LEFT(J99,LEN(J99)-2))&gt;=24,N99*0.1)))))))</f>
        <v>8393.75</v>
      </c>
      <c r="P99" s="3">
        <f>SUM(K99/12)</f>
        <v>33575</v>
      </c>
      <c r="Q99" s="66">
        <f>IF(P99&gt;=80000,1600,SUM(P99*4%)/2)</f>
        <v>671.5</v>
      </c>
      <c r="R99" s="3">
        <f>P99</f>
        <v>33575</v>
      </c>
      <c r="S99" s="66">
        <f>IF(J99="ABOLISHED",0,IF(INT(LEFT(J99,LEN(J99)-2))&lt;=19,R99*0.25,IF(INT(LEFT(J99,LEN(J99)-2))=20,R99*0.15,IF(INT(LEFT(J99,LEN(J99)-2))=21,R99*0.13,IF(INT(LEFT(J99,LEN(J99)-2))=22,R99*0.12,IF(INT(LEFT(J99,LEN(J99)-2))=23,R99*0.11,IF(INT(LEFT(J99,LEN(J99)-2))&gt;=24,R99*0.1)))))))</f>
        <v>8393.75</v>
      </c>
    </row>
    <row r="100" spans="1:21" s="3" customFormat="1" ht="13.15" customHeight="1" outlineLevel="1">
      <c r="A100" s="65" t="s">
        <v>999</v>
      </c>
      <c r="B100" s="65"/>
      <c r="C100" s="1932" t="s">
        <v>1550</v>
      </c>
      <c r="D100" s="1931" t="s">
        <v>245</v>
      </c>
      <c r="E100" s="1928" t="s">
        <v>159</v>
      </c>
      <c r="F100" s="1930">
        <f>IF(E100="ABOLISHED",0, (VLOOKUP(E100,$A$126:$B$365,2,FALSE)*12))</f>
        <v>286524</v>
      </c>
      <c r="G100" s="1928" t="s">
        <v>252</v>
      </c>
      <c r="H100" s="1930">
        <f>IF(G100="ABOLISHED",0, (VLOOKUP(G100,$A$126:$B$365,2,FALSE)*12))</f>
        <v>0</v>
      </c>
      <c r="I100" s="1929">
        <f>SUM(H100-F100)</f>
        <v>-286524</v>
      </c>
      <c r="J100" s="1928" t="s">
        <v>252</v>
      </c>
      <c r="K100" s="1927">
        <f>IF(J100="ABOLISHED",0,(VLOOKUP(J100,$A$126:$C$365,3,FALSE)*12))</f>
        <v>0</v>
      </c>
      <c r="L100" s="3">
        <f>SUM(H100/12)</f>
        <v>0</v>
      </c>
      <c r="M100" s="66">
        <f>IF(L100&gt;=80000,1600,SUM(L100*4%)/2)</f>
        <v>0</v>
      </c>
      <c r="N100" s="3">
        <f>L100</f>
        <v>0</v>
      </c>
      <c r="O100" s="66">
        <f>IF(J100="ABOLISHED",0,IF(INT(LEFT(J100,LEN(J100)-2))&lt;=19,N100*0.25,IF(INT(LEFT(J100,LEN(J100)-2))=20,N100*0.15,IF(INT(LEFT(J100,LEN(J100)-2))=21,N100*0.13,IF(INT(LEFT(J100,LEN(J100)-2))=22,N100*0.12,IF(INT(LEFT(J100,LEN(J100)-2))=23,N100*0.11,IF(INT(LEFT(J100,LEN(J100)-2))&gt;=24,N100*0.1)))))))</f>
        <v>0</v>
      </c>
      <c r="P100" s="3">
        <f>SUM(K100/12)</f>
        <v>0</v>
      </c>
      <c r="Q100" s="66">
        <f>IF(P100&gt;=80000,1600,SUM(P100*4%)/2)</f>
        <v>0</v>
      </c>
      <c r="R100" s="3">
        <f>P100</f>
        <v>0</v>
      </c>
      <c r="S100" s="66">
        <f>IF(J100="ABOLISHED",0,IF(INT(LEFT(J100,LEN(J100)-2))&lt;=19,R100*0.25,IF(INT(LEFT(J100,LEN(J100)-2))=20,R100*0.15,IF(INT(LEFT(J100,LEN(J100)-2))=21,R100*0.13,IF(INT(LEFT(J100,LEN(J100)-2))=22,R100*0.12,IF(INT(LEFT(J100,LEN(J100)-2))=23,R100*0.11,IF(INT(LEFT(J100,LEN(J100)-2))&gt;=24,R100*0.1)))))))</f>
        <v>0</v>
      </c>
    </row>
    <row r="101" spans="1:21" s="3" customFormat="1" ht="13.15" customHeight="1" outlineLevel="1">
      <c r="A101" s="65"/>
      <c r="B101" s="65"/>
      <c r="C101" s="1941" t="s">
        <v>1549</v>
      </c>
      <c r="D101" s="1935"/>
      <c r="E101" s="1939"/>
      <c r="F101" s="1940" t="s">
        <v>256</v>
      </c>
      <c r="G101" s="1939"/>
      <c r="H101" s="1940" t="s">
        <v>256</v>
      </c>
      <c r="I101" s="1929"/>
      <c r="J101" s="1939"/>
      <c r="K101" s="1927" t="s">
        <v>256</v>
      </c>
      <c r="M101" s="66" t="s">
        <v>256</v>
      </c>
      <c r="O101" s="66" t="s">
        <v>256</v>
      </c>
      <c r="Q101" s="66" t="s">
        <v>256</v>
      </c>
      <c r="S101" s="66" t="s">
        <v>256</v>
      </c>
    </row>
    <row r="102" spans="1:21" s="3" customFormat="1" ht="13.15" customHeight="1" outlineLevel="1">
      <c r="A102" s="65" t="s">
        <v>1548</v>
      </c>
      <c r="B102" s="65" t="s">
        <v>1533</v>
      </c>
      <c r="C102" s="1936" t="s">
        <v>1372</v>
      </c>
      <c r="D102" s="1931" t="s">
        <v>1547</v>
      </c>
      <c r="E102" s="1937" t="s">
        <v>135</v>
      </c>
      <c r="F102" s="1930">
        <f>IF(E102="ABOLISHED",0, (VLOOKUP(E102,$A$126:$B$365,2,FALSE)*12))</f>
        <v>369588</v>
      </c>
      <c r="G102" s="1937" t="s">
        <v>135</v>
      </c>
      <c r="H102" s="1930">
        <f>IF(G102="ABOLISHED",0, (VLOOKUP(G102,$A$126:$B$365,2,FALSE)*12))</f>
        <v>369588</v>
      </c>
      <c r="I102" s="1929">
        <f>SUM(H102-F102)</f>
        <v>0</v>
      </c>
      <c r="J102" s="1937" t="s">
        <v>135</v>
      </c>
      <c r="K102" s="1927">
        <f>IF(J102="ABOLISHED",0,(VLOOKUP(J102,$A$126:$C$365,3,FALSE)*12))</f>
        <v>369588</v>
      </c>
      <c r="L102" s="3">
        <f>SUM(H102/12)</f>
        <v>30799</v>
      </c>
      <c r="M102" s="66">
        <f>IF(L102&gt;=80000,1600,SUM(L102*4%)/2)</f>
        <v>615.98</v>
      </c>
      <c r="N102" s="3">
        <f>L102</f>
        <v>30799</v>
      </c>
      <c r="O102" s="66">
        <f>IF(J102="ABOLISHED",0,IF(INT(LEFT(J102,LEN(J102)-2))&lt;=19,N102*0.25,IF(INT(LEFT(J102,LEN(J102)-2))=20,N102*0.15,IF(INT(LEFT(J102,LEN(J102)-2))=21,N102*0.13,IF(INT(LEFT(J102,LEN(J102)-2))=22,N102*0.12,IF(INT(LEFT(J102,LEN(J102)-2))=23,N102*0.11,IF(INT(LEFT(J102,LEN(J102)-2))&gt;=24,N102*0.1)))))))</f>
        <v>7699.75</v>
      </c>
      <c r="P102" s="3">
        <f>SUM(K102/12)</f>
        <v>30799</v>
      </c>
      <c r="Q102" s="66">
        <f>IF(P102&gt;=80000,1600,SUM(P102*4%)/2)</f>
        <v>615.98</v>
      </c>
      <c r="R102" s="3">
        <f>P102</f>
        <v>30799</v>
      </c>
      <c r="S102" s="66">
        <f>IF(J102="ABOLISHED",0,IF(INT(LEFT(J102,LEN(J102)-2))&lt;=19,R102*0.25,IF(INT(LEFT(J102,LEN(J102)-2))=20,R102*0.15,IF(INT(LEFT(J102,LEN(J102)-2))=21,R102*0.13,IF(INT(LEFT(J102,LEN(J102)-2))=22,R102*0.12,IF(INT(LEFT(J102,LEN(J102)-2))=23,R102*0.11,IF(INT(LEFT(J102,LEN(J102)-2))&gt;=24,R102*0.1)))))))</f>
        <v>7699.75</v>
      </c>
    </row>
    <row r="103" spans="1:21" s="3" customFormat="1" ht="13.15" customHeight="1" outlineLevel="1">
      <c r="A103" s="65" t="s">
        <v>1546</v>
      </c>
      <c r="B103" s="65" t="s">
        <v>1530</v>
      </c>
      <c r="C103" s="1936" t="s">
        <v>606</v>
      </c>
      <c r="D103" s="1938" t="s">
        <v>1545</v>
      </c>
      <c r="E103" s="1928" t="s">
        <v>167</v>
      </c>
      <c r="F103" s="1930">
        <f>IF(E103="ABOLISHED",0, (VLOOKUP(E103,$A$126:$B$365,2,FALSE)*12))</f>
        <v>254460</v>
      </c>
      <c r="G103" s="1928" t="s">
        <v>167</v>
      </c>
      <c r="H103" s="1930">
        <f>IF(G103="ABOLISHED",0, (VLOOKUP(G103,$A$126:$B$365,2,FALSE)*12))</f>
        <v>254460</v>
      </c>
      <c r="I103" s="1929">
        <f>SUM(H103-F103)</f>
        <v>0</v>
      </c>
      <c r="J103" s="1928" t="s">
        <v>167</v>
      </c>
      <c r="K103" s="1927">
        <f>IF(J103="ABOLISHED",0,(VLOOKUP(J103,$A$126:$C$365,3,FALSE)*12))</f>
        <v>254460</v>
      </c>
      <c r="L103" s="3">
        <f>SUM(H103/12)</f>
        <v>21205</v>
      </c>
      <c r="M103" s="66">
        <f>IF(L103&gt;=80000,1600,SUM(L103*4%)/2)</f>
        <v>424.1</v>
      </c>
      <c r="N103" s="3">
        <f>L103</f>
        <v>21205</v>
      </c>
      <c r="O103" s="66">
        <f>IF(J103="ABOLISHED",0,IF(INT(LEFT(J103,LEN(J103)-2))&lt;=19,N103*0.25,IF(INT(LEFT(J103,LEN(J103)-2))=20,N103*0.15,IF(INT(LEFT(J103,LEN(J103)-2))=21,N103*0.13,IF(INT(LEFT(J103,LEN(J103)-2))=22,N103*0.12,IF(INT(LEFT(J103,LEN(J103)-2))=23,N103*0.11,IF(INT(LEFT(J103,LEN(J103)-2))&gt;=24,N103*0.1)))))))</f>
        <v>5301.25</v>
      </c>
      <c r="P103" s="3">
        <f>SUM(K103/12)</f>
        <v>21205</v>
      </c>
      <c r="Q103" s="66">
        <f>IF(P103&gt;=80000,1600,SUM(P103*4%)/2)</f>
        <v>424.1</v>
      </c>
      <c r="R103" s="3">
        <f>P103</f>
        <v>21205</v>
      </c>
      <c r="S103" s="66">
        <f>IF(J103="ABOLISHED",0,IF(INT(LEFT(J103,LEN(J103)-2))&lt;=19,R103*0.25,IF(INT(LEFT(J103,LEN(J103)-2))=20,R103*0.15,IF(INT(LEFT(J103,LEN(J103)-2))=21,R103*0.13,IF(INT(LEFT(J103,LEN(J103)-2))=22,R103*0.12,IF(INT(LEFT(J103,LEN(J103)-2))=23,R103*0.11,IF(INT(LEFT(J103,LEN(J103)-2))&gt;=24,R103*0.1)))))))</f>
        <v>5301.25</v>
      </c>
    </row>
    <row r="104" spans="1:21" s="3" customFormat="1" ht="13.15" customHeight="1" outlineLevel="1">
      <c r="A104" s="65"/>
      <c r="B104" s="65"/>
      <c r="C104" s="1941" t="s">
        <v>883</v>
      </c>
      <c r="D104" s="1935"/>
      <c r="E104" s="1939"/>
      <c r="F104" s="1940" t="s">
        <v>256</v>
      </c>
      <c r="G104" s="1939"/>
      <c r="H104" s="1940" t="s">
        <v>256</v>
      </c>
      <c r="I104" s="1929"/>
      <c r="J104" s="1939"/>
      <c r="K104" s="1927" t="s">
        <v>256</v>
      </c>
      <c r="M104" s="66" t="s">
        <v>256</v>
      </c>
      <c r="O104" s="66" t="s">
        <v>256</v>
      </c>
      <c r="Q104" s="66" t="s">
        <v>256</v>
      </c>
      <c r="S104" s="66" t="s">
        <v>256</v>
      </c>
    </row>
    <row r="105" spans="1:21" s="3" customFormat="1" ht="13.15" customHeight="1" outlineLevel="1">
      <c r="A105" s="65" t="s">
        <v>1544</v>
      </c>
      <c r="B105" s="65" t="s">
        <v>1524</v>
      </c>
      <c r="C105" s="1936" t="s">
        <v>1543</v>
      </c>
      <c r="D105" s="1938" t="s">
        <v>1542</v>
      </c>
      <c r="E105" s="1928" t="s">
        <v>175</v>
      </c>
      <c r="F105" s="1930">
        <f t="shared" ref="F105:F110" si="48">IF(E105="ABOLISHED",0, (VLOOKUP(E105,$A$126:$B$365,2,FALSE)*12))</f>
        <v>235116</v>
      </c>
      <c r="G105" s="1928" t="s">
        <v>199</v>
      </c>
      <c r="H105" s="1930">
        <f t="shared" ref="H105:H113" si="49">IF(G105="ABOLISHED",0, (VLOOKUP(G105,$A$126:$B$365,2,FALSE)*12))</f>
        <v>194400</v>
      </c>
      <c r="I105" s="1929">
        <f t="shared" ref="I105:I113" si="50">SUM(H105-F105)</f>
        <v>-40716</v>
      </c>
      <c r="J105" s="1928" t="s">
        <v>199</v>
      </c>
      <c r="K105" s="1927">
        <f t="shared" ref="K105:K113" si="51">IF(J105="ABOLISHED",0,(VLOOKUP(J105,$A$126:$C$365,3,FALSE)*12))</f>
        <v>194400</v>
      </c>
      <c r="L105" s="3">
        <f t="shared" ref="L105:L113" si="52">SUM(H105/12)</f>
        <v>16200</v>
      </c>
      <c r="M105" s="66">
        <f t="shared" ref="M105:M113" si="53">IF(L105&gt;=80000,1600,SUM(L105*4%)/2)</f>
        <v>324</v>
      </c>
      <c r="N105" s="3">
        <f t="shared" ref="N105:N114" si="54">L105</f>
        <v>16200</v>
      </c>
      <c r="O105" s="66">
        <f t="shared" ref="O105:O113" si="55">IF(J105="ABOLISHED",0,IF(INT(LEFT(J105,LEN(J105)-2))&lt;=19,N105*0.25,IF(INT(LEFT(J105,LEN(J105)-2))=20,N105*0.15,IF(INT(LEFT(J105,LEN(J105)-2))=21,N105*0.13,IF(INT(LEFT(J105,LEN(J105)-2))=22,N105*0.12,IF(INT(LEFT(J105,LEN(J105)-2))=23,N105*0.11,IF(INT(LEFT(J105,LEN(J105)-2))&gt;=24,N105*0.1)))))))</f>
        <v>4050</v>
      </c>
      <c r="P105" s="3">
        <f t="shared" ref="P105:P113" si="56">SUM(K105/12)</f>
        <v>16200</v>
      </c>
      <c r="Q105" s="66">
        <f t="shared" ref="Q105:Q113" si="57">IF(P105&gt;=80000,1600,SUM(P105*4%)/2)</f>
        <v>324</v>
      </c>
      <c r="R105" s="3">
        <f t="shared" ref="R105:R115" si="58">P105</f>
        <v>16200</v>
      </c>
      <c r="S105" s="66">
        <f t="shared" ref="S105:S113" si="59">IF(J105="ABOLISHED",0,IF(INT(LEFT(J105,LEN(J105)-2))&lt;=19,R105*0.25,IF(INT(LEFT(J105,LEN(J105)-2))=20,R105*0.15,IF(INT(LEFT(J105,LEN(J105)-2))=21,R105*0.13,IF(INT(LEFT(J105,LEN(J105)-2))=22,R105*0.12,IF(INT(LEFT(J105,LEN(J105)-2))=23,R105*0.11,IF(INT(LEFT(J105,LEN(J105)-2))&gt;=24,R105*0.1)))))))</f>
        <v>4050</v>
      </c>
      <c r="U105" s="3">
        <f>SUM(P105-[6]Salary.Hazard.Longe!$D$72)</f>
        <v>-2584</v>
      </c>
    </row>
    <row r="106" spans="1:21" s="3" customFormat="1" ht="13.15" customHeight="1" outlineLevel="1">
      <c r="A106" s="65" t="s">
        <v>1541</v>
      </c>
      <c r="B106" s="65" t="s">
        <v>1540</v>
      </c>
      <c r="C106" s="1936" t="s">
        <v>1358</v>
      </c>
      <c r="D106" s="1938" t="s">
        <v>245</v>
      </c>
      <c r="E106" s="1937" t="s">
        <v>198</v>
      </c>
      <c r="F106" s="1930">
        <f t="shared" si="48"/>
        <v>195900</v>
      </c>
      <c r="G106" s="1937" t="s">
        <v>199</v>
      </c>
      <c r="H106" s="1930">
        <f t="shared" si="49"/>
        <v>194400</v>
      </c>
      <c r="I106" s="1929">
        <f t="shared" si="50"/>
        <v>-1500</v>
      </c>
      <c r="J106" s="1937" t="s">
        <v>199</v>
      </c>
      <c r="K106" s="1927">
        <f t="shared" si="51"/>
        <v>194400</v>
      </c>
      <c r="L106" s="3">
        <f t="shared" si="52"/>
        <v>16200</v>
      </c>
      <c r="M106" s="66">
        <f t="shared" si="53"/>
        <v>324</v>
      </c>
      <c r="N106" s="3">
        <f t="shared" si="54"/>
        <v>16200</v>
      </c>
      <c r="O106" s="66">
        <f t="shared" si="55"/>
        <v>4050</v>
      </c>
      <c r="P106" s="3">
        <f t="shared" si="56"/>
        <v>16200</v>
      </c>
      <c r="Q106" s="66">
        <f t="shared" si="57"/>
        <v>324</v>
      </c>
      <c r="R106" s="3">
        <f t="shared" si="58"/>
        <v>16200</v>
      </c>
      <c r="S106" s="66">
        <f t="shared" si="59"/>
        <v>4050</v>
      </c>
    </row>
    <row r="107" spans="1:21" s="3" customFormat="1" ht="13.15" customHeight="1" outlineLevel="1">
      <c r="A107" s="65" t="s">
        <v>1539</v>
      </c>
      <c r="B107" s="65" t="s">
        <v>1538</v>
      </c>
      <c r="C107" s="1936" t="s">
        <v>590</v>
      </c>
      <c r="D107" s="1933" t="s">
        <v>1537</v>
      </c>
      <c r="E107" s="1928" t="s">
        <v>209</v>
      </c>
      <c r="F107" s="1930">
        <f t="shared" si="48"/>
        <v>180924</v>
      </c>
      <c r="G107" s="1928" t="s">
        <v>209</v>
      </c>
      <c r="H107" s="1930">
        <f t="shared" si="49"/>
        <v>180924</v>
      </c>
      <c r="I107" s="1929">
        <f t="shared" si="50"/>
        <v>0</v>
      </c>
      <c r="J107" s="1928" t="s">
        <v>209</v>
      </c>
      <c r="K107" s="1927">
        <f t="shared" si="51"/>
        <v>180924</v>
      </c>
      <c r="L107" s="3">
        <f t="shared" si="52"/>
        <v>15077</v>
      </c>
      <c r="M107" s="66">
        <f t="shared" si="53"/>
        <v>301.54000000000002</v>
      </c>
      <c r="N107" s="3">
        <f t="shared" si="54"/>
        <v>15077</v>
      </c>
      <c r="O107" s="66">
        <f t="shared" si="55"/>
        <v>3769.25</v>
      </c>
      <c r="P107" s="3">
        <f t="shared" si="56"/>
        <v>15077</v>
      </c>
      <c r="Q107" s="66">
        <f t="shared" si="57"/>
        <v>301.54000000000002</v>
      </c>
      <c r="R107" s="3">
        <f t="shared" si="58"/>
        <v>15077</v>
      </c>
      <c r="S107" s="66">
        <f t="shared" si="59"/>
        <v>3769.25</v>
      </c>
    </row>
    <row r="108" spans="1:21" s="3" customFormat="1" ht="13.15" customHeight="1" outlineLevel="1">
      <c r="A108" s="65" t="s">
        <v>1536</v>
      </c>
      <c r="B108" s="65" t="s">
        <v>1535</v>
      </c>
      <c r="C108" s="1936" t="s">
        <v>590</v>
      </c>
      <c r="D108" s="1933" t="s">
        <v>1534</v>
      </c>
      <c r="E108" s="1928" t="s">
        <v>213</v>
      </c>
      <c r="F108" s="1930">
        <f t="shared" si="48"/>
        <v>175464</v>
      </c>
      <c r="G108" s="1928" t="s">
        <v>213</v>
      </c>
      <c r="H108" s="1930">
        <f t="shared" si="49"/>
        <v>175464</v>
      </c>
      <c r="I108" s="1929">
        <f t="shared" si="50"/>
        <v>0</v>
      </c>
      <c r="J108" s="1928" t="s">
        <v>213</v>
      </c>
      <c r="K108" s="1927">
        <f t="shared" si="51"/>
        <v>175464</v>
      </c>
      <c r="L108" s="3">
        <f t="shared" si="52"/>
        <v>14622</v>
      </c>
      <c r="M108" s="66">
        <f t="shared" si="53"/>
        <v>292.44</v>
      </c>
      <c r="N108" s="3">
        <f t="shared" si="54"/>
        <v>14622</v>
      </c>
      <c r="O108" s="66">
        <f t="shared" si="55"/>
        <v>3655.5</v>
      </c>
      <c r="P108" s="3">
        <f t="shared" si="56"/>
        <v>14622</v>
      </c>
      <c r="Q108" s="66">
        <f t="shared" si="57"/>
        <v>292.44</v>
      </c>
      <c r="R108" s="3">
        <f t="shared" si="58"/>
        <v>14622</v>
      </c>
      <c r="S108" s="66">
        <f t="shared" si="59"/>
        <v>3655.5</v>
      </c>
    </row>
    <row r="109" spans="1:21" s="3" customFormat="1" ht="13.15" customHeight="1" outlineLevel="1">
      <c r="A109" s="65" t="s">
        <v>1533</v>
      </c>
      <c r="B109" s="65" t="s">
        <v>1526</v>
      </c>
      <c r="C109" s="1934" t="s">
        <v>1532</v>
      </c>
      <c r="D109" s="1935" t="s">
        <v>1531</v>
      </c>
      <c r="E109" s="1928" t="s">
        <v>212</v>
      </c>
      <c r="F109" s="1930">
        <f t="shared" si="48"/>
        <v>176820</v>
      </c>
      <c r="G109" s="1928" t="s">
        <v>212</v>
      </c>
      <c r="H109" s="1930">
        <f t="shared" si="49"/>
        <v>176820</v>
      </c>
      <c r="I109" s="1929">
        <f t="shared" si="50"/>
        <v>0</v>
      </c>
      <c r="J109" s="1928" t="s">
        <v>212</v>
      </c>
      <c r="K109" s="1927">
        <f t="shared" si="51"/>
        <v>176820</v>
      </c>
      <c r="L109" s="3">
        <f t="shared" si="52"/>
        <v>14735</v>
      </c>
      <c r="M109" s="66">
        <f t="shared" si="53"/>
        <v>294.7</v>
      </c>
      <c r="N109" s="3">
        <f t="shared" si="54"/>
        <v>14735</v>
      </c>
      <c r="O109" s="66">
        <f t="shared" si="55"/>
        <v>3683.75</v>
      </c>
      <c r="P109" s="3">
        <f t="shared" si="56"/>
        <v>14735</v>
      </c>
      <c r="Q109" s="66">
        <f t="shared" si="57"/>
        <v>294.7</v>
      </c>
      <c r="R109" s="3">
        <f t="shared" si="58"/>
        <v>14735</v>
      </c>
      <c r="S109" s="66">
        <f t="shared" si="59"/>
        <v>3683.75</v>
      </c>
    </row>
    <row r="110" spans="1:21" s="3" customFormat="1" ht="13.15" customHeight="1" outlineLevel="1">
      <c r="A110" s="65" t="s">
        <v>1530</v>
      </c>
      <c r="B110" s="65" t="s">
        <v>1529</v>
      </c>
      <c r="C110" s="1934" t="s">
        <v>603</v>
      </c>
      <c r="D110" s="1933" t="s">
        <v>1528</v>
      </c>
      <c r="E110" s="1928" t="s">
        <v>223</v>
      </c>
      <c r="F110" s="1930">
        <f t="shared" si="48"/>
        <v>162864</v>
      </c>
      <c r="G110" s="1928" t="s">
        <v>223</v>
      </c>
      <c r="H110" s="1930">
        <f t="shared" si="49"/>
        <v>162864</v>
      </c>
      <c r="I110" s="1929">
        <f t="shared" si="50"/>
        <v>0</v>
      </c>
      <c r="J110" s="1928" t="s">
        <v>223</v>
      </c>
      <c r="K110" s="1927">
        <f t="shared" si="51"/>
        <v>162864</v>
      </c>
      <c r="L110" s="3">
        <f t="shared" si="52"/>
        <v>13572</v>
      </c>
      <c r="M110" s="66">
        <f t="shared" si="53"/>
        <v>271.44</v>
      </c>
      <c r="N110" s="3">
        <f t="shared" si="54"/>
        <v>13572</v>
      </c>
      <c r="O110" s="66">
        <f t="shared" si="55"/>
        <v>3393</v>
      </c>
      <c r="P110" s="3">
        <f t="shared" si="56"/>
        <v>13572</v>
      </c>
      <c r="Q110" s="66">
        <f t="shared" si="57"/>
        <v>271.44</v>
      </c>
      <c r="R110" s="3">
        <f t="shared" si="58"/>
        <v>13572</v>
      </c>
      <c r="S110" s="66">
        <f t="shared" si="59"/>
        <v>3393</v>
      </c>
    </row>
    <row r="111" spans="1:21" s="3" customFormat="1" ht="13.15" customHeight="1" outlineLevel="1">
      <c r="A111" s="65" t="s">
        <v>1526</v>
      </c>
      <c r="B111" s="65" t="s">
        <v>1527</v>
      </c>
      <c r="C111" s="1932" t="s">
        <v>1105</v>
      </c>
      <c r="D111" s="1931" t="s">
        <v>245</v>
      </c>
      <c r="E111" s="1928"/>
      <c r="F111" s="1930"/>
      <c r="G111" s="1928" t="s">
        <v>223</v>
      </c>
      <c r="H111" s="1930">
        <f t="shared" si="49"/>
        <v>162864</v>
      </c>
      <c r="I111" s="1929">
        <f t="shared" si="50"/>
        <v>162864</v>
      </c>
      <c r="J111" s="1928" t="s">
        <v>223</v>
      </c>
      <c r="K111" s="1927">
        <f t="shared" si="51"/>
        <v>162864</v>
      </c>
      <c r="L111" s="3">
        <f t="shared" si="52"/>
        <v>13572</v>
      </c>
      <c r="M111" s="66">
        <f t="shared" si="53"/>
        <v>271.44</v>
      </c>
      <c r="N111" s="3">
        <f t="shared" si="54"/>
        <v>13572</v>
      </c>
      <c r="O111" s="66">
        <f t="shared" si="55"/>
        <v>3393</v>
      </c>
      <c r="P111" s="3">
        <f t="shared" si="56"/>
        <v>13572</v>
      </c>
      <c r="Q111" s="66">
        <f t="shared" si="57"/>
        <v>271.44</v>
      </c>
      <c r="R111" s="3">
        <f t="shared" si="58"/>
        <v>13572</v>
      </c>
      <c r="S111" s="66">
        <f t="shared" si="59"/>
        <v>3393</v>
      </c>
    </row>
    <row r="112" spans="1:21" s="3" customFormat="1" ht="13.15" customHeight="1" outlineLevel="1">
      <c r="A112" s="65" t="s">
        <v>1526</v>
      </c>
      <c r="B112" s="65" t="s">
        <v>1525</v>
      </c>
      <c r="C112" s="1932" t="s">
        <v>1105</v>
      </c>
      <c r="D112" s="1931" t="s">
        <v>245</v>
      </c>
      <c r="E112" s="1928"/>
      <c r="F112" s="1930"/>
      <c r="G112" s="1928" t="s">
        <v>223</v>
      </c>
      <c r="H112" s="1930">
        <f t="shared" si="49"/>
        <v>162864</v>
      </c>
      <c r="I112" s="1929">
        <f t="shared" si="50"/>
        <v>162864</v>
      </c>
      <c r="J112" s="1928" t="s">
        <v>223</v>
      </c>
      <c r="K112" s="1927">
        <f t="shared" si="51"/>
        <v>162864</v>
      </c>
      <c r="L112" s="3">
        <f t="shared" si="52"/>
        <v>13572</v>
      </c>
      <c r="M112" s="66">
        <f t="shared" si="53"/>
        <v>271.44</v>
      </c>
      <c r="N112" s="3">
        <f t="shared" si="54"/>
        <v>13572</v>
      </c>
      <c r="O112" s="66">
        <f t="shared" si="55"/>
        <v>3393</v>
      </c>
      <c r="P112" s="3">
        <f t="shared" si="56"/>
        <v>13572</v>
      </c>
      <c r="Q112" s="66">
        <f t="shared" si="57"/>
        <v>271.44</v>
      </c>
      <c r="R112" s="3">
        <f t="shared" si="58"/>
        <v>13572</v>
      </c>
      <c r="S112" s="66">
        <f t="shared" si="59"/>
        <v>3393</v>
      </c>
    </row>
    <row r="113" spans="1:220" s="3" customFormat="1" ht="13.15" customHeight="1" outlineLevel="1">
      <c r="A113" s="65" t="s">
        <v>1524</v>
      </c>
      <c r="B113" s="65" t="s">
        <v>1523</v>
      </c>
      <c r="C113" s="1926" t="s">
        <v>1112</v>
      </c>
      <c r="D113" s="1925" t="s">
        <v>1522</v>
      </c>
      <c r="E113" s="1922" t="s">
        <v>231</v>
      </c>
      <c r="F113" s="1924">
        <f>IF(E113="ABOLISHED",0, (VLOOKUP(E113,$A$126:$B$365,2,FALSE)*12))</f>
        <v>153480</v>
      </c>
      <c r="G113" s="1922" t="s">
        <v>231</v>
      </c>
      <c r="H113" s="1924">
        <f t="shared" si="49"/>
        <v>153480</v>
      </c>
      <c r="I113" s="1923">
        <f t="shared" si="50"/>
        <v>0</v>
      </c>
      <c r="J113" s="1922" t="s">
        <v>231</v>
      </c>
      <c r="K113" s="1921">
        <f t="shared" si="51"/>
        <v>153480</v>
      </c>
      <c r="L113" s="3">
        <f t="shared" si="52"/>
        <v>12790</v>
      </c>
      <c r="M113" s="57">
        <f t="shared" si="53"/>
        <v>255.8</v>
      </c>
      <c r="N113" s="3">
        <f t="shared" si="54"/>
        <v>12790</v>
      </c>
      <c r="O113" s="57">
        <f t="shared" si="55"/>
        <v>3197.5</v>
      </c>
      <c r="P113" s="3">
        <f t="shared" si="56"/>
        <v>12790</v>
      </c>
      <c r="Q113" s="57">
        <f t="shared" si="57"/>
        <v>255.8</v>
      </c>
      <c r="R113" s="3">
        <f t="shared" si="58"/>
        <v>12790</v>
      </c>
      <c r="S113" s="66">
        <f t="shared" si="59"/>
        <v>3197.5</v>
      </c>
    </row>
    <row r="114" spans="1:220" s="3" customFormat="1" ht="16.149999999999999" customHeight="1">
      <c r="A114" s="1580"/>
      <c r="B114" s="1580" t="str">
        <f>B113</f>
        <v>86</v>
      </c>
      <c r="C114" s="1917"/>
      <c r="D114" s="1920" t="s">
        <v>244</v>
      </c>
      <c r="E114" s="1919"/>
      <c r="F114" s="48">
        <f>SUM(F13:F113)</f>
        <v>24988020</v>
      </c>
      <c r="G114" s="49"/>
      <c r="H114" s="1918">
        <f>SUM(H13:H113)</f>
        <v>27794460</v>
      </c>
      <c r="I114" s="1917">
        <f>SUM(I13:I113)</f>
        <v>2806440</v>
      </c>
      <c r="J114" s="49"/>
      <c r="K114" s="48">
        <f>SUM(K13:K113)</f>
        <v>27794460</v>
      </c>
      <c r="L114" s="1916">
        <f>SUM(L13:L113)</f>
        <v>2316205</v>
      </c>
      <c r="M114" s="1902">
        <f>SUM(M13:M113)</f>
        <v>45814.060000000012</v>
      </c>
      <c r="N114" s="1902">
        <f t="shared" si="54"/>
        <v>2316205</v>
      </c>
      <c r="O114" s="66"/>
      <c r="P114" s="41">
        <f>SUM(P13:P113)</f>
        <v>2316205</v>
      </c>
      <c r="Q114" s="1902">
        <f>SUM(Q13:Q113)</f>
        <v>45814.060000000012</v>
      </c>
      <c r="R114" s="3">
        <f t="shared" si="58"/>
        <v>2316205</v>
      </c>
      <c r="S114" s="66"/>
    </row>
    <row r="115" spans="1:220" s="3" customFormat="1" ht="16.149999999999999" hidden="1" customHeight="1">
      <c r="A115" s="1155"/>
      <c r="B115" s="1155"/>
      <c r="C115" s="40"/>
      <c r="D115" s="1154"/>
      <c r="E115" s="41"/>
      <c r="F115" s="1153"/>
      <c r="G115" s="2"/>
      <c r="H115" s="1915" t="s">
        <v>365</v>
      </c>
      <c r="I115" s="40"/>
      <c r="J115" s="2"/>
      <c r="K115" s="1153"/>
      <c r="L115" s="41"/>
      <c r="M115" s="1902">
        <v>12</v>
      </c>
      <c r="N115" s="3">
        <f>SUM(N114-[6]Salary.Hazard.Longe!$C$79)</f>
        <v>686186</v>
      </c>
      <c r="O115" s="66"/>
      <c r="P115" s="41">
        <f>SUM(P114-[6]Salary.Hazard.Longe!$D$87)</f>
        <v>502109</v>
      </c>
      <c r="Q115" s="1902">
        <v>12</v>
      </c>
      <c r="R115" s="3">
        <f t="shared" si="58"/>
        <v>502109</v>
      </c>
      <c r="S115" s="66"/>
    </row>
    <row r="116" spans="1:220" ht="16.149999999999999" hidden="1" customHeight="1" thickBot="1">
      <c r="A116" s="1158"/>
      <c r="B116" s="1158"/>
      <c r="C116" s="39"/>
      <c r="D116" s="45"/>
      <c r="E116" s="4">
        <v>19582</v>
      </c>
      <c r="F116" s="11">
        <v>20426</v>
      </c>
      <c r="G116" s="18"/>
      <c r="H116" s="1914"/>
      <c r="I116" s="40"/>
      <c r="J116" s="2"/>
      <c r="K116" s="1153"/>
      <c r="L116" s="41"/>
      <c r="M116" s="1901">
        <f>ROUNDUP(SUM(M114*M115),0)</f>
        <v>549769</v>
      </c>
      <c r="N116" s="3"/>
      <c r="O116" s="3"/>
      <c r="P116" s="42"/>
      <c r="Q116" s="1900">
        <f>ROUNDUP(SUM(Q114*Q115),0)</f>
        <v>549769</v>
      </c>
      <c r="S116" s="66"/>
      <c r="U116" s="1">
        <f>SUM(Q116-M116)</f>
        <v>0</v>
      </c>
    </row>
    <row r="117" spans="1:220" s="1907" customFormat="1" ht="13.15" hidden="1" customHeight="1" outlineLevel="1" thickTop="1">
      <c r="A117" s="65"/>
      <c r="B117" s="65"/>
      <c r="C117" s="1910" t="s">
        <v>1521</v>
      </c>
      <c r="D117" s="1913"/>
      <c r="E117" s="1908"/>
      <c r="F117" s="1221"/>
      <c r="G117" s="1908"/>
      <c r="H117" s="1909">
        <v>198000</v>
      </c>
      <c r="I117" s="1912"/>
      <c r="J117" s="1908"/>
      <c r="K117" s="74">
        <v>198000</v>
      </c>
      <c r="L117" s="3">
        <v>24800</v>
      </c>
      <c r="M117" s="66"/>
      <c r="N117" s="3">
        <f>L118</f>
        <v>12244</v>
      </c>
      <c r="O117" s="66">
        <v>3061</v>
      </c>
      <c r="P117" s="3">
        <v>24800</v>
      </c>
      <c r="Q117" s="2"/>
      <c r="R117" s="3">
        <f>P117</f>
        <v>24800</v>
      </c>
      <c r="S117" s="66">
        <v>4100</v>
      </c>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row>
    <row r="118" spans="1:220" s="1907" customFormat="1" ht="13.15" hidden="1" customHeight="1" outlineLevel="1">
      <c r="A118" s="65" t="s">
        <v>482</v>
      </c>
      <c r="B118" s="65" t="s">
        <v>482</v>
      </c>
      <c r="C118" s="1910" t="s">
        <v>1040</v>
      </c>
      <c r="D118" s="1913" t="s">
        <v>1520</v>
      </c>
      <c r="E118" s="1908" t="s">
        <v>172</v>
      </c>
      <c r="F118" s="1221">
        <v>203904</v>
      </c>
      <c r="G118" s="1908" t="s">
        <v>170</v>
      </c>
      <c r="H118" s="1909">
        <v>213624</v>
      </c>
      <c r="I118" s="1912"/>
      <c r="J118" s="1908" t="s">
        <v>170</v>
      </c>
      <c r="K118" s="74">
        <v>223236</v>
      </c>
      <c r="L118" s="3">
        <v>12244</v>
      </c>
      <c r="M118" s="66"/>
      <c r="N118" s="3">
        <f>L117</f>
        <v>24800</v>
      </c>
      <c r="O118" s="66">
        <f>IF(J118="ABOLISHED",0,IF(INT(LEFT(J118,LEN(J118)-2))&lt;=19,N118*0.25,IF(INT(LEFT(J118,LEN(J118)-2))=20,N118*0.15,IF(INT(LEFT(J118,LEN(J118)-2))=21,N118*0.13,IF(INT(LEFT(J118,LEN(J118)-2))=22,N118*0.12,IF(INT(LEFT(J118,LEN(J118)-2))=23,N118*0.11,IF(INT(LEFT(J118,LEN(J118)-2))&gt;=24,N118*0.1)))))))</f>
        <v>6200</v>
      </c>
      <c r="P118" s="3">
        <v>12244</v>
      </c>
      <c r="Q118" s="2"/>
      <c r="R118" s="3">
        <f>P118</f>
        <v>12244</v>
      </c>
      <c r="S118" s="66">
        <f>IF(J118="ABOLISHED",0,IF(INT(LEFT(J118,LEN(J118)-2))&lt;=19,R118*0.25,IF(INT(LEFT(J118,LEN(J118)-2))=20,R118*0.15,IF(INT(LEFT(J118,LEN(J118)-2))=21,R118*0.13,IF(INT(LEFT(J118,LEN(J118)-2))=22,R118*0.12,IF(INT(LEFT(J118,LEN(J118)-2))=23,R118*0.11,IF(INT(LEFT(J118,LEN(J118)-2))&gt;=24,R118*0.1)))))))</f>
        <v>3061</v>
      </c>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row>
    <row r="119" spans="1:220" s="1907" customFormat="1" ht="13.15" hidden="1" customHeight="1" outlineLevel="1">
      <c r="A119" s="1911"/>
      <c r="B119" s="1911"/>
      <c r="C119" s="1910"/>
      <c r="D119" s="1201"/>
      <c r="E119" s="1908"/>
      <c r="F119" s="1142"/>
      <c r="G119" s="1908"/>
      <c r="H119" s="1909"/>
      <c r="I119" s="319"/>
      <c r="J119" s="1908"/>
      <c r="K119" s="319"/>
      <c r="L119" s="3"/>
      <c r="M119" s="66"/>
      <c r="N119" s="3">
        <f>L120</f>
        <v>0</v>
      </c>
      <c r="O119" s="66">
        <v>3061</v>
      </c>
      <c r="Q119" s="2"/>
      <c r="R119" s="3"/>
      <c r="S119" s="66"/>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row>
    <row r="120" spans="1:220" ht="14.25" hidden="1" customHeight="1">
      <c r="B120" s="1">
        <v>2</v>
      </c>
      <c r="E120" s="27"/>
      <c r="H120" s="3"/>
      <c r="I120" s="3"/>
      <c r="L120" s="1906"/>
      <c r="M120" s="1902"/>
      <c r="N120" s="3"/>
      <c r="O120" s="1902">
        <f>SUM(O13:O119)</f>
        <v>535155.32000000007</v>
      </c>
      <c r="P120" s="3"/>
      <c r="Q120" s="1902"/>
      <c r="R120" s="3"/>
      <c r="S120" s="1902">
        <f>SUM(S13:S118)</f>
        <v>529994.32000000007</v>
      </c>
    </row>
    <row r="121" spans="1:220" ht="14.25" hidden="1" customHeight="1">
      <c r="B121" s="1905">
        <f>SUM(B114+B120)</f>
        <v>88</v>
      </c>
      <c r="E121" s="27"/>
      <c r="H121" s="3"/>
      <c r="I121" s="3"/>
      <c r="L121" s="3"/>
      <c r="M121" s="1904"/>
      <c r="N121" s="3"/>
      <c r="O121" s="3">
        <v>12</v>
      </c>
      <c r="Q121" s="1903"/>
      <c r="S121" s="1902">
        <v>12</v>
      </c>
    </row>
    <row r="122" spans="1:220" ht="14.25" hidden="1" customHeight="1" thickBot="1">
      <c r="E122" s="27"/>
      <c r="H122" s="3"/>
      <c r="I122" s="3"/>
      <c r="L122" s="3"/>
      <c r="M122" s="3"/>
      <c r="N122" s="3"/>
      <c r="O122" s="1901">
        <f>SUM(O120*O121)</f>
        <v>6421863.8400000008</v>
      </c>
      <c r="P122" s="1">
        <f>ROUND(O122,0)+1</f>
        <v>6421865</v>
      </c>
      <c r="Q122" s="18"/>
      <c r="S122" s="1900">
        <f>SUM(S120*S121)</f>
        <v>6359931.8400000008</v>
      </c>
      <c r="U122" s="1">
        <f>S122-O122</f>
        <v>-61932</v>
      </c>
    </row>
    <row r="123" spans="1:220" ht="14.25" hidden="1" customHeight="1" thickTop="1">
      <c r="E123" s="27"/>
      <c r="O123" s="1899" t="s">
        <v>1519</v>
      </c>
      <c r="S123" s="1" t="s">
        <v>1519</v>
      </c>
    </row>
    <row r="124" spans="1:220" ht="15.75" hidden="1">
      <c r="A124" s="4781" t="s">
        <v>1227</v>
      </c>
      <c r="B124" s="4782"/>
      <c r="E124" s="5"/>
      <c r="N124" s="1" t="s">
        <v>1518</v>
      </c>
      <c r="O124" s="1">
        <v>6004726</v>
      </c>
    </row>
    <row r="125" spans="1:220" ht="15.75" hidden="1">
      <c r="A125" s="1898" t="s">
        <v>242</v>
      </c>
      <c r="B125" s="1897" t="s">
        <v>241</v>
      </c>
      <c r="C125" s="1896" t="s">
        <v>1517</v>
      </c>
      <c r="D125" s="1895" t="s">
        <v>1516</v>
      </c>
      <c r="E125" s="5"/>
      <c r="N125" s="1" t="s">
        <v>1515</v>
      </c>
      <c r="O125" s="1">
        <f>SUM(O124-O122)</f>
        <v>-417137.84000000078</v>
      </c>
    </row>
    <row r="126" spans="1:220" hidden="1">
      <c r="A126" s="1894" t="s">
        <v>239</v>
      </c>
      <c r="B126" s="22">
        <v>12034</v>
      </c>
      <c r="C126" s="22">
        <v>12034</v>
      </c>
      <c r="D126" s="8">
        <f t="shared" ref="D126:D189" si="60">B126-C126</f>
        <v>0</v>
      </c>
      <c r="E126" s="1741"/>
      <c r="F126" s="15"/>
      <c r="G126" s="17"/>
      <c r="H126" s="14"/>
      <c r="I126" s="14"/>
      <c r="J126" s="13"/>
      <c r="K126" s="13"/>
      <c r="L126" s="14"/>
      <c r="M126" s="14"/>
      <c r="N126" s="14"/>
      <c r="O126" s="14"/>
    </row>
    <row r="127" spans="1:220" hidden="1">
      <c r="A127" s="1892" t="s">
        <v>238</v>
      </c>
      <c r="B127" s="22">
        <v>12134</v>
      </c>
      <c r="C127" s="22">
        <v>12134</v>
      </c>
      <c r="D127" s="8">
        <f t="shared" si="60"/>
        <v>0</v>
      </c>
      <c r="E127" s="1741"/>
      <c r="F127" s="15"/>
      <c r="G127" s="17"/>
      <c r="H127" s="14"/>
      <c r="I127" s="14"/>
      <c r="J127" s="13"/>
      <c r="K127" s="13"/>
      <c r="L127" s="14"/>
      <c r="M127" s="14"/>
      <c r="N127" s="14"/>
      <c r="O127" s="14"/>
    </row>
    <row r="128" spans="1:220" hidden="1">
      <c r="A128" s="1894" t="s">
        <v>237</v>
      </c>
      <c r="B128" s="22">
        <v>12236</v>
      </c>
      <c r="C128" s="22">
        <v>12236</v>
      </c>
      <c r="D128" s="8">
        <f t="shared" si="60"/>
        <v>0</v>
      </c>
      <c r="E128" s="1741"/>
      <c r="F128" s="15"/>
      <c r="G128" s="17"/>
    </row>
    <row r="129" spans="1:15" hidden="1">
      <c r="A129" s="1892" t="s">
        <v>236</v>
      </c>
      <c r="B129" s="22">
        <v>12339</v>
      </c>
      <c r="C129" s="22">
        <v>12339</v>
      </c>
      <c r="D129" s="8">
        <f t="shared" si="60"/>
        <v>0</v>
      </c>
      <c r="E129" s="1741"/>
      <c r="F129" s="15"/>
      <c r="G129" s="17"/>
      <c r="H129" s="14"/>
    </row>
    <row r="130" spans="1:15" hidden="1">
      <c r="A130" s="1894" t="s">
        <v>235</v>
      </c>
      <c r="B130" s="22">
        <v>12442</v>
      </c>
      <c r="C130" s="22">
        <v>12442</v>
      </c>
      <c r="D130" s="8">
        <f t="shared" si="60"/>
        <v>0</v>
      </c>
      <c r="E130" s="1741"/>
      <c r="F130" s="15"/>
      <c r="G130" s="17"/>
      <c r="H130" s="14"/>
      <c r="I130" s="14"/>
      <c r="J130" s="13"/>
      <c r="K130" s="13"/>
      <c r="L130" s="14"/>
      <c r="M130" s="14"/>
      <c r="N130" s="14"/>
      <c r="O130" s="14"/>
    </row>
    <row r="131" spans="1:15" hidden="1">
      <c r="A131" s="1892" t="s">
        <v>234</v>
      </c>
      <c r="B131" s="22">
        <v>12545</v>
      </c>
      <c r="C131" s="22">
        <v>12545</v>
      </c>
      <c r="D131" s="8">
        <f t="shared" si="60"/>
        <v>0</v>
      </c>
      <c r="E131" s="1741"/>
      <c r="F131" s="15"/>
      <c r="G131" s="17"/>
      <c r="H131" s="14"/>
    </row>
    <row r="132" spans="1:15" hidden="1">
      <c r="A132" s="1894" t="s">
        <v>233</v>
      </c>
      <c r="B132" s="22">
        <v>12651</v>
      </c>
      <c r="C132" s="22">
        <v>12651</v>
      </c>
      <c r="D132" s="8">
        <f t="shared" si="60"/>
        <v>0</v>
      </c>
      <c r="E132" s="1741"/>
      <c r="F132" s="15"/>
      <c r="G132" s="14"/>
      <c r="H132" s="14"/>
    </row>
    <row r="133" spans="1:15" hidden="1">
      <c r="A133" s="1892" t="s">
        <v>232</v>
      </c>
      <c r="B133" s="22">
        <v>12756</v>
      </c>
      <c r="C133" s="22">
        <v>12756</v>
      </c>
      <c r="D133" s="8">
        <f t="shared" si="60"/>
        <v>0</v>
      </c>
      <c r="E133" s="1741"/>
      <c r="F133" s="15"/>
      <c r="G133" s="14"/>
      <c r="H133" s="14"/>
      <c r="I133" s="14"/>
      <c r="J133" s="13"/>
      <c r="K133" s="13"/>
      <c r="L133" s="14"/>
      <c r="M133" s="14"/>
      <c r="N133" s="14"/>
      <c r="O133" s="14"/>
    </row>
    <row r="134" spans="1:15" hidden="1">
      <c r="A134" s="1893" t="s">
        <v>231</v>
      </c>
      <c r="B134" s="9">
        <v>12790</v>
      </c>
      <c r="C134" s="9">
        <v>12790</v>
      </c>
      <c r="D134" s="8">
        <f t="shared" si="60"/>
        <v>0</v>
      </c>
      <c r="E134" s="1742"/>
      <c r="F134" s="15"/>
      <c r="G134" s="14"/>
      <c r="H134" s="14"/>
    </row>
    <row r="135" spans="1:15" hidden="1">
      <c r="A135" s="1891" t="s">
        <v>230</v>
      </c>
      <c r="B135" s="9">
        <v>12888</v>
      </c>
      <c r="C135" s="9">
        <v>12888</v>
      </c>
      <c r="D135" s="8">
        <f t="shared" si="60"/>
        <v>0</v>
      </c>
      <c r="E135" s="1742"/>
      <c r="F135" s="15"/>
      <c r="G135" s="14"/>
      <c r="H135" s="14"/>
      <c r="I135" s="14"/>
      <c r="J135" s="13"/>
      <c r="K135" s="13"/>
      <c r="L135" s="14"/>
      <c r="M135" s="14"/>
      <c r="N135" s="14"/>
      <c r="O135" s="14"/>
    </row>
    <row r="136" spans="1:15" hidden="1">
      <c r="A136" s="1893" t="s">
        <v>229</v>
      </c>
      <c r="B136" s="9">
        <v>12987</v>
      </c>
      <c r="C136" s="9">
        <v>12987</v>
      </c>
      <c r="D136" s="8">
        <f t="shared" si="60"/>
        <v>0</v>
      </c>
      <c r="E136" s="1742"/>
      <c r="F136" s="15"/>
      <c r="G136" s="14"/>
    </row>
    <row r="137" spans="1:15" hidden="1">
      <c r="A137" s="1891" t="s">
        <v>228</v>
      </c>
      <c r="B137" s="9">
        <v>13087</v>
      </c>
      <c r="C137" s="9">
        <v>13087</v>
      </c>
      <c r="D137" s="8">
        <f t="shared" si="60"/>
        <v>0</v>
      </c>
      <c r="E137" s="1742"/>
      <c r="F137" s="15"/>
      <c r="G137" s="14"/>
      <c r="H137" s="14"/>
    </row>
    <row r="138" spans="1:15" hidden="1">
      <c r="A138" s="1893" t="s">
        <v>227</v>
      </c>
      <c r="B138" s="9">
        <v>13187</v>
      </c>
      <c r="C138" s="9">
        <v>13187</v>
      </c>
      <c r="D138" s="8">
        <f t="shared" si="60"/>
        <v>0</v>
      </c>
      <c r="E138" s="1742"/>
      <c r="F138" s="15"/>
      <c r="G138" s="14"/>
      <c r="H138" s="14"/>
      <c r="I138" s="14"/>
      <c r="J138" s="13"/>
      <c r="K138" s="13"/>
      <c r="L138" s="14"/>
      <c r="M138" s="14"/>
      <c r="N138" s="14"/>
      <c r="O138" s="14"/>
    </row>
    <row r="139" spans="1:15" hidden="1">
      <c r="A139" s="1891" t="s">
        <v>226</v>
      </c>
      <c r="B139" s="9">
        <v>13288</v>
      </c>
      <c r="C139" s="9">
        <v>13288</v>
      </c>
      <c r="D139" s="8">
        <f t="shared" si="60"/>
        <v>0</v>
      </c>
      <c r="E139" s="1742"/>
      <c r="F139" s="15"/>
      <c r="G139" s="14"/>
      <c r="H139" s="14"/>
      <c r="I139" s="14"/>
      <c r="J139" s="13"/>
      <c r="K139" s="13"/>
      <c r="L139" s="14"/>
      <c r="M139" s="14"/>
      <c r="N139" s="14"/>
      <c r="O139" s="14"/>
    </row>
    <row r="140" spans="1:15" hidden="1">
      <c r="A140" s="1893" t="s">
        <v>225</v>
      </c>
      <c r="B140" s="9">
        <v>13390</v>
      </c>
      <c r="C140" s="9">
        <v>13390</v>
      </c>
      <c r="D140" s="8">
        <f t="shared" si="60"/>
        <v>0</v>
      </c>
      <c r="E140" s="1742"/>
      <c r="F140" s="15"/>
      <c r="G140" s="14"/>
      <c r="H140" s="14"/>
      <c r="I140" s="14"/>
      <c r="J140" s="13"/>
      <c r="K140" s="13"/>
      <c r="L140" s="14"/>
      <c r="M140" s="14"/>
      <c r="N140" s="14"/>
      <c r="O140" s="14"/>
    </row>
    <row r="141" spans="1:15" hidden="1">
      <c r="A141" s="1891" t="s">
        <v>224</v>
      </c>
      <c r="B141" s="9">
        <v>13493</v>
      </c>
      <c r="C141" s="9">
        <v>13493</v>
      </c>
      <c r="D141" s="8">
        <f t="shared" si="60"/>
        <v>0</v>
      </c>
      <c r="E141" s="1742"/>
      <c r="F141" s="15"/>
      <c r="G141" s="14"/>
      <c r="H141" s="14"/>
    </row>
    <row r="142" spans="1:15" hidden="1">
      <c r="A142" s="1894" t="s">
        <v>223</v>
      </c>
      <c r="B142" s="11">
        <v>13572</v>
      </c>
      <c r="C142" s="11">
        <v>13572</v>
      </c>
      <c r="D142" s="8">
        <f t="shared" si="60"/>
        <v>0</v>
      </c>
      <c r="E142" s="1741"/>
      <c r="F142" s="15"/>
      <c r="G142" s="14"/>
      <c r="H142" s="14"/>
    </row>
    <row r="143" spans="1:15" hidden="1">
      <c r="A143" s="1892" t="s">
        <v>222</v>
      </c>
      <c r="B143" s="11">
        <v>13677</v>
      </c>
      <c r="C143" s="11">
        <v>13677</v>
      </c>
      <c r="D143" s="8">
        <f t="shared" si="60"/>
        <v>0</v>
      </c>
      <c r="E143" s="1741"/>
      <c r="F143" s="15"/>
      <c r="G143" s="14"/>
      <c r="H143" s="14"/>
      <c r="I143" s="14"/>
      <c r="J143" s="13"/>
      <c r="K143" s="13"/>
      <c r="L143" s="14"/>
      <c r="M143" s="14"/>
      <c r="N143" s="14"/>
      <c r="O143" s="14"/>
    </row>
    <row r="144" spans="1:15" hidden="1">
      <c r="A144" s="1894" t="s">
        <v>221</v>
      </c>
      <c r="B144" s="11">
        <v>13781</v>
      </c>
      <c r="C144" s="11">
        <v>13781</v>
      </c>
      <c r="D144" s="8">
        <f t="shared" si="60"/>
        <v>0</v>
      </c>
      <c r="E144" s="1741"/>
      <c r="F144" s="15"/>
      <c r="G144" s="14"/>
      <c r="H144" s="14"/>
      <c r="I144" s="14"/>
      <c r="J144" s="13"/>
      <c r="K144" s="13"/>
      <c r="L144" s="14"/>
      <c r="M144" s="14"/>
      <c r="N144" s="14"/>
      <c r="O144" s="14"/>
    </row>
    <row r="145" spans="1:15" hidden="1">
      <c r="A145" s="1892" t="s">
        <v>220</v>
      </c>
      <c r="B145" s="11">
        <v>13888</v>
      </c>
      <c r="C145" s="11">
        <v>13888</v>
      </c>
      <c r="D145" s="8">
        <f t="shared" si="60"/>
        <v>0</v>
      </c>
      <c r="E145" s="1741"/>
      <c r="F145" s="15"/>
      <c r="G145" s="14"/>
      <c r="H145" s="14"/>
    </row>
    <row r="146" spans="1:15" hidden="1">
      <c r="A146" s="1894" t="s">
        <v>219</v>
      </c>
      <c r="B146" s="11">
        <v>13995</v>
      </c>
      <c r="C146" s="11">
        <v>13995</v>
      </c>
      <c r="D146" s="8">
        <f t="shared" si="60"/>
        <v>0</v>
      </c>
      <c r="E146" s="1741"/>
      <c r="F146" s="15"/>
      <c r="G146" s="14"/>
      <c r="H146" s="14"/>
      <c r="I146" s="14"/>
      <c r="J146" s="13"/>
      <c r="K146" s="13"/>
      <c r="L146" s="14"/>
      <c r="M146" s="14"/>
      <c r="N146" s="14"/>
      <c r="O146" s="14"/>
    </row>
    <row r="147" spans="1:15" hidden="1">
      <c r="A147" s="1892" t="s">
        <v>218</v>
      </c>
      <c r="B147" s="11">
        <v>14101</v>
      </c>
      <c r="C147" s="11">
        <v>14101</v>
      </c>
      <c r="D147" s="8">
        <f t="shared" si="60"/>
        <v>0</v>
      </c>
      <c r="E147" s="1741"/>
      <c r="F147" s="15"/>
      <c r="G147" s="14"/>
      <c r="H147" s="14"/>
    </row>
    <row r="148" spans="1:15" hidden="1">
      <c r="A148" s="1894" t="s">
        <v>217</v>
      </c>
      <c r="B148" s="11">
        <v>14210</v>
      </c>
      <c r="C148" s="11">
        <v>14210</v>
      </c>
      <c r="D148" s="8">
        <f t="shared" si="60"/>
        <v>0</v>
      </c>
      <c r="E148" s="1741"/>
      <c r="F148" s="15"/>
      <c r="G148" s="14"/>
      <c r="H148" s="14"/>
    </row>
    <row r="149" spans="1:15" hidden="1">
      <c r="A149" s="1892" t="s">
        <v>216</v>
      </c>
      <c r="B149" s="11">
        <v>14319</v>
      </c>
      <c r="C149" s="11">
        <v>14319</v>
      </c>
      <c r="D149" s="8">
        <f t="shared" si="60"/>
        <v>0</v>
      </c>
      <c r="E149" s="1741"/>
      <c r="F149" s="15"/>
      <c r="G149" s="14"/>
      <c r="H149" s="14"/>
      <c r="I149" s="14"/>
      <c r="J149" s="13"/>
      <c r="K149" s="13"/>
      <c r="L149" s="14"/>
      <c r="M149" s="14"/>
      <c r="N149" s="14"/>
      <c r="O149" s="14"/>
    </row>
    <row r="150" spans="1:15" hidden="1">
      <c r="A150" s="1893" t="s">
        <v>215</v>
      </c>
      <c r="B150" s="9">
        <v>14400</v>
      </c>
      <c r="C150" s="9">
        <v>14400</v>
      </c>
      <c r="D150" s="8">
        <f t="shared" si="60"/>
        <v>0</v>
      </c>
      <c r="E150" s="1741"/>
      <c r="F150" s="15"/>
    </row>
    <row r="151" spans="1:15" hidden="1">
      <c r="A151" s="1891" t="s">
        <v>214</v>
      </c>
      <c r="B151" s="9">
        <v>14511</v>
      </c>
      <c r="C151" s="9">
        <v>14511</v>
      </c>
      <c r="D151" s="8">
        <f t="shared" si="60"/>
        <v>0</v>
      </c>
      <c r="E151" s="1741"/>
      <c r="F151" s="15"/>
    </row>
    <row r="152" spans="1:15" hidden="1">
      <c r="A152" s="1893" t="s">
        <v>213</v>
      </c>
      <c r="B152" s="9">
        <v>14622</v>
      </c>
      <c r="C152" s="9">
        <v>14622</v>
      </c>
      <c r="D152" s="8">
        <f t="shared" si="60"/>
        <v>0</v>
      </c>
      <c r="E152" s="1741"/>
      <c r="F152" s="15"/>
    </row>
    <row r="153" spans="1:15" hidden="1">
      <c r="A153" s="1891" t="s">
        <v>212</v>
      </c>
      <c r="B153" s="9">
        <v>14735</v>
      </c>
      <c r="C153" s="9">
        <v>14735</v>
      </c>
      <c r="D153" s="8">
        <f t="shared" si="60"/>
        <v>0</v>
      </c>
      <c r="E153" s="1741"/>
      <c r="F153" s="15"/>
    </row>
    <row r="154" spans="1:15" hidden="1">
      <c r="A154" s="1893" t="s">
        <v>211</v>
      </c>
      <c r="B154" s="9">
        <v>14848</v>
      </c>
      <c r="C154" s="9">
        <v>14848</v>
      </c>
      <c r="D154" s="8">
        <f t="shared" si="60"/>
        <v>0</v>
      </c>
      <c r="E154" s="1741"/>
      <c r="F154" s="15"/>
    </row>
    <row r="155" spans="1:15" hidden="1">
      <c r="A155" s="1891" t="s">
        <v>210</v>
      </c>
      <c r="B155" s="9">
        <v>14961</v>
      </c>
      <c r="C155" s="9">
        <v>14961</v>
      </c>
      <c r="D155" s="8">
        <f t="shared" si="60"/>
        <v>0</v>
      </c>
      <c r="E155" s="1741"/>
      <c r="F155" s="15"/>
    </row>
    <row r="156" spans="1:15" hidden="1">
      <c r="A156" s="1893" t="s">
        <v>209</v>
      </c>
      <c r="B156" s="9">
        <v>15077</v>
      </c>
      <c r="C156" s="9">
        <v>15077</v>
      </c>
      <c r="D156" s="8">
        <f t="shared" si="60"/>
        <v>0</v>
      </c>
      <c r="E156" s="1741"/>
      <c r="F156" s="15"/>
    </row>
    <row r="157" spans="1:15" hidden="1">
      <c r="A157" s="1891" t="s">
        <v>208</v>
      </c>
      <c r="B157" s="9">
        <v>15192</v>
      </c>
      <c r="C157" s="9">
        <v>15192</v>
      </c>
      <c r="D157" s="8">
        <f t="shared" si="60"/>
        <v>0</v>
      </c>
      <c r="E157" s="1741"/>
      <c r="F157" s="15"/>
    </row>
    <row r="158" spans="1:15" hidden="1">
      <c r="A158" s="1892" t="s">
        <v>207</v>
      </c>
      <c r="B158" s="11">
        <v>15275</v>
      </c>
      <c r="C158" s="11">
        <v>15275</v>
      </c>
      <c r="D158" s="8">
        <f t="shared" si="60"/>
        <v>0</v>
      </c>
      <c r="E158" s="1741"/>
      <c r="F158" s="15"/>
      <c r="G158" s="14"/>
      <c r="H158" s="14"/>
      <c r="I158" s="14"/>
      <c r="J158" s="13"/>
      <c r="K158" s="13"/>
      <c r="L158" s="14"/>
      <c r="M158" s="14"/>
      <c r="N158" s="14"/>
      <c r="O158" s="14"/>
    </row>
    <row r="159" spans="1:15" hidden="1">
      <c r="A159" s="1892" t="s">
        <v>206</v>
      </c>
      <c r="B159" s="11">
        <v>15393</v>
      </c>
      <c r="C159" s="11">
        <v>15393</v>
      </c>
      <c r="D159" s="8">
        <f t="shared" si="60"/>
        <v>0</v>
      </c>
      <c r="E159" s="1741"/>
      <c r="F159" s="15"/>
      <c r="G159" s="14"/>
      <c r="H159" s="14"/>
    </row>
    <row r="160" spans="1:15" hidden="1">
      <c r="A160" s="1892" t="s">
        <v>205</v>
      </c>
      <c r="B160" s="11">
        <v>15511</v>
      </c>
      <c r="C160" s="11">
        <v>15511</v>
      </c>
      <c r="D160" s="8">
        <f t="shared" si="60"/>
        <v>0</v>
      </c>
      <c r="E160" s="1741"/>
      <c r="F160" s="15"/>
      <c r="G160" s="14"/>
      <c r="H160" s="14"/>
    </row>
    <row r="161" spans="1:15" hidden="1">
      <c r="A161" s="1892" t="s">
        <v>204</v>
      </c>
      <c r="B161" s="11">
        <v>15630</v>
      </c>
      <c r="C161" s="11">
        <v>15630</v>
      </c>
      <c r="D161" s="8">
        <f t="shared" si="60"/>
        <v>0</v>
      </c>
      <c r="E161" s="1741"/>
      <c r="F161" s="15"/>
      <c r="G161" s="14"/>
      <c r="H161" s="14"/>
    </row>
    <row r="162" spans="1:15" hidden="1">
      <c r="A162" s="1892" t="s">
        <v>203</v>
      </c>
      <c r="B162" s="11">
        <v>15750</v>
      </c>
      <c r="C162" s="11">
        <v>15750</v>
      </c>
      <c r="D162" s="8">
        <f t="shared" si="60"/>
        <v>0</v>
      </c>
      <c r="E162" s="1741"/>
      <c r="F162" s="15"/>
      <c r="G162" s="14"/>
      <c r="H162" s="14"/>
    </row>
    <row r="163" spans="1:15" hidden="1">
      <c r="A163" s="1892" t="s">
        <v>202</v>
      </c>
      <c r="B163" s="11">
        <v>15871</v>
      </c>
      <c r="C163" s="11">
        <v>15871</v>
      </c>
      <c r="D163" s="8">
        <f t="shared" si="60"/>
        <v>0</v>
      </c>
      <c r="E163" s="1741"/>
      <c r="F163" s="15"/>
      <c r="G163" s="14"/>
      <c r="H163" s="14"/>
      <c r="I163" s="14"/>
      <c r="J163" s="13"/>
      <c r="K163" s="13"/>
      <c r="L163" s="14"/>
      <c r="M163" s="14"/>
      <c r="N163" s="14"/>
      <c r="O163" s="14"/>
    </row>
    <row r="164" spans="1:15" hidden="1">
      <c r="A164" s="1892" t="s">
        <v>201</v>
      </c>
      <c r="B164" s="11">
        <v>15993</v>
      </c>
      <c r="C164" s="11">
        <v>15993</v>
      </c>
      <c r="D164" s="8">
        <f t="shared" si="60"/>
        <v>0</v>
      </c>
      <c r="E164" s="1741"/>
      <c r="F164" s="15"/>
      <c r="G164" s="14"/>
      <c r="H164" s="14"/>
      <c r="I164" s="14"/>
      <c r="J164" s="13"/>
      <c r="K164" s="13"/>
      <c r="L164" s="14"/>
      <c r="M164" s="14"/>
      <c r="N164" s="14"/>
      <c r="O164" s="14"/>
    </row>
    <row r="165" spans="1:15" hidden="1">
      <c r="A165" s="1892" t="s">
        <v>200</v>
      </c>
      <c r="B165" s="11">
        <v>16115</v>
      </c>
      <c r="C165" s="11">
        <v>16115</v>
      </c>
      <c r="D165" s="8">
        <f t="shared" si="60"/>
        <v>0</v>
      </c>
      <c r="E165" s="1741"/>
      <c r="F165" s="15"/>
      <c r="G165" s="14"/>
      <c r="H165" s="14"/>
    </row>
    <row r="166" spans="1:15" hidden="1">
      <c r="A166" s="1891" t="s">
        <v>199</v>
      </c>
      <c r="B166" s="9">
        <v>16200</v>
      </c>
      <c r="C166" s="9">
        <v>16200</v>
      </c>
      <c r="D166" s="8">
        <f t="shared" si="60"/>
        <v>0</v>
      </c>
      <c r="E166" s="1741"/>
      <c r="F166" s="15"/>
      <c r="G166" s="14"/>
      <c r="H166" s="14"/>
      <c r="I166" s="14"/>
      <c r="J166" s="13"/>
      <c r="K166" s="13"/>
      <c r="L166" s="14"/>
      <c r="M166" s="14"/>
      <c r="N166" s="14"/>
      <c r="O166" s="14"/>
    </row>
    <row r="167" spans="1:15" hidden="1">
      <c r="A167" s="1891" t="s">
        <v>198</v>
      </c>
      <c r="B167" s="9">
        <v>16325</v>
      </c>
      <c r="C167" s="9">
        <v>16325</v>
      </c>
      <c r="D167" s="8">
        <f t="shared" si="60"/>
        <v>0</v>
      </c>
      <c r="E167" s="1741"/>
      <c r="F167" s="15"/>
      <c r="G167" s="14"/>
      <c r="H167" s="14"/>
      <c r="I167" s="14"/>
      <c r="J167" s="13"/>
      <c r="K167" s="13"/>
      <c r="L167" s="14"/>
      <c r="M167" s="14"/>
      <c r="N167" s="14"/>
      <c r="O167" s="14"/>
    </row>
    <row r="168" spans="1:15" hidden="1">
      <c r="A168" s="1891" t="s">
        <v>197</v>
      </c>
      <c r="B168" s="9">
        <v>16450</v>
      </c>
      <c r="C168" s="9">
        <v>16450</v>
      </c>
      <c r="D168" s="8">
        <f t="shared" si="60"/>
        <v>0</v>
      </c>
      <c r="E168" s="1741"/>
      <c r="F168" s="15"/>
      <c r="G168" s="14"/>
      <c r="H168" s="14"/>
      <c r="I168" s="14"/>
      <c r="J168" s="13"/>
      <c r="K168" s="13"/>
      <c r="L168" s="14"/>
      <c r="M168" s="14"/>
      <c r="N168" s="14"/>
      <c r="O168" s="14"/>
    </row>
    <row r="169" spans="1:15" hidden="1">
      <c r="A169" s="1891" t="s">
        <v>196</v>
      </c>
      <c r="B169" s="9">
        <v>16577</v>
      </c>
      <c r="C169" s="9">
        <v>16577</v>
      </c>
      <c r="D169" s="8">
        <f t="shared" si="60"/>
        <v>0</v>
      </c>
      <c r="E169" s="1741"/>
      <c r="F169" s="15"/>
      <c r="G169" s="14"/>
      <c r="H169" s="14"/>
      <c r="I169" s="14"/>
      <c r="J169" s="13"/>
      <c r="K169" s="13"/>
      <c r="L169" s="14"/>
      <c r="M169" s="14"/>
      <c r="N169" s="14"/>
      <c r="O169" s="14"/>
    </row>
    <row r="170" spans="1:15" hidden="1">
      <c r="A170" s="1891" t="s">
        <v>195</v>
      </c>
      <c r="B170" s="9">
        <v>16704</v>
      </c>
      <c r="C170" s="9">
        <v>16704</v>
      </c>
      <c r="D170" s="8">
        <f t="shared" si="60"/>
        <v>0</v>
      </c>
      <c r="E170" s="1741"/>
      <c r="F170" s="15"/>
      <c r="G170" s="14"/>
      <c r="H170" s="14"/>
      <c r="I170" s="14"/>
      <c r="J170" s="13"/>
      <c r="K170" s="13"/>
      <c r="L170" s="14"/>
      <c r="M170" s="14"/>
      <c r="N170" s="14"/>
      <c r="O170" s="14"/>
    </row>
    <row r="171" spans="1:15" hidden="1">
      <c r="A171" s="1891" t="s">
        <v>194</v>
      </c>
      <c r="B171" s="9">
        <v>16832</v>
      </c>
      <c r="C171" s="9">
        <v>16832</v>
      </c>
      <c r="D171" s="8">
        <f t="shared" si="60"/>
        <v>0</v>
      </c>
      <c r="E171" s="1741"/>
      <c r="F171" s="15"/>
      <c r="G171" s="14"/>
      <c r="H171" s="14"/>
    </row>
    <row r="172" spans="1:15" hidden="1">
      <c r="A172" s="1891" t="s">
        <v>193</v>
      </c>
      <c r="B172" s="9">
        <v>16962</v>
      </c>
      <c r="C172" s="9">
        <v>16962</v>
      </c>
      <c r="D172" s="8">
        <f t="shared" si="60"/>
        <v>0</v>
      </c>
      <c r="E172" s="1741"/>
      <c r="F172" s="15"/>
      <c r="G172" s="14"/>
      <c r="H172" s="14"/>
      <c r="I172" s="14"/>
      <c r="J172" s="13"/>
      <c r="K172" s="13"/>
      <c r="L172" s="14"/>
      <c r="M172" s="14"/>
      <c r="N172" s="14"/>
      <c r="O172" s="14"/>
    </row>
    <row r="173" spans="1:15" hidden="1">
      <c r="A173" s="1891" t="s">
        <v>192</v>
      </c>
      <c r="B173" s="9">
        <v>17092</v>
      </c>
      <c r="C173" s="9">
        <v>17092</v>
      </c>
      <c r="D173" s="8">
        <f t="shared" si="60"/>
        <v>0</v>
      </c>
      <c r="E173" s="1741"/>
      <c r="F173" s="15"/>
      <c r="G173" s="14"/>
      <c r="H173" s="14"/>
      <c r="I173" s="14"/>
      <c r="J173" s="13"/>
      <c r="K173" s="13"/>
      <c r="L173" s="14"/>
      <c r="M173" s="14"/>
      <c r="N173" s="14"/>
      <c r="O173" s="14"/>
    </row>
    <row r="174" spans="1:15" hidden="1">
      <c r="A174" s="1892" t="s">
        <v>191</v>
      </c>
      <c r="B174" s="11">
        <v>17179</v>
      </c>
      <c r="C174" s="11">
        <v>17179</v>
      </c>
      <c r="D174" s="8">
        <f t="shared" si="60"/>
        <v>0</v>
      </c>
      <c r="E174" s="1741"/>
      <c r="F174" s="15"/>
      <c r="G174" s="14"/>
      <c r="H174" s="14"/>
    </row>
    <row r="175" spans="1:15" hidden="1">
      <c r="A175" s="1892" t="s">
        <v>190</v>
      </c>
      <c r="B175" s="11">
        <v>17311</v>
      </c>
      <c r="C175" s="11">
        <v>17311</v>
      </c>
      <c r="D175" s="8">
        <f t="shared" si="60"/>
        <v>0</v>
      </c>
      <c r="E175" s="1741"/>
      <c r="F175" s="15"/>
      <c r="G175" s="14"/>
      <c r="H175" s="14"/>
      <c r="I175" s="14"/>
      <c r="J175" s="13"/>
      <c r="K175" s="13"/>
      <c r="L175" s="14"/>
      <c r="M175" s="14"/>
      <c r="N175" s="14"/>
      <c r="O175" s="14"/>
    </row>
    <row r="176" spans="1:15" hidden="1">
      <c r="A176" s="1892" t="s">
        <v>189</v>
      </c>
      <c r="B176" s="11">
        <v>17444</v>
      </c>
      <c r="C176" s="11">
        <v>17444</v>
      </c>
      <c r="D176" s="8">
        <f t="shared" si="60"/>
        <v>0</v>
      </c>
      <c r="E176" s="1741"/>
      <c r="F176" s="15"/>
      <c r="G176" s="14"/>
      <c r="H176" s="14"/>
      <c r="I176" s="14"/>
      <c r="J176" s="13"/>
      <c r="K176" s="13"/>
      <c r="L176" s="14"/>
      <c r="M176" s="14"/>
      <c r="N176" s="14"/>
      <c r="O176" s="14"/>
    </row>
    <row r="177" spans="1:15" hidden="1">
      <c r="A177" s="1892" t="s">
        <v>188</v>
      </c>
      <c r="B177" s="11">
        <v>17578</v>
      </c>
      <c r="C177" s="11">
        <v>17578</v>
      </c>
      <c r="D177" s="8">
        <f t="shared" si="60"/>
        <v>0</v>
      </c>
      <c r="E177" s="1741"/>
      <c r="F177" s="15"/>
      <c r="G177" s="14"/>
      <c r="H177" s="14"/>
      <c r="I177" s="14"/>
      <c r="J177" s="13"/>
      <c r="K177" s="13"/>
      <c r="L177" s="14"/>
      <c r="M177" s="14"/>
      <c r="N177" s="14"/>
      <c r="O177" s="14"/>
    </row>
    <row r="178" spans="1:15" hidden="1">
      <c r="A178" s="1892" t="s">
        <v>187</v>
      </c>
      <c r="B178" s="11">
        <v>17713</v>
      </c>
      <c r="C178" s="11">
        <v>17713</v>
      </c>
      <c r="D178" s="8">
        <f t="shared" si="60"/>
        <v>0</v>
      </c>
      <c r="E178" s="1741"/>
      <c r="F178" s="15"/>
      <c r="G178" s="14"/>
      <c r="H178" s="14"/>
      <c r="I178" s="14"/>
      <c r="J178" s="13"/>
      <c r="K178" s="13"/>
      <c r="L178" s="14"/>
      <c r="M178" s="14"/>
      <c r="N178" s="14"/>
      <c r="O178" s="14"/>
    </row>
    <row r="179" spans="1:15" hidden="1">
      <c r="A179" s="1892" t="s">
        <v>186</v>
      </c>
      <c r="B179" s="11">
        <v>17849</v>
      </c>
      <c r="C179" s="11">
        <v>17849</v>
      </c>
      <c r="D179" s="8">
        <f t="shared" si="60"/>
        <v>0</v>
      </c>
      <c r="E179" s="1741"/>
      <c r="F179" s="15"/>
      <c r="G179" s="14"/>
      <c r="H179" s="14"/>
    </row>
    <row r="180" spans="1:15" hidden="1">
      <c r="A180" s="1892" t="s">
        <v>185</v>
      </c>
      <c r="B180" s="11">
        <v>17985</v>
      </c>
      <c r="C180" s="11">
        <v>17985</v>
      </c>
      <c r="D180" s="8">
        <f t="shared" si="60"/>
        <v>0</v>
      </c>
      <c r="E180" s="1741"/>
      <c r="F180" s="15"/>
      <c r="G180" s="14"/>
      <c r="H180" s="14"/>
      <c r="I180" s="14"/>
      <c r="J180" s="13"/>
      <c r="K180" s="13"/>
      <c r="L180" s="14"/>
      <c r="M180" s="14"/>
      <c r="N180" s="14"/>
      <c r="O180" s="14"/>
    </row>
    <row r="181" spans="1:15" hidden="1">
      <c r="A181" s="1892" t="s">
        <v>184</v>
      </c>
      <c r="B181" s="11">
        <v>18124</v>
      </c>
      <c r="C181" s="11">
        <v>18124</v>
      </c>
      <c r="D181" s="8">
        <f t="shared" si="60"/>
        <v>0</v>
      </c>
      <c r="E181" s="1741"/>
      <c r="F181" s="15"/>
      <c r="G181" s="14"/>
      <c r="H181" s="14"/>
    </row>
    <row r="182" spans="1:15" hidden="1">
      <c r="A182" s="1891" t="s">
        <v>183</v>
      </c>
      <c r="B182" s="9">
        <v>18251</v>
      </c>
      <c r="C182" s="9">
        <v>18251</v>
      </c>
      <c r="D182" s="8">
        <f t="shared" si="60"/>
        <v>0</v>
      </c>
      <c r="E182" s="1742"/>
      <c r="F182" s="15"/>
      <c r="G182" s="14"/>
      <c r="H182" s="14"/>
      <c r="I182" s="14"/>
      <c r="J182" s="13"/>
      <c r="K182" s="13"/>
      <c r="L182" s="14"/>
      <c r="M182" s="14"/>
      <c r="N182" s="14"/>
      <c r="O182" s="14"/>
    </row>
    <row r="183" spans="1:15" hidden="1">
      <c r="A183" s="1891" t="s">
        <v>182</v>
      </c>
      <c r="B183" s="9">
        <v>18417</v>
      </c>
      <c r="C183" s="9">
        <v>18417</v>
      </c>
      <c r="D183" s="8">
        <f t="shared" si="60"/>
        <v>0</v>
      </c>
      <c r="E183" s="1742"/>
      <c r="F183" s="15"/>
      <c r="G183" s="14"/>
      <c r="H183" s="14"/>
      <c r="I183" s="14"/>
      <c r="J183" s="13"/>
      <c r="K183" s="13"/>
      <c r="L183" s="14"/>
      <c r="M183" s="14"/>
      <c r="N183" s="14"/>
      <c r="O183" s="14"/>
    </row>
    <row r="184" spans="1:15" hidden="1">
      <c r="A184" s="1891" t="s">
        <v>181</v>
      </c>
      <c r="B184" s="9">
        <v>18583</v>
      </c>
      <c r="C184" s="9">
        <v>18583</v>
      </c>
      <c r="D184" s="8">
        <f t="shared" si="60"/>
        <v>0</v>
      </c>
      <c r="E184" s="1742"/>
      <c r="F184" s="15"/>
      <c r="G184" s="14"/>
      <c r="H184" s="14"/>
      <c r="I184" s="14"/>
      <c r="J184" s="13"/>
      <c r="K184" s="13"/>
      <c r="L184" s="14"/>
      <c r="M184" s="14"/>
      <c r="N184" s="14"/>
      <c r="O184" s="14"/>
    </row>
    <row r="185" spans="1:15" hidden="1">
      <c r="A185" s="1891" t="s">
        <v>180</v>
      </c>
      <c r="B185" s="9">
        <v>18751</v>
      </c>
      <c r="C185" s="9">
        <v>18751</v>
      </c>
      <c r="D185" s="8">
        <f t="shared" si="60"/>
        <v>0</v>
      </c>
      <c r="E185" s="1742"/>
      <c r="F185" s="15"/>
      <c r="G185" s="14"/>
      <c r="H185" s="14"/>
      <c r="I185" s="14"/>
      <c r="J185" s="13"/>
      <c r="K185" s="13"/>
      <c r="L185" s="14"/>
      <c r="M185" s="14"/>
      <c r="N185" s="14"/>
      <c r="O185" s="14"/>
    </row>
    <row r="186" spans="1:15" hidden="1">
      <c r="A186" s="1891" t="s">
        <v>179</v>
      </c>
      <c r="B186" s="9">
        <v>18920</v>
      </c>
      <c r="C186" s="9">
        <v>18920</v>
      </c>
      <c r="D186" s="8">
        <f t="shared" si="60"/>
        <v>0</v>
      </c>
      <c r="E186" s="1742"/>
      <c r="F186" s="15"/>
      <c r="G186" s="14"/>
      <c r="H186" s="14"/>
      <c r="I186" s="14"/>
      <c r="J186" s="13"/>
      <c r="K186" s="13"/>
      <c r="L186" s="14"/>
      <c r="M186" s="14"/>
      <c r="N186" s="14"/>
      <c r="O186" s="14"/>
    </row>
    <row r="187" spans="1:15" hidden="1">
      <c r="A187" s="1891" t="s">
        <v>178</v>
      </c>
      <c r="B187" s="9">
        <v>19091</v>
      </c>
      <c r="C187" s="9">
        <v>19091</v>
      </c>
      <c r="D187" s="8">
        <f t="shared" si="60"/>
        <v>0</v>
      </c>
      <c r="E187" s="1742"/>
      <c r="F187" s="15"/>
      <c r="G187" s="14"/>
      <c r="H187" s="14"/>
      <c r="I187" s="14"/>
      <c r="J187" s="13"/>
      <c r="K187" s="13"/>
      <c r="L187" s="14"/>
      <c r="M187" s="14"/>
      <c r="N187" s="14"/>
      <c r="O187" s="14"/>
    </row>
    <row r="188" spans="1:15" hidden="1">
      <c r="A188" s="1891" t="s">
        <v>177</v>
      </c>
      <c r="B188" s="9">
        <v>19264</v>
      </c>
      <c r="C188" s="9">
        <v>19264</v>
      </c>
      <c r="D188" s="8">
        <f t="shared" si="60"/>
        <v>0</v>
      </c>
      <c r="E188" s="1742"/>
      <c r="F188" s="15"/>
      <c r="G188" s="14"/>
      <c r="H188" s="14"/>
      <c r="I188" s="14"/>
      <c r="J188" s="13"/>
      <c r="K188" s="13"/>
      <c r="L188" s="14"/>
      <c r="M188" s="14"/>
      <c r="N188" s="14"/>
      <c r="O188" s="14"/>
    </row>
    <row r="189" spans="1:15" hidden="1">
      <c r="A189" s="1891" t="s">
        <v>176</v>
      </c>
      <c r="B189" s="9">
        <v>19438</v>
      </c>
      <c r="C189" s="9">
        <v>19438</v>
      </c>
      <c r="D189" s="8">
        <f t="shared" si="60"/>
        <v>0</v>
      </c>
      <c r="E189" s="1742"/>
      <c r="F189" s="15"/>
      <c r="G189" s="14"/>
      <c r="H189" s="14"/>
      <c r="I189" s="14"/>
      <c r="J189" s="13"/>
      <c r="K189" s="13"/>
      <c r="L189" s="14"/>
      <c r="M189" s="14"/>
      <c r="N189" s="14"/>
      <c r="O189" s="14"/>
    </row>
    <row r="190" spans="1:15" hidden="1">
      <c r="A190" s="1892" t="s">
        <v>175</v>
      </c>
      <c r="B190" s="11">
        <v>19593</v>
      </c>
      <c r="C190" s="11">
        <v>19593</v>
      </c>
      <c r="D190" s="8">
        <f t="shared" ref="D190:D253" si="61">B190-C190</f>
        <v>0</v>
      </c>
      <c r="E190" s="1742"/>
      <c r="F190" s="15"/>
      <c r="G190" s="14"/>
    </row>
    <row r="191" spans="1:15" hidden="1">
      <c r="A191" s="1892" t="s">
        <v>174</v>
      </c>
      <c r="B191" s="11">
        <v>19757</v>
      </c>
      <c r="C191" s="11">
        <v>19757</v>
      </c>
      <c r="D191" s="8">
        <f t="shared" si="61"/>
        <v>0</v>
      </c>
      <c r="E191" s="1742"/>
      <c r="F191" s="15"/>
      <c r="G191" s="14"/>
      <c r="H191" s="14"/>
    </row>
    <row r="192" spans="1:15" hidden="1">
      <c r="A192" s="1892" t="s">
        <v>173</v>
      </c>
      <c r="B192" s="11">
        <v>19922</v>
      </c>
      <c r="C192" s="11">
        <v>19922</v>
      </c>
      <c r="D192" s="8">
        <f t="shared" si="61"/>
        <v>0</v>
      </c>
      <c r="E192" s="1742"/>
      <c r="F192" s="15"/>
      <c r="G192" s="14"/>
      <c r="H192" s="14"/>
    </row>
    <row r="193" spans="1:15" hidden="1">
      <c r="A193" s="1892" t="s">
        <v>172</v>
      </c>
      <c r="B193" s="11">
        <v>20089</v>
      </c>
      <c r="C193" s="11">
        <v>20089</v>
      </c>
      <c r="D193" s="8">
        <f t="shared" si="61"/>
        <v>0</v>
      </c>
      <c r="E193" s="1742"/>
      <c r="F193" s="15"/>
      <c r="G193" s="14"/>
      <c r="H193" s="14"/>
    </row>
    <row r="194" spans="1:15" hidden="1">
      <c r="A194" s="1892" t="s">
        <v>171</v>
      </c>
      <c r="B194" s="11">
        <v>20257</v>
      </c>
      <c r="C194" s="11">
        <v>20257</v>
      </c>
      <c r="D194" s="8">
        <f t="shared" si="61"/>
        <v>0</v>
      </c>
      <c r="E194" s="1742"/>
      <c r="F194" s="15"/>
      <c r="G194" s="14"/>
      <c r="H194" s="14"/>
      <c r="I194" s="14"/>
      <c r="J194" s="13"/>
      <c r="K194" s="13"/>
      <c r="L194" s="14"/>
      <c r="M194" s="14"/>
      <c r="N194" s="14"/>
      <c r="O194" s="14"/>
    </row>
    <row r="195" spans="1:15" hidden="1">
      <c r="A195" s="1892" t="s">
        <v>170</v>
      </c>
      <c r="B195" s="11">
        <v>20426</v>
      </c>
      <c r="C195" s="11">
        <v>20426</v>
      </c>
      <c r="D195" s="8">
        <f t="shared" si="61"/>
        <v>0</v>
      </c>
      <c r="E195" s="1742"/>
      <c r="F195" s="15"/>
      <c r="G195" s="14"/>
      <c r="H195" s="14"/>
      <c r="I195" s="14"/>
      <c r="J195" s="13"/>
      <c r="K195" s="13"/>
      <c r="L195" s="14"/>
      <c r="M195" s="14"/>
      <c r="N195" s="14"/>
      <c r="O195" s="14"/>
    </row>
    <row r="196" spans="1:15" hidden="1">
      <c r="A196" s="1892" t="s">
        <v>169</v>
      </c>
      <c r="B196" s="11">
        <v>20597</v>
      </c>
      <c r="C196" s="11">
        <v>20597</v>
      </c>
      <c r="D196" s="8">
        <f t="shared" si="61"/>
        <v>0</v>
      </c>
      <c r="E196" s="1742"/>
      <c r="F196" s="15"/>
      <c r="G196" s="14"/>
      <c r="H196" s="14"/>
      <c r="I196" s="14"/>
      <c r="J196" s="13"/>
      <c r="K196" s="13"/>
      <c r="L196" s="14"/>
      <c r="M196" s="14"/>
      <c r="N196" s="14"/>
      <c r="O196" s="14"/>
    </row>
    <row r="197" spans="1:15" hidden="1">
      <c r="A197" s="1892" t="s">
        <v>168</v>
      </c>
      <c r="B197" s="11">
        <v>20769</v>
      </c>
      <c r="C197" s="11">
        <v>20769</v>
      </c>
      <c r="D197" s="8">
        <f t="shared" si="61"/>
        <v>0</v>
      </c>
      <c r="E197" s="1742"/>
      <c r="F197" s="15"/>
      <c r="G197" s="14"/>
      <c r="H197" s="14"/>
      <c r="I197" s="14"/>
      <c r="J197" s="13"/>
      <c r="K197" s="13"/>
      <c r="L197" s="14"/>
      <c r="M197" s="14"/>
      <c r="N197" s="14"/>
      <c r="O197" s="14"/>
    </row>
    <row r="198" spans="1:15" hidden="1">
      <c r="A198" s="1891" t="s">
        <v>167</v>
      </c>
      <c r="B198" s="9">
        <v>21205</v>
      </c>
      <c r="C198" s="9">
        <v>21205</v>
      </c>
      <c r="D198" s="8">
        <f t="shared" si="61"/>
        <v>0</v>
      </c>
      <c r="E198" s="1741"/>
      <c r="F198" s="15"/>
      <c r="G198" s="14"/>
    </row>
    <row r="199" spans="1:15" hidden="1">
      <c r="A199" s="1891" t="s">
        <v>166</v>
      </c>
      <c r="B199" s="9">
        <v>21382</v>
      </c>
      <c r="C199" s="9">
        <v>21382</v>
      </c>
      <c r="D199" s="8">
        <f t="shared" si="61"/>
        <v>0</v>
      </c>
      <c r="E199" s="1741"/>
      <c r="F199" s="15"/>
      <c r="G199" s="14"/>
    </row>
    <row r="200" spans="1:15" hidden="1">
      <c r="A200" s="1891" t="s">
        <v>165</v>
      </c>
      <c r="B200" s="9">
        <v>21561</v>
      </c>
      <c r="C200" s="9">
        <v>21561</v>
      </c>
      <c r="D200" s="8">
        <f t="shared" si="61"/>
        <v>0</v>
      </c>
      <c r="E200" s="1741"/>
      <c r="F200" s="15"/>
      <c r="G200" s="14"/>
      <c r="H200" s="14"/>
    </row>
    <row r="201" spans="1:15" hidden="1">
      <c r="A201" s="1891" t="s">
        <v>164</v>
      </c>
      <c r="B201" s="9">
        <v>21741</v>
      </c>
      <c r="C201" s="9">
        <v>21741</v>
      </c>
      <c r="D201" s="8">
        <f t="shared" si="61"/>
        <v>0</v>
      </c>
      <c r="E201" s="1741"/>
      <c r="F201" s="15"/>
      <c r="G201" s="14"/>
      <c r="H201" s="14"/>
    </row>
    <row r="202" spans="1:15" hidden="1">
      <c r="A202" s="1891" t="s">
        <v>163</v>
      </c>
      <c r="B202" s="9">
        <v>21923</v>
      </c>
      <c r="C202" s="9">
        <v>21923</v>
      </c>
      <c r="D202" s="8">
        <f t="shared" si="61"/>
        <v>0</v>
      </c>
      <c r="E202" s="1741"/>
      <c r="F202" s="15"/>
      <c r="G202" s="14"/>
      <c r="H202" s="14"/>
    </row>
    <row r="203" spans="1:15" hidden="1">
      <c r="A203" s="1891" t="s">
        <v>162</v>
      </c>
      <c r="B203" s="9">
        <v>22106</v>
      </c>
      <c r="C203" s="9">
        <v>22106</v>
      </c>
      <c r="D203" s="8">
        <f t="shared" si="61"/>
        <v>0</v>
      </c>
      <c r="E203" s="1741"/>
      <c r="F203" s="15"/>
      <c r="G203" s="14"/>
      <c r="H203" s="14"/>
      <c r="I203" s="14"/>
      <c r="J203" s="13"/>
      <c r="K203" s="13"/>
      <c r="L203" s="14"/>
      <c r="M203" s="14"/>
      <c r="N203" s="14"/>
      <c r="O203" s="14"/>
    </row>
    <row r="204" spans="1:15" hidden="1">
      <c r="A204" s="1891" t="s">
        <v>161</v>
      </c>
      <c r="B204" s="9">
        <v>22291</v>
      </c>
      <c r="C204" s="9">
        <v>22291</v>
      </c>
      <c r="D204" s="8">
        <f t="shared" si="61"/>
        <v>0</v>
      </c>
      <c r="E204" s="1741"/>
      <c r="F204" s="15"/>
      <c r="G204" s="14"/>
      <c r="H204" s="17"/>
      <c r="I204" s="14"/>
      <c r="J204" s="13"/>
      <c r="K204" s="13"/>
      <c r="L204" s="14"/>
      <c r="M204" s="14"/>
      <c r="N204" s="14"/>
      <c r="O204" s="14"/>
    </row>
    <row r="205" spans="1:15" hidden="1">
      <c r="A205" s="1891" t="s">
        <v>160</v>
      </c>
      <c r="B205" s="9">
        <v>22477</v>
      </c>
      <c r="C205" s="9">
        <v>22477</v>
      </c>
      <c r="D205" s="8">
        <f t="shared" si="61"/>
        <v>0</v>
      </c>
      <c r="E205" s="1741"/>
      <c r="F205" s="15"/>
      <c r="G205" s="14"/>
      <c r="H205" s="18"/>
    </row>
    <row r="206" spans="1:15" hidden="1">
      <c r="A206" s="1892" t="s">
        <v>159</v>
      </c>
      <c r="B206" s="11">
        <v>23877</v>
      </c>
      <c r="C206" s="11">
        <v>23877</v>
      </c>
      <c r="D206" s="8">
        <f t="shared" si="61"/>
        <v>0</v>
      </c>
      <c r="E206" s="1741"/>
      <c r="F206" s="15"/>
      <c r="G206" s="14"/>
      <c r="H206" s="17"/>
      <c r="I206" s="14"/>
      <c r="J206" s="13"/>
      <c r="K206" s="13"/>
      <c r="L206" s="14"/>
      <c r="M206" s="14"/>
      <c r="N206" s="14"/>
      <c r="O206" s="14"/>
    </row>
    <row r="207" spans="1:15" hidden="1">
      <c r="A207" s="1892" t="s">
        <v>158</v>
      </c>
      <c r="B207" s="11">
        <v>24161</v>
      </c>
      <c r="C207" s="11">
        <v>24161</v>
      </c>
      <c r="D207" s="8">
        <f t="shared" si="61"/>
        <v>0</v>
      </c>
      <c r="E207" s="5"/>
    </row>
    <row r="208" spans="1:15" hidden="1">
      <c r="A208" s="1892" t="s">
        <v>157</v>
      </c>
      <c r="B208" s="11">
        <v>24450</v>
      </c>
      <c r="C208" s="11">
        <v>24450</v>
      </c>
      <c r="D208" s="8">
        <f t="shared" si="61"/>
        <v>0</v>
      </c>
      <c r="E208" s="5"/>
    </row>
    <row r="209" spans="1:15" hidden="1">
      <c r="A209" s="1892" t="s">
        <v>156</v>
      </c>
      <c r="B209" s="11">
        <v>24742</v>
      </c>
      <c r="C209" s="11">
        <v>24742</v>
      </c>
      <c r="D209" s="8">
        <f t="shared" si="61"/>
        <v>0</v>
      </c>
      <c r="E209" s="5"/>
    </row>
    <row r="210" spans="1:15" hidden="1">
      <c r="A210" s="1892" t="s">
        <v>155</v>
      </c>
      <c r="B210" s="11">
        <v>25038</v>
      </c>
      <c r="C210" s="11">
        <v>25038</v>
      </c>
      <c r="D210" s="8">
        <f t="shared" si="61"/>
        <v>0</v>
      </c>
      <c r="E210" s="5"/>
    </row>
    <row r="211" spans="1:15" hidden="1">
      <c r="A211" s="1892" t="s">
        <v>154</v>
      </c>
      <c r="B211" s="11">
        <v>25339</v>
      </c>
      <c r="C211" s="11">
        <v>25339</v>
      </c>
      <c r="D211" s="8">
        <f t="shared" si="61"/>
        <v>0</v>
      </c>
      <c r="E211" s="5"/>
    </row>
    <row r="212" spans="1:15" hidden="1">
      <c r="A212" s="1892" t="s">
        <v>153</v>
      </c>
      <c r="B212" s="11">
        <v>25643</v>
      </c>
      <c r="C212" s="11">
        <v>25643</v>
      </c>
      <c r="D212" s="8">
        <f t="shared" si="61"/>
        <v>0</v>
      </c>
      <c r="E212" s="5"/>
    </row>
    <row r="213" spans="1:15" hidden="1">
      <c r="A213" s="1892" t="s">
        <v>152</v>
      </c>
      <c r="B213" s="11">
        <v>25952</v>
      </c>
      <c r="C213" s="11">
        <v>25952</v>
      </c>
      <c r="D213" s="8">
        <f t="shared" si="61"/>
        <v>0</v>
      </c>
      <c r="E213" s="5"/>
    </row>
    <row r="214" spans="1:15" hidden="1">
      <c r="A214" s="1891" t="s">
        <v>151</v>
      </c>
      <c r="B214" s="9">
        <v>26052</v>
      </c>
      <c r="C214" s="9">
        <v>26052</v>
      </c>
      <c r="D214" s="8">
        <f t="shared" si="61"/>
        <v>0</v>
      </c>
      <c r="E214" s="5"/>
    </row>
    <row r="215" spans="1:15" hidden="1">
      <c r="A215" s="1891" t="s">
        <v>150</v>
      </c>
      <c r="B215" s="9">
        <v>26336</v>
      </c>
      <c r="C215" s="9">
        <v>26336</v>
      </c>
      <c r="D215" s="8">
        <f t="shared" si="61"/>
        <v>0</v>
      </c>
      <c r="E215" s="5"/>
    </row>
    <row r="216" spans="1:15" hidden="1">
      <c r="A216" s="1891" t="s">
        <v>149</v>
      </c>
      <c r="B216" s="9">
        <v>26624</v>
      </c>
      <c r="C216" s="9">
        <v>26624</v>
      </c>
      <c r="D216" s="8">
        <f t="shared" si="61"/>
        <v>0</v>
      </c>
      <c r="E216" s="5"/>
      <c r="F216" s="16"/>
      <c r="G216" s="15"/>
      <c r="H216" s="14"/>
      <c r="I216" s="14"/>
      <c r="J216" s="13"/>
      <c r="K216" s="13"/>
      <c r="L216" s="14"/>
      <c r="M216" s="14"/>
      <c r="N216" s="14"/>
      <c r="O216" s="14"/>
    </row>
    <row r="217" spans="1:15" hidden="1">
      <c r="A217" s="1891" t="s">
        <v>148</v>
      </c>
      <c r="B217" s="9">
        <v>26915</v>
      </c>
      <c r="C217" s="9">
        <v>26915</v>
      </c>
      <c r="D217" s="8">
        <f t="shared" si="61"/>
        <v>0</v>
      </c>
      <c r="E217" s="5"/>
      <c r="F217" s="16"/>
      <c r="G217" s="15"/>
      <c r="H217" s="14"/>
      <c r="I217" s="14"/>
      <c r="J217" s="13"/>
      <c r="K217" s="13"/>
      <c r="L217" s="14"/>
      <c r="M217" s="14"/>
      <c r="N217" s="14"/>
      <c r="O217" s="14"/>
    </row>
    <row r="218" spans="1:15" hidden="1">
      <c r="A218" s="1891" t="s">
        <v>147</v>
      </c>
      <c r="B218" s="9">
        <v>27210</v>
      </c>
      <c r="C218" s="9">
        <v>27210</v>
      </c>
      <c r="D218" s="8">
        <f t="shared" si="61"/>
        <v>0</v>
      </c>
      <c r="E218" s="5"/>
      <c r="F218" s="16"/>
      <c r="G218" s="15"/>
      <c r="H218" s="14"/>
      <c r="I218" s="14"/>
      <c r="J218" s="13"/>
      <c r="K218" s="13"/>
      <c r="L218" s="14"/>
      <c r="M218" s="14"/>
      <c r="N218" s="14"/>
      <c r="O218" s="14"/>
    </row>
    <row r="219" spans="1:15" hidden="1">
      <c r="A219" s="1891" t="s">
        <v>146</v>
      </c>
      <c r="B219" s="9">
        <v>27509</v>
      </c>
      <c r="C219" s="9">
        <v>27509</v>
      </c>
      <c r="D219" s="8">
        <f t="shared" si="61"/>
        <v>0</v>
      </c>
      <c r="E219" s="5"/>
      <c r="F219" s="16"/>
      <c r="G219" s="15"/>
      <c r="H219" s="14"/>
      <c r="I219" s="14"/>
      <c r="J219" s="13"/>
      <c r="K219" s="13"/>
      <c r="L219" s="14"/>
      <c r="M219" s="14"/>
      <c r="N219" s="14"/>
      <c r="O219" s="14"/>
    </row>
    <row r="220" spans="1:15" hidden="1">
      <c r="A220" s="1891" t="s">
        <v>145</v>
      </c>
      <c r="B220" s="9">
        <v>27811</v>
      </c>
      <c r="C220" s="9">
        <v>27811</v>
      </c>
      <c r="D220" s="8">
        <f t="shared" si="61"/>
        <v>0</v>
      </c>
      <c r="E220" s="5"/>
      <c r="F220" s="16"/>
      <c r="G220" s="15"/>
      <c r="H220" s="14"/>
      <c r="I220" s="14"/>
      <c r="J220" s="13"/>
      <c r="K220" s="13"/>
      <c r="L220" s="14"/>
      <c r="M220" s="14"/>
      <c r="N220" s="14"/>
      <c r="O220" s="14"/>
    </row>
    <row r="221" spans="1:15" hidden="1">
      <c r="A221" s="1891" t="s">
        <v>144</v>
      </c>
      <c r="B221" s="9">
        <v>28117</v>
      </c>
      <c r="C221" s="9">
        <v>28117</v>
      </c>
      <c r="D221" s="8">
        <f t="shared" si="61"/>
        <v>0</v>
      </c>
      <c r="E221" s="5"/>
      <c r="F221" s="16"/>
      <c r="G221" s="15"/>
      <c r="H221" s="14"/>
      <c r="I221" s="14"/>
      <c r="J221" s="13"/>
      <c r="K221" s="13"/>
      <c r="L221" s="14"/>
      <c r="M221" s="14"/>
      <c r="N221" s="14"/>
      <c r="O221" s="14"/>
    </row>
    <row r="222" spans="1:15" hidden="1">
      <c r="A222" s="1892" t="s">
        <v>143</v>
      </c>
      <c r="B222" s="11">
        <v>28276</v>
      </c>
      <c r="C222" s="11">
        <v>28276</v>
      </c>
      <c r="D222" s="8">
        <f t="shared" si="61"/>
        <v>0</v>
      </c>
      <c r="E222" s="5"/>
    </row>
    <row r="223" spans="1:15" hidden="1">
      <c r="A223" s="1892" t="s">
        <v>142</v>
      </c>
      <c r="B223" s="11">
        <v>28589</v>
      </c>
      <c r="C223" s="11">
        <v>28589</v>
      </c>
      <c r="D223" s="8">
        <f t="shared" si="61"/>
        <v>0</v>
      </c>
      <c r="E223" s="5"/>
    </row>
    <row r="224" spans="1:15" hidden="1">
      <c r="A224" s="1892" t="s">
        <v>141</v>
      </c>
      <c r="B224" s="11">
        <v>28905</v>
      </c>
      <c r="C224" s="11">
        <v>28905</v>
      </c>
      <c r="D224" s="8">
        <f t="shared" si="61"/>
        <v>0</v>
      </c>
      <c r="E224" s="5"/>
    </row>
    <row r="225" spans="1:113" hidden="1">
      <c r="A225" s="1892" t="s">
        <v>140</v>
      </c>
      <c r="B225" s="11">
        <v>29225</v>
      </c>
      <c r="C225" s="11">
        <v>29225</v>
      </c>
      <c r="D225" s="8">
        <f t="shared" si="61"/>
        <v>0</v>
      </c>
      <c r="E225" s="5"/>
    </row>
    <row r="226" spans="1:113" hidden="1">
      <c r="A226" s="1892" t="s">
        <v>139</v>
      </c>
      <c r="B226" s="11">
        <v>29550</v>
      </c>
      <c r="C226" s="11">
        <v>29550</v>
      </c>
      <c r="D226" s="8">
        <f t="shared" si="61"/>
        <v>0</v>
      </c>
      <c r="E226" s="5"/>
    </row>
    <row r="227" spans="1:113" s="4" customFormat="1" hidden="1">
      <c r="A227" s="1892" t="s">
        <v>138</v>
      </c>
      <c r="B227" s="11">
        <v>29878</v>
      </c>
      <c r="C227" s="11">
        <v>29878</v>
      </c>
      <c r="D227" s="8">
        <f t="shared" si="61"/>
        <v>0</v>
      </c>
      <c r="E227" s="5"/>
      <c r="F227" s="1"/>
      <c r="G227" s="1"/>
      <c r="H227" s="1"/>
      <c r="I227" s="1"/>
      <c r="J227" s="3"/>
      <c r="K227" s="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row>
    <row r="228" spans="1:113" s="4" customFormat="1" hidden="1">
      <c r="A228" s="1892" t="s">
        <v>137</v>
      </c>
      <c r="B228" s="11">
        <v>30210</v>
      </c>
      <c r="C228" s="11">
        <v>30210</v>
      </c>
      <c r="D228" s="8">
        <f t="shared" si="61"/>
        <v>0</v>
      </c>
      <c r="E228" s="5"/>
      <c r="F228" s="1"/>
      <c r="G228" s="1"/>
      <c r="H228" s="1"/>
      <c r="I228" s="1"/>
      <c r="J228" s="3"/>
      <c r="K228" s="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row>
    <row r="229" spans="1:113" s="4" customFormat="1" hidden="1">
      <c r="A229" s="1892" t="s">
        <v>136</v>
      </c>
      <c r="B229" s="11">
        <v>30547</v>
      </c>
      <c r="C229" s="11">
        <v>30547</v>
      </c>
      <c r="D229" s="8">
        <f t="shared" si="61"/>
        <v>0</v>
      </c>
      <c r="E229" s="5"/>
      <c r="F229" s="1"/>
      <c r="G229" s="1"/>
      <c r="H229" s="1"/>
      <c r="I229" s="1"/>
      <c r="J229" s="3"/>
      <c r="K229" s="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row>
    <row r="230" spans="1:113" s="4" customFormat="1" hidden="1">
      <c r="A230" s="1891" t="s">
        <v>135</v>
      </c>
      <c r="B230" s="9">
        <v>30799</v>
      </c>
      <c r="C230" s="9">
        <v>30799</v>
      </c>
      <c r="D230" s="8">
        <f t="shared" si="61"/>
        <v>0</v>
      </c>
      <c r="E230" s="5"/>
      <c r="F230" s="1"/>
      <c r="G230" s="1"/>
      <c r="H230" s="1"/>
      <c r="I230" s="1"/>
      <c r="J230" s="3"/>
      <c r="K230" s="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row>
    <row r="231" spans="1:113" s="4" customFormat="1" hidden="1">
      <c r="A231" s="1891" t="s">
        <v>134</v>
      </c>
      <c r="B231" s="9">
        <v>31143</v>
      </c>
      <c r="C231" s="9">
        <v>31143</v>
      </c>
      <c r="D231" s="8">
        <f t="shared" si="61"/>
        <v>0</v>
      </c>
      <c r="E231" s="5"/>
      <c r="F231" s="1"/>
      <c r="G231" s="1"/>
      <c r="H231" s="1"/>
      <c r="I231" s="1"/>
      <c r="J231" s="3"/>
      <c r="K231" s="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row>
    <row r="232" spans="1:113" s="4" customFormat="1" hidden="1">
      <c r="A232" s="1891" t="s">
        <v>133</v>
      </c>
      <c r="B232" s="9">
        <v>31491</v>
      </c>
      <c r="C232" s="9">
        <v>31491</v>
      </c>
      <c r="D232" s="8">
        <f t="shared" si="61"/>
        <v>0</v>
      </c>
      <c r="E232" s="5"/>
      <c r="F232" s="1"/>
      <c r="G232" s="1"/>
      <c r="H232" s="1"/>
      <c r="I232" s="1"/>
      <c r="J232" s="3"/>
      <c r="K232" s="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row>
    <row r="233" spans="1:113" s="4" customFormat="1" hidden="1">
      <c r="A233" s="1891" t="s">
        <v>132</v>
      </c>
      <c r="B233" s="9">
        <v>31844</v>
      </c>
      <c r="C233" s="9">
        <v>31844</v>
      </c>
      <c r="D233" s="8">
        <f t="shared" si="61"/>
        <v>0</v>
      </c>
      <c r="E233" s="5"/>
      <c r="F233" s="1"/>
      <c r="G233" s="1"/>
      <c r="H233" s="1"/>
      <c r="I233" s="1"/>
      <c r="J233" s="3"/>
      <c r="K233" s="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row>
    <row r="234" spans="1:113" s="4" customFormat="1" hidden="1">
      <c r="A234" s="1891" t="s">
        <v>131</v>
      </c>
      <c r="B234" s="9">
        <v>32200</v>
      </c>
      <c r="C234" s="9">
        <v>32200</v>
      </c>
      <c r="D234" s="8">
        <f t="shared" si="61"/>
        <v>0</v>
      </c>
      <c r="E234" s="5"/>
      <c r="F234" s="1"/>
      <c r="G234" s="1"/>
      <c r="H234" s="1"/>
      <c r="I234" s="1"/>
      <c r="J234" s="3"/>
      <c r="K234" s="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row>
    <row r="235" spans="1:113" s="4" customFormat="1" hidden="1">
      <c r="A235" s="1891" t="s">
        <v>130</v>
      </c>
      <c r="B235" s="9">
        <v>32561</v>
      </c>
      <c r="C235" s="9">
        <v>32561</v>
      </c>
      <c r="D235" s="8">
        <f t="shared" si="61"/>
        <v>0</v>
      </c>
      <c r="E235" s="5"/>
      <c r="F235" s="1"/>
      <c r="G235" s="1"/>
      <c r="H235" s="1"/>
      <c r="I235" s="1"/>
      <c r="J235" s="3"/>
      <c r="K235" s="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row>
    <row r="236" spans="1:113" s="4" customFormat="1" hidden="1">
      <c r="A236" s="1891" t="s">
        <v>129</v>
      </c>
      <c r="B236" s="9">
        <v>32927</v>
      </c>
      <c r="C236" s="9">
        <v>32927</v>
      </c>
      <c r="D236" s="8">
        <f t="shared" si="61"/>
        <v>0</v>
      </c>
      <c r="E236" s="5"/>
      <c r="F236" s="1"/>
      <c r="G236" s="1"/>
      <c r="H236" s="1"/>
      <c r="I236" s="1"/>
      <c r="J236" s="3"/>
      <c r="K236" s="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row>
    <row r="237" spans="1:113" s="4" customFormat="1" hidden="1">
      <c r="A237" s="1891" t="s">
        <v>128</v>
      </c>
      <c r="B237" s="9">
        <v>33297</v>
      </c>
      <c r="C237" s="9">
        <v>33297</v>
      </c>
      <c r="D237" s="8">
        <f t="shared" si="61"/>
        <v>0</v>
      </c>
      <c r="E237" s="5"/>
      <c r="F237" s="1"/>
      <c r="G237" s="1"/>
      <c r="H237" s="1"/>
      <c r="I237" s="1"/>
      <c r="J237" s="3"/>
      <c r="K237" s="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row>
    <row r="238" spans="1:113" s="4" customFormat="1" hidden="1">
      <c r="A238" s="1892" t="s">
        <v>127</v>
      </c>
      <c r="B238" s="11">
        <v>33575</v>
      </c>
      <c r="C238" s="11">
        <v>33575</v>
      </c>
      <c r="D238" s="8">
        <f t="shared" si="61"/>
        <v>0</v>
      </c>
      <c r="E238" s="5"/>
      <c r="F238" s="1"/>
      <c r="G238" s="1"/>
      <c r="H238" s="1"/>
      <c r="I238" s="1"/>
      <c r="J238" s="3"/>
      <c r="K238" s="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row>
    <row r="239" spans="1:113" s="4" customFormat="1" hidden="1">
      <c r="A239" s="1892" t="s">
        <v>126</v>
      </c>
      <c r="B239" s="11">
        <v>33953</v>
      </c>
      <c r="C239" s="11">
        <v>33953</v>
      </c>
      <c r="D239" s="8">
        <f t="shared" si="61"/>
        <v>0</v>
      </c>
      <c r="E239" s="5"/>
      <c r="F239" s="1"/>
      <c r="G239" s="1"/>
      <c r="H239" s="1"/>
      <c r="I239" s="1"/>
      <c r="J239" s="3"/>
      <c r="K239" s="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row>
    <row r="240" spans="1:113" s="4" customFormat="1" hidden="1">
      <c r="A240" s="1892" t="s">
        <v>125</v>
      </c>
      <c r="B240" s="11">
        <v>34336</v>
      </c>
      <c r="C240" s="11">
        <v>34336</v>
      </c>
      <c r="D240" s="8">
        <f t="shared" si="61"/>
        <v>0</v>
      </c>
      <c r="E240" s="5"/>
      <c r="F240" s="1"/>
      <c r="G240" s="1"/>
      <c r="H240" s="1"/>
      <c r="I240" s="1"/>
      <c r="J240" s="3"/>
      <c r="K240" s="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row>
    <row r="241" spans="1:113" s="4" customFormat="1" hidden="1">
      <c r="A241" s="1892" t="s">
        <v>124</v>
      </c>
      <c r="B241" s="11">
        <v>34724</v>
      </c>
      <c r="C241" s="11">
        <v>34724</v>
      </c>
      <c r="D241" s="8">
        <f t="shared" si="61"/>
        <v>0</v>
      </c>
      <c r="E241" s="5"/>
      <c r="F241" s="1"/>
      <c r="G241" s="1"/>
      <c r="H241" s="1"/>
      <c r="I241" s="1"/>
      <c r="J241" s="3"/>
      <c r="K241" s="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row>
    <row r="242" spans="1:113" s="4" customFormat="1" hidden="1">
      <c r="A242" s="1892" t="s">
        <v>123</v>
      </c>
      <c r="B242" s="11">
        <v>35116</v>
      </c>
      <c r="C242" s="11">
        <v>35116</v>
      </c>
      <c r="D242" s="8">
        <f t="shared" si="61"/>
        <v>0</v>
      </c>
      <c r="E242" s="5"/>
      <c r="F242" s="1"/>
      <c r="G242" s="1"/>
      <c r="H242" s="1"/>
      <c r="I242" s="1"/>
      <c r="J242" s="3"/>
      <c r="K242" s="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row>
    <row r="243" spans="1:113" s="4" customFormat="1" hidden="1">
      <c r="A243" s="1892" t="s">
        <v>122</v>
      </c>
      <c r="B243" s="11">
        <v>35513</v>
      </c>
      <c r="C243" s="11">
        <v>35513</v>
      </c>
      <c r="D243" s="8">
        <f t="shared" si="61"/>
        <v>0</v>
      </c>
      <c r="E243" s="5"/>
      <c r="F243" s="1"/>
      <c r="G243" s="1"/>
      <c r="H243" s="1"/>
      <c r="I243" s="1"/>
      <c r="J243" s="3"/>
      <c r="K243" s="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row>
    <row r="244" spans="1:113" s="4" customFormat="1" hidden="1">
      <c r="A244" s="1892" t="s">
        <v>121</v>
      </c>
      <c r="B244" s="11">
        <v>35915</v>
      </c>
      <c r="C244" s="11">
        <v>35915</v>
      </c>
      <c r="D244" s="8">
        <f t="shared" si="61"/>
        <v>0</v>
      </c>
      <c r="E244" s="5"/>
      <c r="F244" s="1"/>
      <c r="G244" s="1"/>
      <c r="H244" s="1"/>
      <c r="I244" s="1"/>
      <c r="J244" s="3"/>
      <c r="K244" s="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row>
    <row r="245" spans="1:113" s="4" customFormat="1" hidden="1">
      <c r="A245" s="1892" t="s">
        <v>120</v>
      </c>
      <c r="B245" s="11">
        <v>36323</v>
      </c>
      <c r="C245" s="11">
        <v>36323</v>
      </c>
      <c r="D245" s="8">
        <f t="shared" si="61"/>
        <v>0</v>
      </c>
      <c r="E245" s="5"/>
      <c r="F245" s="1"/>
      <c r="G245" s="1"/>
      <c r="H245" s="1"/>
      <c r="I245" s="1"/>
      <c r="J245" s="3"/>
      <c r="K245" s="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row>
    <row r="246" spans="1:113" s="4" customFormat="1" hidden="1">
      <c r="A246" s="1891" t="s">
        <v>119</v>
      </c>
      <c r="B246" s="9">
        <v>36628</v>
      </c>
      <c r="C246" s="9">
        <v>36628</v>
      </c>
      <c r="D246" s="8">
        <f t="shared" si="61"/>
        <v>0</v>
      </c>
      <c r="E246" s="5"/>
      <c r="F246" s="1"/>
      <c r="G246" s="1"/>
      <c r="H246" s="1"/>
      <c r="I246" s="1"/>
      <c r="J246" s="3"/>
      <c r="K246" s="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row>
    <row r="247" spans="1:113" s="4" customFormat="1" hidden="1">
      <c r="A247" s="1891" t="s">
        <v>118</v>
      </c>
      <c r="B247" s="9">
        <v>37044</v>
      </c>
      <c r="C247" s="9">
        <v>37044</v>
      </c>
      <c r="D247" s="8">
        <f t="shared" si="61"/>
        <v>0</v>
      </c>
      <c r="E247" s="5"/>
      <c r="F247" s="1"/>
      <c r="G247" s="1"/>
      <c r="H247" s="1"/>
      <c r="I247" s="1"/>
      <c r="J247" s="3"/>
      <c r="K247" s="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row>
    <row r="248" spans="1:113" s="4" customFormat="1" hidden="1">
      <c r="A248" s="1891" t="s">
        <v>117</v>
      </c>
      <c r="B248" s="9">
        <v>37465</v>
      </c>
      <c r="C248" s="9">
        <v>37465</v>
      </c>
      <c r="D248" s="8">
        <f t="shared" si="61"/>
        <v>0</v>
      </c>
      <c r="E248" s="5"/>
      <c r="F248" s="1"/>
      <c r="G248" s="1"/>
      <c r="H248" s="1"/>
      <c r="I248" s="1"/>
      <c r="J248" s="3"/>
      <c r="K248" s="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row>
    <row r="249" spans="1:113" s="4" customFormat="1" hidden="1">
      <c r="A249" s="1891" t="s">
        <v>116</v>
      </c>
      <c r="B249" s="9">
        <v>37891</v>
      </c>
      <c r="C249" s="9">
        <v>37891</v>
      </c>
      <c r="D249" s="8">
        <f t="shared" si="61"/>
        <v>0</v>
      </c>
      <c r="E249" s="5"/>
      <c r="F249" s="1"/>
      <c r="G249" s="1"/>
      <c r="H249" s="1"/>
      <c r="I249" s="1"/>
      <c r="J249" s="3"/>
      <c r="K249" s="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row>
    <row r="250" spans="1:113" s="4" customFormat="1" hidden="1">
      <c r="A250" s="1891" t="s">
        <v>115</v>
      </c>
      <c r="B250" s="9">
        <v>38323</v>
      </c>
      <c r="C250" s="9">
        <v>38323</v>
      </c>
      <c r="D250" s="8">
        <f t="shared" si="61"/>
        <v>0</v>
      </c>
      <c r="E250" s="5"/>
      <c r="F250" s="1"/>
      <c r="G250" s="1"/>
      <c r="H250" s="1"/>
      <c r="I250" s="1"/>
      <c r="J250" s="3"/>
      <c r="K250" s="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row>
    <row r="251" spans="1:113" s="4" customFormat="1" hidden="1">
      <c r="A251" s="1891" t="s">
        <v>114</v>
      </c>
      <c r="B251" s="9">
        <v>38760</v>
      </c>
      <c r="C251" s="9">
        <v>38760</v>
      </c>
      <c r="D251" s="8">
        <f t="shared" si="61"/>
        <v>0</v>
      </c>
      <c r="E251" s="5"/>
      <c r="F251" s="1"/>
      <c r="G251" s="1"/>
      <c r="H251" s="1"/>
      <c r="I251" s="1"/>
      <c r="J251" s="3"/>
      <c r="K251" s="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row>
    <row r="252" spans="1:113" s="4" customFormat="1" hidden="1">
      <c r="A252" s="1891" t="s">
        <v>113</v>
      </c>
      <c r="B252" s="9">
        <v>39203</v>
      </c>
      <c r="C252" s="9">
        <v>39203</v>
      </c>
      <c r="D252" s="8">
        <f t="shared" si="61"/>
        <v>0</v>
      </c>
      <c r="E252" s="5"/>
      <c r="F252" s="1"/>
      <c r="G252" s="1"/>
      <c r="H252" s="1"/>
      <c r="I252" s="1"/>
      <c r="J252" s="3"/>
      <c r="K252" s="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row>
    <row r="253" spans="1:113" s="4" customFormat="1" hidden="1">
      <c r="A253" s="1891" t="s">
        <v>112</v>
      </c>
      <c r="B253" s="9">
        <v>39650</v>
      </c>
      <c r="C253" s="9">
        <v>39650</v>
      </c>
      <c r="D253" s="8">
        <f t="shared" si="61"/>
        <v>0</v>
      </c>
      <c r="E253" s="5"/>
      <c r="F253" s="1"/>
      <c r="G253" s="1"/>
      <c r="H253" s="1"/>
      <c r="I253" s="1"/>
      <c r="J253" s="3"/>
      <c r="K253" s="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row>
    <row r="254" spans="1:113" s="4" customFormat="1" hidden="1">
      <c r="A254" s="1892" t="s">
        <v>111</v>
      </c>
      <c r="B254" s="11">
        <v>39986</v>
      </c>
      <c r="C254" s="11">
        <v>39986</v>
      </c>
      <c r="D254" s="8">
        <f t="shared" ref="D254:D317" si="62">B254-C254</f>
        <v>0</v>
      </c>
      <c r="E254" s="5"/>
      <c r="F254" s="1"/>
      <c r="G254" s="1"/>
      <c r="H254" s="1"/>
      <c r="I254" s="1"/>
      <c r="J254" s="3"/>
      <c r="K254" s="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row>
    <row r="255" spans="1:113" s="4" customFormat="1" hidden="1">
      <c r="A255" s="1892" t="s">
        <v>110</v>
      </c>
      <c r="B255" s="11">
        <v>40444</v>
      </c>
      <c r="C255" s="11">
        <v>40444</v>
      </c>
      <c r="D255" s="8">
        <f t="shared" si="62"/>
        <v>0</v>
      </c>
      <c r="E255" s="5"/>
      <c r="F255" s="1"/>
      <c r="G255" s="1"/>
      <c r="H255" s="1"/>
      <c r="I255" s="1"/>
      <c r="J255" s="3"/>
      <c r="K255" s="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row>
    <row r="256" spans="1:113" s="4" customFormat="1" hidden="1">
      <c r="A256" s="1892" t="s">
        <v>109</v>
      </c>
      <c r="B256" s="11">
        <v>40907</v>
      </c>
      <c r="C256" s="11">
        <v>40907</v>
      </c>
      <c r="D256" s="8">
        <f t="shared" si="62"/>
        <v>0</v>
      </c>
      <c r="E256" s="5"/>
      <c r="F256" s="1"/>
      <c r="G256" s="1"/>
      <c r="H256" s="1"/>
      <c r="I256" s="1"/>
      <c r="J256" s="3"/>
      <c r="K256" s="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row>
    <row r="257" spans="1:113" s="4" customFormat="1" hidden="1">
      <c r="A257" s="1892" t="s">
        <v>108</v>
      </c>
      <c r="B257" s="11">
        <v>41376</v>
      </c>
      <c r="C257" s="11">
        <v>41376</v>
      </c>
      <c r="D257" s="8">
        <f t="shared" si="62"/>
        <v>0</v>
      </c>
      <c r="E257" s="5"/>
      <c r="F257" s="1"/>
      <c r="G257" s="1"/>
      <c r="H257" s="1"/>
      <c r="I257" s="1"/>
      <c r="J257" s="3"/>
      <c r="K257" s="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row>
    <row r="258" spans="1:113" s="4" customFormat="1" hidden="1">
      <c r="A258" s="1892" t="s">
        <v>107</v>
      </c>
      <c r="B258" s="11">
        <v>41851</v>
      </c>
      <c r="C258" s="11">
        <v>41851</v>
      </c>
      <c r="D258" s="8">
        <f t="shared" si="62"/>
        <v>0</v>
      </c>
      <c r="E258" s="5"/>
      <c r="F258" s="1"/>
      <c r="G258" s="1"/>
      <c r="H258" s="1"/>
      <c r="I258" s="1"/>
      <c r="J258" s="3"/>
      <c r="K258" s="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row>
    <row r="259" spans="1:113" s="4" customFormat="1" hidden="1">
      <c r="A259" s="1892" t="s">
        <v>106</v>
      </c>
      <c r="B259" s="11">
        <v>42332</v>
      </c>
      <c r="C259" s="11">
        <v>42332</v>
      </c>
      <c r="D259" s="8">
        <f t="shared" si="62"/>
        <v>0</v>
      </c>
      <c r="E259" s="5"/>
      <c r="F259" s="1"/>
      <c r="G259" s="1"/>
      <c r="H259" s="1"/>
      <c r="I259" s="1"/>
      <c r="J259" s="3"/>
      <c r="K259" s="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row>
    <row r="260" spans="1:113" s="4" customFormat="1" hidden="1">
      <c r="A260" s="1892" t="s">
        <v>105</v>
      </c>
      <c r="B260" s="11">
        <v>42818</v>
      </c>
      <c r="C260" s="11">
        <v>42818</v>
      </c>
      <c r="D260" s="8">
        <f t="shared" si="62"/>
        <v>0</v>
      </c>
      <c r="E260" s="5"/>
      <c r="F260" s="1"/>
      <c r="G260" s="1"/>
      <c r="H260" s="1"/>
      <c r="I260" s="1"/>
      <c r="J260" s="3"/>
      <c r="K260" s="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row>
    <row r="261" spans="1:113" s="4" customFormat="1" hidden="1">
      <c r="A261" s="1892" t="s">
        <v>104</v>
      </c>
      <c r="B261" s="11">
        <v>43311</v>
      </c>
      <c r="C261" s="11">
        <v>43311</v>
      </c>
      <c r="D261" s="8">
        <f t="shared" si="62"/>
        <v>0</v>
      </c>
      <c r="E261" s="5"/>
      <c r="F261" s="1"/>
      <c r="G261" s="1"/>
      <c r="H261" s="1"/>
      <c r="I261" s="1"/>
      <c r="J261" s="3"/>
      <c r="K261" s="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row>
    <row r="262" spans="1:113" s="4" customFormat="1" hidden="1">
      <c r="A262" s="1891" t="s">
        <v>103</v>
      </c>
      <c r="B262" s="9">
        <v>43681</v>
      </c>
      <c r="C262" s="9">
        <v>43681</v>
      </c>
      <c r="D262" s="8">
        <f t="shared" si="62"/>
        <v>0</v>
      </c>
      <c r="E262" s="5"/>
      <c r="F262" s="1"/>
      <c r="G262" s="1"/>
      <c r="H262" s="1"/>
      <c r="I262" s="1"/>
      <c r="J262" s="3"/>
      <c r="K262" s="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row>
    <row r="263" spans="1:113" s="4" customFormat="1" hidden="1">
      <c r="A263" s="1891" t="s">
        <v>102</v>
      </c>
      <c r="B263" s="9">
        <v>44184</v>
      </c>
      <c r="C263" s="9">
        <v>44184</v>
      </c>
      <c r="D263" s="8">
        <f t="shared" si="62"/>
        <v>0</v>
      </c>
      <c r="E263" s="5"/>
      <c r="F263" s="1"/>
      <c r="G263" s="1"/>
      <c r="H263" s="1"/>
      <c r="I263" s="1"/>
      <c r="J263" s="3"/>
      <c r="K263" s="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row>
    <row r="264" spans="1:113" s="4" customFormat="1" hidden="1">
      <c r="A264" s="1891" t="s">
        <v>101</v>
      </c>
      <c r="B264" s="9">
        <v>44694</v>
      </c>
      <c r="C264" s="9">
        <v>44694</v>
      </c>
      <c r="D264" s="8">
        <f t="shared" si="62"/>
        <v>0</v>
      </c>
      <c r="E264" s="5"/>
      <c r="F264" s="1"/>
      <c r="G264" s="1"/>
      <c r="H264" s="1"/>
      <c r="I264" s="1"/>
      <c r="J264" s="3"/>
      <c r="K264" s="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row>
    <row r="265" spans="1:113" s="4" customFormat="1" hidden="1">
      <c r="A265" s="1891" t="s">
        <v>100</v>
      </c>
      <c r="B265" s="9">
        <v>45209</v>
      </c>
      <c r="C265" s="9">
        <v>45209</v>
      </c>
      <c r="D265" s="8">
        <f t="shared" si="62"/>
        <v>0</v>
      </c>
      <c r="E265" s="5"/>
      <c r="F265" s="1"/>
      <c r="G265" s="1"/>
      <c r="H265" s="1"/>
      <c r="I265" s="1"/>
      <c r="J265" s="3"/>
      <c r="K265" s="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row>
    <row r="266" spans="1:113" s="4" customFormat="1" hidden="1">
      <c r="A266" s="1891" t="s">
        <v>99</v>
      </c>
      <c r="B266" s="9">
        <v>45732</v>
      </c>
      <c r="C266" s="9">
        <v>45732</v>
      </c>
      <c r="D266" s="8">
        <f t="shared" si="62"/>
        <v>0</v>
      </c>
      <c r="E266" s="5"/>
      <c r="F266" s="1"/>
      <c r="G266" s="1"/>
      <c r="H266" s="1"/>
      <c r="I266" s="1"/>
      <c r="J266" s="3"/>
      <c r="K266" s="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row>
    <row r="267" spans="1:113" s="4" customFormat="1" hidden="1">
      <c r="A267" s="1891" t="s">
        <v>98</v>
      </c>
      <c r="B267" s="9">
        <v>46261</v>
      </c>
      <c r="C267" s="9">
        <v>46261</v>
      </c>
      <c r="D267" s="8">
        <f t="shared" si="62"/>
        <v>0</v>
      </c>
      <c r="E267" s="5"/>
      <c r="F267" s="1"/>
      <c r="G267" s="1"/>
      <c r="H267" s="1"/>
      <c r="I267" s="1"/>
      <c r="J267" s="3"/>
      <c r="K267" s="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row>
    <row r="268" spans="1:113" s="4" customFormat="1" hidden="1">
      <c r="A268" s="1891" t="s">
        <v>97</v>
      </c>
      <c r="B268" s="9">
        <v>46796</v>
      </c>
      <c r="C268" s="9">
        <v>46796</v>
      </c>
      <c r="D268" s="8">
        <f t="shared" si="62"/>
        <v>0</v>
      </c>
      <c r="E268" s="5"/>
      <c r="F268" s="1"/>
      <c r="G268" s="1"/>
      <c r="H268" s="1"/>
      <c r="I268" s="1"/>
      <c r="J268" s="3"/>
      <c r="K268" s="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row>
    <row r="269" spans="1:113" s="4" customFormat="1" hidden="1">
      <c r="A269" s="1891" t="s">
        <v>96</v>
      </c>
      <c r="B269" s="9">
        <v>47338</v>
      </c>
      <c r="C269" s="9">
        <v>47338</v>
      </c>
      <c r="D269" s="8">
        <f t="shared" si="62"/>
        <v>0</v>
      </c>
      <c r="E269" s="5"/>
      <c r="F269" s="1"/>
      <c r="G269" s="1"/>
      <c r="H269" s="1"/>
      <c r="I269" s="1"/>
      <c r="J269" s="3"/>
      <c r="K269" s="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row>
    <row r="270" spans="1:113" s="4" customFormat="1" hidden="1">
      <c r="A270" s="1892" t="s">
        <v>95</v>
      </c>
      <c r="B270" s="11">
        <v>48313</v>
      </c>
      <c r="C270" s="11">
        <v>48313</v>
      </c>
      <c r="D270" s="8">
        <f t="shared" si="62"/>
        <v>0</v>
      </c>
      <c r="E270" s="5"/>
      <c r="F270" s="1"/>
      <c r="G270" s="1"/>
      <c r="H270" s="1"/>
      <c r="I270" s="1"/>
      <c r="J270" s="3"/>
      <c r="K270" s="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row>
    <row r="271" spans="1:113" s="4" customFormat="1" hidden="1">
      <c r="A271" s="1892" t="s">
        <v>94</v>
      </c>
      <c r="B271" s="11">
        <v>49052</v>
      </c>
      <c r="C271" s="11">
        <v>49052</v>
      </c>
      <c r="D271" s="8">
        <f t="shared" si="62"/>
        <v>0</v>
      </c>
      <c r="E271" s="5"/>
      <c r="F271" s="1"/>
      <c r="G271" s="1"/>
      <c r="H271" s="1"/>
      <c r="I271" s="1"/>
      <c r="J271" s="3"/>
      <c r="K271" s="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row>
    <row r="272" spans="1:113" s="4" customFormat="1" hidden="1">
      <c r="A272" s="1892" t="s">
        <v>93</v>
      </c>
      <c r="B272" s="11">
        <v>49803</v>
      </c>
      <c r="C272" s="11">
        <v>49803</v>
      </c>
      <c r="D272" s="8">
        <f t="shared" si="62"/>
        <v>0</v>
      </c>
      <c r="E272" s="5"/>
      <c r="F272" s="1"/>
      <c r="G272" s="1"/>
      <c r="H272" s="1"/>
      <c r="I272" s="1"/>
      <c r="J272" s="3"/>
      <c r="K272" s="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row>
    <row r="273" spans="1:113" s="4" customFormat="1" hidden="1">
      <c r="A273" s="1892" t="s">
        <v>92</v>
      </c>
      <c r="B273" s="11">
        <v>50566</v>
      </c>
      <c r="C273" s="11">
        <v>50566</v>
      </c>
      <c r="D273" s="8">
        <f t="shared" si="62"/>
        <v>0</v>
      </c>
      <c r="E273" s="5"/>
      <c r="F273" s="1"/>
      <c r="G273" s="1"/>
      <c r="H273" s="1"/>
      <c r="I273" s="1"/>
      <c r="J273" s="3"/>
      <c r="K273" s="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row>
    <row r="274" spans="1:113" s="4" customFormat="1" hidden="1">
      <c r="A274" s="1892" t="s">
        <v>91</v>
      </c>
      <c r="B274" s="11">
        <v>51342</v>
      </c>
      <c r="C274" s="11">
        <v>51342</v>
      </c>
      <c r="D274" s="8">
        <f t="shared" si="62"/>
        <v>0</v>
      </c>
      <c r="E274" s="5"/>
      <c r="F274" s="1"/>
      <c r="G274" s="1"/>
      <c r="H274" s="1"/>
      <c r="I274" s="1"/>
      <c r="J274" s="3"/>
      <c r="K274" s="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row>
    <row r="275" spans="1:113" s="4" customFormat="1" hidden="1">
      <c r="A275" s="1892" t="s">
        <v>90</v>
      </c>
      <c r="B275" s="11">
        <v>52130</v>
      </c>
      <c r="C275" s="11">
        <v>52130</v>
      </c>
      <c r="D275" s="8">
        <f t="shared" si="62"/>
        <v>0</v>
      </c>
      <c r="E275" s="5"/>
      <c r="F275" s="1"/>
      <c r="G275" s="1"/>
      <c r="H275" s="1"/>
      <c r="I275" s="1"/>
      <c r="J275" s="3"/>
      <c r="K275" s="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row>
    <row r="276" spans="1:113" s="4" customFormat="1" hidden="1">
      <c r="A276" s="1892" t="s">
        <v>89</v>
      </c>
      <c r="B276" s="11">
        <v>52932</v>
      </c>
      <c r="C276" s="11">
        <v>52932</v>
      </c>
      <c r="D276" s="8">
        <f t="shared" si="62"/>
        <v>0</v>
      </c>
      <c r="E276" s="5"/>
      <c r="F276" s="1"/>
      <c r="G276" s="1"/>
      <c r="H276" s="1"/>
      <c r="I276" s="1"/>
      <c r="J276" s="3"/>
      <c r="K276" s="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row>
    <row r="277" spans="1:113" s="4" customFormat="1" hidden="1">
      <c r="A277" s="1892" t="s">
        <v>88</v>
      </c>
      <c r="B277" s="11">
        <v>53746</v>
      </c>
      <c r="C277" s="11">
        <v>53746</v>
      </c>
      <c r="D277" s="8">
        <f t="shared" si="62"/>
        <v>0</v>
      </c>
      <c r="E277" s="5"/>
      <c r="F277" s="1"/>
      <c r="G277" s="1"/>
      <c r="H277" s="1"/>
      <c r="I277" s="1"/>
      <c r="J277" s="3"/>
      <c r="K277" s="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row>
    <row r="278" spans="1:113" s="4" customFormat="1" hidden="1">
      <c r="A278" s="1891" t="s">
        <v>87</v>
      </c>
      <c r="B278" s="9">
        <v>54251</v>
      </c>
      <c r="C278" s="9">
        <v>54251</v>
      </c>
      <c r="D278" s="8">
        <f t="shared" si="62"/>
        <v>0</v>
      </c>
      <c r="E278" s="5"/>
      <c r="F278" s="1"/>
      <c r="G278" s="1"/>
      <c r="H278" s="1"/>
      <c r="I278" s="1"/>
      <c r="J278" s="3"/>
      <c r="K278" s="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row>
    <row r="279" spans="1:113" s="4" customFormat="1" hidden="1">
      <c r="A279" s="1891" t="s">
        <v>86</v>
      </c>
      <c r="B279" s="9">
        <v>55085</v>
      </c>
      <c r="C279" s="9">
        <v>55085</v>
      </c>
      <c r="D279" s="8">
        <f t="shared" si="62"/>
        <v>0</v>
      </c>
      <c r="E279" s="5"/>
      <c r="F279" s="1"/>
      <c r="G279" s="1"/>
      <c r="H279" s="1"/>
      <c r="I279" s="1"/>
      <c r="J279" s="3"/>
      <c r="K279" s="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row>
    <row r="280" spans="1:113" s="4" customFormat="1" hidden="1">
      <c r="A280" s="1891" t="s">
        <v>85</v>
      </c>
      <c r="B280" s="9">
        <v>55934</v>
      </c>
      <c r="C280" s="9">
        <v>55934</v>
      </c>
      <c r="D280" s="8">
        <f t="shared" si="62"/>
        <v>0</v>
      </c>
      <c r="E280" s="5"/>
      <c r="F280" s="1"/>
      <c r="G280" s="1"/>
      <c r="H280" s="1"/>
      <c r="I280" s="1"/>
      <c r="J280" s="3"/>
      <c r="K280" s="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row>
    <row r="281" spans="1:113" s="4" customFormat="1" hidden="1">
      <c r="A281" s="1891" t="s">
        <v>84</v>
      </c>
      <c r="B281" s="9">
        <v>56796</v>
      </c>
      <c r="C281" s="9">
        <v>56796</v>
      </c>
      <c r="D281" s="8">
        <f t="shared" si="62"/>
        <v>0</v>
      </c>
      <c r="E281" s="5"/>
      <c r="F281" s="1"/>
      <c r="G281" s="1"/>
      <c r="H281" s="1"/>
      <c r="I281" s="1"/>
      <c r="J281" s="3"/>
      <c r="K281" s="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row>
    <row r="282" spans="1:113" s="4" customFormat="1" hidden="1">
      <c r="A282" s="1891" t="s">
        <v>83</v>
      </c>
      <c r="B282" s="9">
        <v>57673</v>
      </c>
      <c r="C282" s="9">
        <v>57673</v>
      </c>
      <c r="D282" s="8">
        <f t="shared" si="62"/>
        <v>0</v>
      </c>
      <c r="E282" s="5"/>
      <c r="F282" s="1"/>
      <c r="G282" s="1"/>
      <c r="H282" s="1"/>
      <c r="I282" s="1"/>
      <c r="J282" s="3"/>
      <c r="K282" s="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row>
    <row r="283" spans="1:113" s="4" customFormat="1" hidden="1">
      <c r="A283" s="1891" t="s">
        <v>82</v>
      </c>
      <c r="B283" s="9">
        <v>58564</v>
      </c>
      <c r="C283" s="9">
        <v>58564</v>
      </c>
      <c r="D283" s="8">
        <f t="shared" si="62"/>
        <v>0</v>
      </c>
      <c r="E283" s="5"/>
      <c r="F283" s="1"/>
      <c r="G283" s="1"/>
      <c r="H283" s="1"/>
      <c r="I283" s="1"/>
      <c r="J283" s="3"/>
      <c r="K283" s="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row>
    <row r="284" spans="1:113" s="4" customFormat="1" hidden="1">
      <c r="A284" s="1891" t="s">
        <v>81</v>
      </c>
      <c r="B284" s="9">
        <v>59469</v>
      </c>
      <c r="C284" s="9">
        <v>59469</v>
      </c>
      <c r="D284" s="8">
        <f t="shared" si="62"/>
        <v>0</v>
      </c>
      <c r="E284" s="5"/>
      <c r="F284" s="1"/>
      <c r="G284" s="1"/>
      <c r="H284" s="1"/>
      <c r="I284" s="1"/>
      <c r="J284" s="3"/>
      <c r="K284" s="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row>
    <row r="285" spans="1:113" s="4" customFormat="1" hidden="1">
      <c r="A285" s="1891" t="s">
        <v>80</v>
      </c>
      <c r="B285" s="9">
        <v>60389</v>
      </c>
      <c r="C285" s="9">
        <v>60389</v>
      </c>
      <c r="D285" s="8">
        <f t="shared" si="62"/>
        <v>0</v>
      </c>
      <c r="E285" s="5"/>
      <c r="F285" s="1"/>
      <c r="G285" s="1"/>
      <c r="H285" s="1"/>
      <c r="I285" s="1"/>
      <c r="J285" s="3"/>
      <c r="K285" s="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row>
    <row r="286" spans="1:113" s="4" customFormat="1" hidden="1">
      <c r="A286" s="1892" t="s">
        <v>79</v>
      </c>
      <c r="B286" s="11">
        <v>60901</v>
      </c>
      <c r="C286" s="11">
        <v>60901</v>
      </c>
      <c r="D286" s="8">
        <f t="shared" si="62"/>
        <v>0</v>
      </c>
      <c r="E286" s="5"/>
      <c r="F286" s="1"/>
      <c r="G286" s="1"/>
      <c r="H286" s="1"/>
      <c r="I286" s="1"/>
      <c r="J286" s="3"/>
      <c r="K286" s="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row>
    <row r="287" spans="1:113" s="4" customFormat="1" hidden="1">
      <c r="A287" s="1892" t="s">
        <v>78</v>
      </c>
      <c r="B287" s="11">
        <v>61844</v>
      </c>
      <c r="C287" s="11">
        <v>61844</v>
      </c>
      <c r="D287" s="8">
        <f t="shared" si="62"/>
        <v>0</v>
      </c>
      <c r="E287" s="5"/>
      <c r="F287" s="1"/>
      <c r="G287" s="1"/>
      <c r="H287" s="1"/>
      <c r="I287" s="1"/>
      <c r="J287" s="3"/>
      <c r="K287" s="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row>
    <row r="288" spans="1:113" s="4" customFormat="1" hidden="1">
      <c r="A288" s="1892" t="s">
        <v>77</v>
      </c>
      <c r="B288" s="11">
        <v>62803</v>
      </c>
      <c r="C288" s="11">
        <v>62803</v>
      </c>
      <c r="D288" s="8">
        <f t="shared" si="62"/>
        <v>0</v>
      </c>
      <c r="E288" s="5"/>
      <c r="F288" s="1"/>
      <c r="G288" s="1"/>
      <c r="H288" s="1"/>
      <c r="I288" s="1"/>
      <c r="J288" s="3"/>
      <c r="K288" s="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row>
    <row r="289" spans="1:113" s="4" customFormat="1" hidden="1">
      <c r="A289" s="1892" t="s">
        <v>76</v>
      </c>
      <c r="B289" s="11">
        <v>63777</v>
      </c>
      <c r="C289" s="11">
        <v>63777</v>
      </c>
      <c r="D289" s="8">
        <f t="shared" si="62"/>
        <v>0</v>
      </c>
      <c r="E289" s="5"/>
      <c r="F289" s="1"/>
      <c r="G289" s="1"/>
      <c r="H289" s="1"/>
      <c r="I289" s="1"/>
      <c r="J289" s="3"/>
      <c r="K289" s="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row>
    <row r="290" spans="1:113" s="4" customFormat="1" hidden="1">
      <c r="A290" s="1892" t="s">
        <v>75</v>
      </c>
      <c r="B290" s="11">
        <v>64768</v>
      </c>
      <c r="C290" s="11">
        <v>64768</v>
      </c>
      <c r="D290" s="8">
        <f t="shared" si="62"/>
        <v>0</v>
      </c>
      <c r="E290" s="5"/>
      <c r="F290" s="1"/>
      <c r="G290" s="1"/>
      <c r="H290" s="1"/>
      <c r="I290" s="1"/>
      <c r="J290" s="3"/>
      <c r="K290" s="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row>
    <row r="291" spans="1:113" s="4" customFormat="1" hidden="1">
      <c r="A291" s="1892" t="s">
        <v>74</v>
      </c>
      <c r="B291" s="11">
        <v>65774</v>
      </c>
      <c r="C291" s="11">
        <v>65774</v>
      </c>
      <c r="D291" s="8">
        <f t="shared" si="62"/>
        <v>0</v>
      </c>
      <c r="E291" s="5"/>
      <c r="F291" s="1"/>
      <c r="G291" s="1"/>
      <c r="H291" s="1"/>
      <c r="I291" s="1"/>
      <c r="J291" s="3"/>
      <c r="K291" s="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row>
    <row r="292" spans="1:113" s="4" customFormat="1" hidden="1">
      <c r="A292" s="1892" t="s">
        <v>73</v>
      </c>
      <c r="B292" s="11">
        <v>66797</v>
      </c>
      <c r="C292" s="11">
        <v>66797</v>
      </c>
      <c r="D292" s="8">
        <f t="shared" si="62"/>
        <v>0</v>
      </c>
      <c r="E292" s="5"/>
      <c r="F292" s="1"/>
      <c r="G292" s="1"/>
      <c r="H292" s="1"/>
      <c r="I292" s="1"/>
      <c r="J292" s="3"/>
      <c r="K292" s="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row>
    <row r="293" spans="1:113" s="4" customFormat="1" hidden="1">
      <c r="A293" s="1892" t="s">
        <v>72</v>
      </c>
      <c r="B293" s="11">
        <v>67837</v>
      </c>
      <c r="C293" s="11">
        <v>67837</v>
      </c>
      <c r="D293" s="8">
        <f t="shared" si="62"/>
        <v>0</v>
      </c>
      <c r="E293" s="5"/>
      <c r="F293" s="1"/>
      <c r="G293" s="1"/>
      <c r="H293" s="1"/>
      <c r="I293" s="1"/>
      <c r="J293" s="3"/>
      <c r="K293" s="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row>
    <row r="294" spans="1:113" s="4" customFormat="1" hidden="1">
      <c r="A294" s="1891" t="s">
        <v>71</v>
      </c>
      <c r="B294" s="9">
        <v>68415</v>
      </c>
      <c r="C294" s="9">
        <v>68415</v>
      </c>
      <c r="D294" s="8">
        <f t="shared" si="62"/>
        <v>0</v>
      </c>
      <c r="E294" s="5"/>
      <c r="F294" s="1"/>
      <c r="G294" s="1"/>
      <c r="H294" s="1"/>
      <c r="I294" s="1"/>
      <c r="J294" s="3"/>
      <c r="K294" s="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row>
    <row r="295" spans="1:113" s="4" customFormat="1" hidden="1">
      <c r="A295" s="1891" t="s">
        <v>70</v>
      </c>
      <c r="B295" s="9">
        <v>69481</v>
      </c>
      <c r="C295" s="9">
        <v>69481</v>
      </c>
      <c r="D295" s="8">
        <f t="shared" si="62"/>
        <v>0</v>
      </c>
      <c r="E295" s="5"/>
      <c r="F295" s="1"/>
      <c r="G295" s="1"/>
      <c r="H295" s="1"/>
      <c r="I295" s="1"/>
      <c r="J295" s="3"/>
      <c r="K295" s="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row>
    <row r="296" spans="1:113" s="4" customFormat="1" hidden="1">
      <c r="A296" s="1891" t="s">
        <v>69</v>
      </c>
      <c r="B296" s="9">
        <v>70565</v>
      </c>
      <c r="C296" s="9">
        <v>70565</v>
      </c>
      <c r="D296" s="8">
        <f t="shared" si="62"/>
        <v>0</v>
      </c>
      <c r="E296" s="5"/>
      <c r="F296" s="1"/>
      <c r="G296" s="1"/>
      <c r="H296" s="1"/>
      <c r="I296" s="1"/>
      <c r="J296" s="3"/>
      <c r="K296" s="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row>
    <row r="297" spans="1:113" s="4" customFormat="1" hidden="1">
      <c r="A297" s="1891" t="s">
        <v>68</v>
      </c>
      <c r="B297" s="9">
        <v>71666</v>
      </c>
      <c r="C297" s="9">
        <v>71666</v>
      </c>
      <c r="D297" s="8">
        <f t="shared" si="62"/>
        <v>0</v>
      </c>
      <c r="E297" s="5"/>
      <c r="F297" s="1"/>
      <c r="G297" s="1"/>
      <c r="H297" s="1"/>
      <c r="I297" s="1"/>
      <c r="J297" s="3"/>
      <c r="K297" s="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row>
    <row r="298" spans="1:113" s="4" customFormat="1" hidden="1">
      <c r="A298" s="1891" t="s">
        <v>67</v>
      </c>
      <c r="B298" s="9">
        <v>72785</v>
      </c>
      <c r="C298" s="9">
        <v>72785</v>
      </c>
      <c r="D298" s="8">
        <f t="shared" si="62"/>
        <v>0</v>
      </c>
      <c r="E298" s="5"/>
      <c r="F298" s="1"/>
      <c r="G298" s="1"/>
      <c r="H298" s="1"/>
      <c r="I298" s="1"/>
      <c r="J298" s="3"/>
      <c r="K298" s="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row>
    <row r="299" spans="1:113" s="4" customFormat="1" hidden="1">
      <c r="A299" s="1891" t="s">
        <v>66</v>
      </c>
      <c r="B299" s="9">
        <v>73923</v>
      </c>
      <c r="C299" s="9">
        <v>73923</v>
      </c>
      <c r="D299" s="8">
        <f t="shared" si="62"/>
        <v>0</v>
      </c>
      <c r="E299" s="5"/>
      <c r="F299" s="1"/>
      <c r="G299" s="1"/>
      <c r="H299" s="1"/>
      <c r="I299" s="1"/>
      <c r="J299" s="3"/>
      <c r="K299" s="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row>
    <row r="300" spans="1:113" s="4" customFormat="1" hidden="1">
      <c r="A300" s="1891" t="s">
        <v>65</v>
      </c>
      <c r="B300" s="9">
        <v>75079</v>
      </c>
      <c r="C300" s="9">
        <v>75079</v>
      </c>
      <c r="D300" s="8">
        <f t="shared" si="62"/>
        <v>0</v>
      </c>
      <c r="E300" s="5"/>
      <c r="F300" s="1"/>
      <c r="G300" s="1"/>
      <c r="H300" s="1"/>
      <c r="I300" s="1"/>
      <c r="J300" s="3"/>
      <c r="K300" s="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row>
    <row r="301" spans="1:113" s="4" customFormat="1" hidden="1">
      <c r="A301" s="1891" t="s">
        <v>64</v>
      </c>
      <c r="B301" s="9">
        <v>76253</v>
      </c>
      <c r="C301" s="9">
        <v>76253</v>
      </c>
      <c r="D301" s="8">
        <f t="shared" si="62"/>
        <v>0</v>
      </c>
      <c r="E301" s="5"/>
      <c r="F301" s="1"/>
      <c r="G301" s="1"/>
      <c r="H301" s="1"/>
      <c r="I301" s="1"/>
      <c r="J301" s="3"/>
      <c r="K301" s="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row>
    <row r="302" spans="1:113" s="4" customFormat="1" hidden="1">
      <c r="A302" s="1892" t="s">
        <v>63</v>
      </c>
      <c r="B302" s="11">
        <v>76907</v>
      </c>
      <c r="C302" s="11">
        <v>76907</v>
      </c>
      <c r="D302" s="8">
        <f t="shared" si="62"/>
        <v>0</v>
      </c>
      <c r="E302" s="5"/>
      <c r="F302" s="1"/>
      <c r="G302" s="1"/>
      <c r="H302" s="1"/>
      <c r="I302" s="1"/>
      <c r="J302" s="3"/>
      <c r="K302" s="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row>
    <row r="303" spans="1:113" s="4" customFormat="1" hidden="1">
      <c r="A303" s="1892" t="s">
        <v>62</v>
      </c>
      <c r="B303" s="11">
        <v>78111</v>
      </c>
      <c r="C303" s="11">
        <v>78111</v>
      </c>
      <c r="D303" s="8">
        <f t="shared" si="62"/>
        <v>0</v>
      </c>
      <c r="E303" s="5"/>
      <c r="F303" s="1"/>
      <c r="G303" s="1"/>
      <c r="H303" s="1"/>
      <c r="I303" s="1"/>
      <c r="J303" s="3"/>
      <c r="K303" s="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row>
    <row r="304" spans="1:113" s="4" customFormat="1" hidden="1">
      <c r="A304" s="1892" t="s">
        <v>61</v>
      </c>
      <c r="B304" s="11">
        <v>79336</v>
      </c>
      <c r="C304" s="11">
        <v>79336</v>
      </c>
      <c r="D304" s="8">
        <f t="shared" si="62"/>
        <v>0</v>
      </c>
      <c r="E304" s="5"/>
      <c r="F304" s="1"/>
      <c r="G304" s="1"/>
      <c r="H304" s="1"/>
      <c r="I304" s="1"/>
      <c r="J304" s="3"/>
      <c r="K304" s="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row>
    <row r="305" spans="1:113" s="4" customFormat="1" hidden="1">
      <c r="A305" s="1892" t="s">
        <v>60</v>
      </c>
      <c r="B305" s="11">
        <v>80583</v>
      </c>
      <c r="C305" s="11">
        <v>80583</v>
      </c>
      <c r="D305" s="8">
        <f t="shared" si="62"/>
        <v>0</v>
      </c>
      <c r="E305" s="5"/>
      <c r="F305" s="1"/>
      <c r="G305" s="1"/>
      <c r="H305" s="1"/>
      <c r="I305" s="1"/>
      <c r="J305" s="3"/>
      <c r="K305" s="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row>
    <row r="306" spans="1:113" s="4" customFormat="1" hidden="1">
      <c r="A306" s="1892" t="s">
        <v>59</v>
      </c>
      <c r="B306" s="11">
        <v>81899</v>
      </c>
      <c r="C306" s="11">
        <v>81899</v>
      </c>
      <c r="D306" s="8">
        <f t="shared" si="62"/>
        <v>0</v>
      </c>
      <c r="E306" s="5"/>
      <c r="F306" s="1"/>
      <c r="G306" s="1"/>
      <c r="H306" s="1"/>
      <c r="I306" s="1"/>
      <c r="J306" s="3"/>
      <c r="K306" s="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row>
    <row r="307" spans="1:113" s="4" customFormat="1" hidden="1">
      <c r="A307" s="1892" t="s">
        <v>58</v>
      </c>
      <c r="B307" s="11">
        <v>83235</v>
      </c>
      <c r="C307" s="11">
        <v>83235</v>
      </c>
      <c r="D307" s="8">
        <f t="shared" si="62"/>
        <v>0</v>
      </c>
      <c r="E307" s="5"/>
      <c r="F307" s="1"/>
      <c r="G307" s="1"/>
      <c r="H307" s="1"/>
      <c r="I307" s="1"/>
      <c r="J307" s="3"/>
      <c r="K307" s="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row>
    <row r="308" spans="1:113" s="4" customFormat="1" hidden="1">
      <c r="A308" s="1892" t="s">
        <v>57</v>
      </c>
      <c r="B308" s="11">
        <v>84594</v>
      </c>
      <c r="C308" s="11">
        <v>84594</v>
      </c>
      <c r="D308" s="8">
        <f t="shared" si="62"/>
        <v>0</v>
      </c>
      <c r="E308" s="5"/>
      <c r="F308" s="1"/>
      <c r="G308" s="1"/>
      <c r="H308" s="1"/>
      <c r="I308" s="1"/>
      <c r="J308" s="3"/>
      <c r="K308" s="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row>
    <row r="309" spans="1:113" s="4" customFormat="1" hidden="1">
      <c r="A309" s="1892" t="s">
        <v>56</v>
      </c>
      <c r="B309" s="11">
        <v>85975</v>
      </c>
      <c r="C309" s="11">
        <v>85975</v>
      </c>
      <c r="D309" s="8">
        <f t="shared" si="62"/>
        <v>0</v>
      </c>
      <c r="E309" s="5"/>
      <c r="F309" s="1"/>
      <c r="G309" s="1"/>
      <c r="H309" s="1"/>
      <c r="I309" s="1"/>
      <c r="J309" s="3"/>
      <c r="K309" s="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row>
    <row r="310" spans="1:113" s="4" customFormat="1" hidden="1">
      <c r="A310" s="1891" t="s">
        <v>55</v>
      </c>
      <c r="B310" s="9">
        <v>86742</v>
      </c>
      <c r="C310" s="9">
        <v>86742</v>
      </c>
      <c r="D310" s="8">
        <f t="shared" si="62"/>
        <v>0</v>
      </c>
      <c r="E310" s="5"/>
      <c r="F310" s="1"/>
      <c r="G310" s="1"/>
      <c r="H310" s="1"/>
      <c r="I310" s="1"/>
      <c r="J310" s="3"/>
      <c r="K310" s="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row>
    <row r="311" spans="1:113" s="4" customFormat="1" hidden="1">
      <c r="A311" s="1891" t="s">
        <v>54</v>
      </c>
      <c r="B311" s="9">
        <v>88158</v>
      </c>
      <c r="C311" s="9">
        <v>88158</v>
      </c>
      <c r="D311" s="8">
        <f t="shared" si="62"/>
        <v>0</v>
      </c>
      <c r="E311" s="5"/>
      <c r="F311" s="1"/>
      <c r="G311" s="1"/>
      <c r="H311" s="1"/>
      <c r="I311" s="1"/>
      <c r="J311" s="3"/>
      <c r="K311" s="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row>
    <row r="312" spans="1:113" s="4" customFormat="1" hidden="1">
      <c r="A312" s="1891" t="s">
        <v>53</v>
      </c>
      <c r="B312" s="9">
        <v>89597</v>
      </c>
      <c r="C312" s="9">
        <v>89597</v>
      </c>
      <c r="D312" s="8">
        <f t="shared" si="62"/>
        <v>0</v>
      </c>
      <c r="E312" s="5"/>
      <c r="F312" s="1"/>
      <c r="G312" s="1"/>
      <c r="H312" s="1"/>
      <c r="I312" s="1"/>
      <c r="J312" s="3"/>
      <c r="K312" s="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row>
    <row r="313" spans="1:113" s="4" customFormat="1" hidden="1">
      <c r="A313" s="1891" t="s">
        <v>52</v>
      </c>
      <c r="B313" s="9">
        <v>91059</v>
      </c>
      <c r="C313" s="9">
        <v>91059</v>
      </c>
      <c r="D313" s="8">
        <f t="shared" si="62"/>
        <v>0</v>
      </c>
      <c r="E313" s="5"/>
      <c r="F313" s="1"/>
      <c r="G313" s="1"/>
      <c r="H313" s="1"/>
      <c r="I313" s="1"/>
      <c r="J313" s="3"/>
      <c r="K313" s="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row>
    <row r="314" spans="1:113" s="4" customFormat="1" hidden="1">
      <c r="A314" s="1891" t="s">
        <v>51</v>
      </c>
      <c r="B314" s="9">
        <v>92545</v>
      </c>
      <c r="C314" s="9">
        <v>92545</v>
      </c>
      <c r="D314" s="8">
        <f t="shared" si="62"/>
        <v>0</v>
      </c>
      <c r="E314" s="5"/>
      <c r="F314" s="1"/>
      <c r="G314" s="1"/>
      <c r="H314" s="1"/>
      <c r="I314" s="1"/>
      <c r="J314" s="3"/>
      <c r="K314" s="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row>
    <row r="315" spans="1:113" s="4" customFormat="1" hidden="1">
      <c r="A315" s="1891" t="s">
        <v>50</v>
      </c>
      <c r="B315" s="9">
        <v>94057</v>
      </c>
      <c r="C315" s="9">
        <v>94057</v>
      </c>
      <c r="D315" s="8">
        <f t="shared" si="62"/>
        <v>0</v>
      </c>
      <c r="E315" s="5"/>
      <c r="F315" s="1"/>
      <c r="G315" s="1"/>
      <c r="H315" s="1"/>
      <c r="I315" s="1"/>
      <c r="J315" s="3"/>
      <c r="K315" s="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row>
    <row r="316" spans="1:113" s="4" customFormat="1" hidden="1">
      <c r="A316" s="1891" t="s">
        <v>49</v>
      </c>
      <c r="B316" s="9">
        <v>95592</v>
      </c>
      <c r="C316" s="9">
        <v>95592</v>
      </c>
      <c r="D316" s="8">
        <f t="shared" si="62"/>
        <v>0</v>
      </c>
      <c r="E316" s="5"/>
      <c r="F316" s="1"/>
      <c r="G316" s="1"/>
      <c r="H316" s="1"/>
      <c r="I316" s="1"/>
      <c r="J316" s="3"/>
      <c r="K316" s="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row>
    <row r="317" spans="1:113" s="4" customFormat="1" hidden="1">
      <c r="A317" s="1891" t="s">
        <v>48</v>
      </c>
      <c r="B317" s="9">
        <v>97152</v>
      </c>
      <c r="C317" s="9">
        <v>97152</v>
      </c>
      <c r="D317" s="8">
        <f t="shared" si="62"/>
        <v>0</v>
      </c>
      <c r="E317" s="5"/>
      <c r="F317" s="1"/>
      <c r="G317" s="1"/>
      <c r="H317" s="1"/>
      <c r="I317" s="1"/>
      <c r="J317" s="3"/>
      <c r="K317" s="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row>
    <row r="318" spans="1:113" s="4" customFormat="1" hidden="1">
      <c r="A318" s="1892" t="s">
        <v>47</v>
      </c>
      <c r="B318" s="11">
        <v>98886</v>
      </c>
      <c r="C318" s="11">
        <v>98886</v>
      </c>
      <c r="D318" s="8">
        <f t="shared" ref="D318:D381" si="63">B318-C318</f>
        <v>0</v>
      </c>
      <c r="E318" s="5"/>
      <c r="F318" s="1"/>
      <c r="G318" s="1"/>
      <c r="H318" s="1"/>
      <c r="I318" s="1"/>
      <c r="J318" s="3"/>
      <c r="K318" s="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row>
    <row r="319" spans="1:113" s="4" customFormat="1" hidden="1">
      <c r="A319" s="1892" t="s">
        <v>46</v>
      </c>
      <c r="B319" s="11">
        <v>100500</v>
      </c>
      <c r="C319" s="11">
        <v>100500</v>
      </c>
      <c r="D319" s="8">
        <f t="shared" si="63"/>
        <v>0</v>
      </c>
      <c r="E319" s="5"/>
      <c r="F319" s="1"/>
      <c r="G319" s="1"/>
      <c r="H319" s="1"/>
      <c r="I319" s="1"/>
      <c r="J319" s="3"/>
      <c r="K319" s="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row>
    <row r="320" spans="1:113" s="4" customFormat="1" hidden="1">
      <c r="A320" s="1892" t="s">
        <v>45</v>
      </c>
      <c r="B320" s="11">
        <v>102140</v>
      </c>
      <c r="C320" s="11">
        <v>102140</v>
      </c>
      <c r="D320" s="8">
        <f t="shared" si="63"/>
        <v>0</v>
      </c>
      <c r="E320" s="5"/>
      <c r="F320" s="1"/>
      <c r="G320" s="1"/>
      <c r="H320" s="1"/>
      <c r="I320" s="1"/>
      <c r="J320" s="3"/>
      <c r="K320" s="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row>
    <row r="321" spans="1:113" s="4" customFormat="1" hidden="1">
      <c r="A321" s="1892" t="s">
        <v>44</v>
      </c>
      <c r="B321" s="11">
        <v>103808</v>
      </c>
      <c r="C321" s="11">
        <v>103808</v>
      </c>
      <c r="D321" s="8">
        <f t="shared" si="63"/>
        <v>0</v>
      </c>
      <c r="E321" s="5"/>
      <c r="F321" s="1"/>
      <c r="G321" s="1"/>
      <c r="H321" s="1"/>
      <c r="I321" s="1"/>
      <c r="J321" s="3"/>
      <c r="K321" s="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row>
    <row r="322" spans="1:113" s="4" customFormat="1" hidden="1">
      <c r="A322" s="1892" t="s">
        <v>43</v>
      </c>
      <c r="B322" s="11">
        <v>105502</v>
      </c>
      <c r="C322" s="11">
        <v>105502</v>
      </c>
      <c r="D322" s="8">
        <f t="shared" si="63"/>
        <v>0</v>
      </c>
      <c r="E322" s="5"/>
      <c r="F322" s="1"/>
      <c r="G322" s="1"/>
      <c r="H322" s="1"/>
      <c r="I322" s="1"/>
      <c r="J322" s="3"/>
      <c r="K322" s="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row>
    <row r="323" spans="1:113" hidden="1">
      <c r="A323" s="1892" t="s">
        <v>42</v>
      </c>
      <c r="B323" s="11">
        <v>107224</v>
      </c>
      <c r="C323" s="11">
        <v>107224</v>
      </c>
      <c r="D323" s="8">
        <f t="shared" si="63"/>
        <v>0</v>
      </c>
      <c r="E323" s="5"/>
    </row>
    <row r="324" spans="1:113" hidden="1">
      <c r="A324" s="1892" t="s">
        <v>41</v>
      </c>
      <c r="B324" s="11">
        <v>108974</v>
      </c>
      <c r="C324" s="11">
        <v>108974</v>
      </c>
      <c r="D324" s="8">
        <f t="shared" si="63"/>
        <v>0</v>
      </c>
      <c r="E324" s="5"/>
    </row>
    <row r="325" spans="1:113" hidden="1">
      <c r="A325" s="1892" t="s">
        <v>40</v>
      </c>
      <c r="B325" s="11">
        <v>110753</v>
      </c>
      <c r="C325" s="11">
        <v>110753</v>
      </c>
      <c r="D325" s="8">
        <f t="shared" si="63"/>
        <v>0</v>
      </c>
      <c r="E325" s="5"/>
    </row>
    <row r="326" spans="1:113" hidden="1">
      <c r="A326" s="1891" t="s">
        <v>39</v>
      </c>
      <c r="B326" s="9">
        <v>111742</v>
      </c>
      <c r="C326" s="9">
        <v>111742</v>
      </c>
      <c r="D326" s="8">
        <f t="shared" si="63"/>
        <v>0</v>
      </c>
      <c r="E326" s="5"/>
      <c r="F326" s="16"/>
      <c r="G326" s="15"/>
      <c r="H326" s="14"/>
      <c r="I326" s="14"/>
      <c r="J326" s="13"/>
      <c r="K326" s="13"/>
      <c r="L326" s="14"/>
      <c r="M326" s="14"/>
      <c r="N326" s="14"/>
      <c r="O326" s="14"/>
    </row>
    <row r="327" spans="1:113" hidden="1">
      <c r="A327" s="1891" t="s">
        <v>38</v>
      </c>
      <c r="B327" s="9">
        <v>113565</v>
      </c>
      <c r="C327" s="9">
        <v>113565</v>
      </c>
      <c r="D327" s="8">
        <f t="shared" si="63"/>
        <v>0</v>
      </c>
      <c r="E327" s="5"/>
      <c r="F327" s="16"/>
      <c r="G327" s="15"/>
      <c r="H327" s="14"/>
      <c r="I327" s="14"/>
      <c r="J327" s="13"/>
      <c r="K327" s="13"/>
      <c r="L327" s="14"/>
      <c r="M327" s="14"/>
      <c r="N327" s="14"/>
      <c r="O327" s="14"/>
    </row>
    <row r="328" spans="1:113" hidden="1">
      <c r="A328" s="1891" t="s">
        <v>37</v>
      </c>
      <c r="B328" s="9">
        <v>115419</v>
      </c>
      <c r="C328" s="9">
        <v>115419</v>
      </c>
      <c r="D328" s="8">
        <f t="shared" si="63"/>
        <v>0</v>
      </c>
      <c r="E328" s="5"/>
    </row>
    <row r="329" spans="1:113" hidden="1">
      <c r="A329" s="1891" t="s">
        <v>36</v>
      </c>
      <c r="B329" s="9">
        <v>117303</v>
      </c>
      <c r="C329" s="9">
        <v>117303</v>
      </c>
      <c r="D329" s="8">
        <f t="shared" si="63"/>
        <v>0</v>
      </c>
      <c r="E329" s="5"/>
    </row>
    <row r="330" spans="1:113" hidden="1">
      <c r="A330" s="1891" t="s">
        <v>35</v>
      </c>
      <c r="B330" s="9">
        <v>119217</v>
      </c>
      <c r="C330" s="9">
        <v>119217</v>
      </c>
      <c r="D330" s="8">
        <f t="shared" si="63"/>
        <v>0</v>
      </c>
      <c r="E330" s="5"/>
    </row>
    <row r="331" spans="1:113" hidden="1">
      <c r="A331" s="1891" t="s">
        <v>34</v>
      </c>
      <c r="B331" s="9">
        <v>121163</v>
      </c>
      <c r="C331" s="9">
        <v>121163</v>
      </c>
      <c r="D331" s="8">
        <f t="shared" si="63"/>
        <v>0</v>
      </c>
      <c r="E331" s="5"/>
    </row>
    <row r="332" spans="1:113" hidden="1">
      <c r="A332" s="1891" t="s">
        <v>33</v>
      </c>
      <c r="B332" s="9">
        <v>123140</v>
      </c>
      <c r="C332" s="9">
        <v>123140</v>
      </c>
      <c r="D332" s="8">
        <f t="shared" si="63"/>
        <v>0</v>
      </c>
      <c r="E332" s="5"/>
    </row>
    <row r="333" spans="1:113" hidden="1">
      <c r="A333" s="1891" t="s">
        <v>32</v>
      </c>
      <c r="B333" s="9">
        <v>125150</v>
      </c>
      <c r="C333" s="9">
        <v>125150</v>
      </c>
      <c r="D333" s="8">
        <f t="shared" si="63"/>
        <v>0</v>
      </c>
      <c r="E333" s="5"/>
    </row>
    <row r="334" spans="1:113" hidden="1">
      <c r="A334" s="1892" t="s">
        <v>31</v>
      </c>
      <c r="B334" s="11">
        <v>126267</v>
      </c>
      <c r="C334" s="11">
        <v>126267</v>
      </c>
      <c r="D334" s="8">
        <f t="shared" si="63"/>
        <v>0</v>
      </c>
      <c r="E334" s="5"/>
    </row>
    <row r="335" spans="1:113" hidden="1">
      <c r="A335" s="1892" t="s">
        <v>30</v>
      </c>
      <c r="B335" s="11">
        <v>128329</v>
      </c>
      <c r="C335" s="11">
        <v>128329</v>
      </c>
      <c r="D335" s="8">
        <f t="shared" si="63"/>
        <v>0</v>
      </c>
      <c r="E335" s="5"/>
    </row>
    <row r="336" spans="1:113" hidden="1">
      <c r="A336" s="1892" t="s">
        <v>29</v>
      </c>
      <c r="B336" s="11">
        <v>130423</v>
      </c>
      <c r="C336" s="11">
        <v>130423</v>
      </c>
      <c r="D336" s="8">
        <f t="shared" si="63"/>
        <v>0</v>
      </c>
      <c r="E336" s="5"/>
    </row>
    <row r="337" spans="1:113" hidden="1">
      <c r="A337" s="1892" t="s">
        <v>28</v>
      </c>
      <c r="B337" s="11">
        <v>132552</v>
      </c>
      <c r="C337" s="11">
        <v>132552</v>
      </c>
      <c r="D337" s="8">
        <f t="shared" si="63"/>
        <v>0</v>
      </c>
      <c r="E337" s="5"/>
    </row>
    <row r="338" spans="1:113" hidden="1">
      <c r="A338" s="1892" t="s">
        <v>27</v>
      </c>
      <c r="B338" s="11">
        <v>134715</v>
      </c>
      <c r="C338" s="11">
        <v>134715</v>
      </c>
      <c r="D338" s="8">
        <f t="shared" si="63"/>
        <v>0</v>
      </c>
      <c r="E338" s="5"/>
    </row>
    <row r="339" spans="1:113" s="4" customFormat="1" hidden="1">
      <c r="A339" s="1892" t="s">
        <v>26</v>
      </c>
      <c r="B339" s="11">
        <v>136914</v>
      </c>
      <c r="C339" s="11">
        <v>136914</v>
      </c>
      <c r="D339" s="8">
        <f t="shared" si="63"/>
        <v>0</v>
      </c>
      <c r="E339" s="5"/>
      <c r="F339" s="1"/>
      <c r="G339" s="1"/>
      <c r="H339" s="1"/>
      <c r="I339" s="1"/>
      <c r="J339" s="3"/>
      <c r="K339" s="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row>
    <row r="340" spans="1:113" s="4" customFormat="1" hidden="1">
      <c r="A340" s="1892" t="s">
        <v>25</v>
      </c>
      <c r="B340" s="11">
        <v>139149</v>
      </c>
      <c r="C340" s="11">
        <v>139149</v>
      </c>
      <c r="D340" s="8">
        <f t="shared" si="63"/>
        <v>0</v>
      </c>
      <c r="E340" s="5"/>
      <c r="F340" s="1"/>
      <c r="G340" s="1"/>
      <c r="H340" s="1"/>
      <c r="I340" s="1"/>
      <c r="J340" s="3"/>
      <c r="K340" s="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row>
    <row r="341" spans="1:113" s="4" customFormat="1" hidden="1">
      <c r="A341" s="1892" t="s">
        <v>24</v>
      </c>
      <c r="B341" s="11">
        <v>141420</v>
      </c>
      <c r="C341" s="11">
        <v>141420</v>
      </c>
      <c r="D341" s="8">
        <f t="shared" si="63"/>
        <v>0</v>
      </c>
      <c r="E341" s="5"/>
      <c r="F341" s="1"/>
      <c r="G341" s="1"/>
      <c r="H341" s="1"/>
      <c r="I341" s="1"/>
      <c r="J341" s="3"/>
      <c r="K341" s="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row>
    <row r="342" spans="1:113" s="4" customFormat="1" hidden="1">
      <c r="A342" s="1891" t="s">
        <v>23</v>
      </c>
      <c r="B342" s="9">
        <v>142683</v>
      </c>
      <c r="C342" s="9">
        <v>142683</v>
      </c>
      <c r="D342" s="8">
        <f t="shared" si="63"/>
        <v>0</v>
      </c>
      <c r="E342" s="5"/>
      <c r="F342" s="1"/>
      <c r="G342" s="1"/>
      <c r="H342" s="1"/>
      <c r="I342" s="1"/>
      <c r="J342" s="3"/>
      <c r="K342" s="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row>
    <row r="343" spans="1:113" s="4" customFormat="1" hidden="1">
      <c r="A343" s="1891" t="s">
        <v>22</v>
      </c>
      <c r="B343" s="9">
        <v>145011</v>
      </c>
      <c r="C343" s="9">
        <v>145011</v>
      </c>
      <c r="D343" s="8">
        <f t="shared" si="63"/>
        <v>0</v>
      </c>
      <c r="E343" s="5"/>
      <c r="F343" s="1"/>
      <c r="G343" s="1"/>
      <c r="H343" s="1"/>
      <c r="I343" s="1"/>
      <c r="J343" s="3"/>
      <c r="K343" s="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row>
    <row r="344" spans="1:113" s="4" customFormat="1" hidden="1">
      <c r="A344" s="1891" t="s">
        <v>21</v>
      </c>
      <c r="B344" s="9">
        <v>147378</v>
      </c>
      <c r="C344" s="9">
        <v>147378</v>
      </c>
      <c r="D344" s="8">
        <f t="shared" si="63"/>
        <v>0</v>
      </c>
      <c r="E344" s="5"/>
      <c r="F344" s="1"/>
      <c r="G344" s="1"/>
      <c r="H344" s="1"/>
      <c r="I344" s="1"/>
      <c r="J344" s="3"/>
      <c r="K344" s="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row>
    <row r="345" spans="1:113" s="4" customFormat="1" hidden="1">
      <c r="A345" s="1891" t="s">
        <v>20</v>
      </c>
      <c r="B345" s="9">
        <v>149784</v>
      </c>
      <c r="C345" s="9">
        <v>149784</v>
      </c>
      <c r="D345" s="8">
        <f t="shared" si="63"/>
        <v>0</v>
      </c>
      <c r="E345" s="5"/>
      <c r="F345" s="1"/>
      <c r="G345" s="1"/>
      <c r="H345" s="1"/>
      <c r="I345" s="1"/>
      <c r="J345" s="3"/>
      <c r="K345" s="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row>
    <row r="346" spans="1:113" s="4" customFormat="1" hidden="1">
      <c r="A346" s="1891" t="s">
        <v>19</v>
      </c>
      <c r="B346" s="9">
        <v>152228</v>
      </c>
      <c r="C346" s="9">
        <v>152228</v>
      </c>
      <c r="D346" s="8">
        <f t="shared" si="63"/>
        <v>0</v>
      </c>
      <c r="E346" s="5"/>
      <c r="F346" s="1"/>
      <c r="G346" s="1"/>
      <c r="H346" s="1"/>
      <c r="I346" s="1"/>
      <c r="J346" s="3"/>
      <c r="K346" s="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row>
    <row r="347" spans="1:113" s="4" customFormat="1" hidden="1">
      <c r="A347" s="1891" t="s">
        <v>18</v>
      </c>
      <c r="B347" s="9">
        <v>154714</v>
      </c>
      <c r="C347" s="9">
        <v>154714</v>
      </c>
      <c r="D347" s="8">
        <f t="shared" si="63"/>
        <v>0</v>
      </c>
      <c r="E347" s="5"/>
      <c r="F347" s="1"/>
      <c r="G347" s="1"/>
      <c r="H347" s="1"/>
      <c r="I347" s="1"/>
      <c r="J347" s="3"/>
      <c r="K347" s="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row>
    <row r="348" spans="1:113" s="4" customFormat="1" hidden="1">
      <c r="A348" s="1891" t="s">
        <v>17</v>
      </c>
      <c r="B348" s="9">
        <v>157239</v>
      </c>
      <c r="C348" s="9">
        <v>157239</v>
      </c>
      <c r="D348" s="8">
        <f t="shared" si="63"/>
        <v>0</v>
      </c>
      <c r="E348" s="5"/>
      <c r="F348" s="1"/>
      <c r="G348" s="1"/>
      <c r="H348" s="1"/>
      <c r="I348" s="1"/>
      <c r="J348" s="3"/>
      <c r="K348" s="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row>
    <row r="349" spans="1:113" s="4" customFormat="1" hidden="1">
      <c r="A349" s="1891" t="s">
        <v>16</v>
      </c>
      <c r="B349" s="9">
        <v>159804</v>
      </c>
      <c r="C349" s="9">
        <v>159804</v>
      </c>
      <c r="D349" s="8">
        <f t="shared" si="63"/>
        <v>0</v>
      </c>
      <c r="E349" s="5"/>
      <c r="F349" s="1"/>
      <c r="G349" s="1"/>
      <c r="H349" s="1"/>
      <c r="I349" s="1"/>
      <c r="J349" s="3"/>
      <c r="K349" s="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row>
    <row r="350" spans="1:113" s="4" customFormat="1" hidden="1">
      <c r="A350" s="1892" t="s">
        <v>15</v>
      </c>
      <c r="B350" s="11">
        <v>161231</v>
      </c>
      <c r="C350" s="11">
        <v>161231</v>
      </c>
      <c r="D350" s="8">
        <f t="shared" si="63"/>
        <v>0</v>
      </c>
      <c r="E350" s="5"/>
      <c r="F350" s="1"/>
      <c r="G350" s="1"/>
      <c r="H350" s="1"/>
      <c r="I350" s="1"/>
      <c r="J350" s="3"/>
      <c r="K350" s="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row>
    <row r="351" spans="1:113" s="4" customFormat="1" hidden="1">
      <c r="A351" s="1892" t="s">
        <v>14</v>
      </c>
      <c r="B351" s="11">
        <v>163863</v>
      </c>
      <c r="C351" s="11">
        <v>163863</v>
      </c>
      <c r="D351" s="8">
        <f t="shared" si="63"/>
        <v>0</v>
      </c>
      <c r="E351" s="5"/>
      <c r="F351" s="1"/>
      <c r="G351" s="1"/>
      <c r="H351" s="1"/>
      <c r="I351" s="1"/>
      <c r="J351" s="3"/>
      <c r="K351" s="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row>
    <row r="352" spans="1:113" s="4" customFormat="1" hidden="1">
      <c r="A352" s="1892" t="s">
        <v>13</v>
      </c>
      <c r="B352" s="11">
        <v>166537</v>
      </c>
      <c r="C352" s="11">
        <v>166537</v>
      </c>
      <c r="D352" s="8">
        <f t="shared" si="63"/>
        <v>0</v>
      </c>
      <c r="E352" s="5"/>
      <c r="F352" s="1"/>
      <c r="G352" s="1"/>
      <c r="H352" s="1"/>
      <c r="I352" s="1"/>
      <c r="J352" s="3"/>
      <c r="K352" s="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row>
    <row r="353" spans="1:113" s="4" customFormat="1" hidden="1">
      <c r="A353" s="1892" t="s">
        <v>12</v>
      </c>
      <c r="B353" s="11">
        <v>169256</v>
      </c>
      <c r="C353" s="11">
        <v>169256</v>
      </c>
      <c r="D353" s="8">
        <f t="shared" si="63"/>
        <v>0</v>
      </c>
      <c r="E353" s="5"/>
      <c r="F353" s="1"/>
      <c r="G353" s="1"/>
      <c r="H353" s="1"/>
      <c r="I353" s="1"/>
      <c r="J353" s="3"/>
      <c r="K353" s="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row>
    <row r="354" spans="1:113" s="4" customFormat="1" hidden="1">
      <c r="A354" s="1892" t="s">
        <v>11</v>
      </c>
      <c r="B354" s="11">
        <v>172018</v>
      </c>
      <c r="C354" s="11">
        <v>172018</v>
      </c>
      <c r="D354" s="8">
        <f t="shared" si="63"/>
        <v>0</v>
      </c>
      <c r="E354" s="5"/>
      <c r="F354" s="1"/>
      <c r="G354" s="1"/>
      <c r="H354" s="1"/>
      <c r="I354" s="1"/>
      <c r="J354" s="3"/>
      <c r="K354" s="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row>
    <row r="355" spans="1:113" hidden="1">
      <c r="A355" s="1892" t="s">
        <v>10</v>
      </c>
      <c r="B355" s="11">
        <v>174826</v>
      </c>
      <c r="C355" s="11">
        <v>174826</v>
      </c>
      <c r="D355" s="8">
        <f t="shared" si="63"/>
        <v>0</v>
      </c>
      <c r="E355" s="5"/>
    </row>
    <row r="356" spans="1:113" hidden="1">
      <c r="A356" s="1892" t="s">
        <v>9</v>
      </c>
      <c r="B356" s="11">
        <v>177679</v>
      </c>
      <c r="C356" s="11">
        <v>177679</v>
      </c>
      <c r="D356" s="8">
        <f t="shared" si="63"/>
        <v>0</v>
      </c>
      <c r="E356" s="5"/>
    </row>
    <row r="357" spans="1:113" hidden="1">
      <c r="A357" s="1892" t="s">
        <v>8</v>
      </c>
      <c r="B357" s="11">
        <v>180579</v>
      </c>
      <c r="C357" s="11">
        <v>180579</v>
      </c>
      <c r="D357" s="8">
        <f t="shared" si="63"/>
        <v>0</v>
      </c>
      <c r="E357" s="5"/>
    </row>
    <row r="358" spans="1:113" hidden="1">
      <c r="A358" s="1891" t="s">
        <v>7</v>
      </c>
      <c r="B358" s="9">
        <v>182191</v>
      </c>
      <c r="C358" s="9">
        <v>182191</v>
      </c>
      <c r="D358" s="8">
        <f t="shared" si="63"/>
        <v>0</v>
      </c>
      <c r="E358" s="5"/>
    </row>
    <row r="359" spans="1:113" hidden="1">
      <c r="A359" s="1891" t="s">
        <v>6</v>
      </c>
      <c r="B359" s="9">
        <v>185165</v>
      </c>
      <c r="C359" s="9">
        <v>185165</v>
      </c>
      <c r="D359" s="8">
        <f t="shared" si="63"/>
        <v>0</v>
      </c>
      <c r="E359" s="5"/>
    </row>
    <row r="360" spans="1:113" hidden="1">
      <c r="A360" s="1891" t="s">
        <v>5</v>
      </c>
      <c r="B360" s="9">
        <v>188187</v>
      </c>
      <c r="C360" s="9">
        <v>188187</v>
      </c>
      <c r="D360" s="8">
        <f t="shared" si="63"/>
        <v>0</v>
      </c>
      <c r="E360" s="5"/>
    </row>
    <row r="361" spans="1:113" hidden="1">
      <c r="A361" s="1891" t="s">
        <v>4</v>
      </c>
      <c r="B361" s="9">
        <v>191259</v>
      </c>
      <c r="C361" s="9">
        <v>191259</v>
      </c>
      <c r="D361" s="8">
        <f t="shared" si="63"/>
        <v>0</v>
      </c>
      <c r="E361" s="5"/>
    </row>
    <row r="362" spans="1:113" hidden="1">
      <c r="A362" s="1891" t="s">
        <v>3</v>
      </c>
      <c r="B362" s="9">
        <v>194380</v>
      </c>
      <c r="C362" s="9">
        <v>194380</v>
      </c>
      <c r="D362" s="8">
        <f t="shared" si="63"/>
        <v>0</v>
      </c>
      <c r="E362" s="5"/>
    </row>
    <row r="363" spans="1:113" hidden="1">
      <c r="A363" s="1891" t="s">
        <v>2</v>
      </c>
      <c r="B363" s="9">
        <v>197553</v>
      </c>
      <c r="C363" s="9">
        <v>197553</v>
      </c>
      <c r="D363" s="8">
        <f t="shared" si="63"/>
        <v>0</v>
      </c>
      <c r="E363" s="5"/>
    </row>
    <row r="364" spans="1:113" hidden="1">
      <c r="A364" s="1891" t="s">
        <v>1</v>
      </c>
      <c r="B364" s="9">
        <v>200777</v>
      </c>
      <c r="C364" s="9">
        <v>200777</v>
      </c>
      <c r="D364" s="8">
        <f t="shared" si="63"/>
        <v>0</v>
      </c>
      <c r="E364" s="5"/>
    </row>
    <row r="365" spans="1:113" hidden="1">
      <c r="A365" s="1891" t="s">
        <v>0</v>
      </c>
      <c r="B365" s="9">
        <v>204054</v>
      </c>
      <c r="C365" s="9">
        <v>204054</v>
      </c>
      <c r="D365" s="8">
        <f t="shared" si="63"/>
        <v>0</v>
      </c>
      <c r="E365" s="5"/>
    </row>
    <row r="366" spans="1:113" s="3" customFormat="1" ht="15" hidden="1">
      <c r="A366" s="7"/>
      <c r="B366" s="6"/>
      <c r="E366" s="5"/>
    </row>
    <row r="367" spans="1:113" s="3" customFormat="1" ht="15" hidden="1">
      <c r="A367" s="7"/>
      <c r="B367" s="6"/>
      <c r="E367" s="5"/>
    </row>
    <row r="368" spans="1:113" s="3" customFormat="1" ht="15" hidden="1">
      <c r="A368" s="7"/>
      <c r="B368" s="6"/>
      <c r="E368" s="5"/>
    </row>
    <row r="369" spans="1:5" s="3" customFormat="1" ht="15" hidden="1">
      <c r="A369" s="7"/>
      <c r="B369" s="6"/>
      <c r="E369" s="5"/>
    </row>
    <row r="370" spans="1:5" s="3" customFormat="1" ht="15" hidden="1">
      <c r="A370" s="7"/>
      <c r="B370" s="6"/>
      <c r="E370" s="5"/>
    </row>
    <row r="371" spans="1:5" s="3" customFormat="1" ht="15" hidden="1">
      <c r="A371" s="7"/>
      <c r="B371" s="6"/>
      <c r="E371" s="5"/>
    </row>
    <row r="372" spans="1:5" s="3" customFormat="1" ht="15" hidden="1">
      <c r="A372" s="7"/>
      <c r="B372" s="6"/>
      <c r="E372" s="5"/>
    </row>
    <row r="373" spans="1:5" s="3" customFormat="1" ht="15" hidden="1">
      <c r="A373" s="7"/>
      <c r="B373" s="6"/>
      <c r="E373" s="5"/>
    </row>
    <row r="374" spans="1:5" s="3" customFormat="1" ht="15" hidden="1">
      <c r="A374" s="7"/>
      <c r="B374" s="6"/>
      <c r="E374" s="5"/>
    </row>
    <row r="375" spans="1:5" s="3" customFormat="1" ht="15" hidden="1">
      <c r="A375" s="7"/>
      <c r="B375" s="6"/>
      <c r="E375" s="5"/>
    </row>
    <row r="376" spans="1:5" s="3" customFormat="1" ht="15" hidden="1">
      <c r="A376" s="7"/>
      <c r="B376" s="6"/>
      <c r="E376" s="5"/>
    </row>
    <row r="377" spans="1:5" s="3" customFormat="1" ht="15" hidden="1">
      <c r="A377" s="7"/>
      <c r="B377" s="6"/>
      <c r="E377" s="5"/>
    </row>
    <row r="378" spans="1:5" s="3" customFormat="1" ht="15" hidden="1">
      <c r="A378" s="7"/>
      <c r="B378" s="6"/>
      <c r="E378" s="5"/>
    </row>
    <row r="379" spans="1:5" s="3" customFormat="1" ht="15" hidden="1">
      <c r="A379" s="7"/>
      <c r="B379" s="6"/>
      <c r="E379" s="5"/>
    </row>
    <row r="380" spans="1:5" s="3" customFormat="1" ht="15" hidden="1">
      <c r="A380" s="7"/>
      <c r="B380" s="6"/>
      <c r="E380" s="5"/>
    </row>
    <row r="381" spans="1:5" s="3" customFormat="1" ht="15" hidden="1">
      <c r="A381" s="7"/>
      <c r="B381" s="6"/>
      <c r="E381" s="5"/>
    </row>
    <row r="382" spans="1:5" s="3" customFormat="1" ht="15" hidden="1">
      <c r="A382" s="7"/>
      <c r="B382" s="6"/>
      <c r="E382" s="5"/>
    </row>
    <row r="383" spans="1:5" s="3" customFormat="1" ht="15" hidden="1">
      <c r="A383" s="7"/>
      <c r="B383" s="6"/>
      <c r="E383" s="5"/>
    </row>
    <row r="384" spans="1:5" s="3" customFormat="1" ht="15" hidden="1">
      <c r="A384" s="7"/>
      <c r="B384" s="6"/>
      <c r="E384" s="5"/>
    </row>
    <row r="385" spans="1:5" s="3" customFormat="1" ht="15" hidden="1">
      <c r="A385" s="7"/>
      <c r="B385" s="6"/>
      <c r="E385" s="5"/>
    </row>
    <row r="386" spans="1:5" s="3" customFormat="1" ht="15" hidden="1">
      <c r="A386" s="7"/>
      <c r="B386" s="6"/>
      <c r="E386" s="5"/>
    </row>
    <row r="387" spans="1:5" s="3" customFormat="1" ht="15" hidden="1">
      <c r="A387" s="7"/>
      <c r="B387" s="6"/>
      <c r="E387" s="5"/>
    </row>
    <row r="388" spans="1:5" s="3" customFormat="1" ht="15" hidden="1">
      <c r="A388" s="7"/>
      <c r="B388" s="6"/>
      <c r="E388" s="5"/>
    </row>
    <row r="389" spans="1:5" s="3" customFormat="1" ht="15" hidden="1">
      <c r="A389" s="7"/>
      <c r="B389" s="6"/>
      <c r="E389" s="5"/>
    </row>
    <row r="390" spans="1:5" s="3" customFormat="1" ht="15" hidden="1">
      <c r="A390" s="7"/>
      <c r="B390" s="6"/>
      <c r="E390" s="5"/>
    </row>
    <row r="391" spans="1:5" s="3" customFormat="1" ht="15" hidden="1">
      <c r="A391" s="7"/>
      <c r="B391" s="6"/>
      <c r="E391" s="5"/>
    </row>
    <row r="392" spans="1:5" s="3" customFormat="1" ht="15" hidden="1">
      <c r="A392" s="7"/>
      <c r="B392" s="6"/>
      <c r="E392" s="5"/>
    </row>
    <row r="393" spans="1:5" s="3" customFormat="1" ht="15" hidden="1">
      <c r="A393" s="7"/>
      <c r="B393" s="6"/>
      <c r="E393" s="5"/>
    </row>
    <row r="394" spans="1:5" s="3" customFormat="1" ht="15" hidden="1">
      <c r="A394" s="7"/>
      <c r="B394" s="6"/>
      <c r="E394" s="5"/>
    </row>
    <row r="395" spans="1:5" hidden="1"/>
    <row r="396" spans="1:5" hidden="1"/>
    <row r="397" spans="1:5" hidden="1"/>
    <row r="398" spans="1:5" hidden="1"/>
    <row r="399" spans="1:5" hidden="1"/>
    <row r="400" spans="1:5" hidden="1"/>
    <row r="401" hidden="1"/>
    <row r="402" hidden="1"/>
    <row r="403" hidden="1"/>
    <row r="404" hidden="1"/>
    <row r="405" hidden="1"/>
    <row r="406" hidden="1"/>
    <row r="407" hidden="1"/>
    <row r="408" hidden="1"/>
    <row r="409" hidden="1"/>
  </sheetData>
  <mergeCells count="20">
    <mergeCell ref="E9:F9"/>
    <mergeCell ref="G9:H9"/>
    <mergeCell ref="J9:K9"/>
    <mergeCell ref="A3:I3"/>
    <mergeCell ref="A4:I4"/>
    <mergeCell ref="A5:I5"/>
    <mergeCell ref="G6:H6"/>
    <mergeCell ref="J6:K6"/>
    <mergeCell ref="E7:F7"/>
    <mergeCell ref="G7:H7"/>
    <mergeCell ref="J7:K7"/>
    <mergeCell ref="E8:F8"/>
    <mergeCell ref="G8:H8"/>
    <mergeCell ref="J8:K8"/>
    <mergeCell ref="A124:B124"/>
    <mergeCell ref="L10:M10"/>
    <mergeCell ref="N10:O10"/>
    <mergeCell ref="P11:S11"/>
    <mergeCell ref="L11:O11"/>
    <mergeCell ref="A10:B10"/>
  </mergeCells>
  <pageMargins left="0.25" right="0" top="0.25" bottom="0.25" header="0.5" footer="0.5"/>
  <pageSetup paperSize="5" orientation="landscape" verticalDpi="72"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R79"/>
  <sheetViews>
    <sheetView showGridLines="0" showOutlineSymbols="0" topLeftCell="A46" zoomScale="130" zoomScaleNormal="130" workbookViewId="0">
      <selection activeCell="E25" sqref="E25"/>
    </sheetView>
  </sheetViews>
  <sheetFormatPr defaultColWidth="12.5703125" defaultRowHeight="15.75" outlineLevelRow="2" outlineLevelCol="2"/>
  <cols>
    <col min="1" max="1" width="1.85546875" style="235" customWidth="1"/>
    <col min="2" max="2" width="31" style="235" customWidth="1"/>
    <col min="3" max="3" width="11.85546875" style="573" customWidth="1"/>
    <col min="4" max="4" width="11.85546875" style="235" customWidth="1"/>
    <col min="5" max="5" width="10.28515625" style="235" customWidth="1"/>
    <col min="6" max="6" width="11" style="235" customWidth="1"/>
    <col min="7" max="7" width="10.7109375" style="235" customWidth="1"/>
    <col min="8" max="8" width="10.5703125" style="235" customWidth="1"/>
    <col min="9" max="9" width="11.42578125" style="235" hidden="1" customWidth="1"/>
    <col min="10" max="10" width="16.7109375" style="572" hidden="1" customWidth="1"/>
    <col min="11" max="11" width="12.7109375" style="235" hidden="1" customWidth="1"/>
    <col min="12" max="12" width="12" style="235" hidden="1" customWidth="1"/>
    <col min="13" max="19" width="0" style="235" hidden="1" customWidth="1"/>
    <col min="20" max="47" width="12.5703125" style="235"/>
    <col min="48" max="52" width="12.5703125" style="235" outlineLevel="1"/>
    <col min="53" max="58" width="12.5703125" style="235" outlineLevel="2"/>
    <col min="59" max="61" width="12.5703125" style="235" outlineLevel="1"/>
    <col min="62" max="81" width="12.5703125" style="235"/>
    <col min="82" max="85" width="12.5703125" style="235" outlineLevel="1"/>
    <col min="86" max="133" width="12.5703125" style="235"/>
    <col min="134" max="139" width="12.5703125" style="235" outlineLevel="1"/>
    <col min="140" max="145" width="12.5703125" style="235" outlineLevel="2"/>
    <col min="146" max="148" width="12.5703125" style="235" outlineLevel="1"/>
    <col min="149" max="16384" width="12.5703125" style="235"/>
  </cols>
  <sheetData>
    <row r="1" spans="1:12" ht="12" customHeight="1">
      <c r="A1" s="271" t="s">
        <v>473</v>
      </c>
      <c r="B1" s="134"/>
      <c r="E1" s="270"/>
      <c r="F1" s="4790"/>
      <c r="G1" s="4790"/>
      <c r="H1" s="270"/>
    </row>
    <row r="2" spans="1:12" ht="9.75" customHeight="1">
      <c r="A2" s="270" t="s">
        <v>584</v>
      </c>
      <c r="B2" s="134"/>
      <c r="E2" s="270"/>
      <c r="H2" s="270"/>
    </row>
    <row r="3" spans="1:12" ht="4.5" customHeight="1">
      <c r="A3" s="134"/>
      <c r="B3" s="134"/>
      <c r="E3" s="270"/>
      <c r="G3" s="271"/>
      <c r="H3" s="270"/>
    </row>
    <row r="4" spans="1:12" ht="12.75" customHeight="1">
      <c r="A4" s="4791" t="s">
        <v>471</v>
      </c>
      <c r="B4" s="4791"/>
      <c r="C4" s="4791"/>
      <c r="D4" s="4791"/>
      <c r="E4" s="4791"/>
      <c r="F4" s="4791"/>
      <c r="G4" s="4791"/>
      <c r="H4" s="4791"/>
    </row>
    <row r="5" spans="1:12" ht="13.5" customHeight="1">
      <c r="A5" s="4623" t="s">
        <v>583</v>
      </c>
      <c r="B5" s="4631"/>
      <c r="C5" s="4631"/>
      <c r="D5" s="4631"/>
      <c r="E5" s="4631"/>
      <c r="F5" s="4631"/>
      <c r="G5" s="4631"/>
      <c r="H5" s="4631"/>
    </row>
    <row r="6" spans="1:12" ht="18.600000000000001" customHeight="1">
      <c r="A6" s="2076" t="s">
        <v>1702</v>
      </c>
      <c r="B6" s="1739"/>
      <c r="D6" s="134"/>
      <c r="E6" s="134"/>
      <c r="F6" s="134"/>
      <c r="G6" s="134"/>
      <c r="H6" s="134"/>
    </row>
    <row r="7" spans="1:12" ht="4.5" customHeight="1">
      <c r="A7" s="2076"/>
      <c r="D7" s="134"/>
      <c r="E7" s="134"/>
      <c r="F7" s="134"/>
      <c r="G7" s="134"/>
      <c r="H7" s="134"/>
    </row>
    <row r="8" spans="1:12" ht="10.9" customHeight="1">
      <c r="A8" s="4624" t="s">
        <v>468</v>
      </c>
      <c r="B8" s="4625"/>
      <c r="C8" s="570" t="s">
        <v>467</v>
      </c>
      <c r="D8" s="264" t="s">
        <v>466</v>
      </c>
      <c r="E8" s="4632" t="s">
        <v>465</v>
      </c>
      <c r="F8" s="4633"/>
      <c r="G8" s="4634"/>
      <c r="H8" s="265" t="s">
        <v>464</v>
      </c>
      <c r="I8" s="264" t="s">
        <v>464</v>
      </c>
    </row>
    <row r="9" spans="1:12" ht="10.9" customHeight="1">
      <c r="A9" s="4626"/>
      <c r="B9" s="4627"/>
      <c r="C9" s="569" t="s">
        <v>463</v>
      </c>
      <c r="D9" s="261">
        <v>2020</v>
      </c>
      <c r="E9" s="597" t="s">
        <v>462</v>
      </c>
      <c r="F9" s="597" t="s">
        <v>461</v>
      </c>
      <c r="G9" s="262" t="s">
        <v>244</v>
      </c>
      <c r="H9" s="261">
        <v>2022</v>
      </c>
      <c r="I9" s="261">
        <v>2022</v>
      </c>
      <c r="J9" s="2075">
        <v>0.1</v>
      </c>
    </row>
    <row r="10" spans="1:12" ht="9.75" customHeight="1">
      <c r="A10" s="4628"/>
      <c r="B10" s="4629"/>
      <c r="C10" s="567"/>
      <c r="D10" s="258" t="s">
        <v>460</v>
      </c>
      <c r="E10" s="258" t="s">
        <v>460</v>
      </c>
      <c r="F10" s="258" t="s">
        <v>460</v>
      </c>
      <c r="G10" s="259"/>
      <c r="H10" s="258" t="s">
        <v>458</v>
      </c>
      <c r="I10" s="257" t="s">
        <v>457</v>
      </c>
      <c r="J10" s="2074" t="s">
        <v>1701</v>
      </c>
      <c r="K10" s="344"/>
      <c r="L10" s="344"/>
    </row>
    <row r="11" spans="1:12" ht="11.85" customHeight="1">
      <c r="A11" s="255" t="s">
        <v>456</v>
      </c>
      <c r="B11" s="395"/>
      <c r="C11" s="2073"/>
      <c r="D11" s="221"/>
      <c r="E11" s="221"/>
      <c r="F11" s="251"/>
      <c r="G11" s="251"/>
      <c r="H11" s="2072"/>
      <c r="I11" s="253"/>
      <c r="J11" s="241"/>
      <c r="K11" s="344"/>
      <c r="L11" s="344"/>
    </row>
    <row r="12" spans="1:12" ht="11.85" customHeight="1">
      <c r="A12" s="255" t="s">
        <v>455</v>
      </c>
      <c r="B12" s="395"/>
      <c r="C12" s="2071"/>
      <c r="D12" s="2070">
        <f>SUM(D14:D41)</f>
        <v>38016804.609999999</v>
      </c>
      <c r="E12" s="2070">
        <f>SUM(E14:E41)</f>
        <v>17982747.030000001</v>
      </c>
      <c r="F12" s="2070">
        <f>SUM(F14:F41)</f>
        <v>29403770.969999999</v>
      </c>
      <c r="G12" s="2070">
        <f>SUM(G13:G41)</f>
        <v>47386518</v>
      </c>
      <c r="H12" s="2070">
        <f>SUM(H14:H41)</f>
        <v>54785629</v>
      </c>
      <c r="I12" s="2069">
        <f>SUM(I14:I41)</f>
        <v>54785629</v>
      </c>
      <c r="J12" s="248"/>
      <c r="K12" s="344"/>
      <c r="L12" s="344"/>
    </row>
    <row r="13" spans="1:12" ht="11.85" customHeight="1" outlineLevel="1">
      <c r="A13" s="2068" t="s">
        <v>454</v>
      </c>
      <c r="B13" s="2067"/>
      <c r="C13" s="2066"/>
      <c r="D13" s="2065"/>
      <c r="E13" s="2064"/>
      <c r="F13" s="2064"/>
      <c r="G13" s="2064"/>
      <c r="H13" s="2063"/>
      <c r="I13" s="2062"/>
      <c r="J13" s="241"/>
      <c r="K13" s="344"/>
      <c r="L13" s="344"/>
    </row>
    <row r="14" spans="1:12" ht="11.85" customHeight="1" outlineLevel="1">
      <c r="A14" s="2038" t="s">
        <v>1700</v>
      </c>
      <c r="B14" s="2049"/>
      <c r="C14" s="2048" t="s">
        <v>453</v>
      </c>
      <c r="D14" s="2061">
        <v>18423525.93</v>
      </c>
      <c r="E14" s="2041">
        <v>10431262.739999998</v>
      </c>
      <c r="F14" s="2012">
        <f>SUM(G14-E14)</f>
        <v>14556757.260000002</v>
      </c>
      <c r="G14" s="2060">
        <v>24988020</v>
      </c>
      <c r="H14" s="2056">
        <f>'plantilla (8)'!H114</f>
        <v>27794460</v>
      </c>
      <c r="I14" s="2056">
        <f>'plantilla (8)'!K114</f>
        <v>27794460</v>
      </c>
      <c r="J14" s="221">
        <f>SUM(H14*0.1)</f>
        <v>2779446</v>
      </c>
      <c r="K14" s="344"/>
      <c r="L14" s="344"/>
    </row>
    <row r="15" spans="1:12" ht="11.85" customHeight="1" outlineLevel="1">
      <c r="A15" s="2052" t="s">
        <v>452</v>
      </c>
      <c r="B15" s="2049"/>
      <c r="C15" s="2048"/>
      <c r="D15" s="2036"/>
      <c r="E15" s="2041"/>
      <c r="F15" s="2012"/>
      <c r="G15" s="2041"/>
      <c r="H15" s="2059"/>
      <c r="I15" s="2059"/>
      <c r="J15" s="224"/>
      <c r="K15" s="344"/>
      <c r="L15" s="344"/>
    </row>
    <row r="16" spans="1:12" ht="11.85" customHeight="1" outlineLevel="1">
      <c r="A16" s="2038" t="s">
        <v>451</v>
      </c>
      <c r="B16" s="2049"/>
      <c r="C16" s="2048" t="s">
        <v>450</v>
      </c>
      <c r="D16" s="2036">
        <v>1479277.3</v>
      </c>
      <c r="E16" s="2041">
        <v>899857.14</v>
      </c>
      <c r="F16" s="2012">
        <f t="shared" ref="F16:F27" si="0">SUM(G16-E16)</f>
        <v>972142.86</v>
      </c>
      <c r="G16" s="2041">
        <v>1872000</v>
      </c>
      <c r="H16" s="2056">
        <f>'plantilla (8)'!B114*2000*12</f>
        <v>2064000</v>
      </c>
      <c r="I16" s="2056">
        <f>'plantilla (8)'!B114*2000*12</f>
        <v>2064000</v>
      </c>
      <c r="J16" s="224"/>
      <c r="K16" s="344"/>
      <c r="L16" s="344"/>
    </row>
    <row r="17" spans="1:15" ht="11.85" customHeight="1" outlineLevel="1">
      <c r="A17" s="2038" t="s">
        <v>449</v>
      </c>
      <c r="B17" s="2049"/>
      <c r="C17" s="2048" t="s">
        <v>448</v>
      </c>
      <c r="D17" s="2036">
        <v>83718.75</v>
      </c>
      <c r="E17" s="2041">
        <v>28500</v>
      </c>
      <c r="F17" s="2012">
        <f t="shared" si="0"/>
        <v>57000</v>
      </c>
      <c r="G17" s="2041">
        <v>85500</v>
      </c>
      <c r="H17" s="2058">
        <f>7125*12</f>
        <v>85500</v>
      </c>
      <c r="I17" s="2058">
        <f>7125*12</f>
        <v>85500</v>
      </c>
      <c r="J17" s="224"/>
      <c r="L17" s="344"/>
    </row>
    <row r="18" spans="1:15" ht="11.85" customHeight="1" outlineLevel="1">
      <c r="A18" s="2038" t="s">
        <v>1699</v>
      </c>
      <c r="B18" s="2049"/>
      <c r="C18" s="2048" t="s">
        <v>446</v>
      </c>
      <c r="D18" s="2036">
        <v>83718.75</v>
      </c>
      <c r="E18" s="2041">
        <v>28500</v>
      </c>
      <c r="F18" s="2012">
        <f t="shared" si="0"/>
        <v>57000</v>
      </c>
      <c r="G18" s="2041">
        <v>85500</v>
      </c>
      <c r="H18" s="2058">
        <f>7125*12</f>
        <v>85500</v>
      </c>
      <c r="I18" s="2058">
        <f>7125*12</f>
        <v>85500</v>
      </c>
      <c r="J18" s="224"/>
      <c r="K18" s="344"/>
      <c r="L18" s="344"/>
    </row>
    <row r="19" spans="1:15" ht="11.85" customHeight="1" outlineLevel="1">
      <c r="A19" s="2038" t="s">
        <v>445</v>
      </c>
      <c r="B19" s="2049"/>
      <c r="C19" s="2048" t="s">
        <v>444</v>
      </c>
      <c r="D19" s="2036">
        <v>396000</v>
      </c>
      <c r="E19" s="2041">
        <v>372000</v>
      </c>
      <c r="F19" s="2012">
        <f t="shared" si="0"/>
        <v>96000</v>
      </c>
      <c r="G19" s="2041">
        <v>468000</v>
      </c>
      <c r="H19" s="2056">
        <f>'plantilla (8)'!B114*6000</f>
        <v>516000</v>
      </c>
      <c r="I19" s="2056">
        <f>'plantilla (8)'!B114*6000</f>
        <v>516000</v>
      </c>
      <c r="J19" s="224"/>
      <c r="K19" s="2057"/>
      <c r="L19" s="363"/>
      <c r="M19" s="363"/>
    </row>
    <row r="20" spans="1:15" ht="11.85" customHeight="1" outlineLevel="1">
      <c r="A20" s="2038" t="s">
        <v>1698</v>
      </c>
      <c r="B20" s="2049"/>
      <c r="C20" s="2048" t="s">
        <v>1697</v>
      </c>
      <c r="D20" s="2036">
        <v>1106366.6099999999</v>
      </c>
      <c r="E20" s="2041">
        <v>481933.32999999996</v>
      </c>
      <c r="F20" s="2012">
        <f t="shared" si="0"/>
        <v>970066.67</v>
      </c>
      <c r="G20" s="2041">
        <v>1452000</v>
      </c>
      <c r="H20" s="2047">
        <f>'plantilla (8)'!B121*1500*12</f>
        <v>1584000</v>
      </c>
      <c r="I20" s="2047">
        <f>'plantilla (8)'!B121*1500*12</f>
        <v>1584000</v>
      </c>
      <c r="J20" s="221"/>
      <c r="K20" s="220"/>
      <c r="L20" s="490"/>
      <c r="M20" s="579"/>
    </row>
    <row r="21" spans="1:15" ht="11.85" customHeight="1" outlineLevel="1">
      <c r="A21" s="2038" t="s">
        <v>1696</v>
      </c>
      <c r="B21" s="2049"/>
      <c r="C21" s="2048" t="s">
        <v>1695</v>
      </c>
      <c r="D21" s="2036">
        <v>110058.93000000001</v>
      </c>
      <c r="E21" s="2041">
        <v>47972.590000000004</v>
      </c>
      <c r="F21" s="2012">
        <f t="shared" si="0"/>
        <v>97227.41</v>
      </c>
      <c r="G21" s="2034">
        <v>145200</v>
      </c>
      <c r="H21" s="2033">
        <f>'plantilla (8)'!B121*150*12</f>
        <v>158400</v>
      </c>
      <c r="I21" s="2033">
        <f>'plantilla (8)'!B121*150*12</f>
        <v>158400</v>
      </c>
      <c r="J21" s="221"/>
      <c r="K21" s="2054"/>
      <c r="L21" s="2055"/>
      <c r="M21" s="363"/>
    </row>
    <row r="22" spans="1:15" ht="11.85" customHeight="1" outlineLevel="1">
      <c r="A22" s="2038" t="s">
        <v>1690</v>
      </c>
      <c r="B22" s="2049"/>
      <c r="C22" s="2048" t="s">
        <v>1694</v>
      </c>
      <c r="D22" s="2036">
        <v>4343602.28</v>
      </c>
      <c r="E22" s="2041">
        <v>2022749.4</v>
      </c>
      <c r="F22" s="2012">
        <f t="shared" si="0"/>
        <v>4129237.6</v>
      </c>
      <c r="G22" s="2035">
        <v>6151987</v>
      </c>
      <c r="H22" s="2047">
        <f>'plantilla (8)'!P122</f>
        <v>6421865</v>
      </c>
      <c r="I22" s="2047">
        <f>H22</f>
        <v>6421865</v>
      </c>
      <c r="J22" s="221">
        <f>SUM(H22*0.1)</f>
        <v>642186.5</v>
      </c>
      <c r="K22" s="2054">
        <v>2403</v>
      </c>
      <c r="L22" s="2055">
        <f>SUM(J22:K22)</f>
        <v>644589.5</v>
      </c>
      <c r="M22" s="363"/>
    </row>
    <row r="23" spans="1:15" ht="11.85" customHeight="1" outlineLevel="1">
      <c r="A23" s="2038" t="s">
        <v>1691</v>
      </c>
      <c r="B23" s="2049"/>
      <c r="C23" s="2048" t="s">
        <v>1693</v>
      </c>
      <c r="D23" s="2036">
        <v>765799.55</v>
      </c>
      <c r="E23" s="2041">
        <v>462108.2</v>
      </c>
      <c r="F23" s="2012">
        <f t="shared" si="0"/>
        <v>932705.8</v>
      </c>
      <c r="G23" s="2035">
        <v>1394814</v>
      </c>
      <c r="H23" s="2056">
        <v>1851452</v>
      </c>
      <c r="I23" s="2056">
        <f>H23</f>
        <v>1851452</v>
      </c>
      <c r="J23" s="221">
        <f>SUM(H23*0.1)</f>
        <v>185145.2</v>
      </c>
      <c r="K23" s="220"/>
      <c r="L23" s="490"/>
      <c r="M23" s="363"/>
    </row>
    <row r="24" spans="1:15" ht="11.85" customHeight="1" outlineLevel="1">
      <c r="A24" s="2038" t="s">
        <v>1692</v>
      </c>
      <c r="B24" s="2049"/>
      <c r="C24" s="2048" t="s">
        <v>440</v>
      </c>
      <c r="D24" s="2036">
        <v>9180.4499999999989</v>
      </c>
      <c r="E24" s="2035">
        <v>6599.85</v>
      </c>
      <c r="F24" s="2012">
        <f t="shared" si="0"/>
        <v>33400.15</v>
      </c>
      <c r="G24" s="2041">
        <v>40000</v>
      </c>
      <c r="H24" s="2045">
        <v>40000</v>
      </c>
      <c r="I24" s="2045">
        <v>40000</v>
      </c>
      <c r="J24" s="224"/>
      <c r="K24" s="2054"/>
      <c r="L24" s="2055"/>
      <c r="M24" s="363"/>
    </row>
    <row r="25" spans="1:15" ht="11.85" customHeight="1" outlineLevel="1">
      <c r="A25" s="2038" t="s">
        <v>1506</v>
      </c>
      <c r="B25" s="2049"/>
      <c r="C25" s="2046" t="s">
        <v>439</v>
      </c>
      <c r="D25" s="2036">
        <v>1553206</v>
      </c>
      <c r="E25" s="2035">
        <v>0</v>
      </c>
      <c r="F25" s="2012">
        <f t="shared" si="0"/>
        <v>2082335</v>
      </c>
      <c r="G25" s="2041">
        <v>2082335</v>
      </c>
      <c r="H25" s="2045">
        <f>H14/12</f>
        <v>2316205</v>
      </c>
      <c r="I25" s="2045">
        <f>I14/12</f>
        <v>2316205</v>
      </c>
      <c r="J25" s="221">
        <f>SUM(H25*0.1)</f>
        <v>231620.5</v>
      </c>
      <c r="K25" s="2054"/>
      <c r="L25" s="2055"/>
      <c r="M25" s="363"/>
    </row>
    <row r="26" spans="1:15" ht="11.85" customHeight="1" outlineLevel="1">
      <c r="A26" s="2038" t="s">
        <v>438</v>
      </c>
      <c r="B26" s="2049"/>
      <c r="C26" s="2048" t="s">
        <v>437</v>
      </c>
      <c r="D26" s="2036">
        <v>315000</v>
      </c>
      <c r="E26" s="2035">
        <v>0</v>
      </c>
      <c r="F26" s="2012">
        <f t="shared" si="0"/>
        <v>390000</v>
      </c>
      <c r="G26" s="2041">
        <v>390000</v>
      </c>
      <c r="H26" s="2045">
        <f>'plantilla (8)'!B114*5000</f>
        <v>430000</v>
      </c>
      <c r="I26" s="2045">
        <f>'plantilla (8)'!B114*5000</f>
        <v>430000</v>
      </c>
      <c r="J26" s="224"/>
      <c r="K26" s="220"/>
      <c r="L26" s="363"/>
      <c r="M26" s="363"/>
    </row>
    <row r="27" spans="1:15" ht="11.85" customHeight="1" outlineLevel="1">
      <c r="A27" s="2038" t="s">
        <v>436</v>
      </c>
      <c r="B27" s="2049"/>
      <c r="C27" s="2046" t="s">
        <v>435</v>
      </c>
      <c r="D27" s="2036">
        <v>1492015</v>
      </c>
      <c r="E27" s="2035">
        <v>1712389</v>
      </c>
      <c r="F27" s="2012">
        <f t="shared" si="0"/>
        <v>369946</v>
      </c>
      <c r="G27" s="2041">
        <v>2082335</v>
      </c>
      <c r="H27" s="2045">
        <f>SUM(H14/12)</f>
        <v>2316205</v>
      </c>
      <c r="I27" s="2045">
        <f>SUM(I14/12)</f>
        <v>2316205</v>
      </c>
      <c r="J27" s="221">
        <f>SUM(H27*0.1)</f>
        <v>231620.5</v>
      </c>
      <c r="K27" s="2054"/>
      <c r="L27" s="2054"/>
      <c r="M27" s="363"/>
    </row>
    <row r="28" spans="1:15" ht="11.85" customHeight="1" outlineLevel="1">
      <c r="A28" s="2052" t="s">
        <v>434</v>
      </c>
      <c r="B28" s="2049"/>
      <c r="C28" s="2048"/>
      <c r="D28" s="2036"/>
      <c r="E28" s="2035"/>
      <c r="F28" s="2012"/>
      <c r="G28" s="2041"/>
      <c r="H28" s="2045"/>
      <c r="I28" s="2045"/>
      <c r="J28" s="216"/>
      <c r="K28" s="2054"/>
      <c r="L28" s="2054"/>
      <c r="M28" s="363"/>
    </row>
    <row r="29" spans="1:15" ht="11.85" customHeight="1" outlineLevel="1">
      <c r="A29" s="519" t="s">
        <v>1288</v>
      </c>
      <c r="B29" s="2049"/>
      <c r="C29" s="2048" t="s">
        <v>433</v>
      </c>
      <c r="D29" s="2036">
        <v>2212179.0499999998</v>
      </c>
      <c r="E29" s="2035">
        <v>1250030</v>
      </c>
      <c r="F29" s="2012">
        <f>SUM(G29-E29)</f>
        <v>1748532</v>
      </c>
      <c r="G29" s="2041">
        <v>2998562</v>
      </c>
      <c r="H29" s="2045">
        <f>ROUND(H14*0.12,0)</f>
        <v>3335335</v>
      </c>
      <c r="I29" s="2045">
        <f>ROUND(I14*0.12,0)</f>
        <v>3335335</v>
      </c>
      <c r="J29" s="221">
        <f>SUM(H29*0.1)</f>
        <v>333533.5</v>
      </c>
      <c r="K29" s="2053"/>
      <c r="L29" s="490"/>
    </row>
    <row r="30" spans="1:15" ht="11.85" customHeight="1" outlineLevel="1">
      <c r="A30" s="2038" t="s">
        <v>432</v>
      </c>
      <c r="B30" s="2049"/>
      <c r="C30" s="2048" t="s">
        <v>431</v>
      </c>
      <c r="D30" s="2036">
        <v>74600</v>
      </c>
      <c r="E30" s="2035">
        <v>38600</v>
      </c>
      <c r="F30" s="2012">
        <f>SUM(G30-E30)</f>
        <v>73733</v>
      </c>
      <c r="G30" s="2041">
        <v>112333</v>
      </c>
      <c r="H30" s="2045">
        <f>'plantilla (8)'!B114*100*12</f>
        <v>103200</v>
      </c>
      <c r="I30" s="2045">
        <f>'plantilla (8)'!B114*100*12</f>
        <v>103200</v>
      </c>
      <c r="J30" s="241"/>
      <c r="K30" s="220" t="str">
        <f>A6</f>
        <v>Office : CITY HEALTH OFFICE (4411)</v>
      </c>
      <c r="M30" s="488"/>
      <c r="N30" s="488"/>
      <c r="O30" s="488"/>
    </row>
    <row r="31" spans="1:15" ht="11.85" customHeight="1" outlineLevel="1">
      <c r="A31" s="2038" t="s">
        <v>418</v>
      </c>
      <c r="B31" s="2049"/>
      <c r="C31" s="2048" t="s">
        <v>430</v>
      </c>
      <c r="D31" s="2036">
        <v>266855.81000000006</v>
      </c>
      <c r="E31" s="2035">
        <v>149144.77999999997</v>
      </c>
      <c r="F31" s="2012">
        <f>SUM(G31-E31)</f>
        <v>261957.22000000003</v>
      </c>
      <c r="G31" s="2041">
        <v>411102</v>
      </c>
      <c r="H31" s="2045">
        <f>'plantilla (8)'!M116</f>
        <v>549769</v>
      </c>
      <c r="I31" s="2045">
        <f>'plantilla (8)'!Q116</f>
        <v>549769</v>
      </c>
      <c r="J31" s="221">
        <f>SUM(H31*0.1)</f>
        <v>54976.9</v>
      </c>
      <c r="K31" s="179" t="s">
        <v>426</v>
      </c>
      <c r="L31" s="134"/>
      <c r="M31" s="134">
        <f>ROUND(J14,0)+1</f>
        <v>2779447</v>
      </c>
      <c r="N31" s="148"/>
      <c r="O31" s="134"/>
    </row>
    <row r="32" spans="1:15" ht="11.85" customHeight="1" outlineLevel="1">
      <c r="A32" s="2038" t="s">
        <v>428</v>
      </c>
      <c r="B32" s="2049"/>
      <c r="C32" s="2048" t="s">
        <v>427</v>
      </c>
      <c r="D32" s="2036">
        <v>74700</v>
      </c>
      <c r="E32" s="2035">
        <v>38600</v>
      </c>
      <c r="F32" s="2012">
        <f>SUM(G32-E32)</f>
        <v>55000</v>
      </c>
      <c r="G32" s="2041">
        <v>93600</v>
      </c>
      <c r="H32" s="2045">
        <f>'plantilla (8)'!B114*100*12</f>
        <v>103200</v>
      </c>
      <c r="I32" s="2045">
        <f>'plantilla (8)'!B114*100*12</f>
        <v>103200</v>
      </c>
      <c r="J32" s="221"/>
      <c r="K32" s="207" t="s">
        <v>424</v>
      </c>
      <c r="L32" s="134"/>
      <c r="M32" s="134">
        <f>ROUND(J25,0)+1</f>
        <v>231622</v>
      </c>
      <c r="N32" s="148"/>
      <c r="O32" s="134"/>
    </row>
    <row r="33" spans="1:15" ht="11.85" customHeight="1" outlineLevel="1">
      <c r="A33" s="2052" t="s">
        <v>425</v>
      </c>
      <c r="B33" s="2049"/>
      <c r="C33" s="2051"/>
      <c r="D33" s="2036"/>
      <c r="E33" s="2035"/>
      <c r="F33" s="2012"/>
      <c r="G33" s="2041"/>
      <c r="H33" s="2045"/>
      <c r="I33" s="2045"/>
      <c r="J33" s="2050"/>
      <c r="K33" s="207" t="s">
        <v>421</v>
      </c>
      <c r="L33" s="148"/>
      <c r="M33" s="134">
        <f>ROUND(J29,0)+1</f>
        <v>333535</v>
      </c>
      <c r="N33" s="148"/>
      <c r="O33" s="134"/>
    </row>
    <row r="34" spans="1:15" ht="11.85" customHeight="1" outlineLevel="1">
      <c r="A34" s="2038" t="s">
        <v>423</v>
      </c>
      <c r="B34" s="2049"/>
      <c r="C34" s="2048" t="s">
        <v>422</v>
      </c>
      <c r="D34" s="2036">
        <v>708843.65000000014</v>
      </c>
      <c r="E34" s="2035">
        <v>0</v>
      </c>
      <c r="F34" s="2012">
        <f>SUM(G34-E34)</f>
        <v>1000</v>
      </c>
      <c r="G34" s="2041">
        <v>1000</v>
      </c>
      <c r="H34" s="2047">
        <v>1000</v>
      </c>
      <c r="I34" s="2047">
        <f>H34</f>
        <v>1000</v>
      </c>
      <c r="J34" s="1779"/>
      <c r="K34" s="207" t="s">
        <v>418</v>
      </c>
      <c r="L34" s="148"/>
      <c r="M34" s="134">
        <f>ROUND(J31,0)+1</f>
        <v>54978</v>
      </c>
      <c r="N34" s="148"/>
      <c r="O34" s="134"/>
    </row>
    <row r="35" spans="1:15" ht="11.85" customHeight="1" outlineLevel="1">
      <c r="A35" s="2038" t="s">
        <v>420</v>
      </c>
      <c r="B35" s="2037"/>
      <c r="C35" s="2046" t="s">
        <v>419</v>
      </c>
      <c r="D35" s="2036">
        <v>3981656.55</v>
      </c>
      <c r="E35" s="2035">
        <v>0</v>
      </c>
      <c r="F35" s="2012">
        <f>SUM(G35-E35)</f>
        <v>2061230</v>
      </c>
      <c r="G35" s="2041">
        <v>2061230</v>
      </c>
      <c r="H35" s="2045">
        <f>M39</f>
        <v>4458538</v>
      </c>
      <c r="I35" s="2045">
        <f>H35</f>
        <v>4458538</v>
      </c>
      <c r="J35" s="1779"/>
      <c r="K35" s="134" t="s">
        <v>1691</v>
      </c>
      <c r="L35" s="134"/>
      <c r="M35" s="134">
        <f>ROUND(J23,0)+1</f>
        <v>185146</v>
      </c>
      <c r="N35" s="148"/>
      <c r="O35" s="134"/>
    </row>
    <row r="36" spans="1:15" ht="11.85" customHeight="1" outlineLevel="1">
      <c r="A36" s="2038" t="s">
        <v>417</v>
      </c>
      <c r="B36" s="2037"/>
      <c r="C36" s="531" t="s">
        <v>416</v>
      </c>
      <c r="D36" s="2036">
        <v>40000</v>
      </c>
      <c r="E36" s="2035">
        <v>10000</v>
      </c>
      <c r="F36" s="2012">
        <f>SUM(G36-E36)</f>
        <v>30000</v>
      </c>
      <c r="G36" s="2041">
        <v>40000</v>
      </c>
      <c r="H36" s="2045">
        <v>100000</v>
      </c>
      <c r="I36" s="2045">
        <f>H36</f>
        <v>100000</v>
      </c>
      <c r="J36" s="1779"/>
      <c r="K36" s="2044" t="s">
        <v>1690</v>
      </c>
      <c r="L36" s="225"/>
      <c r="M36" s="134">
        <f>ROUND(J22,0)+1</f>
        <v>642188</v>
      </c>
      <c r="N36" s="148"/>
      <c r="O36" s="134"/>
    </row>
    <row r="37" spans="1:15" ht="11.85" customHeight="1" outlineLevel="1">
      <c r="A37" s="2043" t="s">
        <v>414</v>
      </c>
      <c r="B37" s="2042"/>
      <c r="C37" s="531" t="s">
        <v>413</v>
      </c>
      <c r="D37" s="2036">
        <v>0</v>
      </c>
      <c r="E37" s="2035">
        <v>0</v>
      </c>
      <c r="F37" s="2012">
        <f>SUM(G37-E37)</f>
        <v>1000</v>
      </c>
      <c r="G37" s="2041">
        <v>1000</v>
      </c>
      <c r="H37" s="2033">
        <v>1000</v>
      </c>
      <c r="I37" s="2033">
        <v>1000</v>
      </c>
      <c r="J37" s="1779"/>
      <c r="K37" s="207" t="str">
        <f>A27</f>
        <v>Other Bonuses and Allowances</v>
      </c>
      <c r="L37" s="148"/>
      <c r="M37" s="134">
        <f>ROUND(J27,0)+1</f>
        <v>231622</v>
      </c>
      <c r="N37" s="148"/>
      <c r="O37" s="134"/>
    </row>
    <row r="38" spans="1:15" ht="11.85" customHeight="1" outlineLevel="1">
      <c r="A38" s="2038" t="s">
        <v>1689</v>
      </c>
      <c r="B38" s="2040"/>
      <c r="C38" s="1993"/>
      <c r="D38" s="2036"/>
      <c r="E38" s="2035"/>
      <c r="F38" s="2012"/>
      <c r="G38" s="2034"/>
      <c r="H38" s="2033"/>
      <c r="I38" s="2033"/>
      <c r="J38" s="1779"/>
      <c r="K38" s="207"/>
      <c r="L38" s="148"/>
      <c r="M38" s="148"/>
      <c r="N38" s="223"/>
      <c r="O38" s="134"/>
    </row>
    <row r="39" spans="1:15" ht="11.85" customHeight="1" outlineLevel="1" thickBot="1">
      <c r="A39" s="2039"/>
      <c r="B39" s="2037" t="s">
        <v>1688</v>
      </c>
      <c r="C39" s="531" t="s">
        <v>411</v>
      </c>
      <c r="D39" s="2036">
        <v>310000</v>
      </c>
      <c r="E39" s="2035">
        <v>0</v>
      </c>
      <c r="F39" s="2012">
        <f>SUM(G39-E39)</f>
        <v>390000</v>
      </c>
      <c r="G39" s="2034">
        <v>390000</v>
      </c>
      <c r="H39" s="2033">
        <f>'plantilla (8)'!B114*5000</f>
        <v>430000</v>
      </c>
      <c r="I39" s="2033">
        <f>'plantilla (8)'!B114*5000</f>
        <v>430000</v>
      </c>
      <c r="J39" s="1779"/>
      <c r="K39" s="190" t="s">
        <v>410</v>
      </c>
      <c r="L39" s="190"/>
      <c r="M39" s="357">
        <f>SUM(M31:M38)</f>
        <v>4458538</v>
      </c>
      <c r="N39" s="190"/>
      <c r="O39" s="134"/>
    </row>
    <row r="40" spans="1:15" ht="11.85" customHeight="1" outlineLevel="1" thickTop="1">
      <c r="A40" s="2038" t="s">
        <v>1687</v>
      </c>
      <c r="B40" s="2037"/>
      <c r="C40" s="531" t="s">
        <v>1686</v>
      </c>
      <c r="D40" s="2036">
        <v>12500</v>
      </c>
      <c r="E40" s="2035">
        <v>2500</v>
      </c>
      <c r="F40" s="2012">
        <f>SUM(G40-E40)</f>
        <v>37500</v>
      </c>
      <c r="G40" s="2034">
        <v>40000</v>
      </c>
      <c r="H40" s="2033">
        <v>40000</v>
      </c>
      <c r="I40" s="2033">
        <v>40000</v>
      </c>
      <c r="J40" s="1779"/>
      <c r="K40" s="190"/>
      <c r="L40" s="190"/>
      <c r="M40" s="190"/>
      <c r="N40" s="190"/>
    </row>
    <row r="41" spans="1:15" ht="11.85" customHeight="1" outlineLevel="1">
      <c r="A41" s="2032" t="s">
        <v>1685</v>
      </c>
      <c r="B41" s="2031"/>
      <c r="C41" s="2030" t="s">
        <v>408</v>
      </c>
      <c r="D41" s="2029">
        <v>174000</v>
      </c>
      <c r="E41" s="2028"/>
      <c r="F41" s="2012">
        <f>SUM(G41-E41)</f>
        <v>0</v>
      </c>
      <c r="G41" s="2027">
        <v>0</v>
      </c>
      <c r="H41" s="2026">
        <v>0</v>
      </c>
      <c r="I41" s="2026">
        <v>0</v>
      </c>
      <c r="J41" s="1779"/>
      <c r="M41" s="714"/>
      <c r="N41" s="344"/>
    </row>
    <row r="42" spans="1:15" s="363" customFormat="1" ht="15" customHeight="1" outlineLevel="1">
      <c r="A42" s="2025" t="s">
        <v>407</v>
      </c>
      <c r="B42" s="2024"/>
      <c r="C42" s="2023"/>
      <c r="D42" s="2022">
        <f>SUM(D43:D71)</f>
        <v>6994531.7500000019</v>
      </c>
      <c r="E42" s="2022">
        <f>SUM(E43:E71)</f>
        <v>3689154.7000000007</v>
      </c>
      <c r="F42" s="2022">
        <f>SUM(F43:F71)</f>
        <v>9468983.3000000007</v>
      </c>
      <c r="G42" s="2022">
        <f>SUM(G43:G71)</f>
        <v>13158138</v>
      </c>
      <c r="H42" s="2022">
        <f>SUM(H43:H71)</f>
        <v>12401448</v>
      </c>
      <c r="I42" s="2021"/>
      <c r="J42" s="2020"/>
      <c r="N42" s="490"/>
    </row>
    <row r="43" spans="1:15" s="464" customFormat="1" ht="11.85" customHeight="1" outlineLevel="1">
      <c r="A43" s="2019" t="s">
        <v>1684</v>
      </c>
      <c r="B43" s="2018"/>
      <c r="C43" s="985" t="s">
        <v>405</v>
      </c>
      <c r="D43" s="2013">
        <v>64490.76</v>
      </c>
      <c r="E43" s="2011">
        <v>16779</v>
      </c>
      <c r="F43" s="2012">
        <f t="shared" ref="F43:F56" si="1">SUM(G43-E43)</f>
        <v>93221</v>
      </c>
      <c r="G43" s="2011">
        <v>110000</v>
      </c>
      <c r="H43" s="2016">
        <v>100000</v>
      </c>
      <c r="I43" s="352"/>
      <c r="J43" s="1987"/>
      <c r="N43" s="352"/>
    </row>
    <row r="44" spans="1:15" s="464" customFormat="1" ht="11.85" customHeight="1" outlineLevel="1">
      <c r="A44" s="1986" t="s">
        <v>1683</v>
      </c>
      <c r="B44" s="950"/>
      <c r="C44" s="1039" t="s">
        <v>403</v>
      </c>
      <c r="D44" s="2013">
        <v>0</v>
      </c>
      <c r="E44" s="1984">
        <v>0</v>
      </c>
      <c r="F44" s="2012">
        <f t="shared" si="1"/>
        <v>20000</v>
      </c>
      <c r="G44" s="2011">
        <v>20000</v>
      </c>
      <c r="H44" s="2016">
        <v>20000</v>
      </c>
      <c r="I44" s="352"/>
      <c r="J44" s="1987"/>
    </row>
    <row r="45" spans="1:15" s="464" customFormat="1" ht="11.85" customHeight="1" outlineLevel="1">
      <c r="A45" s="1986" t="s">
        <v>1284</v>
      </c>
      <c r="B45" s="950"/>
      <c r="C45" s="1039" t="s">
        <v>401</v>
      </c>
      <c r="D45" s="2013">
        <v>29039.75</v>
      </c>
      <c r="E45" s="2011">
        <v>23102.7</v>
      </c>
      <c r="F45" s="2012">
        <f t="shared" si="1"/>
        <v>11897.3</v>
      </c>
      <c r="G45" s="2011">
        <v>35000</v>
      </c>
      <c r="H45" s="2016">
        <v>35000</v>
      </c>
      <c r="I45" s="352"/>
      <c r="J45" s="1987"/>
    </row>
    <row r="46" spans="1:15" s="464" customFormat="1" ht="11.85" customHeight="1" outlineLevel="1">
      <c r="A46" s="2017" t="s">
        <v>1682</v>
      </c>
      <c r="B46" s="950"/>
      <c r="C46" s="531" t="s">
        <v>398</v>
      </c>
      <c r="D46" s="2013">
        <v>4680</v>
      </c>
      <c r="E46" s="1984">
        <v>1582.5</v>
      </c>
      <c r="F46" s="2012">
        <f t="shared" si="1"/>
        <v>4417.5</v>
      </c>
      <c r="G46" s="2011">
        <v>6000</v>
      </c>
      <c r="H46" s="2016">
        <v>6000</v>
      </c>
      <c r="I46" s="352"/>
      <c r="J46" s="1987"/>
    </row>
    <row r="47" spans="1:15" s="464" customFormat="1" ht="11.85" customHeight="1" outlineLevel="1">
      <c r="A47" s="1986" t="s">
        <v>1681</v>
      </c>
      <c r="B47" s="950"/>
      <c r="C47" s="1039" t="s">
        <v>1448</v>
      </c>
      <c r="D47" s="2013">
        <v>30170</v>
      </c>
      <c r="E47" s="2011">
        <v>33160</v>
      </c>
      <c r="F47" s="2012">
        <f t="shared" si="1"/>
        <v>6840</v>
      </c>
      <c r="G47" s="2011">
        <v>40000</v>
      </c>
      <c r="H47" s="2016">
        <v>40000</v>
      </c>
      <c r="I47" s="352"/>
      <c r="J47" s="1987"/>
    </row>
    <row r="48" spans="1:15" s="464" customFormat="1" ht="11.85" customHeight="1" outlineLevel="1">
      <c r="A48" s="1986" t="s">
        <v>1680</v>
      </c>
      <c r="B48" s="950"/>
      <c r="C48" s="2015" t="s">
        <v>1679</v>
      </c>
      <c r="D48" s="2013">
        <v>762040.65</v>
      </c>
      <c r="E48" s="2011">
        <v>633256.04</v>
      </c>
      <c r="F48" s="2012">
        <f t="shared" si="1"/>
        <v>4651868.96</v>
      </c>
      <c r="G48" s="2011">
        <v>5285125</v>
      </c>
      <c r="H48" s="2010">
        <v>5000000</v>
      </c>
      <c r="I48" s="352"/>
      <c r="J48" s="1987"/>
    </row>
    <row r="49" spans="1:13" s="464" customFormat="1" ht="11.85" customHeight="1" outlineLevel="1">
      <c r="A49" s="1986" t="s">
        <v>1678</v>
      </c>
      <c r="B49" s="950"/>
      <c r="C49" s="2008" t="s">
        <v>1677</v>
      </c>
      <c r="D49" s="2013">
        <v>228420.4</v>
      </c>
      <c r="E49" s="2011">
        <v>470534.55</v>
      </c>
      <c r="F49" s="2012">
        <f t="shared" si="1"/>
        <v>58965.450000000012</v>
      </c>
      <c r="G49" s="2011">
        <v>529500</v>
      </c>
      <c r="H49" s="2010">
        <v>500000</v>
      </c>
      <c r="I49" s="352"/>
      <c r="J49" s="1987"/>
    </row>
    <row r="50" spans="1:13" s="464" customFormat="1" ht="11.85" customHeight="1" outlineLevel="1">
      <c r="A50" s="1736" t="s">
        <v>674</v>
      </c>
      <c r="B50" s="950"/>
      <c r="C50" s="1039" t="s">
        <v>396</v>
      </c>
      <c r="D50" s="2013">
        <v>132464.38</v>
      </c>
      <c r="E50" s="2011">
        <v>38672</v>
      </c>
      <c r="F50" s="2012">
        <f t="shared" si="1"/>
        <v>101328</v>
      </c>
      <c r="G50" s="2011">
        <v>140000</v>
      </c>
      <c r="H50" s="2010">
        <v>140000</v>
      </c>
      <c r="I50" s="352"/>
      <c r="J50" s="1987"/>
    </row>
    <row r="51" spans="1:13" s="464" customFormat="1" ht="11.85" customHeight="1" outlineLevel="1">
      <c r="A51" s="2014" t="s">
        <v>1676</v>
      </c>
      <c r="B51" s="950"/>
      <c r="C51" s="1039" t="s">
        <v>1269</v>
      </c>
      <c r="D51" s="2013">
        <v>60808.45</v>
      </c>
      <c r="E51" s="2011">
        <v>31251.800000000003</v>
      </c>
      <c r="F51" s="2012">
        <f t="shared" si="1"/>
        <v>42748.2</v>
      </c>
      <c r="G51" s="2011">
        <v>74000</v>
      </c>
      <c r="H51" s="2010">
        <v>74000</v>
      </c>
      <c r="I51" s="352"/>
      <c r="J51" s="1987"/>
    </row>
    <row r="52" spans="1:13" s="464" customFormat="1" ht="11.85" customHeight="1" outlineLevel="1">
      <c r="A52" s="1986" t="s">
        <v>700</v>
      </c>
      <c r="B52" s="950"/>
      <c r="C52" s="1039" t="s">
        <v>392</v>
      </c>
      <c r="D52" s="2013">
        <v>0</v>
      </c>
      <c r="E52" s="1984">
        <v>0</v>
      </c>
      <c r="F52" s="2012">
        <f t="shared" si="1"/>
        <v>1000</v>
      </c>
      <c r="G52" s="2011">
        <v>1000</v>
      </c>
      <c r="H52" s="2010">
        <v>1000</v>
      </c>
      <c r="I52" s="352"/>
      <c r="J52" s="1987"/>
      <c r="M52" s="585" t="s">
        <v>1675</v>
      </c>
    </row>
    <row r="53" spans="1:13" s="464" customFormat="1" ht="11.85" customHeight="1" outlineLevel="1">
      <c r="A53" s="1986" t="s">
        <v>391</v>
      </c>
      <c r="B53" s="950"/>
      <c r="C53" s="1039" t="s">
        <v>390</v>
      </c>
      <c r="D53" s="1250">
        <v>89112.040000000008</v>
      </c>
      <c r="E53" s="1984">
        <v>49926.710000000006</v>
      </c>
      <c r="F53" s="1984">
        <f t="shared" si="1"/>
        <v>66968.289999999994</v>
      </c>
      <c r="G53" s="1984">
        <v>116895</v>
      </c>
      <c r="H53" s="1978">
        <v>120000</v>
      </c>
      <c r="I53" s="352"/>
      <c r="J53" s="2009" t="s">
        <v>1674</v>
      </c>
      <c r="M53" s="464">
        <v>60901</v>
      </c>
    </row>
    <row r="54" spans="1:13" s="464" customFormat="1" ht="11.85" customHeight="1" outlineLevel="1">
      <c r="A54" s="1986" t="s">
        <v>1262</v>
      </c>
      <c r="B54" s="950"/>
      <c r="C54" s="2008" t="s">
        <v>1261</v>
      </c>
      <c r="D54" s="1250">
        <v>0</v>
      </c>
      <c r="E54" s="1984">
        <v>0</v>
      </c>
      <c r="F54" s="1984">
        <f t="shared" si="1"/>
        <v>1000</v>
      </c>
      <c r="G54" s="1984">
        <v>1000</v>
      </c>
      <c r="H54" s="1978">
        <v>1000</v>
      </c>
      <c r="I54" s="2006">
        <f>SUM(L54*12*2)</f>
        <v>1261296</v>
      </c>
      <c r="J54" s="1773" t="s">
        <v>1673</v>
      </c>
      <c r="K54" s="2007" t="s">
        <v>1672</v>
      </c>
      <c r="L54" s="2004">
        <v>52554</v>
      </c>
    </row>
    <row r="55" spans="1:13" s="464" customFormat="1" ht="11.85" customHeight="1" outlineLevel="1">
      <c r="A55" s="517" t="s">
        <v>952</v>
      </c>
      <c r="B55" s="950"/>
      <c r="C55" s="949" t="s">
        <v>951</v>
      </c>
      <c r="D55" s="1250">
        <v>1047972</v>
      </c>
      <c r="E55" s="1984">
        <v>378765</v>
      </c>
      <c r="F55" s="1984">
        <f t="shared" si="1"/>
        <v>1147535</v>
      </c>
      <c r="G55" s="1984">
        <v>1526300</v>
      </c>
      <c r="H55" s="1978">
        <v>1100000</v>
      </c>
      <c r="I55" s="2006"/>
      <c r="J55" s="1773"/>
      <c r="K55" s="2005"/>
      <c r="L55" s="2004"/>
    </row>
    <row r="56" spans="1:13" s="464" customFormat="1" ht="11.85" customHeight="1" outlineLevel="1">
      <c r="A56" s="517" t="s">
        <v>389</v>
      </c>
      <c r="B56" s="950"/>
      <c r="C56" s="1132" t="s">
        <v>388</v>
      </c>
      <c r="D56" s="1250">
        <v>4082850.5700000022</v>
      </c>
      <c r="E56" s="1984">
        <v>1929674.3000000003</v>
      </c>
      <c r="F56" s="1984">
        <f t="shared" si="1"/>
        <v>2537393.6999999997</v>
      </c>
      <c r="G56" s="1984">
        <v>4467068</v>
      </c>
      <c r="H56" s="1978">
        <v>4467068</v>
      </c>
      <c r="I56" s="2006">
        <f>SUM(L56*12*2)</f>
        <v>1387320</v>
      </c>
      <c r="J56" s="1773" t="s">
        <v>1671</v>
      </c>
      <c r="K56" s="2005" t="s">
        <v>1670</v>
      </c>
      <c r="L56" s="2004">
        <v>57805</v>
      </c>
    </row>
    <row r="57" spans="1:13" s="464" customFormat="1" ht="11.85" customHeight="1" outlineLevel="1">
      <c r="A57" s="1999" t="s">
        <v>1247</v>
      </c>
      <c r="B57" s="1735"/>
      <c r="C57" s="1132"/>
      <c r="D57" s="1250"/>
      <c r="E57" s="1984"/>
      <c r="F57" s="1984"/>
      <c r="G57" s="1984"/>
      <c r="H57" s="1978"/>
      <c r="I57" s="359"/>
      <c r="J57" s="1773"/>
      <c r="K57" s="2003">
        <v>2020</v>
      </c>
      <c r="L57" s="2002"/>
    </row>
    <row r="58" spans="1:13" s="464" customFormat="1" ht="11.85" customHeight="1" outlineLevel="1">
      <c r="A58" s="1736"/>
      <c r="B58" s="1997" t="s">
        <v>386</v>
      </c>
      <c r="C58" s="949" t="s">
        <v>385</v>
      </c>
      <c r="D58" s="1250">
        <v>0</v>
      </c>
      <c r="E58" s="1984">
        <v>0</v>
      </c>
      <c r="F58" s="1984">
        <f>SUM(G58-E58)</f>
        <v>50000</v>
      </c>
      <c r="G58" s="1984">
        <v>50000</v>
      </c>
      <c r="H58" s="1978">
        <v>50000</v>
      </c>
      <c r="I58" s="359"/>
      <c r="J58" s="1992" t="s">
        <v>1136</v>
      </c>
      <c r="K58" s="2000">
        <f>'plantilla (8)'!A114*200</f>
        <v>0</v>
      </c>
      <c r="L58" s="356"/>
    </row>
    <row r="59" spans="1:13" s="464" customFormat="1" ht="11.85" customHeight="1" outlineLevel="1">
      <c r="A59" s="1999" t="s">
        <v>1247</v>
      </c>
      <c r="B59" s="1735"/>
      <c r="C59" s="1132"/>
      <c r="D59" s="1250"/>
      <c r="E59" s="1984"/>
      <c r="F59" s="1984"/>
      <c r="G59" s="1984"/>
      <c r="H59" s="1978"/>
      <c r="I59" s="352"/>
      <c r="J59" s="1992" t="s">
        <v>777</v>
      </c>
      <c r="K59" s="2000">
        <f>'plantilla (8)'!A114*1720</f>
        <v>0</v>
      </c>
      <c r="L59" s="356"/>
      <c r="M59" s="2001">
        <f>SUM(K59-L59)</f>
        <v>0</v>
      </c>
    </row>
    <row r="60" spans="1:13" s="464" customFormat="1" ht="11.85" customHeight="1" outlineLevel="1">
      <c r="A60" s="1736"/>
      <c r="B60" s="1997" t="s">
        <v>381</v>
      </c>
      <c r="C60" s="949" t="s">
        <v>380</v>
      </c>
      <c r="D60" s="1250">
        <v>0</v>
      </c>
      <c r="E60" s="1984">
        <v>15434.1</v>
      </c>
      <c r="F60" s="1984">
        <f>SUM(G60-E60)</f>
        <v>59565.9</v>
      </c>
      <c r="G60" s="1984">
        <v>75000</v>
      </c>
      <c r="H60" s="1978">
        <v>75000</v>
      </c>
      <c r="I60" s="352"/>
      <c r="J60" s="1992" t="s">
        <v>1669</v>
      </c>
      <c r="K60" s="2000">
        <f>SUM(K61-K58-K59)</f>
        <v>150000</v>
      </c>
      <c r="L60" s="356"/>
    </row>
    <row r="61" spans="1:13" s="464" customFormat="1" ht="11.85" customHeight="1" outlineLevel="1">
      <c r="A61" s="1999" t="s">
        <v>1247</v>
      </c>
      <c r="B61" s="1735"/>
      <c r="C61" s="1039"/>
      <c r="D61" s="1250"/>
      <c r="E61" s="1984"/>
      <c r="F61" s="1984"/>
      <c r="G61" s="1984"/>
      <c r="H61" s="1978"/>
      <c r="I61" s="352"/>
      <c r="J61" s="1992" t="s">
        <v>379</v>
      </c>
      <c r="K61" s="1998">
        <v>150000</v>
      </c>
      <c r="L61" s="356"/>
    </row>
    <row r="62" spans="1:13" s="464" customFormat="1" ht="11.85" customHeight="1" outlineLevel="1">
      <c r="A62" s="1736"/>
      <c r="B62" s="1997" t="s">
        <v>1668</v>
      </c>
      <c r="C62" s="531" t="s">
        <v>1667</v>
      </c>
      <c r="D62" s="1250">
        <v>40089.75</v>
      </c>
      <c r="E62" s="1984">
        <v>3260</v>
      </c>
      <c r="F62" s="1984">
        <f>SUM(G62-E62)</f>
        <v>26740</v>
      </c>
      <c r="G62" s="1984">
        <v>30000</v>
      </c>
      <c r="H62" s="1978">
        <v>30000</v>
      </c>
      <c r="I62" s="352"/>
      <c r="J62" s="1987"/>
    </row>
    <row r="63" spans="1:13" s="464" customFormat="1" ht="11.85" customHeight="1" outlineLevel="1">
      <c r="A63" s="1736" t="s">
        <v>1664</v>
      </c>
      <c r="B63" s="950"/>
      <c r="C63" s="1993"/>
      <c r="D63" s="1250"/>
      <c r="E63" s="1984"/>
      <c r="F63" s="1984"/>
      <c r="G63" s="1984"/>
      <c r="H63" s="1978"/>
      <c r="I63" s="352"/>
      <c r="J63" s="1992" t="s">
        <v>1447</v>
      </c>
      <c r="K63" s="1996">
        <v>3785505</v>
      </c>
      <c r="L63" s="359"/>
      <c r="M63" s="359"/>
    </row>
    <row r="64" spans="1:13" s="464" customFormat="1" ht="11.85" customHeight="1" outlineLevel="1">
      <c r="A64" s="1990"/>
      <c r="B64" s="1995" t="s">
        <v>1666</v>
      </c>
      <c r="C64" s="531" t="s">
        <v>374</v>
      </c>
      <c r="D64" s="1250">
        <v>44203.5</v>
      </c>
      <c r="E64" s="1984">
        <v>6500</v>
      </c>
      <c r="F64" s="1984">
        <f>SUM(G64-E64)</f>
        <v>68500</v>
      </c>
      <c r="G64" s="1984">
        <v>75000</v>
      </c>
      <c r="H64" s="1978">
        <v>75000</v>
      </c>
      <c r="I64" s="352"/>
      <c r="J64" s="1992" t="s">
        <v>1665</v>
      </c>
      <c r="K64" s="1994">
        <v>312000</v>
      </c>
      <c r="L64" s="359"/>
      <c r="M64" s="359"/>
    </row>
    <row r="65" spans="1:13" s="464" customFormat="1" ht="11.85" customHeight="1" outlineLevel="1" thickBot="1">
      <c r="A65" s="1736" t="s">
        <v>1664</v>
      </c>
      <c r="B65" s="950"/>
      <c r="C65" s="1993"/>
      <c r="D65" s="1250"/>
      <c r="E65" s="1984"/>
      <c r="F65" s="1984"/>
      <c r="G65" s="1984"/>
      <c r="H65" s="1978"/>
      <c r="I65" s="352"/>
      <c r="J65" s="1992" t="s">
        <v>244</v>
      </c>
      <c r="K65" s="1991">
        <f>SUM(K63:K64)</f>
        <v>4097505</v>
      </c>
      <c r="L65" s="359"/>
      <c r="M65" s="359"/>
    </row>
    <row r="66" spans="1:13" s="464" customFormat="1" ht="11.85" customHeight="1" outlineLevel="1" thickTop="1">
      <c r="A66" s="1990"/>
      <c r="B66" s="1989" t="s">
        <v>1663</v>
      </c>
      <c r="C66" s="531" t="s">
        <v>371</v>
      </c>
      <c r="D66" s="1250">
        <v>44861</v>
      </c>
      <c r="E66" s="1984">
        <v>38370</v>
      </c>
      <c r="F66" s="1984">
        <f>SUM(G66-E66)</f>
        <v>55500</v>
      </c>
      <c r="G66" s="1984">
        <v>93870</v>
      </c>
      <c r="H66" s="1978">
        <v>85000</v>
      </c>
      <c r="I66" s="352"/>
      <c r="L66" s="359"/>
      <c r="M66" s="359"/>
    </row>
    <row r="67" spans="1:13" s="464" customFormat="1" ht="11.85" customHeight="1" outlineLevel="1">
      <c r="A67" s="1986" t="s">
        <v>1662</v>
      </c>
      <c r="B67" s="950"/>
      <c r="C67" s="1039" t="s">
        <v>1661</v>
      </c>
      <c r="D67" s="1250">
        <v>0</v>
      </c>
      <c r="E67" s="1984">
        <v>0</v>
      </c>
      <c r="F67" s="1984">
        <f>SUM(G67-E67)</f>
        <v>10000</v>
      </c>
      <c r="G67" s="1984">
        <v>10000</v>
      </c>
      <c r="H67" s="1978">
        <v>10000</v>
      </c>
      <c r="I67" s="352"/>
      <c r="J67" s="1987"/>
      <c r="K67" s="359"/>
      <c r="L67" s="359"/>
      <c r="M67" s="359"/>
    </row>
    <row r="68" spans="1:13" s="464" customFormat="1" ht="11.85" customHeight="1" outlineLevel="1">
      <c r="A68" s="1986" t="s">
        <v>368</v>
      </c>
      <c r="B68" s="950"/>
      <c r="C68" s="1988" t="s">
        <v>367</v>
      </c>
      <c r="D68" s="1250">
        <v>33328.5</v>
      </c>
      <c r="E68" s="1984">
        <v>18886</v>
      </c>
      <c r="F68" s="1984">
        <f>SUM(G68-E68)</f>
        <v>153494</v>
      </c>
      <c r="G68" s="1984">
        <v>172380</v>
      </c>
      <c r="H68" s="1978">
        <v>172380</v>
      </c>
      <c r="I68" s="352"/>
      <c r="J68" s="1987">
        <v>12794797</v>
      </c>
      <c r="K68" s="359"/>
      <c r="L68" s="359"/>
      <c r="M68" s="359"/>
    </row>
    <row r="69" spans="1:13" s="464" customFormat="1" ht="11.85" customHeight="1" outlineLevel="1">
      <c r="A69" s="1986" t="s">
        <v>1660</v>
      </c>
      <c r="B69" s="950"/>
      <c r="C69" s="1985"/>
      <c r="D69" s="1250"/>
      <c r="E69" s="1984"/>
      <c r="F69" s="1984"/>
      <c r="G69" s="1984"/>
      <c r="H69" s="1978"/>
      <c r="I69" s="352"/>
      <c r="J69" s="1987">
        <f>SUM(G42-J68)</f>
        <v>363341</v>
      </c>
      <c r="K69" s="359"/>
      <c r="L69" s="359"/>
      <c r="M69" s="359"/>
    </row>
    <row r="70" spans="1:13" s="268" customFormat="1" ht="11.85" customHeight="1" outlineLevel="2">
      <c r="A70" s="1986"/>
      <c r="B70" s="950" t="s">
        <v>1659</v>
      </c>
      <c r="C70" s="1985"/>
      <c r="D70" s="1250"/>
      <c r="E70" s="1984"/>
      <c r="F70" s="1984"/>
      <c r="G70" s="1984"/>
      <c r="H70" s="1978"/>
      <c r="I70" s="1769"/>
      <c r="J70" s="1415"/>
      <c r="K70" s="148"/>
      <c r="L70" s="148"/>
      <c r="M70" s="148"/>
    </row>
    <row r="71" spans="1:13" ht="11.85" customHeight="1">
      <c r="A71" s="1983"/>
      <c r="B71" s="1982" t="s">
        <v>1658</v>
      </c>
      <c r="C71" s="1981" t="s">
        <v>1657</v>
      </c>
      <c r="D71" s="1980">
        <v>300000</v>
      </c>
      <c r="E71" s="1979">
        <v>0</v>
      </c>
      <c r="F71" s="1979">
        <f>SUM(G71-E71)</f>
        <v>300000</v>
      </c>
      <c r="G71" s="1979">
        <v>300000</v>
      </c>
      <c r="H71" s="1978">
        <v>300000</v>
      </c>
      <c r="K71" s="148"/>
      <c r="L71" s="148"/>
      <c r="M71" s="148"/>
    </row>
    <row r="72" spans="1:13" ht="14.25" customHeight="1" thickBot="1">
      <c r="A72" s="456" t="s">
        <v>366</v>
      </c>
      <c r="B72" s="1614"/>
      <c r="C72" s="1613"/>
      <c r="D72" s="1977">
        <f>SUM(D12+D42)</f>
        <v>45011336.359999999</v>
      </c>
      <c r="E72" s="1977">
        <f>SUM(E12+E42)</f>
        <v>21671901.73</v>
      </c>
      <c r="F72" s="1977">
        <f>SUM(F12+F42)</f>
        <v>38872754.269999996</v>
      </c>
      <c r="G72" s="1977">
        <f>SUM(G12+G42)</f>
        <v>60544656</v>
      </c>
      <c r="H72" s="1976">
        <f>SUM(H12+H42)</f>
        <v>67187077</v>
      </c>
      <c r="I72" s="545" t="s">
        <v>1656</v>
      </c>
      <c r="K72" s="344"/>
      <c r="L72" s="344"/>
      <c r="M72" s="344"/>
    </row>
    <row r="73" spans="1:13" s="134" customFormat="1" ht="14.25" customHeight="1" thickTop="1">
      <c r="A73" s="134" t="s">
        <v>364</v>
      </c>
      <c r="B73" s="235"/>
      <c r="C73" s="134" t="s">
        <v>1655</v>
      </c>
      <c r="D73" s="235"/>
      <c r="E73" s="1975" t="s">
        <v>1498</v>
      </c>
      <c r="F73" s="1975"/>
      <c r="H73" s="339"/>
      <c r="I73" s="235"/>
      <c r="J73" s="572"/>
      <c r="K73" s="148"/>
      <c r="L73" s="148"/>
      <c r="M73" s="148"/>
    </row>
    <row r="74" spans="1:13" s="135" customFormat="1" ht="12" customHeight="1">
      <c r="A74" s="235"/>
      <c r="B74" s="134"/>
      <c r="C74" s="1974"/>
      <c r="D74" s="134"/>
      <c r="E74" s="134"/>
      <c r="F74" s="134"/>
      <c r="G74" s="134"/>
      <c r="H74" s="235"/>
      <c r="I74" s="136"/>
      <c r="J74" s="1405"/>
    </row>
    <row r="75" spans="1:13" s="135" customFormat="1" ht="19.5" customHeight="1">
      <c r="A75" s="139" t="s">
        <v>1654</v>
      </c>
      <c r="B75" s="139"/>
      <c r="C75" s="4635" t="s">
        <v>360</v>
      </c>
      <c r="D75" s="4635"/>
      <c r="F75" s="936" t="s">
        <v>359</v>
      </c>
      <c r="G75" s="936"/>
      <c r="H75" s="936"/>
      <c r="I75" s="136"/>
      <c r="J75" s="1405"/>
    </row>
    <row r="76" spans="1:13" s="135" customFormat="1" ht="12.75">
      <c r="A76" s="138" t="s">
        <v>1653</v>
      </c>
      <c r="B76" s="136"/>
      <c r="C76" s="4622" t="s">
        <v>357</v>
      </c>
      <c r="D76" s="4622"/>
      <c r="F76" s="935" t="s">
        <v>356</v>
      </c>
      <c r="G76" s="935"/>
      <c r="H76" s="935"/>
      <c r="I76" s="136"/>
      <c r="J76" s="1405"/>
    </row>
    <row r="77" spans="1:13" s="135" customFormat="1" ht="12.75">
      <c r="C77" s="1973"/>
      <c r="E77" s="137"/>
      <c r="F77" s="137"/>
      <c r="G77" s="137"/>
      <c r="H77" s="137"/>
      <c r="I77" s="136"/>
      <c r="J77" s="1405"/>
    </row>
    <row r="78" spans="1:13" s="135" customFormat="1" ht="12.75">
      <c r="C78" s="1973"/>
      <c r="E78" s="137"/>
      <c r="F78" s="137"/>
      <c r="G78" s="137"/>
      <c r="H78" s="137"/>
      <c r="I78" s="136"/>
      <c r="J78" s="1405"/>
    </row>
    <row r="79" spans="1:13" s="135" customFormat="1" ht="12.75">
      <c r="C79" s="1973"/>
      <c r="E79" s="137"/>
      <c r="F79" s="137"/>
      <c r="G79" s="137"/>
      <c r="H79" s="137"/>
      <c r="I79" s="136"/>
      <c r="J79" s="1405"/>
    </row>
  </sheetData>
  <mergeCells count="7">
    <mergeCell ref="C76:D76"/>
    <mergeCell ref="C75:D75"/>
    <mergeCell ref="F1:G1"/>
    <mergeCell ref="A4:H4"/>
    <mergeCell ref="A5:H5"/>
    <mergeCell ref="A8:B10"/>
    <mergeCell ref="E8:G8"/>
  </mergeCells>
  <pageMargins left="0.5" right="0" top="0" bottom="0" header="0.5" footer="0"/>
  <pageSetup paperSize="5"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R80"/>
  <sheetViews>
    <sheetView showGridLines="0" showOutlineSymbols="0" zoomScaleNormal="100" workbookViewId="0">
      <selection activeCell="G19" sqref="G19"/>
    </sheetView>
  </sheetViews>
  <sheetFormatPr defaultColWidth="12.5703125" defaultRowHeight="15.75" outlineLevelRow="2" outlineLevelCol="2"/>
  <cols>
    <col min="1" max="1" width="1.85546875" style="235" customWidth="1"/>
    <col min="2" max="2" width="29.85546875" style="235" customWidth="1"/>
    <col min="3" max="3" width="10.7109375" style="235" customWidth="1"/>
    <col min="4" max="8" width="11.28515625" style="235" customWidth="1"/>
    <col min="9" max="9" width="12.7109375" style="235" hidden="1" customWidth="1"/>
    <col min="10" max="10" width="12.7109375" style="268" hidden="1" customWidth="1"/>
    <col min="11" max="11" width="13.7109375" style="134" hidden="1" customWidth="1"/>
    <col min="12" max="12" width="10" style="134" hidden="1" customWidth="1"/>
    <col min="13" max="13" width="2.28515625" style="134" hidden="1" customWidth="1"/>
    <col min="14" max="14" width="11.42578125" style="134" hidden="1" customWidth="1"/>
    <col min="15" max="15" width="12.5703125" style="134" hidden="1" customWidth="1"/>
    <col min="16" max="16" width="0" style="134" hidden="1" customWidth="1"/>
    <col min="17" max="17" width="13.42578125" style="134" customWidth="1"/>
    <col min="18" max="18" width="12.5703125" style="134"/>
    <col min="19" max="47" width="12.5703125" style="235"/>
    <col min="48" max="52" width="12.5703125" style="235" outlineLevel="1"/>
    <col min="53" max="58" width="12.5703125" style="235" outlineLevel="2"/>
    <col min="59" max="61" width="12.5703125" style="235" outlineLevel="1"/>
    <col min="62" max="81" width="12.5703125" style="235"/>
    <col min="82" max="85" width="12.5703125" style="235" outlineLevel="1"/>
    <col min="86" max="133" width="12.5703125" style="235"/>
    <col min="134" max="139" width="12.5703125" style="235" outlineLevel="1"/>
    <col min="140" max="145" width="12.5703125" style="235" outlineLevel="2"/>
    <col min="146" max="148" width="12.5703125" style="235" outlineLevel="1"/>
    <col min="149" max="16384" width="12.5703125" style="235"/>
  </cols>
  <sheetData>
    <row r="1" spans="1:12">
      <c r="A1" s="271" t="s">
        <v>473</v>
      </c>
      <c r="B1" s="134"/>
      <c r="C1" s="134"/>
      <c r="E1" s="271"/>
      <c r="H1" s="271"/>
    </row>
    <row r="2" spans="1:12" ht="14.25" customHeight="1">
      <c r="A2" s="270" t="s">
        <v>584</v>
      </c>
      <c r="B2" s="134"/>
      <c r="C2" s="134"/>
      <c r="E2" s="270"/>
      <c r="H2" s="270"/>
    </row>
    <row r="3" spans="1:12" ht="18" customHeight="1">
      <c r="A3" s="4630" t="s">
        <v>471</v>
      </c>
      <c r="B3" s="4630"/>
      <c r="C3" s="4630"/>
      <c r="D3" s="4630"/>
      <c r="E3" s="4630"/>
      <c r="F3" s="4630"/>
      <c r="G3" s="4630"/>
      <c r="H3" s="4630"/>
    </row>
    <row r="4" spans="1:12" ht="14.25" customHeight="1">
      <c r="A4" s="4623" t="s">
        <v>583</v>
      </c>
      <c r="B4" s="4631"/>
      <c r="C4" s="4631"/>
      <c r="D4" s="4631"/>
      <c r="E4" s="4631"/>
      <c r="F4" s="4631"/>
      <c r="G4" s="4631"/>
      <c r="H4" s="4631"/>
    </row>
    <row r="5" spans="1:12" ht="9.9499999999999993" customHeight="1">
      <c r="A5" s="140"/>
      <c r="B5" s="140"/>
      <c r="C5" s="140"/>
      <c r="D5" s="140"/>
      <c r="E5" s="140"/>
      <c r="F5" s="140"/>
      <c r="G5" s="140"/>
      <c r="H5" s="140"/>
    </row>
    <row r="6" spans="1:12" ht="14.25" customHeight="1">
      <c r="A6" s="399" t="s">
        <v>582</v>
      </c>
      <c r="D6" s="134"/>
      <c r="E6" s="134"/>
      <c r="F6" s="134"/>
      <c r="G6" s="134"/>
      <c r="H6" s="134"/>
    </row>
    <row r="7" spans="1:12" ht="10.9" customHeight="1">
      <c r="A7" s="398"/>
      <c r="B7" s="397"/>
      <c r="D7" s="134"/>
      <c r="E7" s="134"/>
      <c r="F7" s="134"/>
      <c r="G7" s="134"/>
      <c r="H7" s="134"/>
    </row>
    <row r="8" spans="1:12" ht="12.95" customHeight="1">
      <c r="A8" s="4624" t="s">
        <v>468</v>
      </c>
      <c r="B8" s="4625"/>
      <c r="C8" s="265" t="s">
        <v>467</v>
      </c>
      <c r="D8" s="264" t="s">
        <v>466</v>
      </c>
      <c r="E8" s="4632" t="s">
        <v>465</v>
      </c>
      <c r="F8" s="4633"/>
      <c r="G8" s="4634"/>
      <c r="H8" s="265" t="s">
        <v>464</v>
      </c>
      <c r="I8" s="265" t="s">
        <v>464</v>
      </c>
    </row>
    <row r="9" spans="1:12" ht="12.95" customHeight="1">
      <c r="A9" s="4626"/>
      <c r="B9" s="4627"/>
      <c r="C9" s="261" t="s">
        <v>463</v>
      </c>
      <c r="D9" s="262">
        <v>2020</v>
      </c>
      <c r="E9" s="262" t="s">
        <v>462</v>
      </c>
      <c r="F9" s="262" t="s">
        <v>461</v>
      </c>
      <c r="G9" s="262" t="s">
        <v>244</v>
      </c>
      <c r="H9" s="261">
        <v>2022</v>
      </c>
      <c r="I9" s="261">
        <v>2022</v>
      </c>
    </row>
    <row r="10" spans="1:12" ht="12.95" customHeight="1">
      <c r="A10" s="4628"/>
      <c r="B10" s="4629"/>
      <c r="C10" s="260"/>
      <c r="D10" s="258" t="s">
        <v>460</v>
      </c>
      <c r="E10" s="258" t="s">
        <v>460</v>
      </c>
      <c r="F10" s="258" t="s">
        <v>459</v>
      </c>
      <c r="G10" s="259"/>
      <c r="H10" s="258" t="s">
        <v>458</v>
      </c>
      <c r="I10" s="258" t="s">
        <v>457</v>
      </c>
      <c r="J10" s="256">
        <v>0.1</v>
      </c>
      <c r="K10" s="148"/>
      <c r="L10" s="148"/>
    </row>
    <row r="11" spans="1:12" ht="15" customHeight="1">
      <c r="A11" s="255" t="s">
        <v>581</v>
      </c>
      <c r="B11" s="395"/>
      <c r="C11" s="221"/>
      <c r="D11" s="221"/>
      <c r="E11" s="221"/>
      <c r="F11" s="251"/>
      <c r="G11" s="251"/>
      <c r="H11" s="221"/>
      <c r="I11" s="396"/>
      <c r="J11" s="241"/>
      <c r="K11" s="148"/>
      <c r="L11" s="148"/>
    </row>
    <row r="12" spans="1:12" ht="15" customHeight="1">
      <c r="A12" s="252" t="s">
        <v>455</v>
      </c>
      <c r="B12" s="395"/>
      <c r="C12" s="394"/>
      <c r="D12" s="249">
        <f t="shared" ref="D12:I12" si="0">SUM(D14:D35)</f>
        <v>17054775.469999999</v>
      </c>
      <c r="E12" s="249">
        <f t="shared" si="0"/>
        <v>8787524.3900000006</v>
      </c>
      <c r="F12" s="249">
        <f t="shared" si="0"/>
        <v>13537693.609999999</v>
      </c>
      <c r="G12" s="249">
        <f t="shared" si="0"/>
        <v>22325218</v>
      </c>
      <c r="H12" s="249">
        <f t="shared" si="0"/>
        <v>23708366</v>
      </c>
      <c r="I12" s="249">
        <f t="shared" si="0"/>
        <v>23708366</v>
      </c>
      <c r="J12" s="248"/>
      <c r="K12" s="148"/>
      <c r="L12" s="148"/>
    </row>
    <row r="13" spans="1:12" ht="14.85" customHeight="1" outlineLevel="1">
      <c r="A13" s="215" t="s">
        <v>454</v>
      </c>
      <c r="B13" s="247"/>
      <c r="C13" s="393"/>
      <c r="D13" s="245"/>
      <c r="E13" s="392"/>
      <c r="F13" s="245"/>
      <c r="G13" s="245"/>
      <c r="H13" s="392"/>
      <c r="I13" s="392"/>
      <c r="J13" s="241"/>
      <c r="K13" s="148"/>
      <c r="L13" s="148"/>
    </row>
    <row r="14" spans="1:12" ht="14.85" customHeight="1" outlineLevel="1">
      <c r="A14" s="166" t="s">
        <v>426</v>
      </c>
      <c r="B14" s="148"/>
      <c r="C14" s="379" t="s">
        <v>453</v>
      </c>
      <c r="D14" s="195">
        <v>9495790.6600000001</v>
      </c>
      <c r="E14" s="238">
        <v>5285973.2200000007</v>
      </c>
      <c r="F14" s="238">
        <f>SUM(G14-E14)</f>
        <v>8275274.7799999993</v>
      </c>
      <c r="G14" s="374">
        <v>13561248</v>
      </c>
      <c r="H14" s="238">
        <f>plantilla!H67</f>
        <v>13559688</v>
      </c>
      <c r="I14" s="238">
        <f>plantilla!K67</f>
        <v>13559688</v>
      </c>
      <c r="J14" s="221">
        <f>SUM(H14*0.1)</f>
        <v>1355968.8</v>
      </c>
    </row>
    <row r="15" spans="1:12" ht="14.85" customHeight="1" outlineLevel="1">
      <c r="A15" s="215" t="s">
        <v>452</v>
      </c>
      <c r="B15" s="148"/>
      <c r="C15" s="379"/>
      <c r="D15" s="195"/>
      <c r="E15" s="238"/>
      <c r="F15" s="238"/>
      <c r="G15" s="390"/>
      <c r="H15" s="238"/>
      <c r="I15" s="238"/>
      <c r="J15" s="224"/>
    </row>
    <row r="16" spans="1:12" ht="14.85" customHeight="1" outlineLevel="1">
      <c r="A16" s="178" t="s">
        <v>451</v>
      </c>
      <c r="B16" s="177"/>
      <c r="C16" s="379" t="s">
        <v>450</v>
      </c>
      <c r="D16" s="160">
        <v>659541.93999999994</v>
      </c>
      <c r="E16" s="238">
        <v>380000</v>
      </c>
      <c r="F16" s="238">
        <f t="shared" ref="F16:F23" si="1">SUM(G16-E16)</f>
        <v>532000</v>
      </c>
      <c r="G16" s="237">
        <v>912000</v>
      </c>
      <c r="H16" s="236">
        <f>plantilla!B67*12*2000</f>
        <v>912000</v>
      </c>
      <c r="I16" s="236">
        <f>plantilla!B67*12*2000</f>
        <v>912000</v>
      </c>
      <c r="J16" s="224"/>
    </row>
    <row r="17" spans="1:17" ht="14.85" customHeight="1" outlineLevel="1">
      <c r="A17" s="178" t="s">
        <v>449</v>
      </c>
      <c r="B17" s="177"/>
      <c r="C17" s="373" t="s">
        <v>448</v>
      </c>
      <c r="D17" s="160">
        <v>142500</v>
      </c>
      <c r="E17" s="238">
        <v>59375</v>
      </c>
      <c r="F17" s="238">
        <f t="shared" si="1"/>
        <v>83125</v>
      </c>
      <c r="G17" s="237">
        <v>142500</v>
      </c>
      <c r="H17" s="391">
        <f>(7125+4750)*12</f>
        <v>142500</v>
      </c>
      <c r="I17" s="391">
        <f>(7125+4750)*12</f>
        <v>142500</v>
      </c>
      <c r="J17" s="224"/>
    </row>
    <row r="18" spans="1:17" ht="14.85" customHeight="1" outlineLevel="1">
      <c r="A18" s="178" t="s">
        <v>447</v>
      </c>
      <c r="B18" s="177"/>
      <c r="C18" s="373" t="s">
        <v>446</v>
      </c>
      <c r="D18" s="160">
        <v>142500</v>
      </c>
      <c r="E18" s="238">
        <v>59375</v>
      </c>
      <c r="F18" s="238">
        <f t="shared" si="1"/>
        <v>83125</v>
      </c>
      <c r="G18" s="237">
        <v>142500</v>
      </c>
      <c r="H18" s="391">
        <f>(7125+4750)*12</f>
        <v>142500</v>
      </c>
      <c r="I18" s="391">
        <f>(7125+4750)*12</f>
        <v>142500</v>
      </c>
      <c r="J18" s="224"/>
    </row>
    <row r="19" spans="1:17" ht="14.85" customHeight="1" outlineLevel="1">
      <c r="A19" s="178" t="s">
        <v>445</v>
      </c>
      <c r="B19" s="177"/>
      <c r="C19" s="373" t="s">
        <v>444</v>
      </c>
      <c r="D19" s="160">
        <v>168000</v>
      </c>
      <c r="E19" s="238">
        <v>174000</v>
      </c>
      <c r="F19" s="238">
        <f t="shared" si="1"/>
        <v>54000</v>
      </c>
      <c r="G19" s="237">
        <v>228000</v>
      </c>
      <c r="H19" s="236">
        <f>plantilla!B67*6000</f>
        <v>228000</v>
      </c>
      <c r="I19" s="236">
        <f>plantilla!B67*6000</f>
        <v>228000</v>
      </c>
      <c r="J19" s="224"/>
    </row>
    <row r="20" spans="1:17" ht="14.85" customHeight="1" outlineLevel="1">
      <c r="A20" s="178" t="s">
        <v>441</v>
      </c>
      <c r="B20" s="177"/>
      <c r="C20" s="373" t="s">
        <v>440</v>
      </c>
      <c r="D20" s="160">
        <v>1230341.01</v>
      </c>
      <c r="E20" s="238">
        <v>1202890.27</v>
      </c>
      <c r="F20" s="238">
        <f t="shared" si="1"/>
        <v>497109.73</v>
      </c>
      <c r="G20" s="237">
        <v>1700000</v>
      </c>
      <c r="H20" s="236">
        <v>1900000</v>
      </c>
      <c r="I20" s="236">
        <v>1900000</v>
      </c>
      <c r="J20" s="224"/>
      <c r="K20" s="220"/>
      <c r="L20" s="225"/>
      <c r="M20" s="225"/>
      <c r="Q20" s="148"/>
    </row>
    <row r="21" spans="1:17" ht="14.85" customHeight="1" outlineLevel="1">
      <c r="A21" s="178" t="s">
        <v>424</v>
      </c>
      <c r="B21" s="177"/>
      <c r="C21" s="379" t="s">
        <v>439</v>
      </c>
      <c r="D21" s="160">
        <v>794440</v>
      </c>
      <c r="E21" s="238">
        <v>0</v>
      </c>
      <c r="F21" s="238">
        <f t="shared" si="1"/>
        <v>1130104</v>
      </c>
      <c r="G21" s="390">
        <v>1130104</v>
      </c>
      <c r="H21" s="389">
        <f>SUM(H14/12)</f>
        <v>1129974</v>
      </c>
      <c r="I21" s="389">
        <f>SUM(I14/12)</f>
        <v>1129974</v>
      </c>
      <c r="J21" s="221">
        <f>SUM(H21*0.1)</f>
        <v>112997.40000000001</v>
      </c>
      <c r="K21" s="225"/>
      <c r="L21" s="232"/>
      <c r="M21" s="4641"/>
      <c r="N21" s="4641"/>
      <c r="Q21" s="148"/>
    </row>
    <row r="22" spans="1:17" ht="14.85" customHeight="1" outlineLevel="1">
      <c r="A22" s="178" t="s">
        <v>438</v>
      </c>
      <c r="B22" s="177"/>
      <c r="C22" s="379" t="s">
        <v>437</v>
      </c>
      <c r="D22" s="160">
        <v>140000</v>
      </c>
      <c r="E22" s="238">
        <v>0</v>
      </c>
      <c r="F22" s="238">
        <f t="shared" si="1"/>
        <v>190000</v>
      </c>
      <c r="G22" s="388">
        <v>190000</v>
      </c>
      <c r="H22" s="387">
        <f>plantilla!B67*5000</f>
        <v>190000</v>
      </c>
      <c r="I22" s="387">
        <f>plantilla!B67*5000</f>
        <v>190000</v>
      </c>
      <c r="J22" s="224"/>
      <c r="K22" s="225"/>
      <c r="L22" s="232"/>
      <c r="M22" s="4641"/>
      <c r="N22" s="4641"/>
      <c r="Q22" s="148"/>
    </row>
    <row r="23" spans="1:17" ht="14.85" customHeight="1" outlineLevel="1">
      <c r="A23" s="180" t="s">
        <v>436</v>
      </c>
      <c r="B23" s="177"/>
      <c r="C23" s="373" t="s">
        <v>435</v>
      </c>
      <c r="D23" s="160">
        <v>778133</v>
      </c>
      <c r="E23" s="238">
        <v>882074</v>
      </c>
      <c r="F23" s="238">
        <f t="shared" si="1"/>
        <v>248030</v>
      </c>
      <c r="G23" s="237">
        <v>1130104</v>
      </c>
      <c r="H23" s="236">
        <f>SUM(H14/12)</f>
        <v>1129974</v>
      </c>
      <c r="I23" s="236">
        <f>SUM(I14/12)</f>
        <v>1129974</v>
      </c>
      <c r="J23" s="221">
        <f>SUM(H23*0.1)</f>
        <v>112997.40000000001</v>
      </c>
      <c r="K23" s="220"/>
      <c r="L23" s="220"/>
      <c r="M23" s="225"/>
      <c r="P23" s="148"/>
      <c r="Q23" s="148"/>
    </row>
    <row r="24" spans="1:17" ht="14.85" customHeight="1" outlineLevel="1">
      <c r="A24" s="230" t="s">
        <v>434</v>
      </c>
      <c r="B24" s="162"/>
      <c r="C24" s="386"/>
      <c r="D24" s="160"/>
      <c r="E24" s="238"/>
      <c r="F24" s="238"/>
      <c r="G24" s="369"/>
      <c r="H24" s="368"/>
      <c r="I24" s="368"/>
      <c r="J24" s="224"/>
      <c r="K24" s="225"/>
      <c r="L24" s="232"/>
      <c r="M24" s="225"/>
      <c r="P24" s="148"/>
      <c r="Q24" s="148"/>
    </row>
    <row r="25" spans="1:17" ht="14.85" customHeight="1" outlineLevel="1">
      <c r="A25" s="178" t="s">
        <v>421</v>
      </c>
      <c r="B25" s="162"/>
      <c r="C25" s="379" t="s">
        <v>433</v>
      </c>
      <c r="D25" s="160">
        <v>1139487.55</v>
      </c>
      <c r="E25" s="238">
        <v>634316.77</v>
      </c>
      <c r="F25" s="238">
        <f>SUM(G25-E25)</f>
        <v>993033.23</v>
      </c>
      <c r="G25" s="385">
        <v>1627350</v>
      </c>
      <c r="H25" s="226">
        <f>ROUND(H14*0.12,0)+1</f>
        <v>1627164</v>
      </c>
      <c r="I25" s="226">
        <f>ROUND(I14*0.12,0)+1</f>
        <v>1627164</v>
      </c>
      <c r="J25" s="221">
        <f>SUM(H25*0.1)</f>
        <v>162716.40000000002</v>
      </c>
      <c r="K25" s="4639"/>
      <c r="L25" s="4640"/>
      <c r="M25" s="4640"/>
      <c r="N25" s="4640"/>
      <c r="P25" s="148"/>
      <c r="Q25" s="148"/>
    </row>
    <row r="26" spans="1:17" ht="14.85" customHeight="1" outlineLevel="1">
      <c r="A26" s="178" t="s">
        <v>432</v>
      </c>
      <c r="B26" s="162"/>
      <c r="C26" s="379" t="s">
        <v>431</v>
      </c>
      <c r="D26" s="160">
        <v>33400</v>
      </c>
      <c r="E26" s="238">
        <v>17400</v>
      </c>
      <c r="F26" s="238">
        <f>SUM(G26-E26)</f>
        <v>28200</v>
      </c>
      <c r="G26" s="381">
        <v>45600</v>
      </c>
      <c r="H26" s="384">
        <f>plantilla!B67*100*12</f>
        <v>45600</v>
      </c>
      <c r="I26" s="384">
        <f>plantilla!B67*100*12</f>
        <v>45600</v>
      </c>
      <c r="J26" s="224"/>
      <c r="K26" s="4639" t="s">
        <v>429</v>
      </c>
      <c r="L26" s="4640"/>
      <c r="M26" s="4640"/>
      <c r="N26" s="4640"/>
      <c r="O26" s="219"/>
      <c r="P26" s="148"/>
      <c r="Q26" s="148"/>
    </row>
    <row r="27" spans="1:17" ht="14.85" customHeight="1" outlineLevel="1">
      <c r="A27" s="178" t="s">
        <v>418</v>
      </c>
      <c r="B27" s="162"/>
      <c r="C27" s="379" t="s">
        <v>430</v>
      </c>
      <c r="D27" s="160">
        <v>130627.23999999999</v>
      </c>
      <c r="E27" s="238">
        <v>72620.13</v>
      </c>
      <c r="F27" s="238">
        <f>SUM(G27-E27)</f>
        <v>157175.87</v>
      </c>
      <c r="G27" s="383">
        <v>229796</v>
      </c>
      <c r="H27" s="382">
        <f>plantilla!M69</f>
        <v>266704</v>
      </c>
      <c r="I27" s="382">
        <f>plantilla!P69</f>
        <v>266704</v>
      </c>
      <c r="J27" s="221">
        <f>SUM(H27*0.1)</f>
        <v>26670.400000000001</v>
      </c>
      <c r="K27" s="179" t="s">
        <v>426</v>
      </c>
      <c r="N27" s="134">
        <f>ROUND(J14,0)+1</f>
        <v>1355970</v>
      </c>
      <c r="P27" s="148"/>
    </row>
    <row r="28" spans="1:17" ht="14.85" customHeight="1" outlineLevel="1">
      <c r="A28" s="178" t="s">
        <v>580</v>
      </c>
      <c r="B28" s="162"/>
      <c r="C28" s="379" t="s">
        <v>427</v>
      </c>
      <c r="D28" s="160">
        <v>33400</v>
      </c>
      <c r="E28" s="238">
        <v>14500</v>
      </c>
      <c r="F28" s="238">
        <f>SUM(G28-E28)</f>
        <v>31100</v>
      </c>
      <c r="G28" s="381">
        <v>45600</v>
      </c>
      <c r="H28" s="380">
        <f>plantilla!B67*100*12</f>
        <v>45600</v>
      </c>
      <c r="I28" s="380">
        <f>plantilla!B67*100*12</f>
        <v>45600</v>
      </c>
      <c r="J28" s="216"/>
      <c r="K28" s="207" t="s">
        <v>424</v>
      </c>
      <c r="N28" s="134">
        <f>ROUND(J21,0)+1</f>
        <v>112998</v>
      </c>
    </row>
    <row r="29" spans="1:17" ht="14.85" customHeight="1" outlineLevel="1">
      <c r="A29" s="215" t="s">
        <v>425</v>
      </c>
      <c r="B29" s="162"/>
      <c r="C29" s="379"/>
      <c r="D29" s="160"/>
      <c r="E29" s="378"/>
      <c r="F29" s="238"/>
      <c r="G29" s="374"/>
      <c r="H29" s="376"/>
      <c r="I29" s="376"/>
      <c r="J29" s="214"/>
      <c r="K29" s="207" t="s">
        <v>421</v>
      </c>
      <c r="L29" s="148"/>
      <c r="M29" s="148"/>
      <c r="N29" s="134">
        <f>ROUND(J25,0)+1</f>
        <v>162717</v>
      </c>
      <c r="O29" s="148"/>
    </row>
    <row r="30" spans="1:17" ht="14.85" customHeight="1" outlineLevel="1">
      <c r="A30" s="178" t="s">
        <v>423</v>
      </c>
      <c r="B30" s="162"/>
      <c r="C30" s="379" t="s">
        <v>422</v>
      </c>
      <c r="D30" s="160">
        <v>0</v>
      </c>
      <c r="E30" s="378">
        <v>0</v>
      </c>
      <c r="F30" s="238">
        <f t="shared" ref="F30:F35" si="2">SUM(G30-E30)</f>
        <v>1000</v>
      </c>
      <c r="G30" s="374">
        <v>1000</v>
      </c>
      <c r="H30" s="376">
        <v>381308</v>
      </c>
      <c r="I30" s="376">
        <f>H30</f>
        <v>381308</v>
      </c>
      <c r="J30" s="214"/>
      <c r="K30" s="207" t="s">
        <v>418</v>
      </c>
      <c r="L30" s="148"/>
      <c r="M30" s="148"/>
      <c r="N30" s="134">
        <f>ROUND(J27,0)+1</f>
        <v>26671</v>
      </c>
      <c r="O30" s="148"/>
    </row>
    <row r="31" spans="1:17" ht="14.85" customHeight="1" outlineLevel="1" thickBot="1">
      <c r="A31" s="197" t="s">
        <v>420</v>
      </c>
      <c r="B31" s="162"/>
      <c r="C31" s="373" t="s">
        <v>419</v>
      </c>
      <c r="D31" s="160">
        <v>1919614.07</v>
      </c>
      <c r="E31" s="378">
        <v>0</v>
      </c>
      <c r="F31" s="238">
        <f t="shared" si="2"/>
        <v>1038416</v>
      </c>
      <c r="G31" s="374">
        <v>1038416</v>
      </c>
      <c r="H31" s="226">
        <f>N33</f>
        <v>1771354</v>
      </c>
      <c r="I31" s="226">
        <f>H31</f>
        <v>1771354</v>
      </c>
      <c r="J31" s="210">
        <f>SUM(J11:J30)</f>
        <v>1771350.4</v>
      </c>
      <c r="K31" s="377" t="s">
        <v>579</v>
      </c>
      <c r="L31" s="148"/>
      <c r="M31" s="148"/>
      <c r="N31" s="134">
        <f>ROUND(J23,0)+1</f>
        <v>112998</v>
      </c>
      <c r="O31" s="148"/>
    </row>
    <row r="32" spans="1:17" ht="14.85" customHeight="1" outlineLevel="1" thickTop="1">
      <c r="A32" s="197" t="s">
        <v>417</v>
      </c>
      <c r="B32" s="162"/>
      <c r="C32" s="373" t="s">
        <v>416</v>
      </c>
      <c r="D32" s="160">
        <v>25000</v>
      </c>
      <c r="E32" s="370">
        <v>5000</v>
      </c>
      <c r="F32" s="238">
        <f t="shared" si="2"/>
        <v>5000</v>
      </c>
      <c r="G32" s="374">
        <v>10000</v>
      </c>
      <c r="H32" s="376">
        <v>45000</v>
      </c>
      <c r="I32" s="376">
        <f>H32</f>
        <v>45000</v>
      </c>
      <c r="J32" s="375"/>
      <c r="K32" s="207"/>
      <c r="L32" s="148"/>
      <c r="M32" s="148"/>
      <c r="N32" s="148"/>
      <c r="O32" s="223"/>
    </row>
    <row r="33" spans="1:18" ht="14.85" customHeight="1" outlineLevel="1" thickBot="1">
      <c r="A33" s="197" t="s">
        <v>578</v>
      </c>
      <c r="B33" s="162"/>
      <c r="C33" s="373" t="s">
        <v>413</v>
      </c>
      <c r="D33" s="195">
        <v>0</v>
      </c>
      <c r="E33" s="370">
        <v>0</v>
      </c>
      <c r="F33" s="238">
        <f t="shared" si="2"/>
        <v>1000</v>
      </c>
      <c r="G33" s="374">
        <v>1000</v>
      </c>
      <c r="H33" s="368">
        <v>1000</v>
      </c>
      <c r="I33" s="368">
        <v>1000</v>
      </c>
      <c r="J33" s="367"/>
      <c r="K33" s="190" t="s">
        <v>577</v>
      </c>
      <c r="L33" s="190"/>
      <c r="M33" s="190"/>
      <c r="N33" s="357">
        <f>SUM(N27:N32)</f>
        <v>1771354</v>
      </c>
      <c r="O33" s="357">
        <f>SUM(O27:O32)</f>
        <v>0</v>
      </c>
    </row>
    <row r="34" spans="1:18" ht="14.85" customHeight="1" outlineLevel="1" thickTop="1">
      <c r="A34" s="372" t="s">
        <v>576</v>
      </c>
      <c r="B34" s="162"/>
      <c r="C34" s="373" t="s">
        <v>411</v>
      </c>
      <c r="D34" s="195">
        <v>141000</v>
      </c>
      <c r="E34" s="370">
        <v>0</v>
      </c>
      <c r="F34" s="238">
        <f t="shared" si="2"/>
        <v>190000</v>
      </c>
      <c r="G34" s="369">
        <v>190000</v>
      </c>
      <c r="H34" s="368">
        <f>plantilla!B67*5000</f>
        <v>190000</v>
      </c>
      <c r="I34" s="368">
        <f>plantilla!B67*5000</f>
        <v>190000</v>
      </c>
      <c r="J34" s="367"/>
    </row>
    <row r="35" spans="1:18" ht="14.85" customHeight="1" outlineLevel="1">
      <c r="A35" s="372" t="s">
        <v>575</v>
      </c>
      <c r="B35" s="162"/>
      <c r="C35" s="371" t="s">
        <v>408</v>
      </c>
      <c r="D35" s="195">
        <v>81000</v>
      </c>
      <c r="E35" s="370">
        <v>0</v>
      </c>
      <c r="F35" s="238">
        <f t="shared" si="2"/>
        <v>0</v>
      </c>
      <c r="G35" s="369">
        <v>0</v>
      </c>
      <c r="H35" s="368">
        <v>0</v>
      </c>
      <c r="I35" s="368">
        <v>0</v>
      </c>
      <c r="J35" s="367"/>
    </row>
    <row r="36" spans="1:18" ht="18" customHeight="1" outlineLevel="1">
      <c r="A36" s="189" t="s">
        <v>407</v>
      </c>
      <c r="B36" s="366"/>
      <c r="C36" s="365"/>
      <c r="D36" s="364">
        <f>SUM(D37:D56)</f>
        <v>1025829.71</v>
      </c>
      <c r="E36" s="364">
        <f>SUM(E37:E56)</f>
        <v>346885.29999999993</v>
      </c>
      <c r="F36" s="364">
        <f>SUM(F37:F56)</f>
        <v>1231324.6999999997</v>
      </c>
      <c r="G36" s="364">
        <f>SUM(G37:G56)</f>
        <v>1578210</v>
      </c>
      <c r="H36" s="364">
        <f>SUM(H37:H56)</f>
        <v>1438210</v>
      </c>
    </row>
    <row r="37" spans="1:18" ht="14.85" customHeight="1" outlineLevel="1">
      <c r="A37" s="178" t="s">
        <v>574</v>
      </c>
      <c r="B37" s="185"/>
      <c r="C37" s="354" t="s">
        <v>405</v>
      </c>
      <c r="D37" s="184">
        <v>33240</v>
      </c>
      <c r="E37" s="183">
        <v>13695</v>
      </c>
      <c r="F37" s="238">
        <f>SUM(G37-E37)</f>
        <v>161305</v>
      </c>
      <c r="G37" s="183">
        <v>175000</v>
      </c>
      <c r="H37" s="182">
        <v>165000</v>
      </c>
      <c r="I37" s="363"/>
      <c r="K37" s="148"/>
      <c r="L37" s="148"/>
      <c r="M37" s="148"/>
      <c r="N37" s="148"/>
      <c r="O37" s="148"/>
    </row>
    <row r="38" spans="1:18" s="347" customFormat="1" ht="14.85" customHeight="1" outlineLevel="1">
      <c r="A38" s="178" t="s">
        <v>404</v>
      </c>
      <c r="B38" s="177"/>
      <c r="C38" s="354" t="s">
        <v>403</v>
      </c>
      <c r="D38" s="160">
        <v>3000</v>
      </c>
      <c r="E38" s="158">
        <v>0</v>
      </c>
      <c r="F38" s="238">
        <f>SUM(G38-E38)</f>
        <v>100000</v>
      </c>
      <c r="G38" s="158">
        <v>100000</v>
      </c>
      <c r="H38" s="157">
        <v>100000</v>
      </c>
      <c r="I38" s="352"/>
      <c r="J38" s="348"/>
      <c r="K38" s="155"/>
      <c r="L38" s="155"/>
      <c r="M38" s="155"/>
      <c r="N38" s="155"/>
      <c r="O38" s="155"/>
      <c r="P38" s="155"/>
      <c r="Q38" s="155"/>
      <c r="R38" s="155"/>
    </row>
    <row r="39" spans="1:18" s="347" customFormat="1" ht="14.85" customHeight="1" outlineLevel="1">
      <c r="A39" s="178" t="s">
        <v>402</v>
      </c>
      <c r="B39" s="177"/>
      <c r="C39" s="354" t="s">
        <v>401</v>
      </c>
      <c r="D39" s="160">
        <v>126291.76</v>
      </c>
      <c r="E39" s="158">
        <v>63645.5</v>
      </c>
      <c r="F39" s="238">
        <f>SUM(G39-E39)</f>
        <v>74614.5</v>
      </c>
      <c r="G39" s="158">
        <v>138260</v>
      </c>
      <c r="H39" s="157">
        <v>118260</v>
      </c>
      <c r="I39" s="352"/>
      <c r="J39" s="348"/>
      <c r="K39" s="155"/>
      <c r="L39" s="362" t="s">
        <v>573</v>
      </c>
      <c r="M39" s="361"/>
      <c r="N39" s="359"/>
      <c r="O39" s="155"/>
      <c r="P39" s="155"/>
      <c r="Q39" s="155"/>
      <c r="R39" s="155"/>
    </row>
    <row r="40" spans="1:18" s="347" customFormat="1" ht="14.85" customHeight="1" outlineLevel="1">
      <c r="A40" s="166" t="s">
        <v>572</v>
      </c>
      <c r="B40" s="162"/>
      <c r="C40" s="354"/>
      <c r="D40" s="160"/>
      <c r="E40" s="158"/>
      <c r="F40" s="238"/>
      <c r="G40" s="158"/>
      <c r="H40" s="157"/>
      <c r="I40" s="352"/>
      <c r="J40" s="348"/>
      <c r="K40" s="358" t="s">
        <v>387</v>
      </c>
      <c r="L40" s="338">
        <f>plantilla!B67*200</f>
        <v>7600</v>
      </c>
      <c r="M40" s="356"/>
      <c r="N40" s="359"/>
      <c r="O40" s="155"/>
      <c r="P40" s="155"/>
      <c r="Q40" s="155"/>
      <c r="R40" s="155"/>
    </row>
    <row r="41" spans="1:18" s="347" customFormat="1" ht="14.85" customHeight="1" outlineLevel="1">
      <c r="A41" s="181"/>
      <c r="B41" s="360" t="s">
        <v>571</v>
      </c>
      <c r="C41" s="350" t="s">
        <v>398</v>
      </c>
      <c r="D41" s="160">
        <v>105341</v>
      </c>
      <c r="E41" s="158">
        <v>28495</v>
      </c>
      <c r="F41" s="238">
        <f t="shared" ref="F41:F47" si="3">SUM(G41-E41)</f>
        <v>95005</v>
      </c>
      <c r="G41" s="158">
        <v>123500</v>
      </c>
      <c r="H41" s="157">
        <v>103500</v>
      </c>
      <c r="I41" s="352"/>
      <c r="J41" s="348"/>
      <c r="K41" s="358" t="s">
        <v>384</v>
      </c>
      <c r="L41" s="338">
        <f>plantilla!B67*2100</f>
        <v>79800</v>
      </c>
      <c r="M41" s="220"/>
      <c r="N41" s="359"/>
      <c r="O41" s="155"/>
      <c r="P41" s="155"/>
      <c r="Q41" s="155"/>
      <c r="R41" s="155"/>
    </row>
    <row r="42" spans="1:18" s="347" customFormat="1" ht="14.85" customHeight="1" outlineLevel="1">
      <c r="A42" s="166" t="s">
        <v>570</v>
      </c>
      <c r="B42" s="162"/>
      <c r="C42" s="350" t="s">
        <v>569</v>
      </c>
      <c r="D42" s="160">
        <v>0</v>
      </c>
      <c r="E42" s="158">
        <v>0</v>
      </c>
      <c r="F42" s="238">
        <f t="shared" si="3"/>
        <v>1000</v>
      </c>
      <c r="G42" s="158">
        <v>1000</v>
      </c>
      <c r="H42" s="157">
        <v>1000</v>
      </c>
      <c r="I42" s="352"/>
      <c r="J42" s="348"/>
      <c r="K42" s="358" t="s">
        <v>382</v>
      </c>
      <c r="L42" s="338">
        <f>SUM(L43-L40-L41)</f>
        <v>-2400</v>
      </c>
      <c r="M42" s="356"/>
      <c r="N42" s="359"/>
      <c r="O42" s="155"/>
      <c r="P42" s="155"/>
      <c r="Q42" s="155"/>
      <c r="R42" s="155"/>
    </row>
    <row r="43" spans="1:18" s="347" customFormat="1" ht="14.85" customHeight="1" outlineLevel="1" thickBot="1">
      <c r="A43" s="180" t="s">
        <v>397</v>
      </c>
      <c r="B43" s="179"/>
      <c r="C43" s="350" t="s">
        <v>396</v>
      </c>
      <c r="D43" s="160">
        <v>8970</v>
      </c>
      <c r="E43" s="158">
        <v>0</v>
      </c>
      <c r="F43" s="238">
        <f t="shared" si="3"/>
        <v>20000</v>
      </c>
      <c r="G43" s="158">
        <v>20000</v>
      </c>
      <c r="H43" s="157">
        <v>10000</v>
      </c>
      <c r="I43" s="352"/>
      <c r="J43" s="348"/>
      <c r="K43" s="358" t="s">
        <v>379</v>
      </c>
      <c r="L43" s="357">
        <f>H54</f>
        <v>85000</v>
      </c>
      <c r="M43" s="356"/>
      <c r="N43" s="356"/>
      <c r="O43" s="155"/>
      <c r="P43" s="155"/>
      <c r="Q43" s="155"/>
      <c r="R43" s="155"/>
    </row>
    <row r="44" spans="1:18" s="347" customFormat="1" ht="14.85" customHeight="1" outlineLevel="1" thickTop="1">
      <c r="A44" s="166" t="s">
        <v>395</v>
      </c>
      <c r="B44" s="177"/>
      <c r="C44" s="341" t="s">
        <v>394</v>
      </c>
      <c r="D44" s="160">
        <v>41544.240000000005</v>
      </c>
      <c r="E44" s="158">
        <v>19950</v>
      </c>
      <c r="F44" s="238">
        <f t="shared" si="3"/>
        <v>40550</v>
      </c>
      <c r="G44" s="158">
        <v>60500</v>
      </c>
      <c r="H44" s="157">
        <v>40500</v>
      </c>
      <c r="I44" s="352"/>
      <c r="J44" s="348"/>
      <c r="K44" s="355" t="s">
        <v>568</v>
      </c>
      <c r="L44" s="338"/>
      <c r="M44" s="155"/>
      <c r="N44" s="155"/>
      <c r="O44" s="155"/>
      <c r="P44" s="155"/>
      <c r="Q44" s="155"/>
      <c r="R44" s="155"/>
    </row>
    <row r="45" spans="1:18" s="347" customFormat="1" ht="14.85" customHeight="1" outlineLevel="1">
      <c r="A45" s="178" t="s">
        <v>393</v>
      </c>
      <c r="B45" s="177"/>
      <c r="C45" s="354" t="s">
        <v>392</v>
      </c>
      <c r="D45" s="160">
        <v>130</v>
      </c>
      <c r="E45" s="158">
        <v>499</v>
      </c>
      <c r="F45" s="238">
        <f t="shared" si="3"/>
        <v>6251</v>
      </c>
      <c r="G45" s="158">
        <v>6750</v>
      </c>
      <c r="H45" s="157">
        <v>6750</v>
      </c>
      <c r="I45" s="352"/>
      <c r="J45" s="348"/>
      <c r="K45" s="135"/>
      <c r="L45" s="155"/>
      <c r="M45" s="155"/>
      <c r="N45" s="155"/>
      <c r="O45" s="155"/>
      <c r="P45" s="155"/>
      <c r="Q45" s="155"/>
      <c r="R45" s="155"/>
    </row>
    <row r="46" spans="1:18" s="347" customFormat="1" ht="13.5" customHeight="1" outlineLevel="1">
      <c r="A46" s="178" t="s">
        <v>391</v>
      </c>
      <c r="B46" s="177"/>
      <c r="C46" s="350" t="s">
        <v>390</v>
      </c>
      <c r="D46" s="160">
        <v>71635.56</v>
      </c>
      <c r="E46" s="158">
        <v>29730.6</v>
      </c>
      <c r="F46" s="238">
        <f t="shared" si="3"/>
        <v>40269.4</v>
      </c>
      <c r="G46" s="158">
        <v>70000</v>
      </c>
      <c r="H46" s="157">
        <v>70000</v>
      </c>
      <c r="I46" s="352">
        <v>2</v>
      </c>
      <c r="J46" s="353" t="s">
        <v>567</v>
      </c>
      <c r="K46" s="155">
        <v>156000</v>
      </c>
      <c r="L46" s="155"/>
      <c r="M46" s="155"/>
      <c r="N46" s="155"/>
      <c r="O46" s="155"/>
      <c r="P46" s="155"/>
      <c r="Q46" s="155"/>
      <c r="R46" s="155"/>
    </row>
    <row r="47" spans="1:18" s="347" customFormat="1" ht="14.25" customHeight="1" outlineLevel="1">
      <c r="A47" s="176" t="s">
        <v>389</v>
      </c>
      <c r="B47" s="175"/>
      <c r="C47" s="341" t="s">
        <v>388</v>
      </c>
      <c r="D47" s="160">
        <v>469454.35</v>
      </c>
      <c r="E47" s="157">
        <v>183075</v>
      </c>
      <c r="F47" s="238">
        <f t="shared" si="3"/>
        <v>368925</v>
      </c>
      <c r="G47" s="158">
        <v>552000</v>
      </c>
      <c r="H47" s="157">
        <v>552000</v>
      </c>
      <c r="I47" s="352">
        <v>5</v>
      </c>
      <c r="J47" s="347">
        <v>79200</v>
      </c>
      <c r="K47" s="155">
        <v>396000</v>
      </c>
      <c r="L47" s="155">
        <f>SUM(I47*J47)</f>
        <v>396000</v>
      </c>
      <c r="M47" s="155"/>
      <c r="N47" s="155"/>
      <c r="O47" s="155"/>
      <c r="P47" s="155"/>
      <c r="Q47" s="155"/>
      <c r="R47" s="155"/>
    </row>
    <row r="48" spans="1:18" s="347" customFormat="1" ht="13.5" customHeight="1" outlineLevel="1" thickBot="1">
      <c r="A48" s="351" t="s">
        <v>383</v>
      </c>
      <c r="B48" s="173"/>
      <c r="C48" s="345"/>
      <c r="D48" s="160"/>
      <c r="E48" s="158"/>
      <c r="F48" s="238"/>
      <c r="G48" s="158"/>
      <c r="H48" s="157"/>
      <c r="I48" s="349">
        <f>SUM(I46:I47)</f>
        <v>7</v>
      </c>
      <c r="J48" s="348"/>
      <c r="K48" s="199">
        <f>SUM(K46:K47)</f>
        <v>552000</v>
      </c>
      <c r="L48" s="155"/>
      <c r="M48" s="155"/>
      <c r="N48" s="155"/>
      <c r="O48" s="155"/>
      <c r="P48" s="155"/>
      <c r="Q48" s="155"/>
      <c r="R48" s="155"/>
    </row>
    <row r="49" spans="1:18" s="347" customFormat="1" ht="10.5" customHeight="1" outlineLevel="1" thickTop="1">
      <c r="A49" s="163"/>
      <c r="B49" s="164" t="s">
        <v>386</v>
      </c>
      <c r="C49" s="350" t="s">
        <v>385</v>
      </c>
      <c r="D49" s="160">
        <v>0</v>
      </c>
      <c r="E49" s="158">
        <v>0</v>
      </c>
      <c r="F49" s="238">
        <f>SUM(G49-E49)</f>
        <v>20000</v>
      </c>
      <c r="G49" s="158">
        <v>20000</v>
      </c>
      <c r="H49" s="157">
        <v>20000</v>
      </c>
      <c r="I49" s="349"/>
      <c r="J49" s="348"/>
      <c r="K49" s="155"/>
      <c r="L49" s="155"/>
      <c r="M49" s="155"/>
      <c r="N49" s="155"/>
      <c r="O49" s="155"/>
      <c r="P49" s="155"/>
      <c r="Q49" s="155"/>
      <c r="R49" s="155"/>
    </row>
    <row r="50" spans="1:18" s="347" customFormat="1" ht="14.85" customHeight="1" outlineLevel="1">
      <c r="A50" s="351" t="s">
        <v>383</v>
      </c>
      <c r="B50" s="173"/>
      <c r="C50" s="345"/>
      <c r="D50" s="160"/>
      <c r="E50" s="158"/>
      <c r="F50" s="238"/>
      <c r="G50" s="158"/>
      <c r="H50" s="157"/>
      <c r="I50" s="349"/>
      <c r="J50" s="348"/>
      <c r="K50" s="155"/>
      <c r="L50" s="155"/>
      <c r="M50" s="155"/>
      <c r="N50" s="155"/>
      <c r="O50" s="155"/>
      <c r="P50" s="155"/>
      <c r="Q50" s="155"/>
      <c r="R50" s="155"/>
    </row>
    <row r="51" spans="1:18" s="347" customFormat="1" ht="14.85" customHeight="1" outlineLevel="1">
      <c r="A51" s="163"/>
      <c r="B51" s="164" t="s">
        <v>381</v>
      </c>
      <c r="C51" s="350" t="s">
        <v>380</v>
      </c>
      <c r="D51" s="160">
        <v>85870</v>
      </c>
      <c r="E51" s="158">
        <v>0</v>
      </c>
      <c r="F51" s="238">
        <f>SUM(G51-E51)</f>
        <v>146200</v>
      </c>
      <c r="G51" s="158">
        <v>146200</v>
      </c>
      <c r="H51" s="157">
        <v>96200</v>
      </c>
      <c r="I51" s="349"/>
      <c r="J51" s="348"/>
      <c r="K51" s="155"/>
      <c r="L51" s="155"/>
      <c r="M51" s="155"/>
      <c r="N51" s="155"/>
      <c r="O51" s="155"/>
      <c r="P51" s="155"/>
      <c r="Q51" s="155"/>
      <c r="R51" s="155"/>
    </row>
    <row r="52" spans="1:18" s="347" customFormat="1" ht="14.85" customHeight="1" outlineLevel="1">
      <c r="A52" s="351" t="s">
        <v>566</v>
      </c>
      <c r="B52" s="173"/>
      <c r="C52" s="345"/>
      <c r="D52" s="160"/>
      <c r="E52" s="158"/>
      <c r="F52" s="238"/>
      <c r="G52" s="158"/>
      <c r="H52" s="157"/>
      <c r="I52" s="349"/>
      <c r="J52" s="348"/>
      <c r="K52" s="155"/>
      <c r="L52" s="155"/>
      <c r="M52" s="155"/>
      <c r="N52" s="155"/>
      <c r="O52" s="155"/>
      <c r="P52" s="155"/>
      <c r="Q52" s="155"/>
      <c r="R52" s="155"/>
    </row>
    <row r="53" spans="1:18" s="347" customFormat="1" ht="14.85" customHeight="1" outlineLevel="1">
      <c r="A53" s="163"/>
      <c r="B53" s="164" t="s">
        <v>565</v>
      </c>
      <c r="C53" s="350" t="s">
        <v>376</v>
      </c>
      <c r="D53" s="160">
        <v>0</v>
      </c>
      <c r="E53" s="158">
        <v>0</v>
      </c>
      <c r="F53" s="238">
        <f>SUM(G53-E53)</f>
        <v>0</v>
      </c>
      <c r="G53" s="158">
        <v>0</v>
      </c>
      <c r="H53" s="157">
        <v>10000</v>
      </c>
      <c r="I53" s="349"/>
      <c r="J53" s="348"/>
      <c r="K53" s="155"/>
      <c r="L53" s="155"/>
      <c r="M53" s="155"/>
      <c r="N53" s="155"/>
      <c r="O53" s="155"/>
      <c r="P53" s="155"/>
      <c r="Q53" s="155"/>
      <c r="R53" s="155"/>
    </row>
    <row r="54" spans="1:18" ht="14.85" customHeight="1" outlineLevel="1">
      <c r="A54" s="346" t="s">
        <v>368</v>
      </c>
      <c r="B54" s="175"/>
      <c r="C54" s="341" t="s">
        <v>367</v>
      </c>
      <c r="D54" s="160">
        <v>25552.799999999999</v>
      </c>
      <c r="E54" s="157">
        <v>3897.6</v>
      </c>
      <c r="F54" s="238">
        <f>SUM(G54-E54)</f>
        <v>81102.399999999994</v>
      </c>
      <c r="G54" s="157">
        <v>85000</v>
      </c>
      <c r="H54" s="157">
        <v>85000</v>
      </c>
      <c r="I54" s="344"/>
    </row>
    <row r="55" spans="1:18" ht="14.85" customHeight="1" outlineLevel="1">
      <c r="A55" s="346" t="s">
        <v>368</v>
      </c>
      <c r="B55" s="175"/>
      <c r="C55" s="345"/>
      <c r="D55" s="160"/>
      <c r="E55" s="157"/>
      <c r="F55" s="238"/>
      <c r="G55" s="157"/>
      <c r="H55" s="157"/>
      <c r="I55" s="344"/>
    </row>
    <row r="56" spans="1:18" ht="14.85" customHeight="1" outlineLevel="2">
      <c r="A56" s="343"/>
      <c r="B56" s="342" t="s">
        <v>564</v>
      </c>
      <c r="C56" s="341" t="s">
        <v>563</v>
      </c>
      <c r="D56" s="238">
        <v>54800</v>
      </c>
      <c r="E56" s="157">
        <v>3897.6</v>
      </c>
      <c r="F56" s="238">
        <f>SUM(G56-E56)</f>
        <v>76102.399999999994</v>
      </c>
      <c r="G56" s="157">
        <v>80000</v>
      </c>
      <c r="H56" s="157">
        <v>60000</v>
      </c>
    </row>
    <row r="57" spans="1:18" s="134" customFormat="1" ht="19.5" customHeight="1" outlineLevel="2" thickBot="1">
      <c r="A57" s="147" t="s">
        <v>366</v>
      </c>
      <c r="B57" s="147"/>
      <c r="C57" s="146"/>
      <c r="D57" s="145">
        <f>SUM(D12+D36)</f>
        <v>18080605.18</v>
      </c>
      <c r="E57" s="145">
        <f>SUM(E12+E36)</f>
        <v>9134409.6900000013</v>
      </c>
      <c r="F57" s="145">
        <f>SUM(F12+F36)</f>
        <v>14769018.309999999</v>
      </c>
      <c r="G57" s="145">
        <f>SUM(G12+G36)</f>
        <v>23903428</v>
      </c>
      <c r="H57" s="144">
        <f>SUM(H12+H36)</f>
        <v>25146576</v>
      </c>
      <c r="I57" s="340" t="s">
        <v>365</v>
      </c>
      <c r="J57" s="268">
        <v>23321783</v>
      </c>
    </row>
    <row r="58" spans="1:18" ht="17.25" customHeight="1" thickTop="1">
      <c r="A58" s="134" t="s">
        <v>364</v>
      </c>
      <c r="C58" s="141" t="s">
        <v>562</v>
      </c>
      <c r="E58" s="4631" t="s">
        <v>561</v>
      </c>
      <c r="F58" s="4631"/>
      <c r="G58" s="134"/>
      <c r="H58" s="339"/>
    </row>
    <row r="59" spans="1:18" ht="14.25" customHeight="1">
      <c r="B59" s="134"/>
      <c r="C59" s="141"/>
      <c r="D59" s="134"/>
      <c r="E59" s="134"/>
      <c r="F59" s="134"/>
      <c r="G59" s="134"/>
    </row>
    <row r="60" spans="1:18" s="134" customFormat="1" ht="19.5" customHeight="1">
      <c r="A60" s="139" t="s">
        <v>560</v>
      </c>
      <c r="C60" s="4635" t="s">
        <v>360</v>
      </c>
      <c r="D60" s="4635"/>
      <c r="E60" s="4630" t="s">
        <v>359</v>
      </c>
      <c r="F60" s="4630"/>
      <c r="G60" s="4630"/>
      <c r="H60" s="4630"/>
      <c r="J60" s="268"/>
    </row>
    <row r="61" spans="1:18" s="135" customFormat="1" ht="12" customHeight="1">
      <c r="A61" s="138" t="s">
        <v>559</v>
      </c>
      <c r="B61" s="136"/>
      <c r="C61" s="4622" t="s">
        <v>357</v>
      </c>
      <c r="D61" s="4622"/>
      <c r="E61" s="4623" t="s">
        <v>356</v>
      </c>
      <c r="F61" s="4623"/>
      <c r="G61" s="4623"/>
      <c r="H61" s="4623"/>
      <c r="I61" s="136"/>
    </row>
    <row r="62" spans="1:18" s="135" customFormat="1" ht="13.5">
      <c r="B62" s="136"/>
      <c r="C62" s="4621"/>
      <c r="D62" s="4621"/>
      <c r="E62" s="137"/>
      <c r="F62" s="137"/>
      <c r="G62" s="137"/>
      <c r="H62" s="137"/>
      <c r="I62" s="136"/>
      <c r="J62" s="337"/>
    </row>
    <row r="63" spans="1:18" s="135" customFormat="1" ht="13.5">
      <c r="E63" s="137"/>
      <c r="F63" s="137"/>
      <c r="G63" s="137"/>
      <c r="H63" s="137"/>
      <c r="I63" s="136"/>
      <c r="J63" s="337"/>
    </row>
    <row r="64" spans="1:18" s="135" customFormat="1" ht="13.5">
      <c r="E64" s="137"/>
      <c r="F64" s="137"/>
      <c r="G64" s="137"/>
      <c r="H64" s="137"/>
      <c r="I64" s="136"/>
      <c r="J64" s="337"/>
    </row>
    <row r="65" spans="2:18" s="135" customFormat="1" ht="13.5">
      <c r="E65" s="137"/>
      <c r="F65" s="137"/>
      <c r="G65" s="137"/>
      <c r="H65" s="137"/>
      <c r="I65" s="136"/>
      <c r="J65" s="337"/>
    </row>
    <row r="66" spans="2:18" s="135" customFormat="1" ht="13.5">
      <c r="E66" s="137"/>
      <c r="F66" s="137"/>
      <c r="G66" s="137"/>
      <c r="H66" s="137"/>
      <c r="I66" s="136"/>
      <c r="J66" s="337"/>
    </row>
    <row r="67" spans="2:18" s="135" customFormat="1" ht="13.5">
      <c r="D67" s="338"/>
      <c r="E67" s="137"/>
      <c r="F67" s="137"/>
      <c r="G67" s="137"/>
      <c r="H67" s="137"/>
      <c r="I67" s="136"/>
      <c r="J67" s="337"/>
    </row>
    <row r="68" spans="2:18" s="135" customFormat="1" ht="13.5">
      <c r="D68" s="137"/>
      <c r="E68" s="137"/>
      <c r="F68" s="137"/>
      <c r="G68" s="137"/>
      <c r="H68" s="137"/>
      <c r="I68" s="136"/>
      <c r="J68" s="337"/>
    </row>
    <row r="69" spans="2:18" s="135" customFormat="1" ht="13.5">
      <c r="B69" s="136"/>
      <c r="D69" s="137"/>
      <c r="E69" s="137"/>
      <c r="F69" s="137"/>
      <c r="G69" s="137"/>
      <c r="H69" s="137"/>
      <c r="I69" s="136"/>
      <c r="J69" s="337"/>
    </row>
    <row r="70" spans="2:18" s="135" customFormat="1" ht="13.5">
      <c r="B70" s="136"/>
      <c r="D70" s="137"/>
      <c r="E70" s="137"/>
      <c r="F70" s="137"/>
      <c r="G70" s="137"/>
      <c r="H70" s="137"/>
      <c r="I70" s="136"/>
      <c r="J70" s="337"/>
    </row>
    <row r="71" spans="2:18" s="135" customFormat="1" ht="13.5">
      <c r="B71" s="136"/>
      <c r="D71" s="137"/>
      <c r="E71" s="137"/>
      <c r="F71" s="137"/>
      <c r="G71" s="137"/>
      <c r="H71" s="137"/>
      <c r="I71" s="136"/>
      <c r="J71" s="337"/>
    </row>
    <row r="72" spans="2:18" s="135" customFormat="1" ht="13.5">
      <c r="B72" s="136"/>
      <c r="D72" s="137"/>
      <c r="E72" s="137"/>
      <c r="F72" s="137"/>
      <c r="G72" s="137"/>
      <c r="H72" s="137"/>
      <c r="I72" s="136"/>
      <c r="J72" s="337"/>
    </row>
    <row r="73" spans="2:18" s="135" customFormat="1" ht="13.5">
      <c r="B73" s="136"/>
      <c r="D73" s="137"/>
      <c r="E73" s="137"/>
      <c r="F73" s="137"/>
      <c r="G73" s="137"/>
      <c r="H73" s="137"/>
      <c r="I73" s="136"/>
      <c r="J73" s="337"/>
    </row>
    <row r="74" spans="2:18" s="135" customFormat="1" ht="13.5">
      <c r="B74" s="136"/>
      <c r="D74" s="137"/>
      <c r="E74" s="137"/>
      <c r="F74" s="137"/>
      <c r="G74" s="137"/>
      <c r="H74" s="137"/>
      <c r="I74" s="136"/>
      <c r="J74" s="337"/>
    </row>
    <row r="75" spans="2:18" s="336" customFormat="1" ht="9" customHeight="1">
      <c r="J75" s="268"/>
      <c r="K75" s="134"/>
      <c r="L75" s="134"/>
      <c r="M75" s="134"/>
      <c r="N75" s="134"/>
      <c r="O75" s="134"/>
      <c r="P75" s="134"/>
      <c r="Q75" s="134"/>
      <c r="R75" s="134"/>
    </row>
    <row r="76" spans="2:18" s="336" customFormat="1" ht="9" customHeight="1">
      <c r="J76" s="268"/>
      <c r="K76" s="134"/>
      <c r="L76" s="134"/>
      <c r="M76" s="134"/>
      <c r="N76" s="134"/>
      <c r="O76" s="134"/>
      <c r="P76" s="134"/>
      <c r="Q76" s="134"/>
      <c r="R76" s="134"/>
    </row>
    <row r="77" spans="2:18" s="336" customFormat="1" ht="9" customHeight="1">
      <c r="J77" s="268"/>
      <c r="K77" s="134"/>
      <c r="L77" s="134"/>
      <c r="M77" s="134"/>
      <c r="N77" s="134"/>
      <c r="O77" s="134"/>
      <c r="P77" s="134"/>
      <c r="Q77" s="134"/>
      <c r="R77" s="134"/>
    </row>
    <row r="78" spans="2:18" s="336" customFormat="1" ht="9" customHeight="1">
      <c r="J78" s="268"/>
      <c r="K78" s="134"/>
      <c r="L78" s="134"/>
      <c r="M78" s="134"/>
      <c r="N78" s="134"/>
      <c r="O78" s="134"/>
      <c r="P78" s="134"/>
      <c r="Q78" s="134"/>
      <c r="R78" s="134"/>
    </row>
    <row r="79" spans="2:18" s="336" customFormat="1" ht="9" customHeight="1">
      <c r="J79" s="268"/>
      <c r="K79" s="134"/>
      <c r="L79" s="134"/>
      <c r="M79" s="134"/>
      <c r="N79" s="134"/>
      <c r="O79" s="134"/>
      <c r="P79" s="134"/>
      <c r="Q79" s="134"/>
      <c r="R79" s="134"/>
    </row>
    <row r="80" spans="2:18" s="336" customFormat="1" ht="9.9499999999999993" customHeight="1">
      <c r="J80" s="268"/>
      <c r="K80" s="134"/>
      <c r="L80" s="134"/>
      <c r="M80" s="134"/>
      <c r="N80" s="134"/>
      <c r="O80" s="134"/>
      <c r="P80" s="134"/>
      <c r="Q80" s="134"/>
      <c r="R80" s="134"/>
    </row>
  </sheetData>
  <mergeCells count="14">
    <mergeCell ref="A3:H3"/>
    <mergeCell ref="A4:H4"/>
    <mergeCell ref="E8:G8"/>
    <mergeCell ref="M21:N21"/>
    <mergeCell ref="M22:N22"/>
    <mergeCell ref="A8:B10"/>
    <mergeCell ref="C61:D61"/>
    <mergeCell ref="E61:H61"/>
    <mergeCell ref="K25:N25"/>
    <mergeCell ref="K26:N26"/>
    <mergeCell ref="C62:D62"/>
    <mergeCell ref="E58:F58"/>
    <mergeCell ref="C60:D60"/>
    <mergeCell ref="E60:H60"/>
  </mergeCells>
  <pageMargins left="0.5" right="0" top="0.25" bottom="0" header="0.5" footer="0"/>
  <pageSetup paperSize="5" orientation="portrait"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A42"/>
  <sheetViews>
    <sheetView showGridLines="0" showOutlineSymbols="0" topLeftCell="A17" workbookViewId="0">
      <selection activeCell="C32" sqref="C32"/>
    </sheetView>
  </sheetViews>
  <sheetFormatPr defaultColWidth="12.5703125" defaultRowHeight="15.75" outlineLevelRow="1" outlineLevelCol="2"/>
  <cols>
    <col min="1" max="1" width="2.7109375" style="2077" customWidth="1"/>
    <col min="2" max="2" width="42.7109375" style="2077" customWidth="1"/>
    <col min="3" max="3" width="20.42578125" style="2077" customWidth="1"/>
    <col min="4" max="30" width="12.5703125" style="2077"/>
    <col min="31" max="35" width="12.5703125" style="2077" outlineLevel="1"/>
    <col min="36" max="41" width="12.5703125" style="2077" outlineLevel="2"/>
    <col min="42" max="44" width="12.5703125" style="2077" outlineLevel="1"/>
    <col min="45" max="64" width="12.5703125" style="2077"/>
    <col min="65" max="68" width="12.5703125" style="2077" outlineLevel="1"/>
    <col min="69" max="116" width="12.5703125" style="2077"/>
    <col min="117" max="122" width="12.5703125" style="2077" outlineLevel="1"/>
    <col min="123" max="128" width="12.5703125" style="2077" outlineLevel="2"/>
    <col min="129" max="131" width="12.5703125" style="2077" outlineLevel="1"/>
    <col min="132" max="16384" width="12.5703125" style="2077"/>
  </cols>
  <sheetData>
    <row r="1" spans="1:131" ht="14.25" customHeight="1">
      <c r="A1" s="4799" t="s">
        <v>1733</v>
      </c>
      <c r="B1" s="4799"/>
      <c r="C1" s="4799"/>
    </row>
    <row r="2" spans="1:131" ht="14.25" customHeight="1">
      <c r="A2" s="4617" t="s">
        <v>1732</v>
      </c>
      <c r="B2" s="4617"/>
      <c r="C2" s="4617"/>
    </row>
    <row r="3" spans="1:131" ht="14.25" customHeight="1">
      <c r="A3" s="4800" t="s">
        <v>1731</v>
      </c>
      <c r="B3" s="4800"/>
      <c r="C3" s="4800"/>
    </row>
    <row r="4" spans="1:131" ht="14.25" customHeight="1">
      <c r="A4" s="2103"/>
      <c r="B4" s="2102"/>
      <c r="C4" s="2102"/>
    </row>
    <row r="5" spans="1:131" ht="14.25" customHeight="1">
      <c r="A5" s="4801" t="s">
        <v>1730</v>
      </c>
      <c r="B5" s="4801"/>
      <c r="C5" s="4801"/>
    </row>
    <row r="6" spans="1:131" ht="14.25" customHeight="1">
      <c r="A6" s="332"/>
      <c r="B6" s="934"/>
      <c r="C6" s="934"/>
    </row>
    <row r="7" spans="1:131" ht="14.25" customHeight="1">
      <c r="A7" s="934"/>
      <c r="B7" s="934"/>
      <c r="C7" s="934"/>
    </row>
    <row r="8" spans="1:131" ht="18" customHeight="1">
      <c r="A8" s="4798" t="s">
        <v>1729</v>
      </c>
      <c r="B8" s="4798"/>
      <c r="C8" s="4798"/>
    </row>
    <row r="9" spans="1:131" ht="21.75" customHeight="1">
      <c r="A9" s="4798" t="s">
        <v>1728</v>
      </c>
      <c r="B9" s="4798"/>
      <c r="C9" s="4798"/>
    </row>
    <row r="10" spans="1:131" ht="14.25" customHeight="1">
      <c r="A10" s="2101"/>
      <c r="B10" s="2100"/>
      <c r="C10" s="2100"/>
    </row>
    <row r="11" spans="1:131" ht="20.100000000000001" customHeight="1">
      <c r="A11" s="4792" t="s">
        <v>1727</v>
      </c>
      <c r="B11" s="4793"/>
      <c r="C11" s="4796" t="s">
        <v>1726</v>
      </c>
    </row>
    <row r="12" spans="1:131" ht="20.100000000000001" customHeight="1">
      <c r="A12" s="4794"/>
      <c r="B12" s="4795"/>
      <c r="C12" s="4797"/>
    </row>
    <row r="13" spans="1:131" ht="20.100000000000001" customHeight="1">
      <c r="A13" s="2089" t="s">
        <v>1725</v>
      </c>
      <c r="B13" s="2099"/>
      <c r="C13" s="2097">
        <f>'[7]PAAOE NEW HAZARD'!$H$72</f>
        <v>67187077</v>
      </c>
    </row>
    <row r="14" spans="1:131" ht="19.899999999999999" customHeight="1" outlineLevel="1">
      <c r="A14" s="2089" t="s">
        <v>1724</v>
      </c>
      <c r="B14" s="2099"/>
      <c r="C14" s="2097">
        <f>'Rep&amp;Maint-Investment Property'!H31</f>
        <v>90000</v>
      </c>
    </row>
    <row r="15" spans="1:131" ht="19.899999999999999" customHeight="1" outlineLevel="1">
      <c r="A15" s="2089" t="s">
        <v>1723</v>
      </c>
      <c r="B15" s="2098"/>
      <c r="C15" s="2097">
        <f>Adolescent!H30</f>
        <v>200000</v>
      </c>
    </row>
    <row r="16" spans="1:131" ht="19.899999999999999" customHeight="1" outlineLevel="1">
      <c r="A16" s="2089" t="s">
        <v>1722</v>
      </c>
      <c r="B16" s="2088"/>
      <c r="C16" s="2087">
        <f>'ANTI-HUMAN RABIES'!H28</f>
        <v>1000000</v>
      </c>
      <c r="E16" s="2078"/>
      <c r="F16" s="2078"/>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c r="AP16" s="2078"/>
      <c r="AQ16" s="2078"/>
      <c r="AR16" s="2078"/>
      <c r="AS16" s="2078"/>
      <c r="AT16" s="2078"/>
      <c r="AU16" s="2078"/>
      <c r="AV16" s="2078"/>
      <c r="AW16" s="2078"/>
      <c r="AX16" s="2078"/>
      <c r="AY16" s="2078"/>
      <c r="AZ16" s="2078"/>
      <c r="BA16" s="2078"/>
      <c r="BB16" s="2078"/>
      <c r="BC16" s="2078"/>
      <c r="BD16" s="2078"/>
      <c r="BE16" s="2078"/>
      <c r="BF16" s="2078"/>
      <c r="BG16" s="2078"/>
      <c r="BH16" s="2078"/>
      <c r="BI16" s="2078"/>
      <c r="BJ16" s="2078"/>
      <c r="BK16" s="2078"/>
      <c r="BL16" s="2078"/>
      <c r="BM16" s="2078"/>
      <c r="BN16" s="2078"/>
      <c r="BO16" s="2078"/>
      <c r="BP16" s="2078"/>
      <c r="BQ16" s="2078"/>
      <c r="BR16" s="2078"/>
      <c r="BS16" s="2078"/>
      <c r="BT16" s="2078"/>
      <c r="BU16" s="2078"/>
      <c r="BV16" s="2078"/>
      <c r="BW16" s="2078"/>
      <c r="BX16" s="2078"/>
      <c r="BY16" s="2078"/>
      <c r="BZ16" s="2078"/>
      <c r="CA16" s="2078"/>
      <c r="CB16" s="2078"/>
      <c r="CC16" s="2078"/>
      <c r="CD16" s="2078"/>
      <c r="CE16" s="2078"/>
      <c r="CF16" s="2078"/>
      <c r="CG16" s="2078"/>
      <c r="CH16" s="2078"/>
      <c r="CI16" s="2078"/>
      <c r="CJ16" s="2078"/>
      <c r="CK16" s="2078"/>
      <c r="CL16" s="2078"/>
      <c r="CM16" s="2078"/>
      <c r="CN16" s="2078"/>
      <c r="CO16" s="2078"/>
      <c r="CP16" s="2078"/>
      <c r="CQ16" s="2078"/>
      <c r="CR16" s="2078"/>
      <c r="CS16" s="2078"/>
      <c r="CT16" s="2078"/>
      <c r="CU16" s="2078"/>
      <c r="CV16" s="2078"/>
      <c r="CW16" s="2078"/>
      <c r="CX16" s="2078"/>
      <c r="CY16" s="2078"/>
      <c r="CZ16" s="2078"/>
      <c r="DA16" s="2078"/>
      <c r="DB16" s="2078"/>
      <c r="DC16" s="2078"/>
      <c r="DD16" s="2078"/>
      <c r="DE16" s="2078"/>
      <c r="DF16" s="2078"/>
      <c r="DG16" s="2078"/>
      <c r="DH16" s="2078"/>
      <c r="DI16" s="2078"/>
      <c r="DJ16" s="2078"/>
      <c r="DK16" s="2078"/>
      <c r="DL16" s="2078"/>
      <c r="DM16" s="2078"/>
      <c r="DN16" s="2078"/>
      <c r="DO16" s="2078"/>
      <c r="DP16" s="2078"/>
      <c r="DQ16" s="2078"/>
      <c r="DR16" s="2078"/>
      <c r="DS16" s="2078"/>
      <c r="DT16" s="2078"/>
      <c r="DU16" s="2078"/>
      <c r="DV16" s="2078"/>
      <c r="DW16" s="2078"/>
      <c r="DX16" s="2078"/>
      <c r="DY16" s="2078"/>
      <c r="DZ16" s="2078"/>
      <c r="EA16" s="2078"/>
    </row>
    <row r="17" spans="1:131" ht="19.899999999999999" customHeight="1" outlineLevel="1">
      <c r="A17" s="2091" t="s">
        <v>1721</v>
      </c>
      <c r="B17" s="2090"/>
      <c r="C17" s="2087">
        <f>'ANTI-TB Program'!H31</f>
        <v>250000</v>
      </c>
      <c r="E17" s="2078"/>
      <c r="F17" s="2078"/>
      <c r="G17" s="2078"/>
      <c r="H17" s="2078"/>
      <c r="I17" s="2078"/>
      <c r="J17" s="2078"/>
      <c r="K17" s="2078"/>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c r="AP17" s="2078"/>
      <c r="AQ17" s="2078"/>
      <c r="AR17" s="2078"/>
      <c r="AS17" s="2078"/>
      <c r="AT17" s="2078"/>
      <c r="AU17" s="2078"/>
      <c r="AV17" s="2078"/>
      <c r="AW17" s="2078"/>
      <c r="AX17" s="2078"/>
      <c r="AY17" s="2078"/>
      <c r="AZ17" s="2078"/>
      <c r="BA17" s="2078"/>
      <c r="BB17" s="2078"/>
      <c r="BC17" s="2078"/>
      <c r="BD17" s="2078"/>
      <c r="BE17" s="2078"/>
      <c r="BF17" s="2078"/>
      <c r="BG17" s="2078"/>
      <c r="BH17" s="2078"/>
      <c r="BI17" s="2078"/>
      <c r="BJ17" s="2078"/>
      <c r="BK17" s="2078"/>
      <c r="BL17" s="2078"/>
      <c r="BM17" s="2078"/>
      <c r="BN17" s="2078"/>
      <c r="BO17" s="2078"/>
      <c r="BP17" s="2078"/>
      <c r="BQ17" s="2078"/>
      <c r="BR17" s="2078"/>
      <c r="BS17" s="2078"/>
      <c r="BT17" s="2078"/>
      <c r="BU17" s="2078"/>
      <c r="BV17" s="2078"/>
      <c r="BW17" s="2078"/>
      <c r="BX17" s="2078"/>
      <c r="BY17" s="2078"/>
      <c r="BZ17" s="2078"/>
      <c r="CA17" s="2078"/>
      <c r="CB17" s="2078"/>
      <c r="CC17" s="2078"/>
      <c r="CD17" s="2078"/>
      <c r="CE17" s="2078"/>
      <c r="CF17" s="2078"/>
      <c r="CG17" s="2078"/>
      <c r="CH17" s="2078"/>
      <c r="CI17" s="2078"/>
      <c r="CJ17" s="2078"/>
      <c r="CK17" s="2078"/>
      <c r="CL17" s="2078"/>
      <c r="CM17" s="2078"/>
      <c r="CN17" s="2078"/>
      <c r="CO17" s="2078"/>
      <c r="CP17" s="2078"/>
      <c r="CQ17" s="2078"/>
      <c r="CR17" s="2078"/>
      <c r="CS17" s="2078"/>
      <c r="CT17" s="2078"/>
      <c r="CU17" s="2078"/>
      <c r="CV17" s="2078"/>
      <c r="CW17" s="2078"/>
      <c r="CX17" s="2078"/>
      <c r="CY17" s="2078"/>
      <c r="CZ17" s="2078"/>
      <c r="DA17" s="2078"/>
      <c r="DB17" s="2078"/>
      <c r="DC17" s="2078"/>
      <c r="DD17" s="2078"/>
      <c r="DE17" s="2078"/>
      <c r="DF17" s="2078"/>
      <c r="DG17" s="2078"/>
      <c r="DH17" s="2078"/>
      <c r="DI17" s="2078"/>
      <c r="DJ17" s="2078"/>
      <c r="DK17" s="2078"/>
      <c r="DL17" s="2078"/>
      <c r="DM17" s="2078"/>
      <c r="DN17" s="2078"/>
      <c r="DO17" s="2078"/>
      <c r="DP17" s="2078"/>
      <c r="DQ17" s="2078"/>
      <c r="DR17" s="2078"/>
      <c r="DS17" s="2078"/>
      <c r="DT17" s="2078"/>
      <c r="DU17" s="2078"/>
      <c r="DV17" s="2078"/>
      <c r="DW17" s="2078"/>
      <c r="DX17" s="2078"/>
      <c r="DY17" s="2078"/>
      <c r="DZ17" s="2078"/>
      <c r="EA17" s="2078"/>
    </row>
    <row r="18" spans="1:131" ht="19.899999999999999" customHeight="1" outlineLevel="1">
      <c r="A18" s="2091" t="s">
        <v>1720</v>
      </c>
      <c r="B18" s="2090"/>
      <c r="C18" s="2087">
        <f>CBHS!H30</f>
        <v>8288800</v>
      </c>
      <c r="E18" s="2078"/>
      <c r="F18" s="2078"/>
      <c r="G18" s="2078"/>
      <c r="H18" s="2078"/>
      <c r="I18" s="2078"/>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c r="AP18" s="2078"/>
      <c r="AQ18" s="2078"/>
      <c r="AR18" s="2078"/>
      <c r="AS18" s="2078"/>
      <c r="AT18" s="2078"/>
      <c r="AU18" s="2078"/>
      <c r="AV18" s="2078"/>
      <c r="AW18" s="2078"/>
      <c r="AX18" s="2078"/>
      <c r="AY18" s="2078"/>
      <c r="AZ18" s="2078"/>
      <c r="BA18" s="2078"/>
      <c r="BB18" s="2078"/>
      <c r="BC18" s="2078"/>
      <c r="BD18" s="2078"/>
      <c r="BE18" s="2078"/>
      <c r="BF18" s="2078"/>
      <c r="BG18" s="2078"/>
      <c r="BH18" s="2078"/>
      <c r="BI18" s="2078"/>
      <c r="BJ18" s="2078"/>
      <c r="BK18" s="2078"/>
      <c r="BL18" s="2078"/>
      <c r="BM18" s="2078"/>
      <c r="BN18" s="2078"/>
      <c r="BO18" s="2078"/>
      <c r="BP18" s="2078"/>
      <c r="BQ18" s="2078"/>
      <c r="BR18" s="2078"/>
      <c r="BS18" s="2078"/>
      <c r="BT18" s="2078"/>
      <c r="BU18" s="2078"/>
      <c r="BV18" s="2078"/>
      <c r="BW18" s="2078"/>
      <c r="BX18" s="2078"/>
      <c r="BY18" s="2078"/>
      <c r="BZ18" s="2078"/>
      <c r="CA18" s="2078"/>
      <c r="CB18" s="2078"/>
      <c r="CC18" s="2078"/>
      <c r="CD18" s="2078"/>
      <c r="CE18" s="2078"/>
      <c r="CF18" s="2078"/>
      <c r="CG18" s="2078"/>
      <c r="CH18" s="2078"/>
      <c r="CI18" s="2078"/>
      <c r="CJ18" s="2078"/>
      <c r="CK18" s="2078"/>
      <c r="CL18" s="2078"/>
      <c r="CM18" s="2078"/>
      <c r="CN18" s="2078"/>
      <c r="CO18" s="2078"/>
      <c r="CP18" s="2078"/>
      <c r="CQ18" s="2078"/>
      <c r="CR18" s="2078"/>
      <c r="CS18" s="2078"/>
      <c r="CT18" s="2078"/>
      <c r="CU18" s="2078"/>
      <c r="CV18" s="2078"/>
      <c r="CW18" s="2078"/>
      <c r="CX18" s="2078"/>
      <c r="CY18" s="2078"/>
      <c r="CZ18" s="2078"/>
      <c r="DA18" s="2078"/>
      <c r="DB18" s="2078"/>
      <c r="DC18" s="2078"/>
      <c r="DD18" s="2078"/>
      <c r="DE18" s="2078"/>
      <c r="DF18" s="2078"/>
      <c r="DG18" s="2078"/>
      <c r="DH18" s="2078"/>
      <c r="DI18" s="2078"/>
      <c r="DJ18" s="2078"/>
      <c r="DK18" s="2078"/>
      <c r="DL18" s="2078"/>
      <c r="DM18" s="2078"/>
      <c r="DN18" s="2078"/>
      <c r="DO18" s="2078"/>
      <c r="DP18" s="2078"/>
      <c r="DQ18" s="2078"/>
      <c r="DR18" s="2078"/>
      <c r="DS18" s="2078"/>
      <c r="DT18" s="2078"/>
      <c r="DU18" s="2078"/>
      <c r="DV18" s="2078"/>
      <c r="DW18" s="2078"/>
      <c r="DX18" s="2078"/>
      <c r="DY18" s="2078"/>
      <c r="DZ18" s="2078"/>
      <c r="EA18" s="2078"/>
    </row>
    <row r="19" spans="1:131" ht="19.899999999999999" customHeight="1" outlineLevel="1">
      <c r="A19" s="2093" t="s">
        <v>1719</v>
      </c>
      <c r="B19" s="2096"/>
      <c r="C19" s="2087">
        <f>CBR!H33</f>
        <v>225000</v>
      </c>
    </row>
    <row r="20" spans="1:131" ht="19.899999999999999" customHeight="1" outlineLevel="1">
      <c r="A20" s="2089" t="s">
        <v>1718</v>
      </c>
      <c r="B20" s="2088"/>
      <c r="C20" s="2087">
        <f>'ANTI-SMOKING'!H30</f>
        <v>200000</v>
      </c>
      <c r="E20" s="2078"/>
      <c r="F20" s="2078"/>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c r="AP20" s="2078"/>
      <c r="AQ20" s="2078"/>
      <c r="AR20" s="2078"/>
      <c r="AS20" s="2078"/>
      <c r="AT20" s="2078"/>
      <c r="AU20" s="2078"/>
      <c r="AV20" s="2078"/>
      <c r="AW20" s="2078"/>
      <c r="AX20" s="2078"/>
      <c r="AY20" s="2078"/>
      <c r="AZ20" s="2078"/>
      <c r="BA20" s="2078"/>
      <c r="BB20" s="2078"/>
      <c r="BC20" s="2078"/>
      <c r="BD20" s="2078"/>
      <c r="BE20" s="2078"/>
      <c r="BF20" s="2078"/>
      <c r="BG20" s="2078"/>
      <c r="BH20" s="2078"/>
      <c r="BI20" s="2078"/>
      <c r="BJ20" s="2078"/>
      <c r="BK20" s="2078"/>
      <c r="BL20" s="2078"/>
      <c r="BM20" s="2078"/>
      <c r="BN20" s="2078"/>
      <c r="BO20" s="2078"/>
      <c r="BP20" s="2078"/>
      <c r="BQ20" s="2078"/>
      <c r="BR20" s="2078"/>
      <c r="BS20" s="2078"/>
      <c r="BT20" s="2078"/>
      <c r="BU20" s="2078"/>
      <c r="BV20" s="2078"/>
      <c r="BW20" s="2078"/>
      <c r="BX20" s="2078"/>
      <c r="BY20" s="2078"/>
      <c r="BZ20" s="2078"/>
      <c r="CA20" s="2078"/>
      <c r="CB20" s="2078"/>
      <c r="CC20" s="2078"/>
      <c r="CD20" s="2078"/>
      <c r="CE20" s="2078"/>
      <c r="CF20" s="2078"/>
      <c r="CG20" s="2078"/>
      <c r="CH20" s="2078"/>
      <c r="CI20" s="2078"/>
      <c r="CJ20" s="2078"/>
      <c r="CK20" s="2078"/>
      <c r="CL20" s="2078"/>
      <c r="CM20" s="2078"/>
      <c r="CN20" s="2078"/>
      <c r="CO20" s="2078"/>
      <c r="CP20" s="2078"/>
      <c r="CQ20" s="2078"/>
      <c r="CR20" s="2078"/>
      <c r="CS20" s="2078"/>
      <c r="CT20" s="2078"/>
      <c r="CU20" s="2078"/>
      <c r="CV20" s="2078"/>
      <c r="CW20" s="2078"/>
      <c r="CX20" s="2078"/>
      <c r="CY20" s="2078"/>
      <c r="CZ20" s="2078"/>
      <c r="DA20" s="2078"/>
      <c r="DB20" s="2078"/>
      <c r="DC20" s="2078"/>
      <c r="DD20" s="2078"/>
      <c r="DE20" s="2078"/>
      <c r="DF20" s="2078"/>
      <c r="DG20" s="2078"/>
      <c r="DH20" s="2078"/>
      <c r="DI20" s="2078"/>
      <c r="DJ20" s="2078"/>
      <c r="DK20" s="2078"/>
      <c r="DL20" s="2078"/>
      <c r="DM20" s="2078"/>
      <c r="DN20" s="2078"/>
      <c r="DO20" s="2078"/>
      <c r="DP20" s="2078"/>
      <c r="DQ20" s="2078"/>
      <c r="DR20" s="2078"/>
      <c r="DS20" s="2078"/>
      <c r="DT20" s="2078"/>
      <c r="DU20" s="2078"/>
      <c r="DV20" s="2078"/>
      <c r="DW20" s="2078"/>
      <c r="DX20" s="2078"/>
      <c r="DY20" s="2078"/>
      <c r="DZ20" s="2078"/>
      <c r="EA20" s="2078"/>
    </row>
    <row r="21" spans="1:131" ht="19.899999999999999" customHeight="1" outlineLevel="1">
      <c r="A21" s="2091" t="s">
        <v>1717</v>
      </c>
      <c r="B21" s="2090"/>
      <c r="C21" s="2087">
        <f>'Contraceptive Self Reliance'!H31</f>
        <v>400000</v>
      </c>
      <c r="E21" s="2078"/>
      <c r="F21" s="2078"/>
      <c r="G21" s="2078"/>
      <c r="H21" s="2078"/>
      <c r="I21" s="2078"/>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c r="AP21" s="2078"/>
      <c r="AQ21" s="2078"/>
      <c r="AR21" s="2078"/>
      <c r="AS21" s="2078"/>
      <c r="AT21" s="2078"/>
      <c r="AU21" s="2078"/>
      <c r="AV21" s="2078"/>
      <c r="AW21" s="2078"/>
      <c r="AX21" s="2078"/>
      <c r="AY21" s="2078"/>
      <c r="AZ21" s="2078"/>
      <c r="BA21" s="2078"/>
      <c r="BB21" s="2078"/>
      <c r="BC21" s="2078"/>
      <c r="BD21" s="2078"/>
      <c r="BE21" s="2078"/>
      <c r="BF21" s="2078"/>
      <c r="BG21" s="2078"/>
      <c r="BH21" s="2078"/>
      <c r="BI21" s="2078"/>
      <c r="BJ21" s="2078"/>
      <c r="BK21" s="2078"/>
      <c r="BL21" s="2078"/>
      <c r="BM21" s="2078"/>
      <c r="BN21" s="2078"/>
      <c r="BO21" s="2078"/>
      <c r="BP21" s="2078"/>
      <c r="BQ21" s="2078"/>
      <c r="BR21" s="2078"/>
      <c r="BS21" s="2078"/>
      <c r="BT21" s="2078"/>
      <c r="BU21" s="2078"/>
      <c r="BV21" s="2078"/>
      <c r="BW21" s="2078"/>
      <c r="BX21" s="2078"/>
      <c r="BY21" s="2078"/>
      <c r="BZ21" s="2078"/>
      <c r="CA21" s="2078"/>
      <c r="CB21" s="2078"/>
      <c r="CC21" s="2078"/>
      <c r="CD21" s="2078"/>
      <c r="CE21" s="2078"/>
      <c r="CF21" s="2078"/>
      <c r="CG21" s="2078"/>
      <c r="CH21" s="2078"/>
      <c r="CI21" s="2078"/>
      <c r="CJ21" s="2078"/>
      <c r="CK21" s="2078"/>
      <c r="CL21" s="2078"/>
      <c r="CM21" s="2078"/>
      <c r="CN21" s="2078"/>
      <c r="CO21" s="2078"/>
      <c r="CP21" s="2078"/>
      <c r="CQ21" s="2078"/>
      <c r="CR21" s="2078"/>
      <c r="CS21" s="2078"/>
      <c r="CT21" s="2078"/>
      <c r="CU21" s="2078"/>
      <c r="CV21" s="2078"/>
      <c r="CW21" s="2078"/>
      <c r="CX21" s="2078"/>
      <c r="CY21" s="2078"/>
      <c r="CZ21" s="2078"/>
      <c r="DA21" s="2078"/>
      <c r="DB21" s="2078"/>
      <c r="DC21" s="2078"/>
      <c r="DD21" s="2078"/>
      <c r="DE21" s="2078"/>
      <c r="DF21" s="2078"/>
      <c r="DG21" s="2078"/>
      <c r="DH21" s="2078"/>
      <c r="DI21" s="2078"/>
      <c r="DJ21" s="2078"/>
      <c r="DK21" s="2078"/>
      <c r="DL21" s="2078"/>
      <c r="DM21" s="2078"/>
      <c r="DN21" s="2078"/>
      <c r="DO21" s="2078"/>
      <c r="DP21" s="2078"/>
      <c r="DQ21" s="2078"/>
      <c r="DR21" s="2078"/>
      <c r="DS21" s="2078"/>
      <c r="DT21" s="2078"/>
      <c r="DU21" s="2078"/>
      <c r="DV21" s="2078"/>
      <c r="DW21" s="2078"/>
      <c r="DX21" s="2078"/>
      <c r="DY21" s="2078"/>
      <c r="DZ21" s="2078"/>
      <c r="EA21" s="2078"/>
    </row>
    <row r="22" spans="1:131" ht="19.899999999999999" customHeight="1" outlineLevel="1">
      <c r="A22" s="2091" t="s">
        <v>1716</v>
      </c>
      <c r="B22" s="2090"/>
      <c r="C22" s="2087">
        <f>DENGUE!H33</f>
        <v>150000</v>
      </c>
      <c r="E22" s="2078"/>
      <c r="F22" s="2078"/>
      <c r="G22" s="2078"/>
      <c r="H22" s="2078"/>
      <c r="I22" s="2078"/>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c r="AP22" s="2078"/>
      <c r="AQ22" s="2078"/>
      <c r="AR22" s="2078"/>
      <c r="AS22" s="2078"/>
      <c r="AT22" s="2078"/>
      <c r="AU22" s="2078"/>
      <c r="AV22" s="2078"/>
      <c r="AW22" s="2078"/>
      <c r="AX22" s="2078"/>
      <c r="AY22" s="2078"/>
      <c r="AZ22" s="2078"/>
      <c r="BA22" s="2078"/>
      <c r="BB22" s="2078"/>
      <c r="BC22" s="2078"/>
      <c r="BD22" s="2078"/>
      <c r="BE22" s="2078"/>
      <c r="BF22" s="2078"/>
      <c r="BG22" s="2078"/>
      <c r="BH22" s="2078"/>
      <c r="BI22" s="2078"/>
      <c r="BJ22" s="2078"/>
      <c r="BK22" s="2078"/>
      <c r="BL22" s="2078"/>
      <c r="BM22" s="2078"/>
      <c r="BN22" s="2078"/>
      <c r="BO22" s="2078"/>
      <c r="BP22" s="2078"/>
      <c r="BQ22" s="2078"/>
      <c r="BR22" s="2078"/>
      <c r="BS22" s="2078"/>
      <c r="BT22" s="2078"/>
      <c r="BU22" s="2078"/>
      <c r="BV22" s="2078"/>
      <c r="BW22" s="2078"/>
      <c r="BX22" s="2078"/>
      <c r="BY22" s="2078"/>
      <c r="BZ22" s="2078"/>
      <c r="CA22" s="2078"/>
      <c r="CB22" s="2078"/>
      <c r="CC22" s="2078"/>
      <c r="CD22" s="2078"/>
      <c r="CE22" s="2078"/>
      <c r="CF22" s="2078"/>
      <c r="CG22" s="2078"/>
      <c r="CH22" s="2078"/>
      <c r="CI22" s="2078"/>
      <c r="CJ22" s="2078"/>
      <c r="CK22" s="2078"/>
      <c r="CL22" s="2078"/>
      <c r="CM22" s="2078"/>
      <c r="CN22" s="2078"/>
      <c r="CO22" s="2078"/>
      <c r="CP22" s="2078"/>
      <c r="CQ22" s="2078"/>
      <c r="CR22" s="2078"/>
      <c r="CS22" s="2078"/>
      <c r="CT22" s="2078"/>
      <c r="CU22" s="2078"/>
      <c r="CV22" s="2078"/>
      <c r="CW22" s="2078"/>
      <c r="CX22" s="2078"/>
      <c r="CY22" s="2078"/>
      <c r="CZ22" s="2078"/>
      <c r="DA22" s="2078"/>
      <c r="DB22" s="2078"/>
      <c r="DC22" s="2078"/>
      <c r="DD22" s="2078"/>
      <c r="DE22" s="2078"/>
      <c r="DF22" s="2078"/>
      <c r="DG22" s="2078"/>
      <c r="DH22" s="2078"/>
      <c r="DI22" s="2078"/>
      <c r="DJ22" s="2078"/>
      <c r="DK22" s="2078"/>
      <c r="DL22" s="2078"/>
      <c r="DM22" s="2078"/>
      <c r="DN22" s="2078"/>
      <c r="DO22" s="2078"/>
      <c r="DP22" s="2078"/>
      <c r="DQ22" s="2078"/>
      <c r="DR22" s="2078"/>
      <c r="DS22" s="2078"/>
      <c r="DT22" s="2078"/>
      <c r="DU22" s="2078"/>
      <c r="DV22" s="2078"/>
      <c r="DW22" s="2078"/>
      <c r="DX22" s="2078"/>
      <c r="DY22" s="2078"/>
      <c r="DZ22" s="2078"/>
      <c r="EA22" s="2078"/>
    </row>
    <row r="23" spans="1:131" ht="19.899999999999999" customHeight="1" outlineLevel="1">
      <c r="A23" s="2091" t="s">
        <v>1715</v>
      </c>
      <c r="B23" s="2090"/>
      <c r="C23" s="2087">
        <f>'DENTAL HEALTH'!H31</f>
        <v>50000</v>
      </c>
    </row>
    <row r="24" spans="1:131" ht="19.899999999999999" customHeight="1" outlineLevel="1">
      <c r="A24" s="2095" t="s">
        <v>1714</v>
      </c>
      <c r="B24" s="2094"/>
      <c r="C24" s="2087">
        <f>IMMUNIZATION!H29</f>
        <v>200000</v>
      </c>
    </row>
    <row r="25" spans="1:131" s="2078" customFormat="1" ht="19.899999999999999" customHeight="1" outlineLevel="1">
      <c r="A25" s="2089" t="s">
        <v>1713</v>
      </c>
      <c r="B25" s="2088"/>
      <c r="C25" s="2087">
        <f>'FAMILY PLANNING'!H32</f>
        <v>75000</v>
      </c>
      <c r="D25" s="2077"/>
    </row>
    <row r="26" spans="1:131" s="2078" customFormat="1" ht="19.899999999999999" customHeight="1" outlineLevel="1">
      <c r="A26" s="2091" t="s">
        <v>1712</v>
      </c>
      <c r="B26" s="2090"/>
      <c r="C26" s="2087">
        <f>HIS!H28</f>
        <v>25000</v>
      </c>
      <c r="D26" s="2077"/>
      <c r="E26" s="2077"/>
      <c r="F26" s="2077"/>
      <c r="G26" s="2077"/>
      <c r="H26" s="2077"/>
      <c r="I26" s="2077"/>
      <c r="J26" s="2077"/>
      <c r="K26" s="2077"/>
      <c r="L26" s="2077"/>
      <c r="M26" s="2077"/>
      <c r="N26" s="2077"/>
      <c r="O26" s="2077"/>
      <c r="P26" s="2077"/>
      <c r="Q26" s="2077"/>
      <c r="R26" s="2077"/>
      <c r="S26" s="2077"/>
      <c r="T26" s="2077"/>
      <c r="U26" s="2077"/>
      <c r="V26" s="2077"/>
      <c r="W26" s="2077"/>
      <c r="X26" s="2077"/>
      <c r="Y26" s="2077"/>
      <c r="Z26" s="2077"/>
      <c r="AA26" s="2077"/>
      <c r="AB26" s="2077"/>
      <c r="AC26" s="2077"/>
      <c r="AD26" s="2077"/>
      <c r="AE26" s="2077"/>
      <c r="AF26" s="2077"/>
      <c r="AG26" s="2077"/>
      <c r="AH26" s="2077"/>
      <c r="AI26" s="2077"/>
      <c r="AJ26" s="2077"/>
      <c r="AK26" s="2077"/>
      <c r="AL26" s="2077"/>
      <c r="AM26" s="2077"/>
      <c r="AN26" s="2077"/>
      <c r="AO26" s="2077"/>
      <c r="AP26" s="2077"/>
      <c r="AQ26" s="2077"/>
      <c r="AR26" s="2077"/>
      <c r="AS26" s="2077"/>
      <c r="AT26" s="2077"/>
      <c r="AU26" s="2077"/>
      <c r="AV26" s="2077"/>
      <c r="AW26" s="2077"/>
      <c r="AX26" s="2077"/>
      <c r="AY26" s="2077"/>
      <c r="AZ26" s="2077"/>
      <c r="BA26" s="2077"/>
      <c r="BB26" s="2077"/>
      <c r="BC26" s="2077"/>
      <c r="BD26" s="2077"/>
      <c r="BE26" s="2077"/>
      <c r="BF26" s="2077"/>
      <c r="BG26" s="2077"/>
      <c r="BH26" s="2077"/>
      <c r="BI26" s="2077"/>
      <c r="BJ26" s="2077"/>
      <c r="BK26" s="2077"/>
      <c r="BL26" s="2077"/>
      <c r="BM26" s="2077"/>
      <c r="BN26" s="2077"/>
      <c r="BO26" s="2077"/>
      <c r="BP26" s="2077"/>
      <c r="BQ26" s="2077"/>
      <c r="BR26" s="2077"/>
      <c r="BS26" s="2077"/>
      <c r="BT26" s="2077"/>
      <c r="BU26" s="2077"/>
      <c r="BV26" s="2077"/>
      <c r="BW26" s="2077"/>
      <c r="BX26" s="2077"/>
      <c r="BY26" s="2077"/>
      <c r="BZ26" s="2077"/>
      <c r="CA26" s="2077"/>
      <c r="CB26" s="2077"/>
      <c r="CC26" s="2077"/>
      <c r="CD26" s="2077"/>
      <c r="CE26" s="2077"/>
      <c r="CF26" s="2077"/>
      <c r="CG26" s="2077"/>
      <c r="CH26" s="2077"/>
      <c r="CI26" s="2077"/>
      <c r="CJ26" s="2077"/>
      <c r="CK26" s="2077"/>
      <c r="CL26" s="2077"/>
      <c r="CM26" s="2077"/>
      <c r="CN26" s="2077"/>
      <c r="CO26" s="2077"/>
      <c r="CP26" s="2077"/>
      <c r="CQ26" s="2077"/>
      <c r="CR26" s="2077"/>
      <c r="CS26" s="2077"/>
      <c r="CT26" s="2077"/>
      <c r="CU26" s="2077"/>
      <c r="CV26" s="2077"/>
      <c r="CW26" s="2077"/>
      <c r="CX26" s="2077"/>
      <c r="CY26" s="2077"/>
      <c r="CZ26" s="2077"/>
      <c r="DA26" s="2077"/>
      <c r="DB26" s="2077"/>
      <c r="DC26" s="2077"/>
      <c r="DD26" s="2077"/>
      <c r="DE26" s="2077"/>
      <c r="DF26" s="2077"/>
      <c r="DG26" s="2077"/>
      <c r="DH26" s="2077"/>
      <c r="DI26" s="2077"/>
      <c r="DJ26" s="2077"/>
      <c r="DK26" s="2077"/>
      <c r="DL26" s="2077"/>
      <c r="DM26" s="2077"/>
      <c r="DN26" s="2077"/>
      <c r="DO26" s="2077"/>
      <c r="DP26" s="2077"/>
      <c r="DQ26" s="2077"/>
      <c r="DR26" s="2077"/>
      <c r="DS26" s="2077"/>
      <c r="DT26" s="2077"/>
      <c r="DU26" s="2077"/>
      <c r="DV26" s="2077"/>
      <c r="DW26" s="2077"/>
      <c r="DX26" s="2077"/>
      <c r="DY26" s="2077"/>
      <c r="DZ26" s="2077"/>
      <c r="EA26" s="2077"/>
    </row>
    <row r="27" spans="1:131" s="2078" customFormat="1" ht="19.899999999999999" customHeight="1" outlineLevel="1">
      <c r="A27" s="2091" t="s">
        <v>1711</v>
      </c>
      <c r="B27" s="2090"/>
      <c r="C27" s="2087">
        <f>'LEPROSY '!H30</f>
        <v>120000</v>
      </c>
      <c r="D27" s="2077"/>
      <c r="E27" s="2077"/>
      <c r="F27" s="2077"/>
      <c r="G27" s="2077"/>
      <c r="H27" s="2077"/>
      <c r="I27" s="2077"/>
      <c r="J27" s="2077"/>
      <c r="K27" s="2077"/>
      <c r="L27" s="2077"/>
      <c r="M27" s="2077"/>
      <c r="N27" s="2077"/>
      <c r="O27" s="2077"/>
      <c r="P27" s="2077"/>
      <c r="Q27" s="2077"/>
      <c r="R27" s="2077"/>
      <c r="S27" s="2077"/>
      <c r="T27" s="2077"/>
      <c r="U27" s="2077"/>
      <c r="V27" s="2077"/>
      <c r="W27" s="2077"/>
      <c r="X27" s="2077"/>
      <c r="Y27" s="2077"/>
      <c r="Z27" s="2077"/>
      <c r="AA27" s="2077"/>
      <c r="AB27" s="2077"/>
      <c r="AC27" s="2077"/>
      <c r="AD27" s="2077"/>
      <c r="AE27" s="2077"/>
      <c r="AF27" s="2077"/>
      <c r="AG27" s="2077"/>
      <c r="AH27" s="2077"/>
      <c r="AI27" s="2077"/>
      <c r="AJ27" s="2077"/>
      <c r="AK27" s="2077"/>
      <c r="AL27" s="2077"/>
      <c r="AM27" s="2077"/>
      <c r="AN27" s="2077"/>
      <c r="AO27" s="2077"/>
      <c r="AP27" s="2077"/>
      <c r="AQ27" s="2077"/>
      <c r="AR27" s="2077"/>
      <c r="AS27" s="2077"/>
      <c r="AT27" s="2077"/>
      <c r="AU27" s="2077"/>
      <c r="AV27" s="2077"/>
      <c r="AW27" s="2077"/>
      <c r="AX27" s="2077"/>
      <c r="AY27" s="2077"/>
      <c r="AZ27" s="2077"/>
      <c r="BA27" s="2077"/>
      <c r="BB27" s="2077"/>
      <c r="BC27" s="2077"/>
      <c r="BD27" s="2077"/>
      <c r="BE27" s="2077"/>
      <c r="BF27" s="2077"/>
      <c r="BG27" s="2077"/>
      <c r="BH27" s="2077"/>
      <c r="BI27" s="2077"/>
      <c r="BJ27" s="2077"/>
      <c r="BK27" s="2077"/>
      <c r="BL27" s="2077"/>
      <c r="BM27" s="2077"/>
      <c r="BN27" s="2077"/>
      <c r="BO27" s="2077"/>
      <c r="BP27" s="2077"/>
      <c r="BQ27" s="2077"/>
      <c r="BR27" s="2077"/>
      <c r="BS27" s="2077"/>
      <c r="BT27" s="2077"/>
      <c r="BU27" s="2077"/>
      <c r="BV27" s="2077"/>
      <c r="BW27" s="2077"/>
      <c r="BX27" s="2077"/>
      <c r="BY27" s="2077"/>
      <c r="BZ27" s="2077"/>
      <c r="CA27" s="2077"/>
      <c r="CB27" s="2077"/>
      <c r="CC27" s="2077"/>
      <c r="CD27" s="2077"/>
      <c r="CE27" s="2077"/>
      <c r="CF27" s="2077"/>
      <c r="CG27" s="2077"/>
      <c r="CH27" s="2077"/>
      <c r="CI27" s="2077"/>
      <c r="CJ27" s="2077"/>
      <c r="CK27" s="2077"/>
      <c r="CL27" s="2077"/>
      <c r="CM27" s="2077"/>
      <c r="CN27" s="2077"/>
      <c r="CO27" s="2077"/>
      <c r="CP27" s="2077"/>
      <c r="CQ27" s="2077"/>
      <c r="CR27" s="2077"/>
      <c r="CS27" s="2077"/>
      <c r="CT27" s="2077"/>
      <c r="CU27" s="2077"/>
      <c r="CV27" s="2077"/>
      <c r="CW27" s="2077"/>
      <c r="CX27" s="2077"/>
      <c r="CY27" s="2077"/>
      <c r="CZ27" s="2077"/>
      <c r="DA27" s="2077"/>
      <c r="DB27" s="2077"/>
      <c r="DC27" s="2077"/>
      <c r="DD27" s="2077"/>
      <c r="DE27" s="2077"/>
      <c r="DF27" s="2077"/>
      <c r="DG27" s="2077"/>
      <c r="DH27" s="2077"/>
      <c r="DI27" s="2077"/>
      <c r="DJ27" s="2077"/>
      <c r="DK27" s="2077"/>
      <c r="DL27" s="2077"/>
      <c r="DM27" s="2077"/>
      <c r="DN27" s="2077"/>
      <c r="DO27" s="2077"/>
      <c r="DP27" s="2077"/>
      <c r="DQ27" s="2077"/>
      <c r="DR27" s="2077"/>
      <c r="DS27" s="2077"/>
      <c r="DT27" s="2077"/>
      <c r="DU27" s="2077"/>
      <c r="DV27" s="2077"/>
      <c r="DW27" s="2077"/>
      <c r="DX27" s="2077"/>
      <c r="DY27" s="2077"/>
      <c r="DZ27" s="2077"/>
      <c r="EA27" s="2077"/>
    </row>
    <row r="28" spans="1:131" s="2078" customFormat="1" ht="19.899999999999999" customHeight="1" outlineLevel="1">
      <c r="A28" s="2089" t="s">
        <v>1710</v>
      </c>
      <c r="B28" s="2088"/>
      <c r="C28" s="2087">
        <f>'MATERNAL &amp; CHILD HEALTH CARE'!H31</f>
        <v>200000</v>
      </c>
      <c r="D28" s="2077"/>
    </row>
    <row r="29" spans="1:131" s="2078" customFormat="1" ht="19.899999999999999" customHeight="1" outlineLevel="1">
      <c r="A29" s="2091" t="s">
        <v>1709</v>
      </c>
      <c r="B29" s="2090"/>
      <c r="C29" s="2087">
        <f>'Mental Health'!H31</f>
        <v>500000</v>
      </c>
      <c r="D29" s="2077"/>
      <c r="E29" s="2077"/>
      <c r="F29" s="2077"/>
      <c r="G29" s="2077"/>
      <c r="H29" s="2077"/>
      <c r="I29" s="2077"/>
      <c r="J29" s="2077"/>
      <c r="K29" s="2077"/>
      <c r="L29" s="2077"/>
      <c r="M29" s="2077"/>
      <c r="N29" s="2077"/>
      <c r="O29" s="2077"/>
      <c r="P29" s="2077"/>
      <c r="Q29" s="2077"/>
      <c r="R29" s="2077"/>
      <c r="S29" s="2077"/>
      <c r="T29" s="2077"/>
      <c r="U29" s="2077"/>
      <c r="V29" s="2077"/>
      <c r="W29" s="2077"/>
      <c r="X29" s="2077"/>
      <c r="Y29" s="2077"/>
      <c r="Z29" s="2077"/>
      <c r="AA29" s="2077"/>
      <c r="AB29" s="2077"/>
      <c r="AC29" s="2077"/>
      <c r="AD29" s="2077"/>
      <c r="AE29" s="2077"/>
      <c r="AF29" s="2077"/>
      <c r="AG29" s="2077"/>
      <c r="AH29" s="2077"/>
      <c r="AI29" s="2077"/>
      <c r="AJ29" s="2077"/>
      <c r="AK29" s="2077"/>
      <c r="AL29" s="2077"/>
      <c r="AM29" s="2077"/>
      <c r="AN29" s="2077"/>
      <c r="AO29" s="2077"/>
      <c r="AP29" s="2077"/>
      <c r="AQ29" s="2077"/>
      <c r="AR29" s="2077"/>
      <c r="AS29" s="2077"/>
      <c r="AT29" s="2077"/>
      <c r="AU29" s="2077"/>
      <c r="AV29" s="2077"/>
      <c r="AW29" s="2077"/>
      <c r="AX29" s="2077"/>
      <c r="AY29" s="2077"/>
      <c r="AZ29" s="2077"/>
      <c r="BA29" s="2077"/>
      <c r="BB29" s="2077"/>
      <c r="BC29" s="2077"/>
      <c r="BD29" s="2077"/>
      <c r="BE29" s="2077"/>
      <c r="BF29" s="2077"/>
      <c r="BG29" s="2077"/>
      <c r="BH29" s="2077"/>
      <c r="BI29" s="2077"/>
      <c r="BJ29" s="2077"/>
      <c r="BK29" s="2077"/>
      <c r="BL29" s="2077"/>
      <c r="BM29" s="2077"/>
      <c r="BN29" s="2077"/>
      <c r="BO29" s="2077"/>
      <c r="BP29" s="2077"/>
      <c r="BQ29" s="2077"/>
      <c r="BR29" s="2077"/>
      <c r="BS29" s="2077"/>
      <c r="BT29" s="2077"/>
      <c r="BU29" s="2077"/>
      <c r="BV29" s="2077"/>
      <c r="BW29" s="2077"/>
      <c r="BX29" s="2077"/>
      <c r="BY29" s="2077"/>
      <c r="BZ29" s="2077"/>
      <c r="CA29" s="2077"/>
      <c r="CB29" s="2077"/>
      <c r="CC29" s="2077"/>
      <c r="CD29" s="2077"/>
      <c r="CE29" s="2077"/>
      <c r="CF29" s="2077"/>
      <c r="CG29" s="2077"/>
      <c r="CH29" s="2077"/>
      <c r="CI29" s="2077"/>
      <c r="CJ29" s="2077"/>
      <c r="CK29" s="2077"/>
      <c r="CL29" s="2077"/>
      <c r="CM29" s="2077"/>
      <c r="CN29" s="2077"/>
      <c r="CO29" s="2077"/>
      <c r="CP29" s="2077"/>
      <c r="CQ29" s="2077"/>
      <c r="CR29" s="2077"/>
      <c r="CS29" s="2077"/>
      <c r="CT29" s="2077"/>
      <c r="CU29" s="2077"/>
      <c r="CV29" s="2077"/>
      <c r="CW29" s="2077"/>
      <c r="CX29" s="2077"/>
      <c r="CY29" s="2077"/>
      <c r="CZ29" s="2077"/>
      <c r="DA29" s="2077"/>
      <c r="DB29" s="2077"/>
      <c r="DC29" s="2077"/>
      <c r="DD29" s="2077"/>
      <c r="DE29" s="2077"/>
      <c r="DF29" s="2077"/>
      <c r="DG29" s="2077"/>
      <c r="DH29" s="2077"/>
      <c r="DI29" s="2077"/>
      <c r="DJ29" s="2077"/>
      <c r="DK29" s="2077"/>
      <c r="DL29" s="2077"/>
      <c r="DM29" s="2077"/>
      <c r="DN29" s="2077"/>
      <c r="DO29" s="2077"/>
      <c r="DP29" s="2077"/>
      <c r="DQ29" s="2077"/>
      <c r="DR29" s="2077"/>
      <c r="DS29" s="2077"/>
      <c r="DT29" s="2077"/>
      <c r="DU29" s="2077"/>
      <c r="DV29" s="2077"/>
      <c r="DW29" s="2077"/>
      <c r="DX29" s="2077"/>
      <c r="DY29" s="2077"/>
      <c r="DZ29" s="2077"/>
      <c r="EA29" s="2077"/>
    </row>
    <row r="30" spans="1:131" s="2078" customFormat="1" ht="19.899999999999999" customHeight="1" outlineLevel="1">
      <c r="A30" s="2093" t="s">
        <v>1708</v>
      </c>
      <c r="B30" s="2092"/>
      <c r="C30" s="2087">
        <f>'NEWBORN SCREENING'!H30</f>
        <v>500000</v>
      </c>
      <c r="D30" s="2077"/>
      <c r="E30" s="2077"/>
      <c r="F30" s="2077"/>
      <c r="G30" s="2077"/>
      <c r="H30" s="2077"/>
      <c r="I30" s="2077"/>
      <c r="J30" s="2077"/>
      <c r="K30" s="2077"/>
      <c r="L30" s="2077"/>
      <c r="M30" s="2077"/>
      <c r="N30" s="2077"/>
      <c r="O30" s="2077"/>
      <c r="P30" s="2077"/>
      <c r="Q30" s="2077"/>
      <c r="R30" s="2077"/>
      <c r="S30" s="2077"/>
      <c r="T30" s="2077"/>
      <c r="U30" s="2077"/>
      <c r="V30" s="2077"/>
      <c r="W30" s="2077"/>
      <c r="X30" s="2077"/>
      <c r="Y30" s="2077"/>
      <c r="Z30" s="2077"/>
      <c r="AA30" s="2077"/>
      <c r="AB30" s="2077"/>
      <c r="AC30" s="2077"/>
      <c r="AD30" s="2077"/>
      <c r="AE30" s="2077"/>
      <c r="AF30" s="2077"/>
      <c r="AG30" s="2077"/>
      <c r="AH30" s="2077"/>
      <c r="AI30" s="2077"/>
      <c r="AJ30" s="2077"/>
      <c r="AK30" s="2077"/>
      <c r="AL30" s="2077"/>
      <c r="AM30" s="2077"/>
      <c r="AN30" s="2077"/>
      <c r="AO30" s="2077"/>
      <c r="AP30" s="2077"/>
      <c r="AQ30" s="2077"/>
      <c r="AR30" s="2077"/>
      <c r="AS30" s="2077"/>
      <c r="AT30" s="2077"/>
      <c r="AU30" s="2077"/>
      <c r="AV30" s="2077"/>
      <c r="AW30" s="2077"/>
      <c r="AX30" s="2077"/>
      <c r="AY30" s="2077"/>
      <c r="AZ30" s="2077"/>
      <c r="BA30" s="2077"/>
      <c r="BB30" s="2077"/>
      <c r="BC30" s="2077"/>
      <c r="BD30" s="2077"/>
      <c r="BE30" s="2077"/>
      <c r="BF30" s="2077"/>
      <c r="BG30" s="2077"/>
      <c r="BH30" s="2077"/>
      <c r="BI30" s="2077"/>
      <c r="BJ30" s="2077"/>
      <c r="BK30" s="2077"/>
      <c r="BL30" s="2077"/>
      <c r="BM30" s="2077"/>
      <c r="BN30" s="2077"/>
      <c r="BO30" s="2077"/>
      <c r="BP30" s="2077"/>
      <c r="BQ30" s="2077"/>
      <c r="BR30" s="2077"/>
      <c r="BS30" s="2077"/>
      <c r="BT30" s="2077"/>
      <c r="BU30" s="2077"/>
      <c r="BV30" s="2077"/>
      <c r="BW30" s="2077"/>
      <c r="BX30" s="2077"/>
      <c r="BY30" s="2077"/>
      <c r="BZ30" s="2077"/>
      <c r="CA30" s="2077"/>
      <c r="CB30" s="2077"/>
      <c r="CC30" s="2077"/>
      <c r="CD30" s="2077"/>
      <c r="CE30" s="2077"/>
      <c r="CF30" s="2077"/>
      <c r="CG30" s="2077"/>
      <c r="CH30" s="2077"/>
      <c r="CI30" s="2077"/>
      <c r="CJ30" s="2077"/>
      <c r="CK30" s="2077"/>
      <c r="CL30" s="2077"/>
      <c r="CM30" s="2077"/>
      <c r="CN30" s="2077"/>
      <c r="CO30" s="2077"/>
      <c r="CP30" s="2077"/>
      <c r="CQ30" s="2077"/>
      <c r="CR30" s="2077"/>
      <c r="CS30" s="2077"/>
      <c r="CT30" s="2077"/>
      <c r="CU30" s="2077"/>
      <c r="CV30" s="2077"/>
      <c r="CW30" s="2077"/>
      <c r="CX30" s="2077"/>
      <c r="CY30" s="2077"/>
      <c r="CZ30" s="2077"/>
      <c r="DA30" s="2077"/>
      <c r="DB30" s="2077"/>
      <c r="DC30" s="2077"/>
      <c r="DD30" s="2077"/>
      <c r="DE30" s="2077"/>
      <c r="DF30" s="2077"/>
      <c r="DG30" s="2077"/>
      <c r="DH30" s="2077"/>
      <c r="DI30" s="2077"/>
      <c r="DJ30" s="2077"/>
      <c r="DK30" s="2077"/>
      <c r="DL30" s="2077"/>
      <c r="DM30" s="2077"/>
      <c r="DN30" s="2077"/>
      <c r="DO30" s="2077"/>
      <c r="DP30" s="2077"/>
      <c r="DQ30" s="2077"/>
      <c r="DR30" s="2077"/>
      <c r="DS30" s="2077"/>
      <c r="DT30" s="2077"/>
      <c r="DU30" s="2077"/>
      <c r="DV30" s="2077"/>
      <c r="DW30" s="2077"/>
      <c r="DX30" s="2077"/>
      <c r="DY30" s="2077"/>
      <c r="DZ30" s="2077"/>
      <c r="EA30" s="2077"/>
    </row>
    <row r="31" spans="1:131" s="2078" customFormat="1" ht="19.899999999999999" customHeight="1" outlineLevel="1">
      <c r="A31" s="2089" t="s">
        <v>1707</v>
      </c>
      <c r="B31" s="2088"/>
      <c r="C31" s="2087">
        <f>'NUTRITION PROGRAM'!H28</f>
        <v>65000</v>
      </c>
      <c r="D31" s="2077"/>
    </row>
    <row r="32" spans="1:131" s="2078" customFormat="1" ht="19.899999999999999" customHeight="1" outlineLevel="1">
      <c r="A32" s="2091" t="s">
        <v>1706</v>
      </c>
      <c r="B32" s="2090"/>
      <c r="C32" s="2087">
        <f>'STD-HIV'!H33</f>
        <v>150000</v>
      </c>
      <c r="D32" s="2077"/>
      <c r="E32" s="2077"/>
      <c r="F32" s="2077"/>
      <c r="G32" s="2077"/>
      <c r="H32" s="2077"/>
      <c r="I32" s="2077"/>
      <c r="J32" s="2077"/>
      <c r="K32" s="2077"/>
      <c r="L32" s="2077"/>
      <c r="M32" s="2077"/>
      <c r="N32" s="2077"/>
      <c r="O32" s="2077"/>
      <c r="P32" s="2077"/>
      <c r="Q32" s="2077"/>
      <c r="R32" s="2077"/>
      <c r="S32" s="2077"/>
      <c r="T32" s="2077"/>
      <c r="U32" s="2077"/>
      <c r="V32" s="2077"/>
      <c r="W32" s="2077"/>
      <c r="X32" s="2077"/>
      <c r="Y32" s="2077"/>
      <c r="Z32" s="2077"/>
      <c r="AA32" s="2077"/>
      <c r="AB32" s="2077"/>
      <c r="AC32" s="2077"/>
      <c r="AD32" s="2077"/>
      <c r="AE32" s="2077"/>
      <c r="AF32" s="2077"/>
      <c r="AG32" s="2077"/>
      <c r="AH32" s="2077"/>
      <c r="AI32" s="2077"/>
      <c r="AJ32" s="2077"/>
      <c r="AK32" s="2077"/>
      <c r="AL32" s="2077"/>
      <c r="AM32" s="2077"/>
      <c r="AN32" s="2077"/>
      <c r="AO32" s="2077"/>
      <c r="AP32" s="2077"/>
      <c r="AQ32" s="2077"/>
      <c r="AR32" s="2077"/>
      <c r="AS32" s="2077"/>
      <c r="AT32" s="2077"/>
      <c r="AU32" s="2077"/>
      <c r="AV32" s="2077"/>
      <c r="AW32" s="2077"/>
      <c r="AX32" s="2077"/>
      <c r="AY32" s="2077"/>
      <c r="AZ32" s="2077"/>
      <c r="BA32" s="2077"/>
      <c r="BB32" s="2077"/>
      <c r="BC32" s="2077"/>
      <c r="BD32" s="2077"/>
      <c r="BE32" s="2077"/>
      <c r="BF32" s="2077"/>
      <c r="BG32" s="2077"/>
      <c r="BH32" s="2077"/>
      <c r="BI32" s="2077"/>
      <c r="BJ32" s="2077"/>
      <c r="BK32" s="2077"/>
      <c r="BL32" s="2077"/>
      <c r="BM32" s="2077"/>
      <c r="BN32" s="2077"/>
      <c r="BO32" s="2077"/>
      <c r="BP32" s="2077"/>
      <c r="BQ32" s="2077"/>
      <c r="BR32" s="2077"/>
      <c r="BS32" s="2077"/>
      <c r="BT32" s="2077"/>
      <c r="BU32" s="2077"/>
      <c r="BV32" s="2077"/>
      <c r="BW32" s="2077"/>
      <c r="BX32" s="2077"/>
      <c r="BY32" s="2077"/>
      <c r="BZ32" s="2077"/>
      <c r="CA32" s="2077"/>
      <c r="CB32" s="2077"/>
      <c r="CC32" s="2077"/>
      <c r="CD32" s="2077"/>
      <c r="CE32" s="2077"/>
      <c r="CF32" s="2077"/>
      <c r="CG32" s="2077"/>
      <c r="CH32" s="2077"/>
      <c r="CI32" s="2077"/>
      <c r="CJ32" s="2077"/>
      <c r="CK32" s="2077"/>
      <c r="CL32" s="2077"/>
      <c r="CM32" s="2077"/>
      <c r="CN32" s="2077"/>
      <c r="CO32" s="2077"/>
      <c r="CP32" s="2077"/>
      <c r="CQ32" s="2077"/>
      <c r="CR32" s="2077"/>
      <c r="CS32" s="2077"/>
      <c r="CT32" s="2077"/>
      <c r="CU32" s="2077"/>
      <c r="CV32" s="2077"/>
      <c r="CW32" s="2077"/>
      <c r="CX32" s="2077"/>
      <c r="CY32" s="2077"/>
      <c r="CZ32" s="2077"/>
      <c r="DA32" s="2077"/>
      <c r="DB32" s="2077"/>
      <c r="DC32" s="2077"/>
      <c r="DD32" s="2077"/>
      <c r="DE32" s="2077"/>
      <c r="DF32" s="2077"/>
      <c r="DG32" s="2077"/>
      <c r="DH32" s="2077"/>
      <c r="DI32" s="2077"/>
      <c r="DJ32" s="2077"/>
      <c r="DK32" s="2077"/>
      <c r="DL32" s="2077"/>
      <c r="DM32" s="2077"/>
      <c r="DN32" s="2077"/>
      <c r="DO32" s="2077"/>
      <c r="DP32" s="2077"/>
      <c r="DQ32" s="2077"/>
      <c r="DR32" s="2077"/>
      <c r="DS32" s="2077"/>
      <c r="DT32" s="2077"/>
      <c r="DU32" s="2077"/>
      <c r="DV32" s="2077"/>
      <c r="DW32" s="2077"/>
      <c r="DX32" s="2077"/>
      <c r="DY32" s="2077"/>
      <c r="DZ32" s="2077"/>
      <c r="EA32" s="2077"/>
    </row>
    <row r="33" spans="1:131" s="2078" customFormat="1" ht="19.899999999999999" customHeight="1" outlineLevel="1">
      <c r="A33" s="2089" t="s">
        <v>1705</v>
      </c>
      <c r="B33" s="2088"/>
      <c r="C33" s="2087">
        <f>'LIFESTYLE DISEASES'!H30</f>
        <v>75000</v>
      </c>
      <c r="D33" s="2077"/>
      <c r="E33" s="2077"/>
      <c r="F33" s="2077"/>
      <c r="G33" s="2077"/>
      <c r="H33" s="2077"/>
      <c r="I33" s="2077"/>
      <c r="J33" s="2077"/>
      <c r="K33" s="2077"/>
      <c r="L33" s="2077"/>
      <c r="M33" s="2077"/>
      <c r="N33" s="2077"/>
      <c r="O33" s="2077"/>
      <c r="P33" s="2077"/>
      <c r="Q33" s="2077"/>
      <c r="R33" s="2077"/>
      <c r="S33" s="2077"/>
      <c r="T33" s="2077"/>
      <c r="U33" s="2077"/>
      <c r="V33" s="2077"/>
      <c r="W33" s="2077"/>
      <c r="X33" s="2077"/>
      <c r="Y33" s="2077"/>
      <c r="Z33" s="2077"/>
      <c r="AA33" s="2077"/>
      <c r="AB33" s="2077"/>
      <c r="AC33" s="2077"/>
      <c r="AD33" s="2077"/>
      <c r="AE33" s="2077"/>
      <c r="AF33" s="2077"/>
      <c r="AG33" s="2077"/>
      <c r="AH33" s="2077"/>
      <c r="AI33" s="2077"/>
      <c r="AJ33" s="2077"/>
      <c r="AK33" s="2077"/>
      <c r="AL33" s="2077"/>
      <c r="AM33" s="2077"/>
      <c r="AN33" s="2077"/>
      <c r="AO33" s="2077"/>
      <c r="AP33" s="2077"/>
      <c r="AQ33" s="2077"/>
      <c r="AR33" s="2077"/>
      <c r="AS33" s="2077"/>
      <c r="AT33" s="2077"/>
      <c r="AU33" s="2077"/>
      <c r="AV33" s="2077"/>
      <c r="AW33" s="2077"/>
      <c r="AX33" s="2077"/>
      <c r="AY33" s="2077"/>
      <c r="AZ33" s="2077"/>
      <c r="BA33" s="2077"/>
      <c r="BB33" s="2077"/>
      <c r="BC33" s="2077"/>
      <c r="BD33" s="2077"/>
      <c r="BE33" s="2077"/>
      <c r="BF33" s="2077"/>
      <c r="BG33" s="2077"/>
      <c r="BH33" s="2077"/>
      <c r="BI33" s="2077"/>
      <c r="BJ33" s="2077"/>
      <c r="BK33" s="2077"/>
      <c r="BL33" s="2077"/>
      <c r="BM33" s="2077"/>
      <c r="BN33" s="2077"/>
      <c r="BO33" s="2077"/>
      <c r="BP33" s="2077"/>
      <c r="BQ33" s="2077"/>
      <c r="BR33" s="2077"/>
      <c r="BS33" s="2077"/>
      <c r="BT33" s="2077"/>
      <c r="BU33" s="2077"/>
      <c r="BV33" s="2077"/>
      <c r="BW33" s="2077"/>
      <c r="BX33" s="2077"/>
      <c r="BY33" s="2077"/>
      <c r="BZ33" s="2077"/>
      <c r="CA33" s="2077"/>
      <c r="CB33" s="2077"/>
      <c r="CC33" s="2077"/>
      <c r="CD33" s="2077"/>
      <c r="CE33" s="2077"/>
      <c r="CF33" s="2077"/>
      <c r="CG33" s="2077"/>
      <c r="CH33" s="2077"/>
      <c r="CI33" s="2077"/>
      <c r="CJ33" s="2077"/>
      <c r="CK33" s="2077"/>
      <c r="CL33" s="2077"/>
      <c r="CM33" s="2077"/>
      <c r="CN33" s="2077"/>
      <c r="CO33" s="2077"/>
      <c r="CP33" s="2077"/>
      <c r="CQ33" s="2077"/>
      <c r="CR33" s="2077"/>
      <c r="CS33" s="2077"/>
      <c r="CT33" s="2077"/>
      <c r="CU33" s="2077"/>
      <c r="CV33" s="2077"/>
      <c r="CW33" s="2077"/>
      <c r="CX33" s="2077"/>
      <c r="CY33" s="2077"/>
      <c r="CZ33" s="2077"/>
      <c r="DA33" s="2077"/>
      <c r="DB33" s="2077"/>
      <c r="DC33" s="2077"/>
      <c r="DD33" s="2077"/>
      <c r="DE33" s="2077"/>
      <c r="DF33" s="2077"/>
      <c r="DG33" s="2077"/>
      <c r="DH33" s="2077"/>
      <c r="DI33" s="2077"/>
      <c r="DJ33" s="2077"/>
      <c r="DK33" s="2077"/>
      <c r="DL33" s="2077"/>
      <c r="DM33" s="2077"/>
      <c r="DN33" s="2077"/>
      <c r="DO33" s="2077"/>
      <c r="DP33" s="2077"/>
      <c r="DQ33" s="2077"/>
      <c r="DR33" s="2077"/>
      <c r="DS33" s="2077"/>
      <c r="DT33" s="2077"/>
      <c r="DU33" s="2077"/>
      <c r="DV33" s="2077"/>
      <c r="DW33" s="2077"/>
      <c r="DX33" s="2077"/>
      <c r="DY33" s="2077"/>
      <c r="DZ33" s="2077"/>
      <c r="EA33" s="2077"/>
    </row>
    <row r="34" spans="1:131" s="2078" customFormat="1" ht="19.899999999999999" customHeight="1" outlineLevel="1">
      <c r="A34" s="2089" t="s">
        <v>1704</v>
      </c>
      <c r="B34" s="2088"/>
      <c r="C34" s="2087">
        <f>'VOLUNTARY BLOOD DONATION'!H28</f>
        <v>1000000</v>
      </c>
      <c r="D34" s="2077"/>
      <c r="E34" s="2077"/>
      <c r="F34" s="2077"/>
      <c r="G34" s="2077"/>
      <c r="H34" s="2077"/>
      <c r="I34" s="2077"/>
      <c r="J34" s="2077"/>
      <c r="K34" s="2077"/>
      <c r="L34" s="2077"/>
      <c r="M34" s="2077"/>
      <c r="N34" s="2077"/>
      <c r="O34" s="2077"/>
      <c r="P34" s="2077"/>
      <c r="Q34" s="2077"/>
      <c r="R34" s="2077"/>
      <c r="S34" s="2077"/>
      <c r="T34" s="2077"/>
      <c r="U34" s="2077"/>
      <c r="V34" s="2077"/>
      <c r="W34" s="2077"/>
      <c r="X34" s="2077"/>
      <c r="Y34" s="2077"/>
      <c r="Z34" s="2077"/>
      <c r="AA34" s="2077"/>
      <c r="AB34" s="2077"/>
      <c r="AC34" s="2077"/>
      <c r="AD34" s="2077"/>
      <c r="AE34" s="2077"/>
      <c r="AF34" s="2077"/>
      <c r="AG34" s="2077"/>
      <c r="AH34" s="2077"/>
      <c r="AI34" s="2077"/>
      <c r="AJ34" s="2077"/>
      <c r="AK34" s="2077"/>
      <c r="AL34" s="2077"/>
      <c r="AM34" s="2077"/>
      <c r="AN34" s="2077"/>
      <c r="AO34" s="2077"/>
      <c r="AP34" s="2077"/>
      <c r="AQ34" s="2077"/>
      <c r="AR34" s="2077"/>
      <c r="AS34" s="2077"/>
      <c r="AT34" s="2077"/>
      <c r="AU34" s="2077"/>
      <c r="AV34" s="2077"/>
      <c r="AW34" s="2077"/>
      <c r="AX34" s="2077"/>
      <c r="AY34" s="2077"/>
      <c r="AZ34" s="2077"/>
      <c r="BA34" s="2077"/>
      <c r="BB34" s="2077"/>
      <c r="BC34" s="2077"/>
      <c r="BD34" s="2077"/>
      <c r="BE34" s="2077"/>
      <c r="BF34" s="2077"/>
      <c r="BG34" s="2077"/>
      <c r="BH34" s="2077"/>
      <c r="BI34" s="2077"/>
      <c r="BJ34" s="2077"/>
      <c r="BK34" s="2077"/>
      <c r="BL34" s="2077"/>
      <c r="BM34" s="2077"/>
      <c r="BN34" s="2077"/>
      <c r="BO34" s="2077"/>
      <c r="BP34" s="2077"/>
      <c r="BQ34" s="2077"/>
      <c r="BR34" s="2077"/>
      <c r="BS34" s="2077"/>
      <c r="BT34" s="2077"/>
      <c r="BU34" s="2077"/>
      <c r="BV34" s="2077"/>
      <c r="BW34" s="2077"/>
      <c r="BX34" s="2077"/>
      <c r="BY34" s="2077"/>
      <c r="BZ34" s="2077"/>
      <c r="CA34" s="2077"/>
      <c r="CB34" s="2077"/>
      <c r="CC34" s="2077"/>
      <c r="CD34" s="2077"/>
      <c r="CE34" s="2077"/>
      <c r="CF34" s="2077"/>
      <c r="CG34" s="2077"/>
      <c r="CH34" s="2077"/>
      <c r="CI34" s="2077"/>
      <c r="CJ34" s="2077"/>
      <c r="CK34" s="2077"/>
      <c r="CL34" s="2077"/>
      <c r="CM34" s="2077"/>
      <c r="CN34" s="2077"/>
      <c r="CO34" s="2077"/>
      <c r="CP34" s="2077"/>
      <c r="CQ34" s="2077"/>
      <c r="CR34" s="2077"/>
      <c r="CS34" s="2077"/>
      <c r="CT34" s="2077"/>
      <c r="CU34" s="2077"/>
      <c r="CV34" s="2077"/>
      <c r="CW34" s="2077"/>
      <c r="CX34" s="2077"/>
      <c r="CY34" s="2077"/>
      <c r="CZ34" s="2077"/>
      <c r="DA34" s="2077"/>
      <c r="DB34" s="2077"/>
      <c r="DC34" s="2077"/>
      <c r="DD34" s="2077"/>
      <c r="DE34" s="2077"/>
      <c r="DF34" s="2077"/>
      <c r="DG34" s="2077"/>
      <c r="DH34" s="2077"/>
      <c r="DI34" s="2077"/>
      <c r="DJ34" s="2077"/>
      <c r="DK34" s="2077"/>
      <c r="DL34" s="2077"/>
      <c r="DM34" s="2077"/>
      <c r="DN34" s="2077"/>
      <c r="DO34" s="2077"/>
      <c r="DP34" s="2077"/>
      <c r="DQ34" s="2077"/>
      <c r="DR34" s="2077"/>
      <c r="DS34" s="2077"/>
      <c r="DT34" s="2077"/>
      <c r="DU34" s="2077"/>
      <c r="DV34" s="2077"/>
      <c r="DW34" s="2077"/>
      <c r="DX34" s="2077"/>
      <c r="DY34" s="2077"/>
      <c r="DZ34" s="2077"/>
      <c r="EA34" s="2077"/>
    </row>
    <row r="35" spans="1:131" s="2078" customFormat="1" ht="19.899999999999999" customHeight="1" outlineLevel="1">
      <c r="A35" s="2086" t="s">
        <v>1703</v>
      </c>
      <c r="B35" s="2085"/>
      <c r="C35" s="2084">
        <f>ZOD!H31</f>
        <v>1100000</v>
      </c>
      <c r="D35" s="2077"/>
      <c r="E35" s="2077"/>
      <c r="F35" s="2077"/>
      <c r="G35" s="2077"/>
      <c r="H35" s="2077"/>
      <c r="I35" s="2077"/>
      <c r="J35" s="2077"/>
      <c r="K35" s="2077"/>
      <c r="L35" s="2077"/>
      <c r="M35" s="2077"/>
      <c r="N35" s="2077"/>
      <c r="O35" s="2077"/>
      <c r="P35" s="2077"/>
      <c r="Q35" s="2077"/>
      <c r="R35" s="2077"/>
      <c r="S35" s="2077"/>
      <c r="T35" s="2077"/>
      <c r="U35" s="2077"/>
      <c r="V35" s="2077"/>
      <c r="W35" s="2077"/>
      <c r="X35" s="2077"/>
      <c r="Y35" s="2077"/>
      <c r="Z35" s="2077"/>
      <c r="AA35" s="2077"/>
      <c r="AB35" s="2077"/>
      <c r="AC35" s="2077"/>
      <c r="AD35" s="2077"/>
      <c r="AE35" s="2077"/>
      <c r="AF35" s="2077"/>
      <c r="AG35" s="2077"/>
      <c r="AH35" s="2077"/>
      <c r="AI35" s="2077"/>
      <c r="AJ35" s="2077"/>
      <c r="AK35" s="2077"/>
      <c r="AL35" s="2077"/>
      <c r="AM35" s="2077"/>
      <c r="AN35" s="2077"/>
      <c r="AO35" s="2077"/>
      <c r="AP35" s="2077"/>
      <c r="AQ35" s="2077"/>
      <c r="AR35" s="2077"/>
      <c r="AS35" s="2077"/>
      <c r="AT35" s="2077"/>
      <c r="AU35" s="2077"/>
      <c r="AV35" s="2077"/>
      <c r="AW35" s="2077"/>
      <c r="AX35" s="2077"/>
      <c r="AY35" s="2077"/>
      <c r="AZ35" s="2077"/>
      <c r="BA35" s="2077"/>
      <c r="BB35" s="2077"/>
      <c r="BC35" s="2077"/>
      <c r="BD35" s="2077"/>
      <c r="BE35" s="2077"/>
      <c r="BF35" s="2077"/>
      <c r="BG35" s="2077"/>
      <c r="BH35" s="2077"/>
      <c r="BI35" s="2077"/>
      <c r="BJ35" s="2077"/>
      <c r="BK35" s="2077"/>
      <c r="BL35" s="2077"/>
      <c r="BM35" s="2077"/>
      <c r="BN35" s="2077"/>
      <c r="BO35" s="2077"/>
      <c r="BP35" s="2077"/>
      <c r="BQ35" s="2077"/>
      <c r="BR35" s="2077"/>
      <c r="BS35" s="2077"/>
      <c r="BT35" s="2077"/>
      <c r="BU35" s="2077"/>
      <c r="BV35" s="2077"/>
      <c r="BW35" s="2077"/>
      <c r="BX35" s="2077"/>
      <c r="BY35" s="2077"/>
      <c r="BZ35" s="2077"/>
      <c r="CA35" s="2077"/>
      <c r="CB35" s="2077"/>
      <c r="CC35" s="2077"/>
      <c r="CD35" s="2077"/>
      <c r="CE35" s="2077"/>
      <c r="CF35" s="2077"/>
      <c r="CG35" s="2077"/>
      <c r="CH35" s="2077"/>
      <c r="CI35" s="2077"/>
      <c r="CJ35" s="2077"/>
      <c r="CK35" s="2077"/>
      <c r="CL35" s="2077"/>
      <c r="CM35" s="2077"/>
      <c r="CN35" s="2077"/>
      <c r="CO35" s="2077"/>
      <c r="CP35" s="2077"/>
      <c r="CQ35" s="2077"/>
      <c r="CR35" s="2077"/>
      <c r="CS35" s="2077"/>
      <c r="CT35" s="2077"/>
      <c r="CU35" s="2077"/>
      <c r="CV35" s="2077"/>
      <c r="CW35" s="2077"/>
      <c r="CX35" s="2077"/>
      <c r="CY35" s="2077"/>
      <c r="CZ35" s="2077"/>
      <c r="DA35" s="2077"/>
      <c r="DB35" s="2077"/>
      <c r="DC35" s="2077"/>
      <c r="DD35" s="2077"/>
      <c r="DE35" s="2077"/>
      <c r="DF35" s="2077"/>
      <c r="DG35" s="2077"/>
      <c r="DH35" s="2077"/>
      <c r="DI35" s="2077"/>
      <c r="DJ35" s="2077"/>
      <c r="DK35" s="2077"/>
      <c r="DL35" s="2077"/>
      <c r="DM35" s="2077"/>
      <c r="DN35" s="2077"/>
      <c r="DO35" s="2077"/>
      <c r="DP35" s="2077"/>
      <c r="DQ35" s="2077"/>
      <c r="DR35" s="2077"/>
      <c r="DS35" s="2077"/>
      <c r="DT35" s="2077"/>
      <c r="DU35" s="2077"/>
      <c r="DV35" s="2077"/>
      <c r="DW35" s="2077"/>
      <c r="DX35" s="2077"/>
      <c r="DY35" s="2077"/>
      <c r="DZ35" s="2077"/>
      <c r="EA35" s="2077"/>
    </row>
    <row r="36" spans="1:131" s="2081" customFormat="1" ht="19.899999999999999" customHeight="1" outlineLevel="1" thickBot="1">
      <c r="A36" s="2083" t="s">
        <v>366</v>
      </c>
      <c r="B36" s="2083"/>
      <c r="C36" s="2082">
        <f>SUM(C13:C35)</f>
        <v>82050877</v>
      </c>
    </row>
    <row r="37" spans="1:131" ht="20.100000000000001" customHeight="1" outlineLevel="1" thickTop="1">
      <c r="B37" s="2080"/>
    </row>
    <row r="38" spans="1:131" s="2078" customFormat="1">
      <c r="B38" s="2079"/>
    </row>
    <row r="39" spans="1:131" s="2078" customFormat="1"/>
    <row r="40" spans="1:131" s="2078" customFormat="1"/>
    <row r="41" spans="1:131" s="2078" customFormat="1"/>
    <row r="42" spans="1:131" s="2078" customFormat="1"/>
  </sheetData>
  <mergeCells count="8">
    <mergeCell ref="A11:B12"/>
    <mergeCell ref="C11:C12"/>
    <mergeCell ref="A9:C9"/>
    <mergeCell ref="A1:C1"/>
    <mergeCell ref="A8:C8"/>
    <mergeCell ref="A2:C2"/>
    <mergeCell ref="A3:C3"/>
    <mergeCell ref="A5:C5"/>
  </mergeCells>
  <printOptions horizontalCentered="1"/>
  <pageMargins left="1" right="1" top="1" bottom="1" header="0.5" footer="0"/>
  <pageSetup paperSize="5" orientation="portrait"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6"/>
  <sheetViews>
    <sheetView showGridLines="0" showOutlineSymbols="0" topLeftCell="A10" zoomScaleNormal="100" workbookViewId="0">
      <selection activeCell="I1" sqref="I1:I1048576"/>
    </sheetView>
  </sheetViews>
  <sheetFormatPr defaultColWidth="12.5703125" defaultRowHeight="12.75" outlineLevelRow="1" outlineLevelCol="2"/>
  <cols>
    <col min="1" max="1" width="1.85546875" style="134" customWidth="1"/>
    <col min="2" max="2" width="32.85546875" style="134" customWidth="1"/>
    <col min="3" max="7" width="10.7109375" style="134" customWidth="1"/>
    <col min="8" max="8" width="11.4257812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1741</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1740</v>
      </c>
      <c r="B9" s="266"/>
    </row>
    <row r="10" spans="1:8" ht="14.25" customHeight="1">
      <c r="A10" s="267"/>
      <c r="B10" s="2076" t="s">
        <v>1739</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536"/>
      <c r="C15" s="396"/>
      <c r="D15" s="396"/>
      <c r="E15" s="396"/>
      <c r="F15" s="536"/>
      <c r="G15" s="536"/>
      <c r="H15" s="536"/>
    </row>
    <row r="16" spans="1:8" ht="20.100000000000001" customHeight="1">
      <c r="A16" s="2116" t="s">
        <v>407</v>
      </c>
      <c r="B16" s="2115"/>
      <c r="C16" s="526"/>
      <c r="D16" s="525">
        <f>SUM(D17:D29)</f>
        <v>167529.88</v>
      </c>
      <c r="E16" s="525">
        <f>SUM(E17:E29)</f>
        <v>20103</v>
      </c>
      <c r="F16" s="525">
        <f>SUM(F17:F29)</f>
        <v>179897</v>
      </c>
      <c r="G16" s="525">
        <f>SUM(G17:G29)</f>
        <v>200000</v>
      </c>
      <c r="H16" s="525">
        <f>SUM(H17:H29)</f>
        <v>200000</v>
      </c>
    </row>
    <row r="17" spans="1:9" ht="15.95" customHeight="1" outlineLevel="1">
      <c r="A17" s="4802" t="s">
        <v>404</v>
      </c>
      <c r="B17" s="4803"/>
      <c r="C17" s="530" t="s">
        <v>403</v>
      </c>
      <c r="D17" s="2114">
        <v>85050</v>
      </c>
      <c r="E17" s="2113">
        <v>0</v>
      </c>
      <c r="F17" s="2112">
        <f>SUM(G17-E17)</f>
        <v>86940</v>
      </c>
      <c r="G17" s="2111">
        <v>86940</v>
      </c>
      <c r="H17" s="2111">
        <v>74340</v>
      </c>
    </row>
    <row r="18" spans="1:9" ht="15.95" customHeight="1" outlineLevel="1">
      <c r="A18" s="519" t="s">
        <v>402</v>
      </c>
      <c r="B18" s="518"/>
      <c r="C18" s="530" t="s">
        <v>401</v>
      </c>
      <c r="D18" s="2107">
        <v>16700</v>
      </c>
      <c r="E18" s="2110">
        <v>20103</v>
      </c>
      <c r="F18" s="2109">
        <f>SUM(G18-E18)</f>
        <v>77</v>
      </c>
      <c r="G18" s="493">
        <v>20180</v>
      </c>
      <c r="H18" s="493">
        <v>71637</v>
      </c>
    </row>
    <row r="19" spans="1:9" ht="15.95" customHeight="1" outlineLevel="1">
      <c r="A19" s="519" t="s">
        <v>1738</v>
      </c>
      <c r="B19" s="518"/>
      <c r="C19" s="978" t="s">
        <v>1679</v>
      </c>
      <c r="D19" s="2107">
        <v>9360</v>
      </c>
      <c r="E19" s="2110">
        <v>0</v>
      </c>
      <c r="F19" s="2109">
        <f>SUM(G19-E19)</f>
        <v>29520</v>
      </c>
      <c r="G19" s="493">
        <v>29520</v>
      </c>
      <c r="H19" s="493">
        <v>15000</v>
      </c>
    </row>
    <row r="20" spans="1:9" ht="15.95" customHeight="1" outlineLevel="1">
      <c r="A20" s="1736" t="s">
        <v>674</v>
      </c>
      <c r="B20" s="1735"/>
      <c r="C20" s="530" t="s">
        <v>396</v>
      </c>
      <c r="D20" s="2107">
        <v>56419.88</v>
      </c>
      <c r="E20" s="2110">
        <v>0</v>
      </c>
      <c r="F20" s="2109">
        <f>SUM(G20-E20)</f>
        <v>61980</v>
      </c>
      <c r="G20" s="493">
        <v>61980</v>
      </c>
      <c r="H20" s="493">
        <v>39023</v>
      </c>
    </row>
    <row r="21" spans="1:9" ht="15.95" customHeight="1" outlineLevel="1">
      <c r="A21" s="166" t="s">
        <v>368</v>
      </c>
      <c r="B21" s="518"/>
      <c r="C21" s="978" t="s">
        <v>367</v>
      </c>
      <c r="D21" s="2107">
        <v>0</v>
      </c>
      <c r="E21" s="2110">
        <v>0</v>
      </c>
      <c r="F21" s="2109">
        <f>SUM(G21-E21)</f>
        <v>1380</v>
      </c>
      <c r="G21" s="493">
        <v>1380</v>
      </c>
      <c r="H21" s="493">
        <v>0</v>
      </c>
    </row>
    <row r="22" spans="1:9" ht="15.95" customHeight="1" outlineLevel="1">
      <c r="A22" s="519"/>
      <c r="B22" s="518"/>
      <c r="C22" s="971"/>
      <c r="D22" s="2107"/>
      <c r="E22" s="2110"/>
      <c r="F22" s="2109"/>
      <c r="G22" s="2108"/>
      <c r="H22" s="493"/>
    </row>
    <row r="23" spans="1:9" ht="15.95" customHeight="1" outlineLevel="1">
      <c r="A23" s="519"/>
      <c r="B23" s="518"/>
      <c r="C23" s="971"/>
      <c r="D23" s="2107"/>
      <c r="E23" s="2106"/>
      <c r="F23" s="150"/>
      <c r="G23" s="234"/>
      <c r="H23" s="493"/>
    </row>
    <row r="24" spans="1:9" ht="15.95" customHeight="1" outlineLevel="1">
      <c r="A24" s="519"/>
      <c r="B24" s="518"/>
      <c r="C24" s="971"/>
      <c r="D24" s="951"/>
      <c r="E24" s="994"/>
      <c r="F24" s="238"/>
      <c r="G24" s="390"/>
      <c r="H24" s="157"/>
    </row>
    <row r="25" spans="1:9" ht="15.95" customHeight="1" outlineLevel="1">
      <c r="A25" s="519"/>
      <c r="B25" s="518"/>
      <c r="C25" s="971"/>
      <c r="D25" s="951"/>
      <c r="E25" s="994"/>
      <c r="F25" s="238"/>
      <c r="G25" s="390"/>
      <c r="H25" s="157"/>
    </row>
    <row r="26" spans="1:9" ht="15.95" customHeight="1" outlineLevel="1">
      <c r="A26" s="517"/>
      <c r="B26" s="516"/>
      <c r="C26" s="1734"/>
      <c r="D26" s="951"/>
      <c r="E26" s="994"/>
      <c r="F26" s="238"/>
      <c r="G26" s="390"/>
      <c r="H26" s="157"/>
    </row>
    <row r="27" spans="1:9" s="148" customFormat="1" ht="15.95" customHeight="1" outlineLevel="1">
      <c r="A27" s="512"/>
      <c r="B27" s="514"/>
      <c r="C27" s="2105"/>
      <c r="D27" s="951"/>
      <c r="E27" s="994"/>
      <c r="F27" s="238"/>
      <c r="G27" s="390"/>
      <c r="H27" s="157"/>
    </row>
    <row r="28" spans="1:9" s="148" customFormat="1" ht="15.95" customHeight="1" outlineLevel="1">
      <c r="A28" s="512"/>
      <c r="B28" s="511"/>
      <c r="C28" s="971"/>
      <c r="D28" s="951"/>
      <c r="E28" s="994"/>
      <c r="F28" s="238"/>
      <c r="G28" s="390"/>
      <c r="H28" s="157"/>
    </row>
    <row r="29" spans="1:9" s="148" customFormat="1" ht="15.95" customHeight="1" outlineLevel="1">
      <c r="A29" s="508"/>
      <c r="B29" s="507"/>
      <c r="C29" s="970"/>
      <c r="D29" s="969"/>
      <c r="E29" s="993"/>
      <c r="F29" s="992"/>
      <c r="G29" s="991"/>
      <c r="H29" s="149"/>
    </row>
    <row r="30" spans="1:9" s="148" customFormat="1" ht="15.95" customHeight="1" outlineLevel="1" thickBot="1">
      <c r="A30" s="147" t="s">
        <v>366</v>
      </c>
      <c r="B30" s="147"/>
      <c r="C30" s="146"/>
      <c r="D30" s="456">
        <f>SUM(D16)</f>
        <v>167529.88</v>
      </c>
      <c r="E30" s="456">
        <f>SUM(E16)</f>
        <v>20103</v>
      </c>
      <c r="F30" s="147">
        <f>SUM(F16)</f>
        <v>179897</v>
      </c>
      <c r="G30" s="456">
        <f>SUM(G16)</f>
        <v>200000</v>
      </c>
      <c r="H30" s="455">
        <f>SUM(H16)</f>
        <v>200000</v>
      </c>
      <c r="I30" s="340" t="s">
        <v>1737</v>
      </c>
    </row>
    <row r="31" spans="1:9" ht="20.100000000000001" customHeight="1" outlineLevel="1" thickTop="1">
      <c r="H31" s="454"/>
    </row>
    <row r="32" spans="1:9" ht="15.95" customHeight="1">
      <c r="A32" s="134" t="s">
        <v>364</v>
      </c>
      <c r="C32" s="141" t="s">
        <v>363</v>
      </c>
      <c r="E32" s="4804" t="s">
        <v>1736</v>
      </c>
      <c r="F32" s="4804"/>
    </row>
    <row r="33" spans="1:9" ht="15.95" customHeight="1">
      <c r="C33" s="141"/>
    </row>
    <row r="34" spans="1:9" ht="27.6" customHeight="1">
      <c r="A34" s="139" t="s">
        <v>1735</v>
      </c>
      <c r="C34" s="4635" t="s">
        <v>360</v>
      </c>
      <c r="D34" s="4635"/>
      <c r="E34" s="4630" t="s">
        <v>359</v>
      </c>
      <c r="F34" s="4630"/>
      <c r="G34" s="4630"/>
      <c r="H34" s="4630"/>
    </row>
    <row r="35" spans="1:9" s="135" customFormat="1" ht="15.95" customHeight="1">
      <c r="A35" s="2104" t="s">
        <v>1734</v>
      </c>
      <c r="B35" s="2104"/>
      <c r="C35" s="4655" t="s">
        <v>357</v>
      </c>
      <c r="D35" s="4655"/>
      <c r="E35" s="4623" t="s">
        <v>356</v>
      </c>
      <c r="F35" s="4623"/>
      <c r="G35" s="4623"/>
      <c r="H35" s="4623"/>
      <c r="I35" s="136"/>
    </row>
    <row r="36" spans="1:9" s="135" customFormat="1" ht="13.5">
      <c r="A36" s="4645"/>
      <c r="B36" s="4645"/>
      <c r="C36" s="4655"/>
      <c r="D36" s="4655"/>
      <c r="E36" s="137"/>
      <c r="F36" s="137"/>
      <c r="G36" s="137"/>
      <c r="H36" s="137"/>
      <c r="I36" s="136"/>
    </row>
  </sheetData>
  <mergeCells count="12">
    <mergeCell ref="A12:B14"/>
    <mergeCell ref="A5:H5"/>
    <mergeCell ref="A6:H6"/>
    <mergeCell ref="E12:G12"/>
    <mergeCell ref="E32:F32"/>
    <mergeCell ref="C36:D36"/>
    <mergeCell ref="A17:B17"/>
    <mergeCell ref="C35:D35"/>
    <mergeCell ref="E35:H35"/>
    <mergeCell ref="A36:B36"/>
    <mergeCell ref="C34:D34"/>
    <mergeCell ref="E34:H34"/>
  </mergeCells>
  <pageMargins left="0.5" right="0" top="0.25" bottom="0" header="0.5" footer="0"/>
  <pageSetup paperSize="5" orientation="portrait"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outlinePr summaryBelow="0"/>
  </sheetPr>
  <dimension ref="A1:ES34"/>
  <sheetViews>
    <sheetView showGridLines="0" showOutlineSymbols="0" topLeftCell="A22" zoomScale="120" zoomScaleNormal="120" workbookViewId="0">
      <selection activeCell="E13" sqref="E13"/>
    </sheetView>
  </sheetViews>
  <sheetFormatPr defaultColWidth="12.5703125" defaultRowHeight="12.75" outlineLevelRow="1" outlineLevelCol="2"/>
  <cols>
    <col min="1" max="1" width="1.85546875" style="134" customWidth="1"/>
    <col min="2" max="2" width="32.85546875" style="134" customWidth="1"/>
    <col min="3" max="8" width="10.7109375" style="134" customWidth="1"/>
    <col min="9" max="9" width="14.140625" style="134" hidden="1" customWidth="1"/>
    <col min="10" max="12" width="0" style="134" hidden="1" customWidth="1"/>
    <col min="13"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1745</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2135"/>
      <c r="C15" s="396"/>
      <c r="D15" s="396"/>
      <c r="E15" s="396"/>
      <c r="F15" s="536"/>
      <c r="G15" s="536"/>
      <c r="H15" s="536"/>
    </row>
    <row r="16" spans="1:8" ht="20.100000000000001" customHeight="1">
      <c r="A16" s="2116" t="s">
        <v>407</v>
      </c>
      <c r="B16" s="2134"/>
      <c r="C16" s="526"/>
      <c r="D16" s="2133">
        <f>SUM(D17:D27)</f>
        <v>1982456.8199999998</v>
      </c>
      <c r="E16" s="2133">
        <f>SUM(E17:E27)</f>
        <v>842760</v>
      </c>
      <c r="F16" s="2133">
        <f>SUM(F17:F27)</f>
        <v>157240</v>
      </c>
      <c r="G16" s="524">
        <f>SUM(G17:G27)</f>
        <v>1000000</v>
      </c>
      <c r="H16" s="524">
        <f>SUM(H17:H27)</f>
        <v>1000000</v>
      </c>
    </row>
    <row r="17" spans="1:12" ht="15.95" customHeight="1" outlineLevel="1">
      <c r="A17" s="519" t="s">
        <v>1738</v>
      </c>
      <c r="B17" s="518"/>
      <c r="C17" s="978" t="s">
        <v>1679</v>
      </c>
      <c r="D17" s="2132">
        <f>'[8]ANTI-RABIES'!$E$12</f>
        <v>1981300.8199999998</v>
      </c>
      <c r="E17" s="2113">
        <v>841320</v>
      </c>
      <c r="F17" s="2112">
        <f>SUM(G17-E17)</f>
        <v>157180</v>
      </c>
      <c r="G17" s="2131">
        <v>998500</v>
      </c>
      <c r="H17" s="2131">
        <v>719425</v>
      </c>
      <c r="I17" s="134" t="s">
        <v>1744</v>
      </c>
      <c r="K17" s="134">
        <v>719425</v>
      </c>
    </row>
    <row r="18" spans="1:12" s="235" customFormat="1" ht="15.95" customHeight="1" outlineLevel="1">
      <c r="A18" s="166" t="s">
        <v>395</v>
      </c>
      <c r="B18" s="2130"/>
      <c r="C18" s="978" t="s">
        <v>394</v>
      </c>
      <c r="D18" s="2128">
        <f>'[8]ANTI-RABIES'!$E$13</f>
        <v>1156</v>
      </c>
      <c r="E18" s="2110">
        <v>1440</v>
      </c>
      <c r="F18" s="2109">
        <f>SUM(G18-E18)</f>
        <v>60</v>
      </c>
      <c r="G18" s="2129">
        <v>1500</v>
      </c>
      <c r="H18" s="2129">
        <v>280575</v>
      </c>
      <c r="K18" s="235">
        <v>27500</v>
      </c>
      <c r="L18" s="235" t="s">
        <v>1743</v>
      </c>
    </row>
    <row r="19" spans="1:12" ht="15.95" customHeight="1" outlineLevel="1">
      <c r="A19" s="519"/>
      <c r="B19" s="518"/>
      <c r="C19" s="971"/>
      <c r="D19" s="2128"/>
      <c r="E19" s="2110"/>
      <c r="F19" s="2127"/>
      <c r="G19" s="234"/>
      <c r="H19" s="493"/>
      <c r="K19" s="134">
        <f>SUM(K17:K18)</f>
        <v>746925</v>
      </c>
    </row>
    <row r="20" spans="1:12" ht="15.95" customHeight="1" outlineLevel="1">
      <c r="A20" s="1736"/>
      <c r="B20" s="1735"/>
      <c r="C20" s="530"/>
      <c r="D20" s="2128"/>
      <c r="E20" s="2110"/>
      <c r="F20" s="2127"/>
      <c r="G20" s="234"/>
      <c r="H20" s="493"/>
    </row>
    <row r="21" spans="1:12" ht="15.95" customHeight="1" outlineLevel="1">
      <c r="A21" s="519"/>
      <c r="B21" s="518"/>
      <c r="C21" s="971"/>
      <c r="D21" s="2128"/>
      <c r="E21" s="2110"/>
      <c r="F21" s="2127"/>
      <c r="G21" s="234"/>
      <c r="H21" s="493"/>
      <c r="K21" s="134">
        <f>SUM(K17-K18)</f>
        <v>691925</v>
      </c>
    </row>
    <row r="22" spans="1:12" ht="15.95" customHeight="1" outlineLevel="1">
      <c r="A22" s="517"/>
      <c r="B22" s="950"/>
      <c r="C22" s="971"/>
      <c r="D22" s="2128"/>
      <c r="E22" s="2110"/>
      <c r="F22" s="2127"/>
      <c r="G22" s="234"/>
      <c r="H22" s="493"/>
    </row>
    <row r="23" spans="1:12" ht="15.95" customHeight="1" outlineLevel="1">
      <c r="A23" s="519"/>
      <c r="B23" s="518"/>
      <c r="C23" s="971"/>
      <c r="D23" s="2128"/>
      <c r="E23" s="2110"/>
      <c r="F23" s="2127"/>
      <c r="G23" s="234"/>
      <c r="H23" s="493"/>
    </row>
    <row r="24" spans="1:12" ht="15.95" customHeight="1" outlineLevel="1">
      <c r="A24" s="517"/>
      <c r="B24" s="516"/>
      <c r="C24" s="1734"/>
      <c r="D24" s="2128"/>
      <c r="E24" s="2110"/>
      <c r="F24" s="2127"/>
      <c r="G24" s="234"/>
      <c r="H24" s="493"/>
    </row>
    <row r="25" spans="1:12" s="148" customFormat="1" ht="15.95" customHeight="1" outlineLevel="1">
      <c r="A25" s="512"/>
      <c r="B25" s="514"/>
      <c r="C25" s="2105"/>
      <c r="D25" s="2128"/>
      <c r="E25" s="2110"/>
      <c r="F25" s="2127"/>
      <c r="G25" s="234"/>
      <c r="H25" s="493"/>
    </row>
    <row r="26" spans="1:12" s="148" customFormat="1" ht="15.95" customHeight="1" outlineLevel="1">
      <c r="A26" s="512"/>
      <c r="B26" s="511"/>
      <c r="C26" s="971"/>
      <c r="D26" s="2128"/>
      <c r="E26" s="2110"/>
      <c r="F26" s="2127"/>
      <c r="G26" s="234"/>
      <c r="H26" s="493"/>
    </row>
    <row r="27" spans="1:12" s="148" customFormat="1" ht="15.95" customHeight="1" outlineLevel="1">
      <c r="A27" s="508"/>
      <c r="B27" s="507"/>
      <c r="C27" s="970"/>
      <c r="D27" s="2126"/>
      <c r="E27" s="2125"/>
      <c r="F27" s="2124"/>
      <c r="G27" s="2123"/>
      <c r="H27" s="2122"/>
    </row>
    <row r="28" spans="1:12" s="148" customFormat="1" ht="15.95" customHeight="1" outlineLevel="1" thickBot="1">
      <c r="A28" s="147" t="s">
        <v>366</v>
      </c>
      <c r="B28" s="147"/>
      <c r="C28" s="146"/>
      <c r="D28" s="2121">
        <f>SUM(D16)</f>
        <v>1982456.8199999998</v>
      </c>
      <c r="E28" s="2121">
        <f>SUM(E16)</f>
        <v>842760</v>
      </c>
      <c r="F28" s="2120">
        <f>SUM(F16)</f>
        <v>157240</v>
      </c>
      <c r="G28" s="2119">
        <f>SUM(G16)</f>
        <v>1000000</v>
      </c>
      <c r="H28" s="2118">
        <f>SUM(H16)</f>
        <v>1000000</v>
      </c>
      <c r="I28" s="340" t="s">
        <v>1742</v>
      </c>
    </row>
    <row r="29" spans="1:12" ht="20.100000000000001" customHeight="1" outlineLevel="1" thickTop="1">
      <c r="H29" s="454"/>
    </row>
    <row r="30" spans="1:12" ht="15.95" customHeight="1">
      <c r="A30" s="134" t="s">
        <v>364</v>
      </c>
      <c r="C30" s="141" t="s">
        <v>363</v>
      </c>
      <c r="E30" s="868" t="s">
        <v>1736</v>
      </c>
      <c r="F30" s="868"/>
    </row>
    <row r="31" spans="1:12" ht="15.95" customHeight="1">
      <c r="C31" s="141"/>
    </row>
    <row r="32" spans="1:12" ht="23.45" customHeight="1">
      <c r="A32" s="139" t="s">
        <v>1735</v>
      </c>
      <c r="C32" s="4635" t="s">
        <v>360</v>
      </c>
      <c r="D32" s="4635"/>
      <c r="E32" s="4630" t="s">
        <v>359</v>
      </c>
      <c r="F32" s="4630"/>
      <c r="G32" s="4630"/>
      <c r="H32" s="4630"/>
    </row>
    <row r="33" spans="1:9" s="135" customFormat="1" ht="12.6" customHeight="1">
      <c r="A33" s="2104" t="s">
        <v>1734</v>
      </c>
      <c r="B33" s="2104"/>
      <c r="C33" s="4622" t="s">
        <v>357</v>
      </c>
      <c r="D33" s="4622"/>
      <c r="E33" s="4623" t="s">
        <v>356</v>
      </c>
      <c r="F33" s="4623"/>
      <c r="G33" s="4623"/>
      <c r="H33" s="4623"/>
      <c r="I33" s="136"/>
    </row>
    <row r="34" spans="1:9" s="135" customFormat="1" ht="13.5">
      <c r="A34" s="4645"/>
      <c r="B34" s="4645"/>
      <c r="C34" s="4655"/>
      <c r="D34" s="4655"/>
      <c r="E34" s="137"/>
      <c r="F34" s="137"/>
      <c r="G34" s="137"/>
      <c r="H34" s="137"/>
      <c r="I34" s="136"/>
    </row>
  </sheetData>
  <mergeCells count="10">
    <mergeCell ref="C33:D33"/>
    <mergeCell ref="E33:H33"/>
    <mergeCell ref="A34:B34"/>
    <mergeCell ref="A12:B14"/>
    <mergeCell ref="A5:H5"/>
    <mergeCell ref="A6:H6"/>
    <mergeCell ref="E12:G12"/>
    <mergeCell ref="C32:D32"/>
    <mergeCell ref="E32:H32"/>
    <mergeCell ref="C34:D34"/>
  </mergeCells>
  <pageMargins left="0.5" right="0" top="0.25" bottom="0" header="0.5" footer="0"/>
  <pageSetup paperSize="5" orientation="portrait"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topLeftCell="A19" zoomScale="110" zoomScaleNormal="110" workbookViewId="0">
      <selection activeCell="I1" sqref="I1:I1048576"/>
    </sheetView>
  </sheetViews>
  <sheetFormatPr defaultColWidth="12.5703125" defaultRowHeight="15.75" outlineLevelRow="1" outlineLevelCol="2"/>
  <cols>
    <col min="1" max="1" width="1.85546875" style="235" customWidth="1"/>
    <col min="2" max="2" width="32.28515625" style="235" customWidth="1"/>
    <col min="3" max="3" width="10.7109375" style="235" customWidth="1"/>
    <col min="4" max="4" width="10" style="235" customWidth="1"/>
    <col min="5" max="8" width="10.7109375" style="235" customWidth="1"/>
    <col min="9" max="9" width="14.140625" style="235" hidden="1" customWidth="1"/>
    <col min="10"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8" s="134" customFormat="1" ht="13.5">
      <c r="A1" s="575" t="s">
        <v>473</v>
      </c>
      <c r="E1" s="1668"/>
      <c r="G1" s="1668"/>
      <c r="H1" s="1668"/>
    </row>
    <row r="2" spans="1:8" s="134" customFormat="1" ht="14.25" customHeight="1">
      <c r="A2" s="574" t="s">
        <v>584</v>
      </c>
      <c r="E2" s="1667"/>
      <c r="G2" s="1667"/>
      <c r="H2" s="1667"/>
    </row>
    <row r="3" spans="1:8" s="134" customFormat="1" ht="14.25" customHeight="1">
      <c r="E3" s="1667"/>
      <c r="F3" s="1667"/>
      <c r="G3" s="1667"/>
      <c r="H3" s="1667"/>
    </row>
    <row r="4" spans="1:8" s="134" customFormat="1" ht="14.25" customHeight="1">
      <c r="E4" s="1667"/>
      <c r="F4" s="1667"/>
      <c r="G4" s="1667"/>
      <c r="H4" s="1667"/>
    </row>
    <row r="5" spans="1:8" s="134" customFormat="1" ht="14.25" customHeight="1">
      <c r="A5" s="4630" t="s">
        <v>471</v>
      </c>
      <c r="B5" s="4630"/>
      <c r="C5" s="4630"/>
      <c r="D5" s="4630"/>
      <c r="E5" s="4630"/>
      <c r="F5" s="4630"/>
      <c r="G5" s="4630"/>
      <c r="H5" s="4630"/>
    </row>
    <row r="6" spans="1:8" s="134" customFormat="1" ht="14.25" customHeight="1">
      <c r="A6" s="4623" t="s">
        <v>583</v>
      </c>
      <c r="B6" s="4631"/>
      <c r="C6" s="4631"/>
      <c r="D6" s="4631"/>
      <c r="E6" s="4631"/>
      <c r="F6" s="4631"/>
      <c r="G6" s="4631"/>
      <c r="H6" s="4631"/>
    </row>
    <row r="7" spans="1:8" s="134" customFormat="1" ht="14.25" customHeight="1">
      <c r="A7" s="140"/>
      <c r="B7" s="140"/>
      <c r="C7" s="140"/>
      <c r="D7" s="140"/>
      <c r="E7" s="140"/>
      <c r="F7" s="140"/>
      <c r="G7" s="140"/>
      <c r="H7" s="140"/>
    </row>
    <row r="8" spans="1:8" s="134" customFormat="1" ht="14.25" customHeight="1">
      <c r="A8" s="140"/>
      <c r="B8" s="140"/>
      <c r="C8" s="140"/>
      <c r="D8" s="140"/>
      <c r="E8" s="140"/>
      <c r="F8" s="140"/>
      <c r="G8" s="140"/>
      <c r="H8" s="140"/>
    </row>
    <row r="9" spans="1:8" s="134" customFormat="1" ht="14.25" customHeight="1">
      <c r="A9" s="2076" t="s">
        <v>1746</v>
      </c>
      <c r="B9" s="266"/>
    </row>
    <row r="10" spans="1:8" ht="14.25" customHeight="1">
      <c r="A10" s="398"/>
      <c r="B10" s="2076" t="s">
        <v>1748</v>
      </c>
      <c r="D10" s="134"/>
      <c r="E10" s="134"/>
      <c r="F10" s="134"/>
      <c r="G10" s="134"/>
      <c r="H10" s="134"/>
    </row>
    <row r="11" spans="1:8" ht="14.25" customHeight="1">
      <c r="A11" s="398"/>
      <c r="B11" s="397"/>
      <c r="D11" s="134"/>
      <c r="E11" s="134"/>
      <c r="F11" s="134"/>
      <c r="G11" s="134"/>
      <c r="H11" s="134"/>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536"/>
      <c r="C15" s="396"/>
      <c r="D15" s="396"/>
      <c r="E15" s="396"/>
      <c r="F15" s="536"/>
      <c r="G15" s="536"/>
      <c r="H15" s="536"/>
    </row>
    <row r="16" spans="1:8" ht="20.100000000000001" customHeight="1">
      <c r="A16" s="2116" t="s">
        <v>407</v>
      </c>
      <c r="B16" s="188"/>
      <c r="C16" s="526"/>
      <c r="D16" s="535">
        <f>SUM(D17:D30)</f>
        <v>160858.70000000001</v>
      </c>
      <c r="E16" s="535">
        <f>SUM(E17:E30)</f>
        <v>17830</v>
      </c>
      <c r="F16" s="186">
        <f>SUM(F17:F30)</f>
        <v>240830</v>
      </c>
      <c r="G16" s="535">
        <f>SUM(G17:G30)</f>
        <v>258660</v>
      </c>
      <c r="H16" s="535">
        <f>SUM(H17:H30)</f>
        <v>250000</v>
      </c>
    </row>
    <row r="17" spans="1:9" ht="15.95" customHeight="1" outlineLevel="1">
      <c r="A17" s="519" t="s">
        <v>1738</v>
      </c>
      <c r="B17" s="518"/>
      <c r="C17" s="735" t="s">
        <v>1679</v>
      </c>
      <c r="D17" s="984">
        <f>'[8]ANTI-TB'!$E$12</f>
        <v>160858.70000000001</v>
      </c>
      <c r="E17" s="1107">
        <v>17830</v>
      </c>
      <c r="F17" s="191">
        <f>G17-E17</f>
        <v>240830</v>
      </c>
      <c r="G17" s="1107">
        <v>258660</v>
      </c>
      <c r="H17" s="982">
        <v>250000</v>
      </c>
    </row>
    <row r="18" spans="1:9" s="579" customFormat="1" ht="15.95" customHeight="1" outlineLevel="1">
      <c r="A18" s="1736"/>
      <c r="B18" s="1735"/>
      <c r="C18" s="1132"/>
      <c r="D18" s="2138"/>
      <c r="E18" s="2137"/>
      <c r="F18" s="2136"/>
      <c r="G18" s="2129"/>
      <c r="H18" s="493"/>
    </row>
    <row r="19" spans="1:9" ht="15.95" customHeight="1" outlineLevel="1">
      <c r="A19" s="1736"/>
      <c r="B19" s="1735"/>
      <c r="C19" s="530"/>
      <c r="D19" s="951"/>
      <c r="E19" s="378"/>
      <c r="F19" s="191"/>
      <c r="G19" s="389"/>
      <c r="H19" s="157"/>
    </row>
    <row r="20" spans="1:9" ht="15.95" customHeight="1" outlineLevel="1">
      <c r="A20" s="519"/>
      <c r="B20" s="518"/>
      <c r="C20" s="971"/>
      <c r="D20" s="951"/>
      <c r="E20" s="378"/>
      <c r="F20" s="191"/>
      <c r="G20" s="389"/>
      <c r="H20" s="157"/>
    </row>
    <row r="21" spans="1:9" ht="15.95" customHeight="1" outlineLevel="1">
      <c r="A21" s="519"/>
      <c r="B21" s="518"/>
      <c r="C21" s="971"/>
      <c r="D21" s="951"/>
      <c r="E21" s="378"/>
      <c r="F21" s="191"/>
      <c r="G21" s="389"/>
      <c r="H21" s="157"/>
    </row>
    <row r="22" spans="1:9" ht="15.95" customHeight="1" outlineLevel="1">
      <c r="A22" s="519"/>
      <c r="B22" s="518"/>
      <c r="C22" s="971"/>
      <c r="D22" s="951"/>
      <c r="E22" s="378"/>
      <c r="F22" s="191"/>
      <c r="G22" s="389"/>
      <c r="H22" s="157"/>
    </row>
    <row r="23" spans="1:9" ht="15.95" customHeight="1" outlineLevel="1">
      <c r="A23" s="519"/>
      <c r="B23" s="518"/>
      <c r="C23" s="971"/>
      <c r="D23" s="951"/>
      <c r="E23" s="378"/>
      <c r="F23" s="191"/>
      <c r="G23" s="389"/>
      <c r="H23" s="157"/>
    </row>
    <row r="24" spans="1:9" ht="15.95" customHeight="1" outlineLevel="1">
      <c r="A24" s="519"/>
      <c r="B24" s="518"/>
      <c r="C24" s="971"/>
      <c r="D24" s="951"/>
      <c r="E24" s="378"/>
      <c r="F24" s="191"/>
      <c r="G24" s="389"/>
      <c r="H24" s="157"/>
    </row>
    <row r="25" spans="1:9" ht="15.95" customHeight="1" outlineLevel="1">
      <c r="A25" s="517"/>
      <c r="B25" s="950"/>
      <c r="C25" s="971"/>
      <c r="D25" s="951"/>
      <c r="E25" s="378"/>
      <c r="F25" s="191"/>
      <c r="G25" s="389"/>
      <c r="H25" s="157"/>
    </row>
    <row r="26" spans="1:9" ht="15.95" customHeight="1" outlineLevel="1">
      <c r="A26" s="519"/>
      <c r="B26" s="518"/>
      <c r="C26" s="971"/>
      <c r="D26" s="951"/>
      <c r="E26" s="378"/>
      <c r="F26" s="191"/>
      <c r="G26" s="389"/>
      <c r="H26" s="157"/>
    </row>
    <row r="27" spans="1:9" ht="15.95" customHeight="1" outlineLevel="1">
      <c r="A27" s="517"/>
      <c r="B27" s="516"/>
      <c r="C27" s="1734"/>
      <c r="D27" s="951"/>
      <c r="E27" s="378"/>
      <c r="F27" s="191"/>
      <c r="G27" s="389"/>
      <c r="H27" s="157"/>
    </row>
    <row r="28" spans="1:9" s="344" customFormat="1" ht="15.95" customHeight="1" outlineLevel="1">
      <c r="A28" s="512"/>
      <c r="B28" s="973"/>
      <c r="C28" s="972"/>
      <c r="D28" s="951"/>
      <c r="E28" s="378"/>
      <c r="F28" s="191"/>
      <c r="G28" s="389"/>
      <c r="H28" s="157"/>
    </row>
    <row r="29" spans="1:9" s="344" customFormat="1" ht="15.95" customHeight="1" outlineLevel="1">
      <c r="A29" s="512"/>
      <c r="B29" s="511"/>
      <c r="C29" s="971"/>
      <c r="D29" s="951"/>
      <c r="E29" s="378"/>
      <c r="F29" s="191"/>
      <c r="G29" s="389"/>
      <c r="H29" s="157"/>
    </row>
    <row r="30" spans="1:9" s="344" customFormat="1" ht="15.95" customHeight="1" outlineLevel="1">
      <c r="A30" s="508"/>
      <c r="B30" s="507"/>
      <c r="C30" s="970"/>
      <c r="D30" s="969"/>
      <c r="E30" s="968"/>
      <c r="F30" s="967"/>
      <c r="G30" s="966"/>
      <c r="H30" s="149"/>
    </row>
    <row r="31" spans="1:9" s="344" customFormat="1" ht="15.95" customHeight="1" outlineLevel="1" thickBot="1">
      <c r="A31" s="147" t="s">
        <v>366</v>
      </c>
      <c r="B31" s="731"/>
      <c r="C31" s="146"/>
      <c r="D31" s="456"/>
      <c r="E31" s="456">
        <f>SUM(E16)</f>
        <v>17830</v>
      </c>
      <c r="F31" s="456">
        <f>SUM(F16)</f>
        <v>240830</v>
      </c>
      <c r="G31" s="456">
        <f>SUM(G16)</f>
        <v>258660</v>
      </c>
      <c r="H31" s="455">
        <f>SUM(H16)</f>
        <v>250000</v>
      </c>
      <c r="I31" s="340" t="s">
        <v>1737</v>
      </c>
    </row>
    <row r="32" spans="1:9" ht="20.100000000000001" customHeight="1" outlineLevel="1" thickTop="1">
      <c r="H32" s="454"/>
    </row>
    <row r="33" spans="1:9" s="134" customFormat="1" ht="15.95" customHeight="1">
      <c r="A33" s="134" t="s">
        <v>364</v>
      </c>
      <c r="C33" s="141" t="s">
        <v>363</v>
      </c>
      <c r="E33" s="4804" t="s">
        <v>1747</v>
      </c>
      <c r="F33" s="4804"/>
    </row>
    <row r="34" spans="1:9" s="134" customFormat="1" ht="15.95" customHeight="1">
      <c r="C34" s="141"/>
    </row>
    <row r="35" spans="1:9" s="134" customFormat="1" ht="25.15" customHeight="1">
      <c r="A35" s="139" t="s">
        <v>1735</v>
      </c>
      <c r="C35" s="4635" t="s">
        <v>360</v>
      </c>
      <c r="D35" s="4635"/>
      <c r="E35" s="4630" t="s">
        <v>359</v>
      </c>
      <c r="F35" s="4630"/>
      <c r="G35" s="4630"/>
      <c r="H35" s="4630"/>
    </row>
    <row r="36" spans="1:9" s="135" customFormat="1" ht="12.6" customHeight="1">
      <c r="A36" s="2104" t="s">
        <v>1734</v>
      </c>
      <c r="B36" s="2104"/>
      <c r="C36" s="4622" t="s">
        <v>357</v>
      </c>
      <c r="D36" s="4622"/>
      <c r="E36" s="4623" t="s">
        <v>356</v>
      </c>
      <c r="F36" s="4623"/>
      <c r="G36" s="4623"/>
      <c r="H36" s="4623"/>
      <c r="I36" s="136"/>
    </row>
    <row r="37" spans="1:9" s="135" customFormat="1" ht="13.5">
      <c r="A37" s="4645"/>
      <c r="B37" s="4645"/>
      <c r="C37" s="4655"/>
      <c r="D37" s="4655"/>
      <c r="E37" s="137"/>
      <c r="F37" s="137"/>
      <c r="G37" s="137"/>
      <c r="H37" s="137"/>
      <c r="I37" s="136"/>
    </row>
  </sheetData>
  <mergeCells count="11">
    <mergeCell ref="A5:H5"/>
    <mergeCell ref="A6:H6"/>
    <mergeCell ref="E12:G12"/>
    <mergeCell ref="E33:F33"/>
    <mergeCell ref="C35:D35"/>
    <mergeCell ref="E35:H35"/>
    <mergeCell ref="C37:D37"/>
    <mergeCell ref="C36:D36"/>
    <mergeCell ref="E36:H36"/>
    <mergeCell ref="A37:B37"/>
    <mergeCell ref="A12:B14"/>
  </mergeCells>
  <pageMargins left="0.5" right="0" top="0.25" bottom="0" header="0.5" footer="0"/>
  <pageSetup paperSize="5" orientation="portrait"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6"/>
  <sheetViews>
    <sheetView showGridLines="0" showOutlineSymbols="0" topLeftCell="A16" zoomScaleNormal="100" workbookViewId="0">
      <selection activeCell="I1" sqref="I1:I1048576"/>
    </sheetView>
  </sheetViews>
  <sheetFormatPr defaultColWidth="12.5703125" defaultRowHeight="12.75" outlineLevelRow="1" outlineLevelCol="2"/>
  <cols>
    <col min="1" max="1" width="1.85546875" style="134" customWidth="1"/>
    <col min="2" max="2" width="31.42578125" style="134" customWidth="1"/>
    <col min="3" max="3" width="10.7109375" style="134" customWidth="1"/>
    <col min="4" max="4" width="9.28515625" style="134" customWidth="1"/>
    <col min="5" max="5" width="13" style="134" customWidth="1"/>
    <col min="6" max="6" width="12.28515625" style="134" customWidth="1"/>
    <col min="7" max="7" width="10.85546875" style="134" customWidth="1"/>
    <col min="8" max="8" width="11"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H1" s="1668"/>
    </row>
    <row r="2" spans="1:8" ht="14.25" customHeight="1">
      <c r="A2" s="574" t="s">
        <v>584</v>
      </c>
      <c r="E2" s="1667"/>
      <c r="H2" s="1667"/>
    </row>
    <row r="3" spans="1:8" ht="14.25" customHeight="1">
      <c r="E3" s="1667"/>
      <c r="F3" s="1667"/>
      <c r="H3" s="1667"/>
    </row>
    <row r="4" spans="1:8" ht="14.25" customHeight="1">
      <c r="E4" s="1667"/>
      <c r="F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2076" t="s">
        <v>1746</v>
      </c>
    </row>
    <row r="9" spans="1:8" ht="14.25" customHeight="1">
      <c r="A9" s="267"/>
      <c r="B9" s="2076" t="s">
        <v>1751</v>
      </c>
    </row>
    <row r="10" spans="1:8" ht="14.25" customHeight="1">
      <c r="A10" s="267"/>
      <c r="B10" s="266"/>
    </row>
    <row r="11" spans="1:8" ht="14.25" customHeight="1">
      <c r="A11" s="4624" t="s">
        <v>468</v>
      </c>
      <c r="B11" s="4625"/>
      <c r="C11" s="570" t="s">
        <v>467</v>
      </c>
      <c r="D11" s="264" t="s">
        <v>466</v>
      </c>
      <c r="E11" s="4632" t="s">
        <v>465</v>
      </c>
      <c r="F11" s="4633"/>
      <c r="G11" s="4634"/>
      <c r="H11" s="265" t="s">
        <v>464</v>
      </c>
    </row>
    <row r="12" spans="1:8" ht="14.25" customHeight="1">
      <c r="A12" s="4626"/>
      <c r="B12" s="4627"/>
      <c r="C12" s="569" t="s">
        <v>463</v>
      </c>
      <c r="D12" s="262" t="s">
        <v>573</v>
      </c>
      <c r="E12" s="597" t="s">
        <v>462</v>
      </c>
      <c r="F12" s="597" t="s">
        <v>461</v>
      </c>
      <c r="G12" s="262" t="s">
        <v>244</v>
      </c>
      <c r="H12" s="262">
        <v>2022</v>
      </c>
    </row>
    <row r="13" spans="1:8" ht="14.25" customHeight="1">
      <c r="A13" s="4628"/>
      <c r="B13" s="4629"/>
      <c r="C13" s="567"/>
      <c r="D13" s="258" t="s">
        <v>460</v>
      </c>
      <c r="E13" s="258" t="s">
        <v>460</v>
      </c>
      <c r="F13" s="258" t="s">
        <v>459</v>
      </c>
      <c r="G13" s="259"/>
      <c r="H13" s="258" t="s">
        <v>458</v>
      </c>
    </row>
    <row r="14" spans="1:8" ht="15.95" customHeight="1">
      <c r="A14" s="537" t="s">
        <v>456</v>
      </c>
      <c r="B14" s="536"/>
      <c r="C14" s="396"/>
      <c r="D14" s="396"/>
      <c r="E14" s="396"/>
      <c r="F14" s="536"/>
      <c r="G14" s="536"/>
      <c r="H14" s="536"/>
    </row>
    <row r="15" spans="1:8" ht="15.95" customHeight="1">
      <c r="A15" s="528" t="s">
        <v>455</v>
      </c>
      <c r="B15" s="527"/>
      <c r="C15" s="526"/>
      <c r="D15" s="2152">
        <f>D16</f>
        <v>7763500</v>
      </c>
      <c r="E15" s="525">
        <f>E16</f>
        <v>3726800</v>
      </c>
      <c r="F15" s="525">
        <f>F16</f>
        <v>4462000</v>
      </c>
      <c r="G15" s="525">
        <f>G16</f>
        <v>8188800</v>
      </c>
      <c r="H15" s="525">
        <f>H16</f>
        <v>8188800</v>
      </c>
    </row>
    <row r="16" spans="1:8" ht="15.95" customHeight="1">
      <c r="A16" s="2151"/>
      <c r="B16" s="2150" t="s">
        <v>1750</v>
      </c>
      <c r="C16" s="2149" t="s">
        <v>442</v>
      </c>
      <c r="D16" s="2148">
        <f>[8]CBHS!$E$11</f>
        <v>7763500</v>
      </c>
      <c r="E16" s="2148">
        <v>3726800</v>
      </c>
      <c r="F16" s="2148">
        <f>SUM(G16-E16)</f>
        <v>4462000</v>
      </c>
      <c r="G16" s="2147">
        <v>8188800</v>
      </c>
      <c r="H16" s="2147">
        <v>8188800</v>
      </c>
    </row>
    <row r="17" spans="1:9" ht="15.95" customHeight="1">
      <c r="A17" s="2143"/>
      <c r="B17" s="518"/>
      <c r="C17" s="2145"/>
      <c r="D17" s="2107"/>
      <c r="E17" s="2106"/>
      <c r="F17" s="212"/>
      <c r="G17" s="234"/>
      <c r="H17" s="493"/>
    </row>
    <row r="18" spans="1:9" ht="15.95" customHeight="1">
      <c r="A18" s="2146"/>
      <c r="B18" s="1429"/>
      <c r="C18" s="2145"/>
      <c r="D18" s="2107"/>
      <c r="E18" s="2106"/>
      <c r="F18" s="212"/>
      <c r="G18" s="234"/>
      <c r="H18" s="493"/>
    </row>
    <row r="19" spans="1:9" ht="15.95" customHeight="1">
      <c r="A19" s="565" t="s">
        <v>407</v>
      </c>
      <c r="B19" s="1662"/>
      <c r="C19" s="526"/>
      <c r="D19" s="524">
        <f>SUM(D20:D29)</f>
        <v>99433.98</v>
      </c>
      <c r="E19" s="524">
        <f>SUM(E20:E29)</f>
        <v>4209</v>
      </c>
      <c r="F19" s="524">
        <f>SUM(F20:F29)</f>
        <v>94991</v>
      </c>
      <c r="G19" s="524">
        <f>SUM(G20:G29)</f>
        <v>99200</v>
      </c>
      <c r="H19" s="524">
        <f>SUM(H20:H29)</f>
        <v>100000</v>
      </c>
    </row>
    <row r="20" spans="1:9" ht="15.95" customHeight="1" outlineLevel="1">
      <c r="A20" s="2143"/>
      <c r="B20" s="2144" t="s">
        <v>404</v>
      </c>
      <c r="C20" s="530" t="s">
        <v>403</v>
      </c>
      <c r="D20" s="2114">
        <f>[8]CBHS!$E$13</f>
        <v>89000</v>
      </c>
      <c r="E20" s="2113">
        <v>0</v>
      </c>
      <c r="F20" s="2112">
        <f>SUM(G20-E20)</f>
        <v>89000</v>
      </c>
      <c r="G20" s="2111">
        <v>89000</v>
      </c>
      <c r="H20" s="2111">
        <v>88980</v>
      </c>
    </row>
    <row r="21" spans="1:9" ht="15.95" customHeight="1" outlineLevel="1">
      <c r="A21" s="2143"/>
      <c r="B21" s="518" t="s">
        <v>402</v>
      </c>
      <c r="C21" s="530" t="s">
        <v>401</v>
      </c>
      <c r="D21" s="2107">
        <f>[8]CBHS!$E$14</f>
        <v>4899</v>
      </c>
      <c r="E21" s="2110">
        <v>4209</v>
      </c>
      <c r="F21" s="2109">
        <f>SUM(G21-E21)</f>
        <v>456</v>
      </c>
      <c r="G21" s="2129">
        <v>4665</v>
      </c>
      <c r="H21" s="2129">
        <v>4656</v>
      </c>
    </row>
    <row r="22" spans="1:9" ht="15.95" customHeight="1" outlineLevel="1">
      <c r="A22" s="2143"/>
      <c r="B22" s="1735" t="s">
        <v>674</v>
      </c>
      <c r="C22" s="530" t="s">
        <v>396</v>
      </c>
      <c r="D22" s="2107">
        <f>[8]CBHS!$E$15</f>
        <v>5534.98</v>
      </c>
      <c r="E22" s="2110">
        <v>0</v>
      </c>
      <c r="F22" s="2109">
        <f>SUM(G22-E22)</f>
        <v>5535</v>
      </c>
      <c r="G22" s="2129">
        <v>5535</v>
      </c>
      <c r="H22" s="2129">
        <v>6364</v>
      </c>
    </row>
    <row r="23" spans="1:9" ht="15.95" customHeight="1" outlineLevel="1">
      <c r="A23" s="519"/>
      <c r="B23" s="518"/>
      <c r="C23" s="530"/>
      <c r="D23" s="2107"/>
      <c r="E23" s="2106"/>
      <c r="F23" s="150"/>
      <c r="G23" s="234"/>
      <c r="H23" s="493"/>
    </row>
    <row r="24" spans="1:9" ht="15.95" customHeight="1" outlineLevel="1">
      <c r="A24" s="519"/>
      <c r="B24" s="518"/>
      <c r="C24" s="530"/>
      <c r="D24" s="2107"/>
      <c r="E24" s="2106"/>
      <c r="F24" s="150"/>
      <c r="G24" s="234"/>
      <c r="H24" s="493"/>
    </row>
    <row r="25" spans="1:9" ht="15.95" customHeight="1" outlineLevel="1">
      <c r="A25" s="519"/>
      <c r="B25" s="518"/>
      <c r="C25" s="1734"/>
      <c r="D25" s="2107"/>
      <c r="E25" s="2106"/>
      <c r="F25" s="150"/>
      <c r="G25" s="234"/>
      <c r="H25" s="493"/>
    </row>
    <row r="26" spans="1:9" ht="15.95" customHeight="1" outlineLevel="1">
      <c r="A26" s="517"/>
      <c r="B26" s="516"/>
      <c r="C26" s="1734"/>
      <c r="D26" s="2107"/>
      <c r="E26" s="2106"/>
      <c r="F26" s="150"/>
      <c r="G26" s="234"/>
      <c r="H26" s="493"/>
    </row>
    <row r="27" spans="1:9" s="148" customFormat="1" ht="15.95" customHeight="1" outlineLevel="1">
      <c r="A27" s="512"/>
      <c r="B27" s="514"/>
      <c r="C27" s="2105"/>
      <c r="D27" s="2107"/>
      <c r="E27" s="2106"/>
      <c r="F27" s="150"/>
      <c r="G27" s="234"/>
      <c r="H27" s="493"/>
    </row>
    <row r="28" spans="1:9" s="148" customFormat="1" ht="15.95" customHeight="1" outlineLevel="1">
      <c r="A28" s="512"/>
      <c r="B28" s="511"/>
      <c r="C28" s="971"/>
      <c r="D28" s="2107"/>
      <c r="E28" s="2106"/>
      <c r="F28" s="150"/>
      <c r="G28" s="234"/>
      <c r="H28" s="493"/>
    </row>
    <row r="29" spans="1:9" s="148" customFormat="1" ht="15.95" customHeight="1" outlineLevel="1">
      <c r="A29" s="508"/>
      <c r="B29" s="507"/>
      <c r="C29" s="970"/>
      <c r="D29" s="2142"/>
      <c r="E29" s="2141"/>
      <c r="F29" s="2140"/>
      <c r="G29" s="2123"/>
      <c r="H29" s="2122"/>
    </row>
    <row r="30" spans="1:9" s="148" customFormat="1" ht="15.95" customHeight="1" outlineLevel="1" thickBot="1">
      <c r="A30" s="147" t="s">
        <v>366</v>
      </c>
      <c r="B30" s="147"/>
      <c r="C30" s="146"/>
      <c r="D30" s="2139">
        <f>SUM(D15+D19)</f>
        <v>7862933.9800000004</v>
      </c>
      <c r="E30" s="2119">
        <f>SUM(E15+E19)</f>
        <v>3731009</v>
      </c>
      <c r="F30" s="2119">
        <f>SUM(F15+F19)</f>
        <v>4556991</v>
      </c>
      <c r="G30" s="2119">
        <f>SUM(G15+G19)</f>
        <v>8288000</v>
      </c>
      <c r="H30" s="2118">
        <f>SUM(H15+H19)</f>
        <v>8288800</v>
      </c>
      <c r="I30" s="340" t="s">
        <v>1742</v>
      </c>
    </row>
    <row r="31" spans="1:9" ht="20.100000000000001" customHeight="1" outlineLevel="1" thickTop="1">
      <c r="H31" s="454"/>
    </row>
    <row r="32" spans="1:9" ht="15.95" customHeight="1">
      <c r="A32" s="134" t="s">
        <v>364</v>
      </c>
      <c r="C32" s="141" t="s">
        <v>363</v>
      </c>
      <c r="E32" s="4804" t="s">
        <v>1749</v>
      </c>
      <c r="F32" s="4804"/>
    </row>
    <row r="33" spans="1:9" ht="17.100000000000001" customHeight="1">
      <c r="C33" s="141"/>
    </row>
    <row r="34" spans="1:9" ht="22.9" customHeight="1">
      <c r="A34" s="139" t="s">
        <v>1735</v>
      </c>
      <c r="C34" s="4635" t="s">
        <v>360</v>
      </c>
      <c r="D34" s="4635"/>
      <c r="E34" s="4630" t="s">
        <v>359</v>
      </c>
      <c r="F34" s="4630"/>
      <c r="G34" s="4630"/>
      <c r="H34" s="4630"/>
    </row>
    <row r="35" spans="1:9" s="135" customFormat="1" ht="13.9" customHeight="1">
      <c r="A35" s="2104" t="s">
        <v>1734</v>
      </c>
      <c r="B35" s="2104"/>
      <c r="C35" s="4655" t="s">
        <v>357</v>
      </c>
      <c r="D35" s="4655"/>
      <c r="E35" s="4623" t="s">
        <v>356</v>
      </c>
      <c r="F35" s="4623"/>
      <c r="G35" s="4623"/>
      <c r="H35" s="4623"/>
      <c r="I35" s="136"/>
    </row>
    <row r="36" spans="1:9" s="135" customFormat="1" ht="13.5">
      <c r="A36" s="4645"/>
      <c r="B36" s="4645"/>
      <c r="C36" s="4655"/>
      <c r="D36" s="4655"/>
      <c r="E36" s="137"/>
      <c r="F36" s="137"/>
      <c r="G36" s="137"/>
      <c r="H36" s="137"/>
      <c r="I36" s="136"/>
    </row>
  </sheetData>
  <mergeCells count="11">
    <mergeCell ref="A5:H5"/>
    <mergeCell ref="A6:H6"/>
    <mergeCell ref="E11:G11"/>
    <mergeCell ref="E32:F32"/>
    <mergeCell ref="C34:D34"/>
    <mergeCell ref="E34:H34"/>
    <mergeCell ref="C36:D36"/>
    <mergeCell ref="C35:D35"/>
    <mergeCell ref="E35:H35"/>
    <mergeCell ref="A36:B36"/>
    <mergeCell ref="A11:B13"/>
  </mergeCells>
  <pageMargins left="0.5" right="0" top="0.25" bottom="0" header="0.5" footer="0"/>
  <pageSetup paperSize="5" orientation="portrait"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9"/>
  <sheetViews>
    <sheetView showGridLines="0" showOutlineSymbols="0" topLeftCell="A22" zoomScale="97" zoomScaleNormal="97" workbookViewId="0">
      <selection activeCell="G39" sqref="G39"/>
    </sheetView>
  </sheetViews>
  <sheetFormatPr defaultColWidth="12.5703125" defaultRowHeight="12.75" outlineLevelRow="1" outlineLevelCol="2"/>
  <cols>
    <col min="1" max="1" width="1.85546875" style="134" customWidth="1"/>
    <col min="2" max="2" width="32.42578125" style="134" customWidth="1"/>
    <col min="3" max="3" width="10.7109375" style="134" customWidth="1"/>
    <col min="4" max="4" width="10.5703125" style="134" customWidth="1"/>
    <col min="5" max="8" width="10.710937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c r="A1" s="1668" t="s">
        <v>473</v>
      </c>
      <c r="E1" s="1668"/>
      <c r="G1" s="1668"/>
      <c r="H1" s="1668"/>
    </row>
    <row r="2" spans="1:8" ht="14.25" customHeight="1">
      <c r="A2" s="1667"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1754</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536"/>
      <c r="C15" s="396"/>
      <c r="D15" s="396"/>
      <c r="E15" s="396"/>
      <c r="F15" s="536"/>
      <c r="G15" s="536"/>
      <c r="H15" s="536"/>
    </row>
    <row r="16" spans="1:8" ht="20.100000000000001" customHeight="1">
      <c r="A16" s="2116" t="s">
        <v>407</v>
      </c>
      <c r="B16" s="188"/>
      <c r="C16" s="526"/>
      <c r="D16" s="2178">
        <f>SUM(D17:D32)</f>
        <v>108274</v>
      </c>
      <c r="E16" s="2178">
        <f>SUM(E17:E32)</f>
        <v>108274</v>
      </c>
      <c r="F16" s="2178">
        <f>SUM(F17:F32)</f>
        <v>116726</v>
      </c>
      <c r="G16" s="2178">
        <f>SUM(G17:G32)</f>
        <v>225000</v>
      </c>
      <c r="H16" s="2178">
        <f>SUM(H17:H32)</f>
        <v>225000</v>
      </c>
    </row>
    <row r="17" spans="1:8" ht="15.95" customHeight="1" outlineLevel="1">
      <c r="A17" s="2177" t="s">
        <v>1753</v>
      </c>
      <c r="B17" s="2144"/>
      <c r="C17" s="2176" t="s">
        <v>405</v>
      </c>
      <c r="D17" s="2175">
        <f>[8]CBR!$E$11</f>
        <v>2070</v>
      </c>
      <c r="E17" s="2174">
        <v>2070</v>
      </c>
      <c r="F17" s="2173">
        <f>SUM(G17-E17)</f>
        <v>29370</v>
      </c>
      <c r="G17" s="2172">
        <v>31440</v>
      </c>
      <c r="H17" s="2172">
        <v>31440</v>
      </c>
    </row>
    <row r="18" spans="1:8" ht="15.95" customHeight="1" outlineLevel="1">
      <c r="A18" s="1736" t="s">
        <v>674</v>
      </c>
      <c r="B18" s="1735"/>
      <c r="C18" s="530" t="s">
        <v>396</v>
      </c>
      <c r="D18" s="2171">
        <f>[8]CBR!$E$12</f>
        <v>1984</v>
      </c>
      <c r="E18" s="2170">
        <v>1984</v>
      </c>
      <c r="F18" s="2169">
        <f>SUM(G18-E18)</f>
        <v>57116</v>
      </c>
      <c r="G18" s="2168">
        <v>59100</v>
      </c>
      <c r="H18" s="2168">
        <v>59100</v>
      </c>
    </row>
    <row r="19" spans="1:8" ht="15.95" customHeight="1" outlineLevel="1">
      <c r="A19" s="517" t="s">
        <v>389</v>
      </c>
      <c r="B19" s="950"/>
      <c r="C19" s="971" t="s">
        <v>388</v>
      </c>
      <c r="D19" s="2171">
        <f>[8]CBR!$E$13</f>
        <v>104220</v>
      </c>
      <c r="E19" s="2170">
        <v>104220</v>
      </c>
      <c r="F19" s="2169">
        <f>SUM(G19-E19)</f>
        <v>30240</v>
      </c>
      <c r="G19" s="2168">
        <v>134460</v>
      </c>
      <c r="H19" s="2168">
        <v>134460</v>
      </c>
    </row>
    <row r="20" spans="1:8" ht="15.95" customHeight="1" outlineLevel="1">
      <c r="A20" s="517"/>
      <c r="B20" s="950"/>
      <c r="C20" s="971"/>
      <c r="D20" s="2171"/>
      <c r="E20" s="2170"/>
      <c r="F20" s="2169"/>
      <c r="G20" s="2168"/>
      <c r="H20" s="2168"/>
    </row>
    <row r="21" spans="1:8" ht="15.95" customHeight="1" outlineLevel="1">
      <c r="A21" s="517"/>
      <c r="B21" s="950"/>
      <c r="C21" s="971"/>
      <c r="D21" s="2171"/>
      <c r="E21" s="2170"/>
      <c r="F21" s="2169"/>
      <c r="G21" s="2168"/>
      <c r="H21" s="2168"/>
    </row>
    <row r="22" spans="1:8" ht="15.95" customHeight="1" outlineLevel="1">
      <c r="A22" s="519"/>
      <c r="B22" s="518"/>
      <c r="C22" s="971"/>
      <c r="D22" s="2107"/>
      <c r="E22" s="2110"/>
      <c r="F22" s="2109"/>
      <c r="G22" s="2167"/>
      <c r="H22" s="529"/>
    </row>
    <row r="23" spans="1:8" ht="15.95" customHeight="1" outlineLevel="1">
      <c r="A23" s="519"/>
      <c r="B23" s="518"/>
      <c r="C23" s="971"/>
      <c r="D23" s="2166"/>
      <c r="E23" s="2165"/>
      <c r="F23" s="2164"/>
      <c r="G23" s="2163"/>
      <c r="H23" s="2162"/>
    </row>
    <row r="24" spans="1:8" ht="15.95" customHeight="1" outlineLevel="1">
      <c r="A24" s="519"/>
      <c r="B24" s="518"/>
      <c r="C24" s="971"/>
      <c r="D24" s="2166"/>
      <c r="E24" s="2165"/>
      <c r="F24" s="2164"/>
      <c r="G24" s="2163"/>
      <c r="H24" s="2162"/>
    </row>
    <row r="25" spans="1:8" ht="15.95" customHeight="1" outlineLevel="1">
      <c r="A25" s="519"/>
      <c r="B25" s="518"/>
      <c r="C25" s="971"/>
      <c r="D25" s="2166"/>
      <c r="E25" s="2165"/>
      <c r="F25" s="2164"/>
      <c r="G25" s="2163"/>
      <c r="H25" s="2162"/>
    </row>
    <row r="26" spans="1:8" ht="15.95" customHeight="1" outlineLevel="1">
      <c r="A26" s="519"/>
      <c r="B26" s="518"/>
      <c r="C26" s="971"/>
      <c r="D26" s="2166"/>
      <c r="E26" s="2165"/>
      <c r="F26" s="2164"/>
      <c r="G26" s="2163"/>
      <c r="H26" s="2162"/>
    </row>
    <row r="27" spans="1:8" ht="15.95" customHeight="1" outlineLevel="1">
      <c r="A27" s="519"/>
      <c r="B27" s="518"/>
      <c r="C27" s="971"/>
      <c r="D27" s="2166"/>
      <c r="E27" s="2165"/>
      <c r="F27" s="2164"/>
      <c r="G27" s="2163"/>
      <c r="H27" s="2162"/>
    </row>
    <row r="28" spans="1:8" ht="15.95" customHeight="1" outlineLevel="1">
      <c r="A28" s="519"/>
      <c r="B28" s="518"/>
      <c r="C28" s="971"/>
      <c r="D28" s="2166"/>
      <c r="E28" s="2165"/>
      <c r="F28" s="2164"/>
      <c r="G28" s="2163"/>
      <c r="H28" s="2162"/>
    </row>
    <row r="29" spans="1:8" ht="15.95" customHeight="1" outlineLevel="1">
      <c r="A29" s="517"/>
      <c r="B29" s="516"/>
      <c r="C29" s="1734"/>
      <c r="D29" s="2166"/>
      <c r="E29" s="2165"/>
      <c r="F29" s="2164"/>
      <c r="G29" s="2163"/>
      <c r="H29" s="2162"/>
    </row>
    <row r="30" spans="1:8" s="148" customFormat="1" ht="15.95" customHeight="1" outlineLevel="1">
      <c r="A30" s="512"/>
      <c r="B30" s="514"/>
      <c r="C30" s="2105"/>
      <c r="D30" s="2166"/>
      <c r="E30" s="2165"/>
      <c r="F30" s="2164"/>
      <c r="G30" s="2163"/>
      <c r="H30" s="2162"/>
    </row>
    <row r="31" spans="1:8" s="148" customFormat="1" ht="15.95" customHeight="1" outlineLevel="1">
      <c r="A31" s="512"/>
      <c r="B31" s="511"/>
      <c r="C31" s="971"/>
      <c r="D31" s="2166"/>
      <c r="E31" s="2165"/>
      <c r="F31" s="2164"/>
      <c r="G31" s="2163"/>
      <c r="H31" s="2162"/>
    </row>
    <row r="32" spans="1:8" s="148" customFormat="1" ht="15.95" customHeight="1" outlineLevel="1">
      <c r="A32" s="508"/>
      <c r="B32" s="507"/>
      <c r="C32" s="970"/>
      <c r="D32" s="2161"/>
      <c r="E32" s="2160"/>
      <c r="F32" s="2159"/>
      <c r="G32" s="2158"/>
      <c r="H32" s="2157"/>
    </row>
    <row r="33" spans="1:9" s="148" customFormat="1" ht="15.95" customHeight="1" outlineLevel="1" thickBot="1">
      <c r="A33" s="147" t="s">
        <v>366</v>
      </c>
      <c r="B33" s="147"/>
      <c r="C33" s="146"/>
      <c r="D33" s="2156">
        <f>SUM(D16)</f>
        <v>108274</v>
      </c>
      <c r="E33" s="2154">
        <f>SUM(E16)</f>
        <v>108274</v>
      </c>
      <c r="F33" s="2155">
        <f>SUM(F16)</f>
        <v>116726</v>
      </c>
      <c r="G33" s="2154">
        <f>SUM(G16)</f>
        <v>225000</v>
      </c>
      <c r="H33" s="2153">
        <f>SUM(H16)</f>
        <v>225000</v>
      </c>
      <c r="I33" s="340" t="s">
        <v>1737</v>
      </c>
    </row>
    <row r="34" spans="1:9" ht="20.100000000000001" customHeight="1" outlineLevel="1" thickTop="1">
      <c r="H34" s="454"/>
    </row>
    <row r="35" spans="1:9" ht="15.95" customHeight="1">
      <c r="A35" s="134" t="s">
        <v>364</v>
      </c>
      <c r="C35" s="141" t="s">
        <v>363</v>
      </c>
      <c r="E35" s="868" t="s">
        <v>1752</v>
      </c>
      <c r="F35" s="868"/>
    </row>
    <row r="36" spans="1:9" ht="15.95" customHeight="1">
      <c r="C36" s="141"/>
    </row>
    <row r="37" spans="1:9" ht="27.6" customHeight="1">
      <c r="A37" s="139" t="s">
        <v>1735</v>
      </c>
      <c r="C37" s="4635" t="s">
        <v>360</v>
      </c>
      <c r="D37" s="4635"/>
      <c r="E37" s="4630" t="s">
        <v>359</v>
      </c>
      <c r="F37" s="4630"/>
      <c r="G37" s="4630"/>
      <c r="H37" s="4630"/>
    </row>
    <row r="38" spans="1:9" s="135" customFormat="1" ht="15.95" customHeight="1">
      <c r="A38" s="2104" t="s">
        <v>1734</v>
      </c>
      <c r="B38" s="2104"/>
      <c r="C38" s="4655" t="s">
        <v>357</v>
      </c>
      <c r="D38" s="4655"/>
      <c r="E38" s="4623" t="s">
        <v>356</v>
      </c>
      <c r="F38" s="4623"/>
      <c r="G38" s="4623"/>
      <c r="H38" s="4623"/>
      <c r="I38" s="136"/>
    </row>
    <row r="39" spans="1:9" s="135" customFormat="1" ht="13.5">
      <c r="A39" s="4645"/>
      <c r="B39" s="4645"/>
      <c r="C39" s="4655"/>
      <c r="D39" s="4655"/>
      <c r="E39" s="137"/>
      <c r="F39" s="137"/>
      <c r="G39" s="137"/>
      <c r="H39" s="137"/>
      <c r="I39" s="136"/>
    </row>
  </sheetData>
  <mergeCells count="10">
    <mergeCell ref="C38:D38"/>
    <mergeCell ref="E38:H38"/>
    <mergeCell ref="A39:B39"/>
    <mergeCell ref="A12:B14"/>
    <mergeCell ref="A5:H5"/>
    <mergeCell ref="A6:H6"/>
    <mergeCell ref="E12:G12"/>
    <mergeCell ref="C37:D37"/>
    <mergeCell ref="E37:H37"/>
    <mergeCell ref="C39:D39"/>
  </mergeCells>
  <pageMargins left="0.5" right="0" top="0.25" bottom="0" header="0.5" footer="0"/>
  <pageSetup paperSize="5" orientation="portrait"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6"/>
  <sheetViews>
    <sheetView showGridLines="0" showOutlineSymbols="0" topLeftCell="A16" zoomScale="120" zoomScaleNormal="120" workbookViewId="0">
      <pane xSplit="3" ySplit="1" topLeftCell="D29" activePane="bottomRight" state="frozen"/>
      <selection activeCell="A16" sqref="A16"/>
      <selection pane="topRight" activeCell="D16" sqref="D16"/>
      <selection pane="bottomLeft" activeCell="A17" sqref="A17"/>
      <selection pane="bottomRight" activeCell="I1" sqref="I1:I1048576"/>
    </sheetView>
  </sheetViews>
  <sheetFormatPr defaultColWidth="12.5703125" defaultRowHeight="12.75" outlineLevelRow="1" outlineLevelCol="2"/>
  <cols>
    <col min="1" max="1" width="1.85546875" style="134" customWidth="1"/>
    <col min="2" max="2" width="33.28515625" style="134" customWidth="1"/>
    <col min="3" max="3" width="9.7109375" style="134" customWidth="1"/>
    <col min="4" max="4" width="10.28515625" style="134" customWidth="1"/>
    <col min="5" max="5" width="9.5703125" style="134" customWidth="1"/>
    <col min="6" max="6" width="10.85546875" style="134" customWidth="1"/>
    <col min="7" max="7" width="10.28515625" style="134" customWidth="1"/>
    <col min="8" max="8" width="11.7109375" style="134" customWidth="1"/>
    <col min="9" max="9" width="12.8554687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31" t="s">
        <v>470</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66" t="s">
        <v>1757</v>
      </c>
      <c r="B9" s="266"/>
    </row>
    <row r="10" spans="1:8" ht="14.25" customHeight="1">
      <c r="A10" s="267"/>
      <c r="B10" s="2076" t="s">
        <v>1756</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15.95" customHeight="1">
      <c r="A15" s="537" t="s">
        <v>581</v>
      </c>
      <c r="B15" s="2190"/>
      <c r="C15" s="396"/>
      <c r="D15" s="396"/>
      <c r="E15" s="396"/>
      <c r="F15" s="536"/>
      <c r="G15" s="536"/>
      <c r="H15" s="536"/>
    </row>
    <row r="16" spans="1:8" ht="15.95" customHeight="1">
      <c r="A16" s="528" t="s">
        <v>407</v>
      </c>
      <c r="B16" s="162"/>
      <c r="C16" s="526"/>
      <c r="D16" s="535">
        <f>SUM(D17:D29)</f>
        <v>50888</v>
      </c>
      <c r="E16" s="535">
        <f>SUM(E17:E29)</f>
        <v>66096.5</v>
      </c>
      <c r="F16" s="186">
        <f>SUM(F17:F29)</f>
        <v>133903.5</v>
      </c>
      <c r="G16" s="535">
        <f>SUM(G17:G29)</f>
        <v>200000</v>
      </c>
      <c r="H16" s="535">
        <f>SUM(H17:H29)</f>
        <v>200000</v>
      </c>
    </row>
    <row r="17" spans="1:9" ht="15.95" customHeight="1" outlineLevel="1">
      <c r="A17" s="2177" t="s">
        <v>646</v>
      </c>
      <c r="B17" s="2144"/>
      <c r="C17" s="2187" t="s">
        <v>405</v>
      </c>
      <c r="D17" s="2189">
        <f>'[8]ANTI-SMOKING'!$E$11</f>
        <v>0</v>
      </c>
      <c r="E17" s="1738">
        <v>0</v>
      </c>
      <c r="F17" s="2182">
        <f>SUM(G17-E17)</f>
        <v>10000</v>
      </c>
      <c r="G17" s="1099">
        <v>10000</v>
      </c>
      <c r="H17" s="1099">
        <v>10000</v>
      </c>
    </row>
    <row r="18" spans="1:9" ht="15.95" customHeight="1" outlineLevel="1">
      <c r="A18" s="519" t="s">
        <v>404</v>
      </c>
      <c r="B18" s="518"/>
      <c r="C18" s="2188" t="s">
        <v>403</v>
      </c>
      <c r="D18" s="2186">
        <f>'[8]ANTI-SMOKING'!$E$12</f>
        <v>6450</v>
      </c>
      <c r="E18" s="994">
        <v>0</v>
      </c>
      <c r="F18" s="2182">
        <f>SUM(G18-E18)</f>
        <v>7650</v>
      </c>
      <c r="G18" s="547">
        <v>7650</v>
      </c>
      <c r="H18" s="547">
        <v>8700</v>
      </c>
    </row>
    <row r="19" spans="1:9" ht="15.95" customHeight="1" outlineLevel="1">
      <c r="A19" s="1736" t="s">
        <v>674</v>
      </c>
      <c r="B19" s="1735"/>
      <c r="C19" s="2188" t="s">
        <v>396</v>
      </c>
      <c r="D19" s="2186">
        <f>'[8]ANTI-SMOKING'!$E$13</f>
        <v>0</v>
      </c>
      <c r="E19" s="994">
        <v>0</v>
      </c>
      <c r="F19" s="2182">
        <f>SUM(G19-E19)</f>
        <v>10260</v>
      </c>
      <c r="G19" s="547">
        <v>10260</v>
      </c>
      <c r="H19" s="547">
        <v>8250</v>
      </c>
    </row>
    <row r="20" spans="1:9" ht="15.95" customHeight="1" outlineLevel="1">
      <c r="A20" s="163" t="s">
        <v>395</v>
      </c>
      <c r="B20" s="518"/>
      <c r="C20" s="2187" t="s">
        <v>394</v>
      </c>
      <c r="D20" s="2186">
        <f>'[8]ANTI-SMOKING'!$E$14</f>
        <v>44438</v>
      </c>
      <c r="E20" s="994">
        <v>66096.5</v>
      </c>
      <c r="F20" s="2182">
        <f>SUM(G20-E20)</f>
        <v>105993.5</v>
      </c>
      <c r="G20" s="547">
        <v>172090</v>
      </c>
      <c r="H20" s="547">
        <v>170841.5</v>
      </c>
    </row>
    <row r="21" spans="1:9" ht="15.95" customHeight="1" outlineLevel="1">
      <c r="A21" s="166" t="s">
        <v>368</v>
      </c>
      <c r="B21" s="518"/>
      <c r="C21" s="978" t="s">
        <v>367</v>
      </c>
      <c r="D21" s="2107">
        <f>'[8]ANTI-SMOKING'!$E$15</f>
        <v>0</v>
      </c>
      <c r="E21" s="2110">
        <v>0</v>
      </c>
      <c r="F21" s="238">
        <f>SUM(G21-E21)</f>
        <v>0</v>
      </c>
      <c r="G21" s="493">
        <v>0</v>
      </c>
      <c r="H21" s="493">
        <v>2208.5</v>
      </c>
    </row>
    <row r="22" spans="1:9" ht="15.95" customHeight="1" outlineLevel="1">
      <c r="A22" s="163"/>
      <c r="B22" s="518"/>
      <c r="C22" s="978"/>
      <c r="D22" s="2107"/>
      <c r="E22" s="2110"/>
      <c r="F22" s="2182"/>
      <c r="G22" s="389"/>
      <c r="H22" s="493"/>
    </row>
    <row r="23" spans="1:9" ht="15.95" customHeight="1" outlineLevel="1">
      <c r="A23" s="519"/>
      <c r="B23" s="518"/>
      <c r="C23" s="2185"/>
      <c r="D23" s="2183"/>
      <c r="E23" s="994"/>
      <c r="F23" s="2182"/>
      <c r="G23" s="389"/>
      <c r="H23" s="547"/>
    </row>
    <row r="24" spans="1:9" ht="15.95" customHeight="1" outlineLevel="1">
      <c r="A24" s="519"/>
      <c r="B24" s="518"/>
      <c r="C24" s="2185"/>
      <c r="D24" s="2183"/>
      <c r="E24" s="994"/>
      <c r="F24" s="2182"/>
      <c r="G24" s="389"/>
      <c r="H24" s="547"/>
    </row>
    <row r="25" spans="1:9" ht="15.95" customHeight="1" outlineLevel="1">
      <c r="A25" s="519"/>
      <c r="B25" s="518"/>
      <c r="C25" s="2185"/>
      <c r="D25" s="2183"/>
      <c r="E25" s="994"/>
      <c r="F25" s="2182"/>
      <c r="G25" s="389"/>
      <c r="H25" s="547"/>
    </row>
    <row r="26" spans="1:9" ht="15.95" customHeight="1" outlineLevel="1">
      <c r="A26" s="517"/>
      <c r="B26" s="516"/>
      <c r="C26" s="2185"/>
      <c r="D26" s="2183"/>
      <c r="E26" s="994"/>
      <c r="F26" s="2182"/>
      <c r="G26" s="389"/>
      <c r="H26" s="547"/>
    </row>
    <row r="27" spans="1:9" s="148" customFormat="1" ht="15.95" customHeight="1" outlineLevel="1">
      <c r="A27" s="512"/>
      <c r="B27" s="514"/>
      <c r="C27" s="2184"/>
      <c r="D27" s="2183"/>
      <c r="E27" s="994"/>
      <c r="F27" s="2182"/>
      <c r="G27" s="389"/>
      <c r="H27" s="547"/>
    </row>
    <row r="28" spans="1:9" s="148" customFormat="1" ht="15.95" customHeight="1" outlineLevel="1">
      <c r="A28" s="512"/>
      <c r="B28" s="511"/>
      <c r="C28" s="1475"/>
      <c r="D28" s="2183"/>
      <c r="E28" s="994"/>
      <c r="F28" s="2182"/>
      <c r="G28" s="389"/>
      <c r="H28" s="547"/>
    </row>
    <row r="29" spans="1:9" s="148" customFormat="1" ht="15.95" customHeight="1" outlineLevel="1">
      <c r="A29" s="508"/>
      <c r="B29" s="507"/>
      <c r="C29" s="2181"/>
      <c r="D29" s="2180"/>
      <c r="E29" s="993"/>
      <c r="F29" s="2179"/>
      <c r="G29" s="966"/>
      <c r="H29" s="1072"/>
    </row>
    <row r="30" spans="1:9" s="148" customFormat="1" ht="15.95" customHeight="1" outlineLevel="1" thickBot="1">
      <c r="A30" s="147" t="s">
        <v>366</v>
      </c>
      <c r="B30" s="147"/>
      <c r="C30" s="146"/>
      <c r="D30" s="147">
        <f>SUM(D16)</f>
        <v>50888</v>
      </c>
      <c r="E30" s="147">
        <f>SUM(E16)</f>
        <v>66096.5</v>
      </c>
      <c r="F30" s="147">
        <f>SUM(F16)</f>
        <v>133903.5</v>
      </c>
      <c r="G30" s="147">
        <f>SUM(G16)</f>
        <v>200000</v>
      </c>
      <c r="H30" s="455">
        <f>SUM(H16)</f>
        <v>200000</v>
      </c>
      <c r="I30" s="340" t="s">
        <v>1737</v>
      </c>
    </row>
    <row r="31" spans="1:9" ht="20.100000000000001" customHeight="1" outlineLevel="1" thickTop="1">
      <c r="H31" s="454"/>
    </row>
    <row r="32" spans="1:9" ht="19.5" customHeight="1">
      <c r="A32" s="134" t="s">
        <v>364</v>
      </c>
      <c r="C32" s="141" t="s">
        <v>363</v>
      </c>
      <c r="E32" s="868" t="s">
        <v>1755</v>
      </c>
      <c r="F32" s="868"/>
    </row>
    <row r="33" spans="1:9" ht="18" customHeight="1">
      <c r="C33" s="141"/>
    </row>
    <row r="34" spans="1:9" ht="27.6" customHeight="1">
      <c r="A34" s="139" t="s">
        <v>1735</v>
      </c>
      <c r="C34" s="4635" t="s">
        <v>360</v>
      </c>
      <c r="D34" s="4635"/>
      <c r="E34" s="4630" t="s">
        <v>359</v>
      </c>
      <c r="F34" s="4630"/>
      <c r="G34" s="4630"/>
      <c r="H34" s="4630"/>
    </row>
    <row r="35" spans="1:9" s="135" customFormat="1" ht="15.95" customHeight="1">
      <c r="A35" s="2104" t="s">
        <v>1734</v>
      </c>
      <c r="B35" s="2104"/>
      <c r="C35" s="4655" t="s">
        <v>357</v>
      </c>
      <c r="D35" s="4655"/>
      <c r="E35" s="4623" t="s">
        <v>356</v>
      </c>
      <c r="F35" s="4623"/>
      <c r="G35" s="4623"/>
      <c r="H35" s="4623"/>
      <c r="I35" s="136"/>
    </row>
    <row r="36" spans="1:9" s="135" customFormat="1" ht="13.5">
      <c r="A36" s="4645"/>
      <c r="B36" s="4645"/>
      <c r="C36" s="4655"/>
      <c r="D36" s="4655"/>
      <c r="E36" s="137"/>
      <c r="F36" s="137"/>
      <c r="G36" s="137"/>
      <c r="H36" s="137"/>
      <c r="I36" s="136"/>
    </row>
  </sheetData>
  <mergeCells count="10">
    <mergeCell ref="C35:D35"/>
    <mergeCell ref="E35:H35"/>
    <mergeCell ref="A36:B36"/>
    <mergeCell ref="A12:B14"/>
    <mergeCell ref="A5:H5"/>
    <mergeCell ref="A6:H6"/>
    <mergeCell ref="E12:G12"/>
    <mergeCell ref="C34:D34"/>
    <mergeCell ref="E34:H34"/>
    <mergeCell ref="C36:D36"/>
  </mergeCells>
  <pageMargins left="0.5" right="0" top="0.25" bottom="0" header="0.5" footer="0"/>
  <pageSetup paperSize="5" orientation="portrait"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topLeftCell="A16" zoomScale="120" zoomScaleNormal="120" workbookViewId="0">
      <selection activeCell="I1" sqref="I1:I1048576"/>
    </sheetView>
  </sheetViews>
  <sheetFormatPr defaultColWidth="12.5703125" defaultRowHeight="12.75" outlineLevelRow="1" outlineLevelCol="2"/>
  <cols>
    <col min="1" max="1" width="1.85546875" style="134" customWidth="1"/>
    <col min="2" max="2" width="32.85546875" style="134" customWidth="1"/>
    <col min="3" max="3" width="10.7109375" style="134" customWidth="1"/>
    <col min="4" max="4" width="10.28515625" style="134" customWidth="1"/>
    <col min="5" max="6" width="10.7109375" style="134" customWidth="1"/>
    <col min="7" max="7" width="10.28515625" style="134" customWidth="1"/>
    <col min="8" max="8" width="10.570312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1758</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536"/>
      <c r="C15" s="396"/>
      <c r="D15" s="396"/>
      <c r="E15" s="396"/>
      <c r="F15" s="536"/>
      <c r="G15" s="536"/>
      <c r="H15" s="536"/>
    </row>
    <row r="16" spans="1:8" ht="20.100000000000001" customHeight="1">
      <c r="A16" s="2194" t="s">
        <v>407</v>
      </c>
      <c r="B16" s="527"/>
      <c r="C16" s="526"/>
      <c r="D16" s="525">
        <f>SUM(D17:D30)</f>
        <v>379639</v>
      </c>
      <c r="E16" s="525">
        <f>SUM(E17:E30)</f>
        <v>378745</v>
      </c>
      <c r="F16" s="525">
        <f>SUM(F17:F30)</f>
        <v>21255</v>
      </c>
      <c r="G16" s="2193">
        <f>SUM(G17:G30)</f>
        <v>400000</v>
      </c>
      <c r="H16" s="525">
        <f>SUM(H17:H30)</f>
        <v>400000</v>
      </c>
    </row>
    <row r="17" spans="1:9" ht="15.95" customHeight="1" outlineLevel="1">
      <c r="A17" s="2177" t="s">
        <v>1738</v>
      </c>
      <c r="B17" s="2144"/>
      <c r="C17" s="2176" t="s">
        <v>1679</v>
      </c>
      <c r="D17" s="2107">
        <f>[8]CSR!$E$11</f>
        <v>379639</v>
      </c>
      <c r="E17" s="2106">
        <v>351850</v>
      </c>
      <c r="F17" s="2109">
        <f>SUM(G17-E17)</f>
        <v>20650</v>
      </c>
      <c r="G17" s="493">
        <v>372500</v>
      </c>
      <c r="H17" s="493">
        <v>371000</v>
      </c>
    </row>
    <row r="18" spans="1:9" ht="15.95" customHeight="1" outlineLevel="1">
      <c r="A18" s="163" t="s">
        <v>395</v>
      </c>
      <c r="B18" s="518"/>
      <c r="C18" s="2176" t="s">
        <v>394</v>
      </c>
      <c r="D18" s="2107">
        <f>[8]CSR!$E$12</f>
        <v>0</v>
      </c>
      <c r="E18" s="2106">
        <v>26895</v>
      </c>
      <c r="F18" s="2109">
        <f>SUM(G18-E18)</f>
        <v>605</v>
      </c>
      <c r="G18" s="493">
        <v>27500</v>
      </c>
      <c r="H18" s="493">
        <v>29000</v>
      </c>
    </row>
    <row r="19" spans="1:9" ht="15.95" customHeight="1" outlineLevel="1">
      <c r="A19" s="163"/>
      <c r="B19" s="518"/>
      <c r="C19" s="2145"/>
      <c r="D19" s="2107"/>
      <c r="E19" s="2106"/>
      <c r="F19" s="2109"/>
      <c r="G19" s="234"/>
      <c r="H19" s="493"/>
    </row>
    <row r="20" spans="1:9" ht="15.95" customHeight="1" outlineLevel="1">
      <c r="A20" s="163"/>
      <c r="B20" s="518"/>
      <c r="C20" s="2145"/>
      <c r="D20" s="2107"/>
      <c r="E20" s="2106"/>
      <c r="F20" s="2109"/>
      <c r="G20" s="234"/>
      <c r="H20" s="493"/>
    </row>
    <row r="21" spans="1:9" ht="15.95" customHeight="1" outlineLevel="1">
      <c r="A21" s="163"/>
      <c r="B21" s="518"/>
      <c r="C21" s="2145"/>
      <c r="D21" s="2107"/>
      <c r="E21" s="2106"/>
      <c r="F21" s="2109"/>
      <c r="G21" s="234"/>
      <c r="H21" s="493"/>
    </row>
    <row r="22" spans="1:9" ht="15.95" customHeight="1" outlineLevel="1">
      <c r="A22" s="163"/>
      <c r="B22" s="518"/>
      <c r="C22" s="2145"/>
      <c r="D22" s="2107"/>
      <c r="E22" s="2106"/>
      <c r="F22" s="2109"/>
      <c r="G22" s="234"/>
      <c r="H22" s="493"/>
    </row>
    <row r="23" spans="1:9" ht="15.95" customHeight="1" outlineLevel="1">
      <c r="A23" s="163"/>
      <c r="B23" s="518"/>
      <c r="C23" s="2145"/>
      <c r="D23" s="2107"/>
      <c r="E23" s="2106"/>
      <c r="F23" s="2109"/>
      <c r="G23" s="234"/>
      <c r="H23" s="493"/>
    </row>
    <row r="24" spans="1:9" ht="15.95" customHeight="1" outlineLevel="1">
      <c r="A24" s="519"/>
      <c r="B24" s="518"/>
      <c r="C24" s="2192"/>
      <c r="D24" s="2107"/>
      <c r="E24" s="2106"/>
      <c r="F24" s="2109"/>
      <c r="G24" s="234"/>
      <c r="H24" s="493"/>
    </row>
    <row r="25" spans="1:9" ht="15.95" customHeight="1" outlineLevel="1">
      <c r="A25" s="517"/>
      <c r="B25" s="950"/>
      <c r="C25" s="2192"/>
      <c r="D25" s="2107"/>
      <c r="E25" s="2106"/>
      <c r="F25" s="150"/>
      <c r="G25" s="234"/>
      <c r="H25" s="493"/>
    </row>
    <row r="26" spans="1:9" ht="15.95" customHeight="1" outlineLevel="1">
      <c r="A26" s="519"/>
      <c r="B26" s="518"/>
      <c r="C26" s="2192"/>
      <c r="D26" s="2107"/>
      <c r="E26" s="2106"/>
      <c r="F26" s="150"/>
      <c r="G26" s="234"/>
      <c r="H26" s="493"/>
    </row>
    <row r="27" spans="1:9" ht="15.95" customHeight="1" outlineLevel="1">
      <c r="A27" s="517"/>
      <c r="B27" s="516"/>
      <c r="C27" s="1122"/>
      <c r="D27" s="951"/>
      <c r="E27" s="994"/>
      <c r="F27" s="238"/>
      <c r="G27" s="390"/>
      <c r="H27" s="157"/>
    </row>
    <row r="28" spans="1:9" s="148" customFormat="1" ht="15.95" customHeight="1" outlineLevel="1">
      <c r="A28" s="512"/>
      <c r="B28" s="514"/>
      <c r="C28" s="514"/>
      <c r="D28" s="951"/>
      <c r="E28" s="994"/>
      <c r="F28" s="238"/>
      <c r="G28" s="390"/>
      <c r="H28" s="157"/>
    </row>
    <row r="29" spans="1:9" s="148" customFormat="1" ht="15.95" customHeight="1" outlineLevel="1">
      <c r="A29" s="512"/>
      <c r="B29" s="511"/>
      <c r="C29" s="2192"/>
      <c r="D29" s="951"/>
      <c r="E29" s="994"/>
      <c r="F29" s="238"/>
      <c r="G29" s="390"/>
      <c r="H29" s="157"/>
    </row>
    <row r="30" spans="1:9" s="148" customFormat="1" ht="15.95" customHeight="1" outlineLevel="1">
      <c r="A30" s="508"/>
      <c r="B30" s="507"/>
      <c r="C30" s="2191"/>
      <c r="D30" s="969"/>
      <c r="E30" s="993"/>
      <c r="F30" s="992"/>
      <c r="G30" s="991"/>
      <c r="H30" s="149"/>
    </row>
    <row r="31" spans="1:9" s="148" customFormat="1" ht="15.95" customHeight="1" outlineLevel="1" thickBot="1">
      <c r="A31" s="147" t="s">
        <v>366</v>
      </c>
      <c r="B31" s="147"/>
      <c r="C31" s="146"/>
      <c r="D31" s="456">
        <f>SUM(D16)</f>
        <v>379639</v>
      </c>
      <c r="E31" s="456">
        <f>SUM(E16)</f>
        <v>378745</v>
      </c>
      <c r="F31" s="147">
        <f>SUM(F16)</f>
        <v>21255</v>
      </c>
      <c r="G31" s="456">
        <f>SUM(G16)</f>
        <v>400000</v>
      </c>
      <c r="H31" s="455">
        <f>SUM(H16)</f>
        <v>400000</v>
      </c>
      <c r="I31" s="340" t="s">
        <v>1737</v>
      </c>
    </row>
    <row r="32" spans="1:9" ht="20.100000000000001" customHeight="1" outlineLevel="1" thickTop="1">
      <c r="H32" s="454"/>
    </row>
    <row r="33" spans="1:9" ht="15.95" customHeight="1">
      <c r="A33" s="134" t="s">
        <v>364</v>
      </c>
      <c r="C33" s="141" t="s">
        <v>363</v>
      </c>
      <c r="E33" s="868" t="s">
        <v>1755</v>
      </c>
      <c r="F33" s="868"/>
    </row>
    <row r="34" spans="1:9" ht="15.95" customHeight="1">
      <c r="C34" s="141"/>
    </row>
    <row r="35" spans="1:9" ht="27.6" customHeight="1">
      <c r="A35" s="139" t="s">
        <v>1735</v>
      </c>
      <c r="C35" s="4635" t="s">
        <v>360</v>
      </c>
      <c r="D35" s="4635"/>
      <c r="E35" s="4630" t="s">
        <v>359</v>
      </c>
      <c r="F35" s="4630"/>
      <c r="G35" s="4630"/>
      <c r="H35" s="4630"/>
    </row>
    <row r="36" spans="1:9" s="135" customFormat="1" ht="15.95" customHeight="1">
      <c r="A36" s="2104" t="s">
        <v>1734</v>
      </c>
      <c r="B36" s="2104"/>
      <c r="C36" s="4655" t="s">
        <v>357</v>
      </c>
      <c r="D36" s="4655"/>
      <c r="E36" s="4623" t="s">
        <v>356</v>
      </c>
      <c r="F36" s="4623"/>
      <c r="G36" s="4623"/>
      <c r="H36" s="4623"/>
      <c r="I36" s="136"/>
    </row>
    <row r="37" spans="1:9" s="135" customFormat="1" ht="13.5">
      <c r="A37" s="4645"/>
      <c r="B37" s="4645"/>
      <c r="C37" s="4655"/>
      <c r="D37" s="4655"/>
      <c r="E37" s="137"/>
      <c r="F37" s="137"/>
      <c r="G37" s="137"/>
      <c r="H37" s="137"/>
      <c r="I37" s="136"/>
    </row>
  </sheetData>
  <mergeCells count="10">
    <mergeCell ref="C36:D36"/>
    <mergeCell ref="E36:H36"/>
    <mergeCell ref="A37:B37"/>
    <mergeCell ref="A12:B14"/>
    <mergeCell ref="A5:H5"/>
    <mergeCell ref="A6:H6"/>
    <mergeCell ref="E12:G12"/>
    <mergeCell ref="C35:D35"/>
    <mergeCell ref="E35:H35"/>
    <mergeCell ref="C37:D37"/>
  </mergeCells>
  <pageMargins left="0.5" right="0" top="0.25" bottom="0" header="0.5" footer="0"/>
  <pageSetup paperSize="5" orientation="portrait"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9"/>
  <sheetViews>
    <sheetView showGridLines="0" showOutlineSymbols="0" topLeftCell="A15" zoomScaleNormal="100" workbookViewId="0">
      <pane xSplit="3" ySplit="1" topLeftCell="D16" activePane="bottomRight" state="frozen"/>
      <selection activeCell="A15" sqref="A15"/>
      <selection pane="topRight" activeCell="D15" sqref="D15"/>
      <selection pane="bottomLeft" activeCell="A16" sqref="A16"/>
      <selection pane="bottomRight" activeCell="I1" sqref="I1:I1048576"/>
    </sheetView>
  </sheetViews>
  <sheetFormatPr defaultColWidth="12.5703125" defaultRowHeight="12.75" outlineLevelRow="1" outlineLevelCol="2"/>
  <cols>
    <col min="1" max="1" width="1.85546875" style="134" customWidth="1"/>
    <col min="2" max="2" width="34.140625" style="134" customWidth="1"/>
    <col min="3" max="3" width="10.7109375" style="134" customWidth="1"/>
    <col min="4" max="4" width="10" style="134" customWidth="1"/>
    <col min="5" max="6" width="10.7109375" style="134" customWidth="1"/>
    <col min="7" max="7" width="9.7109375" style="134" customWidth="1"/>
    <col min="8" max="8" width="10.710937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1759</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15.95" customHeight="1">
      <c r="A15" s="2117" t="s">
        <v>456</v>
      </c>
      <c r="B15" s="536"/>
      <c r="C15" s="396"/>
      <c r="D15" s="396"/>
      <c r="E15" s="396"/>
      <c r="F15" s="536"/>
      <c r="G15" s="536"/>
      <c r="H15" s="536"/>
    </row>
    <row r="16" spans="1:8" ht="15.95" customHeight="1">
      <c r="A16" s="2116" t="s">
        <v>407</v>
      </c>
      <c r="B16" s="188"/>
      <c r="C16" s="526"/>
      <c r="D16" s="535">
        <f>SUM(D17:D32)</f>
        <v>118880</v>
      </c>
      <c r="E16" s="535">
        <f>SUM(E17:E32)</f>
        <v>0</v>
      </c>
      <c r="F16" s="535">
        <f>SUM(F17:F32)</f>
        <v>150000</v>
      </c>
      <c r="G16" s="535">
        <f>SUM(G17:G32)</f>
        <v>150000</v>
      </c>
      <c r="H16" s="535">
        <f>SUM(H17:H32)</f>
        <v>150000</v>
      </c>
    </row>
    <row r="17" spans="1:8" ht="15.95" customHeight="1" outlineLevel="1">
      <c r="A17" s="519" t="s">
        <v>402</v>
      </c>
      <c r="B17" s="518"/>
      <c r="C17" s="530" t="s">
        <v>401</v>
      </c>
      <c r="D17" s="2114">
        <f>[8]DENGUE!$E$11</f>
        <v>118000</v>
      </c>
      <c r="E17" s="2113">
        <v>0</v>
      </c>
      <c r="F17" s="2112">
        <f>SUM(G17-E17)</f>
        <v>0</v>
      </c>
      <c r="G17" s="2131">
        <v>0</v>
      </c>
      <c r="H17" s="2131">
        <v>0</v>
      </c>
    </row>
    <row r="18" spans="1:8" ht="15.95" customHeight="1" outlineLevel="1">
      <c r="A18" s="1736" t="s">
        <v>674</v>
      </c>
      <c r="B18" s="1735"/>
      <c r="C18" s="530" t="s">
        <v>396</v>
      </c>
      <c r="D18" s="2107">
        <f>[8]DENGUE!$E$12</f>
        <v>880</v>
      </c>
      <c r="E18" s="2110">
        <v>0</v>
      </c>
      <c r="F18" s="2109">
        <f>SUM(G18-E18)</f>
        <v>28000</v>
      </c>
      <c r="G18" s="493">
        <v>28000</v>
      </c>
      <c r="H18" s="493">
        <v>28000</v>
      </c>
    </row>
    <row r="19" spans="1:8" ht="15.95" customHeight="1" outlineLevel="1">
      <c r="A19" s="166" t="s">
        <v>395</v>
      </c>
      <c r="B19" s="518"/>
      <c r="C19" s="978" t="s">
        <v>394</v>
      </c>
      <c r="D19" s="2107">
        <f>[8]DENGUE!$E$13</f>
        <v>0</v>
      </c>
      <c r="E19" s="2110">
        <v>0</v>
      </c>
      <c r="F19" s="2109">
        <f>SUM(G19-E19)</f>
        <v>122000</v>
      </c>
      <c r="G19" s="493">
        <v>122000</v>
      </c>
      <c r="H19" s="493">
        <v>122000</v>
      </c>
    </row>
    <row r="20" spans="1:8" ht="15.95" customHeight="1" outlineLevel="1">
      <c r="A20" s="519"/>
      <c r="B20" s="518"/>
      <c r="C20" s="971"/>
      <c r="D20" s="2107"/>
      <c r="E20" s="2110"/>
      <c r="F20" s="2109"/>
      <c r="G20" s="2108"/>
      <c r="H20" s="493"/>
    </row>
    <row r="21" spans="1:8" ht="15.95" customHeight="1" outlineLevel="1">
      <c r="A21" s="519"/>
      <c r="B21" s="518"/>
      <c r="C21" s="971"/>
      <c r="D21" s="951"/>
      <c r="E21" s="994"/>
      <c r="F21" s="238"/>
      <c r="G21" s="390"/>
      <c r="H21" s="157"/>
    </row>
    <row r="22" spans="1:8" ht="15.95" customHeight="1" outlineLevel="1">
      <c r="A22" s="519"/>
      <c r="B22" s="518"/>
      <c r="C22" s="971"/>
      <c r="D22" s="951"/>
      <c r="E22" s="994"/>
      <c r="F22" s="238"/>
      <c r="G22" s="390"/>
      <c r="H22" s="157"/>
    </row>
    <row r="23" spans="1:8" ht="15.95" customHeight="1" outlineLevel="1">
      <c r="A23" s="519"/>
      <c r="B23" s="518"/>
      <c r="C23" s="971"/>
      <c r="D23" s="951"/>
      <c r="E23" s="994"/>
      <c r="F23" s="238"/>
      <c r="G23" s="390"/>
      <c r="H23" s="157"/>
    </row>
    <row r="24" spans="1:8" ht="15.95" customHeight="1" outlineLevel="1">
      <c r="A24" s="519"/>
      <c r="B24" s="518"/>
      <c r="C24" s="971"/>
      <c r="D24" s="951"/>
      <c r="E24" s="994"/>
      <c r="F24" s="238"/>
      <c r="G24" s="390"/>
      <c r="H24" s="157"/>
    </row>
    <row r="25" spans="1:8" ht="15.95" customHeight="1" outlineLevel="1">
      <c r="A25" s="519"/>
      <c r="B25" s="518"/>
      <c r="C25" s="971"/>
      <c r="D25" s="951"/>
      <c r="E25" s="994"/>
      <c r="F25" s="238"/>
      <c r="G25" s="390"/>
      <c r="H25" s="157"/>
    </row>
    <row r="26" spans="1:8" ht="15.95" customHeight="1" outlineLevel="1">
      <c r="A26" s="519"/>
      <c r="B26" s="518"/>
      <c r="C26" s="971"/>
      <c r="D26" s="951"/>
      <c r="E26" s="994"/>
      <c r="F26" s="238"/>
      <c r="G26" s="390"/>
      <c r="H26" s="157"/>
    </row>
    <row r="27" spans="1:8" ht="15.95" customHeight="1" outlineLevel="1">
      <c r="A27" s="517"/>
      <c r="B27" s="950"/>
      <c r="C27" s="971"/>
      <c r="D27" s="951"/>
      <c r="E27" s="994"/>
      <c r="F27" s="238"/>
      <c r="G27" s="390"/>
      <c r="H27" s="157"/>
    </row>
    <row r="28" spans="1:8" ht="15.95" customHeight="1" outlineLevel="1">
      <c r="A28" s="519"/>
      <c r="B28" s="518"/>
      <c r="C28" s="971"/>
      <c r="D28" s="951"/>
      <c r="E28" s="994"/>
      <c r="F28" s="238"/>
      <c r="G28" s="390"/>
      <c r="H28" s="157"/>
    </row>
    <row r="29" spans="1:8" ht="15.95" customHeight="1" outlineLevel="1">
      <c r="A29" s="517"/>
      <c r="B29" s="516"/>
      <c r="C29" s="1734"/>
      <c r="D29" s="951"/>
      <c r="E29" s="994"/>
      <c r="F29" s="238"/>
      <c r="G29" s="390"/>
      <c r="H29" s="157"/>
    </row>
    <row r="30" spans="1:8" s="148" customFormat="1" ht="15.95" customHeight="1" outlineLevel="1">
      <c r="A30" s="512"/>
      <c r="B30" s="514"/>
      <c r="C30" s="2105"/>
      <c r="D30" s="951"/>
      <c r="E30" s="994"/>
      <c r="F30" s="238"/>
      <c r="G30" s="390"/>
      <c r="H30" s="157"/>
    </row>
    <row r="31" spans="1:8" s="148" customFormat="1" ht="15.95" customHeight="1" outlineLevel="1">
      <c r="A31" s="512"/>
      <c r="B31" s="511"/>
      <c r="C31" s="971"/>
      <c r="D31" s="951"/>
      <c r="E31" s="994"/>
      <c r="F31" s="238"/>
      <c r="G31" s="390"/>
      <c r="H31" s="157"/>
    </row>
    <row r="32" spans="1:8" s="148" customFormat="1" ht="15.95" customHeight="1" outlineLevel="1">
      <c r="A32" s="508"/>
      <c r="B32" s="507"/>
      <c r="C32" s="970"/>
      <c r="D32" s="969"/>
      <c r="E32" s="993"/>
      <c r="F32" s="992"/>
      <c r="G32" s="991"/>
      <c r="H32" s="149"/>
    </row>
    <row r="33" spans="1:9" s="148" customFormat="1" ht="15.95" customHeight="1" outlineLevel="1" thickBot="1">
      <c r="A33" s="147" t="s">
        <v>366</v>
      </c>
      <c r="B33" s="147"/>
      <c r="C33" s="146"/>
      <c r="D33" s="456">
        <f>SUM(D16)</f>
        <v>118880</v>
      </c>
      <c r="E33" s="456">
        <f>SUM(E16)</f>
        <v>0</v>
      </c>
      <c r="F33" s="147">
        <f>SUM(F16)</f>
        <v>150000</v>
      </c>
      <c r="G33" s="456">
        <f>SUM(G16)</f>
        <v>150000</v>
      </c>
      <c r="H33" s="455">
        <f>SUM(H16)</f>
        <v>150000</v>
      </c>
      <c r="I33" s="340" t="s">
        <v>1742</v>
      </c>
    </row>
    <row r="34" spans="1:9" ht="20.100000000000001" customHeight="1" outlineLevel="1" thickTop="1">
      <c r="H34" s="454"/>
    </row>
    <row r="35" spans="1:9" ht="15.95" customHeight="1">
      <c r="A35" s="134" t="s">
        <v>364</v>
      </c>
      <c r="C35" s="141" t="s">
        <v>363</v>
      </c>
      <c r="E35" s="4804" t="s">
        <v>1752</v>
      </c>
      <c r="F35" s="4804"/>
      <c r="G35" s="4804"/>
    </row>
    <row r="36" spans="1:9" ht="15.95" customHeight="1">
      <c r="C36" s="141"/>
    </row>
    <row r="37" spans="1:9" ht="27.6" customHeight="1">
      <c r="A37" s="139" t="s">
        <v>1735</v>
      </c>
      <c r="C37" s="4635" t="s">
        <v>360</v>
      </c>
      <c r="D37" s="4635"/>
      <c r="E37" s="4630" t="s">
        <v>359</v>
      </c>
      <c r="F37" s="4630"/>
      <c r="G37" s="4630"/>
      <c r="H37" s="4630"/>
    </row>
    <row r="38" spans="1:9" s="135" customFormat="1" ht="15.95" customHeight="1">
      <c r="A38" s="2104" t="s">
        <v>1734</v>
      </c>
      <c r="B38" s="2104"/>
      <c r="C38" s="4655" t="s">
        <v>357</v>
      </c>
      <c r="D38" s="4655"/>
      <c r="E38" s="4623" t="s">
        <v>356</v>
      </c>
      <c r="F38" s="4623"/>
      <c r="G38" s="4623"/>
      <c r="H38" s="4623"/>
      <c r="I38" s="136"/>
    </row>
    <row r="39" spans="1:9" s="135" customFormat="1" ht="13.5">
      <c r="A39" s="4645"/>
      <c r="B39" s="4645"/>
      <c r="C39" s="4655"/>
      <c r="D39" s="4655"/>
      <c r="E39" s="137"/>
      <c r="F39" s="137"/>
      <c r="G39" s="137"/>
      <c r="H39" s="137"/>
      <c r="I39" s="136"/>
    </row>
  </sheetData>
  <mergeCells count="11">
    <mergeCell ref="A5:H5"/>
    <mergeCell ref="A6:H6"/>
    <mergeCell ref="E12:G12"/>
    <mergeCell ref="C37:D37"/>
    <mergeCell ref="E37:H37"/>
    <mergeCell ref="E35:G35"/>
    <mergeCell ref="C38:D38"/>
    <mergeCell ref="E38:H38"/>
    <mergeCell ref="A39:B39"/>
    <mergeCell ref="A12:B14"/>
    <mergeCell ref="C39:D39"/>
  </mergeCells>
  <pageMargins left="0.5" right="0" top="0.25" bottom="0" header="0.5" footer="0"/>
  <pageSetup paperSize="5" orientation="portrait"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topLeftCell="A16" workbookViewId="0">
      <selection activeCell="I1" sqref="I1:I1048576"/>
    </sheetView>
  </sheetViews>
  <sheetFormatPr defaultColWidth="12.5703125" defaultRowHeight="12.75" outlineLevelRow="1" outlineLevelCol="2"/>
  <cols>
    <col min="1" max="1" width="1.85546875" style="134" customWidth="1"/>
    <col min="2" max="2" width="35" style="134" customWidth="1"/>
    <col min="3" max="8" width="10.710937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1761</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536"/>
      <c r="C15" s="396"/>
      <c r="D15" s="396"/>
      <c r="E15" s="396"/>
      <c r="F15" s="536"/>
      <c r="G15" s="536"/>
      <c r="H15" s="536"/>
    </row>
    <row r="16" spans="1:8" ht="20.100000000000001" customHeight="1">
      <c r="A16" s="2116" t="s">
        <v>407</v>
      </c>
      <c r="B16" s="188"/>
      <c r="C16" s="526"/>
      <c r="D16" s="535">
        <f>SUM(D17:D30)</f>
        <v>49212</v>
      </c>
      <c r="E16" s="535">
        <f>SUM(E17:E30)</f>
        <v>19500</v>
      </c>
      <c r="F16" s="535">
        <f>SUM(F17:F30)</f>
        <v>30500</v>
      </c>
      <c r="G16" s="535">
        <f>SUM(G17:G30)</f>
        <v>50000</v>
      </c>
      <c r="H16" s="535">
        <f>SUM(H17:H30)</f>
        <v>50000</v>
      </c>
    </row>
    <row r="17" spans="1:9" ht="15.95" customHeight="1" outlineLevel="1">
      <c r="A17" s="519" t="s">
        <v>1760</v>
      </c>
      <c r="B17" s="518"/>
      <c r="C17" s="978" t="s">
        <v>1677</v>
      </c>
      <c r="D17" s="984">
        <f>'[8]DENTAL HEALTH'!$E$12</f>
        <v>49212</v>
      </c>
      <c r="E17" s="2197">
        <v>19500</v>
      </c>
      <c r="F17" s="1108">
        <f>SUM(G17-E17)</f>
        <v>30500</v>
      </c>
      <c r="G17" s="1107">
        <v>50000</v>
      </c>
      <c r="H17" s="982">
        <v>50000</v>
      </c>
    </row>
    <row r="18" spans="1:9" ht="15.95" customHeight="1" outlineLevel="1">
      <c r="A18" s="519"/>
      <c r="B18" s="518"/>
      <c r="C18" s="530"/>
      <c r="D18" s="951"/>
      <c r="E18" s="2196"/>
      <c r="F18" s="946"/>
      <c r="G18" s="378"/>
      <c r="H18" s="157"/>
    </row>
    <row r="19" spans="1:9" ht="15.95" customHeight="1" outlineLevel="1">
      <c r="A19" s="2038"/>
      <c r="B19" s="2037"/>
      <c r="C19" s="2195"/>
      <c r="D19" s="951"/>
      <c r="E19" s="378"/>
      <c r="F19" s="191"/>
      <c r="G19" s="389"/>
      <c r="H19" s="157"/>
    </row>
    <row r="20" spans="1:9" ht="15.95" customHeight="1" outlineLevel="1">
      <c r="A20" s="519"/>
      <c r="B20" s="518"/>
      <c r="C20" s="971"/>
      <c r="D20" s="951"/>
      <c r="E20" s="378"/>
      <c r="F20" s="191"/>
      <c r="G20" s="389"/>
      <c r="H20" s="157"/>
    </row>
    <row r="21" spans="1:9" ht="15.95" customHeight="1" outlineLevel="1">
      <c r="A21" s="519"/>
      <c r="B21" s="518"/>
      <c r="C21" s="971"/>
      <c r="D21" s="951"/>
      <c r="E21" s="378"/>
      <c r="F21" s="191"/>
      <c r="G21" s="389"/>
      <c r="H21" s="157"/>
    </row>
    <row r="22" spans="1:9" ht="15.95" customHeight="1" outlineLevel="1">
      <c r="A22" s="519"/>
      <c r="B22" s="518"/>
      <c r="C22" s="971"/>
      <c r="D22" s="951"/>
      <c r="E22" s="378"/>
      <c r="F22" s="191"/>
      <c r="G22" s="389"/>
      <c r="H22" s="157"/>
    </row>
    <row r="23" spans="1:9" ht="15.95" customHeight="1" outlineLevel="1">
      <c r="A23" s="519"/>
      <c r="B23" s="518"/>
      <c r="C23" s="971"/>
      <c r="D23" s="951"/>
      <c r="E23" s="378"/>
      <c r="F23" s="191"/>
      <c r="G23" s="389"/>
      <c r="H23" s="157"/>
    </row>
    <row r="24" spans="1:9" ht="15.95" customHeight="1" outlineLevel="1">
      <c r="A24" s="519"/>
      <c r="B24" s="518"/>
      <c r="C24" s="971"/>
      <c r="D24" s="951"/>
      <c r="E24" s="378"/>
      <c r="F24" s="191"/>
      <c r="G24" s="389"/>
      <c r="H24" s="157"/>
    </row>
    <row r="25" spans="1:9" ht="15.95" customHeight="1" outlineLevel="1">
      <c r="A25" s="517"/>
      <c r="B25" s="950"/>
      <c r="C25" s="971"/>
      <c r="D25" s="951"/>
      <c r="E25" s="378"/>
      <c r="F25" s="191"/>
      <c r="G25" s="389"/>
      <c r="H25" s="157"/>
    </row>
    <row r="26" spans="1:9" ht="15.95" customHeight="1" outlineLevel="1">
      <c r="A26" s="519"/>
      <c r="B26" s="518"/>
      <c r="C26" s="971"/>
      <c r="D26" s="951"/>
      <c r="E26" s="378"/>
      <c r="F26" s="191"/>
      <c r="G26" s="389"/>
      <c r="H26" s="157"/>
    </row>
    <row r="27" spans="1:9" ht="15.95" customHeight="1" outlineLevel="1">
      <c r="A27" s="517"/>
      <c r="B27" s="516"/>
      <c r="C27" s="1734"/>
      <c r="D27" s="951"/>
      <c r="E27" s="378"/>
      <c r="F27" s="191"/>
      <c r="G27" s="389"/>
      <c r="H27" s="157"/>
    </row>
    <row r="28" spans="1:9" s="148" customFormat="1" ht="15.95" customHeight="1" outlineLevel="1">
      <c r="A28" s="512"/>
      <c r="B28" s="514"/>
      <c r="C28" s="2105"/>
      <c r="D28" s="951"/>
      <c r="E28" s="378"/>
      <c r="F28" s="191"/>
      <c r="G28" s="389"/>
      <c r="H28" s="157"/>
    </row>
    <row r="29" spans="1:9" s="148" customFormat="1" ht="15.95" customHeight="1" outlineLevel="1">
      <c r="A29" s="512"/>
      <c r="B29" s="511"/>
      <c r="C29" s="971"/>
      <c r="D29" s="951"/>
      <c r="E29" s="378"/>
      <c r="F29" s="191"/>
      <c r="G29" s="389"/>
      <c r="H29" s="157"/>
    </row>
    <row r="30" spans="1:9" s="148" customFormat="1" ht="15.95" customHeight="1" outlineLevel="1">
      <c r="A30" s="508"/>
      <c r="B30" s="507"/>
      <c r="C30" s="970"/>
      <c r="D30" s="969"/>
      <c r="E30" s="968"/>
      <c r="F30" s="967"/>
      <c r="G30" s="966"/>
      <c r="H30" s="149"/>
    </row>
    <row r="31" spans="1:9" s="148" customFormat="1" ht="15.95" customHeight="1" outlineLevel="1" thickBot="1">
      <c r="A31" s="147" t="s">
        <v>366</v>
      </c>
      <c r="B31" s="147"/>
      <c r="C31" s="146"/>
      <c r="D31" s="456">
        <f>SUM(D16)</f>
        <v>49212</v>
      </c>
      <c r="E31" s="456">
        <f>SUM(E16)</f>
        <v>19500</v>
      </c>
      <c r="F31" s="456">
        <f>SUM(F16)</f>
        <v>30500</v>
      </c>
      <c r="G31" s="456">
        <f>SUM(G16)</f>
        <v>50000</v>
      </c>
      <c r="H31" s="455">
        <f>SUM(H16)</f>
        <v>50000</v>
      </c>
      <c r="I31" s="340" t="s">
        <v>1737</v>
      </c>
    </row>
    <row r="32" spans="1:9" ht="20.100000000000001" customHeight="1" outlineLevel="1" thickTop="1">
      <c r="H32" s="454"/>
    </row>
    <row r="33" spans="1:9" ht="15.95" customHeight="1">
      <c r="A33" s="134" t="s">
        <v>364</v>
      </c>
      <c r="C33" s="141" t="s">
        <v>363</v>
      </c>
      <c r="E33" s="4804" t="s">
        <v>1752</v>
      </c>
      <c r="F33" s="4804"/>
      <c r="G33" s="4804"/>
    </row>
    <row r="34" spans="1:9" ht="15.95" customHeight="1">
      <c r="C34" s="141"/>
    </row>
    <row r="35" spans="1:9" ht="27.6" customHeight="1">
      <c r="A35" s="139" t="s">
        <v>1735</v>
      </c>
      <c r="C35" s="4635" t="s">
        <v>360</v>
      </c>
      <c r="D35" s="4635"/>
      <c r="E35" s="4630" t="s">
        <v>359</v>
      </c>
      <c r="F35" s="4630"/>
      <c r="G35" s="4630"/>
      <c r="H35" s="4630"/>
    </row>
    <row r="36" spans="1:9" s="135" customFormat="1" ht="15.95" customHeight="1">
      <c r="A36" s="2104" t="s">
        <v>1734</v>
      </c>
      <c r="B36" s="2104"/>
      <c r="C36" s="4655" t="s">
        <v>357</v>
      </c>
      <c r="D36" s="4655"/>
      <c r="E36" s="4623" t="s">
        <v>356</v>
      </c>
      <c r="F36" s="4623"/>
      <c r="G36" s="4623"/>
      <c r="H36" s="4623"/>
      <c r="I36" s="136"/>
    </row>
    <row r="37" spans="1:9" s="135" customFormat="1" ht="13.5">
      <c r="A37" s="4645"/>
      <c r="B37" s="4645"/>
      <c r="C37" s="4655"/>
      <c r="D37" s="4655"/>
      <c r="E37" s="137"/>
      <c r="F37" s="137"/>
      <c r="G37" s="137"/>
      <c r="H37" s="137"/>
      <c r="I37" s="136"/>
    </row>
  </sheetData>
  <mergeCells count="11">
    <mergeCell ref="A5:H5"/>
    <mergeCell ref="A6:H6"/>
    <mergeCell ref="E12:G12"/>
    <mergeCell ref="C35:D35"/>
    <mergeCell ref="E35:H35"/>
    <mergeCell ref="E33:G33"/>
    <mergeCell ref="C36:D36"/>
    <mergeCell ref="E36:H36"/>
    <mergeCell ref="A37:B37"/>
    <mergeCell ref="A12:B14"/>
    <mergeCell ref="C37:D37"/>
  </mergeCells>
  <pageMargins left="0.5" right="0" top="0.25" bottom="0" header="0.5" footer="0"/>
  <pageSetup paperSize="5"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F317"/>
  <sheetViews>
    <sheetView showGridLines="0" showOutlineSymbols="0" topLeftCell="A28" zoomScale="90" zoomScaleNormal="90" workbookViewId="0">
      <selection activeCell="D14" sqref="D14"/>
    </sheetView>
  </sheetViews>
  <sheetFormatPr defaultColWidth="12.5703125" defaultRowHeight="12.75" outlineLevelRow="1" outlineLevelCol="2"/>
  <cols>
    <col min="1" max="1" width="9.140625" style="1" customWidth="1"/>
    <col min="2" max="2" width="10.140625" style="1" customWidth="1"/>
    <col min="3" max="3" width="28.140625" style="1" customWidth="1"/>
    <col min="4" max="4" width="32.85546875" style="1" customWidth="1"/>
    <col min="5" max="5" width="9.7109375" style="1" customWidth="1"/>
    <col min="6" max="6" width="15.7109375" style="1" customWidth="1" outlineLevel="1"/>
    <col min="7" max="7" width="10.7109375" style="1" customWidth="1" outlineLevel="1"/>
    <col min="8" max="8" width="15.7109375" style="1" customWidth="1" outlineLevel="1"/>
    <col min="9" max="9" width="14" style="1" customWidth="1" outlineLevel="1"/>
    <col min="10" max="10" width="10.140625" style="3" hidden="1" customWidth="1" outlineLevel="1"/>
    <col min="11" max="11" width="12.28515625" style="3" hidden="1" customWidth="1" outlineLevel="1"/>
    <col min="12" max="12" width="12.85546875" style="1" hidden="1" customWidth="1"/>
    <col min="13" max="13" width="0" style="1" hidden="1" customWidth="1"/>
    <col min="14" max="14" width="3.5703125" style="1" hidden="1" customWidth="1"/>
    <col min="15" max="15" width="0" style="1" hidden="1" customWidth="1"/>
    <col min="16" max="16" width="11.7109375" style="1" hidden="1" customWidth="1"/>
    <col min="17" max="21" width="0" style="1" hidden="1" customWidth="1"/>
    <col min="22" max="97" width="12.5703125" style="1"/>
    <col min="98" max="101" width="12.5703125" style="1" outlineLevel="1"/>
    <col min="102" max="107" width="12.5703125" style="1" outlineLevel="2"/>
    <col min="108" max="110" width="12.5703125" style="1" outlineLevel="1"/>
    <col min="111" max="16384" width="12.5703125" style="1"/>
  </cols>
  <sheetData>
    <row r="1" spans="1:16">
      <c r="H1" s="133" t="s">
        <v>355</v>
      </c>
    </row>
    <row r="2" spans="1:16" ht="12.75" customHeight="1">
      <c r="H2" s="132" t="s">
        <v>625</v>
      </c>
    </row>
    <row r="3" spans="1:16" ht="18" customHeight="1">
      <c r="A3" s="4615" t="s">
        <v>353</v>
      </c>
      <c r="B3" s="4615"/>
      <c r="C3" s="4615"/>
      <c r="D3" s="4615"/>
      <c r="E3" s="4615"/>
      <c r="F3" s="4615"/>
      <c r="G3" s="4615"/>
      <c r="H3" s="4615"/>
      <c r="I3" s="4615"/>
      <c r="J3" s="131"/>
      <c r="K3" s="131"/>
    </row>
    <row r="4" spans="1:16" s="3" customFormat="1" ht="16.5" customHeight="1">
      <c r="A4" s="4616" t="s">
        <v>352</v>
      </c>
      <c r="B4" s="4616"/>
      <c r="C4" s="4616"/>
      <c r="D4" s="4616"/>
      <c r="E4" s="4616"/>
      <c r="F4" s="4616"/>
      <c r="G4" s="4616"/>
      <c r="H4" s="4616"/>
      <c r="I4" s="4616"/>
      <c r="J4" s="130"/>
      <c r="K4" s="130"/>
    </row>
    <row r="5" spans="1:16" ht="13.5" customHeight="1">
      <c r="A5" s="4617" t="s">
        <v>351</v>
      </c>
      <c r="B5" s="4617"/>
      <c r="C5" s="4617"/>
      <c r="D5" s="4617"/>
      <c r="E5" s="4617"/>
      <c r="F5" s="4617"/>
      <c r="G5" s="4617"/>
      <c r="H5" s="4617"/>
      <c r="I5" s="4617"/>
      <c r="J5" s="129"/>
      <c r="K5" s="129"/>
    </row>
    <row r="6" spans="1:16" ht="13.9" customHeight="1">
      <c r="A6" s="332" t="s">
        <v>624</v>
      </c>
      <c r="B6" s="430" t="s">
        <v>623</v>
      </c>
      <c r="D6" s="279"/>
      <c r="I6" s="332"/>
      <c r="J6" s="126"/>
      <c r="K6" s="126"/>
    </row>
    <row r="7" spans="1:16" ht="13.9" customHeight="1">
      <c r="A7" s="332"/>
      <c r="D7" s="279"/>
      <c r="G7" s="4618"/>
      <c r="H7" s="4618"/>
      <c r="I7" s="332"/>
      <c r="J7" s="4618" t="s">
        <v>457</v>
      </c>
      <c r="K7" s="4618"/>
    </row>
    <row r="8" spans="1:16" ht="13.5" customHeight="1">
      <c r="A8" s="123"/>
      <c r="B8" s="125"/>
      <c r="C8" s="124"/>
      <c r="D8" s="123"/>
      <c r="E8" s="4619" t="s">
        <v>348</v>
      </c>
      <c r="F8" s="4620"/>
      <c r="G8" s="4619" t="s">
        <v>347</v>
      </c>
      <c r="H8" s="4620"/>
      <c r="I8" s="115"/>
      <c r="J8" s="4607" t="s">
        <v>347</v>
      </c>
      <c r="K8" s="4608"/>
    </row>
    <row r="9" spans="1:16" ht="13.5" customHeight="1">
      <c r="A9" s="122"/>
      <c r="B9" s="121"/>
      <c r="C9" s="120"/>
      <c r="D9" s="119"/>
      <c r="E9" s="4604" t="s">
        <v>346</v>
      </c>
      <c r="F9" s="4605"/>
      <c r="G9" s="4604" t="s">
        <v>345</v>
      </c>
      <c r="H9" s="4605"/>
      <c r="I9" s="114"/>
      <c r="J9" s="4609" t="s">
        <v>345</v>
      </c>
      <c r="K9" s="4610"/>
    </row>
    <row r="10" spans="1:16" ht="13.5" customHeight="1">
      <c r="A10" s="122"/>
      <c r="B10" s="121"/>
      <c r="C10" s="120"/>
      <c r="D10" s="119"/>
      <c r="E10" s="4604" t="s">
        <v>344</v>
      </c>
      <c r="F10" s="4605"/>
      <c r="G10" s="4604" t="s">
        <v>344</v>
      </c>
      <c r="H10" s="4605"/>
      <c r="I10" s="114"/>
      <c r="J10" s="4609" t="s">
        <v>344</v>
      </c>
      <c r="K10" s="4610"/>
    </row>
    <row r="11" spans="1:16" ht="13.5" customHeight="1">
      <c r="A11" s="4604" t="s">
        <v>343</v>
      </c>
      <c r="B11" s="4605"/>
      <c r="C11" s="114" t="s">
        <v>342</v>
      </c>
      <c r="D11" s="112" t="s">
        <v>341</v>
      </c>
      <c r="E11" s="113" t="s">
        <v>339</v>
      </c>
      <c r="F11" s="118"/>
      <c r="G11" s="113" t="s">
        <v>339</v>
      </c>
      <c r="H11" s="118"/>
      <c r="I11" s="114" t="s">
        <v>340</v>
      </c>
      <c r="J11" s="110" t="s">
        <v>339</v>
      </c>
      <c r="K11" s="117"/>
      <c r="L11" s="4612" t="s">
        <v>338</v>
      </c>
      <c r="M11" s="4613"/>
      <c r="O11" s="4612" t="s">
        <v>338</v>
      </c>
      <c r="P11" s="4613"/>
    </row>
    <row r="12" spans="1:16" ht="14.25" customHeight="1">
      <c r="A12" s="116" t="s">
        <v>337</v>
      </c>
      <c r="B12" s="115" t="s">
        <v>336</v>
      </c>
      <c r="C12" s="114"/>
      <c r="D12" s="112"/>
      <c r="E12" s="113" t="s">
        <v>334</v>
      </c>
      <c r="F12" s="112" t="s">
        <v>333</v>
      </c>
      <c r="G12" s="113" t="s">
        <v>334</v>
      </c>
      <c r="H12" s="112" t="s">
        <v>333</v>
      </c>
      <c r="I12" s="111" t="s">
        <v>335</v>
      </c>
      <c r="J12" s="110" t="s">
        <v>334</v>
      </c>
      <c r="K12" s="109" t="s">
        <v>333</v>
      </c>
      <c r="L12" s="4611" t="s">
        <v>622</v>
      </c>
      <c r="M12" s="4611"/>
      <c r="O12" s="4611"/>
      <c r="P12" s="4611"/>
    </row>
    <row r="13" spans="1:16" s="99" customFormat="1" ht="14.25" customHeight="1">
      <c r="A13" s="107" t="s">
        <v>331</v>
      </c>
      <c r="B13" s="106" t="s">
        <v>330</v>
      </c>
      <c r="C13" s="106" t="s">
        <v>329</v>
      </c>
      <c r="D13" s="105" t="s">
        <v>328</v>
      </c>
      <c r="E13" s="105" t="s">
        <v>327</v>
      </c>
      <c r="F13" s="106" t="s">
        <v>326</v>
      </c>
      <c r="G13" s="105" t="s">
        <v>324</v>
      </c>
      <c r="H13" s="329" t="s">
        <v>323</v>
      </c>
      <c r="I13" s="105" t="s">
        <v>325</v>
      </c>
      <c r="J13" s="104" t="s">
        <v>324</v>
      </c>
      <c r="K13" s="328" t="s">
        <v>323</v>
      </c>
      <c r="L13" s="101" t="s">
        <v>322</v>
      </c>
      <c r="M13" s="100" t="s">
        <v>321</v>
      </c>
      <c r="O13" s="101" t="s">
        <v>322</v>
      </c>
      <c r="P13" s="100" t="s">
        <v>321</v>
      </c>
    </row>
    <row r="14" spans="1:16" s="3" customFormat="1" ht="13.15" customHeight="1" outlineLevel="1">
      <c r="A14" s="293" t="s">
        <v>320</v>
      </c>
      <c r="B14" s="293" t="s">
        <v>320</v>
      </c>
      <c r="C14" s="429" t="s">
        <v>621</v>
      </c>
      <c r="D14" s="414" t="s">
        <v>620</v>
      </c>
      <c r="E14" s="428" t="s">
        <v>47</v>
      </c>
      <c r="F14" s="322">
        <v>1127304</v>
      </c>
      <c r="G14" s="428" t="s">
        <v>47</v>
      </c>
      <c r="H14" s="322">
        <f>IF(G14="ABOLISHED",0, (VLOOKUP(G14,$A$49:$C$288,2,FALSE)*12))</f>
        <v>1127304</v>
      </c>
      <c r="I14" s="413">
        <f>SUM(H14-F14)</f>
        <v>0</v>
      </c>
      <c r="J14" s="428" t="s">
        <v>47</v>
      </c>
      <c r="K14" s="322">
        <f>IF(J14="ABOLISHED",0, (VLOOKUP(J14,$A$49:$C$288,3,FALSE)*12))</f>
        <v>1127304</v>
      </c>
      <c r="L14" s="3">
        <f>SUM(H14/12)</f>
        <v>93942</v>
      </c>
      <c r="M14" s="66">
        <f>IF(L14&gt;=80000,1600,SUM(L14*4%)/2)</f>
        <v>1600</v>
      </c>
      <c r="O14" s="3">
        <f>SUM(K14/12)</f>
        <v>93942</v>
      </c>
      <c r="P14" s="66">
        <f>IF(O14&gt;=80000,1600,SUM(O14*4%)/2)</f>
        <v>1600</v>
      </c>
    </row>
    <row r="15" spans="1:16" s="3" customFormat="1" ht="13.15" customHeight="1" outlineLevel="1">
      <c r="A15" s="293" t="s">
        <v>314</v>
      </c>
      <c r="B15" s="293"/>
      <c r="C15" s="423" t="s">
        <v>619</v>
      </c>
      <c r="D15" s="414" t="s">
        <v>245</v>
      </c>
      <c r="E15" s="428" t="s">
        <v>62</v>
      </c>
      <c r="F15" s="67">
        <v>890460</v>
      </c>
      <c r="G15" s="428" t="s">
        <v>597</v>
      </c>
      <c r="H15" s="67"/>
      <c r="I15" s="413">
        <f>SUM(H15-F15)</f>
        <v>-890460</v>
      </c>
      <c r="J15" s="428" t="s">
        <v>597</v>
      </c>
      <c r="K15" s="67">
        <f>IF(J15="ABOLISHED",0, (VLOOKUP(J15,$A$49:$C$288,3,FALSE)*12))</f>
        <v>0</v>
      </c>
      <c r="L15" s="3">
        <f>SUM(H15/12)</f>
        <v>0</v>
      </c>
      <c r="M15" s="66">
        <f>IF(L15&gt;=80000,1600,SUM(L15*4%)/2)</f>
        <v>0</v>
      </c>
      <c r="O15" s="3">
        <f>SUM(K15/12)</f>
        <v>0</v>
      </c>
      <c r="P15" s="66">
        <f>IF(O15&gt;=80000,1600,SUM(O15*4%)/2)</f>
        <v>0</v>
      </c>
    </row>
    <row r="16" spans="1:16" s="3" customFormat="1" ht="13.15" customHeight="1" outlineLevel="1">
      <c r="A16" s="307"/>
      <c r="B16" s="307"/>
      <c r="C16" s="420" t="s">
        <v>618</v>
      </c>
      <c r="D16" s="427"/>
      <c r="E16" s="419"/>
      <c r="F16" s="67" t="s">
        <v>256</v>
      </c>
      <c r="G16" s="419"/>
      <c r="H16" s="67" t="s">
        <v>256</v>
      </c>
      <c r="I16" s="413"/>
      <c r="J16" s="419"/>
      <c r="K16" s="67"/>
      <c r="M16" s="66"/>
      <c r="P16" s="66"/>
    </row>
    <row r="17" spans="1:16" s="3" customFormat="1" ht="13.15" customHeight="1" outlineLevel="1">
      <c r="A17" s="293" t="s">
        <v>311</v>
      </c>
      <c r="B17" s="293" t="s">
        <v>314</v>
      </c>
      <c r="C17" s="423" t="s">
        <v>617</v>
      </c>
      <c r="D17" s="414" t="s">
        <v>616</v>
      </c>
      <c r="E17" s="428" t="s">
        <v>127</v>
      </c>
      <c r="F17" s="67">
        <v>382752</v>
      </c>
      <c r="G17" s="428" t="s">
        <v>127</v>
      </c>
      <c r="H17" s="67">
        <f t="shared" ref="H17:H22" si="0">IF(G17="ABOLISHED",0, (VLOOKUP(G17,$A$49:$C$288,2,FALSE)*12))</f>
        <v>382752</v>
      </c>
      <c r="I17" s="413">
        <f t="shared" ref="I17:I22" si="1">SUM(H17-F17)</f>
        <v>0</v>
      </c>
      <c r="J17" s="428" t="s">
        <v>127</v>
      </c>
      <c r="K17" s="67">
        <f t="shared" ref="K17:K22" si="2">IF(J17="ABOLISHED",0, (VLOOKUP(J17,$A$49:$C$288,3,FALSE)*12))</f>
        <v>382752</v>
      </c>
      <c r="L17" s="3">
        <f t="shared" ref="L17:L22" si="3">SUM(H17/12)</f>
        <v>31896</v>
      </c>
      <c r="M17" s="66">
        <f t="shared" ref="M17:M22" si="4">IF(L17&gt;=80000,1600,SUM(L17*4%)/2)</f>
        <v>637.91999999999996</v>
      </c>
      <c r="O17" s="3">
        <f t="shared" ref="O17:O22" si="5">SUM(K17/12)</f>
        <v>31896</v>
      </c>
      <c r="P17" s="66">
        <f t="shared" ref="P17:P22" si="6">IF(O17&gt;=80000,1600,SUM(O17*4%)/2)</f>
        <v>637.91999999999996</v>
      </c>
    </row>
    <row r="18" spans="1:16" s="3" customFormat="1" ht="13.15" customHeight="1" outlineLevel="1">
      <c r="A18" s="293" t="s">
        <v>307</v>
      </c>
      <c r="B18" s="293" t="s">
        <v>311</v>
      </c>
      <c r="C18" s="423" t="s">
        <v>615</v>
      </c>
      <c r="D18" s="414" t="s">
        <v>245</v>
      </c>
      <c r="E18" s="428" t="s">
        <v>158</v>
      </c>
      <c r="F18" s="67">
        <v>275436</v>
      </c>
      <c r="G18" s="428" t="s">
        <v>159</v>
      </c>
      <c r="H18" s="67">
        <f t="shared" si="0"/>
        <v>272196</v>
      </c>
      <c r="I18" s="413">
        <f t="shared" si="1"/>
        <v>-3240</v>
      </c>
      <c r="J18" s="428" t="s">
        <v>159</v>
      </c>
      <c r="K18" s="67">
        <f t="shared" si="2"/>
        <v>272196</v>
      </c>
      <c r="L18" s="3">
        <f t="shared" si="3"/>
        <v>22683</v>
      </c>
      <c r="M18" s="66">
        <f t="shared" si="4"/>
        <v>453.66</v>
      </c>
      <c r="O18" s="3">
        <f t="shared" si="5"/>
        <v>22683</v>
      </c>
      <c r="P18" s="66">
        <f t="shared" si="6"/>
        <v>453.66</v>
      </c>
    </row>
    <row r="19" spans="1:16" s="3" customFormat="1" ht="13.15" customHeight="1" outlineLevel="1">
      <c r="A19" s="293" t="s">
        <v>307</v>
      </c>
      <c r="B19" s="293" t="s">
        <v>307</v>
      </c>
      <c r="C19" s="423" t="s">
        <v>615</v>
      </c>
      <c r="D19" s="414" t="s">
        <v>245</v>
      </c>
      <c r="E19" s="428"/>
      <c r="F19" s="67"/>
      <c r="G19" s="428" t="s">
        <v>159</v>
      </c>
      <c r="H19" s="67">
        <f t="shared" si="0"/>
        <v>272196</v>
      </c>
      <c r="I19" s="413">
        <f t="shared" si="1"/>
        <v>272196</v>
      </c>
      <c r="J19" s="428" t="s">
        <v>159</v>
      </c>
      <c r="K19" s="67">
        <f t="shared" si="2"/>
        <v>272196</v>
      </c>
      <c r="L19" s="3">
        <f t="shared" si="3"/>
        <v>22683</v>
      </c>
      <c r="M19" s="66">
        <f t="shared" si="4"/>
        <v>453.66</v>
      </c>
      <c r="O19" s="3">
        <f t="shared" si="5"/>
        <v>22683</v>
      </c>
      <c r="P19" s="66">
        <f t="shared" si="6"/>
        <v>453.66</v>
      </c>
    </row>
    <row r="20" spans="1:16" s="3" customFormat="1" ht="13.15" customHeight="1" outlineLevel="1">
      <c r="A20" s="65" t="s">
        <v>304</v>
      </c>
      <c r="B20" s="65" t="s">
        <v>304</v>
      </c>
      <c r="C20" s="410" t="s">
        <v>614</v>
      </c>
      <c r="D20" s="414" t="s">
        <v>613</v>
      </c>
      <c r="E20" s="422" t="s">
        <v>214</v>
      </c>
      <c r="F20" s="67">
        <v>165420</v>
      </c>
      <c r="G20" s="422" t="s">
        <v>214</v>
      </c>
      <c r="H20" s="67">
        <f t="shared" si="0"/>
        <v>165420</v>
      </c>
      <c r="I20" s="417">
        <f t="shared" si="1"/>
        <v>0</v>
      </c>
      <c r="J20" s="422" t="s">
        <v>214</v>
      </c>
      <c r="K20" s="67">
        <f t="shared" si="2"/>
        <v>165420</v>
      </c>
      <c r="L20" s="3">
        <f t="shared" si="3"/>
        <v>13785</v>
      </c>
      <c r="M20" s="66">
        <f t="shared" si="4"/>
        <v>275.7</v>
      </c>
      <c r="O20" s="3">
        <f t="shared" si="5"/>
        <v>13785</v>
      </c>
      <c r="P20" s="66">
        <f t="shared" si="6"/>
        <v>275.7</v>
      </c>
    </row>
    <row r="21" spans="1:16" s="3" customFormat="1" ht="13.15" customHeight="1" outlineLevel="1">
      <c r="A21" s="65" t="s">
        <v>308</v>
      </c>
      <c r="B21" s="65" t="s">
        <v>308</v>
      </c>
      <c r="C21" s="410" t="s">
        <v>612</v>
      </c>
      <c r="D21" s="414" t="s">
        <v>611</v>
      </c>
      <c r="E21" s="422" t="s">
        <v>214</v>
      </c>
      <c r="F21" s="67">
        <v>165420</v>
      </c>
      <c r="G21" s="422" t="s">
        <v>214</v>
      </c>
      <c r="H21" s="67">
        <f t="shared" si="0"/>
        <v>165420</v>
      </c>
      <c r="I21" s="417">
        <f t="shared" si="1"/>
        <v>0</v>
      </c>
      <c r="J21" s="422" t="s">
        <v>214</v>
      </c>
      <c r="K21" s="67">
        <f t="shared" si="2"/>
        <v>165420</v>
      </c>
      <c r="L21" s="3">
        <f t="shared" si="3"/>
        <v>13785</v>
      </c>
      <c r="M21" s="66">
        <f t="shared" si="4"/>
        <v>275.7</v>
      </c>
      <c r="O21" s="3">
        <f t="shared" si="5"/>
        <v>13785</v>
      </c>
      <c r="P21" s="66">
        <f t="shared" si="6"/>
        <v>275.7</v>
      </c>
    </row>
    <row r="22" spans="1:16" s="3" customFormat="1" ht="13.15" customHeight="1" outlineLevel="1">
      <c r="A22" s="293" t="s">
        <v>294</v>
      </c>
      <c r="B22" s="293" t="s">
        <v>294</v>
      </c>
      <c r="C22" s="415" t="s">
        <v>246</v>
      </c>
      <c r="D22" s="414" t="s">
        <v>610</v>
      </c>
      <c r="E22" s="412" t="s">
        <v>231</v>
      </c>
      <c r="F22" s="67">
        <v>145812</v>
      </c>
      <c r="G22" s="412" t="s">
        <v>230</v>
      </c>
      <c r="H22" s="67">
        <f t="shared" si="0"/>
        <v>146928</v>
      </c>
      <c r="I22" s="413">
        <f t="shared" si="1"/>
        <v>1116</v>
      </c>
      <c r="J22" s="412" t="s">
        <v>230</v>
      </c>
      <c r="K22" s="67">
        <f t="shared" si="2"/>
        <v>146928</v>
      </c>
      <c r="L22" s="3">
        <f t="shared" si="3"/>
        <v>12244</v>
      </c>
      <c r="M22" s="66">
        <f t="shared" si="4"/>
        <v>244.88</v>
      </c>
      <c r="O22" s="3">
        <f t="shared" si="5"/>
        <v>12244</v>
      </c>
      <c r="P22" s="66">
        <f t="shared" si="6"/>
        <v>244.88</v>
      </c>
    </row>
    <row r="23" spans="1:16" s="3" customFormat="1" ht="13.15" customHeight="1" outlineLevel="1">
      <c r="A23" s="307"/>
      <c r="B23" s="293"/>
      <c r="C23" s="420" t="s">
        <v>609</v>
      </c>
      <c r="D23" s="427"/>
      <c r="E23" s="426"/>
      <c r="F23" s="67" t="s">
        <v>256</v>
      </c>
      <c r="G23" s="426"/>
      <c r="H23" s="67" t="s">
        <v>256</v>
      </c>
      <c r="I23" s="413"/>
      <c r="J23" s="426"/>
      <c r="K23" s="67"/>
      <c r="M23" s="66"/>
      <c r="P23" s="66"/>
    </row>
    <row r="24" spans="1:16" s="3" customFormat="1" ht="13.15" customHeight="1" outlineLevel="1">
      <c r="A24" s="293" t="s">
        <v>301</v>
      </c>
      <c r="B24" s="293" t="s">
        <v>301</v>
      </c>
      <c r="C24" s="423" t="s">
        <v>608</v>
      </c>
      <c r="D24" s="425" t="s">
        <v>607</v>
      </c>
      <c r="E24" s="424" t="s">
        <v>70</v>
      </c>
      <c r="F24" s="67">
        <v>792084</v>
      </c>
      <c r="G24" s="424" t="s">
        <v>70</v>
      </c>
      <c r="H24" s="67">
        <f t="shared" ref="H24:H30" si="7">IF(G24="ABOLISHED",0, (VLOOKUP(G24,$A$49:$C$288,2,FALSE)*12))</f>
        <v>792084</v>
      </c>
      <c r="I24" s="413">
        <f t="shared" ref="I24:I30" si="8">SUM(H24-F24)</f>
        <v>0</v>
      </c>
      <c r="J24" s="424" t="s">
        <v>70</v>
      </c>
      <c r="K24" s="67">
        <f t="shared" ref="K24:K30" si="9">IF(J24="ABOLISHED",0, (VLOOKUP(J24,$A$49:$C$288,3,FALSE)*12))</f>
        <v>792084</v>
      </c>
      <c r="L24" s="3">
        <f t="shared" ref="L24:L30" si="10">SUM(H24/12)</f>
        <v>66007</v>
      </c>
      <c r="M24" s="66">
        <f t="shared" ref="M24:M30" si="11">IF(L24&gt;=80000,1600,SUM(L24*4%)/2)</f>
        <v>1320.14</v>
      </c>
      <c r="O24" s="3">
        <f t="shared" ref="O24:O30" si="12">SUM(K24/12)</f>
        <v>66007</v>
      </c>
      <c r="P24" s="66">
        <f t="shared" ref="P24:P30" si="13">IF(O24&gt;=80000,1600,SUM(O24*4%)/2)</f>
        <v>1320.14</v>
      </c>
    </row>
    <row r="25" spans="1:16" s="3" customFormat="1" ht="13.15" customHeight="1" outlineLevel="1">
      <c r="A25" s="293" t="s">
        <v>297</v>
      </c>
      <c r="B25" s="293" t="s">
        <v>297</v>
      </c>
      <c r="C25" s="423" t="s">
        <v>606</v>
      </c>
      <c r="D25" s="409" t="s">
        <v>245</v>
      </c>
      <c r="E25" s="416" t="s">
        <v>167</v>
      </c>
      <c r="F25" s="67">
        <v>241740</v>
      </c>
      <c r="G25" s="416" t="s">
        <v>167</v>
      </c>
      <c r="H25" s="67">
        <f t="shared" si="7"/>
        <v>241740</v>
      </c>
      <c r="I25" s="417">
        <f t="shared" si="8"/>
        <v>0</v>
      </c>
      <c r="J25" s="416" t="s">
        <v>167</v>
      </c>
      <c r="K25" s="67">
        <f t="shared" si="9"/>
        <v>241740</v>
      </c>
      <c r="L25" s="3">
        <f t="shared" si="10"/>
        <v>20145</v>
      </c>
      <c r="M25" s="66">
        <f t="shared" si="11"/>
        <v>402.90000000000003</v>
      </c>
      <c r="O25" s="3">
        <f t="shared" si="12"/>
        <v>20145</v>
      </c>
      <c r="P25" s="66">
        <f t="shared" si="13"/>
        <v>402.90000000000003</v>
      </c>
    </row>
    <row r="26" spans="1:16" s="3" customFormat="1" ht="13.15" customHeight="1" outlineLevel="1">
      <c r="A26" s="293" t="s">
        <v>290</v>
      </c>
      <c r="B26" s="293" t="s">
        <v>290</v>
      </c>
      <c r="C26" s="423" t="s">
        <v>605</v>
      </c>
      <c r="D26" s="409" t="s">
        <v>245</v>
      </c>
      <c r="E26" s="416" t="s">
        <v>191</v>
      </c>
      <c r="F26" s="67">
        <v>195840</v>
      </c>
      <c r="G26" s="416" t="s">
        <v>191</v>
      </c>
      <c r="H26" s="67">
        <f t="shared" si="7"/>
        <v>195840</v>
      </c>
      <c r="I26" s="417">
        <f t="shared" si="8"/>
        <v>0</v>
      </c>
      <c r="J26" s="416" t="s">
        <v>191</v>
      </c>
      <c r="K26" s="67">
        <f t="shared" si="9"/>
        <v>195840</v>
      </c>
      <c r="L26" s="3">
        <f t="shared" si="10"/>
        <v>16320</v>
      </c>
      <c r="M26" s="66">
        <f t="shared" si="11"/>
        <v>326.40000000000003</v>
      </c>
      <c r="O26" s="3">
        <f t="shared" si="12"/>
        <v>16320</v>
      </c>
      <c r="P26" s="66">
        <f t="shared" si="13"/>
        <v>326.40000000000003</v>
      </c>
    </row>
    <row r="27" spans="1:16" s="3" customFormat="1" ht="13.15" customHeight="1" outlineLevel="1">
      <c r="A27" s="65" t="s">
        <v>283</v>
      </c>
      <c r="B27" s="65" t="s">
        <v>286</v>
      </c>
      <c r="C27" s="410" t="s">
        <v>604</v>
      </c>
      <c r="D27" s="414" t="s">
        <v>245</v>
      </c>
      <c r="E27" s="422" t="s">
        <v>215</v>
      </c>
      <c r="F27" s="67">
        <v>164160</v>
      </c>
      <c r="G27" s="422" t="s">
        <v>215</v>
      </c>
      <c r="H27" s="67">
        <f t="shared" si="7"/>
        <v>164160</v>
      </c>
      <c r="I27" s="417">
        <f t="shared" si="8"/>
        <v>0</v>
      </c>
      <c r="J27" s="422" t="s">
        <v>215</v>
      </c>
      <c r="K27" s="67">
        <f t="shared" si="9"/>
        <v>164160</v>
      </c>
      <c r="L27" s="3">
        <f t="shared" si="10"/>
        <v>13680</v>
      </c>
      <c r="M27" s="66">
        <f t="shared" si="11"/>
        <v>273.60000000000002</v>
      </c>
      <c r="O27" s="3">
        <f t="shared" si="12"/>
        <v>13680</v>
      </c>
      <c r="P27" s="66">
        <f t="shared" si="13"/>
        <v>273.60000000000002</v>
      </c>
    </row>
    <row r="28" spans="1:16" s="3" customFormat="1" ht="13.15" customHeight="1" outlineLevel="1">
      <c r="A28" s="65" t="s">
        <v>286</v>
      </c>
      <c r="B28" s="65" t="s">
        <v>283</v>
      </c>
      <c r="C28" s="421" t="s">
        <v>603</v>
      </c>
      <c r="D28" s="409" t="s">
        <v>602</v>
      </c>
      <c r="E28" s="416" t="s">
        <v>220</v>
      </c>
      <c r="F28" s="67">
        <v>158328</v>
      </c>
      <c r="G28" s="416" t="s">
        <v>220</v>
      </c>
      <c r="H28" s="67">
        <f t="shared" si="7"/>
        <v>158328</v>
      </c>
      <c r="I28" s="417">
        <f t="shared" si="8"/>
        <v>0</v>
      </c>
      <c r="J28" s="416" t="s">
        <v>220</v>
      </c>
      <c r="K28" s="67">
        <f t="shared" si="9"/>
        <v>158328</v>
      </c>
      <c r="L28" s="3">
        <f t="shared" si="10"/>
        <v>13194</v>
      </c>
      <c r="M28" s="66">
        <f t="shared" si="11"/>
        <v>263.88</v>
      </c>
      <c r="O28" s="3">
        <f t="shared" si="12"/>
        <v>13194</v>
      </c>
      <c r="P28" s="66">
        <f t="shared" si="13"/>
        <v>263.88</v>
      </c>
    </row>
    <row r="29" spans="1:16" s="3" customFormat="1" ht="13.15" customHeight="1" outlineLevel="1">
      <c r="A29" s="293" t="s">
        <v>280</v>
      </c>
      <c r="B29" s="293" t="s">
        <v>280</v>
      </c>
      <c r="C29" s="415" t="s">
        <v>483</v>
      </c>
      <c r="D29" s="414" t="s">
        <v>601</v>
      </c>
      <c r="E29" s="412" t="s">
        <v>230</v>
      </c>
      <c r="F29" s="67">
        <v>146928</v>
      </c>
      <c r="G29" s="412" t="s">
        <v>230</v>
      </c>
      <c r="H29" s="67">
        <f t="shared" si="7"/>
        <v>146928</v>
      </c>
      <c r="I29" s="413">
        <f t="shared" si="8"/>
        <v>0</v>
      </c>
      <c r="J29" s="412" t="s">
        <v>230</v>
      </c>
      <c r="K29" s="67">
        <f t="shared" si="9"/>
        <v>146928</v>
      </c>
      <c r="L29" s="3">
        <f t="shared" si="10"/>
        <v>12244</v>
      </c>
      <c r="M29" s="66">
        <f t="shared" si="11"/>
        <v>244.88</v>
      </c>
      <c r="O29" s="3">
        <f t="shared" si="12"/>
        <v>12244</v>
      </c>
      <c r="P29" s="66">
        <f t="shared" si="13"/>
        <v>244.88</v>
      </c>
    </row>
    <row r="30" spans="1:16" s="3" customFormat="1" ht="13.15" customHeight="1" outlineLevel="1">
      <c r="A30" s="293" t="s">
        <v>278</v>
      </c>
      <c r="B30" s="293" t="s">
        <v>278</v>
      </c>
      <c r="C30" s="415" t="s">
        <v>246</v>
      </c>
      <c r="D30" s="414" t="s">
        <v>600</v>
      </c>
      <c r="E30" s="412" t="s">
        <v>230</v>
      </c>
      <c r="F30" s="67">
        <v>146928</v>
      </c>
      <c r="G30" s="412" t="s">
        <v>229</v>
      </c>
      <c r="H30" s="67">
        <f t="shared" si="7"/>
        <v>148056</v>
      </c>
      <c r="I30" s="413">
        <f t="shared" si="8"/>
        <v>1128</v>
      </c>
      <c r="J30" s="412" t="s">
        <v>229</v>
      </c>
      <c r="K30" s="67">
        <f t="shared" si="9"/>
        <v>148056</v>
      </c>
      <c r="L30" s="3">
        <f t="shared" si="10"/>
        <v>12338</v>
      </c>
      <c r="M30" s="66">
        <f t="shared" si="11"/>
        <v>246.76000000000002</v>
      </c>
      <c r="O30" s="3">
        <f t="shared" si="12"/>
        <v>12338</v>
      </c>
      <c r="P30" s="66">
        <f t="shared" si="13"/>
        <v>246.76000000000002</v>
      </c>
    </row>
    <row r="31" spans="1:16" s="3" customFormat="1" ht="13.15" customHeight="1" outlineLevel="1">
      <c r="A31" s="293"/>
      <c r="B31" s="293"/>
      <c r="C31" s="420" t="s">
        <v>599</v>
      </c>
      <c r="D31" s="420"/>
      <c r="E31" s="419"/>
      <c r="F31" s="67" t="s">
        <v>256</v>
      </c>
      <c r="G31" s="419"/>
      <c r="H31" s="67" t="s">
        <v>256</v>
      </c>
      <c r="I31" s="413"/>
      <c r="J31" s="419"/>
      <c r="K31" s="67"/>
      <c r="M31" s="66"/>
      <c r="P31" s="66"/>
    </row>
    <row r="32" spans="1:16" s="3" customFormat="1" ht="13.15" customHeight="1" outlineLevel="1">
      <c r="A32" s="293" t="s">
        <v>275</v>
      </c>
      <c r="B32" s="293"/>
      <c r="C32" s="415" t="s">
        <v>598</v>
      </c>
      <c r="D32" s="414" t="s">
        <v>245</v>
      </c>
      <c r="E32" s="412" t="s">
        <v>70</v>
      </c>
      <c r="F32" s="67">
        <v>792084</v>
      </c>
      <c r="G32" s="412" t="s">
        <v>597</v>
      </c>
      <c r="H32" s="418"/>
      <c r="I32" s="413">
        <f t="shared" ref="I32:I38" si="14">SUM(H32-F32)</f>
        <v>-792084</v>
      </c>
      <c r="J32" s="412" t="s">
        <v>597</v>
      </c>
      <c r="K32" s="67">
        <f t="shared" ref="K32:K38" si="15">IF(J32="ABOLISHED",0, (VLOOKUP(J32,$A$49:$C$288,3,FALSE)*12))</f>
        <v>0</v>
      </c>
      <c r="L32" s="3">
        <f t="shared" ref="L32:L38" si="16">SUM(H32/12)</f>
        <v>0</v>
      </c>
      <c r="M32" s="66">
        <f t="shared" ref="M32:M38" si="17">IF(L32&gt;=80000,1600,SUM(L32*4%)/2)</f>
        <v>0</v>
      </c>
      <c r="O32" s="3">
        <f t="shared" ref="O32:O38" si="18">SUM(K32/12)</f>
        <v>0</v>
      </c>
      <c r="P32" s="66">
        <f t="shared" ref="P32:P38" si="19">IF(O32&gt;=80000,1600,SUM(O32*4%)/2)</f>
        <v>0</v>
      </c>
    </row>
    <row r="33" spans="1:16" s="3" customFormat="1" ht="13.15" customHeight="1" outlineLevel="1">
      <c r="A33" s="65" t="s">
        <v>272</v>
      </c>
      <c r="B33" s="293" t="s">
        <v>275</v>
      </c>
      <c r="C33" s="410" t="s">
        <v>596</v>
      </c>
      <c r="D33" s="414" t="s">
        <v>595</v>
      </c>
      <c r="E33" s="416" t="s">
        <v>159</v>
      </c>
      <c r="F33" s="67">
        <v>272196</v>
      </c>
      <c r="G33" s="416" t="s">
        <v>159</v>
      </c>
      <c r="H33" s="67">
        <f t="shared" ref="H33:H38" si="20">IF(G33="ABOLISHED",0, (VLOOKUP(G33,$A$49:$C$288,2,FALSE)*12))</f>
        <v>272196</v>
      </c>
      <c r="I33" s="417">
        <f t="shared" si="14"/>
        <v>0</v>
      </c>
      <c r="J33" s="416" t="s">
        <v>159</v>
      </c>
      <c r="K33" s="67">
        <f t="shared" si="15"/>
        <v>272196</v>
      </c>
      <c r="L33" s="3">
        <f t="shared" si="16"/>
        <v>22683</v>
      </c>
      <c r="M33" s="66">
        <f t="shared" si="17"/>
        <v>453.66</v>
      </c>
      <c r="O33" s="3">
        <f t="shared" si="18"/>
        <v>22683</v>
      </c>
      <c r="P33" s="66">
        <f t="shared" si="19"/>
        <v>453.66</v>
      </c>
    </row>
    <row r="34" spans="1:16" s="3" customFormat="1" ht="13.15" customHeight="1" outlineLevel="1">
      <c r="A34" s="293" t="s">
        <v>268</v>
      </c>
      <c r="B34" s="65" t="s">
        <v>272</v>
      </c>
      <c r="C34" s="415" t="s">
        <v>594</v>
      </c>
      <c r="D34" s="414" t="s">
        <v>245</v>
      </c>
      <c r="E34" s="412" t="s">
        <v>179</v>
      </c>
      <c r="F34" s="67">
        <v>215688</v>
      </c>
      <c r="G34" s="412" t="s">
        <v>183</v>
      </c>
      <c r="H34" s="67">
        <f t="shared" si="20"/>
        <v>208056</v>
      </c>
      <c r="I34" s="413">
        <f t="shared" si="14"/>
        <v>-7632</v>
      </c>
      <c r="J34" s="412" t="s">
        <v>183</v>
      </c>
      <c r="K34" s="67">
        <f t="shared" si="15"/>
        <v>208056</v>
      </c>
      <c r="L34" s="3">
        <f t="shared" si="16"/>
        <v>17338</v>
      </c>
      <c r="M34" s="66">
        <f t="shared" si="17"/>
        <v>346.76</v>
      </c>
      <c r="O34" s="3">
        <f t="shared" si="18"/>
        <v>17338</v>
      </c>
      <c r="P34" s="66">
        <f t="shared" si="19"/>
        <v>346.76</v>
      </c>
    </row>
    <row r="35" spans="1:16" s="3" customFormat="1" ht="13.15" customHeight="1" outlineLevel="1">
      <c r="A35" s="293" t="s">
        <v>265</v>
      </c>
      <c r="B35" s="293" t="s">
        <v>268</v>
      </c>
      <c r="C35" s="415" t="s">
        <v>593</v>
      </c>
      <c r="D35" s="414" t="s">
        <v>592</v>
      </c>
      <c r="E35" s="412" t="s">
        <v>198</v>
      </c>
      <c r="F35" s="67">
        <v>186108</v>
      </c>
      <c r="G35" s="412" t="s">
        <v>198</v>
      </c>
      <c r="H35" s="67">
        <f t="shared" si="20"/>
        <v>186108</v>
      </c>
      <c r="I35" s="413">
        <f t="shared" si="14"/>
        <v>0</v>
      </c>
      <c r="J35" s="412" t="s">
        <v>198</v>
      </c>
      <c r="K35" s="67">
        <f t="shared" si="15"/>
        <v>186108</v>
      </c>
      <c r="L35" s="3">
        <f t="shared" si="16"/>
        <v>15509</v>
      </c>
      <c r="M35" s="66">
        <f t="shared" si="17"/>
        <v>310.18</v>
      </c>
      <c r="O35" s="3">
        <f t="shared" si="18"/>
        <v>15509</v>
      </c>
      <c r="P35" s="66">
        <f t="shared" si="19"/>
        <v>310.18</v>
      </c>
    </row>
    <row r="36" spans="1:16" s="3" customFormat="1" ht="13.15" customHeight="1" outlineLevel="1">
      <c r="A36" s="293" t="s">
        <v>294</v>
      </c>
      <c r="B36" s="293" t="s">
        <v>265</v>
      </c>
      <c r="C36" s="415" t="s">
        <v>591</v>
      </c>
      <c r="D36" s="414" t="s">
        <v>245</v>
      </c>
      <c r="E36" s="412"/>
      <c r="F36" s="67"/>
      <c r="G36" s="412" t="s">
        <v>199</v>
      </c>
      <c r="H36" s="67">
        <f t="shared" si="20"/>
        <v>184680</v>
      </c>
      <c r="I36" s="413">
        <f t="shared" si="14"/>
        <v>184680</v>
      </c>
      <c r="J36" s="412" t="s">
        <v>199</v>
      </c>
      <c r="K36" s="67">
        <f t="shared" si="15"/>
        <v>184680</v>
      </c>
      <c r="L36" s="3">
        <f t="shared" si="16"/>
        <v>15390</v>
      </c>
      <c r="M36" s="66">
        <f t="shared" si="17"/>
        <v>307.8</v>
      </c>
      <c r="O36" s="3">
        <f t="shared" si="18"/>
        <v>15390</v>
      </c>
      <c r="P36" s="66">
        <f t="shared" si="19"/>
        <v>307.8</v>
      </c>
    </row>
    <row r="37" spans="1:16" s="3" customFormat="1" ht="13.15" customHeight="1" outlineLevel="1">
      <c r="A37" s="293" t="s">
        <v>262</v>
      </c>
      <c r="B37" s="293" t="s">
        <v>262</v>
      </c>
      <c r="C37" s="415" t="s">
        <v>590</v>
      </c>
      <c r="D37" s="414" t="s">
        <v>589</v>
      </c>
      <c r="E37" s="412" t="s">
        <v>212</v>
      </c>
      <c r="F37" s="67">
        <v>167976</v>
      </c>
      <c r="G37" s="412" t="s">
        <v>211</v>
      </c>
      <c r="H37" s="67">
        <f t="shared" si="20"/>
        <v>169272</v>
      </c>
      <c r="I37" s="413">
        <f t="shared" si="14"/>
        <v>1296</v>
      </c>
      <c r="J37" s="412" t="s">
        <v>211</v>
      </c>
      <c r="K37" s="67">
        <f t="shared" si="15"/>
        <v>169272</v>
      </c>
      <c r="L37" s="3">
        <f t="shared" si="16"/>
        <v>14106</v>
      </c>
      <c r="M37" s="66">
        <f t="shared" si="17"/>
        <v>282.12</v>
      </c>
      <c r="O37" s="3">
        <f t="shared" si="18"/>
        <v>14106</v>
      </c>
      <c r="P37" s="66">
        <f t="shared" si="19"/>
        <v>282.12</v>
      </c>
    </row>
    <row r="38" spans="1:16" s="3" customFormat="1" ht="13.15" customHeight="1" outlineLevel="1">
      <c r="A38" s="411" t="s">
        <v>260</v>
      </c>
      <c r="B38" s="293" t="s">
        <v>260</v>
      </c>
      <c r="C38" s="410" t="s">
        <v>588</v>
      </c>
      <c r="D38" s="409" t="s">
        <v>245</v>
      </c>
      <c r="E38" s="407" t="s">
        <v>215</v>
      </c>
      <c r="F38" s="59">
        <v>164160</v>
      </c>
      <c r="G38" s="407" t="s">
        <v>215</v>
      </c>
      <c r="H38" s="59">
        <f t="shared" si="20"/>
        <v>164160</v>
      </c>
      <c r="I38" s="408">
        <f t="shared" si="14"/>
        <v>0</v>
      </c>
      <c r="J38" s="407" t="s">
        <v>215</v>
      </c>
      <c r="K38" s="59">
        <f t="shared" si="15"/>
        <v>164160</v>
      </c>
      <c r="L38" s="3">
        <f t="shared" si="16"/>
        <v>13680</v>
      </c>
      <c r="M38" s="57">
        <f t="shared" si="17"/>
        <v>273.60000000000002</v>
      </c>
      <c r="O38" s="3">
        <f t="shared" si="18"/>
        <v>13680</v>
      </c>
      <c r="P38" s="57">
        <f t="shared" si="19"/>
        <v>273.60000000000002</v>
      </c>
    </row>
    <row r="39" spans="1:16" ht="16.149999999999999" customHeight="1">
      <c r="A39" s="406"/>
      <c r="B39" s="288" t="str">
        <f>B38</f>
        <v>20</v>
      </c>
      <c r="C39" s="54"/>
      <c r="D39" s="53" t="s">
        <v>244</v>
      </c>
      <c r="E39" s="53"/>
      <c r="F39" s="405">
        <f>SUM(F14:F38)</f>
        <v>6796824</v>
      </c>
      <c r="G39" s="51"/>
      <c r="H39" s="50">
        <f>SUM(H14:H38)</f>
        <v>5563824</v>
      </c>
      <c r="I39" s="287">
        <f>SUM(I14:I38)</f>
        <v>-1233000</v>
      </c>
      <c r="J39" s="404"/>
      <c r="K39" s="48">
        <f>SUM(K14:K38)</f>
        <v>5563824</v>
      </c>
      <c r="L39" s="42"/>
      <c r="M39" s="39">
        <f>SUM(M14:M38)</f>
        <v>8994.2000000000007</v>
      </c>
      <c r="O39" s="42"/>
      <c r="P39" s="39">
        <f>SUM(P14:P38)</f>
        <v>8994.2000000000007</v>
      </c>
    </row>
    <row r="40" spans="1:16" ht="16.149999999999999" hidden="1" customHeight="1">
      <c r="A40" s="46"/>
      <c r="B40" s="46"/>
      <c r="C40" s="39"/>
      <c r="D40" s="45"/>
      <c r="E40" s="45"/>
      <c r="F40" s="44"/>
      <c r="G40" s="18"/>
      <c r="H40" s="403" t="s">
        <v>587</v>
      </c>
      <c r="I40" s="42"/>
      <c r="J40" s="41"/>
      <c r="K40" s="41"/>
      <c r="L40" s="42"/>
      <c r="M40" s="39">
        <v>12</v>
      </c>
      <c r="O40" s="42"/>
      <c r="P40" s="39">
        <v>12</v>
      </c>
    </row>
    <row r="41" spans="1:16" ht="14.25" hidden="1" customHeight="1" thickBot="1">
      <c r="E41" s="279"/>
      <c r="M41" s="30">
        <f>ROUNDUP(SUM(M39*M40),0)</f>
        <v>107931</v>
      </c>
      <c r="P41" s="30">
        <f>ROUNDUP(SUM(P39*P40),0)</f>
        <v>107931</v>
      </c>
    </row>
    <row r="42" spans="1:16" ht="14.25" hidden="1" customHeight="1" thickTop="1">
      <c r="E42" s="279"/>
    </row>
    <row r="43" spans="1:16" ht="14.25" hidden="1" customHeight="1">
      <c r="E43" s="279"/>
    </row>
    <row r="44" spans="1:16" ht="14.25" hidden="1" customHeight="1">
      <c r="E44" s="279"/>
    </row>
    <row r="45" spans="1:16" ht="14.25" hidden="1" customHeight="1">
      <c r="E45" s="279"/>
    </row>
    <row r="46" spans="1:16" ht="14.25" hidden="1" customHeight="1">
      <c r="A46" s="4636" t="s">
        <v>586</v>
      </c>
      <c r="B46" s="4636"/>
      <c r="C46" s="273"/>
      <c r="D46" s="3"/>
      <c r="E46" s="279"/>
    </row>
    <row r="47" spans="1:16" hidden="1">
      <c r="A47" s="4637" t="s">
        <v>475</v>
      </c>
      <c r="B47" s="4638"/>
      <c r="C47" s="26"/>
      <c r="D47" s="3"/>
    </row>
    <row r="48" spans="1:16" ht="15" hidden="1">
      <c r="A48" s="25" t="s">
        <v>242</v>
      </c>
      <c r="B48" s="24" t="s">
        <v>241</v>
      </c>
      <c r="C48" s="23" t="s">
        <v>585</v>
      </c>
      <c r="D48" s="3"/>
    </row>
    <row r="49" spans="1:11" hidden="1">
      <c r="A49" s="21" t="s">
        <v>239</v>
      </c>
      <c r="B49" s="22">
        <v>11432</v>
      </c>
      <c r="C49" s="22">
        <v>11432</v>
      </c>
      <c r="D49" s="8"/>
      <c r="E49" s="402"/>
      <c r="F49" s="401"/>
      <c r="G49" s="17"/>
      <c r="H49" s="14"/>
      <c r="I49" s="14"/>
      <c r="J49" s="13"/>
      <c r="K49" s="13"/>
    </row>
    <row r="50" spans="1:11" hidden="1">
      <c r="A50" s="12" t="s">
        <v>238</v>
      </c>
      <c r="B50" s="22">
        <v>11527</v>
      </c>
      <c r="C50" s="22">
        <v>11527</v>
      </c>
      <c r="D50" s="8"/>
      <c r="E50" s="402"/>
      <c r="F50" s="401"/>
      <c r="G50" s="17"/>
      <c r="H50" s="14"/>
      <c r="I50" s="14"/>
      <c r="J50" s="13"/>
      <c r="K50" s="13"/>
    </row>
    <row r="51" spans="1:11" hidden="1">
      <c r="A51" s="21" t="s">
        <v>237</v>
      </c>
      <c r="B51" s="22">
        <v>11624</v>
      </c>
      <c r="C51" s="22">
        <v>11624</v>
      </c>
      <c r="D51" s="8"/>
      <c r="E51" s="402"/>
      <c r="F51" s="401"/>
      <c r="G51" s="17"/>
    </row>
    <row r="52" spans="1:11" hidden="1">
      <c r="A52" s="12" t="s">
        <v>236</v>
      </c>
      <c r="B52" s="22">
        <v>11722</v>
      </c>
      <c r="C52" s="22">
        <v>11722</v>
      </c>
      <c r="D52" s="8"/>
      <c r="E52" s="402"/>
      <c r="F52" s="401"/>
      <c r="G52" s="17"/>
      <c r="H52" s="14"/>
    </row>
    <row r="53" spans="1:11" hidden="1">
      <c r="A53" s="21" t="s">
        <v>235</v>
      </c>
      <c r="B53" s="22">
        <v>11820</v>
      </c>
      <c r="C53" s="22">
        <v>11820</v>
      </c>
      <c r="D53" s="8"/>
      <c r="E53" s="402"/>
      <c r="F53" s="401"/>
      <c r="G53" s="17"/>
      <c r="H53" s="14"/>
      <c r="I53" s="14"/>
      <c r="J53" s="13"/>
      <c r="K53" s="13"/>
    </row>
    <row r="54" spans="1:11" hidden="1">
      <c r="A54" s="12" t="s">
        <v>234</v>
      </c>
      <c r="B54" s="22">
        <v>11918</v>
      </c>
      <c r="C54" s="22">
        <v>11918</v>
      </c>
      <c r="D54" s="8"/>
      <c r="E54" s="402"/>
      <c r="F54" s="401"/>
      <c r="G54" s="17"/>
      <c r="H54" s="14"/>
    </row>
    <row r="55" spans="1:11" hidden="1">
      <c r="A55" s="21" t="s">
        <v>233</v>
      </c>
      <c r="B55" s="22">
        <v>12018</v>
      </c>
      <c r="C55" s="22">
        <v>12018</v>
      </c>
      <c r="D55" s="8"/>
      <c r="E55" s="402"/>
      <c r="F55" s="401"/>
      <c r="G55" s="14"/>
      <c r="H55" s="14"/>
    </row>
    <row r="56" spans="1:11" hidden="1">
      <c r="A56" s="12" t="s">
        <v>232</v>
      </c>
      <c r="B56" s="22">
        <v>12118</v>
      </c>
      <c r="C56" s="22">
        <v>12118</v>
      </c>
      <c r="D56" s="8"/>
      <c r="E56" s="402"/>
      <c r="F56" s="401"/>
      <c r="G56" s="14"/>
      <c r="H56" s="14"/>
      <c r="I56" s="14"/>
      <c r="J56" s="13"/>
      <c r="K56" s="13"/>
    </row>
    <row r="57" spans="1:11" hidden="1">
      <c r="A57" s="20" t="s">
        <v>231</v>
      </c>
      <c r="B57" s="9">
        <v>12151</v>
      </c>
      <c r="C57" s="9">
        <v>12151</v>
      </c>
      <c r="D57" s="8"/>
      <c r="E57" s="19"/>
      <c r="F57" s="401"/>
      <c r="G57" s="14"/>
      <c r="H57" s="14"/>
    </row>
    <row r="58" spans="1:11" hidden="1">
      <c r="A58" s="10" t="s">
        <v>230</v>
      </c>
      <c r="B58" s="9">
        <v>12244</v>
      </c>
      <c r="C58" s="9">
        <v>12244</v>
      </c>
      <c r="D58" s="8"/>
      <c r="E58" s="19"/>
      <c r="F58" s="401"/>
      <c r="G58" s="14"/>
      <c r="H58" s="14"/>
      <c r="I58" s="14"/>
      <c r="J58" s="13"/>
      <c r="K58" s="13"/>
    </row>
    <row r="59" spans="1:11" hidden="1">
      <c r="A59" s="20" t="s">
        <v>229</v>
      </c>
      <c r="B59" s="9">
        <v>12338</v>
      </c>
      <c r="C59" s="9">
        <v>12338</v>
      </c>
      <c r="D59" s="8"/>
      <c r="E59" s="19"/>
      <c r="F59" s="401"/>
      <c r="G59" s="14"/>
    </row>
    <row r="60" spans="1:11" hidden="1">
      <c r="A60" s="10" t="s">
        <v>228</v>
      </c>
      <c r="B60" s="9">
        <v>12433</v>
      </c>
      <c r="C60" s="9">
        <v>12433</v>
      </c>
      <c r="D60" s="8"/>
      <c r="E60" s="19"/>
      <c r="F60" s="401"/>
      <c r="G60" s="14"/>
      <c r="H60" s="14"/>
    </row>
    <row r="61" spans="1:11" hidden="1">
      <c r="A61" s="20" t="s">
        <v>227</v>
      </c>
      <c r="B61" s="9">
        <v>12528</v>
      </c>
      <c r="C61" s="9">
        <v>12528</v>
      </c>
      <c r="D61" s="8"/>
      <c r="E61" s="19"/>
      <c r="F61" s="401"/>
      <c r="G61" s="14"/>
      <c r="H61" s="14"/>
      <c r="I61" s="14"/>
      <c r="J61" s="13"/>
      <c r="K61" s="13"/>
    </row>
    <row r="62" spans="1:11" hidden="1">
      <c r="A62" s="10" t="s">
        <v>226</v>
      </c>
      <c r="B62" s="9">
        <v>12624</v>
      </c>
      <c r="C62" s="9">
        <v>12624</v>
      </c>
      <c r="D62" s="8"/>
      <c r="E62" s="19"/>
      <c r="F62" s="401"/>
      <c r="G62" s="14"/>
      <c r="H62" s="14"/>
      <c r="I62" s="14"/>
      <c r="J62" s="13"/>
      <c r="K62" s="13"/>
    </row>
    <row r="63" spans="1:11" hidden="1">
      <c r="A63" s="20" t="s">
        <v>225</v>
      </c>
      <c r="B63" s="9">
        <v>12721</v>
      </c>
      <c r="C63" s="9">
        <v>12721</v>
      </c>
      <c r="D63" s="8"/>
      <c r="E63" s="19"/>
      <c r="F63" s="401"/>
      <c r="G63" s="14"/>
      <c r="H63" s="14"/>
      <c r="I63" s="14"/>
      <c r="J63" s="13"/>
      <c r="K63" s="13"/>
    </row>
    <row r="64" spans="1:11" hidden="1">
      <c r="A64" s="10" t="s">
        <v>224</v>
      </c>
      <c r="B64" s="9">
        <v>12818</v>
      </c>
      <c r="C64" s="9">
        <v>12818</v>
      </c>
      <c r="D64" s="8"/>
      <c r="E64" s="19"/>
      <c r="F64" s="401"/>
      <c r="G64" s="14"/>
      <c r="H64" s="14"/>
    </row>
    <row r="65" spans="1:11" hidden="1">
      <c r="A65" s="21" t="s">
        <v>223</v>
      </c>
      <c r="B65" s="11">
        <v>12893</v>
      </c>
      <c r="C65" s="11">
        <v>12893</v>
      </c>
      <c r="D65" s="8"/>
      <c r="E65" s="402"/>
      <c r="F65" s="401"/>
      <c r="G65" s="14"/>
      <c r="H65" s="14"/>
    </row>
    <row r="66" spans="1:11" hidden="1">
      <c r="A66" s="12" t="s">
        <v>222</v>
      </c>
      <c r="B66" s="11">
        <v>12993</v>
      </c>
      <c r="C66" s="11">
        <v>12993</v>
      </c>
      <c r="D66" s="8"/>
      <c r="E66" s="402"/>
      <c r="F66" s="401"/>
      <c r="G66" s="14"/>
      <c r="H66" s="14"/>
      <c r="I66" s="14"/>
      <c r="J66" s="13"/>
      <c r="K66" s="13"/>
    </row>
    <row r="67" spans="1:11" hidden="1">
      <c r="A67" s="21" t="s">
        <v>221</v>
      </c>
      <c r="B67" s="11">
        <v>13092</v>
      </c>
      <c r="C67" s="11">
        <v>13092</v>
      </c>
      <c r="D67" s="8"/>
      <c r="E67" s="402"/>
      <c r="F67" s="401"/>
      <c r="G67" s="14"/>
      <c r="H67" s="14"/>
      <c r="I67" s="14"/>
      <c r="J67" s="13"/>
      <c r="K67" s="13"/>
    </row>
    <row r="68" spans="1:11" hidden="1">
      <c r="A68" s="12" t="s">
        <v>220</v>
      </c>
      <c r="B68" s="11">
        <v>13194</v>
      </c>
      <c r="C68" s="11">
        <v>13194</v>
      </c>
      <c r="D68" s="8"/>
      <c r="E68" s="402"/>
      <c r="F68" s="401"/>
      <c r="G68" s="14"/>
      <c r="H68" s="14"/>
    </row>
    <row r="69" spans="1:11" hidden="1">
      <c r="A69" s="21" t="s">
        <v>219</v>
      </c>
      <c r="B69" s="11">
        <v>13295</v>
      </c>
      <c r="C69" s="11">
        <v>13295</v>
      </c>
      <c r="D69" s="8"/>
      <c r="E69" s="402"/>
      <c r="F69" s="401"/>
      <c r="G69" s="14"/>
      <c r="H69" s="14"/>
      <c r="I69" s="14"/>
      <c r="J69" s="13"/>
      <c r="K69" s="13"/>
    </row>
    <row r="70" spans="1:11" hidden="1">
      <c r="A70" s="12" t="s">
        <v>218</v>
      </c>
      <c r="B70" s="11">
        <v>13396</v>
      </c>
      <c r="C70" s="11">
        <v>13396</v>
      </c>
      <c r="D70" s="8"/>
      <c r="E70" s="402"/>
      <c r="F70" s="401"/>
      <c r="G70" s="14"/>
      <c r="H70" s="14"/>
    </row>
    <row r="71" spans="1:11" hidden="1">
      <c r="A71" s="21" t="s">
        <v>217</v>
      </c>
      <c r="B71" s="11">
        <v>13500</v>
      </c>
      <c r="C71" s="11">
        <v>13500</v>
      </c>
      <c r="D71" s="8"/>
      <c r="E71" s="402"/>
      <c r="F71" s="401"/>
      <c r="G71" s="14"/>
      <c r="H71" s="14"/>
    </row>
    <row r="72" spans="1:11" hidden="1">
      <c r="A72" s="12" t="s">
        <v>216</v>
      </c>
      <c r="B72" s="11">
        <v>13603</v>
      </c>
      <c r="C72" s="11">
        <v>13603</v>
      </c>
      <c r="D72" s="8"/>
      <c r="E72" s="402"/>
      <c r="F72" s="401"/>
      <c r="G72" s="14"/>
      <c r="H72" s="14"/>
      <c r="I72" s="14"/>
      <c r="J72" s="13"/>
      <c r="K72" s="13"/>
    </row>
    <row r="73" spans="1:11" hidden="1">
      <c r="A73" s="20" t="s">
        <v>215</v>
      </c>
      <c r="B73" s="9">
        <v>13680</v>
      </c>
      <c r="C73" s="9">
        <v>13680</v>
      </c>
      <c r="D73" s="8"/>
      <c r="E73" s="402"/>
      <c r="F73" s="401"/>
    </row>
    <row r="74" spans="1:11" hidden="1">
      <c r="A74" s="10" t="s">
        <v>214</v>
      </c>
      <c r="B74" s="9">
        <v>13785</v>
      </c>
      <c r="C74" s="9">
        <v>13785</v>
      </c>
      <c r="D74" s="8"/>
      <c r="E74" s="402"/>
      <c r="F74" s="401"/>
    </row>
    <row r="75" spans="1:11" hidden="1">
      <c r="A75" s="20" t="s">
        <v>213</v>
      </c>
      <c r="B75" s="9">
        <v>13891</v>
      </c>
      <c r="C75" s="9">
        <v>13891</v>
      </c>
      <c r="D75" s="8"/>
      <c r="E75" s="402"/>
      <c r="F75" s="401"/>
    </row>
    <row r="76" spans="1:11" hidden="1">
      <c r="A76" s="10" t="s">
        <v>212</v>
      </c>
      <c r="B76" s="9">
        <v>13998</v>
      </c>
      <c r="C76" s="9">
        <v>13998</v>
      </c>
      <c r="D76" s="8"/>
      <c r="E76" s="402"/>
      <c r="F76" s="401"/>
    </row>
    <row r="77" spans="1:11" hidden="1">
      <c r="A77" s="20" t="s">
        <v>211</v>
      </c>
      <c r="B77" s="9">
        <v>14106</v>
      </c>
      <c r="C77" s="9">
        <v>14106</v>
      </c>
      <c r="D77" s="8"/>
      <c r="E77" s="402"/>
      <c r="F77" s="401"/>
    </row>
    <row r="78" spans="1:11" hidden="1">
      <c r="A78" s="10" t="s">
        <v>210</v>
      </c>
      <c r="B78" s="9">
        <v>14213</v>
      </c>
      <c r="C78" s="9">
        <v>14213</v>
      </c>
      <c r="D78" s="8"/>
      <c r="E78" s="402"/>
      <c r="F78" s="401"/>
    </row>
    <row r="79" spans="1:11" hidden="1">
      <c r="A79" s="20" t="s">
        <v>209</v>
      </c>
      <c r="B79" s="9">
        <v>14323</v>
      </c>
      <c r="C79" s="9">
        <v>14323</v>
      </c>
      <c r="D79" s="8"/>
      <c r="E79" s="402"/>
      <c r="F79" s="401"/>
    </row>
    <row r="80" spans="1:11" hidden="1">
      <c r="A80" s="10" t="s">
        <v>208</v>
      </c>
      <c r="B80" s="9">
        <v>14432</v>
      </c>
      <c r="C80" s="9">
        <v>14432</v>
      </c>
      <c r="D80" s="8"/>
      <c r="E80" s="402"/>
      <c r="F80" s="401"/>
    </row>
    <row r="81" spans="1:11" hidden="1">
      <c r="A81" s="12" t="s">
        <v>207</v>
      </c>
      <c r="B81" s="11">
        <v>14511</v>
      </c>
      <c r="C81" s="11">
        <v>14511</v>
      </c>
      <c r="D81" s="8"/>
      <c r="E81" s="402"/>
      <c r="F81" s="401"/>
      <c r="G81" s="14"/>
      <c r="H81" s="14"/>
      <c r="I81" s="14"/>
      <c r="J81" s="13"/>
      <c r="K81" s="13"/>
    </row>
    <row r="82" spans="1:11" hidden="1">
      <c r="A82" s="12" t="s">
        <v>206</v>
      </c>
      <c r="B82" s="11">
        <v>14623</v>
      </c>
      <c r="C82" s="11">
        <v>14623</v>
      </c>
      <c r="D82" s="8"/>
      <c r="E82" s="402"/>
      <c r="F82" s="401"/>
      <c r="G82" s="14"/>
      <c r="H82" s="14"/>
    </row>
    <row r="83" spans="1:11" hidden="1">
      <c r="A83" s="12" t="s">
        <v>205</v>
      </c>
      <c r="B83" s="11">
        <v>14735</v>
      </c>
      <c r="C83" s="11">
        <v>14735</v>
      </c>
      <c r="D83" s="8"/>
      <c r="E83" s="402"/>
      <c r="F83" s="401"/>
      <c r="G83" s="14"/>
      <c r="H83" s="14"/>
    </row>
    <row r="84" spans="1:11" hidden="1">
      <c r="A84" s="12" t="s">
        <v>204</v>
      </c>
      <c r="B84" s="11">
        <v>14849</v>
      </c>
      <c r="C84" s="11">
        <v>14849</v>
      </c>
      <c r="D84" s="8"/>
      <c r="E84" s="402"/>
      <c r="F84" s="401"/>
      <c r="G84" s="14"/>
      <c r="H84" s="14"/>
    </row>
    <row r="85" spans="1:11" hidden="1">
      <c r="A85" s="12" t="s">
        <v>203</v>
      </c>
      <c r="B85" s="11">
        <v>14963</v>
      </c>
      <c r="C85" s="11">
        <v>14963</v>
      </c>
      <c r="D85" s="8"/>
      <c r="E85" s="402"/>
      <c r="F85" s="401"/>
      <c r="G85" s="14"/>
      <c r="H85" s="14"/>
    </row>
    <row r="86" spans="1:11" hidden="1">
      <c r="A86" s="12" t="s">
        <v>202</v>
      </c>
      <c r="B86" s="11">
        <v>15077</v>
      </c>
      <c r="C86" s="11">
        <v>15077</v>
      </c>
      <c r="D86" s="8"/>
      <c r="E86" s="402"/>
      <c r="F86" s="401"/>
      <c r="G86" s="14"/>
      <c r="H86" s="14"/>
      <c r="I86" s="14"/>
      <c r="J86" s="13"/>
      <c r="K86" s="13"/>
    </row>
    <row r="87" spans="1:11" hidden="1">
      <c r="A87" s="12" t="s">
        <v>201</v>
      </c>
      <c r="B87" s="11">
        <v>15193</v>
      </c>
      <c r="C87" s="11">
        <v>15193</v>
      </c>
      <c r="D87" s="8"/>
      <c r="E87" s="402"/>
      <c r="F87" s="401"/>
      <c r="G87" s="14"/>
      <c r="H87" s="14"/>
      <c r="I87" s="14"/>
      <c r="J87" s="13"/>
      <c r="K87" s="13"/>
    </row>
    <row r="88" spans="1:11" hidden="1">
      <c r="A88" s="12" t="s">
        <v>200</v>
      </c>
      <c r="B88" s="11">
        <v>15309</v>
      </c>
      <c r="C88" s="11">
        <v>15309</v>
      </c>
      <c r="D88" s="8"/>
      <c r="E88" s="402"/>
      <c r="F88" s="401"/>
      <c r="G88" s="14"/>
      <c r="H88" s="14"/>
    </row>
    <row r="89" spans="1:11" hidden="1">
      <c r="A89" s="10" t="s">
        <v>199</v>
      </c>
      <c r="B89" s="9">
        <v>15390</v>
      </c>
      <c r="C89" s="9">
        <v>15390</v>
      </c>
      <c r="D89" s="8"/>
      <c r="E89" s="402"/>
      <c r="F89" s="401"/>
      <c r="G89" s="14"/>
      <c r="H89" s="14"/>
      <c r="I89" s="14"/>
      <c r="J89" s="13"/>
      <c r="K89" s="13"/>
    </row>
    <row r="90" spans="1:11" hidden="1">
      <c r="A90" s="10" t="s">
        <v>198</v>
      </c>
      <c r="B90" s="9">
        <v>15509</v>
      </c>
      <c r="C90" s="9">
        <v>15509</v>
      </c>
      <c r="D90" s="8"/>
      <c r="E90" s="402"/>
      <c r="F90" s="401"/>
      <c r="G90" s="14"/>
      <c r="H90" s="14"/>
      <c r="I90" s="14"/>
      <c r="J90" s="13"/>
      <c r="K90" s="13"/>
    </row>
    <row r="91" spans="1:11" hidden="1">
      <c r="A91" s="10" t="s">
        <v>197</v>
      </c>
      <c r="B91" s="9">
        <v>15628</v>
      </c>
      <c r="C91" s="9">
        <v>15628</v>
      </c>
      <c r="D91" s="8"/>
      <c r="E91" s="402"/>
      <c r="F91" s="401"/>
      <c r="G91" s="14"/>
      <c r="H91" s="14"/>
      <c r="I91" s="14"/>
      <c r="J91" s="13"/>
      <c r="K91" s="13"/>
    </row>
    <row r="92" spans="1:11" hidden="1">
      <c r="A92" s="10" t="s">
        <v>196</v>
      </c>
      <c r="B92" s="9">
        <v>15748</v>
      </c>
      <c r="C92" s="9">
        <v>15748</v>
      </c>
      <c r="D92" s="8"/>
      <c r="E92" s="402"/>
      <c r="F92" s="401"/>
      <c r="G92" s="14"/>
      <c r="H92" s="14"/>
      <c r="I92" s="14"/>
      <c r="J92" s="13"/>
      <c r="K92" s="13"/>
    </row>
    <row r="93" spans="1:11" hidden="1">
      <c r="A93" s="10" t="s">
        <v>195</v>
      </c>
      <c r="B93" s="9">
        <v>15869</v>
      </c>
      <c r="C93" s="9">
        <v>15869</v>
      </c>
      <c r="D93" s="8"/>
      <c r="E93" s="402"/>
      <c r="F93" s="401"/>
      <c r="G93" s="14"/>
      <c r="H93" s="14"/>
      <c r="I93" s="14"/>
      <c r="J93" s="13"/>
      <c r="K93" s="13"/>
    </row>
    <row r="94" spans="1:11" hidden="1">
      <c r="A94" s="10" t="s">
        <v>194</v>
      </c>
      <c r="B94" s="9">
        <v>15990</v>
      </c>
      <c r="C94" s="9">
        <v>15990</v>
      </c>
      <c r="D94" s="8"/>
      <c r="E94" s="402"/>
      <c r="F94" s="401"/>
      <c r="G94" s="14"/>
      <c r="H94" s="14"/>
    </row>
    <row r="95" spans="1:11" hidden="1">
      <c r="A95" s="10" t="s">
        <v>193</v>
      </c>
      <c r="B95" s="9">
        <v>16114</v>
      </c>
      <c r="C95" s="9">
        <v>16114</v>
      </c>
      <c r="D95" s="8"/>
      <c r="E95" s="402"/>
      <c r="F95" s="401"/>
      <c r="G95" s="14"/>
      <c r="H95" s="14"/>
      <c r="I95" s="14"/>
      <c r="J95" s="13"/>
      <c r="K95" s="13"/>
    </row>
    <row r="96" spans="1:11" hidden="1">
      <c r="A96" s="10" t="s">
        <v>192</v>
      </c>
      <c r="B96" s="9">
        <v>16237</v>
      </c>
      <c r="C96" s="9">
        <v>16237</v>
      </c>
      <c r="D96" s="8"/>
      <c r="E96" s="402"/>
      <c r="F96" s="401"/>
      <c r="G96" s="14"/>
      <c r="H96" s="14"/>
      <c r="I96" s="14"/>
      <c r="J96" s="13"/>
      <c r="K96" s="13"/>
    </row>
    <row r="97" spans="1:11" hidden="1">
      <c r="A97" s="12" t="s">
        <v>191</v>
      </c>
      <c r="B97" s="11">
        <v>16320</v>
      </c>
      <c r="C97" s="11">
        <v>16320</v>
      </c>
      <c r="D97" s="8"/>
      <c r="E97" s="402"/>
      <c r="F97" s="401"/>
      <c r="G97" s="14"/>
      <c r="H97" s="14"/>
    </row>
    <row r="98" spans="1:11" hidden="1">
      <c r="A98" s="12" t="s">
        <v>190</v>
      </c>
      <c r="B98" s="11">
        <v>16445</v>
      </c>
      <c r="C98" s="11">
        <v>16445</v>
      </c>
      <c r="D98" s="8"/>
      <c r="E98" s="402"/>
      <c r="F98" s="401"/>
      <c r="G98" s="14"/>
      <c r="H98" s="14"/>
      <c r="I98" s="14"/>
      <c r="J98" s="13"/>
      <c r="K98" s="13"/>
    </row>
    <row r="99" spans="1:11" hidden="1">
      <c r="A99" s="12" t="s">
        <v>189</v>
      </c>
      <c r="B99" s="11">
        <v>16572</v>
      </c>
      <c r="C99" s="11">
        <v>16572</v>
      </c>
      <c r="D99" s="8"/>
      <c r="E99" s="402"/>
      <c r="F99" s="401"/>
      <c r="G99" s="14"/>
      <c r="H99" s="14"/>
      <c r="I99" s="14"/>
      <c r="J99" s="13"/>
      <c r="K99" s="13"/>
    </row>
    <row r="100" spans="1:11" hidden="1">
      <c r="A100" s="12" t="s">
        <v>188</v>
      </c>
      <c r="B100" s="11">
        <v>16699</v>
      </c>
      <c r="C100" s="11">
        <v>16699</v>
      </c>
      <c r="D100" s="8"/>
      <c r="E100" s="402"/>
      <c r="F100" s="401"/>
      <c r="G100" s="14"/>
      <c r="H100" s="14"/>
      <c r="I100" s="14"/>
      <c r="J100" s="13"/>
      <c r="K100" s="13"/>
    </row>
    <row r="101" spans="1:11" hidden="1">
      <c r="A101" s="12" t="s">
        <v>187</v>
      </c>
      <c r="B101" s="11">
        <v>16827</v>
      </c>
      <c r="C101" s="11">
        <v>16827</v>
      </c>
      <c r="D101" s="8"/>
      <c r="E101" s="402"/>
      <c r="F101" s="401"/>
      <c r="G101" s="14"/>
      <c r="H101" s="14"/>
      <c r="I101" s="14"/>
      <c r="J101" s="13"/>
      <c r="K101" s="13"/>
    </row>
    <row r="102" spans="1:11" hidden="1">
      <c r="A102" s="12" t="s">
        <v>186</v>
      </c>
      <c r="B102" s="11">
        <v>16957</v>
      </c>
      <c r="C102" s="11">
        <v>16957</v>
      </c>
      <c r="D102" s="8"/>
      <c r="E102" s="402"/>
      <c r="F102" s="401"/>
      <c r="G102" s="14"/>
      <c r="H102" s="14"/>
    </row>
    <row r="103" spans="1:11" hidden="1">
      <c r="A103" s="12" t="s">
        <v>185</v>
      </c>
      <c r="B103" s="11">
        <v>17086</v>
      </c>
      <c r="C103" s="11">
        <v>17086</v>
      </c>
      <c r="D103" s="8"/>
      <c r="E103" s="402"/>
      <c r="F103" s="401"/>
      <c r="G103" s="14"/>
      <c r="H103" s="14"/>
      <c r="I103" s="14"/>
      <c r="J103" s="13"/>
      <c r="K103" s="13"/>
    </row>
    <row r="104" spans="1:11" hidden="1">
      <c r="A104" s="12" t="s">
        <v>184</v>
      </c>
      <c r="B104" s="11">
        <v>17218</v>
      </c>
      <c r="C104" s="11">
        <v>17218</v>
      </c>
      <c r="D104" s="8"/>
      <c r="E104" s="402"/>
      <c r="F104" s="401"/>
      <c r="G104" s="14"/>
      <c r="H104" s="14"/>
    </row>
    <row r="105" spans="1:11" hidden="1">
      <c r="A105" s="10" t="s">
        <v>183</v>
      </c>
      <c r="B105" s="9">
        <v>17338</v>
      </c>
      <c r="C105" s="9">
        <v>17338</v>
      </c>
      <c r="D105" s="8"/>
      <c r="E105" s="19"/>
      <c r="F105" s="401"/>
      <c r="G105" s="14"/>
      <c r="H105" s="14"/>
      <c r="I105" s="14"/>
      <c r="J105" s="13"/>
      <c r="K105" s="13"/>
    </row>
    <row r="106" spans="1:11" hidden="1">
      <c r="A106" s="10" t="s">
        <v>182</v>
      </c>
      <c r="B106" s="9">
        <v>17496</v>
      </c>
      <c r="C106" s="9">
        <v>17496</v>
      </c>
      <c r="D106" s="8"/>
      <c r="E106" s="19"/>
      <c r="F106" s="401"/>
      <c r="G106" s="14"/>
      <c r="H106" s="14"/>
      <c r="I106" s="14"/>
      <c r="J106" s="13"/>
      <c r="K106" s="13"/>
    </row>
    <row r="107" spans="1:11" hidden="1">
      <c r="A107" s="10" t="s">
        <v>181</v>
      </c>
      <c r="B107" s="9">
        <v>17654</v>
      </c>
      <c r="C107" s="9">
        <v>17654</v>
      </c>
      <c r="D107" s="8"/>
      <c r="E107" s="19"/>
      <c r="F107" s="401"/>
      <c r="G107" s="14"/>
      <c r="H107" s="14"/>
      <c r="I107" s="14"/>
      <c r="J107" s="13"/>
      <c r="K107" s="13"/>
    </row>
    <row r="108" spans="1:11" hidden="1">
      <c r="A108" s="10" t="s">
        <v>180</v>
      </c>
      <c r="B108" s="9">
        <v>17813</v>
      </c>
      <c r="C108" s="9">
        <v>17813</v>
      </c>
      <c r="D108" s="8"/>
      <c r="E108" s="19"/>
      <c r="F108" s="401"/>
      <c r="G108" s="14"/>
      <c r="H108" s="14"/>
      <c r="I108" s="14"/>
      <c r="J108" s="13"/>
      <c r="K108" s="13"/>
    </row>
    <row r="109" spans="1:11" hidden="1">
      <c r="A109" s="10" t="s">
        <v>179</v>
      </c>
      <c r="B109" s="9">
        <v>17974</v>
      </c>
      <c r="C109" s="9">
        <v>17974</v>
      </c>
      <c r="D109" s="8"/>
      <c r="E109" s="19"/>
      <c r="F109" s="401"/>
      <c r="G109" s="14"/>
      <c r="H109" s="14"/>
      <c r="I109" s="14"/>
      <c r="J109" s="13"/>
      <c r="K109" s="13"/>
    </row>
    <row r="110" spans="1:11" hidden="1">
      <c r="A110" s="10" t="s">
        <v>178</v>
      </c>
      <c r="B110" s="9">
        <v>18136</v>
      </c>
      <c r="C110" s="9">
        <v>18136</v>
      </c>
      <c r="D110" s="8"/>
      <c r="E110" s="19"/>
      <c r="F110" s="401"/>
      <c r="G110" s="14"/>
      <c r="H110" s="14"/>
      <c r="I110" s="14"/>
      <c r="J110" s="13"/>
      <c r="K110" s="13"/>
    </row>
    <row r="111" spans="1:11" hidden="1">
      <c r="A111" s="10" t="s">
        <v>177</v>
      </c>
      <c r="B111" s="9">
        <v>18301</v>
      </c>
      <c r="C111" s="9">
        <v>18301</v>
      </c>
      <c r="D111" s="8"/>
      <c r="E111" s="19"/>
      <c r="F111" s="401"/>
      <c r="G111" s="14"/>
      <c r="H111" s="14"/>
      <c r="I111" s="14"/>
      <c r="J111" s="13"/>
      <c r="K111" s="13"/>
    </row>
    <row r="112" spans="1:11" hidden="1">
      <c r="A112" s="10" t="s">
        <v>176</v>
      </c>
      <c r="B112" s="9">
        <v>18466</v>
      </c>
      <c r="C112" s="9">
        <v>18466</v>
      </c>
      <c r="D112" s="8"/>
      <c r="E112" s="19"/>
      <c r="F112" s="401"/>
      <c r="G112" s="14"/>
      <c r="H112" s="14"/>
      <c r="I112" s="14"/>
      <c r="J112" s="13"/>
      <c r="K112" s="13"/>
    </row>
    <row r="113" spans="1:11" hidden="1">
      <c r="A113" s="12" t="s">
        <v>175</v>
      </c>
      <c r="B113" s="11">
        <v>18613</v>
      </c>
      <c r="C113" s="11">
        <v>18613</v>
      </c>
      <c r="D113" s="8"/>
      <c r="E113" s="19"/>
      <c r="F113" s="401"/>
      <c r="G113" s="14"/>
    </row>
    <row r="114" spans="1:11" hidden="1">
      <c r="A114" s="12" t="s">
        <v>174</v>
      </c>
      <c r="B114" s="11">
        <v>18769</v>
      </c>
      <c r="C114" s="11">
        <v>18769</v>
      </c>
      <c r="D114" s="8"/>
      <c r="E114" s="19"/>
      <c r="F114" s="401"/>
      <c r="G114" s="14"/>
      <c r="H114" s="14"/>
    </row>
    <row r="115" spans="1:11" hidden="1">
      <c r="A115" s="12" t="s">
        <v>173</v>
      </c>
      <c r="B115" s="11">
        <v>18926</v>
      </c>
      <c r="C115" s="11">
        <v>18926</v>
      </c>
      <c r="D115" s="8"/>
      <c r="E115" s="19"/>
      <c r="F115" s="401"/>
      <c r="G115" s="14"/>
      <c r="H115" s="14"/>
    </row>
    <row r="116" spans="1:11" hidden="1">
      <c r="A116" s="12" t="s">
        <v>172</v>
      </c>
      <c r="B116" s="11">
        <v>19085</v>
      </c>
      <c r="C116" s="11">
        <v>19085</v>
      </c>
      <c r="D116" s="8"/>
      <c r="E116" s="19"/>
      <c r="F116" s="401"/>
      <c r="G116" s="14"/>
      <c r="H116" s="14"/>
    </row>
    <row r="117" spans="1:11" hidden="1">
      <c r="A117" s="12" t="s">
        <v>171</v>
      </c>
      <c r="B117" s="11">
        <v>19244</v>
      </c>
      <c r="C117" s="11">
        <v>19244</v>
      </c>
      <c r="D117" s="8"/>
      <c r="E117" s="19"/>
      <c r="F117" s="401"/>
      <c r="G117" s="14"/>
      <c r="H117" s="14"/>
      <c r="I117" s="14"/>
      <c r="J117" s="13"/>
      <c r="K117" s="13"/>
    </row>
    <row r="118" spans="1:11" hidden="1">
      <c r="A118" s="12" t="s">
        <v>170</v>
      </c>
      <c r="B118" s="11">
        <v>19405</v>
      </c>
      <c r="C118" s="11">
        <v>19405</v>
      </c>
      <c r="D118" s="8"/>
      <c r="E118" s="19"/>
      <c r="F118" s="401"/>
      <c r="G118" s="14"/>
      <c r="H118" s="14"/>
      <c r="I118" s="14"/>
      <c r="J118" s="13"/>
      <c r="K118" s="13"/>
    </row>
    <row r="119" spans="1:11" hidden="1">
      <c r="A119" s="12" t="s">
        <v>169</v>
      </c>
      <c r="B119" s="11">
        <v>19567</v>
      </c>
      <c r="C119" s="11">
        <v>19567</v>
      </c>
      <c r="D119" s="8"/>
      <c r="E119" s="19"/>
      <c r="F119" s="401"/>
      <c r="G119" s="14"/>
      <c r="H119" s="14"/>
      <c r="I119" s="14"/>
      <c r="J119" s="13"/>
      <c r="K119" s="13"/>
    </row>
    <row r="120" spans="1:11" hidden="1">
      <c r="A120" s="12" t="s">
        <v>168</v>
      </c>
      <c r="B120" s="11">
        <v>19731</v>
      </c>
      <c r="C120" s="11">
        <v>19731</v>
      </c>
      <c r="D120" s="8"/>
      <c r="E120" s="19"/>
      <c r="F120" s="401"/>
      <c r="G120" s="14"/>
      <c r="H120" s="14"/>
      <c r="I120" s="14"/>
      <c r="J120" s="13"/>
      <c r="K120" s="13"/>
    </row>
    <row r="121" spans="1:11" hidden="1">
      <c r="A121" s="10" t="s">
        <v>167</v>
      </c>
      <c r="B121" s="9">
        <v>20145</v>
      </c>
      <c r="C121" s="9">
        <v>20145</v>
      </c>
      <c r="D121" s="8"/>
      <c r="E121" s="402"/>
      <c r="F121" s="401"/>
      <c r="G121" s="14"/>
    </row>
    <row r="122" spans="1:11" hidden="1">
      <c r="A122" s="10" t="s">
        <v>166</v>
      </c>
      <c r="B122" s="9">
        <v>20313</v>
      </c>
      <c r="C122" s="9">
        <v>20313</v>
      </c>
      <c r="D122" s="8"/>
      <c r="E122" s="402"/>
      <c r="F122" s="401"/>
      <c r="G122" s="14"/>
    </row>
    <row r="123" spans="1:11" hidden="1">
      <c r="A123" s="10" t="s">
        <v>165</v>
      </c>
      <c r="B123" s="9">
        <v>20483</v>
      </c>
      <c r="C123" s="9">
        <v>20483</v>
      </c>
      <c r="D123" s="8"/>
      <c r="E123" s="402"/>
      <c r="F123" s="401"/>
      <c r="G123" s="14"/>
      <c r="H123" s="14"/>
    </row>
    <row r="124" spans="1:11" hidden="1">
      <c r="A124" s="10" t="s">
        <v>164</v>
      </c>
      <c r="B124" s="9">
        <v>20654</v>
      </c>
      <c r="C124" s="9">
        <v>20654</v>
      </c>
      <c r="D124" s="8"/>
      <c r="E124" s="402"/>
      <c r="F124" s="401"/>
      <c r="G124" s="14"/>
      <c r="H124" s="14"/>
    </row>
    <row r="125" spans="1:11" hidden="1">
      <c r="A125" s="10" t="s">
        <v>163</v>
      </c>
      <c r="B125" s="9">
        <v>20827</v>
      </c>
      <c r="C125" s="9">
        <v>20827</v>
      </c>
      <c r="D125" s="8"/>
      <c r="E125" s="402"/>
      <c r="F125" s="401"/>
      <c r="G125" s="14"/>
      <c r="H125" s="14"/>
    </row>
    <row r="126" spans="1:11" hidden="1">
      <c r="A126" s="10" t="s">
        <v>162</v>
      </c>
      <c r="B126" s="9">
        <v>21001</v>
      </c>
      <c r="C126" s="9">
        <v>21001</v>
      </c>
      <c r="D126" s="8"/>
      <c r="E126" s="402"/>
      <c r="F126" s="401"/>
      <c r="G126" s="14"/>
      <c r="H126" s="14"/>
      <c r="I126" s="14"/>
      <c r="J126" s="13"/>
      <c r="K126" s="13"/>
    </row>
    <row r="127" spans="1:11" hidden="1">
      <c r="A127" s="10" t="s">
        <v>161</v>
      </c>
      <c r="B127" s="9">
        <v>21176</v>
      </c>
      <c r="C127" s="9">
        <v>21176</v>
      </c>
      <c r="D127" s="8"/>
      <c r="E127" s="402"/>
      <c r="F127" s="401"/>
      <c r="G127" s="14"/>
      <c r="H127" s="17"/>
      <c r="I127" s="14"/>
      <c r="J127" s="13"/>
      <c r="K127" s="13"/>
    </row>
    <row r="128" spans="1:11" hidden="1">
      <c r="A128" s="10" t="s">
        <v>160</v>
      </c>
      <c r="B128" s="9">
        <v>21353</v>
      </c>
      <c r="C128" s="9">
        <v>21353</v>
      </c>
      <c r="D128" s="8"/>
      <c r="E128" s="402"/>
      <c r="F128" s="401"/>
      <c r="G128" s="14"/>
      <c r="H128" s="18"/>
    </row>
    <row r="129" spans="1:11" hidden="1">
      <c r="A129" s="12" t="s">
        <v>159</v>
      </c>
      <c r="B129" s="11">
        <v>22683</v>
      </c>
      <c r="C129" s="11">
        <v>22683</v>
      </c>
      <c r="D129" s="8"/>
      <c r="E129" s="402"/>
      <c r="F129" s="401"/>
      <c r="G129" s="14"/>
      <c r="H129" s="17"/>
      <c r="I129" s="14"/>
      <c r="J129" s="13"/>
      <c r="K129" s="13"/>
    </row>
    <row r="130" spans="1:11" hidden="1">
      <c r="A130" s="12" t="s">
        <v>158</v>
      </c>
      <c r="B130" s="11">
        <v>22953</v>
      </c>
      <c r="C130" s="11">
        <v>22953</v>
      </c>
      <c r="D130" s="8"/>
    </row>
    <row r="131" spans="1:11" hidden="1">
      <c r="A131" s="12" t="s">
        <v>157</v>
      </c>
      <c r="B131" s="11">
        <v>23228</v>
      </c>
      <c r="C131" s="11">
        <v>23228</v>
      </c>
      <c r="D131" s="8"/>
    </row>
    <row r="132" spans="1:11" hidden="1">
      <c r="A132" s="12" t="s">
        <v>156</v>
      </c>
      <c r="B132" s="11">
        <v>23505</v>
      </c>
      <c r="C132" s="11">
        <v>23505</v>
      </c>
      <c r="D132" s="8"/>
    </row>
    <row r="133" spans="1:11" hidden="1">
      <c r="A133" s="12" t="s">
        <v>155</v>
      </c>
      <c r="B133" s="11">
        <v>23786</v>
      </c>
      <c r="C133" s="11">
        <v>23786</v>
      </c>
      <c r="D133" s="8"/>
    </row>
    <row r="134" spans="1:11" hidden="1">
      <c r="A134" s="12" t="s">
        <v>154</v>
      </c>
      <c r="B134" s="11">
        <v>24072</v>
      </c>
      <c r="C134" s="11">
        <v>24072</v>
      </c>
      <c r="D134" s="8"/>
    </row>
    <row r="135" spans="1:11" hidden="1">
      <c r="A135" s="12" t="s">
        <v>153</v>
      </c>
      <c r="B135" s="11">
        <v>24361</v>
      </c>
      <c r="C135" s="11">
        <v>24361</v>
      </c>
      <c r="D135" s="8"/>
    </row>
    <row r="136" spans="1:11" hidden="1">
      <c r="A136" s="12" t="s">
        <v>152</v>
      </c>
      <c r="B136" s="11">
        <v>24654</v>
      </c>
      <c r="C136" s="11">
        <v>24654</v>
      </c>
      <c r="D136" s="8"/>
    </row>
    <row r="137" spans="1:11" hidden="1">
      <c r="A137" s="10" t="s">
        <v>151</v>
      </c>
      <c r="B137" s="9">
        <v>24749</v>
      </c>
      <c r="C137" s="9">
        <v>24749</v>
      </c>
      <c r="D137" s="8"/>
    </row>
    <row r="138" spans="1:11" hidden="1">
      <c r="A138" s="10" t="s">
        <v>150</v>
      </c>
      <c r="B138" s="9">
        <v>25019</v>
      </c>
      <c r="C138" s="9">
        <v>25019</v>
      </c>
      <c r="D138" s="8"/>
    </row>
    <row r="139" spans="1:11" hidden="1">
      <c r="A139" s="10" t="s">
        <v>149</v>
      </c>
      <c r="B139" s="9">
        <v>25293</v>
      </c>
      <c r="C139" s="9">
        <v>25293</v>
      </c>
      <c r="D139" s="8"/>
      <c r="F139" s="402"/>
      <c r="G139" s="401"/>
      <c r="H139" s="14"/>
      <c r="I139" s="14"/>
      <c r="J139" s="13"/>
      <c r="K139" s="13"/>
    </row>
    <row r="140" spans="1:11" hidden="1">
      <c r="A140" s="10" t="s">
        <v>148</v>
      </c>
      <c r="B140" s="9">
        <v>25569</v>
      </c>
      <c r="C140" s="9">
        <v>25569</v>
      </c>
      <c r="D140" s="8"/>
      <c r="F140" s="402"/>
      <c r="G140" s="401"/>
      <c r="H140" s="14"/>
      <c r="I140" s="14"/>
      <c r="J140" s="13"/>
      <c r="K140" s="13"/>
    </row>
    <row r="141" spans="1:11" hidden="1">
      <c r="A141" s="10" t="s">
        <v>147</v>
      </c>
      <c r="B141" s="9">
        <v>25850</v>
      </c>
      <c r="C141" s="9">
        <v>25850</v>
      </c>
      <c r="D141" s="8"/>
      <c r="F141" s="402"/>
      <c r="G141" s="401"/>
      <c r="H141" s="14"/>
      <c r="I141" s="14"/>
      <c r="J141" s="13"/>
      <c r="K141" s="13"/>
    </row>
    <row r="142" spans="1:11" hidden="1">
      <c r="A142" s="10" t="s">
        <v>146</v>
      </c>
      <c r="B142" s="9">
        <v>26134</v>
      </c>
      <c r="C142" s="9">
        <v>26134</v>
      </c>
      <c r="D142" s="8"/>
      <c r="F142" s="402"/>
      <c r="G142" s="401"/>
      <c r="H142" s="14"/>
      <c r="I142" s="14"/>
      <c r="J142" s="13"/>
      <c r="K142" s="13"/>
    </row>
    <row r="143" spans="1:11" hidden="1">
      <c r="A143" s="10" t="s">
        <v>145</v>
      </c>
      <c r="B143" s="9">
        <v>26420</v>
      </c>
      <c r="C143" s="9">
        <v>26420</v>
      </c>
      <c r="D143" s="8"/>
      <c r="F143" s="402"/>
      <c r="G143" s="401"/>
      <c r="H143" s="14"/>
      <c r="I143" s="14"/>
      <c r="J143" s="13"/>
      <c r="K143" s="13"/>
    </row>
    <row r="144" spans="1:11" hidden="1">
      <c r="A144" s="10" t="s">
        <v>144</v>
      </c>
      <c r="B144" s="9">
        <v>26711</v>
      </c>
      <c r="C144" s="9">
        <v>26711</v>
      </c>
      <c r="D144" s="8"/>
      <c r="F144" s="402"/>
      <c r="G144" s="401"/>
      <c r="H144" s="14"/>
      <c r="I144" s="14"/>
      <c r="J144" s="13"/>
      <c r="K144" s="13"/>
    </row>
    <row r="145" spans="1:4" hidden="1">
      <c r="A145" s="12" t="s">
        <v>143</v>
      </c>
      <c r="B145" s="11">
        <v>26862</v>
      </c>
      <c r="C145" s="11">
        <v>26862</v>
      </c>
      <c r="D145" s="8"/>
    </row>
    <row r="146" spans="1:4" hidden="1">
      <c r="A146" s="12" t="s">
        <v>142</v>
      </c>
      <c r="B146" s="11">
        <v>27160</v>
      </c>
      <c r="C146" s="11">
        <v>27160</v>
      </c>
      <c r="D146" s="8"/>
    </row>
    <row r="147" spans="1:4" hidden="1">
      <c r="A147" s="12" t="s">
        <v>141</v>
      </c>
      <c r="B147" s="11">
        <v>27460</v>
      </c>
      <c r="C147" s="11">
        <v>27460</v>
      </c>
      <c r="D147" s="8"/>
    </row>
    <row r="148" spans="1:4" hidden="1">
      <c r="A148" s="12" t="s">
        <v>140</v>
      </c>
      <c r="B148" s="11">
        <v>27764</v>
      </c>
      <c r="C148" s="11">
        <v>27764</v>
      </c>
      <c r="D148" s="8"/>
    </row>
    <row r="149" spans="1:4" hidden="1">
      <c r="A149" s="12" t="s">
        <v>139</v>
      </c>
      <c r="B149" s="11">
        <v>28073</v>
      </c>
      <c r="C149" s="11">
        <v>28073</v>
      </c>
      <c r="D149" s="8"/>
    </row>
    <row r="150" spans="1:4" hidden="1">
      <c r="A150" s="12" t="s">
        <v>138</v>
      </c>
      <c r="B150" s="11">
        <v>28384</v>
      </c>
      <c r="C150" s="11">
        <v>28384</v>
      </c>
      <c r="D150" s="8"/>
    </row>
    <row r="151" spans="1:4" hidden="1">
      <c r="A151" s="12" t="s">
        <v>137</v>
      </c>
      <c r="B151" s="11">
        <v>28700</v>
      </c>
      <c r="C151" s="11">
        <v>28700</v>
      </c>
      <c r="D151" s="8"/>
    </row>
    <row r="152" spans="1:4" hidden="1">
      <c r="A152" s="12" t="s">
        <v>136</v>
      </c>
      <c r="B152" s="11">
        <v>29020</v>
      </c>
      <c r="C152" s="11">
        <v>29020</v>
      </c>
      <c r="D152" s="8"/>
    </row>
    <row r="153" spans="1:4" hidden="1">
      <c r="A153" s="10" t="s">
        <v>135</v>
      </c>
      <c r="B153" s="9">
        <v>29259</v>
      </c>
      <c r="C153" s="9">
        <v>29259</v>
      </c>
      <c r="D153" s="8"/>
    </row>
    <row r="154" spans="1:4" hidden="1">
      <c r="A154" s="10" t="s">
        <v>134</v>
      </c>
      <c r="B154" s="9">
        <v>29586</v>
      </c>
      <c r="C154" s="9">
        <v>29586</v>
      </c>
      <c r="D154" s="8"/>
    </row>
    <row r="155" spans="1:4" hidden="1">
      <c r="A155" s="10" t="s">
        <v>133</v>
      </c>
      <c r="B155" s="9">
        <v>29916</v>
      </c>
      <c r="C155" s="9">
        <v>29916</v>
      </c>
      <c r="D155" s="8"/>
    </row>
    <row r="156" spans="1:4" hidden="1">
      <c r="A156" s="10" t="s">
        <v>132</v>
      </c>
      <c r="B156" s="9">
        <v>30252</v>
      </c>
      <c r="C156" s="9">
        <v>30252</v>
      </c>
      <c r="D156" s="8"/>
    </row>
    <row r="157" spans="1:4" hidden="1">
      <c r="A157" s="10" t="s">
        <v>131</v>
      </c>
      <c r="B157" s="9">
        <v>30590</v>
      </c>
      <c r="C157" s="9">
        <v>30590</v>
      </c>
      <c r="D157" s="8"/>
    </row>
    <row r="158" spans="1:4" hidden="1">
      <c r="A158" s="10" t="s">
        <v>130</v>
      </c>
      <c r="B158" s="9">
        <v>30933</v>
      </c>
      <c r="C158" s="9">
        <v>30933</v>
      </c>
      <c r="D158" s="8"/>
    </row>
    <row r="159" spans="1:4" hidden="1">
      <c r="A159" s="10" t="s">
        <v>129</v>
      </c>
      <c r="B159" s="9">
        <v>31281</v>
      </c>
      <c r="C159" s="9">
        <v>31281</v>
      </c>
      <c r="D159" s="8"/>
    </row>
    <row r="160" spans="1:4" hidden="1">
      <c r="A160" s="10" t="s">
        <v>128</v>
      </c>
      <c r="B160" s="9">
        <v>31632</v>
      </c>
      <c r="C160" s="9">
        <v>31632</v>
      </c>
      <c r="D160" s="8"/>
    </row>
    <row r="161" spans="1:4" hidden="1">
      <c r="A161" s="12" t="s">
        <v>127</v>
      </c>
      <c r="B161" s="11">
        <v>31896</v>
      </c>
      <c r="C161" s="11">
        <v>31896</v>
      </c>
      <c r="D161" s="8"/>
    </row>
    <row r="162" spans="1:4" hidden="1">
      <c r="A162" s="12" t="s">
        <v>126</v>
      </c>
      <c r="B162" s="11">
        <v>32255</v>
      </c>
      <c r="C162" s="11">
        <v>32255</v>
      </c>
      <c r="D162" s="8"/>
    </row>
    <row r="163" spans="1:4" hidden="1">
      <c r="A163" s="12" t="s">
        <v>125</v>
      </c>
      <c r="B163" s="11">
        <v>32619</v>
      </c>
      <c r="C163" s="11">
        <v>32619</v>
      </c>
      <c r="D163" s="8"/>
    </row>
    <row r="164" spans="1:4" hidden="1">
      <c r="A164" s="12" t="s">
        <v>124</v>
      </c>
      <c r="B164" s="11">
        <v>32988</v>
      </c>
      <c r="C164" s="11">
        <v>32988</v>
      </c>
      <c r="D164" s="8"/>
    </row>
    <row r="165" spans="1:4" hidden="1">
      <c r="A165" s="12" t="s">
        <v>123</v>
      </c>
      <c r="B165" s="11">
        <v>33360</v>
      </c>
      <c r="C165" s="11">
        <v>33360</v>
      </c>
      <c r="D165" s="8"/>
    </row>
    <row r="166" spans="1:4" hidden="1">
      <c r="A166" s="12" t="s">
        <v>122</v>
      </c>
      <c r="B166" s="11">
        <v>33737</v>
      </c>
      <c r="C166" s="11">
        <v>33737</v>
      </c>
      <c r="D166" s="8"/>
    </row>
    <row r="167" spans="1:4" hidden="1">
      <c r="A167" s="12" t="s">
        <v>121</v>
      </c>
      <c r="B167" s="11">
        <v>34119</v>
      </c>
      <c r="C167" s="11">
        <v>34119</v>
      </c>
      <c r="D167" s="8"/>
    </row>
    <row r="168" spans="1:4" hidden="1">
      <c r="A168" s="12" t="s">
        <v>120</v>
      </c>
      <c r="B168" s="11">
        <v>34507</v>
      </c>
      <c r="C168" s="11">
        <v>34507</v>
      </c>
      <c r="D168" s="8"/>
    </row>
    <row r="169" spans="1:4" hidden="1">
      <c r="A169" s="10" t="s">
        <v>119</v>
      </c>
      <c r="B169" s="9">
        <v>34797</v>
      </c>
      <c r="C169" s="9">
        <v>34797</v>
      </c>
      <c r="D169" s="8"/>
    </row>
    <row r="170" spans="1:4" hidden="1">
      <c r="A170" s="10" t="s">
        <v>118</v>
      </c>
      <c r="B170" s="9">
        <v>35192</v>
      </c>
      <c r="C170" s="9">
        <v>35192</v>
      </c>
      <c r="D170" s="8"/>
    </row>
    <row r="171" spans="1:4" hidden="1">
      <c r="A171" s="10" t="s">
        <v>117</v>
      </c>
      <c r="B171" s="9">
        <v>35592</v>
      </c>
      <c r="C171" s="9">
        <v>35592</v>
      </c>
      <c r="D171" s="8"/>
    </row>
    <row r="172" spans="1:4" hidden="1">
      <c r="A172" s="10" t="s">
        <v>116</v>
      </c>
      <c r="B172" s="9">
        <v>35996</v>
      </c>
      <c r="C172" s="9">
        <v>35996</v>
      </c>
      <c r="D172" s="8"/>
    </row>
    <row r="173" spans="1:4" hidden="1">
      <c r="A173" s="10" t="s">
        <v>115</v>
      </c>
      <c r="B173" s="9">
        <v>36407</v>
      </c>
      <c r="C173" s="9">
        <v>36407</v>
      </c>
      <c r="D173" s="8"/>
    </row>
    <row r="174" spans="1:4" hidden="1">
      <c r="A174" s="10" t="s">
        <v>114</v>
      </c>
      <c r="B174" s="9">
        <v>36822</v>
      </c>
      <c r="C174" s="9">
        <v>36822</v>
      </c>
      <c r="D174" s="8"/>
    </row>
    <row r="175" spans="1:4" hidden="1">
      <c r="A175" s="10" t="s">
        <v>113</v>
      </c>
      <c r="B175" s="9">
        <v>37243</v>
      </c>
      <c r="C175" s="9">
        <v>37243</v>
      </c>
      <c r="D175" s="8"/>
    </row>
    <row r="176" spans="1:4" hidden="1">
      <c r="A176" s="10" t="s">
        <v>112</v>
      </c>
      <c r="B176" s="9">
        <v>37668</v>
      </c>
      <c r="C176" s="9">
        <v>37668</v>
      </c>
      <c r="D176" s="8"/>
    </row>
    <row r="177" spans="1:4" hidden="1">
      <c r="A177" s="12" t="s">
        <v>111</v>
      </c>
      <c r="B177" s="11">
        <v>37987</v>
      </c>
      <c r="C177" s="11">
        <v>37987</v>
      </c>
      <c r="D177" s="8"/>
    </row>
    <row r="178" spans="1:4" hidden="1">
      <c r="A178" s="12" t="s">
        <v>110</v>
      </c>
      <c r="B178" s="11">
        <v>38422</v>
      </c>
      <c r="C178" s="11">
        <v>38422</v>
      </c>
      <c r="D178" s="8"/>
    </row>
    <row r="179" spans="1:4" hidden="1">
      <c r="A179" s="12" t="s">
        <v>109</v>
      </c>
      <c r="B179" s="11">
        <v>38862</v>
      </c>
      <c r="C179" s="11">
        <v>38862</v>
      </c>
      <c r="D179" s="8"/>
    </row>
    <row r="180" spans="1:4" hidden="1">
      <c r="A180" s="12" t="s">
        <v>108</v>
      </c>
      <c r="B180" s="11">
        <v>39307</v>
      </c>
      <c r="C180" s="11">
        <v>39307</v>
      </c>
      <c r="D180" s="8"/>
    </row>
    <row r="181" spans="1:4" hidden="1">
      <c r="A181" s="12" t="s">
        <v>107</v>
      </c>
      <c r="B181" s="11">
        <v>39758</v>
      </c>
      <c r="C181" s="11">
        <v>39758</v>
      </c>
      <c r="D181" s="8"/>
    </row>
    <row r="182" spans="1:4" hidden="1">
      <c r="A182" s="12" t="s">
        <v>106</v>
      </c>
      <c r="B182" s="11">
        <v>40215</v>
      </c>
      <c r="C182" s="11">
        <v>40215</v>
      </c>
      <c r="D182" s="8"/>
    </row>
    <row r="183" spans="1:4" hidden="1">
      <c r="A183" s="12" t="s">
        <v>105</v>
      </c>
      <c r="B183" s="11">
        <v>40677</v>
      </c>
      <c r="C183" s="11">
        <v>40677</v>
      </c>
      <c r="D183" s="8"/>
    </row>
    <row r="184" spans="1:4" hidden="1">
      <c r="A184" s="12" t="s">
        <v>104</v>
      </c>
      <c r="B184" s="11">
        <v>41145</v>
      </c>
      <c r="C184" s="11">
        <v>41145</v>
      </c>
      <c r="D184" s="8"/>
    </row>
    <row r="185" spans="1:4" hidden="1">
      <c r="A185" s="10" t="s">
        <v>103</v>
      </c>
      <c r="B185" s="9">
        <v>41497</v>
      </c>
      <c r="C185" s="9">
        <v>41497</v>
      </c>
      <c r="D185" s="8"/>
    </row>
    <row r="186" spans="1:4" hidden="1">
      <c r="A186" s="10" t="s">
        <v>102</v>
      </c>
      <c r="B186" s="9">
        <v>41975</v>
      </c>
      <c r="C186" s="9">
        <v>41975</v>
      </c>
      <c r="D186" s="8"/>
    </row>
    <row r="187" spans="1:4" hidden="1">
      <c r="A187" s="10" t="s">
        <v>101</v>
      </c>
      <c r="B187" s="9">
        <v>42459</v>
      </c>
      <c r="C187" s="9">
        <v>42459</v>
      </c>
      <c r="D187" s="8"/>
    </row>
    <row r="188" spans="1:4" hidden="1">
      <c r="A188" s="10" t="s">
        <v>100</v>
      </c>
      <c r="B188" s="9">
        <v>42949</v>
      </c>
      <c r="C188" s="9">
        <v>42949</v>
      </c>
      <c r="D188" s="8"/>
    </row>
    <row r="189" spans="1:4" hidden="1">
      <c r="A189" s="10" t="s">
        <v>99</v>
      </c>
      <c r="B189" s="9">
        <v>43445</v>
      </c>
      <c r="C189" s="9">
        <v>43445</v>
      </c>
      <c r="D189" s="8"/>
    </row>
    <row r="190" spans="1:4" hidden="1">
      <c r="A190" s="10" t="s">
        <v>98</v>
      </c>
      <c r="B190" s="9">
        <v>43948</v>
      </c>
      <c r="C190" s="9">
        <v>43948</v>
      </c>
      <c r="D190" s="8"/>
    </row>
    <row r="191" spans="1:4" hidden="1">
      <c r="A191" s="10" t="s">
        <v>97</v>
      </c>
      <c r="B191" s="9">
        <v>44456</v>
      </c>
      <c r="C191" s="9">
        <v>44456</v>
      </c>
      <c r="D191" s="8"/>
    </row>
    <row r="192" spans="1:4" hidden="1">
      <c r="A192" s="10" t="s">
        <v>96</v>
      </c>
      <c r="B192" s="9">
        <v>44971</v>
      </c>
      <c r="C192" s="9">
        <v>44971</v>
      </c>
      <c r="D192" s="8"/>
    </row>
    <row r="193" spans="1:4" hidden="1">
      <c r="A193" s="12" t="s">
        <v>95</v>
      </c>
      <c r="B193" s="11">
        <v>45897</v>
      </c>
      <c r="C193" s="11">
        <v>45897</v>
      </c>
      <c r="D193" s="8"/>
    </row>
    <row r="194" spans="1:4" hidden="1">
      <c r="A194" s="12" t="s">
        <v>94</v>
      </c>
      <c r="B194" s="11">
        <v>46599</v>
      </c>
      <c r="C194" s="11">
        <v>46599</v>
      </c>
      <c r="D194" s="8"/>
    </row>
    <row r="195" spans="1:4" hidden="1">
      <c r="A195" s="12" t="s">
        <v>93</v>
      </c>
      <c r="B195" s="11">
        <v>47313</v>
      </c>
      <c r="C195" s="11">
        <v>47313</v>
      </c>
      <c r="D195" s="8"/>
    </row>
    <row r="196" spans="1:4" hidden="1">
      <c r="A196" s="12" t="s">
        <v>92</v>
      </c>
      <c r="B196" s="11">
        <v>48038</v>
      </c>
      <c r="C196" s="11">
        <v>48038</v>
      </c>
      <c r="D196" s="8"/>
    </row>
    <row r="197" spans="1:4" hidden="1">
      <c r="A197" s="12" t="s">
        <v>91</v>
      </c>
      <c r="B197" s="11">
        <v>48775</v>
      </c>
      <c r="C197" s="11">
        <v>48775</v>
      </c>
      <c r="D197" s="8"/>
    </row>
    <row r="198" spans="1:4" hidden="1">
      <c r="A198" s="12" t="s">
        <v>90</v>
      </c>
      <c r="B198" s="11">
        <v>49524</v>
      </c>
      <c r="C198" s="11">
        <v>49524</v>
      </c>
      <c r="D198" s="8"/>
    </row>
    <row r="199" spans="1:4" hidden="1">
      <c r="A199" s="12" t="s">
        <v>89</v>
      </c>
      <c r="B199" s="11">
        <v>50285</v>
      </c>
      <c r="C199" s="11">
        <v>50285</v>
      </c>
      <c r="D199" s="8"/>
    </row>
    <row r="200" spans="1:4" hidden="1">
      <c r="A200" s="12" t="s">
        <v>88</v>
      </c>
      <c r="B200" s="11">
        <v>51059</v>
      </c>
      <c r="C200" s="11">
        <v>51059</v>
      </c>
      <c r="D200" s="8"/>
    </row>
    <row r="201" spans="1:4" hidden="1">
      <c r="A201" s="10" t="s">
        <v>87</v>
      </c>
      <c r="B201" s="9">
        <v>51538</v>
      </c>
      <c r="C201" s="9">
        <v>51538</v>
      </c>
      <c r="D201" s="8"/>
    </row>
    <row r="202" spans="1:4" hidden="1">
      <c r="A202" s="10" t="s">
        <v>86</v>
      </c>
      <c r="B202" s="9">
        <v>52331</v>
      </c>
      <c r="C202" s="9">
        <v>52331</v>
      </c>
      <c r="D202" s="8"/>
    </row>
    <row r="203" spans="1:4" hidden="1">
      <c r="A203" s="10" t="s">
        <v>85</v>
      </c>
      <c r="B203" s="9">
        <v>53137</v>
      </c>
      <c r="C203" s="9">
        <v>53137</v>
      </c>
      <c r="D203" s="8"/>
    </row>
    <row r="204" spans="1:4" hidden="1">
      <c r="A204" s="10" t="s">
        <v>84</v>
      </c>
      <c r="B204" s="9">
        <v>53956</v>
      </c>
      <c r="C204" s="9">
        <v>53956</v>
      </c>
      <c r="D204" s="8"/>
    </row>
    <row r="205" spans="1:4" hidden="1">
      <c r="A205" s="10" t="s">
        <v>83</v>
      </c>
      <c r="B205" s="9">
        <v>54789</v>
      </c>
      <c r="C205" s="9">
        <v>54789</v>
      </c>
      <c r="D205" s="8"/>
    </row>
    <row r="206" spans="1:4" hidden="1">
      <c r="A206" s="10" t="s">
        <v>82</v>
      </c>
      <c r="B206" s="9">
        <v>55636</v>
      </c>
      <c r="C206" s="9">
        <v>55636</v>
      </c>
      <c r="D206" s="8"/>
    </row>
    <row r="207" spans="1:4" hidden="1">
      <c r="A207" s="10" t="s">
        <v>81</v>
      </c>
      <c r="B207" s="9">
        <v>56496</v>
      </c>
      <c r="C207" s="9">
        <v>56496</v>
      </c>
      <c r="D207" s="8"/>
    </row>
    <row r="208" spans="1:4" hidden="1">
      <c r="A208" s="10" t="s">
        <v>80</v>
      </c>
      <c r="B208" s="9">
        <v>57370</v>
      </c>
      <c r="C208" s="9">
        <v>57370</v>
      </c>
      <c r="D208" s="8"/>
    </row>
    <row r="209" spans="1:4" hidden="1">
      <c r="A209" s="12" t="s">
        <v>79</v>
      </c>
      <c r="B209" s="11">
        <v>57856</v>
      </c>
      <c r="C209" s="11">
        <v>57856</v>
      </c>
      <c r="D209" s="8"/>
    </row>
    <row r="210" spans="1:4" hidden="1">
      <c r="A210" s="12" t="s">
        <v>78</v>
      </c>
      <c r="B210" s="11">
        <v>58752</v>
      </c>
      <c r="C210" s="11">
        <v>58752</v>
      </c>
      <c r="D210" s="8"/>
    </row>
    <row r="211" spans="1:4" hidden="1">
      <c r="A211" s="12" t="s">
        <v>77</v>
      </c>
      <c r="B211" s="11">
        <v>59663</v>
      </c>
      <c r="C211" s="11">
        <v>59663</v>
      </c>
      <c r="D211" s="8"/>
    </row>
    <row r="212" spans="1:4" hidden="1">
      <c r="A212" s="12" t="s">
        <v>76</v>
      </c>
      <c r="B212" s="11">
        <v>60588</v>
      </c>
      <c r="C212" s="11">
        <v>60588</v>
      </c>
      <c r="D212" s="8"/>
    </row>
    <row r="213" spans="1:4" hidden="1">
      <c r="A213" s="12" t="s">
        <v>75</v>
      </c>
      <c r="B213" s="11">
        <v>61530</v>
      </c>
      <c r="C213" s="11">
        <v>61530</v>
      </c>
      <c r="D213" s="8"/>
    </row>
    <row r="214" spans="1:4" hidden="1">
      <c r="A214" s="12" t="s">
        <v>74</v>
      </c>
      <c r="B214" s="11">
        <v>62485</v>
      </c>
      <c r="C214" s="11">
        <v>62485</v>
      </c>
      <c r="D214" s="8"/>
    </row>
    <row r="215" spans="1:4" hidden="1">
      <c r="A215" s="12" t="s">
        <v>73</v>
      </c>
      <c r="B215" s="11">
        <v>63457</v>
      </c>
      <c r="C215" s="11">
        <v>63457</v>
      </c>
      <c r="D215" s="8"/>
    </row>
    <row r="216" spans="1:4" hidden="1">
      <c r="A216" s="12" t="s">
        <v>72</v>
      </c>
      <c r="B216" s="11">
        <v>64445</v>
      </c>
      <c r="C216" s="11">
        <v>64445</v>
      </c>
      <c r="D216" s="8"/>
    </row>
    <row r="217" spans="1:4" hidden="1">
      <c r="A217" s="10" t="s">
        <v>71</v>
      </c>
      <c r="B217" s="9">
        <v>64994</v>
      </c>
      <c r="C217" s="9">
        <v>64994</v>
      </c>
      <c r="D217" s="8"/>
    </row>
    <row r="218" spans="1:4" hidden="1">
      <c r="A218" s="10" t="s">
        <v>70</v>
      </c>
      <c r="B218" s="9">
        <v>66007</v>
      </c>
      <c r="C218" s="9">
        <v>66007</v>
      </c>
      <c r="D218" s="8"/>
    </row>
    <row r="219" spans="1:4" hidden="1">
      <c r="A219" s="10" t="s">
        <v>69</v>
      </c>
      <c r="B219" s="9">
        <v>67037</v>
      </c>
      <c r="C219" s="9">
        <v>67037</v>
      </c>
      <c r="D219" s="8"/>
    </row>
    <row r="220" spans="1:4" hidden="1">
      <c r="A220" s="10" t="s">
        <v>68</v>
      </c>
      <c r="B220" s="9">
        <v>68083</v>
      </c>
      <c r="C220" s="9">
        <v>68083</v>
      </c>
      <c r="D220" s="8"/>
    </row>
    <row r="221" spans="1:4" hidden="1">
      <c r="A221" s="10" t="s">
        <v>67</v>
      </c>
      <c r="B221" s="9">
        <v>69146</v>
      </c>
      <c r="C221" s="9">
        <v>69146</v>
      </c>
      <c r="D221" s="8"/>
    </row>
    <row r="222" spans="1:4" hidden="1">
      <c r="A222" s="10" t="s">
        <v>66</v>
      </c>
      <c r="B222" s="9">
        <v>70227</v>
      </c>
      <c r="C222" s="9">
        <v>70227</v>
      </c>
      <c r="D222" s="8"/>
    </row>
    <row r="223" spans="1:4" hidden="1">
      <c r="A223" s="10" t="s">
        <v>65</v>
      </c>
      <c r="B223" s="9">
        <v>71325</v>
      </c>
      <c r="C223" s="9">
        <v>71325</v>
      </c>
      <c r="D223" s="8"/>
    </row>
    <row r="224" spans="1:4" hidden="1">
      <c r="A224" s="10" t="s">
        <v>64</v>
      </c>
      <c r="B224" s="9">
        <v>72440</v>
      </c>
      <c r="C224" s="9">
        <v>72440</v>
      </c>
      <c r="D224" s="8"/>
    </row>
    <row r="225" spans="1:4" hidden="1">
      <c r="A225" s="12" t="s">
        <v>63</v>
      </c>
      <c r="B225" s="11">
        <v>73062</v>
      </c>
      <c r="C225" s="11">
        <v>73062</v>
      </c>
      <c r="D225" s="8"/>
    </row>
    <row r="226" spans="1:4" hidden="1">
      <c r="A226" s="12" t="s">
        <v>62</v>
      </c>
      <c r="B226" s="11">
        <v>74205</v>
      </c>
      <c r="C226" s="11">
        <v>74205</v>
      </c>
      <c r="D226" s="8"/>
    </row>
    <row r="227" spans="1:4" hidden="1">
      <c r="A227" s="12" t="s">
        <v>61</v>
      </c>
      <c r="B227" s="11">
        <v>75369</v>
      </c>
      <c r="C227" s="11">
        <v>75369</v>
      </c>
      <c r="D227" s="8"/>
    </row>
    <row r="228" spans="1:4" hidden="1">
      <c r="A228" s="12" t="s">
        <v>60</v>
      </c>
      <c r="B228" s="11">
        <v>76554</v>
      </c>
      <c r="C228" s="11">
        <v>76554</v>
      </c>
      <c r="D228" s="8"/>
    </row>
    <row r="229" spans="1:4" hidden="1">
      <c r="A229" s="12" t="s">
        <v>59</v>
      </c>
      <c r="B229" s="11">
        <v>77804</v>
      </c>
      <c r="C229" s="11">
        <v>77804</v>
      </c>
      <c r="D229" s="8"/>
    </row>
    <row r="230" spans="1:4" hidden="1">
      <c r="A230" s="12" t="s">
        <v>58</v>
      </c>
      <c r="B230" s="11">
        <v>79073</v>
      </c>
      <c r="C230" s="11">
        <v>79073</v>
      </c>
      <c r="D230" s="8"/>
    </row>
    <row r="231" spans="1:4" hidden="1">
      <c r="A231" s="12" t="s">
        <v>57</v>
      </c>
      <c r="B231" s="11">
        <v>80364</v>
      </c>
      <c r="C231" s="11">
        <v>80364</v>
      </c>
      <c r="D231" s="8"/>
    </row>
    <row r="232" spans="1:4" hidden="1">
      <c r="A232" s="12" t="s">
        <v>56</v>
      </c>
      <c r="B232" s="11">
        <v>81676</v>
      </c>
      <c r="C232" s="11">
        <v>81676</v>
      </c>
      <c r="D232" s="8"/>
    </row>
    <row r="233" spans="1:4" hidden="1">
      <c r="A233" s="10" t="s">
        <v>55</v>
      </c>
      <c r="B233" s="9">
        <v>82405</v>
      </c>
      <c r="C233" s="9">
        <v>82405</v>
      </c>
      <c r="D233" s="8"/>
    </row>
    <row r="234" spans="1:4" hidden="1">
      <c r="A234" s="10" t="s">
        <v>54</v>
      </c>
      <c r="B234" s="9">
        <v>83750</v>
      </c>
      <c r="C234" s="9">
        <v>83750</v>
      </c>
      <c r="D234" s="8"/>
    </row>
    <row r="235" spans="1:4" hidden="1">
      <c r="A235" s="10" t="s">
        <v>53</v>
      </c>
      <c r="B235" s="9">
        <v>85117</v>
      </c>
      <c r="C235" s="9">
        <v>85117</v>
      </c>
      <c r="D235" s="8"/>
    </row>
    <row r="236" spans="1:4" hidden="1">
      <c r="A236" s="10" t="s">
        <v>52</v>
      </c>
      <c r="B236" s="9">
        <v>86506</v>
      </c>
      <c r="C236" s="9">
        <v>86506</v>
      </c>
      <c r="D236" s="8"/>
    </row>
    <row r="237" spans="1:4" hidden="1">
      <c r="A237" s="10" t="s">
        <v>51</v>
      </c>
      <c r="B237" s="9">
        <v>87918</v>
      </c>
      <c r="C237" s="9">
        <v>87918</v>
      </c>
      <c r="D237" s="8"/>
    </row>
    <row r="238" spans="1:4" hidden="1">
      <c r="A238" s="10" t="s">
        <v>50</v>
      </c>
      <c r="B238" s="9">
        <v>89354</v>
      </c>
      <c r="C238" s="9">
        <v>89354</v>
      </c>
      <c r="D238" s="8"/>
    </row>
    <row r="239" spans="1:4" hidden="1">
      <c r="A239" s="10" t="s">
        <v>49</v>
      </c>
      <c r="B239" s="9">
        <v>90812</v>
      </c>
      <c r="C239" s="9">
        <v>90812</v>
      </c>
      <c r="D239" s="8"/>
    </row>
    <row r="240" spans="1:4" hidden="1">
      <c r="A240" s="10" t="s">
        <v>48</v>
      </c>
      <c r="B240" s="9">
        <v>92294</v>
      </c>
      <c r="C240" s="9">
        <v>92294</v>
      </c>
      <c r="D240" s="8"/>
    </row>
    <row r="241" spans="1:11" hidden="1">
      <c r="A241" s="12" t="s">
        <v>47</v>
      </c>
      <c r="B241" s="11">
        <v>93942</v>
      </c>
      <c r="C241" s="11">
        <v>93942</v>
      </c>
      <c r="D241" s="8"/>
    </row>
    <row r="242" spans="1:11" hidden="1">
      <c r="A242" s="12" t="s">
        <v>46</v>
      </c>
      <c r="B242" s="11">
        <v>95475</v>
      </c>
      <c r="C242" s="11">
        <v>95475</v>
      </c>
      <c r="D242" s="8"/>
    </row>
    <row r="243" spans="1:11" hidden="1">
      <c r="A243" s="12" t="s">
        <v>45</v>
      </c>
      <c r="B243" s="11">
        <v>97033</v>
      </c>
      <c r="C243" s="11">
        <v>97033</v>
      </c>
      <c r="D243" s="8"/>
    </row>
    <row r="244" spans="1:11" hidden="1">
      <c r="A244" s="12" t="s">
        <v>44</v>
      </c>
      <c r="B244" s="11">
        <v>98618</v>
      </c>
      <c r="C244" s="11">
        <v>98618</v>
      </c>
      <c r="D244" s="8"/>
    </row>
    <row r="245" spans="1:11" hidden="1">
      <c r="A245" s="12" t="s">
        <v>43</v>
      </c>
      <c r="B245" s="11">
        <v>100227</v>
      </c>
      <c r="C245" s="11">
        <v>100227</v>
      </c>
      <c r="D245" s="8"/>
    </row>
    <row r="246" spans="1:11" hidden="1">
      <c r="A246" s="12" t="s">
        <v>42</v>
      </c>
      <c r="B246" s="11">
        <v>101863</v>
      </c>
      <c r="C246" s="11">
        <v>101863</v>
      </c>
      <c r="D246" s="8"/>
    </row>
    <row r="247" spans="1:11" hidden="1">
      <c r="A247" s="12" t="s">
        <v>41</v>
      </c>
      <c r="B247" s="11">
        <v>103525</v>
      </c>
      <c r="C247" s="11">
        <v>103525</v>
      </c>
      <c r="D247" s="8"/>
    </row>
    <row r="248" spans="1:11" hidden="1">
      <c r="A248" s="12" t="s">
        <v>40</v>
      </c>
      <c r="B248" s="11">
        <v>105215</v>
      </c>
      <c r="C248" s="11">
        <v>105215</v>
      </c>
      <c r="D248" s="8"/>
    </row>
    <row r="249" spans="1:11" hidden="1">
      <c r="A249" s="10" t="s">
        <v>39</v>
      </c>
      <c r="B249" s="9">
        <v>106155</v>
      </c>
      <c r="C249" s="9">
        <v>106155</v>
      </c>
      <c r="D249" s="8"/>
      <c r="F249" s="402"/>
      <c r="G249" s="401"/>
      <c r="H249" s="14"/>
      <c r="I249" s="14"/>
      <c r="J249" s="13"/>
      <c r="K249" s="13"/>
    </row>
    <row r="250" spans="1:11" hidden="1">
      <c r="A250" s="10" t="s">
        <v>38</v>
      </c>
      <c r="B250" s="9">
        <v>107887</v>
      </c>
      <c r="C250" s="9">
        <v>107887</v>
      </c>
      <c r="D250" s="8"/>
      <c r="F250" s="402"/>
      <c r="G250" s="401"/>
      <c r="H250" s="14"/>
      <c r="I250" s="14"/>
      <c r="J250" s="13"/>
      <c r="K250" s="13"/>
    </row>
    <row r="251" spans="1:11" hidden="1">
      <c r="A251" s="10" t="s">
        <v>37</v>
      </c>
      <c r="B251" s="9">
        <v>109648</v>
      </c>
      <c r="C251" s="9">
        <v>109648</v>
      </c>
      <c r="D251" s="8"/>
    </row>
    <row r="252" spans="1:11" hidden="1">
      <c r="A252" s="10" t="s">
        <v>36</v>
      </c>
      <c r="B252" s="9">
        <v>111438</v>
      </c>
      <c r="C252" s="9">
        <v>111438</v>
      </c>
      <c r="D252" s="8"/>
    </row>
    <row r="253" spans="1:11" hidden="1">
      <c r="A253" s="10" t="s">
        <v>35</v>
      </c>
      <c r="B253" s="9">
        <v>113256</v>
      </c>
      <c r="C253" s="9">
        <v>113256</v>
      </c>
      <c r="D253" s="8"/>
    </row>
    <row r="254" spans="1:11" hidden="1">
      <c r="A254" s="10" t="s">
        <v>34</v>
      </c>
      <c r="B254" s="9">
        <v>115105</v>
      </c>
      <c r="C254" s="9">
        <v>115105</v>
      </c>
      <c r="D254" s="8"/>
    </row>
    <row r="255" spans="1:11" hidden="1">
      <c r="A255" s="10" t="s">
        <v>33</v>
      </c>
      <c r="B255" s="9">
        <v>116983</v>
      </c>
      <c r="C255" s="9">
        <v>116983</v>
      </c>
      <c r="D255" s="8"/>
    </row>
    <row r="256" spans="1:11" hidden="1">
      <c r="A256" s="10" t="s">
        <v>32</v>
      </c>
      <c r="B256" s="9">
        <v>118893</v>
      </c>
      <c r="C256" s="9">
        <v>118893</v>
      </c>
      <c r="D256" s="8"/>
    </row>
    <row r="257" spans="1:13" hidden="1">
      <c r="A257" s="12" t="s">
        <v>31</v>
      </c>
      <c r="B257" s="11">
        <v>119954</v>
      </c>
      <c r="C257" s="11">
        <v>119954</v>
      </c>
      <c r="D257" s="8"/>
    </row>
    <row r="258" spans="1:13" hidden="1">
      <c r="A258" s="12" t="s">
        <v>30</v>
      </c>
      <c r="B258" s="11">
        <v>121913</v>
      </c>
      <c r="C258" s="11">
        <v>121913</v>
      </c>
      <c r="D258" s="8"/>
    </row>
    <row r="259" spans="1:13" hidden="1">
      <c r="A259" s="12" t="s">
        <v>29</v>
      </c>
      <c r="B259" s="11">
        <v>123902</v>
      </c>
      <c r="C259" s="11">
        <v>123902</v>
      </c>
      <c r="D259" s="8"/>
    </row>
    <row r="260" spans="1:13" hidden="1">
      <c r="A260" s="12" t="s">
        <v>28</v>
      </c>
      <c r="B260" s="11">
        <v>125924</v>
      </c>
      <c r="C260" s="11">
        <v>125924</v>
      </c>
      <c r="D260" s="8"/>
    </row>
    <row r="261" spans="1:13" hidden="1">
      <c r="A261" s="12" t="s">
        <v>27</v>
      </c>
      <c r="B261" s="11">
        <v>127979</v>
      </c>
      <c r="C261" s="11">
        <v>127979</v>
      </c>
      <c r="D261" s="8"/>
    </row>
    <row r="262" spans="1:13" hidden="1">
      <c r="A262" s="12" t="s">
        <v>26</v>
      </c>
      <c r="B262" s="11">
        <v>130068</v>
      </c>
      <c r="C262" s="11">
        <v>130068</v>
      </c>
      <c r="D262" s="8"/>
    </row>
    <row r="263" spans="1:13" hidden="1">
      <c r="A263" s="12" t="s">
        <v>25</v>
      </c>
      <c r="B263" s="11">
        <v>132192</v>
      </c>
      <c r="C263" s="11">
        <v>132192</v>
      </c>
      <c r="D263" s="8"/>
    </row>
    <row r="264" spans="1:13" hidden="1">
      <c r="A264" s="12" t="s">
        <v>24</v>
      </c>
      <c r="B264" s="11">
        <v>134349</v>
      </c>
      <c r="C264" s="11">
        <v>134349</v>
      </c>
      <c r="D264" s="8"/>
    </row>
    <row r="265" spans="1:13" hidden="1">
      <c r="A265" s="10" t="s">
        <v>23</v>
      </c>
      <c r="B265" s="9">
        <v>135549</v>
      </c>
      <c r="C265" s="9">
        <v>135549</v>
      </c>
      <c r="D265" s="8"/>
    </row>
    <row r="266" spans="1:13" hidden="1">
      <c r="A266" s="10" t="s">
        <v>22</v>
      </c>
      <c r="B266" s="9">
        <v>137760</v>
      </c>
      <c r="C266" s="9">
        <v>137760</v>
      </c>
      <c r="D266" s="8"/>
      <c r="L266" s="3"/>
      <c r="M266" s="3"/>
    </row>
    <row r="267" spans="1:13" hidden="1">
      <c r="A267" s="10" t="s">
        <v>21</v>
      </c>
      <c r="B267" s="9">
        <v>140009</v>
      </c>
      <c r="C267" s="9">
        <v>140009</v>
      </c>
      <c r="D267" s="8"/>
      <c r="L267" s="3"/>
      <c r="M267" s="3"/>
    </row>
    <row r="268" spans="1:13" hidden="1">
      <c r="A268" s="10" t="s">
        <v>20</v>
      </c>
      <c r="B268" s="9">
        <v>142295</v>
      </c>
      <c r="C268" s="9">
        <v>142295</v>
      </c>
      <c r="D268" s="8"/>
      <c r="L268" s="3"/>
      <c r="M268" s="3"/>
    </row>
    <row r="269" spans="1:13" hidden="1">
      <c r="A269" s="10" t="s">
        <v>19</v>
      </c>
      <c r="B269" s="9">
        <v>144617</v>
      </c>
      <c r="C269" s="9">
        <v>144617</v>
      </c>
      <c r="D269" s="8"/>
      <c r="L269" s="3"/>
      <c r="M269" s="3"/>
    </row>
    <row r="270" spans="1:13" hidden="1">
      <c r="A270" s="10" t="s">
        <v>18</v>
      </c>
      <c r="B270" s="9">
        <v>146978</v>
      </c>
      <c r="C270" s="9">
        <v>146978</v>
      </c>
      <c r="D270" s="8"/>
      <c r="L270" s="3"/>
      <c r="M270" s="3"/>
    </row>
    <row r="271" spans="1:13" hidden="1">
      <c r="A271" s="10" t="s">
        <v>17</v>
      </c>
      <c r="B271" s="9">
        <v>149377</v>
      </c>
      <c r="C271" s="9">
        <v>149377</v>
      </c>
      <c r="D271" s="8"/>
      <c r="L271" s="3"/>
      <c r="M271" s="3"/>
    </row>
    <row r="272" spans="1:13" hidden="1">
      <c r="A272" s="10" t="s">
        <v>16</v>
      </c>
      <c r="B272" s="9">
        <v>151814</v>
      </c>
      <c r="C272" s="9">
        <v>151814</v>
      </c>
      <c r="D272" s="8"/>
      <c r="L272" s="3"/>
      <c r="M272" s="3"/>
    </row>
    <row r="273" spans="1:13" hidden="1">
      <c r="A273" s="12" t="s">
        <v>15</v>
      </c>
      <c r="B273" s="11">
        <v>153169</v>
      </c>
      <c r="C273" s="11">
        <v>153169</v>
      </c>
      <c r="D273" s="8"/>
      <c r="L273" s="3"/>
      <c r="M273" s="3"/>
    </row>
    <row r="274" spans="1:13" hidden="1">
      <c r="A274" s="12" t="s">
        <v>14</v>
      </c>
      <c r="B274" s="11">
        <v>155670</v>
      </c>
      <c r="C274" s="11">
        <v>155670</v>
      </c>
      <c r="D274" s="8"/>
      <c r="L274" s="3"/>
      <c r="M274" s="3"/>
    </row>
    <row r="275" spans="1:13" hidden="1">
      <c r="A275" s="12" t="s">
        <v>13</v>
      </c>
      <c r="B275" s="11">
        <v>158210</v>
      </c>
      <c r="C275" s="11">
        <v>158210</v>
      </c>
      <c r="D275" s="8"/>
      <c r="L275" s="3"/>
      <c r="M275" s="3"/>
    </row>
    <row r="276" spans="1:13" hidden="1">
      <c r="A276" s="12" t="s">
        <v>12</v>
      </c>
      <c r="B276" s="11">
        <v>160793</v>
      </c>
      <c r="C276" s="11">
        <v>160793</v>
      </c>
      <c r="D276" s="8"/>
      <c r="L276" s="3"/>
      <c r="M276" s="3"/>
    </row>
    <row r="277" spans="1:13" hidden="1">
      <c r="A277" s="12" t="s">
        <v>11</v>
      </c>
      <c r="B277" s="11">
        <v>163417</v>
      </c>
      <c r="C277" s="11">
        <v>163417</v>
      </c>
      <c r="D277" s="8"/>
      <c r="L277" s="3"/>
      <c r="M277" s="3"/>
    </row>
    <row r="278" spans="1:13" hidden="1">
      <c r="A278" s="12" t="s">
        <v>10</v>
      </c>
      <c r="B278" s="11">
        <v>166085</v>
      </c>
      <c r="C278" s="11">
        <v>166085</v>
      </c>
      <c r="D278" s="8"/>
      <c r="L278" s="3"/>
      <c r="M278" s="3"/>
    </row>
    <row r="279" spans="1:13" hidden="1">
      <c r="A279" s="12" t="s">
        <v>9</v>
      </c>
      <c r="B279" s="11">
        <v>168795</v>
      </c>
      <c r="C279" s="11">
        <v>168795</v>
      </c>
      <c r="D279" s="8"/>
      <c r="L279" s="3"/>
      <c r="M279" s="3"/>
    </row>
    <row r="280" spans="1:13" hidden="1">
      <c r="A280" s="12" t="s">
        <v>8</v>
      </c>
      <c r="B280" s="11">
        <v>171550</v>
      </c>
      <c r="C280" s="11">
        <v>171550</v>
      </c>
      <c r="D280" s="8"/>
      <c r="L280" s="3"/>
      <c r="M280" s="3"/>
    </row>
    <row r="281" spans="1:13" hidden="1">
      <c r="A281" s="10" t="s">
        <v>7</v>
      </c>
      <c r="B281" s="9">
        <v>173081</v>
      </c>
      <c r="C281" s="9">
        <v>173081</v>
      </c>
      <c r="D281" s="8"/>
      <c r="L281" s="3"/>
      <c r="M281" s="3"/>
    </row>
    <row r="282" spans="1:13" hidden="1">
      <c r="A282" s="10" t="s">
        <v>6</v>
      </c>
      <c r="B282" s="9">
        <v>175905</v>
      </c>
      <c r="C282" s="9">
        <v>175905</v>
      </c>
      <c r="D282" s="8"/>
      <c r="L282" s="3"/>
      <c r="M282" s="3"/>
    </row>
    <row r="283" spans="1:13" hidden="1">
      <c r="A283" s="10" t="s">
        <v>5</v>
      </c>
      <c r="B283" s="9">
        <v>178778</v>
      </c>
      <c r="C283" s="9">
        <v>178778</v>
      </c>
      <c r="D283" s="8"/>
      <c r="L283" s="3"/>
      <c r="M283" s="3"/>
    </row>
    <row r="284" spans="1:13" hidden="1">
      <c r="A284" s="10" t="s">
        <v>4</v>
      </c>
      <c r="B284" s="9">
        <v>181696</v>
      </c>
      <c r="C284" s="9">
        <v>181696</v>
      </c>
      <c r="D284" s="8"/>
      <c r="L284" s="3"/>
      <c r="M284" s="3"/>
    </row>
    <row r="285" spans="1:13" hidden="1">
      <c r="A285" s="10" t="s">
        <v>3</v>
      </c>
      <c r="B285" s="9">
        <v>184661</v>
      </c>
      <c r="C285" s="9">
        <v>184661</v>
      </c>
      <c r="D285" s="8"/>
      <c r="L285" s="3"/>
      <c r="M285" s="3"/>
    </row>
    <row r="286" spans="1:13" hidden="1">
      <c r="A286" s="10" t="s">
        <v>2</v>
      </c>
      <c r="B286" s="9">
        <v>187675</v>
      </c>
      <c r="C286" s="9">
        <v>187675</v>
      </c>
      <c r="D286" s="8"/>
      <c r="L286" s="3"/>
      <c r="M286" s="3"/>
    </row>
    <row r="287" spans="1:13" hidden="1">
      <c r="A287" s="10" t="s">
        <v>1</v>
      </c>
      <c r="B287" s="9">
        <v>190738</v>
      </c>
      <c r="C287" s="9">
        <v>190738</v>
      </c>
      <c r="D287" s="8"/>
      <c r="L287" s="3"/>
      <c r="M287" s="3"/>
    </row>
    <row r="288" spans="1:13" hidden="1">
      <c r="A288" s="10" t="s">
        <v>0</v>
      </c>
      <c r="B288" s="9">
        <v>193851</v>
      </c>
      <c r="C288" s="9">
        <v>193851</v>
      </c>
      <c r="D288" s="8"/>
      <c r="L288" s="3"/>
      <c r="M288" s="3"/>
    </row>
    <row r="289" spans="1:13" s="3" customFormat="1" ht="15" hidden="1">
      <c r="A289" s="400"/>
      <c r="B289" s="6"/>
    </row>
    <row r="290" spans="1:13" s="3" customFormat="1" ht="15" hidden="1">
      <c r="A290" s="400"/>
      <c r="B290" s="6"/>
    </row>
    <row r="291" spans="1:13" s="3" customFormat="1" ht="15" hidden="1">
      <c r="A291" s="400"/>
      <c r="B291" s="6"/>
    </row>
    <row r="292" spans="1:13" s="3" customFormat="1" ht="15" hidden="1">
      <c r="A292" s="400"/>
      <c r="B292" s="6"/>
    </row>
    <row r="293" spans="1:13" s="3" customFormat="1" ht="15" hidden="1">
      <c r="A293" s="400"/>
      <c r="B293" s="6"/>
    </row>
    <row r="294" spans="1:13" s="3" customFormat="1" ht="15" hidden="1">
      <c r="A294" s="400"/>
      <c r="B294" s="6"/>
    </row>
    <row r="295" spans="1:13" s="3" customFormat="1" ht="15" hidden="1">
      <c r="A295" s="400"/>
      <c r="B295" s="6"/>
      <c r="L295" s="1"/>
      <c r="M295" s="1"/>
    </row>
    <row r="296" spans="1:13" s="3" customFormat="1" ht="15" hidden="1">
      <c r="A296" s="400"/>
      <c r="B296" s="6"/>
      <c r="L296" s="1"/>
      <c r="M296" s="1"/>
    </row>
    <row r="297" spans="1:13" s="3" customFormat="1" ht="15" hidden="1">
      <c r="A297" s="400"/>
      <c r="B297" s="6"/>
      <c r="L297" s="1"/>
      <c r="M297" s="1"/>
    </row>
    <row r="298" spans="1:13" s="3" customFormat="1" ht="15" hidden="1">
      <c r="A298" s="400"/>
      <c r="B298" s="6"/>
      <c r="L298" s="1"/>
      <c r="M298" s="1"/>
    </row>
    <row r="299" spans="1:13" s="3" customFormat="1" ht="15" hidden="1">
      <c r="A299" s="400"/>
      <c r="B299" s="6"/>
      <c r="L299" s="1"/>
      <c r="M299" s="1"/>
    </row>
    <row r="300" spans="1:13" s="3" customFormat="1" ht="15" hidden="1">
      <c r="A300" s="400"/>
      <c r="B300" s="6"/>
      <c r="L300" s="1"/>
      <c r="M300" s="1"/>
    </row>
    <row r="301" spans="1:13" s="3" customFormat="1" ht="15" hidden="1">
      <c r="A301" s="400"/>
      <c r="B301" s="6"/>
      <c r="L301" s="1"/>
      <c r="M301" s="1"/>
    </row>
    <row r="302" spans="1:13" s="3" customFormat="1" ht="15" hidden="1">
      <c r="A302" s="400"/>
      <c r="B302" s="6"/>
      <c r="L302" s="1"/>
      <c r="M302" s="1"/>
    </row>
    <row r="303" spans="1:13" s="3" customFormat="1" ht="15" hidden="1">
      <c r="A303" s="400"/>
      <c r="B303" s="6"/>
      <c r="L303" s="1"/>
      <c r="M303" s="1"/>
    </row>
    <row r="304" spans="1:13" s="3" customFormat="1" ht="15" hidden="1">
      <c r="A304" s="400"/>
      <c r="B304" s="6"/>
      <c r="L304" s="1"/>
      <c r="M304" s="1"/>
    </row>
    <row r="305" spans="1:13" s="3" customFormat="1" ht="15" hidden="1">
      <c r="A305" s="400"/>
      <c r="B305" s="6"/>
      <c r="L305" s="1"/>
      <c r="M305" s="1"/>
    </row>
    <row r="306" spans="1:13" s="3" customFormat="1" ht="15" hidden="1">
      <c r="A306" s="400"/>
      <c r="B306" s="6"/>
      <c r="L306" s="1"/>
      <c r="M306" s="1"/>
    </row>
    <row r="307" spans="1:13" s="3" customFormat="1" ht="15" hidden="1">
      <c r="A307" s="400"/>
      <c r="B307" s="6"/>
      <c r="L307" s="1"/>
      <c r="M307" s="1"/>
    </row>
    <row r="308" spans="1:13" s="3" customFormat="1" ht="15" hidden="1">
      <c r="A308" s="400"/>
      <c r="B308" s="6"/>
      <c r="L308" s="1"/>
      <c r="M308" s="1"/>
    </row>
    <row r="309" spans="1:13" s="3" customFormat="1" ht="15" hidden="1">
      <c r="A309" s="400"/>
      <c r="B309" s="6"/>
      <c r="L309" s="1"/>
      <c r="M309" s="1"/>
    </row>
    <row r="310" spans="1:13" s="3" customFormat="1" ht="15" hidden="1">
      <c r="A310" s="400"/>
      <c r="B310" s="6"/>
      <c r="L310" s="1"/>
      <c r="M310" s="1"/>
    </row>
    <row r="311" spans="1:13" s="3" customFormat="1" ht="15" hidden="1">
      <c r="A311" s="400"/>
      <c r="B311" s="6"/>
      <c r="L311" s="1"/>
      <c r="M311" s="1"/>
    </row>
    <row r="312" spans="1:13" s="3" customFormat="1" ht="15" hidden="1">
      <c r="A312" s="400"/>
      <c r="B312" s="6"/>
      <c r="L312" s="1"/>
      <c r="M312" s="1"/>
    </row>
    <row r="313" spans="1:13" s="3" customFormat="1" ht="15" hidden="1">
      <c r="A313" s="400"/>
      <c r="B313" s="6"/>
      <c r="L313" s="1"/>
      <c r="M313" s="1"/>
    </row>
    <row r="314" spans="1:13" s="3" customFormat="1" ht="15" hidden="1">
      <c r="A314" s="400"/>
      <c r="B314" s="6"/>
      <c r="L314" s="1"/>
      <c r="M314" s="1"/>
    </row>
    <row r="315" spans="1:13" s="3" customFormat="1" ht="15">
      <c r="A315" s="400"/>
      <c r="B315" s="6"/>
      <c r="L315" s="1"/>
      <c r="M315" s="1"/>
    </row>
    <row r="316" spans="1:13" s="3" customFormat="1" ht="15">
      <c r="A316" s="400"/>
      <c r="B316" s="6"/>
      <c r="L316" s="1"/>
      <c r="M316" s="1"/>
    </row>
    <row r="317" spans="1:13" s="3" customFormat="1" ht="15">
      <c r="A317" s="400"/>
      <c r="B317" s="6"/>
      <c r="L317" s="1"/>
      <c r="M317" s="1"/>
    </row>
  </sheetData>
  <mergeCells count="21">
    <mergeCell ref="O11:P11"/>
    <mergeCell ref="O12:P12"/>
    <mergeCell ref="A3:I3"/>
    <mergeCell ref="A4:I4"/>
    <mergeCell ref="A5:I5"/>
    <mergeCell ref="G7:H7"/>
    <mergeCell ref="J7:K7"/>
    <mergeCell ref="E8:F8"/>
    <mergeCell ref="G8:H8"/>
    <mergeCell ref="J8:K8"/>
    <mergeCell ref="E9:F9"/>
    <mergeCell ref="G9:H9"/>
    <mergeCell ref="J9:K9"/>
    <mergeCell ref="L12:M12"/>
    <mergeCell ref="J10:K10"/>
    <mergeCell ref="L11:M11"/>
    <mergeCell ref="A47:B47"/>
    <mergeCell ref="E10:F10"/>
    <mergeCell ref="G10:H10"/>
    <mergeCell ref="A11:B11"/>
    <mergeCell ref="A46:B46"/>
  </mergeCells>
  <pageMargins left="0" right="0" top="0.25" bottom="0" header="0.5" footer="0.5"/>
  <pageSetup paperSize="5" orientation="landscape" verticalDpi="72"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8"/>
  <sheetViews>
    <sheetView showGridLines="0" showOutlineSymbols="0" topLeftCell="A19" zoomScaleNormal="100" workbookViewId="0">
      <selection activeCell="I1" sqref="I1:I1048576"/>
    </sheetView>
  </sheetViews>
  <sheetFormatPr defaultColWidth="12.5703125" defaultRowHeight="15.75" outlineLevelRow="1" outlineLevelCol="2"/>
  <cols>
    <col min="1" max="1" width="1.85546875" style="235" customWidth="1"/>
    <col min="2" max="2" width="31.5703125" style="235" customWidth="1"/>
    <col min="3" max="3" width="11.7109375" style="235" customWidth="1"/>
    <col min="4" max="4" width="9.5703125" style="235" customWidth="1"/>
    <col min="5" max="5" width="9.85546875" style="235" customWidth="1"/>
    <col min="6" max="7" width="11.28515625" style="235" customWidth="1"/>
    <col min="8" max="8" width="11.140625" style="235" customWidth="1"/>
    <col min="9" max="9" width="14.140625" style="235" hidden="1" customWidth="1"/>
    <col min="10"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8" s="134" customFormat="1" ht="13.5">
      <c r="A1" s="575" t="s">
        <v>473</v>
      </c>
      <c r="E1" s="1668"/>
      <c r="G1" s="1668"/>
      <c r="H1" s="1668"/>
    </row>
    <row r="2" spans="1:8" s="134" customFormat="1" ht="14.25" customHeight="1">
      <c r="A2" s="574" t="s">
        <v>584</v>
      </c>
      <c r="E2" s="1667"/>
      <c r="G2" s="1667"/>
      <c r="H2" s="1667"/>
    </row>
    <row r="3" spans="1:8" s="134" customFormat="1" ht="14.25" customHeight="1">
      <c r="E3" s="1667"/>
      <c r="F3" s="1667"/>
      <c r="G3" s="1667"/>
      <c r="H3" s="1667"/>
    </row>
    <row r="4" spans="1:8" s="134" customFormat="1" ht="14.25" customHeight="1">
      <c r="E4" s="1667"/>
      <c r="F4" s="1667"/>
      <c r="G4" s="1667"/>
      <c r="H4" s="1667"/>
    </row>
    <row r="5" spans="1:8" s="134" customFormat="1" ht="14.25" customHeight="1">
      <c r="A5" s="4630" t="s">
        <v>471</v>
      </c>
      <c r="B5" s="4630"/>
      <c r="C5" s="4630"/>
      <c r="D5" s="4630"/>
      <c r="E5" s="4630"/>
      <c r="F5" s="4630"/>
      <c r="G5" s="4630"/>
      <c r="H5" s="4630"/>
    </row>
    <row r="6" spans="1:8" s="134" customFormat="1" ht="14.25" customHeight="1">
      <c r="A6" s="4623" t="s">
        <v>583</v>
      </c>
      <c r="B6" s="4631"/>
      <c r="C6" s="4631"/>
      <c r="D6" s="4631"/>
      <c r="E6" s="4631"/>
      <c r="F6" s="4631"/>
      <c r="G6" s="4631"/>
      <c r="H6" s="4631"/>
    </row>
    <row r="7" spans="1:8" s="134" customFormat="1" ht="14.25" customHeight="1">
      <c r="A7" s="140"/>
      <c r="B7" s="140"/>
      <c r="C7" s="140"/>
      <c r="D7" s="140"/>
      <c r="E7" s="140"/>
      <c r="F7" s="140"/>
      <c r="G7" s="140"/>
      <c r="H7" s="140"/>
    </row>
    <row r="8" spans="1:8" s="134" customFormat="1" ht="14.25" customHeight="1">
      <c r="A8" s="140"/>
      <c r="B8" s="140"/>
      <c r="C8" s="140"/>
      <c r="D8" s="140"/>
      <c r="E8" s="140"/>
      <c r="F8" s="140"/>
      <c r="G8" s="140"/>
      <c r="H8" s="140"/>
    </row>
    <row r="9" spans="1:8" s="134" customFormat="1" ht="14.25" customHeight="1">
      <c r="A9" s="2076" t="s">
        <v>1746</v>
      </c>
      <c r="B9" s="266"/>
    </row>
    <row r="10" spans="1:8" ht="14.25" customHeight="1">
      <c r="A10" s="398"/>
      <c r="B10" s="266" t="s">
        <v>1762</v>
      </c>
      <c r="D10" s="134"/>
      <c r="E10" s="134"/>
      <c r="F10" s="134"/>
      <c r="G10" s="134"/>
      <c r="H10" s="134"/>
    </row>
    <row r="11" spans="1:8" ht="14.25" customHeight="1">
      <c r="A11" s="398"/>
      <c r="B11" s="397"/>
      <c r="D11" s="134"/>
      <c r="E11" s="134"/>
      <c r="F11" s="134"/>
      <c r="G11" s="134"/>
      <c r="H11" s="134"/>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15.95" customHeight="1">
      <c r="A15" s="537" t="s">
        <v>456</v>
      </c>
      <c r="B15" s="566"/>
      <c r="C15" s="396"/>
      <c r="D15" s="2209"/>
      <c r="E15" s="2209"/>
      <c r="F15" s="2208"/>
      <c r="G15" s="2208"/>
      <c r="H15" s="2208"/>
    </row>
    <row r="16" spans="1:8" ht="15.95" customHeight="1">
      <c r="A16" s="189" t="s">
        <v>407</v>
      </c>
      <c r="B16" s="2207"/>
      <c r="C16" s="526"/>
      <c r="D16" s="2206">
        <f>SUM(D17:D31)</f>
        <v>47250</v>
      </c>
      <c r="E16" s="2205">
        <f>SUM(E17:E31)</f>
        <v>69068</v>
      </c>
      <c r="F16" s="2205">
        <f>SUM(F17:F31)</f>
        <v>5932</v>
      </c>
      <c r="G16" s="2205">
        <f>SUM(G17:G31)</f>
        <v>75000</v>
      </c>
      <c r="H16" s="2205">
        <f>SUM(H17:H31)</f>
        <v>75000</v>
      </c>
    </row>
    <row r="17" spans="1:9" ht="15.95" customHeight="1" outlineLevel="1">
      <c r="A17" s="519" t="s">
        <v>1738</v>
      </c>
      <c r="B17" s="2130"/>
      <c r="C17" s="978" t="s">
        <v>1679</v>
      </c>
      <c r="D17" s="2128">
        <f>'[8]FAMILY PLANNING'!$E$12</f>
        <v>47250</v>
      </c>
      <c r="E17" s="2110">
        <v>69068</v>
      </c>
      <c r="F17" s="2109">
        <f>SUM(G17-E17)</f>
        <v>5932</v>
      </c>
      <c r="G17" s="2108">
        <v>75000</v>
      </c>
      <c r="H17" s="2129">
        <v>75000</v>
      </c>
    </row>
    <row r="18" spans="1:9" s="134" customFormat="1" ht="15.95" customHeight="1" outlineLevel="1">
      <c r="A18" s="519"/>
      <c r="B18" s="518"/>
      <c r="C18" s="971"/>
      <c r="D18" s="2128"/>
      <c r="E18" s="2110"/>
      <c r="F18" s="2109"/>
      <c r="G18" s="234"/>
      <c r="H18" s="493"/>
    </row>
    <row r="19" spans="1:9" s="134" customFormat="1" ht="15.95" customHeight="1" outlineLevel="1">
      <c r="A19" s="519"/>
      <c r="B19" s="518"/>
      <c r="C19" s="971"/>
      <c r="D19" s="2128"/>
      <c r="E19" s="2110"/>
      <c r="F19" s="2109"/>
      <c r="G19" s="234"/>
      <c r="H19" s="493"/>
    </row>
    <row r="20" spans="1:9" s="134" customFormat="1" ht="15.95" customHeight="1" outlineLevel="1">
      <c r="A20" s="519"/>
      <c r="B20" s="518"/>
      <c r="C20" s="971"/>
      <c r="D20" s="2128"/>
      <c r="E20" s="2110"/>
      <c r="F20" s="2109"/>
      <c r="G20" s="234"/>
      <c r="H20" s="493"/>
    </row>
    <row r="21" spans="1:9" s="134" customFormat="1" ht="15.95" customHeight="1" outlineLevel="1">
      <c r="A21" s="519"/>
      <c r="B21" s="518"/>
      <c r="C21" s="971"/>
      <c r="D21" s="2128"/>
      <c r="E21" s="2110"/>
      <c r="F21" s="2109"/>
      <c r="G21" s="234"/>
      <c r="H21" s="493"/>
    </row>
    <row r="22" spans="1:9" s="134" customFormat="1" ht="15.95" customHeight="1" outlineLevel="1">
      <c r="A22" s="519"/>
      <c r="B22" s="518"/>
      <c r="C22" s="971"/>
      <c r="D22" s="2128"/>
      <c r="E22" s="2110"/>
      <c r="F22" s="2109"/>
      <c r="G22" s="234"/>
      <c r="H22" s="493"/>
    </row>
    <row r="23" spans="1:9" s="134" customFormat="1" ht="15.95" customHeight="1" outlineLevel="1">
      <c r="A23" s="519"/>
      <c r="B23" s="518"/>
      <c r="C23" s="971"/>
      <c r="D23" s="2128"/>
      <c r="E23" s="2110"/>
      <c r="F23" s="2109"/>
      <c r="G23" s="234"/>
      <c r="H23" s="493"/>
    </row>
    <row r="24" spans="1:9" ht="15.95" customHeight="1" outlineLevel="1">
      <c r="A24" s="1736"/>
      <c r="B24" s="2204"/>
      <c r="C24" s="530"/>
      <c r="D24" s="2128"/>
      <c r="E24" s="2110"/>
      <c r="F24" s="2109"/>
      <c r="G24" s="2108"/>
      <c r="H24" s="2129"/>
    </row>
    <row r="25" spans="1:9" ht="15.95" customHeight="1" outlineLevel="1">
      <c r="A25" s="1736"/>
      <c r="B25" s="2204"/>
      <c r="C25" s="530"/>
      <c r="D25" s="2128"/>
      <c r="E25" s="2110"/>
      <c r="F25" s="2109"/>
      <c r="G25" s="2108"/>
      <c r="H25" s="2129"/>
    </row>
    <row r="26" spans="1:9" ht="15.95" customHeight="1" outlineLevel="1">
      <c r="A26" s="519"/>
      <c r="B26" s="2130"/>
      <c r="C26" s="971"/>
      <c r="D26" s="2128"/>
      <c r="E26" s="2110"/>
      <c r="F26" s="2109"/>
      <c r="G26" s="2108"/>
      <c r="H26" s="2129"/>
    </row>
    <row r="27" spans="1:9" ht="15.95" customHeight="1" outlineLevel="1">
      <c r="A27" s="519"/>
      <c r="B27" s="2130"/>
      <c r="C27" s="1734"/>
      <c r="D27" s="2128"/>
      <c r="E27" s="2110"/>
      <c r="F27" s="2127"/>
      <c r="G27" s="2108"/>
      <c r="H27" s="2129"/>
    </row>
    <row r="28" spans="1:9" ht="15.95" customHeight="1" outlineLevel="1">
      <c r="A28" s="517"/>
      <c r="B28" s="2203"/>
      <c r="C28" s="1734"/>
      <c r="D28" s="2128"/>
      <c r="E28" s="2110"/>
      <c r="F28" s="2127"/>
      <c r="G28" s="2108"/>
      <c r="H28" s="2129"/>
    </row>
    <row r="29" spans="1:9" s="344" customFormat="1" ht="15.95" customHeight="1" outlineLevel="1">
      <c r="A29" s="512"/>
      <c r="B29" s="2202"/>
      <c r="C29" s="972"/>
      <c r="D29" s="2128"/>
      <c r="E29" s="2110"/>
      <c r="F29" s="2127"/>
      <c r="G29" s="2108"/>
      <c r="H29" s="2129"/>
    </row>
    <row r="30" spans="1:9" s="344" customFormat="1" ht="15.95" customHeight="1" outlineLevel="1">
      <c r="A30" s="512"/>
      <c r="B30" s="1476"/>
      <c r="C30" s="971"/>
      <c r="D30" s="2128"/>
      <c r="E30" s="2110"/>
      <c r="F30" s="2127"/>
      <c r="G30" s="2108"/>
      <c r="H30" s="2129"/>
    </row>
    <row r="31" spans="1:9" s="344" customFormat="1" ht="15.95" customHeight="1" outlineLevel="1">
      <c r="A31" s="508"/>
      <c r="B31" s="2201"/>
      <c r="C31" s="970"/>
      <c r="D31" s="2126"/>
      <c r="E31" s="2125"/>
      <c r="F31" s="2124"/>
      <c r="G31" s="2200"/>
      <c r="H31" s="2199"/>
    </row>
    <row r="32" spans="1:9" s="344" customFormat="1" ht="15.95" customHeight="1" outlineLevel="1" thickBot="1">
      <c r="A32" s="147" t="s">
        <v>366</v>
      </c>
      <c r="B32" s="731"/>
      <c r="C32" s="1016"/>
      <c r="D32" s="2121">
        <f>SUM(D16)</f>
        <v>47250</v>
      </c>
      <c r="E32" s="2119">
        <f>SUM(E16)</f>
        <v>69068</v>
      </c>
      <c r="F32" s="2198">
        <f>SUM(F16)</f>
        <v>5932</v>
      </c>
      <c r="G32" s="2119">
        <f>SUM(G16)</f>
        <v>75000</v>
      </c>
      <c r="H32" s="2118">
        <f>SUM(H16)</f>
        <v>75000</v>
      </c>
      <c r="I32" s="340" t="s">
        <v>1737</v>
      </c>
    </row>
    <row r="33" spans="1:9" ht="20.100000000000001" customHeight="1" outlineLevel="1" thickTop="1">
      <c r="H33" s="454"/>
    </row>
    <row r="34" spans="1:9" s="134" customFormat="1" ht="15.95" customHeight="1">
      <c r="A34" s="134" t="s">
        <v>364</v>
      </c>
      <c r="C34" s="141" t="s">
        <v>363</v>
      </c>
      <c r="E34" s="4804" t="s">
        <v>1752</v>
      </c>
      <c r="F34" s="4804"/>
      <c r="G34" s="4804"/>
    </row>
    <row r="35" spans="1:9" s="134" customFormat="1" ht="15.95" customHeight="1">
      <c r="C35" s="141"/>
    </row>
    <row r="36" spans="1:9" s="134" customFormat="1" ht="27.6" customHeight="1">
      <c r="A36" s="139" t="s">
        <v>1735</v>
      </c>
      <c r="C36" s="4635" t="s">
        <v>360</v>
      </c>
      <c r="D36" s="4635"/>
      <c r="E36" s="4630" t="s">
        <v>359</v>
      </c>
      <c r="F36" s="4630"/>
      <c r="G36" s="4630"/>
      <c r="H36" s="4630"/>
    </row>
    <row r="37" spans="1:9" s="135" customFormat="1" ht="15.95" customHeight="1">
      <c r="A37" s="2104" t="s">
        <v>1734</v>
      </c>
      <c r="B37" s="2104"/>
      <c r="C37" s="4622" t="s">
        <v>357</v>
      </c>
      <c r="D37" s="4622"/>
      <c r="E37" s="4623" t="s">
        <v>356</v>
      </c>
      <c r="F37" s="4623"/>
      <c r="G37" s="4623"/>
      <c r="H37" s="4623"/>
      <c r="I37" s="136"/>
    </row>
    <row r="38" spans="1:9" s="135" customFormat="1" ht="13.5">
      <c r="A38" s="4645"/>
      <c r="B38" s="4645"/>
      <c r="C38" s="4655"/>
      <c r="D38" s="4655"/>
      <c r="E38" s="137"/>
      <c r="F38" s="137"/>
      <c r="G38" s="137"/>
      <c r="H38" s="137"/>
      <c r="I38" s="136"/>
    </row>
  </sheetData>
  <mergeCells count="11">
    <mergeCell ref="A5:H5"/>
    <mergeCell ref="A6:H6"/>
    <mergeCell ref="E12:G12"/>
    <mergeCell ref="C36:D36"/>
    <mergeCell ref="E36:H36"/>
    <mergeCell ref="E34:G34"/>
    <mergeCell ref="C37:D37"/>
    <mergeCell ref="E37:H37"/>
    <mergeCell ref="A38:B38"/>
    <mergeCell ref="A12:B14"/>
    <mergeCell ref="C38:D38"/>
  </mergeCells>
  <pageMargins left="0.5" right="0" top="0.25" bottom="0" header="0.5" footer="0"/>
  <pageSetup paperSize="5" orientation="portrait"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4"/>
  <sheetViews>
    <sheetView showGridLines="0" showOutlineSymbols="0" topLeftCell="A25" zoomScaleNormal="100" workbookViewId="0">
      <selection activeCell="I1" sqref="I1:I1048576"/>
    </sheetView>
  </sheetViews>
  <sheetFormatPr defaultColWidth="12.5703125" defaultRowHeight="12.75" outlineLevelRow="1" outlineLevelCol="2"/>
  <cols>
    <col min="1" max="1" width="1.85546875" style="134" customWidth="1"/>
    <col min="2" max="2" width="32.28515625" style="134" customWidth="1"/>
    <col min="3" max="3" width="9.7109375" style="134" customWidth="1"/>
    <col min="4" max="4" width="10.85546875" style="134" customWidth="1"/>
    <col min="5" max="5" width="9.7109375" style="134" customWidth="1"/>
    <col min="6" max="6" width="10.7109375" style="134" customWidth="1"/>
    <col min="7" max="7" width="9.140625" style="134" customWidth="1"/>
    <col min="8" max="8" width="12"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1764</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536"/>
      <c r="C15" s="396"/>
      <c r="D15" s="396"/>
      <c r="E15" s="396"/>
      <c r="F15" s="536"/>
      <c r="G15" s="536"/>
      <c r="H15" s="536"/>
    </row>
    <row r="16" spans="1:8" ht="20.100000000000001" customHeight="1">
      <c r="A16" s="2116" t="s">
        <v>407</v>
      </c>
      <c r="B16" s="188"/>
      <c r="C16" s="526"/>
      <c r="D16" s="535">
        <f>SUM(D17:D27)</f>
        <v>24786</v>
      </c>
      <c r="E16" s="535">
        <f>SUM(E17:E27)</f>
        <v>1367</v>
      </c>
      <c r="F16" s="535">
        <f>SUM(F17:F27)</f>
        <v>23633</v>
      </c>
      <c r="G16" s="535">
        <f>SUM(G17:G27)</f>
        <v>25000</v>
      </c>
      <c r="H16" s="535">
        <f>SUM(H17:H27)</f>
        <v>25000</v>
      </c>
    </row>
    <row r="17" spans="1:9" ht="15.95" customHeight="1" outlineLevel="1">
      <c r="A17" s="519" t="s">
        <v>404</v>
      </c>
      <c r="B17" s="518"/>
      <c r="C17" s="530" t="s">
        <v>403</v>
      </c>
      <c r="D17" s="984">
        <f>[8]HIS!$E$11</f>
        <v>9900</v>
      </c>
      <c r="E17" s="1099">
        <v>0</v>
      </c>
      <c r="F17" s="1107">
        <f>SUM(G17-E17)</f>
        <v>10000</v>
      </c>
      <c r="G17" s="982">
        <v>10000</v>
      </c>
      <c r="H17" s="982">
        <v>10000</v>
      </c>
    </row>
    <row r="18" spans="1:9" ht="15.95" customHeight="1" outlineLevel="1">
      <c r="A18" s="166" t="s">
        <v>1763</v>
      </c>
      <c r="B18" s="518"/>
      <c r="C18" s="978" t="s">
        <v>401</v>
      </c>
      <c r="D18" s="951">
        <f>[8]HIS!$E$12</f>
        <v>10706</v>
      </c>
      <c r="E18" s="547">
        <v>1367</v>
      </c>
      <c r="F18" s="378">
        <f>SUM(G18-E18)</f>
        <v>13633</v>
      </c>
      <c r="G18" s="157">
        <v>15000</v>
      </c>
      <c r="H18" s="157">
        <v>15000</v>
      </c>
    </row>
    <row r="19" spans="1:9" ht="15.95" customHeight="1" outlineLevel="1">
      <c r="A19" s="166" t="s">
        <v>395</v>
      </c>
      <c r="B19" s="518"/>
      <c r="C19" s="978" t="s">
        <v>394</v>
      </c>
      <c r="D19" s="951">
        <f>[8]HIS!$E$13</f>
        <v>4180</v>
      </c>
      <c r="E19" s="378">
        <v>0</v>
      </c>
      <c r="F19" s="378">
        <f>SUM(G19-E19)</f>
        <v>0</v>
      </c>
      <c r="G19" s="157">
        <v>0</v>
      </c>
      <c r="H19" s="157">
        <v>0</v>
      </c>
    </row>
    <row r="20" spans="1:9" ht="15.95" customHeight="1" outlineLevel="1">
      <c r="A20" s="519"/>
      <c r="B20" s="518"/>
      <c r="C20" s="971"/>
      <c r="D20" s="951"/>
      <c r="E20" s="994"/>
      <c r="F20" s="238"/>
      <c r="G20" s="390"/>
      <c r="H20" s="157"/>
    </row>
    <row r="21" spans="1:9" ht="15.95" customHeight="1" outlineLevel="1">
      <c r="A21" s="519"/>
      <c r="B21" s="518"/>
      <c r="C21" s="971"/>
      <c r="D21" s="951"/>
      <c r="E21" s="994"/>
      <c r="F21" s="238"/>
      <c r="G21" s="390"/>
      <c r="H21" s="157"/>
    </row>
    <row r="22" spans="1:9" ht="15.95" customHeight="1" outlineLevel="1">
      <c r="A22" s="517"/>
      <c r="B22" s="950"/>
      <c r="C22" s="971"/>
      <c r="D22" s="951"/>
      <c r="E22" s="994"/>
      <c r="F22" s="238"/>
      <c r="G22" s="390"/>
      <c r="H22" s="157"/>
    </row>
    <row r="23" spans="1:9" ht="15.95" customHeight="1" outlineLevel="1">
      <c r="A23" s="519"/>
      <c r="B23" s="518"/>
      <c r="C23" s="971"/>
      <c r="D23" s="951"/>
      <c r="E23" s="994"/>
      <c r="F23" s="238"/>
      <c r="G23" s="390"/>
      <c r="H23" s="157"/>
    </row>
    <row r="24" spans="1:9" ht="15.95" customHeight="1" outlineLevel="1">
      <c r="A24" s="517"/>
      <c r="B24" s="516"/>
      <c r="C24" s="1734"/>
      <c r="D24" s="951"/>
      <c r="E24" s="994"/>
      <c r="F24" s="238"/>
      <c r="G24" s="390"/>
      <c r="H24" s="157"/>
    </row>
    <row r="25" spans="1:9" s="148" customFormat="1" ht="15.95" customHeight="1" outlineLevel="1">
      <c r="A25" s="512"/>
      <c r="B25" s="514"/>
      <c r="C25" s="2105"/>
      <c r="D25" s="951"/>
      <c r="E25" s="994"/>
      <c r="F25" s="238"/>
      <c r="G25" s="390"/>
      <c r="H25" s="157"/>
    </row>
    <row r="26" spans="1:9" s="148" customFormat="1" ht="15.95" customHeight="1" outlineLevel="1">
      <c r="A26" s="512"/>
      <c r="B26" s="511"/>
      <c r="C26" s="971"/>
      <c r="D26" s="951"/>
      <c r="E26" s="994"/>
      <c r="F26" s="238"/>
      <c r="G26" s="390"/>
      <c r="H26" s="157"/>
    </row>
    <row r="27" spans="1:9" s="148" customFormat="1" ht="15.95" customHeight="1" outlineLevel="1">
      <c r="A27" s="508"/>
      <c r="B27" s="507"/>
      <c r="C27" s="970"/>
      <c r="D27" s="969"/>
      <c r="E27" s="993"/>
      <c r="F27" s="992"/>
      <c r="G27" s="991"/>
      <c r="H27" s="149"/>
    </row>
    <row r="28" spans="1:9" s="148" customFormat="1" ht="15.95" customHeight="1" outlineLevel="1" thickBot="1">
      <c r="A28" s="147" t="s">
        <v>366</v>
      </c>
      <c r="B28" s="147"/>
      <c r="C28" s="146"/>
      <c r="D28" s="456">
        <f>SUM(D16)</f>
        <v>24786</v>
      </c>
      <c r="E28" s="456">
        <f>SUM(E16)</f>
        <v>1367</v>
      </c>
      <c r="F28" s="147">
        <f>SUM(F16)</f>
        <v>23633</v>
      </c>
      <c r="G28" s="456">
        <f>SUM(G16)</f>
        <v>25000</v>
      </c>
      <c r="H28" s="455">
        <f>SUM(H16)</f>
        <v>25000</v>
      </c>
      <c r="I28" s="340" t="s">
        <v>1742</v>
      </c>
    </row>
    <row r="29" spans="1:9" ht="20.100000000000001" customHeight="1" outlineLevel="1" thickTop="1">
      <c r="H29" s="454"/>
    </row>
    <row r="30" spans="1:9" ht="15.95" customHeight="1">
      <c r="A30" s="134" t="s">
        <v>364</v>
      </c>
      <c r="C30" s="141" t="s">
        <v>363</v>
      </c>
      <c r="E30" s="4804" t="s">
        <v>1752</v>
      </c>
      <c r="F30" s="4804"/>
      <c r="G30" s="4804"/>
    </row>
    <row r="31" spans="1:9" ht="15.95" customHeight="1">
      <c r="C31" s="141"/>
    </row>
    <row r="32" spans="1:9" ht="27.6" customHeight="1">
      <c r="A32" s="139" t="s">
        <v>1735</v>
      </c>
      <c r="C32" s="4635" t="s">
        <v>360</v>
      </c>
      <c r="D32" s="4635"/>
      <c r="E32" s="4630" t="s">
        <v>359</v>
      </c>
      <c r="F32" s="4630"/>
      <c r="G32" s="4630"/>
      <c r="H32" s="4630"/>
    </row>
    <row r="33" spans="1:9" s="135" customFormat="1" ht="15.95" customHeight="1">
      <c r="A33" s="2104" t="s">
        <v>1734</v>
      </c>
      <c r="B33" s="2104"/>
      <c r="C33" s="4622" t="s">
        <v>357</v>
      </c>
      <c r="D33" s="4622"/>
      <c r="E33" s="4623" t="s">
        <v>356</v>
      </c>
      <c r="F33" s="4623"/>
      <c r="G33" s="4623"/>
      <c r="H33" s="4623"/>
      <c r="I33" s="136"/>
    </row>
    <row r="34" spans="1:9" s="135" customFormat="1" ht="13.5">
      <c r="A34" s="4645"/>
      <c r="B34" s="4645"/>
      <c r="C34" s="4655"/>
      <c r="D34" s="4655"/>
      <c r="E34" s="137"/>
      <c r="F34" s="137"/>
      <c r="G34" s="137"/>
      <c r="H34" s="137"/>
      <c r="I34" s="136"/>
    </row>
  </sheetData>
  <mergeCells count="11">
    <mergeCell ref="A5:H5"/>
    <mergeCell ref="A6:H6"/>
    <mergeCell ref="E12:G12"/>
    <mergeCell ref="C32:D32"/>
    <mergeCell ref="E32:H32"/>
    <mergeCell ref="E30:G30"/>
    <mergeCell ref="C33:D33"/>
    <mergeCell ref="E33:H33"/>
    <mergeCell ref="A34:B34"/>
    <mergeCell ref="A12:B14"/>
    <mergeCell ref="C34:D34"/>
  </mergeCells>
  <pageMargins left="0.5" right="0" top="0.25" bottom="0" header="0.5" footer="0"/>
  <pageSetup paperSize="5" orientation="portrait"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6"/>
  <sheetViews>
    <sheetView showGridLines="0" showOutlineSymbols="0" topLeftCell="A10" zoomScale="110" zoomScaleNormal="110" workbookViewId="0">
      <selection activeCell="I1" sqref="I1:I1048576"/>
    </sheetView>
  </sheetViews>
  <sheetFormatPr defaultColWidth="12.5703125" defaultRowHeight="12.75" outlineLevelRow="1" outlineLevelCol="2"/>
  <cols>
    <col min="1" max="1" width="1.85546875" style="134" customWidth="1"/>
    <col min="2" max="2" width="33.7109375" style="134" customWidth="1"/>
    <col min="3" max="3" width="11.7109375" style="134" customWidth="1"/>
    <col min="4" max="4" width="10.7109375" style="134" customWidth="1"/>
    <col min="5" max="5" width="11.42578125" style="134" customWidth="1"/>
    <col min="6" max="6" width="11.28515625" style="134" customWidth="1"/>
    <col min="7" max="7" width="9.85546875" style="134" customWidth="1"/>
    <col min="8" max="8" width="10.14062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1767</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15.95" customHeight="1">
      <c r="A15" s="537" t="s">
        <v>456</v>
      </c>
      <c r="B15" s="536"/>
      <c r="C15" s="396"/>
      <c r="D15" s="536"/>
      <c r="E15" s="396"/>
      <c r="F15" s="536"/>
      <c r="G15" s="536"/>
      <c r="H15" s="536"/>
    </row>
    <row r="16" spans="1:8" ht="15.95" customHeight="1">
      <c r="A16" s="189" t="s">
        <v>407</v>
      </c>
      <c r="B16" s="527"/>
      <c r="C16" s="526"/>
      <c r="D16" s="535">
        <f>SUM(D17:D29)</f>
        <v>22450</v>
      </c>
      <c r="E16" s="535">
        <f>SUM(E17:E29)</f>
        <v>48905</v>
      </c>
      <c r="F16" s="186">
        <f>SUM(F17:F29)</f>
        <v>71095</v>
      </c>
      <c r="G16" s="535">
        <f>SUM(G17:G29)</f>
        <v>120000</v>
      </c>
      <c r="H16" s="535">
        <f>SUM(H17:H29)</f>
        <v>120000</v>
      </c>
    </row>
    <row r="17" spans="1:9" ht="15.95" customHeight="1" outlineLevel="1">
      <c r="A17" s="2177" t="s">
        <v>1766</v>
      </c>
      <c r="B17" s="2144"/>
      <c r="C17" s="978" t="s">
        <v>405</v>
      </c>
      <c r="D17" s="2189">
        <f>[8]LEPROSY!$E$11</f>
        <v>0</v>
      </c>
      <c r="E17" s="2173">
        <v>0</v>
      </c>
      <c r="F17" s="2216">
        <f>SUM(G17-E17)</f>
        <v>730</v>
      </c>
      <c r="G17" s="2215">
        <v>730</v>
      </c>
      <c r="H17" s="2215">
        <v>1156</v>
      </c>
    </row>
    <row r="18" spans="1:9" ht="15.95" customHeight="1" outlineLevel="1">
      <c r="A18" s="519" t="s">
        <v>1738</v>
      </c>
      <c r="B18" s="518"/>
      <c r="C18" s="978" t="s">
        <v>1679</v>
      </c>
      <c r="D18" s="2171">
        <f>[8]LEPROSY!$E$14</f>
        <v>0</v>
      </c>
      <c r="E18" s="2169">
        <v>31512</v>
      </c>
      <c r="F18" s="2213">
        <f>SUM(G18-E18)</f>
        <v>67604</v>
      </c>
      <c r="G18" s="2212">
        <v>99116</v>
      </c>
      <c r="H18" s="2212">
        <v>102994</v>
      </c>
    </row>
    <row r="19" spans="1:9" ht="15.95" customHeight="1" outlineLevel="1">
      <c r="A19" s="519" t="s">
        <v>1760</v>
      </c>
      <c r="B19" s="518"/>
      <c r="C19" s="978" t="s">
        <v>1677</v>
      </c>
      <c r="D19" s="2171">
        <f>[8]LEPROSY!$E$13</f>
        <v>22450</v>
      </c>
      <c r="E19" s="2169">
        <v>17393</v>
      </c>
      <c r="F19" s="2213">
        <f>SUM(G19-E19)</f>
        <v>1807</v>
      </c>
      <c r="G19" s="2212">
        <v>19200</v>
      </c>
      <c r="H19" s="2212">
        <v>13100</v>
      </c>
    </row>
    <row r="20" spans="1:9" ht="15.95" customHeight="1" outlineLevel="1">
      <c r="A20" s="1736" t="s">
        <v>674</v>
      </c>
      <c r="B20" s="1735"/>
      <c r="C20" s="530" t="s">
        <v>396</v>
      </c>
      <c r="D20" s="2171">
        <f>[8]LEPROSY!$E$12</f>
        <v>0</v>
      </c>
      <c r="E20" s="2169">
        <v>0</v>
      </c>
      <c r="F20" s="2213">
        <f>SUM(G20-E20)</f>
        <v>954</v>
      </c>
      <c r="G20" s="2212">
        <v>954</v>
      </c>
      <c r="H20" s="2212">
        <v>2750</v>
      </c>
    </row>
    <row r="21" spans="1:9" ht="15.95" customHeight="1" outlineLevel="1">
      <c r="A21" s="1736"/>
      <c r="B21" s="1735"/>
      <c r="C21" s="530"/>
      <c r="D21" s="2171"/>
      <c r="E21" s="2169"/>
      <c r="F21" s="2213"/>
      <c r="G21" s="2212"/>
      <c r="H21" s="2212"/>
    </row>
    <row r="22" spans="1:9" ht="15.95" customHeight="1" outlineLevel="1">
      <c r="A22" s="163"/>
      <c r="B22" s="518"/>
      <c r="C22" s="978"/>
      <c r="D22" s="2171"/>
      <c r="E22" s="2169"/>
      <c r="F22" s="2214"/>
      <c r="G22" s="2213"/>
      <c r="H22" s="2212"/>
    </row>
    <row r="23" spans="1:9" ht="15.95" customHeight="1" outlineLevel="1">
      <c r="A23" s="1736"/>
      <c r="B23" s="1735"/>
      <c r="C23" s="530"/>
      <c r="D23" s="2171"/>
      <c r="E23" s="2169"/>
      <c r="F23" s="2214"/>
      <c r="G23" s="2213"/>
      <c r="H23" s="2212"/>
    </row>
    <row r="24" spans="1:9" ht="15.95" customHeight="1" outlineLevel="1">
      <c r="A24" s="1736"/>
      <c r="B24" s="1735"/>
      <c r="C24" s="530"/>
      <c r="D24" s="2171"/>
      <c r="E24" s="2169"/>
      <c r="F24" s="2214"/>
      <c r="G24" s="2213"/>
      <c r="H24" s="2212"/>
    </row>
    <row r="25" spans="1:9" ht="15.95" customHeight="1" outlineLevel="1">
      <c r="A25" s="1736"/>
      <c r="B25" s="1735"/>
      <c r="C25" s="530"/>
      <c r="D25" s="2166"/>
      <c r="E25" s="2196"/>
      <c r="F25" s="2211"/>
      <c r="G25" s="2164"/>
      <c r="H25" s="2162"/>
    </row>
    <row r="26" spans="1:9" ht="15.95" customHeight="1" outlineLevel="1">
      <c r="A26" s="163"/>
      <c r="B26" s="518"/>
      <c r="C26" s="530"/>
      <c r="D26" s="2166"/>
      <c r="E26" s="2196"/>
      <c r="F26" s="2211"/>
      <c r="G26" s="2164"/>
      <c r="H26" s="2162"/>
    </row>
    <row r="27" spans="1:9" s="148" customFormat="1" ht="15.95" customHeight="1" outlineLevel="1">
      <c r="A27" s="512"/>
      <c r="B27" s="514"/>
      <c r="C27" s="2105"/>
      <c r="D27" s="2166"/>
      <c r="E27" s="2196"/>
      <c r="F27" s="2211"/>
      <c r="G27" s="2164"/>
      <c r="H27" s="2162"/>
    </row>
    <row r="28" spans="1:9" s="148" customFormat="1" ht="15.95" customHeight="1" outlineLevel="1">
      <c r="A28" s="512"/>
      <c r="B28" s="511"/>
      <c r="C28" s="971"/>
      <c r="D28" s="2166"/>
      <c r="E28" s="2196"/>
      <c r="F28" s="2211"/>
      <c r="G28" s="2164"/>
      <c r="H28" s="2162"/>
    </row>
    <row r="29" spans="1:9" s="148" customFormat="1" ht="15.95" customHeight="1" outlineLevel="1">
      <c r="A29" s="508"/>
      <c r="B29" s="507"/>
      <c r="C29" s="970"/>
      <c r="D29" s="2161"/>
      <c r="E29" s="968"/>
      <c r="F29" s="2210"/>
      <c r="G29" s="966"/>
      <c r="H29" s="149"/>
    </row>
    <row r="30" spans="1:9" s="148" customFormat="1" ht="15.95" customHeight="1" outlineLevel="1" thickBot="1">
      <c r="A30" s="147" t="s">
        <v>366</v>
      </c>
      <c r="B30" s="147"/>
      <c r="C30" s="146"/>
      <c r="D30" s="456">
        <f>SUM(D16)</f>
        <v>22450</v>
      </c>
      <c r="E30" s="456">
        <f>SUM(E16)</f>
        <v>48905</v>
      </c>
      <c r="F30" s="456">
        <f>SUM(F16)</f>
        <v>71095</v>
      </c>
      <c r="G30" s="456">
        <f>SUM(G16)</f>
        <v>120000</v>
      </c>
      <c r="H30" s="455">
        <f>SUM(H16)</f>
        <v>120000</v>
      </c>
      <c r="I30" s="340" t="s">
        <v>1765</v>
      </c>
    </row>
    <row r="31" spans="1:9" ht="20.100000000000001" customHeight="1" outlineLevel="1" thickTop="1">
      <c r="H31" s="454"/>
    </row>
    <row r="32" spans="1:9" ht="19.5" customHeight="1">
      <c r="A32" s="134" t="s">
        <v>364</v>
      </c>
      <c r="C32" s="141" t="s">
        <v>363</v>
      </c>
      <c r="E32" s="4804" t="s">
        <v>1752</v>
      </c>
      <c r="F32" s="4804"/>
      <c r="G32" s="4804"/>
    </row>
    <row r="33" spans="1:9" ht="18" customHeight="1">
      <c r="C33" s="141"/>
    </row>
    <row r="34" spans="1:9" ht="22.15" customHeight="1">
      <c r="A34" s="139" t="s">
        <v>1735</v>
      </c>
      <c r="C34" s="4635" t="s">
        <v>360</v>
      </c>
      <c r="D34" s="4635"/>
      <c r="E34" s="4630" t="s">
        <v>359</v>
      </c>
      <c r="F34" s="4630"/>
      <c r="G34" s="4630"/>
      <c r="H34" s="4630"/>
    </row>
    <row r="35" spans="1:9" s="135" customFormat="1" ht="13.5">
      <c r="A35" s="2104" t="s">
        <v>1734</v>
      </c>
      <c r="B35" s="2104"/>
      <c r="C35" s="4655" t="s">
        <v>357</v>
      </c>
      <c r="D35" s="4655"/>
      <c r="E35" s="4623" t="s">
        <v>356</v>
      </c>
      <c r="F35" s="4623"/>
      <c r="G35" s="4623"/>
      <c r="H35" s="4623"/>
      <c r="I35" s="136"/>
    </row>
    <row r="36" spans="1:9" s="135" customFormat="1" ht="13.5">
      <c r="A36" s="4645"/>
      <c r="B36" s="4645"/>
      <c r="C36" s="4655"/>
      <c r="D36" s="4655"/>
      <c r="E36" s="137"/>
      <c r="F36" s="137"/>
      <c r="G36" s="137"/>
      <c r="H36" s="137"/>
      <c r="I36" s="136"/>
    </row>
  </sheetData>
  <mergeCells count="11">
    <mergeCell ref="A5:H5"/>
    <mergeCell ref="A6:H6"/>
    <mergeCell ref="A12:B14"/>
    <mergeCell ref="E12:G12"/>
    <mergeCell ref="C34:D34"/>
    <mergeCell ref="E34:H34"/>
    <mergeCell ref="E32:G32"/>
    <mergeCell ref="C35:D35"/>
    <mergeCell ref="E35:H35"/>
    <mergeCell ref="A36:B36"/>
    <mergeCell ref="C36:D36"/>
  </mergeCells>
  <pageMargins left="0.5" right="0" top="0.25" bottom="0" header="0.5" footer="0"/>
  <pageSetup paperSize="5" orientation="portrait"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zoomScale="110" zoomScaleNormal="110" workbookViewId="0">
      <selection activeCell="I1" sqref="I1:I1048576"/>
    </sheetView>
  </sheetViews>
  <sheetFormatPr defaultColWidth="12.5703125" defaultRowHeight="12.75" outlineLevelRow="1" outlineLevelCol="2"/>
  <cols>
    <col min="1" max="1" width="1.85546875" style="134" customWidth="1"/>
    <col min="2" max="2" width="33.7109375" style="134" customWidth="1"/>
    <col min="3" max="3" width="11.7109375" style="134" customWidth="1"/>
    <col min="4" max="4" width="10.7109375" style="134" customWidth="1"/>
    <col min="5" max="5" width="11.42578125" style="134" customWidth="1"/>
    <col min="6" max="6" width="11.28515625" style="134" customWidth="1"/>
    <col min="7" max="7" width="9.85546875" style="134" customWidth="1"/>
    <col min="8" max="8" width="10.14062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1768</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15.95" customHeight="1">
      <c r="A15" s="537" t="s">
        <v>456</v>
      </c>
      <c r="B15" s="536"/>
      <c r="C15" s="396"/>
      <c r="D15" s="536"/>
      <c r="E15" s="396"/>
      <c r="F15" s="536"/>
      <c r="G15" s="536"/>
      <c r="H15" s="536"/>
    </row>
    <row r="16" spans="1:8" ht="15.95" customHeight="1">
      <c r="A16" s="189" t="s">
        <v>407</v>
      </c>
      <c r="B16" s="527"/>
      <c r="C16" s="526"/>
      <c r="D16" s="535">
        <f>SUM(D17:D30)</f>
        <v>194148.28</v>
      </c>
      <c r="E16" s="535">
        <f>SUM(E17:E30)</f>
        <v>163288</v>
      </c>
      <c r="F16" s="186">
        <f>SUM(F17:F30)</f>
        <v>122772</v>
      </c>
      <c r="G16" s="535">
        <f>SUM(G17:G30)</f>
        <v>286060</v>
      </c>
      <c r="H16" s="535">
        <f>SUM(H17:H30)</f>
        <v>200000</v>
      </c>
    </row>
    <row r="17" spans="1:9" ht="15.95" customHeight="1" outlineLevel="1">
      <c r="A17" s="2177" t="s">
        <v>1766</v>
      </c>
      <c r="B17" s="2144"/>
      <c r="C17" s="978" t="s">
        <v>405</v>
      </c>
      <c r="D17" s="2189">
        <f>'[8]MATERNAL&amp;CHILD HEALTH'!$E$11</f>
        <v>0</v>
      </c>
      <c r="E17" s="2173">
        <v>0</v>
      </c>
      <c r="F17" s="2214">
        <f>SUM(G17-E17)</f>
        <v>5000</v>
      </c>
      <c r="G17" s="2172">
        <v>5000</v>
      </c>
      <c r="H17" s="2215">
        <v>5000</v>
      </c>
    </row>
    <row r="18" spans="1:9" ht="15.95" customHeight="1" outlineLevel="1">
      <c r="A18" s="519" t="s">
        <v>1738</v>
      </c>
      <c r="B18" s="518"/>
      <c r="C18" s="978" t="s">
        <v>1679</v>
      </c>
      <c r="D18" s="2171">
        <f>'[8]MATERNAL&amp;CHILD HEALTH'!$E$12</f>
        <v>108088.28</v>
      </c>
      <c r="E18" s="2169">
        <v>104788</v>
      </c>
      <c r="F18" s="2214">
        <f>SUM(G18-E18)</f>
        <v>14962</v>
      </c>
      <c r="G18" s="2168">
        <v>119750</v>
      </c>
      <c r="H18" s="2212">
        <v>134000</v>
      </c>
    </row>
    <row r="19" spans="1:9" ht="15.95" customHeight="1" outlineLevel="1">
      <c r="A19" s="519" t="s">
        <v>1760</v>
      </c>
      <c r="B19" s="518"/>
      <c r="C19" s="978" t="s">
        <v>1677</v>
      </c>
      <c r="D19" s="2171">
        <f>'[8]MATERNAL&amp;CHILD HEALTH'!$E$13</f>
        <v>27560</v>
      </c>
      <c r="E19" s="2169">
        <v>0</v>
      </c>
      <c r="F19" s="2214">
        <f>SUM(G19-E19)</f>
        <v>102810</v>
      </c>
      <c r="G19" s="2168">
        <v>102810</v>
      </c>
      <c r="H19" s="2212">
        <v>61000</v>
      </c>
    </row>
    <row r="20" spans="1:9" ht="15.95" customHeight="1" outlineLevel="1">
      <c r="A20" s="163" t="s">
        <v>395</v>
      </c>
      <c r="B20" s="518"/>
      <c r="C20" s="978" t="s">
        <v>394</v>
      </c>
      <c r="D20" s="2171">
        <f>'[8]MATERNAL&amp;CHILD HEALTH'!$E$14</f>
        <v>58500</v>
      </c>
      <c r="E20" s="2169">
        <v>58500</v>
      </c>
      <c r="F20" s="2214">
        <f>SUM(G20-E20)</f>
        <v>0</v>
      </c>
      <c r="G20" s="2168">
        <v>58500</v>
      </c>
      <c r="H20" s="2212">
        <v>0</v>
      </c>
    </row>
    <row r="21" spans="1:9" ht="15.95" customHeight="1" outlineLevel="1">
      <c r="A21" s="163"/>
      <c r="B21" s="518"/>
      <c r="C21" s="978"/>
      <c r="D21" s="2171"/>
      <c r="E21" s="2169"/>
      <c r="F21" s="2214"/>
      <c r="G21" s="2168"/>
      <c r="H21" s="2212"/>
    </row>
    <row r="22" spans="1:9" ht="15.95" customHeight="1" outlineLevel="1">
      <c r="A22" s="163"/>
      <c r="B22" s="518"/>
      <c r="C22" s="978"/>
      <c r="D22" s="2171"/>
      <c r="E22" s="2169"/>
      <c r="F22" s="2214"/>
      <c r="G22" s="2213"/>
      <c r="H22" s="2212"/>
    </row>
    <row r="23" spans="1:9" ht="15.95" customHeight="1" outlineLevel="1">
      <c r="A23" s="163"/>
      <c r="B23" s="518"/>
      <c r="C23" s="978"/>
      <c r="D23" s="2171"/>
      <c r="E23" s="2169"/>
      <c r="F23" s="2214"/>
      <c r="G23" s="2213"/>
      <c r="H23" s="2212"/>
    </row>
    <row r="24" spans="1:9" ht="15.95" customHeight="1" outlineLevel="1">
      <c r="A24" s="1736"/>
      <c r="B24" s="1735"/>
      <c r="C24" s="530"/>
      <c r="D24" s="2171"/>
      <c r="E24" s="2169"/>
      <c r="F24" s="2214"/>
      <c r="G24" s="2213"/>
      <c r="H24" s="2212"/>
    </row>
    <row r="25" spans="1:9" ht="15.95" customHeight="1" outlineLevel="1">
      <c r="A25" s="1736"/>
      <c r="B25" s="1735"/>
      <c r="C25" s="530"/>
      <c r="D25" s="2171"/>
      <c r="E25" s="2169"/>
      <c r="F25" s="2214"/>
      <c r="G25" s="2213"/>
      <c r="H25" s="2212"/>
    </row>
    <row r="26" spans="1:9" ht="15.95" customHeight="1" outlineLevel="1">
      <c r="A26" s="1736"/>
      <c r="B26" s="1735"/>
      <c r="C26" s="530"/>
      <c r="D26" s="2166"/>
      <c r="E26" s="2196"/>
      <c r="F26" s="2211"/>
      <c r="G26" s="2164"/>
      <c r="H26" s="2162"/>
    </row>
    <row r="27" spans="1:9" ht="15.95" customHeight="1" outlineLevel="1">
      <c r="A27" s="163"/>
      <c r="B27" s="518"/>
      <c r="C27" s="530"/>
      <c r="D27" s="2166"/>
      <c r="E27" s="2196"/>
      <c r="F27" s="2211"/>
      <c r="G27" s="2164"/>
      <c r="H27" s="2162"/>
    </row>
    <row r="28" spans="1:9" s="148" customFormat="1" ht="15.95" customHeight="1" outlineLevel="1">
      <c r="A28" s="512"/>
      <c r="B28" s="514"/>
      <c r="C28" s="2105"/>
      <c r="D28" s="2166"/>
      <c r="E28" s="2196"/>
      <c r="F28" s="2211"/>
      <c r="G28" s="2164"/>
      <c r="H28" s="2162"/>
    </row>
    <row r="29" spans="1:9" s="148" customFormat="1" ht="15.95" customHeight="1" outlineLevel="1">
      <c r="A29" s="512"/>
      <c r="B29" s="511"/>
      <c r="C29" s="971"/>
      <c r="D29" s="2166"/>
      <c r="E29" s="2196"/>
      <c r="F29" s="2211"/>
      <c r="G29" s="2164"/>
      <c r="H29" s="2162"/>
    </row>
    <row r="30" spans="1:9" s="148" customFormat="1" ht="15.95" customHeight="1" outlineLevel="1">
      <c r="A30" s="508"/>
      <c r="B30" s="507"/>
      <c r="C30" s="970"/>
      <c r="D30" s="2161"/>
      <c r="E30" s="968"/>
      <c r="F30" s="2210"/>
      <c r="G30" s="966"/>
      <c r="H30" s="149"/>
    </row>
    <row r="31" spans="1:9" s="148" customFormat="1" ht="15.95" customHeight="1" outlineLevel="1" thickBot="1">
      <c r="A31" s="147" t="s">
        <v>366</v>
      </c>
      <c r="B31" s="147"/>
      <c r="C31" s="146"/>
      <c r="D31" s="456">
        <f>SUM(D16)</f>
        <v>194148.28</v>
      </c>
      <c r="E31" s="456">
        <f>SUM(E16)</f>
        <v>163288</v>
      </c>
      <c r="F31" s="456">
        <f>SUM(F16)</f>
        <v>122772</v>
      </c>
      <c r="G31" s="456">
        <f>SUM(G16)</f>
        <v>286060</v>
      </c>
      <c r="H31" s="455">
        <f>SUM(H16)</f>
        <v>200000</v>
      </c>
      <c r="I31" s="340" t="s">
        <v>1737</v>
      </c>
    </row>
    <row r="32" spans="1:9" ht="20.100000000000001" customHeight="1" outlineLevel="1" thickTop="1">
      <c r="H32" s="454"/>
    </row>
    <row r="33" spans="1:9" ht="19.5" customHeight="1">
      <c r="A33" s="134" t="s">
        <v>364</v>
      </c>
      <c r="C33" s="141" t="s">
        <v>363</v>
      </c>
      <c r="E33" s="4804" t="s">
        <v>1752</v>
      </c>
      <c r="F33" s="4804"/>
      <c r="G33" s="4804"/>
    </row>
    <row r="34" spans="1:9" ht="18" customHeight="1">
      <c r="C34" s="141"/>
    </row>
    <row r="35" spans="1:9" ht="27.6" customHeight="1">
      <c r="A35" s="139" t="s">
        <v>1735</v>
      </c>
      <c r="C35" s="4635" t="s">
        <v>360</v>
      </c>
      <c r="D35" s="4635"/>
      <c r="E35" s="4630" t="s">
        <v>359</v>
      </c>
      <c r="F35" s="4630"/>
      <c r="G35" s="4630"/>
      <c r="H35" s="4630"/>
    </row>
    <row r="36" spans="1:9" s="135" customFormat="1" ht="15.95" customHeight="1">
      <c r="A36" s="2104" t="s">
        <v>1734</v>
      </c>
      <c r="B36" s="2104"/>
      <c r="C36" s="4655" t="s">
        <v>357</v>
      </c>
      <c r="D36" s="4655"/>
      <c r="E36" s="4623" t="s">
        <v>356</v>
      </c>
      <c r="F36" s="4623"/>
      <c r="G36" s="4623"/>
      <c r="H36" s="4623"/>
      <c r="I36" s="136"/>
    </row>
    <row r="37" spans="1:9" s="135" customFormat="1" ht="13.5">
      <c r="A37" s="4645"/>
      <c r="B37" s="4645"/>
      <c r="C37" s="4655"/>
      <c r="D37" s="4655"/>
      <c r="E37" s="137"/>
      <c r="F37" s="137"/>
      <c r="G37" s="137"/>
      <c r="H37" s="137"/>
      <c r="I37" s="136"/>
    </row>
  </sheetData>
  <mergeCells count="11">
    <mergeCell ref="A5:H5"/>
    <mergeCell ref="A6:H6"/>
    <mergeCell ref="E12:G12"/>
    <mergeCell ref="C35:D35"/>
    <mergeCell ref="E35:H35"/>
    <mergeCell ref="E33:G33"/>
    <mergeCell ref="C36:D36"/>
    <mergeCell ref="E36:H36"/>
    <mergeCell ref="A37:B37"/>
    <mergeCell ref="A12:B14"/>
    <mergeCell ref="C37:D37"/>
  </mergeCells>
  <pageMargins left="0.5" right="0" top="0.25" bottom="0" header="0.5" footer="0"/>
  <pageSetup paperSize="5" orientation="portrait"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zoomScale="130" zoomScaleNormal="130" workbookViewId="0">
      <selection activeCell="I1" sqref="I1:I1048576"/>
    </sheetView>
  </sheetViews>
  <sheetFormatPr defaultColWidth="12.5703125" defaultRowHeight="12.75" outlineLevelRow="1" outlineLevelCol="2"/>
  <cols>
    <col min="1" max="1" width="1.85546875" style="134" customWidth="1"/>
    <col min="2" max="2" width="32.42578125" style="134" customWidth="1"/>
    <col min="3" max="3" width="10.7109375" style="134" customWidth="1"/>
    <col min="4" max="4" width="10.28515625" style="134" customWidth="1"/>
    <col min="5" max="8" width="10.710937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1769</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536"/>
      <c r="C15" s="396"/>
      <c r="D15" s="396"/>
      <c r="E15" s="396"/>
      <c r="F15" s="536"/>
      <c r="G15" s="536"/>
      <c r="H15" s="536"/>
    </row>
    <row r="16" spans="1:8" ht="20.100000000000001" customHeight="1">
      <c r="A16" s="2116" t="s">
        <v>407</v>
      </c>
      <c r="B16" s="188"/>
      <c r="C16" s="526"/>
      <c r="D16" s="535">
        <f>SUM(D17:D30)</f>
        <v>672060.88</v>
      </c>
      <c r="E16" s="535">
        <f>SUM(E17:E30)</f>
        <v>124332</v>
      </c>
      <c r="F16" s="535">
        <f>SUM(F17:F30)</f>
        <v>510000</v>
      </c>
      <c r="G16" s="535">
        <f>SUM(G17:G30)</f>
        <v>634332</v>
      </c>
      <c r="H16" s="535">
        <f>SUM(H17:H30)</f>
        <v>500000</v>
      </c>
    </row>
    <row r="17" spans="1:9" ht="15.95" customHeight="1" outlineLevel="1">
      <c r="A17" s="519" t="s">
        <v>1738</v>
      </c>
      <c r="B17" s="518"/>
      <c r="C17" s="978" t="s">
        <v>1679</v>
      </c>
      <c r="D17" s="984">
        <f>'[8]MENTAL HEALTH'!$E$11</f>
        <v>672060.88</v>
      </c>
      <c r="E17" s="1738">
        <v>124332</v>
      </c>
      <c r="F17" s="1107">
        <f>G17-E17</f>
        <v>507000</v>
      </c>
      <c r="G17" s="982">
        <v>631332</v>
      </c>
      <c r="H17" s="982">
        <v>392910</v>
      </c>
    </row>
    <row r="18" spans="1:9" ht="15.95" customHeight="1" outlineLevel="1">
      <c r="A18" s="163" t="s">
        <v>395</v>
      </c>
      <c r="B18" s="518"/>
      <c r="C18" s="978" t="s">
        <v>394</v>
      </c>
      <c r="D18" s="2171">
        <v>0</v>
      </c>
      <c r="E18" s="2169">
        <v>0</v>
      </c>
      <c r="F18" s="2214">
        <f>SUM(G18-E18)</f>
        <v>3000</v>
      </c>
      <c r="G18" s="2168">
        <v>3000</v>
      </c>
      <c r="H18" s="2212">
        <v>107090</v>
      </c>
    </row>
    <row r="19" spans="1:9" ht="15.95" customHeight="1" outlineLevel="1">
      <c r="A19" s="2038"/>
      <c r="B19" s="2037"/>
      <c r="C19" s="2195"/>
      <c r="D19" s="951"/>
      <c r="E19" s="994"/>
      <c r="F19" s="378"/>
      <c r="G19" s="390"/>
      <c r="H19" s="157"/>
    </row>
    <row r="20" spans="1:9" ht="15.95" customHeight="1" outlineLevel="1">
      <c r="A20" s="519"/>
      <c r="B20" s="518"/>
      <c r="C20" s="971"/>
      <c r="D20" s="951"/>
      <c r="E20" s="994"/>
      <c r="F20" s="238"/>
      <c r="G20" s="390"/>
      <c r="H20" s="157"/>
    </row>
    <row r="21" spans="1:9" ht="15.95" customHeight="1" outlineLevel="1">
      <c r="A21" s="519"/>
      <c r="B21" s="518"/>
      <c r="C21" s="971"/>
      <c r="D21" s="951"/>
      <c r="E21" s="994"/>
      <c r="F21" s="238"/>
      <c r="G21" s="390"/>
      <c r="H21" s="157"/>
    </row>
    <row r="22" spans="1:9" ht="15.95" customHeight="1" outlineLevel="1">
      <c r="A22" s="519"/>
      <c r="B22" s="518"/>
      <c r="C22" s="971"/>
      <c r="D22" s="951"/>
      <c r="E22" s="994"/>
      <c r="F22" s="238"/>
      <c r="G22" s="390"/>
      <c r="H22" s="157"/>
    </row>
    <row r="23" spans="1:9" ht="15.95" customHeight="1" outlineLevel="1">
      <c r="A23" s="519"/>
      <c r="B23" s="518"/>
      <c r="C23" s="971"/>
      <c r="D23" s="951"/>
      <c r="E23" s="994"/>
      <c r="F23" s="238"/>
      <c r="G23" s="390"/>
      <c r="H23" s="157"/>
    </row>
    <row r="24" spans="1:9" ht="15.95" customHeight="1" outlineLevel="1">
      <c r="A24" s="519"/>
      <c r="B24" s="518"/>
      <c r="C24" s="971"/>
      <c r="D24" s="951"/>
      <c r="E24" s="994"/>
      <c r="F24" s="238"/>
      <c r="G24" s="390"/>
      <c r="H24" s="157"/>
    </row>
    <row r="25" spans="1:9" ht="15.95" customHeight="1" outlineLevel="1">
      <c r="A25" s="517"/>
      <c r="B25" s="950"/>
      <c r="C25" s="971"/>
      <c r="D25" s="951"/>
      <c r="E25" s="994"/>
      <c r="F25" s="238"/>
      <c r="G25" s="390"/>
      <c r="H25" s="157"/>
    </row>
    <row r="26" spans="1:9" ht="15.95" customHeight="1" outlineLevel="1">
      <c r="A26" s="519"/>
      <c r="B26" s="518"/>
      <c r="C26" s="971"/>
      <c r="D26" s="951"/>
      <c r="E26" s="994"/>
      <c r="F26" s="238"/>
      <c r="G26" s="390"/>
      <c r="H26" s="157"/>
    </row>
    <row r="27" spans="1:9" ht="15.95" customHeight="1" outlineLevel="1">
      <c r="A27" s="517"/>
      <c r="B27" s="516"/>
      <c r="C27" s="1734"/>
      <c r="D27" s="951"/>
      <c r="E27" s="994"/>
      <c r="F27" s="238"/>
      <c r="G27" s="390"/>
      <c r="H27" s="157"/>
    </row>
    <row r="28" spans="1:9" s="148" customFormat="1" ht="15.95" customHeight="1" outlineLevel="1">
      <c r="A28" s="512"/>
      <c r="B28" s="514"/>
      <c r="C28" s="2105"/>
      <c r="D28" s="951"/>
      <c r="E28" s="994"/>
      <c r="F28" s="238"/>
      <c r="G28" s="390"/>
      <c r="H28" s="157"/>
    </row>
    <row r="29" spans="1:9" s="148" customFormat="1" ht="15.95" customHeight="1" outlineLevel="1">
      <c r="A29" s="512"/>
      <c r="B29" s="511"/>
      <c r="C29" s="971"/>
      <c r="D29" s="951"/>
      <c r="E29" s="994"/>
      <c r="F29" s="238"/>
      <c r="G29" s="390"/>
      <c r="H29" s="157"/>
    </row>
    <row r="30" spans="1:9" s="148" customFormat="1" ht="15.95" customHeight="1" outlineLevel="1">
      <c r="A30" s="508"/>
      <c r="B30" s="507"/>
      <c r="C30" s="970"/>
      <c r="D30" s="969"/>
      <c r="E30" s="993"/>
      <c r="F30" s="992"/>
      <c r="G30" s="991"/>
      <c r="H30" s="149"/>
    </row>
    <row r="31" spans="1:9" s="148" customFormat="1" ht="15.95" customHeight="1" outlineLevel="1" thickBot="1">
      <c r="A31" s="147" t="s">
        <v>366</v>
      </c>
      <c r="B31" s="731"/>
      <c r="C31" s="146"/>
      <c r="D31" s="456">
        <f>SUM(D16)</f>
        <v>672060.88</v>
      </c>
      <c r="E31" s="456">
        <f>SUM(E16)</f>
        <v>124332</v>
      </c>
      <c r="F31" s="147">
        <f>SUM(F16)</f>
        <v>510000</v>
      </c>
      <c r="G31" s="456">
        <f>SUM(G16)</f>
        <v>634332</v>
      </c>
      <c r="H31" s="455">
        <f>SUM(H16)</f>
        <v>500000</v>
      </c>
      <c r="I31" s="340" t="s">
        <v>1737</v>
      </c>
    </row>
    <row r="32" spans="1:9" ht="20.100000000000001" customHeight="1" outlineLevel="1" thickTop="1">
      <c r="H32" s="454"/>
    </row>
    <row r="33" spans="1:9" ht="15.95" customHeight="1">
      <c r="A33" s="134" t="s">
        <v>364</v>
      </c>
      <c r="C33" s="141" t="s">
        <v>363</v>
      </c>
      <c r="E33" s="4804" t="s">
        <v>1752</v>
      </c>
      <c r="F33" s="4804"/>
      <c r="G33" s="4804"/>
    </row>
    <row r="34" spans="1:9" ht="15.95" customHeight="1">
      <c r="C34" s="141"/>
    </row>
    <row r="35" spans="1:9" ht="27.6" customHeight="1">
      <c r="A35" s="139" t="s">
        <v>1735</v>
      </c>
      <c r="C35" s="4635" t="s">
        <v>360</v>
      </c>
      <c r="D35" s="4635"/>
      <c r="E35" s="4630" t="s">
        <v>359</v>
      </c>
      <c r="F35" s="4630"/>
      <c r="G35" s="4630"/>
      <c r="H35" s="4630"/>
    </row>
    <row r="36" spans="1:9" s="135" customFormat="1" ht="15.95" customHeight="1">
      <c r="A36" s="2104" t="s">
        <v>1734</v>
      </c>
      <c r="B36" s="2104"/>
      <c r="C36" s="4655" t="s">
        <v>357</v>
      </c>
      <c r="D36" s="4655"/>
      <c r="E36" s="4623" t="s">
        <v>356</v>
      </c>
      <c r="F36" s="4623"/>
      <c r="G36" s="4623"/>
      <c r="H36" s="4623"/>
      <c r="I36" s="136"/>
    </row>
    <row r="37" spans="1:9" s="135" customFormat="1" ht="13.5">
      <c r="A37" s="4645"/>
      <c r="B37" s="4645"/>
      <c r="C37" s="4655"/>
      <c r="D37" s="4655"/>
      <c r="E37" s="137"/>
      <c r="F37" s="137"/>
      <c r="G37" s="137"/>
      <c r="H37" s="137"/>
      <c r="I37" s="136"/>
    </row>
  </sheetData>
  <mergeCells count="11">
    <mergeCell ref="A5:H5"/>
    <mergeCell ref="A6:H6"/>
    <mergeCell ref="E12:G12"/>
    <mergeCell ref="C35:D35"/>
    <mergeCell ref="E35:H35"/>
    <mergeCell ref="E33:G33"/>
    <mergeCell ref="C36:D36"/>
    <mergeCell ref="E36:H36"/>
    <mergeCell ref="A37:B37"/>
    <mergeCell ref="A12:B14"/>
    <mergeCell ref="C37:D37"/>
  </mergeCells>
  <pageMargins left="0.5" right="0" top="0.25" bottom="0" header="0.5" footer="0"/>
  <pageSetup paperSize="5" orientation="portrait"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5"/>
  <sheetViews>
    <sheetView showGridLines="0" showOutlineSymbols="0" topLeftCell="A10" zoomScale="110" zoomScaleNormal="110" workbookViewId="0">
      <selection activeCell="I1" sqref="I1:I1048576"/>
    </sheetView>
  </sheetViews>
  <sheetFormatPr defaultColWidth="12.5703125" defaultRowHeight="12.75" outlineLevelRow="1" outlineLevelCol="2"/>
  <cols>
    <col min="1" max="1" width="1.85546875" style="134" customWidth="1"/>
    <col min="2" max="2" width="34.7109375" style="134" customWidth="1"/>
    <col min="3" max="3" width="10.5703125" style="134" customWidth="1"/>
    <col min="4" max="4" width="9.7109375" style="134" customWidth="1"/>
    <col min="5" max="6" width="10.7109375" style="134" customWidth="1"/>
    <col min="7" max="7" width="9.7109375" style="134" customWidth="1"/>
    <col min="8" max="8" width="11.2851562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c r="A1" s="1668" t="s">
        <v>473</v>
      </c>
      <c r="E1" s="1668"/>
      <c r="G1" s="1668"/>
      <c r="H1" s="1668"/>
    </row>
    <row r="2" spans="1:8" ht="14.25" customHeight="1">
      <c r="A2" s="1667"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1771</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536"/>
      <c r="C15" s="396"/>
      <c r="D15" s="396"/>
      <c r="E15" s="396"/>
      <c r="F15" s="536"/>
      <c r="G15" s="536"/>
      <c r="H15" s="536"/>
    </row>
    <row r="16" spans="1:8" ht="20.100000000000001" customHeight="1">
      <c r="A16" s="2116" t="s">
        <v>407</v>
      </c>
      <c r="B16" s="188"/>
      <c r="C16" s="526"/>
      <c r="D16" s="535">
        <f>SUM(D17:D28)</f>
        <v>165605.98000000001</v>
      </c>
      <c r="E16" s="535">
        <f>SUM(E17:E28)</f>
        <v>112710</v>
      </c>
      <c r="F16" s="535">
        <f>SUM(F17:F28)</f>
        <v>87290</v>
      </c>
      <c r="G16" s="535">
        <f>SUM(G17:G28)</f>
        <v>200000</v>
      </c>
      <c r="H16" s="535">
        <f>SUM(H17:H28)</f>
        <v>200000</v>
      </c>
    </row>
    <row r="17" spans="1:9" ht="15.95" customHeight="1" outlineLevel="1">
      <c r="A17" s="2177" t="s">
        <v>1753</v>
      </c>
      <c r="B17" s="2144"/>
      <c r="C17" s="1123" t="s">
        <v>405</v>
      </c>
      <c r="D17" s="2114">
        <f>[8]IMMUNIZATION!$E$11</f>
        <v>3240</v>
      </c>
      <c r="E17" s="2113">
        <v>0</v>
      </c>
      <c r="F17" s="2112">
        <f>SUM(G17-E17)</f>
        <v>15000</v>
      </c>
      <c r="G17" s="2131">
        <v>15000</v>
      </c>
      <c r="H17" s="2131">
        <v>12000</v>
      </c>
    </row>
    <row r="18" spans="1:9" ht="15.95" customHeight="1" outlineLevel="1">
      <c r="A18" s="519" t="s">
        <v>404</v>
      </c>
      <c r="B18" s="518"/>
      <c r="C18" s="1039" t="s">
        <v>403</v>
      </c>
      <c r="D18" s="2107">
        <f>[8]IMMUNIZATION!$E$12</f>
        <v>11000</v>
      </c>
      <c r="E18" s="2110">
        <v>0</v>
      </c>
      <c r="F18" s="2109">
        <f>SUM(G18-E18)</f>
        <v>13200</v>
      </c>
      <c r="G18" s="493">
        <v>13200</v>
      </c>
      <c r="H18" s="493">
        <v>6600</v>
      </c>
    </row>
    <row r="19" spans="1:9" ht="15.95" customHeight="1" outlineLevel="1">
      <c r="A19" s="519" t="s">
        <v>1738</v>
      </c>
      <c r="B19" s="518"/>
      <c r="C19" s="735" t="s">
        <v>1679</v>
      </c>
      <c r="D19" s="2107">
        <f>[8]IMMUNIZATION!$E$13</f>
        <v>19320</v>
      </c>
      <c r="E19" s="2110">
        <v>0</v>
      </c>
      <c r="F19" s="2109">
        <f>SUM(G19-E19)</f>
        <v>25000</v>
      </c>
      <c r="G19" s="493">
        <v>25000</v>
      </c>
      <c r="H19" s="493">
        <v>30000</v>
      </c>
    </row>
    <row r="20" spans="1:9" ht="15.95" customHeight="1" outlineLevel="1">
      <c r="A20" s="519" t="s">
        <v>1760</v>
      </c>
      <c r="B20" s="518"/>
      <c r="C20" s="735" t="s">
        <v>1677</v>
      </c>
      <c r="D20" s="2107">
        <f>[8]IMMUNIZATION!$E$15</f>
        <v>110046</v>
      </c>
      <c r="E20" s="2110">
        <v>112710</v>
      </c>
      <c r="F20" s="2109">
        <f>SUM(G20-E20)</f>
        <v>1890</v>
      </c>
      <c r="G20" s="493">
        <v>114600</v>
      </c>
      <c r="H20" s="493">
        <v>113950</v>
      </c>
    </row>
    <row r="21" spans="1:9" ht="15.95" customHeight="1" outlineLevel="1">
      <c r="A21" s="1736" t="s">
        <v>674</v>
      </c>
      <c r="B21" s="1735"/>
      <c r="C21" s="1039" t="s">
        <v>396</v>
      </c>
      <c r="D21" s="2107">
        <f>[8]IMMUNIZATION!$E$14</f>
        <v>21999.98</v>
      </c>
      <c r="E21" s="2110">
        <v>0</v>
      </c>
      <c r="F21" s="2109">
        <f>SUM(G21-E21)</f>
        <v>22200</v>
      </c>
      <c r="G21" s="493">
        <v>22200</v>
      </c>
      <c r="H21" s="493">
        <v>25000</v>
      </c>
    </row>
    <row r="22" spans="1:9" ht="15.95" customHeight="1" outlineLevel="1">
      <c r="A22" s="166" t="s">
        <v>383</v>
      </c>
      <c r="B22" s="173"/>
      <c r="C22" s="345"/>
      <c r="D22" s="2107"/>
      <c r="E22" s="2110"/>
      <c r="F22" s="2109"/>
      <c r="G22" s="493"/>
      <c r="H22" s="493"/>
    </row>
    <row r="23" spans="1:9" ht="15.95" customHeight="1" outlineLevel="1">
      <c r="A23" s="163"/>
      <c r="B23" s="164" t="s">
        <v>1770</v>
      </c>
      <c r="C23" s="735" t="s">
        <v>1667</v>
      </c>
      <c r="D23" s="2107">
        <f>[8]IMMUNIZATION!$E$17</f>
        <v>0</v>
      </c>
      <c r="E23" s="2110">
        <v>0</v>
      </c>
      <c r="F23" s="2109">
        <f>SUM(G23-E23)</f>
        <v>10000</v>
      </c>
      <c r="G23" s="493">
        <v>10000</v>
      </c>
      <c r="H23" s="493">
        <v>10000</v>
      </c>
    </row>
    <row r="24" spans="1:9" ht="15.95" customHeight="1" outlineLevel="1">
      <c r="A24" s="163" t="s">
        <v>776</v>
      </c>
      <c r="B24" s="518"/>
      <c r="C24" s="978" t="s">
        <v>367</v>
      </c>
      <c r="D24" s="2171">
        <f>[8]IMMUNIZATION!$E$18</f>
        <v>0</v>
      </c>
      <c r="E24" s="2169">
        <v>0</v>
      </c>
      <c r="F24" s="2213">
        <f>SUM(G24-E24)</f>
        <v>0</v>
      </c>
      <c r="G24" s="2212">
        <v>0</v>
      </c>
      <c r="H24" s="2212">
        <v>2450</v>
      </c>
    </row>
    <row r="25" spans="1:9" ht="15.95" customHeight="1" outlineLevel="1">
      <c r="A25" s="163"/>
      <c r="B25" s="162"/>
      <c r="C25" s="1039"/>
      <c r="D25" s="2107"/>
      <c r="E25" s="2110"/>
      <c r="F25" s="2109"/>
      <c r="G25" s="493"/>
      <c r="H25" s="493"/>
    </row>
    <row r="26" spans="1:9" ht="15.95" customHeight="1" outlineLevel="1">
      <c r="A26" s="519"/>
      <c r="B26" s="518"/>
      <c r="C26" s="1132"/>
      <c r="D26" s="2107"/>
      <c r="E26" s="2110"/>
      <c r="F26" s="2109"/>
      <c r="G26" s="493"/>
      <c r="H26" s="493"/>
    </row>
    <row r="27" spans="1:9" s="148" customFormat="1" ht="15.95" customHeight="1" outlineLevel="1">
      <c r="A27" s="512"/>
      <c r="B27" s="511"/>
      <c r="C27" s="1132"/>
      <c r="D27" s="2107"/>
      <c r="E27" s="2110"/>
      <c r="F27" s="2127"/>
      <c r="G27" s="2108"/>
      <c r="H27" s="493"/>
    </row>
    <row r="28" spans="1:9" s="148" customFormat="1" ht="15.95" customHeight="1" outlineLevel="1">
      <c r="A28" s="508"/>
      <c r="B28" s="507"/>
      <c r="C28" s="2217"/>
      <c r="D28" s="2142"/>
      <c r="E28" s="2125"/>
      <c r="F28" s="2124"/>
      <c r="G28" s="2200"/>
      <c r="H28" s="2122"/>
    </row>
    <row r="29" spans="1:9" s="148" customFormat="1" ht="18" customHeight="1" outlineLevel="1" thickBot="1">
      <c r="A29" s="147" t="s">
        <v>366</v>
      </c>
      <c r="B29" s="147"/>
      <c r="C29" s="146"/>
      <c r="D29" s="456">
        <f>SUM(D16)</f>
        <v>165605.98000000001</v>
      </c>
      <c r="E29" s="456">
        <f>SUM(E16)</f>
        <v>112710</v>
      </c>
      <c r="F29" s="147">
        <f>SUM(F16)</f>
        <v>87290</v>
      </c>
      <c r="G29" s="456">
        <f>SUM(G16)</f>
        <v>200000</v>
      </c>
      <c r="H29" s="455">
        <f>SUM(H16)</f>
        <v>200000</v>
      </c>
      <c r="I29" s="340" t="s">
        <v>1742</v>
      </c>
    </row>
    <row r="30" spans="1:9" ht="20.100000000000001" customHeight="1" outlineLevel="1" thickTop="1">
      <c r="H30" s="454"/>
    </row>
    <row r="31" spans="1:9" ht="15.95" customHeight="1">
      <c r="A31" s="134" t="s">
        <v>364</v>
      </c>
      <c r="C31" s="141" t="s">
        <v>363</v>
      </c>
      <c r="E31" s="4804" t="s">
        <v>1752</v>
      </c>
      <c r="F31" s="4804"/>
      <c r="G31" s="4804"/>
    </row>
    <row r="32" spans="1:9" ht="15.95" customHeight="1">
      <c r="C32" s="141"/>
    </row>
    <row r="33" spans="1:9" ht="27.6" customHeight="1">
      <c r="A33" s="139" t="s">
        <v>1735</v>
      </c>
      <c r="C33" s="4635" t="s">
        <v>360</v>
      </c>
      <c r="D33" s="4635"/>
      <c r="E33" s="4630" t="s">
        <v>359</v>
      </c>
      <c r="F33" s="4630"/>
      <c r="G33" s="4630"/>
      <c r="H33" s="4630"/>
    </row>
    <row r="34" spans="1:9" s="135" customFormat="1" ht="15.95" customHeight="1">
      <c r="A34" s="2104" t="s">
        <v>1734</v>
      </c>
      <c r="B34" s="2104"/>
      <c r="C34" s="4655" t="s">
        <v>357</v>
      </c>
      <c r="D34" s="4655"/>
      <c r="E34" s="4623" t="s">
        <v>356</v>
      </c>
      <c r="F34" s="4623"/>
      <c r="G34" s="4623"/>
      <c r="H34" s="4623"/>
      <c r="I34" s="136"/>
    </row>
    <row r="35" spans="1:9" s="135" customFormat="1" ht="13.5">
      <c r="A35" s="4645"/>
      <c r="B35" s="4645"/>
      <c r="C35" s="4655"/>
      <c r="D35" s="4655"/>
      <c r="E35" s="137"/>
      <c r="F35" s="137"/>
      <c r="G35" s="137"/>
      <c r="H35" s="137"/>
      <c r="I35" s="136"/>
    </row>
  </sheetData>
  <mergeCells count="11">
    <mergeCell ref="A5:H5"/>
    <mergeCell ref="A6:H6"/>
    <mergeCell ref="E12:G12"/>
    <mergeCell ref="C33:D33"/>
    <mergeCell ref="E33:H33"/>
    <mergeCell ref="E31:G31"/>
    <mergeCell ref="C35:D35"/>
    <mergeCell ref="C34:D34"/>
    <mergeCell ref="E34:H34"/>
    <mergeCell ref="A12:B14"/>
    <mergeCell ref="A35:B35"/>
  </mergeCells>
  <pageMargins left="0.5" right="0" top="0.25" bottom="0" header="0.5" footer="0"/>
  <pageSetup paperSize="5" orientation="portrait"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6"/>
  <sheetViews>
    <sheetView showGridLines="0" showOutlineSymbols="0" topLeftCell="A12" zoomScaleNormal="100" workbookViewId="0">
      <pane xSplit="4" ySplit="3" topLeftCell="E16" activePane="bottomRight" state="frozen"/>
      <selection activeCell="A12" sqref="A12"/>
      <selection pane="topRight" activeCell="E12" sqref="E12"/>
      <selection pane="bottomLeft" activeCell="A15" sqref="A15"/>
      <selection pane="bottomRight" activeCell="I1" sqref="I1:I1048576"/>
    </sheetView>
  </sheetViews>
  <sheetFormatPr defaultColWidth="12.5703125" defaultRowHeight="12.75" outlineLevelRow="1" outlineLevelCol="2"/>
  <cols>
    <col min="1" max="1" width="1.85546875" style="134" customWidth="1"/>
    <col min="2" max="2" width="32.28515625" style="134" customWidth="1"/>
    <col min="3" max="8" width="10.710937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66" t="s">
        <v>1772</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537" t="s">
        <v>456</v>
      </c>
      <c r="B15" s="566"/>
      <c r="C15" s="396"/>
      <c r="D15" s="396"/>
      <c r="E15" s="396"/>
      <c r="F15" s="536"/>
      <c r="G15" s="536"/>
      <c r="H15" s="536"/>
    </row>
    <row r="16" spans="1:8" ht="20.100000000000001" customHeight="1">
      <c r="A16" s="189" t="s">
        <v>407</v>
      </c>
      <c r="B16" s="987"/>
      <c r="C16" s="526"/>
      <c r="D16" s="535">
        <f>SUM(D17:D29)</f>
        <v>440212.77</v>
      </c>
      <c r="E16" s="535">
        <f>SUM(E17:E29)</f>
        <v>70735</v>
      </c>
      <c r="F16" s="535">
        <f>SUM(F17:F29)</f>
        <v>429265</v>
      </c>
      <c r="G16" s="535">
        <f>SUM(G17:G29)</f>
        <v>500000</v>
      </c>
      <c r="H16" s="535">
        <f>SUM(H17:H29)</f>
        <v>500000</v>
      </c>
    </row>
    <row r="17" spans="1:9" ht="15.95" customHeight="1" outlineLevel="1">
      <c r="A17" s="2177" t="s">
        <v>1753</v>
      </c>
      <c r="B17" s="2144"/>
      <c r="C17" s="2218" t="s">
        <v>405</v>
      </c>
      <c r="D17" s="984">
        <f>'[8]NEWBORN SCREENING'!$E$11</f>
        <v>1355</v>
      </c>
      <c r="E17" s="1738">
        <v>0</v>
      </c>
      <c r="F17" s="1107">
        <f>SUM(G17-E17)</f>
        <v>2500</v>
      </c>
      <c r="G17" s="982">
        <v>2500</v>
      </c>
      <c r="H17" s="982">
        <v>3000</v>
      </c>
    </row>
    <row r="18" spans="1:9" ht="15.95" customHeight="1" outlineLevel="1">
      <c r="A18" s="519" t="s">
        <v>402</v>
      </c>
      <c r="B18" s="518"/>
      <c r="C18" s="530" t="s">
        <v>401</v>
      </c>
      <c r="D18" s="951">
        <f>'[8]NEWBORN SCREENING'!$E$12</f>
        <v>40838</v>
      </c>
      <c r="E18" s="994">
        <v>36660</v>
      </c>
      <c r="F18" s="378">
        <f>SUM(G18-E18)</f>
        <v>155</v>
      </c>
      <c r="G18" s="157">
        <v>36815</v>
      </c>
      <c r="H18" s="157">
        <v>31975</v>
      </c>
    </row>
    <row r="19" spans="1:9" ht="15.95" customHeight="1" outlineLevel="1">
      <c r="A19" s="519" t="s">
        <v>1760</v>
      </c>
      <c r="B19" s="518"/>
      <c r="C19" s="978" t="s">
        <v>1677</v>
      </c>
      <c r="D19" s="951">
        <f>'[8]NEWBORN SCREENING'!$E$13</f>
        <v>332432</v>
      </c>
      <c r="E19" s="994">
        <v>3865</v>
      </c>
      <c r="F19" s="378">
        <f>SUM(G19-E19)</f>
        <v>375735</v>
      </c>
      <c r="G19" s="157">
        <v>379600</v>
      </c>
      <c r="H19" s="157">
        <v>382060</v>
      </c>
    </row>
    <row r="20" spans="1:9" ht="15.95" customHeight="1" outlineLevel="1">
      <c r="A20" s="1736" t="s">
        <v>674</v>
      </c>
      <c r="B20" s="1735"/>
      <c r="C20" s="530" t="s">
        <v>396</v>
      </c>
      <c r="D20" s="951">
        <f>'[8]NEWBORN SCREENING'!$E$14</f>
        <v>0</v>
      </c>
      <c r="E20" s="994">
        <v>0</v>
      </c>
      <c r="F20" s="378">
        <f>SUM(G20-E20)</f>
        <v>10120</v>
      </c>
      <c r="G20" s="157">
        <v>10120</v>
      </c>
      <c r="H20" s="157">
        <v>12000</v>
      </c>
    </row>
    <row r="21" spans="1:9" ht="15.95" customHeight="1" outlineLevel="1">
      <c r="A21" s="1736" t="s">
        <v>389</v>
      </c>
      <c r="B21" s="1735"/>
      <c r="C21" s="978" t="s">
        <v>388</v>
      </c>
      <c r="D21" s="951">
        <f>'[8]NEWBORN SCREENING'!$E$15</f>
        <v>65587.77</v>
      </c>
      <c r="E21" s="994">
        <v>30210</v>
      </c>
      <c r="F21" s="378">
        <f>SUM(G21-E21)</f>
        <v>40755</v>
      </c>
      <c r="G21" s="157">
        <v>70965</v>
      </c>
      <c r="H21" s="157">
        <v>70965</v>
      </c>
    </row>
    <row r="22" spans="1:9" ht="15.95" customHeight="1" outlineLevel="1">
      <c r="A22" s="519"/>
      <c r="B22" s="518"/>
      <c r="C22" s="971"/>
      <c r="D22" s="951"/>
      <c r="E22" s="994"/>
      <c r="F22" s="378"/>
      <c r="G22" s="390"/>
      <c r="H22" s="157"/>
    </row>
    <row r="23" spans="1:9" ht="15.95" customHeight="1" outlineLevel="1">
      <c r="A23" s="519"/>
      <c r="B23" s="518"/>
      <c r="C23" s="971"/>
      <c r="D23" s="951"/>
      <c r="E23" s="994"/>
      <c r="F23" s="378"/>
      <c r="G23" s="390"/>
      <c r="H23" s="157"/>
    </row>
    <row r="24" spans="1:9" ht="15.95" customHeight="1" outlineLevel="1">
      <c r="A24" s="517"/>
      <c r="B24" s="950"/>
      <c r="C24" s="971"/>
      <c r="D24" s="951"/>
      <c r="E24" s="994"/>
      <c r="F24" s="238"/>
      <c r="G24" s="390"/>
      <c r="H24" s="157"/>
    </row>
    <row r="25" spans="1:9" ht="15.95" customHeight="1" outlineLevel="1">
      <c r="A25" s="519"/>
      <c r="B25" s="518"/>
      <c r="C25" s="971"/>
      <c r="D25" s="951"/>
      <c r="E25" s="994"/>
      <c r="F25" s="238"/>
      <c r="G25" s="390"/>
      <c r="H25" s="157"/>
    </row>
    <row r="26" spans="1:9" ht="15.95" customHeight="1" outlineLevel="1">
      <c r="A26" s="517"/>
      <c r="B26" s="516"/>
      <c r="C26" s="1734"/>
      <c r="D26" s="951"/>
      <c r="E26" s="994"/>
      <c r="F26" s="238"/>
      <c r="G26" s="390"/>
      <c r="H26" s="157"/>
    </row>
    <row r="27" spans="1:9" s="148" customFormat="1" ht="15.95" customHeight="1" outlineLevel="1">
      <c r="A27" s="512"/>
      <c r="B27" s="514"/>
      <c r="C27" s="2105"/>
      <c r="D27" s="951"/>
      <c r="E27" s="994"/>
      <c r="F27" s="238"/>
      <c r="G27" s="390"/>
      <c r="H27" s="157"/>
    </row>
    <row r="28" spans="1:9" s="148" customFormat="1" ht="15.95" customHeight="1" outlineLevel="1">
      <c r="A28" s="512"/>
      <c r="B28" s="511"/>
      <c r="C28" s="971"/>
      <c r="D28" s="951"/>
      <c r="E28" s="994"/>
      <c r="F28" s="238"/>
      <c r="G28" s="390"/>
      <c r="H28" s="157"/>
    </row>
    <row r="29" spans="1:9" s="148" customFormat="1" ht="15.95" customHeight="1" outlineLevel="1">
      <c r="A29" s="508"/>
      <c r="B29" s="507"/>
      <c r="C29" s="970"/>
      <c r="D29" s="969"/>
      <c r="E29" s="993"/>
      <c r="F29" s="992"/>
      <c r="G29" s="991"/>
      <c r="H29" s="149"/>
    </row>
    <row r="30" spans="1:9" s="148" customFormat="1" ht="15.95" customHeight="1" outlineLevel="1" thickBot="1">
      <c r="A30" s="147" t="s">
        <v>366</v>
      </c>
      <c r="B30" s="147"/>
      <c r="C30" s="146"/>
      <c r="D30" s="456">
        <f>SUM(D16)</f>
        <v>440212.77</v>
      </c>
      <c r="E30" s="456">
        <f>SUM(E16)</f>
        <v>70735</v>
      </c>
      <c r="F30" s="147">
        <f>SUM(F16)</f>
        <v>429265</v>
      </c>
      <c r="G30" s="456">
        <f>SUM(G16)</f>
        <v>500000</v>
      </c>
      <c r="H30" s="455">
        <f>SUM(H16)</f>
        <v>500000</v>
      </c>
      <c r="I30" s="340" t="s">
        <v>1742</v>
      </c>
    </row>
    <row r="31" spans="1:9" ht="20.100000000000001" customHeight="1" outlineLevel="1" thickTop="1">
      <c r="H31" s="454"/>
    </row>
    <row r="32" spans="1:9" ht="15.95" customHeight="1">
      <c r="A32" s="134" t="s">
        <v>364</v>
      </c>
      <c r="C32" s="141" t="s">
        <v>363</v>
      </c>
      <c r="E32" s="4804" t="s">
        <v>1752</v>
      </c>
      <c r="F32" s="4804"/>
      <c r="G32" s="4804"/>
    </row>
    <row r="33" spans="1:9" ht="15.95" customHeight="1">
      <c r="C33" s="141"/>
    </row>
    <row r="34" spans="1:9" ht="27.6" customHeight="1">
      <c r="A34" s="139" t="s">
        <v>1735</v>
      </c>
      <c r="C34" s="4635" t="s">
        <v>360</v>
      </c>
      <c r="D34" s="4635"/>
      <c r="E34" s="4630" t="s">
        <v>359</v>
      </c>
      <c r="F34" s="4630"/>
      <c r="G34" s="4630"/>
      <c r="H34" s="4630"/>
    </row>
    <row r="35" spans="1:9" s="135" customFormat="1" ht="15.95" customHeight="1">
      <c r="A35" s="2104" t="s">
        <v>1734</v>
      </c>
      <c r="B35" s="2104"/>
      <c r="C35" s="4622" t="s">
        <v>357</v>
      </c>
      <c r="D35" s="4622"/>
      <c r="E35" s="4623" t="s">
        <v>356</v>
      </c>
      <c r="F35" s="4623"/>
      <c r="G35" s="4623"/>
      <c r="H35" s="4623"/>
      <c r="I35" s="136"/>
    </row>
    <row r="36" spans="1:9" s="135" customFormat="1" ht="13.5">
      <c r="A36" s="4645"/>
      <c r="B36" s="4645"/>
      <c r="C36" s="4655"/>
      <c r="D36" s="4655"/>
      <c r="E36" s="137"/>
      <c r="F36" s="137"/>
      <c r="G36" s="137"/>
      <c r="H36" s="137"/>
      <c r="I36" s="136"/>
    </row>
  </sheetData>
  <mergeCells count="11">
    <mergeCell ref="A5:H5"/>
    <mergeCell ref="A6:H6"/>
    <mergeCell ref="E12:G12"/>
    <mergeCell ref="C34:D34"/>
    <mergeCell ref="E34:H34"/>
    <mergeCell ref="E32:G32"/>
    <mergeCell ref="C35:D35"/>
    <mergeCell ref="E35:H35"/>
    <mergeCell ref="A36:B36"/>
    <mergeCell ref="A12:B14"/>
    <mergeCell ref="C36:D36"/>
  </mergeCells>
  <pageMargins left="0.5" right="0" top="0.25" bottom="0" header="0.5" footer="0"/>
  <pageSetup paperSize="5" orientation="portrait"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4"/>
  <sheetViews>
    <sheetView showGridLines="0" showOutlineSymbols="0" topLeftCell="A13" zoomScaleNormal="100" workbookViewId="0">
      <selection activeCell="I1" sqref="I1:I1048576"/>
    </sheetView>
  </sheetViews>
  <sheetFormatPr defaultColWidth="12.5703125" defaultRowHeight="12.75" outlineLevelRow="1" outlineLevelCol="2"/>
  <cols>
    <col min="1" max="1" width="1.85546875" style="134" customWidth="1"/>
    <col min="2" max="2" width="35" style="134" customWidth="1"/>
    <col min="3" max="8" width="10.710937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s="1668" customFormat="1" ht="14.25" customHeight="1">
      <c r="A10" s="2219"/>
      <c r="B10" s="2076" t="s">
        <v>1773</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2135"/>
      <c r="C15" s="396"/>
      <c r="D15" s="396"/>
      <c r="E15" s="396"/>
      <c r="F15" s="536"/>
      <c r="G15" s="536"/>
      <c r="H15" s="536"/>
    </row>
    <row r="16" spans="1:8" ht="20.100000000000001" customHeight="1">
      <c r="A16" s="2116" t="s">
        <v>407</v>
      </c>
      <c r="B16" s="2134"/>
      <c r="C16" s="526"/>
      <c r="D16" s="535">
        <f>SUM(D17:D27)</f>
        <v>54699.199999999997</v>
      </c>
      <c r="E16" s="535">
        <f>SUM(E17:E27)</f>
        <v>0</v>
      </c>
      <c r="F16" s="535">
        <f>SUM(F17:F27)</f>
        <v>94169.4</v>
      </c>
      <c r="G16" s="535">
        <f>SUM(G17:G27)</f>
        <v>94169.4</v>
      </c>
      <c r="H16" s="535">
        <f>SUM(H17:H27)</f>
        <v>65000</v>
      </c>
    </row>
    <row r="17" spans="1:9" ht="15.95" customHeight="1" outlineLevel="1">
      <c r="A17" s="519" t="s">
        <v>1738</v>
      </c>
      <c r="B17" s="518"/>
      <c r="C17" s="978" t="s">
        <v>1679</v>
      </c>
      <c r="D17" s="984">
        <f>[8]NUTRITION!$E$11</f>
        <v>54699.199999999997</v>
      </c>
      <c r="E17" s="2113">
        <v>0</v>
      </c>
      <c r="F17" s="2112">
        <f>SUM(G17-E17)</f>
        <v>94169.4</v>
      </c>
      <c r="G17" s="2131">
        <v>94169.4</v>
      </c>
      <c r="H17" s="2131">
        <v>65000</v>
      </c>
    </row>
    <row r="18" spans="1:9" ht="15.95" customHeight="1" outlineLevel="1">
      <c r="A18" s="1736"/>
      <c r="B18" s="1735"/>
      <c r="C18" s="530"/>
      <c r="D18" s="951"/>
      <c r="E18" s="2110"/>
      <c r="F18" s="2109"/>
      <c r="G18" s="493"/>
      <c r="H18" s="493"/>
    </row>
    <row r="19" spans="1:9" ht="15.95" customHeight="1" outlineLevel="1">
      <c r="A19" s="163"/>
      <c r="B19" s="518"/>
      <c r="C19" s="978"/>
      <c r="D19" s="2171"/>
      <c r="E19" s="2169"/>
      <c r="F19" s="2213"/>
      <c r="G19" s="2212"/>
      <c r="H19" s="2212"/>
    </row>
    <row r="20" spans="1:9" ht="15.95" customHeight="1" outlineLevel="1">
      <c r="A20" s="1736"/>
      <c r="B20" s="1735"/>
      <c r="C20" s="530"/>
      <c r="D20" s="951"/>
      <c r="E20" s="994"/>
      <c r="F20" s="238"/>
      <c r="G20" s="390"/>
      <c r="H20" s="157"/>
    </row>
    <row r="21" spans="1:9" ht="15.95" customHeight="1" outlineLevel="1">
      <c r="A21" s="519"/>
      <c r="B21" s="518"/>
      <c r="C21" s="971"/>
      <c r="D21" s="951"/>
      <c r="E21" s="994"/>
      <c r="F21" s="238"/>
      <c r="G21" s="390"/>
      <c r="H21" s="157"/>
    </row>
    <row r="22" spans="1:9" ht="15.95" customHeight="1" outlineLevel="1">
      <c r="A22" s="517"/>
      <c r="B22" s="950"/>
      <c r="C22" s="971"/>
      <c r="D22" s="951"/>
      <c r="E22" s="994"/>
      <c r="F22" s="238"/>
      <c r="G22" s="390"/>
      <c r="H22" s="157"/>
    </row>
    <row r="23" spans="1:9" ht="15.95" customHeight="1" outlineLevel="1">
      <c r="A23" s="519"/>
      <c r="B23" s="518"/>
      <c r="C23" s="971"/>
      <c r="D23" s="951"/>
      <c r="E23" s="994"/>
      <c r="F23" s="238"/>
      <c r="G23" s="390"/>
      <c r="H23" s="157"/>
    </row>
    <row r="24" spans="1:9" ht="15.95" customHeight="1" outlineLevel="1">
      <c r="A24" s="517"/>
      <c r="B24" s="516"/>
      <c r="C24" s="1734"/>
      <c r="D24" s="951"/>
      <c r="E24" s="994"/>
      <c r="F24" s="238"/>
      <c r="G24" s="390"/>
      <c r="H24" s="157"/>
    </row>
    <row r="25" spans="1:9" s="148" customFormat="1" ht="15.95" customHeight="1" outlineLevel="1">
      <c r="A25" s="512"/>
      <c r="B25" s="514"/>
      <c r="C25" s="2105"/>
      <c r="D25" s="951"/>
      <c r="E25" s="994"/>
      <c r="F25" s="238"/>
      <c r="G25" s="390"/>
      <c r="H25" s="157"/>
    </row>
    <row r="26" spans="1:9" s="148" customFormat="1" ht="15.95" customHeight="1" outlineLevel="1">
      <c r="A26" s="512"/>
      <c r="B26" s="511"/>
      <c r="C26" s="971"/>
      <c r="D26" s="951"/>
      <c r="E26" s="994"/>
      <c r="F26" s="238"/>
      <c r="G26" s="390"/>
      <c r="H26" s="157"/>
    </row>
    <row r="27" spans="1:9" s="148" customFormat="1" ht="15.95" customHeight="1" outlineLevel="1">
      <c r="A27" s="508"/>
      <c r="B27" s="507"/>
      <c r="C27" s="970"/>
      <c r="D27" s="969"/>
      <c r="E27" s="993"/>
      <c r="F27" s="992"/>
      <c r="G27" s="991"/>
      <c r="H27" s="149"/>
    </row>
    <row r="28" spans="1:9" s="148" customFormat="1" ht="16.5" customHeight="1" outlineLevel="1" thickBot="1">
      <c r="A28" s="147" t="s">
        <v>366</v>
      </c>
      <c r="B28" s="147"/>
      <c r="C28" s="146"/>
      <c r="D28" s="456">
        <f>SUM(D16)</f>
        <v>54699.199999999997</v>
      </c>
      <c r="E28" s="456">
        <f>SUM(E16)</f>
        <v>0</v>
      </c>
      <c r="F28" s="147">
        <f>SUM(F16)</f>
        <v>94169.4</v>
      </c>
      <c r="G28" s="456">
        <f>SUM(G16)</f>
        <v>94169.4</v>
      </c>
      <c r="H28" s="455">
        <f>SUM(H16)</f>
        <v>65000</v>
      </c>
      <c r="I28" s="340" t="s">
        <v>1742</v>
      </c>
    </row>
    <row r="29" spans="1:9" ht="20.100000000000001" customHeight="1" outlineLevel="1" thickTop="1">
      <c r="H29" s="454"/>
    </row>
    <row r="30" spans="1:9" ht="15.95" customHeight="1">
      <c r="A30" s="134" t="s">
        <v>364</v>
      </c>
      <c r="C30" s="141" t="s">
        <v>363</v>
      </c>
      <c r="E30" s="4804" t="s">
        <v>1752</v>
      </c>
      <c r="F30" s="4804"/>
      <c r="G30" s="4804"/>
    </row>
    <row r="31" spans="1:9" ht="15.95" customHeight="1">
      <c r="C31" s="141"/>
    </row>
    <row r="32" spans="1:9" ht="27.6" customHeight="1">
      <c r="A32" s="139" t="s">
        <v>1735</v>
      </c>
      <c r="C32" s="4635" t="s">
        <v>360</v>
      </c>
      <c r="D32" s="4635"/>
      <c r="E32" s="4630" t="s">
        <v>359</v>
      </c>
      <c r="F32" s="4630"/>
      <c r="G32" s="4630"/>
      <c r="H32" s="4630"/>
    </row>
    <row r="33" spans="1:9" s="135" customFormat="1" ht="15.95" customHeight="1">
      <c r="A33" s="2104" t="s">
        <v>1734</v>
      </c>
      <c r="B33" s="2104"/>
      <c r="C33" s="4622" t="s">
        <v>357</v>
      </c>
      <c r="D33" s="4622"/>
      <c r="E33" s="4623" t="s">
        <v>356</v>
      </c>
      <c r="F33" s="4623"/>
      <c r="G33" s="4623"/>
      <c r="H33" s="4623"/>
      <c r="I33" s="136"/>
    </row>
    <row r="34" spans="1:9" s="135" customFormat="1" ht="13.5">
      <c r="A34" s="4645"/>
      <c r="B34" s="4645"/>
      <c r="C34" s="4655"/>
      <c r="D34" s="4655"/>
      <c r="E34" s="137"/>
      <c r="F34" s="137"/>
      <c r="G34" s="137"/>
      <c r="H34" s="137"/>
      <c r="I34" s="136"/>
    </row>
  </sheetData>
  <mergeCells count="11">
    <mergeCell ref="A5:H5"/>
    <mergeCell ref="A6:H6"/>
    <mergeCell ref="E12:G12"/>
    <mergeCell ref="C32:D32"/>
    <mergeCell ref="E32:H32"/>
    <mergeCell ref="E30:G30"/>
    <mergeCell ref="C33:D33"/>
    <mergeCell ref="E33:H33"/>
    <mergeCell ref="A34:B34"/>
    <mergeCell ref="A12:B14"/>
    <mergeCell ref="C34:D34"/>
  </mergeCells>
  <pageMargins left="0.5" right="0" top="0.25" bottom="0" header="0.5" footer="0"/>
  <pageSetup paperSize="5" orientation="portrait"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topLeftCell="A8" zoomScaleNormal="100" workbookViewId="0">
      <selection activeCell="I1" sqref="I1:I1048576"/>
    </sheetView>
  </sheetViews>
  <sheetFormatPr defaultColWidth="12.5703125" defaultRowHeight="12.75" outlineLevelRow="1" outlineLevelCol="2"/>
  <cols>
    <col min="1" max="1" width="1.85546875" style="134" customWidth="1"/>
    <col min="2" max="2" width="34.85546875" style="134" customWidth="1"/>
    <col min="3" max="3" width="10.28515625" style="134" customWidth="1"/>
    <col min="4" max="4" width="11" style="134" customWidth="1"/>
    <col min="5" max="8" width="10.710937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1774</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15.95" customHeight="1">
      <c r="A15" s="537" t="s">
        <v>581</v>
      </c>
      <c r="B15" s="536"/>
      <c r="C15" s="396"/>
      <c r="D15" s="396"/>
      <c r="E15" s="396"/>
      <c r="F15" s="536"/>
      <c r="G15" s="536"/>
      <c r="H15" s="536"/>
    </row>
    <row r="16" spans="1:8" ht="15.95" customHeight="1">
      <c r="A16" s="189" t="s">
        <v>407</v>
      </c>
      <c r="B16" s="2222"/>
      <c r="C16" s="526"/>
      <c r="D16" s="186">
        <f>SUM(D17:D30)</f>
        <v>49484</v>
      </c>
      <c r="E16" s="186">
        <f>SUM(E17:E30)</f>
        <v>34687.5</v>
      </c>
      <c r="F16" s="186">
        <f>SUM(F17:F30)</f>
        <v>55312.5</v>
      </c>
      <c r="G16" s="186">
        <f>SUM(G17:G30)</f>
        <v>90000</v>
      </c>
      <c r="H16" s="186">
        <f>SUM(H17:H30)</f>
        <v>90000</v>
      </c>
    </row>
    <row r="17" spans="1:9" ht="15.95" customHeight="1" outlineLevel="1">
      <c r="A17" s="519" t="s">
        <v>1760</v>
      </c>
      <c r="B17" s="2130"/>
      <c r="C17" s="978" t="s">
        <v>1677</v>
      </c>
      <c r="D17" s="2128">
        <f>[8]CEMETERY!$E$11</f>
        <v>3135</v>
      </c>
      <c r="E17" s="212">
        <v>9892.5</v>
      </c>
      <c r="F17" s="2221">
        <f>SUM(G17-E17)</f>
        <v>12787.5</v>
      </c>
      <c r="G17" s="493">
        <v>22680</v>
      </c>
      <c r="H17" s="493">
        <v>15990</v>
      </c>
    </row>
    <row r="18" spans="1:9" ht="15.95" customHeight="1" outlineLevel="1">
      <c r="A18" s="1736" t="s">
        <v>674</v>
      </c>
      <c r="B18" s="2204"/>
      <c r="C18" s="530" t="s">
        <v>396</v>
      </c>
      <c r="D18" s="2128">
        <f>[8]CEMETERY!$E$12</f>
        <v>5600</v>
      </c>
      <c r="E18" s="2106">
        <v>0</v>
      </c>
      <c r="F18" s="150">
        <f>SUM(G18-E18)</f>
        <v>8000</v>
      </c>
      <c r="G18" s="493">
        <v>8000</v>
      </c>
      <c r="H18" s="529">
        <v>6400</v>
      </c>
    </row>
    <row r="19" spans="1:9" ht="15.95" customHeight="1" outlineLevel="1">
      <c r="A19" s="163" t="s">
        <v>395</v>
      </c>
      <c r="B19" s="2130"/>
      <c r="C19" s="978" t="s">
        <v>394</v>
      </c>
      <c r="D19" s="2128">
        <f>[8]CEMETERY!$E$13</f>
        <v>21039</v>
      </c>
      <c r="E19" s="2106">
        <v>16425</v>
      </c>
      <c r="F19" s="150">
        <f>SUM(G19-E19)</f>
        <v>29935</v>
      </c>
      <c r="G19" s="493">
        <v>46360</v>
      </c>
      <c r="H19" s="529">
        <v>54650</v>
      </c>
    </row>
    <row r="20" spans="1:9" ht="15.95" customHeight="1" outlineLevel="1">
      <c r="A20" s="517" t="s">
        <v>389</v>
      </c>
      <c r="B20" s="2203"/>
      <c r="C20" s="971" t="s">
        <v>388</v>
      </c>
      <c r="D20" s="2128">
        <f>[8]CEMETERY!$E$14</f>
        <v>19710</v>
      </c>
      <c r="E20" s="212">
        <v>8370</v>
      </c>
      <c r="F20" s="212">
        <f>SUM(G20-E20)</f>
        <v>4590</v>
      </c>
      <c r="G20" s="493">
        <v>12960</v>
      </c>
      <c r="H20" s="529">
        <v>12960</v>
      </c>
    </row>
    <row r="21" spans="1:9" ht="15.95" customHeight="1" outlineLevel="1">
      <c r="A21" s="163" t="s">
        <v>776</v>
      </c>
      <c r="B21" s="518"/>
      <c r="C21" s="978" t="s">
        <v>367</v>
      </c>
      <c r="D21" s="2171">
        <f>[8]CEMETERY!$E$15</f>
        <v>0</v>
      </c>
      <c r="E21" s="2169">
        <v>0</v>
      </c>
      <c r="F21" s="2213">
        <f>SUM(G21-E21)</f>
        <v>0</v>
      </c>
      <c r="G21" s="2212">
        <v>0</v>
      </c>
      <c r="H21" s="2212">
        <v>0</v>
      </c>
    </row>
    <row r="22" spans="1:9" ht="15.95" customHeight="1" outlineLevel="1">
      <c r="A22" s="519"/>
      <c r="B22" s="2130"/>
      <c r="C22" s="971"/>
      <c r="D22" s="2166"/>
      <c r="E22" s="994"/>
      <c r="F22" s="238"/>
      <c r="G22" s="390"/>
      <c r="H22" s="547"/>
    </row>
    <row r="23" spans="1:9" ht="15.95" customHeight="1" outlineLevel="1">
      <c r="A23" s="519"/>
      <c r="B23" s="2130"/>
      <c r="C23" s="1734"/>
      <c r="D23" s="2166"/>
      <c r="E23" s="994"/>
      <c r="F23" s="2182"/>
      <c r="G23" s="389"/>
      <c r="H23" s="547"/>
    </row>
    <row r="24" spans="1:9" ht="15.95" customHeight="1" outlineLevel="1">
      <c r="A24" s="517"/>
      <c r="B24" s="2203"/>
      <c r="C24" s="1734"/>
      <c r="D24" s="2166"/>
      <c r="E24" s="994"/>
      <c r="F24" s="2182"/>
      <c r="G24" s="389"/>
      <c r="H24" s="547"/>
    </row>
    <row r="25" spans="1:9" ht="15.95" customHeight="1" outlineLevel="1">
      <c r="A25" s="517"/>
      <c r="B25" s="2203"/>
      <c r="C25" s="1734"/>
      <c r="D25" s="2166"/>
      <c r="E25" s="994"/>
      <c r="F25" s="2182"/>
      <c r="G25" s="389"/>
      <c r="H25" s="547"/>
    </row>
    <row r="26" spans="1:9" ht="15.95" customHeight="1" outlineLevel="1">
      <c r="A26" s="517"/>
      <c r="B26" s="2203"/>
      <c r="C26" s="1734"/>
      <c r="D26" s="2166"/>
      <c r="E26" s="994"/>
      <c r="F26" s="2182"/>
      <c r="G26" s="389"/>
      <c r="H26" s="547"/>
    </row>
    <row r="27" spans="1:9" s="148" customFormat="1" ht="15.95" customHeight="1" outlineLevel="1">
      <c r="A27" s="512"/>
      <c r="B27" s="2184"/>
      <c r="C27" s="2105"/>
      <c r="D27" s="2166"/>
      <c r="E27" s="994"/>
      <c r="F27" s="2182"/>
      <c r="G27" s="389"/>
      <c r="H27" s="547"/>
    </row>
    <row r="28" spans="1:9" s="148" customFormat="1" ht="15.95" customHeight="1" outlineLevel="1">
      <c r="A28" s="512"/>
      <c r="B28" s="1476"/>
      <c r="C28" s="971"/>
      <c r="D28" s="2166"/>
      <c r="E28" s="994"/>
      <c r="F28" s="2182"/>
      <c r="G28" s="389"/>
      <c r="H28" s="547"/>
    </row>
    <row r="29" spans="1:9" s="148" customFormat="1" ht="15.95" customHeight="1" outlineLevel="1">
      <c r="A29" s="512"/>
      <c r="B29" s="1476"/>
      <c r="C29" s="971"/>
      <c r="D29" s="2166"/>
      <c r="E29" s="994"/>
      <c r="F29" s="2182"/>
      <c r="G29" s="389"/>
      <c r="H29" s="547"/>
    </row>
    <row r="30" spans="1:9" s="148" customFormat="1" ht="15.95" customHeight="1" outlineLevel="1">
      <c r="A30" s="508"/>
      <c r="B30" s="2201"/>
      <c r="C30" s="970"/>
      <c r="D30" s="2161"/>
      <c r="E30" s="993"/>
      <c r="F30" s="2179"/>
      <c r="G30" s="966"/>
      <c r="H30" s="1072"/>
    </row>
    <row r="31" spans="1:9" s="148" customFormat="1" ht="15.95" customHeight="1" outlineLevel="1" thickBot="1">
      <c r="A31" s="147" t="s">
        <v>366</v>
      </c>
      <c r="B31" s="147"/>
      <c r="C31" s="1016"/>
      <c r="D31" s="2220">
        <f>SUM(D16)</f>
        <v>49484</v>
      </c>
      <c r="E31" s="147">
        <f>SUM(E16)</f>
        <v>34687.5</v>
      </c>
      <c r="F31" s="147">
        <f>SUM(F16)</f>
        <v>55312.5</v>
      </c>
      <c r="G31" s="147">
        <f>SUM(G16)</f>
        <v>90000</v>
      </c>
      <c r="H31" s="455">
        <f>SUM(H16)</f>
        <v>90000</v>
      </c>
      <c r="I31" s="340" t="s">
        <v>1742</v>
      </c>
    </row>
    <row r="32" spans="1:9" ht="20.100000000000001" customHeight="1" outlineLevel="1" thickTop="1">
      <c r="H32" s="454"/>
    </row>
    <row r="33" spans="1:9" ht="19.5" customHeight="1">
      <c r="A33" s="134" t="s">
        <v>364</v>
      </c>
      <c r="C33" s="141" t="s">
        <v>363</v>
      </c>
      <c r="E33" s="4804" t="s">
        <v>1752</v>
      </c>
      <c r="F33" s="4804"/>
      <c r="G33" s="4804"/>
    </row>
    <row r="34" spans="1:9" ht="18" customHeight="1">
      <c r="C34" s="141"/>
    </row>
    <row r="35" spans="1:9" ht="27.6" customHeight="1">
      <c r="A35" s="139" t="s">
        <v>1735</v>
      </c>
      <c r="C35" s="4635" t="s">
        <v>360</v>
      </c>
      <c r="D35" s="4635"/>
      <c r="E35" s="4630" t="s">
        <v>359</v>
      </c>
      <c r="F35" s="4630"/>
      <c r="G35" s="4630"/>
      <c r="H35" s="4630"/>
    </row>
    <row r="36" spans="1:9" s="135" customFormat="1" ht="15.95" customHeight="1">
      <c r="A36" s="2104" t="s">
        <v>1734</v>
      </c>
      <c r="B36" s="2104"/>
      <c r="C36" s="4622" t="s">
        <v>357</v>
      </c>
      <c r="D36" s="4622"/>
      <c r="E36" s="4623" t="s">
        <v>356</v>
      </c>
      <c r="F36" s="4623"/>
      <c r="G36" s="4623"/>
      <c r="H36" s="4623"/>
      <c r="I36" s="136"/>
    </row>
    <row r="37" spans="1:9" s="135" customFormat="1" ht="13.5">
      <c r="A37" s="4645"/>
      <c r="B37" s="4645"/>
      <c r="C37" s="4655"/>
      <c r="D37" s="4655"/>
      <c r="E37" s="137"/>
      <c r="F37" s="137"/>
      <c r="G37" s="137"/>
      <c r="H37" s="137"/>
      <c r="I37" s="136"/>
    </row>
  </sheetData>
  <mergeCells count="11">
    <mergeCell ref="A5:H5"/>
    <mergeCell ref="A6:H6"/>
    <mergeCell ref="E12:G12"/>
    <mergeCell ref="C35:D35"/>
    <mergeCell ref="E35:H35"/>
    <mergeCell ref="E33:G33"/>
    <mergeCell ref="C36:D36"/>
    <mergeCell ref="E36:H36"/>
    <mergeCell ref="A37:B37"/>
    <mergeCell ref="A12:B14"/>
    <mergeCell ref="C37:D37"/>
  </mergeCells>
  <pageMargins left="0.5" right="0" top="0.25" bottom="0" header="0.5" footer="0"/>
  <pageSetup paperSize="5" orientation="portrait"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9"/>
  <sheetViews>
    <sheetView showGridLines="0" showOutlineSymbols="0" topLeftCell="A14" zoomScaleNormal="100" workbookViewId="0">
      <pane xSplit="3" topLeftCell="D1" activePane="topRight" state="frozen"/>
      <selection pane="topRight" activeCell="I1" sqref="I1:I1048576"/>
    </sheetView>
  </sheetViews>
  <sheetFormatPr defaultColWidth="12.5703125" defaultRowHeight="12.75" outlineLevelRow="1" outlineLevelCol="2"/>
  <cols>
    <col min="1" max="1" width="1.85546875" style="134" customWidth="1"/>
    <col min="2" max="2" width="36.28515625" style="134" customWidth="1"/>
    <col min="3" max="3" width="10.42578125" style="134" customWidth="1"/>
    <col min="4" max="4" width="9.140625" style="134" customWidth="1"/>
    <col min="5" max="7" width="10.7109375" style="134" customWidth="1"/>
    <col min="8" max="8" width="10.28515625" style="134" customWidth="1"/>
    <col min="9" max="9" width="14.140625" style="134" hidden="1" customWidth="1"/>
    <col min="10" max="48" width="12.5703125" style="134"/>
    <col min="49" max="53" width="12.5703125" style="134" outlineLevel="1"/>
    <col min="54" max="59" width="12.5703125" style="134" outlineLevel="2"/>
    <col min="60" max="62" width="12.5703125" style="134" outlineLevel="1"/>
    <col min="63" max="82" width="12.5703125" style="134"/>
    <col min="83" max="86" width="12.5703125" style="134" outlineLevel="1"/>
    <col min="87" max="134" width="12.5703125" style="134"/>
    <col min="135" max="140" width="12.5703125" style="134" outlineLevel="1"/>
    <col min="141" max="146" width="12.5703125" style="134" outlineLevel="2"/>
    <col min="147" max="149" width="12.5703125" style="134" outlineLevel="1"/>
    <col min="150" max="16384" width="12.5703125" style="134"/>
  </cols>
  <sheetData>
    <row r="1" spans="1:8">
      <c r="A1" s="1668" t="s">
        <v>473</v>
      </c>
      <c r="E1" s="1668"/>
      <c r="G1" s="1668"/>
      <c r="H1" s="1668"/>
    </row>
    <row r="2" spans="1:8" ht="14.25" customHeight="1">
      <c r="A2" s="1667"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ht="14.25" customHeight="1">
      <c r="A10" s="267"/>
      <c r="B10" s="2076" t="s">
        <v>1776</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536"/>
      <c r="C15" s="396"/>
      <c r="D15" s="396"/>
      <c r="E15" s="396"/>
      <c r="F15" s="536"/>
      <c r="G15" s="536"/>
      <c r="H15" s="998"/>
    </row>
    <row r="16" spans="1:8" ht="20.100000000000001" customHeight="1">
      <c r="A16" s="2116" t="s">
        <v>407</v>
      </c>
      <c r="B16" s="188"/>
      <c r="C16" s="526"/>
      <c r="D16" s="2229">
        <f>SUM(D17:D32)</f>
        <v>91418</v>
      </c>
      <c r="E16" s="2205">
        <f>SUM(E17:E32)</f>
        <v>105300</v>
      </c>
      <c r="F16" s="2205">
        <f>SUM(F17:F32)</f>
        <v>44700</v>
      </c>
      <c r="G16" s="2205">
        <f>SUM(G17:G32)</f>
        <v>150000</v>
      </c>
      <c r="H16" s="2205">
        <f>SUM(H17:H32)</f>
        <v>150000</v>
      </c>
    </row>
    <row r="17" spans="1:8" ht="15.95" customHeight="1" outlineLevel="1">
      <c r="A17" s="519" t="s">
        <v>1775</v>
      </c>
      <c r="B17" s="518"/>
      <c r="C17" s="2187" t="s">
        <v>1679</v>
      </c>
      <c r="D17" s="2228">
        <v>0</v>
      </c>
      <c r="E17" s="2110">
        <v>0</v>
      </c>
      <c r="F17" s="2110">
        <f>SUM(G17-E17)</f>
        <v>0</v>
      </c>
      <c r="G17" s="2136">
        <v>0</v>
      </c>
      <c r="H17" s="2136">
        <v>100000</v>
      </c>
    </row>
    <row r="18" spans="1:8" ht="15.95" customHeight="1" outlineLevel="1">
      <c r="A18" s="519" t="s">
        <v>1760</v>
      </c>
      <c r="B18" s="518"/>
      <c r="C18" s="2187" t="s">
        <v>1677</v>
      </c>
      <c r="D18" s="2228">
        <v>71453</v>
      </c>
      <c r="E18" s="2110">
        <v>105300</v>
      </c>
      <c r="F18" s="2110">
        <f>SUM(G18-E18)</f>
        <v>29450</v>
      </c>
      <c r="G18" s="2136">
        <v>134750</v>
      </c>
      <c r="H18" s="2136">
        <v>0</v>
      </c>
    </row>
    <row r="19" spans="1:8" ht="15.95" customHeight="1" outlineLevel="1">
      <c r="A19" s="1736" t="s">
        <v>674</v>
      </c>
      <c r="B19" s="1735"/>
      <c r="C19" s="2188" t="s">
        <v>396</v>
      </c>
      <c r="D19" s="2228">
        <v>2640</v>
      </c>
      <c r="E19" s="2110">
        <v>0</v>
      </c>
      <c r="F19" s="2110">
        <f>SUM(G19-E19)</f>
        <v>15250</v>
      </c>
      <c r="G19" s="2136">
        <v>15250</v>
      </c>
      <c r="H19" s="2136">
        <v>50000</v>
      </c>
    </row>
    <row r="20" spans="1:8" ht="15.95" customHeight="1" outlineLevel="1">
      <c r="A20" s="166" t="s">
        <v>395</v>
      </c>
      <c r="B20" s="518"/>
      <c r="C20" s="978" t="s">
        <v>394</v>
      </c>
      <c r="D20" s="2107">
        <v>17325</v>
      </c>
      <c r="E20" s="2110">
        <v>0</v>
      </c>
      <c r="F20" s="2109">
        <f>SUM(G20-E20)</f>
        <v>0</v>
      </c>
      <c r="G20" s="493">
        <v>0</v>
      </c>
      <c r="H20" s="493">
        <v>0</v>
      </c>
    </row>
    <row r="21" spans="1:8" ht="15.95" customHeight="1" outlineLevel="1">
      <c r="A21" s="519"/>
      <c r="B21" s="518"/>
      <c r="C21" s="1475"/>
      <c r="D21" s="2228"/>
      <c r="E21" s="2110"/>
      <c r="F21" s="2110"/>
      <c r="G21" s="2127"/>
      <c r="H21" s="2136"/>
    </row>
    <row r="22" spans="1:8" ht="15.95" customHeight="1" outlineLevel="1">
      <c r="A22" s="519"/>
      <c r="B22" s="518"/>
      <c r="C22" s="1475"/>
      <c r="D22" s="2228"/>
      <c r="E22" s="2110"/>
      <c r="F22" s="2110"/>
      <c r="G22" s="2127"/>
      <c r="H22" s="2136"/>
    </row>
    <row r="23" spans="1:8" ht="15.95" customHeight="1" outlineLevel="1">
      <c r="A23" s="519"/>
      <c r="B23" s="518"/>
      <c r="C23" s="1475"/>
      <c r="D23" s="2228"/>
      <c r="E23" s="2110"/>
      <c r="F23" s="2110"/>
      <c r="G23" s="2127"/>
      <c r="H23" s="2136"/>
    </row>
    <row r="24" spans="1:8" ht="15.95" customHeight="1" outlineLevel="1">
      <c r="A24" s="519"/>
      <c r="B24" s="518"/>
      <c r="C24" s="1475"/>
      <c r="D24" s="2228"/>
      <c r="E24" s="2110"/>
      <c r="F24" s="2110"/>
      <c r="G24" s="2127"/>
      <c r="H24" s="2136"/>
    </row>
    <row r="25" spans="1:8" ht="15.95" customHeight="1" outlineLevel="1">
      <c r="A25" s="519"/>
      <c r="B25" s="518"/>
      <c r="C25" s="1475"/>
      <c r="D25" s="2228"/>
      <c r="E25" s="2110"/>
      <c r="F25" s="2227"/>
      <c r="G25" s="2127"/>
      <c r="H25" s="2136"/>
    </row>
    <row r="26" spans="1:8" ht="15.95" customHeight="1" outlineLevel="1">
      <c r="A26" s="519"/>
      <c r="B26" s="518"/>
      <c r="C26" s="1475"/>
      <c r="D26" s="2228"/>
      <c r="E26" s="2110"/>
      <c r="F26" s="2227"/>
      <c r="G26" s="2127"/>
      <c r="H26" s="2136"/>
    </row>
    <row r="27" spans="1:8" ht="15.95" customHeight="1" outlineLevel="1">
      <c r="A27" s="517"/>
      <c r="B27" s="950"/>
      <c r="C27" s="1475"/>
      <c r="D27" s="2228"/>
      <c r="E27" s="2110"/>
      <c r="F27" s="2227"/>
      <c r="G27" s="2127"/>
      <c r="H27" s="2136"/>
    </row>
    <row r="28" spans="1:8" ht="15.95" customHeight="1" outlineLevel="1">
      <c r="A28" s="519"/>
      <c r="B28" s="518"/>
      <c r="C28" s="1475"/>
      <c r="D28" s="2228"/>
      <c r="E28" s="2110"/>
      <c r="F28" s="2227"/>
      <c r="G28" s="2127"/>
      <c r="H28" s="2136"/>
    </row>
    <row r="29" spans="1:8" ht="15.95" customHeight="1" outlineLevel="1">
      <c r="A29" s="517"/>
      <c r="B29" s="516"/>
      <c r="C29" s="2185"/>
      <c r="D29" s="2228"/>
      <c r="E29" s="2110"/>
      <c r="F29" s="2227"/>
      <c r="G29" s="2127"/>
      <c r="H29" s="2136"/>
    </row>
    <row r="30" spans="1:8" s="148" customFormat="1" ht="15.95" customHeight="1" outlineLevel="1">
      <c r="A30" s="512"/>
      <c r="B30" s="514"/>
      <c r="C30" s="2184"/>
      <c r="D30" s="2228"/>
      <c r="E30" s="2110"/>
      <c r="F30" s="2227"/>
      <c r="G30" s="2127"/>
      <c r="H30" s="2136"/>
    </row>
    <row r="31" spans="1:8" s="148" customFormat="1" ht="15.95" customHeight="1" outlineLevel="1">
      <c r="A31" s="512"/>
      <c r="B31" s="511"/>
      <c r="C31" s="1475"/>
      <c r="D31" s="2228"/>
      <c r="E31" s="2110"/>
      <c r="F31" s="2227"/>
      <c r="G31" s="2127"/>
      <c r="H31" s="2136"/>
    </row>
    <row r="32" spans="1:8" s="148" customFormat="1" ht="15.95" customHeight="1" outlineLevel="1">
      <c r="A32" s="508"/>
      <c r="B32" s="507"/>
      <c r="C32" s="2181"/>
      <c r="D32" s="2226"/>
      <c r="E32" s="2125"/>
      <c r="F32" s="2225"/>
      <c r="G32" s="2124"/>
      <c r="H32" s="2224"/>
    </row>
    <row r="33" spans="1:9" s="148" customFormat="1" ht="15.95" customHeight="1" outlineLevel="1" thickBot="1">
      <c r="A33" s="147" t="s">
        <v>366</v>
      </c>
      <c r="B33" s="147"/>
      <c r="C33" s="146"/>
      <c r="D33" s="2120">
        <f>SUM(D16)</f>
        <v>91418</v>
      </c>
      <c r="E33" s="2120">
        <f>SUM(E16)</f>
        <v>105300</v>
      </c>
      <c r="F33" s="2120">
        <f>SUM(F16)</f>
        <v>44700</v>
      </c>
      <c r="G33" s="2120">
        <f>SUM(G16)</f>
        <v>150000</v>
      </c>
      <c r="H33" s="2223">
        <f>SUM(H16)</f>
        <v>150000</v>
      </c>
      <c r="I33" s="340" t="s">
        <v>1742</v>
      </c>
    </row>
    <row r="34" spans="1:9" ht="20.100000000000001" customHeight="1" outlineLevel="1" thickTop="1">
      <c r="H34" s="454"/>
    </row>
    <row r="35" spans="1:9" ht="15.95" customHeight="1">
      <c r="A35" s="134" t="s">
        <v>364</v>
      </c>
      <c r="C35" s="141" t="s">
        <v>363</v>
      </c>
      <c r="E35" s="4804" t="s">
        <v>1752</v>
      </c>
      <c r="F35" s="4804"/>
      <c r="G35" s="4804"/>
    </row>
    <row r="36" spans="1:9" ht="15.95" customHeight="1">
      <c r="C36" s="141"/>
    </row>
    <row r="37" spans="1:9" ht="27.6" customHeight="1">
      <c r="A37" s="139" t="s">
        <v>1735</v>
      </c>
      <c r="C37" s="4635" t="s">
        <v>360</v>
      </c>
      <c r="D37" s="4635"/>
      <c r="E37" s="4630" t="s">
        <v>359</v>
      </c>
      <c r="F37" s="4630"/>
      <c r="G37" s="4630"/>
      <c r="H37" s="4630"/>
    </row>
    <row r="38" spans="1:9" s="135" customFormat="1" ht="15.95" customHeight="1">
      <c r="A38" s="2104" t="s">
        <v>1734</v>
      </c>
      <c r="B38" s="2104"/>
      <c r="C38" s="4655" t="s">
        <v>357</v>
      </c>
      <c r="D38" s="4655"/>
      <c r="E38" s="4623" t="s">
        <v>356</v>
      </c>
      <c r="F38" s="4623"/>
      <c r="G38" s="4623"/>
      <c r="H38" s="4623"/>
      <c r="I38" s="136"/>
    </row>
    <row r="39" spans="1:9" s="135" customFormat="1" ht="13.5">
      <c r="A39" s="4645"/>
      <c r="B39" s="4645"/>
      <c r="C39" s="4655"/>
      <c r="D39" s="4655"/>
      <c r="E39" s="137"/>
      <c r="F39" s="137"/>
      <c r="G39" s="137"/>
      <c r="H39" s="137"/>
      <c r="I39" s="136"/>
    </row>
  </sheetData>
  <mergeCells count="11">
    <mergeCell ref="A5:H5"/>
    <mergeCell ref="A6:H6"/>
    <mergeCell ref="E12:G12"/>
    <mergeCell ref="C37:D37"/>
    <mergeCell ref="E37:H37"/>
    <mergeCell ref="E35:G35"/>
    <mergeCell ref="C38:D38"/>
    <mergeCell ref="E38:H38"/>
    <mergeCell ref="A39:B39"/>
    <mergeCell ref="A12:B14"/>
    <mergeCell ref="C39:D39"/>
  </mergeCells>
  <pageMargins left="0.5" right="0" top="0.25" bottom="0" header="0.5" footer="0"/>
  <pageSetup paperSize="5"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P88"/>
  <sheetViews>
    <sheetView showGridLines="0" showOutlineSymbols="0" topLeftCell="A40" zoomScale="120" zoomScaleNormal="120" workbookViewId="0">
      <selection activeCell="A11" sqref="A11"/>
    </sheetView>
  </sheetViews>
  <sheetFormatPr defaultColWidth="12.85546875" defaultRowHeight="15.75" outlineLevelRow="2" outlineLevelCol="2"/>
  <cols>
    <col min="1" max="1" width="1.85546875" style="235" customWidth="1"/>
    <col min="2" max="2" width="32.28515625" style="235" customWidth="1"/>
    <col min="3" max="3" width="11.5703125" style="235" customWidth="1"/>
    <col min="4" max="4" width="11" style="235" customWidth="1"/>
    <col min="5" max="5" width="10.42578125" style="235" customWidth="1"/>
    <col min="6" max="6" width="11.140625" style="235" customWidth="1"/>
    <col min="7" max="8" width="11.28515625" style="235" customWidth="1"/>
    <col min="9" max="12" width="12.85546875" style="235" hidden="1" customWidth="1"/>
    <col min="13" max="13" width="2.42578125" style="235" hidden="1" customWidth="1"/>
    <col min="14" max="21" width="12.85546875" style="235" hidden="1" customWidth="1"/>
    <col min="22" max="45" width="12.85546875" style="235" customWidth="1"/>
    <col min="46" max="50" width="12.85546875" style="235" customWidth="1" outlineLevel="1"/>
    <col min="51" max="56" width="12.85546875" style="235" customWidth="1" outlineLevel="2"/>
    <col min="57" max="59" width="12.85546875" style="235" customWidth="1" outlineLevel="1"/>
    <col min="60" max="79" width="12.85546875" style="235" customWidth="1"/>
    <col min="80" max="83" width="12.85546875" style="235" customWidth="1" outlineLevel="1"/>
    <col min="84" max="131" width="12.85546875" style="235" customWidth="1"/>
    <col min="132" max="137" width="12.85546875" style="235" customWidth="1" outlineLevel="1"/>
    <col min="138" max="143" width="12.85546875" style="235" customWidth="1" outlineLevel="2"/>
    <col min="144" max="146" width="12.85546875" style="235" customWidth="1" outlineLevel="1"/>
    <col min="147" max="147" width="12.85546875" style="235" customWidth="1"/>
    <col min="148" max="16384" width="12.85546875" style="235"/>
  </cols>
  <sheetData>
    <row r="1" spans="1:10">
      <c r="A1" s="271" t="s">
        <v>473</v>
      </c>
      <c r="B1" s="134"/>
      <c r="C1" s="134"/>
      <c r="E1" s="271"/>
      <c r="H1" s="271"/>
    </row>
    <row r="2" spans="1:10" ht="14.25" customHeight="1">
      <c r="A2" s="270" t="s">
        <v>584</v>
      </c>
      <c r="B2" s="134"/>
      <c r="C2" s="134"/>
      <c r="E2" s="270"/>
      <c r="H2" s="270"/>
    </row>
    <row r="3" spans="1:10" ht="18" customHeight="1">
      <c r="A3" s="4630" t="s">
        <v>471</v>
      </c>
      <c r="B3" s="4630"/>
      <c r="C3" s="4630"/>
      <c r="D3" s="4630"/>
      <c r="E3" s="4630"/>
      <c r="F3" s="4630"/>
      <c r="G3" s="4630"/>
      <c r="H3" s="4630"/>
    </row>
    <row r="4" spans="1:10" ht="14.25" customHeight="1">
      <c r="A4" s="4623" t="s">
        <v>583</v>
      </c>
      <c r="B4" s="4631"/>
      <c r="C4" s="4631"/>
      <c r="D4" s="4631"/>
      <c r="E4" s="4631"/>
      <c r="F4" s="4631"/>
      <c r="G4" s="4631"/>
      <c r="H4" s="4631"/>
    </row>
    <row r="5" spans="1:10" ht="3.75" customHeight="1">
      <c r="A5" s="140"/>
      <c r="B5" s="140"/>
      <c r="C5" s="140"/>
      <c r="D5" s="140"/>
      <c r="E5" s="140"/>
      <c r="F5" s="140"/>
      <c r="G5" s="140"/>
      <c r="H5" s="140"/>
    </row>
    <row r="6" spans="1:10" ht="14.25" customHeight="1">
      <c r="A6" s="399" t="s">
        <v>653</v>
      </c>
      <c r="B6" s="397"/>
      <c r="D6" s="134"/>
      <c r="E6" s="134"/>
      <c r="F6" s="134"/>
      <c r="G6" s="134"/>
      <c r="H6" s="134"/>
    </row>
    <row r="7" spans="1:10" ht="6" customHeight="1">
      <c r="A7" s="266"/>
      <c r="B7" s="397"/>
      <c r="D7" s="134"/>
      <c r="E7" s="134"/>
      <c r="F7" s="134"/>
      <c r="G7" s="134"/>
      <c r="H7" s="134"/>
    </row>
    <row r="8" spans="1:10" ht="15" customHeight="1">
      <c r="A8" s="4624" t="s">
        <v>468</v>
      </c>
      <c r="B8" s="4625"/>
      <c r="C8" s="265" t="s">
        <v>467</v>
      </c>
      <c r="D8" s="264" t="s">
        <v>466</v>
      </c>
      <c r="E8" s="4632" t="s">
        <v>465</v>
      </c>
      <c r="F8" s="4633"/>
      <c r="G8" s="4634"/>
      <c r="H8" s="265" t="s">
        <v>464</v>
      </c>
      <c r="I8" s="265" t="s">
        <v>464</v>
      </c>
    </row>
    <row r="9" spans="1:10" ht="15" customHeight="1">
      <c r="A9" s="4626"/>
      <c r="B9" s="4627"/>
      <c r="C9" s="261" t="s">
        <v>463</v>
      </c>
      <c r="D9" s="261">
        <v>2020</v>
      </c>
      <c r="E9" s="503" t="s">
        <v>462</v>
      </c>
      <c r="F9" s="503" t="s">
        <v>461</v>
      </c>
      <c r="G9" s="262" t="s">
        <v>244</v>
      </c>
      <c r="H9" s="262" t="s">
        <v>652</v>
      </c>
      <c r="I9" s="262" t="s">
        <v>652</v>
      </c>
    </row>
    <row r="10" spans="1:10" ht="15" customHeight="1">
      <c r="A10" s="4628"/>
      <c r="B10" s="4629"/>
      <c r="C10" s="260"/>
      <c r="D10" s="258" t="s">
        <v>460</v>
      </c>
      <c r="E10" s="258" t="s">
        <v>460</v>
      </c>
      <c r="F10" s="258" t="s">
        <v>459</v>
      </c>
      <c r="G10" s="259"/>
      <c r="H10" s="258" t="s">
        <v>458</v>
      </c>
      <c r="I10" s="258" t="s">
        <v>457</v>
      </c>
      <c r="J10" s="256">
        <v>0.1</v>
      </c>
    </row>
    <row r="11" spans="1:10" ht="18" customHeight="1">
      <c r="A11" s="255" t="s">
        <v>456</v>
      </c>
      <c r="B11" s="395"/>
      <c r="C11" s="221"/>
      <c r="D11" s="221"/>
      <c r="E11" s="221"/>
      <c r="F11" s="251"/>
      <c r="G11" s="251"/>
      <c r="H11" s="251"/>
      <c r="I11" s="396"/>
      <c r="J11" s="241"/>
    </row>
    <row r="12" spans="1:10" ht="18" customHeight="1">
      <c r="A12" s="252" t="s">
        <v>455</v>
      </c>
      <c r="B12" s="395"/>
      <c r="C12" s="502"/>
      <c r="D12" s="501">
        <f>SUM(D14:D34)</f>
        <v>7165578.9800000004</v>
      </c>
      <c r="E12" s="500">
        <f>SUM(E14:E34)</f>
        <v>3486061.59</v>
      </c>
      <c r="F12" s="500">
        <f>SUM(F14:F34)</f>
        <v>7489602.4100000011</v>
      </c>
      <c r="G12" s="500">
        <f>SUM(G14:G34)</f>
        <v>10975664</v>
      </c>
      <c r="H12" s="500">
        <f>SUM(H14:H34)</f>
        <v>9163394</v>
      </c>
      <c r="I12" s="500">
        <f>SUM(I14:I33)</f>
        <v>9163394</v>
      </c>
      <c r="J12" s="224"/>
    </row>
    <row r="13" spans="1:10" ht="14.1" customHeight="1" outlineLevel="1">
      <c r="A13" s="215" t="s">
        <v>454</v>
      </c>
      <c r="B13" s="499"/>
      <c r="C13" s="498"/>
      <c r="D13" s="497"/>
      <c r="E13" s="243"/>
      <c r="F13" s="243"/>
      <c r="G13" s="243"/>
      <c r="H13" s="496"/>
      <c r="I13" s="244"/>
      <c r="J13" s="495"/>
    </row>
    <row r="14" spans="1:10" ht="14.1" customHeight="1" outlineLevel="1">
      <c r="A14" s="166" t="s">
        <v>426</v>
      </c>
      <c r="B14" s="162"/>
      <c r="C14" s="486" t="s">
        <v>453</v>
      </c>
      <c r="D14" s="494">
        <v>4173956.0500000003</v>
      </c>
      <c r="E14" s="240">
        <v>2343568.5499999998</v>
      </c>
      <c r="F14" s="150">
        <f>SUM(G14-E14)</f>
        <v>4453255.45</v>
      </c>
      <c r="G14" s="193">
        <v>6796824</v>
      </c>
      <c r="H14" s="493">
        <f>'assessor plantilla'!H39</f>
        <v>5563824</v>
      </c>
      <c r="I14" s="150">
        <f>'assessor plantilla'!K39</f>
        <v>5563824</v>
      </c>
      <c r="J14" s="485">
        <f>SUM(H1:H14*0.1)</f>
        <v>556382.4</v>
      </c>
    </row>
    <row r="15" spans="1:10" ht="14.1" customHeight="1" outlineLevel="1">
      <c r="A15" s="215" t="s">
        <v>452</v>
      </c>
      <c r="B15" s="162"/>
      <c r="C15" s="486"/>
      <c r="D15" s="481"/>
      <c r="E15" s="240"/>
      <c r="F15" s="150"/>
      <c r="G15" s="234"/>
      <c r="H15" s="493"/>
      <c r="I15" s="150"/>
      <c r="J15" s="224"/>
    </row>
    <row r="16" spans="1:10" ht="14.1" customHeight="1" outlineLevel="1">
      <c r="A16" s="178" t="s">
        <v>451</v>
      </c>
      <c r="B16" s="177"/>
      <c r="C16" s="486" t="s">
        <v>450</v>
      </c>
      <c r="D16" s="481">
        <v>312000</v>
      </c>
      <c r="E16" s="240">
        <v>180000</v>
      </c>
      <c r="F16" s="150">
        <f t="shared" ref="F16:F22" si="0">SUM(G16-E16)</f>
        <v>300000</v>
      </c>
      <c r="G16" s="233">
        <v>480000</v>
      </c>
      <c r="H16" s="218">
        <f>'assessor plantilla'!B39*2000*12</f>
        <v>480000</v>
      </c>
      <c r="I16" s="218">
        <f>'assessor plantilla'!B39*2000*12</f>
        <v>480000</v>
      </c>
      <c r="J16" s="224"/>
    </row>
    <row r="17" spans="1:16" ht="14.1" customHeight="1" outlineLevel="1">
      <c r="A17" s="178" t="s">
        <v>449</v>
      </c>
      <c r="B17" s="177"/>
      <c r="C17" s="483" t="s">
        <v>448</v>
      </c>
      <c r="D17" s="481">
        <v>140125</v>
      </c>
      <c r="E17" s="240">
        <v>76000</v>
      </c>
      <c r="F17" s="150">
        <f t="shared" si="0"/>
        <v>66500</v>
      </c>
      <c r="G17" s="233">
        <v>142500</v>
      </c>
      <c r="H17" s="492">
        <f>(7125+4750)*12</f>
        <v>142500</v>
      </c>
      <c r="I17" s="492">
        <f>(7125+4750)*12</f>
        <v>142500</v>
      </c>
      <c r="J17" s="224"/>
      <c r="K17" s="220"/>
      <c r="L17" s="490"/>
      <c r="M17" s="490"/>
    </row>
    <row r="18" spans="1:16" ht="14.1" customHeight="1" outlineLevel="1">
      <c r="A18" s="178" t="s">
        <v>447</v>
      </c>
      <c r="B18" s="177"/>
      <c r="C18" s="483" t="s">
        <v>446</v>
      </c>
      <c r="D18" s="481">
        <v>140125</v>
      </c>
      <c r="E18" s="240">
        <v>76000</v>
      </c>
      <c r="F18" s="150">
        <f t="shared" si="0"/>
        <v>66500</v>
      </c>
      <c r="G18" s="233">
        <v>142500</v>
      </c>
      <c r="H18" s="492">
        <f>(7125+4750)*12</f>
        <v>142500</v>
      </c>
      <c r="I18" s="492">
        <f>(7125+4750)*12</f>
        <v>142500</v>
      </c>
      <c r="J18" s="224"/>
      <c r="K18" s="225"/>
      <c r="L18" s="223"/>
      <c r="M18" s="491"/>
    </row>
    <row r="19" spans="1:16" ht="14.1" customHeight="1" outlineLevel="1">
      <c r="A19" s="178" t="s">
        <v>445</v>
      </c>
      <c r="B19" s="177"/>
      <c r="C19" s="483" t="s">
        <v>444</v>
      </c>
      <c r="D19" s="481">
        <v>78000</v>
      </c>
      <c r="E19" s="240">
        <v>78000</v>
      </c>
      <c r="F19" s="150">
        <f t="shared" si="0"/>
        <v>42000</v>
      </c>
      <c r="G19" s="233">
        <v>120000</v>
      </c>
      <c r="H19" s="218">
        <f>'assessor plantilla'!B39*6000</f>
        <v>120000</v>
      </c>
      <c r="I19" s="218">
        <f>'assessor plantilla'!B39*6000</f>
        <v>120000</v>
      </c>
      <c r="J19" s="224"/>
      <c r="K19" s="225"/>
      <c r="L19" s="223"/>
      <c r="M19" s="491"/>
    </row>
    <row r="20" spans="1:16" ht="14.1" customHeight="1" outlineLevel="1">
      <c r="A20" s="178" t="s">
        <v>424</v>
      </c>
      <c r="B20" s="177"/>
      <c r="C20" s="486" t="s">
        <v>439</v>
      </c>
      <c r="D20" s="481">
        <v>342869</v>
      </c>
      <c r="E20" s="240">
        <v>0</v>
      </c>
      <c r="F20" s="150">
        <f t="shared" si="0"/>
        <v>566402</v>
      </c>
      <c r="G20" s="234">
        <v>566402</v>
      </c>
      <c r="H20" s="211">
        <f>SUM(H14/12)</f>
        <v>463652</v>
      </c>
      <c r="I20" s="211">
        <f>SUM(I14/12)</f>
        <v>463652</v>
      </c>
      <c r="J20" s="485">
        <f>SUM(H7:H20*0.1)</f>
        <v>46365.200000000004</v>
      </c>
      <c r="K20" s="220"/>
      <c r="L20" s="490"/>
      <c r="M20" s="490"/>
    </row>
    <row r="21" spans="1:16" ht="14.1" customHeight="1" outlineLevel="1">
      <c r="A21" s="178" t="s">
        <v>438</v>
      </c>
      <c r="B21" s="177"/>
      <c r="C21" s="486" t="s">
        <v>437</v>
      </c>
      <c r="D21" s="481">
        <v>65000</v>
      </c>
      <c r="E21" s="233">
        <v>0</v>
      </c>
      <c r="F21" s="458">
        <f t="shared" si="0"/>
        <v>100000</v>
      </c>
      <c r="G21" s="233">
        <v>100000</v>
      </c>
      <c r="H21" s="218">
        <f>'assessor plantilla'!B39*5000</f>
        <v>100000</v>
      </c>
      <c r="I21" s="218">
        <f>'assessor plantilla'!B39*5000</f>
        <v>100000</v>
      </c>
      <c r="J21" s="485"/>
      <c r="K21" s="225"/>
      <c r="L21" s="223"/>
      <c r="M21" s="490"/>
    </row>
    <row r="22" spans="1:16" ht="14.1" customHeight="1" outlineLevel="1">
      <c r="A22" s="178" t="s">
        <v>436</v>
      </c>
      <c r="B22" s="177"/>
      <c r="C22" s="483" t="s">
        <v>435</v>
      </c>
      <c r="D22" s="481">
        <v>342667</v>
      </c>
      <c r="E22" s="233">
        <v>390739</v>
      </c>
      <c r="F22" s="458">
        <f t="shared" si="0"/>
        <v>175663</v>
      </c>
      <c r="G22" s="233">
        <v>566402</v>
      </c>
      <c r="H22" s="218">
        <f>SUM(H14/12)</f>
        <v>463652</v>
      </c>
      <c r="I22" s="218">
        <f>SUM(I14/12)</f>
        <v>463652</v>
      </c>
      <c r="J22" s="485">
        <f>SUM(H9:H22*0.1)</f>
        <v>46365.200000000004</v>
      </c>
      <c r="K22" s="225" t="str">
        <f>A6</f>
        <v>Office: CITY ASSESSOR'S OFFICE (1101)</v>
      </c>
      <c r="L22" s="223"/>
      <c r="M22" s="490"/>
    </row>
    <row r="23" spans="1:16" ht="14.1" customHeight="1" outlineLevel="1">
      <c r="A23" s="230" t="s">
        <v>434</v>
      </c>
      <c r="B23" s="162"/>
      <c r="C23" s="489"/>
      <c r="D23" s="481"/>
      <c r="E23" s="233"/>
      <c r="F23" s="458"/>
      <c r="G23" s="228"/>
      <c r="H23" s="192"/>
      <c r="I23" s="192"/>
      <c r="J23" s="485"/>
      <c r="K23" s="220" t="s">
        <v>429</v>
      </c>
      <c r="N23" s="488" t="s">
        <v>651</v>
      </c>
      <c r="O23" s="488"/>
    </row>
    <row r="24" spans="1:16" ht="14.1" customHeight="1" outlineLevel="1">
      <c r="A24" s="178" t="s">
        <v>421</v>
      </c>
      <c r="B24" s="162"/>
      <c r="C24" s="486" t="s">
        <v>433</v>
      </c>
      <c r="D24" s="481">
        <v>502406.76</v>
      </c>
      <c r="E24" s="233">
        <v>281228.23</v>
      </c>
      <c r="F24" s="458">
        <f>SUM(G24-E24)</f>
        <v>534390.77</v>
      </c>
      <c r="G24" s="487">
        <v>815619</v>
      </c>
      <c r="H24" s="226">
        <f>ROUND(H14*0.12,0)</f>
        <v>667659</v>
      </c>
      <c r="I24" s="226">
        <f>ROUND(I14*0.12,0)</f>
        <v>667659</v>
      </c>
      <c r="J24" s="485">
        <f>SUM(H11:H24*0.1)</f>
        <v>66765.900000000009</v>
      </c>
      <c r="K24" s="179" t="s">
        <v>426</v>
      </c>
      <c r="N24" s="134">
        <f>ROUND(J14,0)+1</f>
        <v>556383</v>
      </c>
      <c r="O24" s="344"/>
    </row>
    <row r="25" spans="1:16" ht="14.1" customHeight="1" outlineLevel="1">
      <c r="A25" s="178" t="s">
        <v>432</v>
      </c>
      <c r="B25" s="162"/>
      <c r="C25" s="486" t="s">
        <v>431</v>
      </c>
      <c r="D25" s="481">
        <v>15800</v>
      </c>
      <c r="E25" s="233">
        <v>7800</v>
      </c>
      <c r="F25" s="458">
        <f>SUM(G25-E25)</f>
        <v>19394</v>
      </c>
      <c r="G25" s="218">
        <v>27194</v>
      </c>
      <c r="H25" s="218">
        <f>'assessor plantilla'!B39*100*12</f>
        <v>24000</v>
      </c>
      <c r="I25" s="218">
        <f>'assessor plantilla'!B39*100*12</f>
        <v>24000</v>
      </c>
      <c r="J25" s="485"/>
      <c r="K25" s="207" t="s">
        <v>424</v>
      </c>
      <c r="N25" s="134">
        <f>ROUND(J20,0)+1</f>
        <v>46366</v>
      </c>
      <c r="O25" s="344"/>
    </row>
    <row r="26" spans="1:16" ht="14.1" customHeight="1" outlineLevel="1">
      <c r="A26" s="178" t="s">
        <v>418</v>
      </c>
      <c r="B26" s="162"/>
      <c r="C26" s="486" t="s">
        <v>430</v>
      </c>
      <c r="D26" s="481">
        <v>57915.1</v>
      </c>
      <c r="E26" s="233">
        <v>29925.81</v>
      </c>
      <c r="F26" s="458">
        <f>SUM(G26-E26)</f>
        <v>79914.19</v>
      </c>
      <c r="G26" s="211">
        <v>109840</v>
      </c>
      <c r="H26" s="211">
        <f>'assessor plantilla'!M41</f>
        <v>107931</v>
      </c>
      <c r="I26" s="211">
        <f>'assessor plantilla'!P41</f>
        <v>107931</v>
      </c>
      <c r="J26" s="485">
        <f>SUM(H13:H26*0.1)</f>
        <v>10793.1</v>
      </c>
      <c r="K26" s="207" t="s">
        <v>421</v>
      </c>
      <c r="L26" s="344"/>
      <c r="M26" s="344"/>
      <c r="N26" s="134">
        <f>ROUND(J24,0)+1</f>
        <v>66767</v>
      </c>
      <c r="O26" s="344"/>
      <c r="P26" s="344"/>
    </row>
    <row r="27" spans="1:16" ht="14.1" customHeight="1" outlineLevel="1">
      <c r="A27" s="178" t="s">
        <v>428</v>
      </c>
      <c r="B27" s="162"/>
      <c r="C27" s="486" t="s">
        <v>427</v>
      </c>
      <c r="D27" s="481">
        <v>15800</v>
      </c>
      <c r="E27" s="233">
        <v>7800</v>
      </c>
      <c r="F27" s="458">
        <f>SUM(G27-E27)</f>
        <v>16200</v>
      </c>
      <c r="G27" s="218">
        <v>24000</v>
      </c>
      <c r="H27" s="218">
        <f>'assessor plantilla'!B39*100*12</f>
        <v>24000</v>
      </c>
      <c r="I27" s="218">
        <f>'assessor plantilla'!B39*100*12</f>
        <v>24000</v>
      </c>
      <c r="J27" s="485"/>
      <c r="K27" s="207" t="s">
        <v>418</v>
      </c>
      <c r="L27" s="344"/>
      <c r="M27" s="220"/>
      <c r="N27" s="134">
        <f>ROUND(J26,0)+1</f>
        <v>10794</v>
      </c>
      <c r="O27" s="344"/>
      <c r="P27" s="344"/>
    </row>
    <row r="28" spans="1:16" ht="14.1" customHeight="1" outlineLevel="1">
      <c r="A28" s="215" t="s">
        <v>425</v>
      </c>
      <c r="B28" s="162"/>
      <c r="C28" s="486"/>
      <c r="D28" s="481"/>
      <c r="E28" s="217"/>
      <c r="F28" s="458"/>
      <c r="G28" s="193"/>
      <c r="H28" s="209"/>
      <c r="I28" s="209"/>
      <c r="J28" s="216"/>
      <c r="K28" s="207" t="s">
        <v>436</v>
      </c>
      <c r="L28" s="344"/>
      <c r="M28" s="344"/>
      <c r="N28" s="134">
        <f>ROUND(J22,0)+1</f>
        <v>46366</v>
      </c>
      <c r="O28" s="344"/>
      <c r="P28" s="344"/>
    </row>
    <row r="29" spans="1:16" ht="14.1" customHeight="1" outlineLevel="1">
      <c r="A29" s="178" t="s">
        <v>423</v>
      </c>
      <c r="B29" s="162"/>
      <c r="C29" s="486" t="s">
        <v>422</v>
      </c>
      <c r="D29" s="481">
        <v>0</v>
      </c>
      <c r="E29" s="217">
        <v>0</v>
      </c>
      <c r="F29" s="458">
        <f>SUM(G29-E29)</f>
        <v>400000</v>
      </c>
      <c r="G29" s="193">
        <v>400000</v>
      </c>
      <c r="H29" s="209">
        <v>1000</v>
      </c>
      <c r="I29" s="209">
        <f>H29</f>
        <v>1000</v>
      </c>
      <c r="J29" s="216"/>
      <c r="K29" s="207" t="s">
        <v>650</v>
      </c>
      <c r="L29" s="344"/>
      <c r="M29" s="344"/>
      <c r="N29" s="148">
        <v>0</v>
      </c>
      <c r="O29" s="223"/>
      <c r="P29" s="344"/>
    </row>
    <row r="30" spans="1:16" ht="14.1" customHeight="1" outlineLevel="1" thickBot="1">
      <c r="A30" s="197" t="s">
        <v>420</v>
      </c>
      <c r="B30" s="162"/>
      <c r="C30" s="483" t="s">
        <v>419</v>
      </c>
      <c r="D30" s="481">
        <v>874915.07000000007</v>
      </c>
      <c r="E30" s="217">
        <v>0</v>
      </c>
      <c r="F30" s="458">
        <f>SUM(G30-E30)</f>
        <v>568383</v>
      </c>
      <c r="G30" s="193">
        <v>568383</v>
      </c>
      <c r="H30" s="211">
        <f>N30</f>
        <v>726676</v>
      </c>
      <c r="I30" s="211">
        <f>H30</f>
        <v>726676</v>
      </c>
      <c r="J30" s="485"/>
      <c r="K30" s="190" t="s">
        <v>410</v>
      </c>
      <c r="L30" s="190"/>
      <c r="M30" s="190"/>
      <c r="N30" s="484">
        <f>SUM(N24:N29)</f>
        <v>726676</v>
      </c>
      <c r="O30" s="190"/>
      <c r="P30" s="344"/>
    </row>
    <row r="31" spans="1:16" ht="14.1" customHeight="1" outlineLevel="1" thickTop="1">
      <c r="A31" s="197" t="s">
        <v>417</v>
      </c>
      <c r="B31" s="162"/>
      <c r="C31" s="483" t="s">
        <v>416</v>
      </c>
      <c r="D31" s="481">
        <v>0</v>
      </c>
      <c r="E31" s="217">
        <v>15000</v>
      </c>
      <c r="F31" s="458">
        <f>SUM(G31-E31)</f>
        <v>0</v>
      </c>
      <c r="G31" s="193">
        <v>15000</v>
      </c>
      <c r="H31" s="226">
        <v>35000</v>
      </c>
      <c r="I31" s="226">
        <f>H31</f>
        <v>35000</v>
      </c>
      <c r="J31" s="344"/>
      <c r="O31" s="344"/>
      <c r="P31" s="344"/>
    </row>
    <row r="32" spans="1:16" ht="14.1" customHeight="1" outlineLevel="1">
      <c r="A32" s="197" t="s">
        <v>649</v>
      </c>
      <c r="B32" s="162"/>
      <c r="C32" s="483" t="s">
        <v>413</v>
      </c>
      <c r="D32" s="481">
        <v>0</v>
      </c>
      <c r="E32" s="217">
        <v>0</v>
      </c>
      <c r="F32" s="458">
        <f>SUM(G32-E32)</f>
        <v>1000</v>
      </c>
      <c r="G32" s="193">
        <v>1000</v>
      </c>
      <c r="H32" s="192">
        <v>1000</v>
      </c>
      <c r="I32" s="192">
        <v>1000</v>
      </c>
      <c r="J32" s="480"/>
      <c r="K32" s="344"/>
      <c r="L32" s="344"/>
      <c r="M32" s="344"/>
      <c r="N32" s="344"/>
      <c r="O32" s="344"/>
      <c r="P32" s="344"/>
    </row>
    <row r="33" spans="1:16" ht="14.1" customHeight="1" outlineLevel="1">
      <c r="A33" s="197" t="s">
        <v>648</v>
      </c>
      <c r="B33" s="162"/>
      <c r="C33" s="483" t="s">
        <v>411</v>
      </c>
      <c r="D33" s="481">
        <v>65000</v>
      </c>
      <c r="E33" s="217">
        <v>0</v>
      </c>
      <c r="F33" s="458">
        <f>SUM(G33-E33)</f>
        <v>100000</v>
      </c>
      <c r="G33" s="193">
        <v>100000</v>
      </c>
      <c r="H33" s="226">
        <f>'assessor plantilla'!B39*5000</f>
        <v>100000</v>
      </c>
      <c r="I33" s="226">
        <f>H33</f>
        <v>100000</v>
      </c>
      <c r="J33" s="480"/>
      <c r="K33" s="344"/>
      <c r="L33" s="344"/>
      <c r="M33" s="344"/>
      <c r="N33" s="344"/>
      <c r="O33" s="344"/>
      <c r="P33" s="344"/>
    </row>
    <row r="34" spans="1:16" ht="14.1" customHeight="1" outlineLevel="1">
      <c r="A34" s="197" t="s">
        <v>647</v>
      </c>
      <c r="B34" s="162"/>
      <c r="C34" s="482" t="s">
        <v>408</v>
      </c>
      <c r="D34" s="481">
        <v>39000</v>
      </c>
      <c r="E34" s="217">
        <v>0</v>
      </c>
      <c r="F34" s="458">
        <v>0</v>
      </c>
      <c r="G34" s="228">
        <v>0</v>
      </c>
      <c r="H34" s="226">
        <v>0</v>
      </c>
      <c r="I34" s="226">
        <v>0</v>
      </c>
      <c r="J34" s="480"/>
    </row>
    <row r="35" spans="1:16" ht="19.899999999999999" customHeight="1" outlineLevel="1">
      <c r="A35" s="189" t="s">
        <v>407</v>
      </c>
      <c r="B35" s="366"/>
      <c r="C35" s="187"/>
      <c r="D35" s="186">
        <f>SUM(D36:D56)</f>
        <v>613166.69999999995</v>
      </c>
      <c r="E35" s="186">
        <f>SUM(E36:E56)</f>
        <v>280295.43</v>
      </c>
      <c r="F35" s="186">
        <f>SUM(F36:F56)</f>
        <v>985515.46000000008</v>
      </c>
      <c r="G35" s="186">
        <f>SUM(G36:G56)</f>
        <v>1265810.8900000001</v>
      </c>
      <c r="H35" s="479">
        <f>SUM(H36:H56)</f>
        <v>719580</v>
      </c>
    </row>
    <row r="36" spans="1:16" ht="14.1" customHeight="1" outlineLevel="1">
      <c r="A36" s="178" t="s">
        <v>646</v>
      </c>
      <c r="B36" s="185"/>
      <c r="C36" s="165" t="s">
        <v>405</v>
      </c>
      <c r="D36" s="478">
        <v>36716.160000000003</v>
      </c>
      <c r="E36" s="477">
        <v>3000</v>
      </c>
      <c r="F36" s="458">
        <f>SUM(G36-E36)</f>
        <v>97000</v>
      </c>
      <c r="G36" s="477">
        <v>100000</v>
      </c>
      <c r="H36" s="476">
        <v>100000</v>
      </c>
    </row>
    <row r="37" spans="1:16" s="347" customFormat="1" ht="14.1" customHeight="1" outlineLevel="1">
      <c r="A37" s="178" t="s">
        <v>404</v>
      </c>
      <c r="B37" s="177"/>
      <c r="C37" s="165" t="s">
        <v>403</v>
      </c>
      <c r="D37" s="459">
        <v>27000</v>
      </c>
      <c r="E37" s="460">
        <v>0</v>
      </c>
      <c r="F37" s="458">
        <f>SUM(G37-E37)</f>
        <v>50000</v>
      </c>
      <c r="G37" s="460">
        <v>50000</v>
      </c>
      <c r="H37" s="457">
        <v>50000</v>
      </c>
      <c r="I37" s="349"/>
      <c r="M37" s="464"/>
      <c r="N37" s="464"/>
    </row>
    <row r="38" spans="1:16" s="347" customFormat="1" ht="14.1" customHeight="1" outlineLevel="1">
      <c r="A38" s="178" t="s">
        <v>402</v>
      </c>
      <c r="B38" s="177"/>
      <c r="C38" s="165" t="s">
        <v>401</v>
      </c>
      <c r="D38" s="459">
        <v>51288.240000000005</v>
      </c>
      <c r="E38" s="460">
        <v>16814.599999999999</v>
      </c>
      <c r="F38" s="458">
        <f>SUM(G38-E38)</f>
        <v>41185.4</v>
      </c>
      <c r="G38" s="460">
        <v>58000</v>
      </c>
      <c r="H38" s="457">
        <v>28000</v>
      </c>
      <c r="I38" s="349"/>
      <c r="K38" s="475" t="s">
        <v>387</v>
      </c>
      <c r="L38" s="471">
        <f>'assessor plantilla'!B38*200</f>
        <v>4000</v>
      </c>
      <c r="M38" s="464"/>
      <c r="N38" s="464"/>
    </row>
    <row r="39" spans="1:16" s="347" customFormat="1" ht="14.1" customHeight="1" outlineLevel="1">
      <c r="A39" s="166" t="s">
        <v>400</v>
      </c>
      <c r="B39" s="162"/>
      <c r="C39" s="165"/>
      <c r="D39" s="459"/>
      <c r="E39" s="460"/>
      <c r="F39" s="462"/>
      <c r="G39" s="460"/>
      <c r="H39" s="457"/>
      <c r="I39" s="349"/>
      <c r="K39" s="475" t="s">
        <v>384</v>
      </c>
      <c r="L39" s="471">
        <f>'assessor plantilla'!B38*2100</f>
        <v>42000</v>
      </c>
      <c r="M39" s="473"/>
      <c r="N39" s="473"/>
    </row>
    <row r="40" spans="1:16" s="347" customFormat="1" ht="14.1" customHeight="1" outlineLevel="1">
      <c r="A40" s="181"/>
      <c r="B40" s="179" t="s">
        <v>399</v>
      </c>
      <c r="C40" s="161" t="s">
        <v>398</v>
      </c>
      <c r="D40" s="459">
        <v>6944</v>
      </c>
      <c r="E40" s="460">
        <v>11238.1</v>
      </c>
      <c r="F40" s="458">
        <f t="shared" ref="F40:F45" si="1">SUM(G40-E40)</f>
        <v>58761.9</v>
      </c>
      <c r="G40" s="460">
        <v>70000</v>
      </c>
      <c r="H40" s="457">
        <v>20000</v>
      </c>
      <c r="I40" s="349"/>
      <c r="K40" s="475" t="s">
        <v>382</v>
      </c>
      <c r="L40" s="471">
        <f>L41-L38-L39</f>
        <v>-2220</v>
      </c>
      <c r="M40" s="473"/>
      <c r="N40" s="464"/>
    </row>
    <row r="41" spans="1:16" s="347" customFormat="1" ht="14.1" customHeight="1" outlineLevel="1" thickBot="1">
      <c r="A41" s="180" t="s">
        <v>397</v>
      </c>
      <c r="B41" s="179"/>
      <c r="C41" s="161" t="s">
        <v>396</v>
      </c>
      <c r="D41" s="459">
        <v>18831.330000000002</v>
      </c>
      <c r="E41" s="460">
        <v>4302</v>
      </c>
      <c r="F41" s="458">
        <f t="shared" si="1"/>
        <v>71928.89</v>
      </c>
      <c r="G41" s="460">
        <v>76230.89</v>
      </c>
      <c r="H41" s="457">
        <v>55000</v>
      </c>
      <c r="I41" s="349"/>
      <c r="K41" s="475" t="s">
        <v>379</v>
      </c>
      <c r="L41" s="474">
        <f>H56</f>
        <v>43780</v>
      </c>
      <c r="M41" s="464"/>
      <c r="N41" s="473"/>
    </row>
    <row r="42" spans="1:16" s="347" customFormat="1" ht="14.1" customHeight="1" outlineLevel="1" thickTop="1">
      <c r="A42" s="166" t="s">
        <v>395</v>
      </c>
      <c r="B42" s="177"/>
      <c r="C42" s="174" t="s">
        <v>394</v>
      </c>
      <c r="D42" s="459">
        <v>12335.19</v>
      </c>
      <c r="E42" s="460">
        <v>9359</v>
      </c>
      <c r="F42" s="458">
        <f t="shared" si="1"/>
        <v>20641</v>
      </c>
      <c r="G42" s="460">
        <v>30000</v>
      </c>
      <c r="H42" s="457">
        <v>10000</v>
      </c>
      <c r="I42" s="349"/>
      <c r="K42" s="472" t="s">
        <v>645</v>
      </c>
      <c r="L42" s="471"/>
      <c r="M42" s="464"/>
      <c r="N42" s="464"/>
    </row>
    <row r="43" spans="1:16" s="347" customFormat="1" ht="14.1" customHeight="1" outlineLevel="1">
      <c r="A43" s="178" t="s">
        <v>393</v>
      </c>
      <c r="B43" s="177"/>
      <c r="C43" s="165" t="s">
        <v>392</v>
      </c>
      <c r="D43" s="459">
        <v>810</v>
      </c>
      <c r="E43" s="460">
        <v>540</v>
      </c>
      <c r="F43" s="458">
        <f t="shared" si="1"/>
        <v>2460</v>
      </c>
      <c r="G43" s="460">
        <v>3000</v>
      </c>
      <c r="H43" s="457">
        <v>3000</v>
      </c>
      <c r="I43" s="349"/>
      <c r="K43" s="470" t="s">
        <v>644</v>
      </c>
    </row>
    <row r="44" spans="1:16" s="347" customFormat="1" ht="14.1" customHeight="1" outlineLevel="1">
      <c r="A44" s="178" t="s">
        <v>391</v>
      </c>
      <c r="B44" s="177"/>
      <c r="C44" s="161" t="s">
        <v>390</v>
      </c>
      <c r="D44" s="459">
        <v>23424.45</v>
      </c>
      <c r="E44" s="460">
        <v>26657.03</v>
      </c>
      <c r="F44" s="458">
        <f t="shared" si="1"/>
        <v>38342.97</v>
      </c>
      <c r="G44" s="460">
        <v>65000</v>
      </c>
      <c r="H44" s="457">
        <v>30000</v>
      </c>
      <c r="I44" s="349"/>
    </row>
    <row r="45" spans="1:16" s="464" customFormat="1" ht="14.1" customHeight="1" outlineLevel="1">
      <c r="A45" s="469" t="s">
        <v>389</v>
      </c>
      <c r="B45" s="468"/>
      <c r="C45" s="467" t="s">
        <v>388</v>
      </c>
      <c r="D45" s="466">
        <v>348758.13</v>
      </c>
      <c r="E45" s="457">
        <v>190462.5</v>
      </c>
      <c r="F45" s="465">
        <f t="shared" si="1"/>
        <v>226337.5</v>
      </c>
      <c r="G45" s="457">
        <v>416800</v>
      </c>
      <c r="H45" s="457">
        <v>316800</v>
      </c>
      <c r="I45" s="352"/>
    </row>
    <row r="46" spans="1:16" s="347" customFormat="1" ht="14.1" customHeight="1" outlineLevel="1">
      <c r="A46" s="166" t="s">
        <v>643</v>
      </c>
      <c r="B46" s="173"/>
      <c r="C46" s="172"/>
      <c r="D46" s="459"/>
      <c r="E46" s="460"/>
      <c r="F46" s="462"/>
      <c r="G46" s="460"/>
      <c r="H46" s="457"/>
      <c r="I46" s="349"/>
    </row>
    <row r="47" spans="1:16" s="347" customFormat="1" ht="14.1" customHeight="1" outlineLevel="1">
      <c r="A47" s="163"/>
      <c r="B47" s="164" t="s">
        <v>386</v>
      </c>
      <c r="C47" s="161" t="s">
        <v>385</v>
      </c>
      <c r="D47" s="459">
        <v>2600</v>
      </c>
      <c r="E47" s="460">
        <v>0</v>
      </c>
      <c r="F47" s="458">
        <f>SUM(G47-E47)</f>
        <v>20000</v>
      </c>
      <c r="G47" s="460">
        <v>20000</v>
      </c>
      <c r="H47" s="457">
        <v>10000</v>
      </c>
      <c r="I47" s="349"/>
    </row>
    <row r="48" spans="1:16" s="347" customFormat="1" ht="14.1" customHeight="1" outlineLevel="1">
      <c r="A48" s="166" t="s">
        <v>643</v>
      </c>
      <c r="B48" s="173"/>
      <c r="C48" s="172"/>
      <c r="D48" s="459"/>
      <c r="E48" s="460"/>
      <c r="F48" s="462"/>
      <c r="G48" s="460"/>
      <c r="H48" s="457"/>
      <c r="I48" s="349"/>
    </row>
    <row r="49" spans="1:9" s="347" customFormat="1" ht="14.1" customHeight="1" outlineLevel="1">
      <c r="A49" s="163"/>
      <c r="B49" s="164" t="s">
        <v>381</v>
      </c>
      <c r="C49" s="161" t="s">
        <v>380</v>
      </c>
      <c r="D49" s="459">
        <v>31100</v>
      </c>
      <c r="E49" s="460">
        <v>12050</v>
      </c>
      <c r="F49" s="458">
        <f>SUM(G49-E49)</f>
        <v>200950</v>
      </c>
      <c r="G49" s="460">
        <v>213000</v>
      </c>
      <c r="H49" s="457">
        <v>13000</v>
      </c>
      <c r="I49" s="349"/>
    </row>
    <row r="50" spans="1:9" s="347" customFormat="1" ht="14.1" customHeight="1" outlineLevel="1">
      <c r="A50" s="166" t="s">
        <v>642</v>
      </c>
      <c r="B50" s="162"/>
      <c r="C50" s="165"/>
      <c r="D50" s="459"/>
      <c r="E50" s="460"/>
      <c r="F50" s="462"/>
      <c r="G50" s="460"/>
      <c r="H50" s="457"/>
      <c r="I50" s="349"/>
    </row>
    <row r="51" spans="1:9" s="347" customFormat="1" ht="14.1" customHeight="1" outlineLevel="1">
      <c r="A51" s="163"/>
      <c r="B51" s="164" t="s">
        <v>377</v>
      </c>
      <c r="C51" s="161" t="s">
        <v>376</v>
      </c>
      <c r="D51" s="459">
        <v>18430</v>
      </c>
      <c r="E51" s="460">
        <v>0</v>
      </c>
      <c r="F51" s="458">
        <f>SUM(G51-E51)</f>
        <v>25000</v>
      </c>
      <c r="G51" s="460">
        <v>25000</v>
      </c>
      <c r="H51" s="457">
        <v>5000</v>
      </c>
      <c r="I51" s="349"/>
    </row>
    <row r="52" spans="1:9" s="347" customFormat="1" ht="14.1" customHeight="1" outlineLevel="1">
      <c r="A52" s="166" t="s">
        <v>642</v>
      </c>
      <c r="B52" s="162"/>
      <c r="C52" s="165"/>
      <c r="D52" s="459"/>
      <c r="E52" s="460"/>
      <c r="F52" s="462"/>
      <c r="G52" s="460"/>
      <c r="H52" s="457"/>
      <c r="I52" s="349"/>
    </row>
    <row r="53" spans="1:9" s="347" customFormat="1" ht="14.1" customHeight="1" outlineLevel="1">
      <c r="A53" s="163"/>
      <c r="B53" s="164" t="s">
        <v>375</v>
      </c>
      <c r="C53" s="461" t="s">
        <v>374</v>
      </c>
      <c r="D53" s="459">
        <v>20090</v>
      </c>
      <c r="E53" s="460">
        <v>0</v>
      </c>
      <c r="F53" s="458">
        <f>SUM(G53-E53)</f>
        <v>25000</v>
      </c>
      <c r="G53" s="460">
        <v>25000</v>
      </c>
      <c r="H53" s="457">
        <v>5000</v>
      </c>
      <c r="I53" s="349"/>
    </row>
    <row r="54" spans="1:9" s="347" customFormat="1" ht="14.1" customHeight="1" outlineLevel="1">
      <c r="A54" s="166" t="s">
        <v>642</v>
      </c>
      <c r="B54" s="162"/>
      <c r="C54" s="463"/>
      <c r="D54" s="459"/>
      <c r="E54" s="460"/>
      <c r="F54" s="462"/>
      <c r="G54" s="460"/>
      <c r="H54" s="457"/>
      <c r="I54" s="349"/>
    </row>
    <row r="55" spans="1:9" s="347" customFormat="1" ht="14.1" customHeight="1" outlineLevel="1">
      <c r="A55" s="163"/>
      <c r="B55" s="164" t="s">
        <v>641</v>
      </c>
      <c r="C55" s="461" t="s">
        <v>371</v>
      </c>
      <c r="D55" s="459">
        <v>0</v>
      </c>
      <c r="E55" s="460">
        <v>0</v>
      </c>
      <c r="F55" s="458">
        <f>SUM(G55-E55)</f>
        <v>50000</v>
      </c>
      <c r="G55" s="460">
        <v>50000</v>
      </c>
      <c r="H55" s="457">
        <v>30000</v>
      </c>
      <c r="I55" s="349"/>
    </row>
    <row r="56" spans="1:9" ht="14.1" customHeight="1" outlineLevel="1">
      <c r="A56" s="154" t="s">
        <v>368</v>
      </c>
      <c r="B56" s="153"/>
      <c r="C56" s="174" t="s">
        <v>367</v>
      </c>
      <c r="D56" s="459">
        <v>14839.2</v>
      </c>
      <c r="E56" s="457">
        <v>5872.2</v>
      </c>
      <c r="F56" s="458">
        <f>SUM(G56-E56)</f>
        <v>57907.8</v>
      </c>
      <c r="G56" s="457">
        <v>63780</v>
      </c>
      <c r="H56" s="457">
        <v>43780</v>
      </c>
      <c r="I56" s="344"/>
    </row>
    <row r="57" spans="1:9" s="134" customFormat="1" ht="22.15" customHeight="1" outlineLevel="2" thickBot="1">
      <c r="A57" s="147" t="s">
        <v>366</v>
      </c>
      <c r="B57" s="147"/>
      <c r="C57" s="146"/>
      <c r="D57" s="456">
        <f>SUM(D12+D35)</f>
        <v>7778745.6800000006</v>
      </c>
      <c r="E57" s="456">
        <f>SUM(E12+E35)</f>
        <v>3766357.02</v>
      </c>
      <c r="F57" s="456">
        <f>SUM(F12+F35)</f>
        <v>8475117.870000001</v>
      </c>
      <c r="G57" s="456">
        <f>SUM(G12+G35)</f>
        <v>12241474.890000001</v>
      </c>
      <c r="H57" s="455">
        <f>SUM(H12+H35)</f>
        <v>9882974</v>
      </c>
      <c r="I57" s="454"/>
    </row>
    <row r="58" spans="1:9" ht="18.75" customHeight="1" thickTop="1">
      <c r="A58" s="134" t="s">
        <v>364</v>
      </c>
      <c r="B58" s="453"/>
      <c r="C58" s="141" t="s">
        <v>363</v>
      </c>
      <c r="E58" s="4631" t="s">
        <v>640</v>
      </c>
      <c r="F58" s="4631"/>
      <c r="G58" s="134"/>
      <c r="H58" s="452"/>
    </row>
    <row r="59" spans="1:9" ht="27" customHeight="1">
      <c r="A59" s="134"/>
      <c r="B59" s="134"/>
      <c r="C59" s="141"/>
      <c r="D59" s="134"/>
      <c r="E59" s="134"/>
      <c r="F59" s="134"/>
      <c r="G59" s="134"/>
    </row>
    <row r="60" spans="1:9" s="134" customFormat="1" ht="12" customHeight="1">
      <c r="B60" s="139" t="s">
        <v>639</v>
      </c>
      <c r="C60" s="4635" t="s">
        <v>360</v>
      </c>
      <c r="D60" s="4635"/>
      <c r="E60" s="4630" t="s">
        <v>359</v>
      </c>
      <c r="F60" s="4630"/>
      <c r="G60" s="4630"/>
      <c r="H60" s="4630"/>
    </row>
    <row r="61" spans="1:9" s="135" customFormat="1" ht="12" customHeight="1">
      <c r="B61" s="138" t="s">
        <v>638</v>
      </c>
      <c r="C61" s="4642" t="s">
        <v>357</v>
      </c>
      <c r="D61" s="4642"/>
      <c r="E61" s="4623" t="s">
        <v>356</v>
      </c>
      <c r="F61" s="4623"/>
      <c r="G61" s="4623"/>
      <c r="H61" s="4623"/>
      <c r="I61" s="136"/>
    </row>
    <row r="62" spans="1:9" s="135" customFormat="1" ht="12" customHeight="1">
      <c r="B62" s="451"/>
      <c r="C62" s="451"/>
      <c r="D62" s="451"/>
      <c r="E62" s="137"/>
      <c r="F62" s="137"/>
      <c r="G62" s="137"/>
      <c r="H62" s="137"/>
      <c r="I62" s="136"/>
    </row>
    <row r="63" spans="1:9" s="135" customFormat="1" ht="12.75">
      <c r="B63" s="136"/>
      <c r="D63" s="137"/>
      <c r="E63" s="137"/>
      <c r="F63" s="137"/>
      <c r="G63" s="137"/>
      <c r="H63" s="137"/>
      <c r="I63" s="136"/>
    </row>
    <row r="64" spans="1:9" s="135" customFormat="1" ht="12.75">
      <c r="B64" s="136"/>
      <c r="D64" s="137"/>
      <c r="E64" s="137"/>
      <c r="F64" s="137"/>
      <c r="G64" s="137"/>
      <c r="H64" s="137"/>
      <c r="I64" s="136"/>
    </row>
    <row r="65" spans="1:9" s="135" customFormat="1" ht="12.75">
      <c r="B65" s="136"/>
      <c r="D65" s="137"/>
      <c r="E65" s="137"/>
      <c r="F65" s="137"/>
      <c r="G65" s="137"/>
      <c r="H65" s="137"/>
      <c r="I65" s="136"/>
    </row>
    <row r="66" spans="1:9" s="135" customFormat="1" ht="12.75">
      <c r="B66" s="136"/>
      <c r="D66" s="137"/>
      <c r="E66" s="137"/>
      <c r="F66" s="137"/>
      <c r="G66" s="137"/>
      <c r="H66" s="137"/>
      <c r="I66" s="136"/>
    </row>
    <row r="67" spans="1:9" s="135" customFormat="1" ht="12.75">
      <c r="B67" s="136"/>
      <c r="D67" s="137"/>
      <c r="E67" s="137"/>
      <c r="F67" s="137"/>
      <c r="G67" s="137"/>
      <c r="H67" s="137"/>
      <c r="I67" s="136"/>
    </row>
    <row r="68" spans="1:9" s="135" customFormat="1" ht="12.75">
      <c r="B68" s="136"/>
      <c r="D68" s="137"/>
      <c r="E68" s="137"/>
      <c r="F68" s="137"/>
      <c r="G68" s="137"/>
      <c r="H68" s="137"/>
      <c r="I68" s="136"/>
    </row>
    <row r="69" spans="1:9" s="135" customFormat="1" ht="12.75">
      <c r="B69" s="136"/>
      <c r="D69" s="137"/>
      <c r="E69" s="137"/>
      <c r="F69" s="137"/>
      <c r="G69" s="137"/>
      <c r="H69" s="137"/>
      <c r="I69" s="136"/>
    </row>
    <row r="70" spans="1:9" s="135" customFormat="1" ht="12.75">
      <c r="B70" s="136"/>
      <c r="D70" s="137"/>
      <c r="E70" s="137"/>
      <c r="F70" s="137"/>
      <c r="G70" s="137"/>
      <c r="H70" s="137"/>
      <c r="I70" s="136"/>
    </row>
    <row r="71" spans="1:9" s="135" customFormat="1" ht="12.75">
      <c r="B71" s="136"/>
      <c r="D71" s="137"/>
      <c r="E71" s="137"/>
      <c r="F71" s="137"/>
      <c r="G71" s="137"/>
      <c r="H71" s="137"/>
      <c r="I71" s="136"/>
    </row>
    <row r="72" spans="1:9" s="135" customFormat="1" ht="12.75">
      <c r="B72" s="136"/>
      <c r="D72" s="137"/>
      <c r="E72" s="137"/>
      <c r="F72" s="137"/>
      <c r="G72" s="137"/>
      <c r="H72" s="137"/>
      <c r="I72" s="136"/>
    </row>
    <row r="73" spans="1:9" s="135" customFormat="1" ht="12.75">
      <c r="E73" s="137"/>
      <c r="F73" s="137"/>
      <c r="G73" s="137"/>
      <c r="H73" s="137"/>
      <c r="I73" s="136"/>
    </row>
    <row r="74" spans="1:9" s="135" customFormat="1" ht="12.75">
      <c r="A74" s="450"/>
      <c r="B74" s="449" t="s">
        <v>637</v>
      </c>
      <c r="C74" s="448"/>
      <c r="D74" s="447"/>
      <c r="E74" s="137"/>
      <c r="F74" s="137"/>
      <c r="G74" s="137"/>
      <c r="H74" s="137"/>
      <c r="I74" s="136"/>
    </row>
    <row r="75" spans="1:9" s="135" customFormat="1" ht="12.75">
      <c r="A75" s="441"/>
      <c r="B75" s="440" t="s">
        <v>636</v>
      </c>
      <c r="C75" s="440"/>
      <c r="D75" s="446"/>
      <c r="E75" s="137"/>
      <c r="F75" s="137"/>
      <c r="G75" s="137"/>
      <c r="H75" s="137"/>
      <c r="I75" s="136"/>
    </row>
    <row r="76" spans="1:9" s="135" customFormat="1" ht="12.75">
      <c r="A76" s="441"/>
      <c r="B76" s="445" t="s">
        <v>635</v>
      </c>
      <c r="C76" s="440"/>
      <c r="D76" s="446"/>
      <c r="E76" s="137"/>
      <c r="F76" s="137"/>
      <c r="G76" s="137"/>
      <c r="H76" s="137"/>
      <c r="I76" s="136"/>
    </row>
    <row r="77" spans="1:9" s="135" customFormat="1" ht="12.75">
      <c r="A77" s="441"/>
      <c r="B77" s="445" t="s">
        <v>634</v>
      </c>
      <c r="C77" s="440"/>
      <c r="D77" s="434"/>
      <c r="E77" s="137"/>
      <c r="F77" s="137"/>
      <c r="G77" s="137"/>
      <c r="H77" s="137"/>
      <c r="I77" s="136"/>
    </row>
    <row r="78" spans="1:9" s="135" customFormat="1" ht="16.5">
      <c r="A78" s="441"/>
      <c r="B78" s="444" t="s">
        <v>633</v>
      </c>
      <c r="C78" s="443"/>
      <c r="D78" s="439"/>
      <c r="E78" s="137"/>
      <c r="F78" s="137"/>
      <c r="G78" s="137"/>
      <c r="H78" s="137"/>
      <c r="I78" s="136"/>
    </row>
    <row r="79" spans="1:9" s="135" customFormat="1" ht="12.75">
      <c r="A79" s="441"/>
      <c r="B79" s="442" t="s">
        <v>632</v>
      </c>
      <c r="C79" s="440"/>
      <c r="D79" s="439"/>
      <c r="E79" s="137"/>
      <c r="F79" s="137"/>
      <c r="G79" s="137"/>
      <c r="H79" s="137"/>
      <c r="I79" s="136"/>
    </row>
    <row r="80" spans="1:9" s="135" customFormat="1" ht="12.75">
      <c r="A80" s="441"/>
      <c r="B80" s="438" t="s">
        <v>631</v>
      </c>
      <c r="C80" s="440"/>
      <c r="D80" s="439"/>
      <c r="E80" s="137"/>
      <c r="F80" s="137"/>
      <c r="G80" s="137"/>
      <c r="H80" s="137"/>
      <c r="I80" s="136"/>
    </row>
    <row r="81" spans="1:9" s="135" customFormat="1" ht="12.75">
      <c r="A81" s="441"/>
      <c r="B81" s="438" t="s">
        <v>630</v>
      </c>
      <c r="C81" s="440"/>
      <c r="D81" s="439"/>
      <c r="E81" s="137"/>
      <c r="F81" s="137"/>
      <c r="G81" s="137"/>
      <c r="H81" s="137"/>
      <c r="I81" s="136"/>
    </row>
    <row r="82" spans="1:9" s="135" customFormat="1" ht="12.75">
      <c r="A82" s="441"/>
      <c r="B82" s="438" t="s">
        <v>629</v>
      </c>
      <c r="C82" s="440"/>
      <c r="D82" s="439"/>
      <c r="E82" s="137"/>
      <c r="F82" s="137"/>
      <c r="G82" s="137"/>
      <c r="H82" s="137"/>
      <c r="I82" s="136"/>
    </row>
    <row r="83" spans="1:9" s="336" customFormat="1" ht="12.6" customHeight="1">
      <c r="A83" s="436"/>
      <c r="B83" s="438" t="s">
        <v>628</v>
      </c>
      <c r="C83" s="435"/>
      <c r="D83" s="434"/>
    </row>
    <row r="84" spans="1:9" s="336" customFormat="1" ht="10.9" customHeight="1">
      <c r="A84" s="436"/>
      <c r="B84" s="438" t="s">
        <v>627</v>
      </c>
      <c r="C84" s="435"/>
      <c r="D84" s="434"/>
    </row>
    <row r="85" spans="1:9" s="336" customFormat="1" ht="4.1500000000000004" customHeight="1">
      <c r="A85" s="436"/>
      <c r="B85" s="435"/>
      <c r="C85" s="435"/>
      <c r="D85" s="434"/>
    </row>
    <row r="86" spans="1:9" s="336" customFormat="1" ht="15" customHeight="1">
      <c r="A86" s="436"/>
      <c r="B86" s="437" t="s">
        <v>626</v>
      </c>
      <c r="C86" s="435"/>
      <c r="D86" s="434"/>
    </row>
    <row r="87" spans="1:9" s="336" customFormat="1" ht="9" customHeight="1">
      <c r="A87" s="436"/>
      <c r="B87" s="435"/>
      <c r="C87" s="435"/>
      <c r="D87" s="434"/>
    </row>
    <row r="88" spans="1:9" s="336" customFormat="1" ht="9.9499999999999993" customHeight="1">
      <c r="A88" s="433"/>
      <c r="B88" s="432"/>
      <c r="C88" s="432"/>
      <c r="D88" s="431"/>
    </row>
  </sheetData>
  <mergeCells count="9">
    <mergeCell ref="E61:H61"/>
    <mergeCell ref="A8:B10"/>
    <mergeCell ref="A3:H3"/>
    <mergeCell ref="A4:H4"/>
    <mergeCell ref="E8:G8"/>
    <mergeCell ref="E58:F58"/>
    <mergeCell ref="C60:D60"/>
    <mergeCell ref="E60:H60"/>
    <mergeCell ref="C61:D61"/>
  </mergeCells>
  <pageMargins left="0.5" right="0" top="0.25" bottom="0" header="0.5" footer="0"/>
  <pageSetup paperSize="5" orientation="portrait"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6"/>
  <sheetViews>
    <sheetView showGridLines="0" showOutlineSymbols="0" topLeftCell="A16" workbookViewId="0">
      <selection activeCell="I1" sqref="I1:I1048576"/>
    </sheetView>
  </sheetViews>
  <sheetFormatPr defaultColWidth="12.5703125" defaultRowHeight="15.75" outlineLevelRow="1" outlineLevelCol="2"/>
  <cols>
    <col min="1" max="1" width="1.85546875" style="235" customWidth="1"/>
    <col min="2" max="2" width="30.28515625" style="235" customWidth="1"/>
    <col min="3" max="3" width="13.140625" style="235" customWidth="1"/>
    <col min="4" max="4" width="9.85546875" style="235" customWidth="1"/>
    <col min="5" max="8" width="10.7109375" style="235" customWidth="1"/>
    <col min="9" max="9" width="14.140625" style="235" hidden="1" customWidth="1"/>
    <col min="10"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8" s="134" customFormat="1" ht="13.5">
      <c r="A1" s="575" t="s">
        <v>473</v>
      </c>
      <c r="E1" s="1668"/>
      <c r="G1" s="1668"/>
      <c r="H1" s="1668"/>
    </row>
    <row r="2" spans="1:8" s="134" customFormat="1" ht="14.25" customHeight="1">
      <c r="A2" s="574" t="s">
        <v>584</v>
      </c>
      <c r="E2" s="1667"/>
      <c r="G2" s="1667"/>
      <c r="H2" s="1667"/>
    </row>
    <row r="3" spans="1:8" s="134" customFormat="1" ht="14.25" customHeight="1">
      <c r="E3" s="1667"/>
      <c r="F3" s="1667"/>
      <c r="G3" s="1667"/>
      <c r="H3" s="1667"/>
    </row>
    <row r="4" spans="1:8" s="134" customFormat="1" ht="14.25" customHeight="1">
      <c r="E4" s="1667"/>
      <c r="F4" s="1667"/>
      <c r="G4" s="1667"/>
      <c r="H4" s="1667"/>
    </row>
    <row r="5" spans="1:8" s="134" customFormat="1" ht="14.25" customHeight="1">
      <c r="A5" s="4630" t="s">
        <v>471</v>
      </c>
      <c r="B5" s="4630"/>
      <c r="C5" s="4630"/>
      <c r="D5" s="4630"/>
      <c r="E5" s="4630"/>
      <c r="F5" s="4630"/>
      <c r="G5" s="4630"/>
      <c r="H5" s="4630"/>
    </row>
    <row r="6" spans="1:8" s="134" customFormat="1" ht="14.25" customHeight="1">
      <c r="A6" s="4631" t="s">
        <v>470</v>
      </c>
      <c r="B6" s="4631"/>
      <c r="C6" s="4631"/>
      <c r="D6" s="4631"/>
      <c r="E6" s="4631"/>
      <c r="F6" s="4631"/>
      <c r="G6" s="4631"/>
      <c r="H6" s="4631"/>
    </row>
    <row r="7" spans="1:8" s="134" customFormat="1" ht="14.25" customHeight="1">
      <c r="A7" s="140"/>
      <c r="B7" s="140"/>
      <c r="C7" s="140"/>
      <c r="D7" s="140"/>
      <c r="E7" s="140"/>
      <c r="F7" s="140"/>
      <c r="G7" s="140"/>
      <c r="H7" s="140"/>
    </row>
    <row r="8" spans="1:8" s="134" customFormat="1" ht="14.25" customHeight="1">
      <c r="A8" s="140"/>
      <c r="B8" s="140"/>
      <c r="C8" s="140"/>
      <c r="D8" s="140"/>
      <c r="E8" s="140"/>
      <c r="F8" s="140"/>
      <c r="G8" s="140"/>
      <c r="H8" s="140"/>
    </row>
    <row r="9" spans="1:8" s="134" customFormat="1" ht="14.25" customHeight="1">
      <c r="A9" s="266" t="s">
        <v>1757</v>
      </c>
      <c r="B9" s="266"/>
    </row>
    <row r="10" spans="1:8" ht="14.25" customHeight="1">
      <c r="A10" s="398"/>
      <c r="B10" s="2076" t="s">
        <v>1777</v>
      </c>
      <c r="D10" s="134"/>
      <c r="E10" s="134"/>
      <c r="F10" s="134"/>
      <c r="G10" s="134"/>
      <c r="H10" s="134"/>
    </row>
    <row r="11" spans="1:8" ht="14.25" customHeight="1">
      <c r="A11" s="398"/>
      <c r="B11" s="397"/>
      <c r="D11" s="134"/>
      <c r="E11" s="134"/>
      <c r="F11" s="134"/>
      <c r="G11" s="134"/>
      <c r="H11" s="134"/>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537" t="s">
        <v>456</v>
      </c>
      <c r="B15" s="566"/>
      <c r="C15" s="396"/>
      <c r="D15" s="396"/>
      <c r="E15" s="396"/>
      <c r="F15" s="536"/>
      <c r="G15" s="536"/>
      <c r="H15" s="536"/>
    </row>
    <row r="16" spans="1:8" ht="20.100000000000001" customHeight="1">
      <c r="A16" s="189" t="s">
        <v>407</v>
      </c>
      <c r="B16" s="987"/>
      <c r="C16" s="526"/>
      <c r="D16" s="2133">
        <f>SUM(D17:D29)</f>
        <v>6750</v>
      </c>
      <c r="E16" s="2133">
        <f>SUM(E17:E29)</f>
        <v>33374.9</v>
      </c>
      <c r="F16" s="524">
        <f>SUM(F17:F29)</f>
        <v>74999.5</v>
      </c>
      <c r="G16" s="524">
        <f>SUM(G17:G29)</f>
        <v>108374.39999999999</v>
      </c>
      <c r="H16" s="524">
        <f>SUM(H17:H29)</f>
        <v>75000</v>
      </c>
    </row>
    <row r="17" spans="1:9" ht="15.95" customHeight="1" outlineLevel="1">
      <c r="A17" s="2177" t="s">
        <v>404</v>
      </c>
      <c r="B17" s="2144"/>
      <c r="C17" s="530" t="s">
        <v>403</v>
      </c>
      <c r="D17" s="2132">
        <v>0</v>
      </c>
      <c r="E17" s="2113">
        <v>0</v>
      </c>
      <c r="F17" s="520">
        <f>SUM(G17-E17)</f>
        <v>25000</v>
      </c>
      <c r="G17" s="2131">
        <v>25000</v>
      </c>
      <c r="H17" s="2131">
        <v>0</v>
      </c>
    </row>
    <row r="18" spans="1:9" ht="15.95" customHeight="1" outlineLevel="1">
      <c r="A18" s="519" t="s">
        <v>402</v>
      </c>
      <c r="B18" s="518"/>
      <c r="C18" s="530" t="s">
        <v>401</v>
      </c>
      <c r="D18" s="2128">
        <v>0</v>
      </c>
      <c r="E18" s="2110">
        <v>17400.5</v>
      </c>
      <c r="F18" s="212">
        <f>SUM(G18-E18)</f>
        <v>17499.5</v>
      </c>
      <c r="G18" s="493">
        <v>34900</v>
      </c>
      <c r="H18" s="493">
        <v>41600</v>
      </c>
    </row>
    <row r="19" spans="1:9" ht="15.95" customHeight="1" outlineLevel="1">
      <c r="A19" s="166" t="s">
        <v>1738</v>
      </c>
      <c r="B19" s="518"/>
      <c r="C19" s="978" t="s">
        <v>1679</v>
      </c>
      <c r="D19" s="2128">
        <v>0</v>
      </c>
      <c r="E19" s="2110">
        <v>15974.4</v>
      </c>
      <c r="F19" s="212">
        <f>SUM(G19-E19)</f>
        <v>19500</v>
      </c>
      <c r="G19" s="493">
        <v>35474.400000000001</v>
      </c>
      <c r="H19" s="493">
        <v>22500</v>
      </c>
    </row>
    <row r="20" spans="1:9" ht="15.95" customHeight="1" outlineLevel="1">
      <c r="A20" s="166" t="s">
        <v>878</v>
      </c>
      <c r="B20" s="518"/>
      <c r="C20" s="978" t="s">
        <v>394</v>
      </c>
      <c r="D20" s="2128">
        <v>6750</v>
      </c>
      <c r="E20" s="2110">
        <v>0</v>
      </c>
      <c r="F20" s="212">
        <f>SUM(G20-E20)</f>
        <v>13000</v>
      </c>
      <c r="G20" s="493">
        <v>13000</v>
      </c>
      <c r="H20" s="493">
        <v>8100</v>
      </c>
    </row>
    <row r="21" spans="1:9" ht="15.95" customHeight="1" outlineLevel="1">
      <c r="A21" s="163" t="s">
        <v>776</v>
      </c>
      <c r="B21" s="518"/>
      <c r="C21" s="978" t="s">
        <v>367</v>
      </c>
      <c r="D21" s="2171">
        <v>0</v>
      </c>
      <c r="E21" s="2169">
        <v>0</v>
      </c>
      <c r="F21" s="2213">
        <f>SUM(G21-E21)</f>
        <v>0</v>
      </c>
      <c r="G21" s="493">
        <v>0</v>
      </c>
      <c r="H21" s="493">
        <v>2800</v>
      </c>
    </row>
    <row r="22" spans="1:9" ht="15.95" customHeight="1" outlineLevel="1">
      <c r="A22" s="519"/>
      <c r="B22" s="518"/>
      <c r="C22" s="530"/>
      <c r="D22" s="2128"/>
      <c r="E22" s="2110"/>
      <c r="F22" s="150"/>
      <c r="G22" s="234"/>
      <c r="H22" s="493"/>
    </row>
    <row r="23" spans="1:9" ht="15.95" customHeight="1" outlineLevel="1">
      <c r="A23" s="519"/>
      <c r="B23" s="518"/>
      <c r="C23" s="530"/>
      <c r="D23" s="2128"/>
      <c r="E23" s="2110"/>
      <c r="F23" s="150"/>
      <c r="G23" s="234"/>
      <c r="H23" s="493"/>
    </row>
    <row r="24" spans="1:9" ht="15.95" customHeight="1" outlineLevel="1">
      <c r="A24" s="519"/>
      <c r="B24" s="518"/>
      <c r="C24" s="530"/>
      <c r="D24" s="2128"/>
      <c r="E24" s="2110"/>
      <c r="F24" s="150"/>
      <c r="G24" s="234"/>
      <c r="H24" s="493"/>
    </row>
    <row r="25" spans="1:9" ht="15.95" customHeight="1" outlineLevel="1">
      <c r="A25" s="519"/>
      <c r="B25" s="518"/>
      <c r="C25" s="1734"/>
      <c r="D25" s="2128"/>
      <c r="E25" s="2110"/>
      <c r="F25" s="150"/>
      <c r="G25" s="234"/>
      <c r="H25" s="493"/>
    </row>
    <row r="26" spans="1:9" ht="15.95" customHeight="1" outlineLevel="1">
      <c r="A26" s="517"/>
      <c r="B26" s="516"/>
      <c r="C26" s="1734"/>
      <c r="D26" s="2128"/>
      <c r="E26" s="2110"/>
      <c r="F26" s="150"/>
      <c r="G26" s="234"/>
      <c r="H26" s="493"/>
    </row>
    <row r="27" spans="1:9" s="344" customFormat="1" ht="15.95" customHeight="1" outlineLevel="1">
      <c r="A27" s="512"/>
      <c r="B27" s="973"/>
      <c r="C27" s="972"/>
      <c r="D27" s="2128"/>
      <c r="E27" s="2110"/>
      <c r="F27" s="150"/>
      <c r="G27" s="234"/>
      <c r="H27" s="493"/>
    </row>
    <row r="28" spans="1:9" s="344" customFormat="1" ht="15.95" customHeight="1" outlineLevel="1">
      <c r="A28" s="512"/>
      <c r="B28" s="511"/>
      <c r="C28" s="971"/>
      <c r="D28" s="2128"/>
      <c r="E28" s="2110"/>
      <c r="F28" s="150"/>
      <c r="G28" s="234"/>
      <c r="H28" s="493"/>
    </row>
    <row r="29" spans="1:9" s="344" customFormat="1" ht="15.95" customHeight="1" outlineLevel="1">
      <c r="A29" s="508"/>
      <c r="B29" s="507"/>
      <c r="C29" s="970"/>
      <c r="D29" s="2126"/>
      <c r="E29" s="2125"/>
      <c r="F29" s="2140"/>
      <c r="G29" s="2123"/>
      <c r="H29" s="2122"/>
    </row>
    <row r="30" spans="1:9" s="344" customFormat="1" ht="15.95" customHeight="1" outlineLevel="1" thickBot="1">
      <c r="A30" s="147" t="s">
        <v>366</v>
      </c>
      <c r="B30" s="731"/>
      <c r="C30" s="146"/>
      <c r="D30" s="2121">
        <f>SUM(D16)</f>
        <v>6750</v>
      </c>
      <c r="E30" s="2121">
        <f>SUM(E16)</f>
        <v>33374.9</v>
      </c>
      <c r="F30" s="2198">
        <f>SUM(F16)</f>
        <v>74999.5</v>
      </c>
      <c r="G30" s="2119">
        <f>SUM(G16)</f>
        <v>108374.39999999999</v>
      </c>
      <c r="H30" s="2118">
        <f>SUM(H16)</f>
        <v>75000</v>
      </c>
      <c r="I30" s="340" t="s">
        <v>1742</v>
      </c>
    </row>
    <row r="31" spans="1:9" ht="20.100000000000001" customHeight="1" outlineLevel="1" thickTop="1">
      <c r="H31" s="454"/>
    </row>
    <row r="32" spans="1:9" s="134" customFormat="1" ht="15.95" customHeight="1">
      <c r="A32" s="134" t="s">
        <v>364</v>
      </c>
      <c r="C32" s="141" t="s">
        <v>363</v>
      </c>
      <c r="E32" s="4804" t="s">
        <v>1752</v>
      </c>
      <c r="F32" s="4804"/>
      <c r="G32" s="4804"/>
    </row>
    <row r="33" spans="1:9" s="134" customFormat="1" ht="15.95" customHeight="1">
      <c r="C33" s="141"/>
    </row>
    <row r="34" spans="1:9" s="134" customFormat="1" ht="27.6" customHeight="1">
      <c r="A34" s="139" t="s">
        <v>1735</v>
      </c>
      <c r="C34" s="4635" t="s">
        <v>360</v>
      </c>
      <c r="D34" s="4635"/>
      <c r="E34" s="4630" t="s">
        <v>359</v>
      </c>
      <c r="F34" s="4630"/>
      <c r="G34" s="4630"/>
      <c r="H34" s="4630"/>
    </row>
    <row r="35" spans="1:9" s="135" customFormat="1" ht="15.95" customHeight="1">
      <c r="A35" s="2104" t="s">
        <v>1734</v>
      </c>
      <c r="B35" s="2104"/>
      <c r="C35" s="4655" t="s">
        <v>357</v>
      </c>
      <c r="D35" s="4655"/>
      <c r="E35" s="4623" t="s">
        <v>356</v>
      </c>
      <c r="F35" s="4623"/>
      <c r="G35" s="4623"/>
      <c r="H35" s="4623"/>
      <c r="I35" s="136"/>
    </row>
    <row r="36" spans="1:9" s="135" customFormat="1" ht="13.5">
      <c r="A36" s="4645"/>
      <c r="B36" s="4645"/>
      <c r="C36" s="4655"/>
      <c r="D36" s="4655"/>
      <c r="E36" s="137"/>
      <c r="F36" s="137"/>
      <c r="G36" s="137"/>
      <c r="H36" s="137"/>
      <c r="I36" s="136"/>
    </row>
  </sheetData>
  <mergeCells count="11">
    <mergeCell ref="A5:H5"/>
    <mergeCell ref="A6:H6"/>
    <mergeCell ref="E12:G12"/>
    <mergeCell ref="C34:D34"/>
    <mergeCell ref="E34:H34"/>
    <mergeCell ref="E32:G32"/>
    <mergeCell ref="C35:D35"/>
    <mergeCell ref="E35:H35"/>
    <mergeCell ref="A36:B36"/>
    <mergeCell ref="A12:B14"/>
    <mergeCell ref="C36:D36"/>
  </mergeCells>
  <pageMargins left="0.5" right="0" top="0.25" bottom="0" header="0.5" footer="0"/>
  <pageSetup paperSize="5" orientation="portrait"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4"/>
  <sheetViews>
    <sheetView showGridLines="0" showOutlineSymbols="0" topLeftCell="A10" zoomScaleNormal="100" workbookViewId="0">
      <selection activeCell="I1" sqref="I1:J1048576"/>
    </sheetView>
  </sheetViews>
  <sheetFormatPr defaultColWidth="14.28515625" defaultRowHeight="12.75" outlineLevelRow="1" outlineLevelCol="2"/>
  <cols>
    <col min="1" max="1" width="14.28515625" style="134" customWidth="1"/>
    <col min="2" max="2" width="21.28515625" style="134" customWidth="1"/>
    <col min="3" max="4" width="9.7109375" style="134" customWidth="1"/>
    <col min="5" max="5" width="11.28515625" style="134" customWidth="1"/>
    <col min="6" max="6" width="10.28515625" style="134" customWidth="1"/>
    <col min="7" max="7" width="12.140625" style="134" customWidth="1"/>
    <col min="8" max="8" width="11.28515625" style="134" customWidth="1"/>
    <col min="9" max="10" width="14.28515625" style="134" hidden="1" customWidth="1"/>
    <col min="11" max="48" width="14.28515625" style="134" customWidth="1"/>
    <col min="49" max="53" width="14.28515625" style="134" customWidth="1" outlineLevel="1"/>
    <col min="54" max="59" width="14.28515625" style="134" customWidth="1" outlineLevel="2"/>
    <col min="60" max="62" width="14.28515625" style="134" customWidth="1" outlineLevel="1"/>
    <col min="63" max="82" width="14.28515625" style="134" customWidth="1"/>
    <col min="83" max="86" width="14.28515625" style="134" customWidth="1" outlineLevel="1"/>
    <col min="87" max="134" width="14.28515625" style="134" customWidth="1"/>
    <col min="135" max="140" width="14.28515625" style="134" customWidth="1" outlineLevel="1"/>
    <col min="141" max="146" width="14.28515625" style="134" customWidth="1" outlineLevel="2"/>
    <col min="147" max="149" width="14.28515625" style="134" customWidth="1" outlineLevel="1"/>
    <col min="150" max="150" width="14.28515625" style="134" customWidth="1"/>
    <col min="151" max="16384" width="14.28515625" style="134"/>
  </cols>
  <sheetData>
    <row r="1" spans="1:8" ht="13.5">
      <c r="A1" s="575" t="s">
        <v>473</v>
      </c>
      <c r="E1" s="1668"/>
      <c r="G1" s="1668"/>
      <c r="H1" s="1668"/>
    </row>
    <row r="2" spans="1:8" ht="14.25" customHeight="1">
      <c r="A2" s="574" t="s">
        <v>584</v>
      </c>
      <c r="E2" s="1667"/>
      <c r="G2" s="1667"/>
      <c r="H2" s="1667"/>
    </row>
    <row r="3" spans="1:8" ht="14.25" customHeight="1">
      <c r="E3" s="1667"/>
      <c r="F3" s="1667"/>
      <c r="G3" s="1667"/>
      <c r="H3" s="1667"/>
    </row>
    <row r="4" spans="1:8" ht="14.25" customHeight="1">
      <c r="E4" s="1667"/>
      <c r="F4" s="1667"/>
      <c r="G4" s="1667"/>
      <c r="H4" s="1667"/>
    </row>
    <row r="5" spans="1:8" ht="14.25" customHeight="1">
      <c r="A5" s="4630" t="s">
        <v>471</v>
      </c>
      <c r="B5" s="4630"/>
      <c r="C5" s="4630"/>
      <c r="D5" s="4630"/>
      <c r="E5" s="4630"/>
      <c r="F5" s="4630"/>
      <c r="G5" s="4630"/>
      <c r="H5" s="4630"/>
    </row>
    <row r="6" spans="1:8" ht="14.25" customHeight="1">
      <c r="A6" s="4623" t="s">
        <v>583</v>
      </c>
      <c r="B6" s="4631"/>
      <c r="C6" s="4631"/>
      <c r="D6" s="4631"/>
      <c r="E6" s="4631"/>
      <c r="F6" s="4631"/>
      <c r="G6" s="4631"/>
      <c r="H6" s="4631"/>
    </row>
    <row r="7" spans="1:8" ht="14.25" customHeight="1">
      <c r="A7" s="140"/>
      <c r="B7" s="140"/>
      <c r="C7" s="140"/>
      <c r="D7" s="140"/>
      <c r="E7" s="140"/>
      <c r="F7" s="140"/>
      <c r="G7" s="140"/>
      <c r="H7" s="140"/>
    </row>
    <row r="8" spans="1:8" ht="14.25" customHeight="1">
      <c r="A8" s="140"/>
      <c r="B8" s="140"/>
      <c r="C8" s="140"/>
      <c r="D8" s="140"/>
      <c r="E8" s="140"/>
      <c r="F8" s="140"/>
      <c r="G8" s="140"/>
      <c r="H8" s="140"/>
    </row>
    <row r="9" spans="1:8" ht="14.25" customHeight="1">
      <c r="A9" s="2076" t="s">
        <v>1746</v>
      </c>
      <c r="B9" s="266"/>
    </row>
    <row r="10" spans="1:8" s="1668" customFormat="1" ht="14.25" customHeight="1">
      <c r="A10" s="2076" t="s">
        <v>1778</v>
      </c>
    </row>
    <row r="11" spans="1:8" ht="14.25" customHeight="1">
      <c r="A11" s="267"/>
      <c r="B11" s="266"/>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537" t="s">
        <v>456</v>
      </c>
      <c r="B15" s="566"/>
      <c r="C15" s="396"/>
      <c r="D15" s="396"/>
      <c r="E15" s="396"/>
      <c r="F15" s="536"/>
      <c r="G15" s="536"/>
      <c r="H15" s="536"/>
    </row>
    <row r="16" spans="1:8" ht="20.100000000000001" customHeight="1">
      <c r="A16" s="189" t="s">
        <v>407</v>
      </c>
      <c r="B16" s="987"/>
      <c r="C16" s="526"/>
      <c r="D16" s="535">
        <f>SUM(D17:D27)</f>
        <v>966094.69</v>
      </c>
      <c r="E16" s="535">
        <f>SUM(E17:E27)</f>
        <v>13793.75</v>
      </c>
      <c r="F16" s="186">
        <f>SUM(F17:F27)</f>
        <v>1436042</v>
      </c>
      <c r="G16" s="535">
        <f>SUM(G17:G27)</f>
        <v>1449835.75</v>
      </c>
      <c r="H16" s="535">
        <f>SUM(H17:H27)</f>
        <v>1000000</v>
      </c>
    </row>
    <row r="17" spans="1:10" ht="15.95" customHeight="1" outlineLevel="1">
      <c r="A17" s="2232" t="s">
        <v>1753</v>
      </c>
      <c r="B17" s="2144"/>
      <c r="C17" s="2176" t="s">
        <v>405</v>
      </c>
      <c r="D17" s="2132">
        <v>6480</v>
      </c>
      <c r="E17" s="520">
        <v>0</v>
      </c>
      <c r="F17" s="212">
        <f t="shared" ref="F17:F22" si="0">SUM(G17-E17)</f>
        <v>15605</v>
      </c>
      <c r="G17" s="2131">
        <v>15605</v>
      </c>
      <c r="H17" s="2131">
        <v>15380</v>
      </c>
    </row>
    <row r="18" spans="1:10" ht="15.95" customHeight="1" outlineLevel="1">
      <c r="A18" s="519" t="s">
        <v>404</v>
      </c>
      <c r="B18" s="518"/>
      <c r="C18" s="2145" t="s">
        <v>403</v>
      </c>
      <c r="D18" s="2128">
        <v>6000</v>
      </c>
      <c r="E18" s="212">
        <v>0</v>
      </c>
      <c r="F18" s="212">
        <f t="shared" si="0"/>
        <v>0</v>
      </c>
      <c r="G18" s="493">
        <v>0</v>
      </c>
      <c r="H18" s="493">
        <v>6000</v>
      </c>
    </row>
    <row r="19" spans="1:10" ht="15.95" customHeight="1" outlineLevel="1">
      <c r="A19" s="519" t="s">
        <v>1738</v>
      </c>
      <c r="B19" s="518"/>
      <c r="C19" s="2176" t="s">
        <v>1679</v>
      </c>
      <c r="D19" s="2128">
        <v>0</v>
      </c>
      <c r="E19" s="212">
        <v>0</v>
      </c>
      <c r="F19" s="212">
        <f t="shared" si="0"/>
        <v>13300</v>
      </c>
      <c r="G19" s="493">
        <v>13300</v>
      </c>
      <c r="H19" s="493">
        <v>13500</v>
      </c>
    </row>
    <row r="20" spans="1:10" ht="15.95" customHeight="1" outlineLevel="1">
      <c r="A20" s="519" t="s">
        <v>1760</v>
      </c>
      <c r="B20" s="518"/>
      <c r="C20" s="2176" t="s">
        <v>1677</v>
      </c>
      <c r="D20" s="2128">
        <v>877226</v>
      </c>
      <c r="E20" s="212">
        <v>0</v>
      </c>
      <c r="F20" s="212">
        <f t="shared" si="0"/>
        <v>1336055.75</v>
      </c>
      <c r="G20" s="493">
        <v>1336055.75</v>
      </c>
      <c r="H20" s="493">
        <v>886220</v>
      </c>
      <c r="J20" s="134">
        <v>-5020</v>
      </c>
    </row>
    <row r="21" spans="1:10" ht="15.95" customHeight="1" outlineLevel="1">
      <c r="A21" s="1736" t="s">
        <v>674</v>
      </c>
      <c r="B21" s="1735"/>
      <c r="C21" s="2145" t="s">
        <v>396</v>
      </c>
      <c r="D21" s="2128">
        <v>4542.25</v>
      </c>
      <c r="E21" s="212">
        <v>0</v>
      </c>
      <c r="F21" s="212">
        <f t="shared" si="0"/>
        <v>10175</v>
      </c>
      <c r="G21" s="2231">
        <v>10175</v>
      </c>
      <c r="H21" s="493">
        <v>4500</v>
      </c>
    </row>
    <row r="22" spans="1:10" s="579" customFormat="1" ht="15.95" customHeight="1" outlineLevel="1">
      <c r="A22" s="517" t="s">
        <v>389</v>
      </c>
      <c r="B22" s="516"/>
      <c r="C22" s="2192" t="s">
        <v>388</v>
      </c>
      <c r="D22" s="2230">
        <v>71846.44</v>
      </c>
      <c r="E22" s="529">
        <v>13793.75</v>
      </c>
      <c r="F22" s="529">
        <f t="shared" si="0"/>
        <v>60906.25</v>
      </c>
      <c r="G22" s="493">
        <v>74700</v>
      </c>
      <c r="H22" s="493">
        <v>74400</v>
      </c>
    </row>
    <row r="23" spans="1:10" ht="15.95" customHeight="1" outlineLevel="1">
      <c r="A23" s="163"/>
      <c r="B23" s="518"/>
      <c r="C23" s="978"/>
      <c r="D23" s="2171"/>
      <c r="E23" s="2169"/>
      <c r="F23" s="2213"/>
      <c r="G23" s="493"/>
      <c r="H23" s="493"/>
    </row>
    <row r="24" spans="1:10" ht="15.95" customHeight="1" outlineLevel="1">
      <c r="A24" s="517"/>
      <c r="B24" s="516"/>
      <c r="C24" s="1122"/>
      <c r="D24" s="2166"/>
      <c r="E24" s="378"/>
      <c r="F24" s="191"/>
      <c r="G24" s="389"/>
      <c r="H24" s="157"/>
    </row>
    <row r="25" spans="1:10" s="148" customFormat="1" ht="15.95" customHeight="1" outlineLevel="1">
      <c r="A25" s="512"/>
      <c r="B25" s="514"/>
      <c r="C25" s="514"/>
      <c r="D25" s="2166"/>
      <c r="E25" s="378"/>
      <c r="F25" s="191"/>
      <c r="G25" s="389"/>
      <c r="H25" s="157"/>
    </row>
    <row r="26" spans="1:10" s="148" customFormat="1" ht="15.95" customHeight="1" outlineLevel="1">
      <c r="A26" s="512"/>
      <c r="B26" s="511"/>
      <c r="C26" s="2192"/>
      <c r="D26" s="2166"/>
      <c r="E26" s="378"/>
      <c r="F26" s="191"/>
      <c r="G26" s="389"/>
      <c r="H26" s="157"/>
    </row>
    <row r="27" spans="1:10" s="148" customFormat="1" ht="15.95" customHeight="1" outlineLevel="1">
      <c r="A27" s="508"/>
      <c r="B27" s="507"/>
      <c r="C27" s="2191"/>
      <c r="D27" s="2161"/>
      <c r="E27" s="968"/>
      <c r="F27" s="967"/>
      <c r="G27" s="966"/>
      <c r="H27" s="149"/>
    </row>
    <row r="28" spans="1:10" s="148" customFormat="1" ht="15.95" customHeight="1" outlineLevel="1" thickBot="1">
      <c r="A28" s="147" t="s">
        <v>366</v>
      </c>
      <c r="B28" s="147"/>
      <c r="C28" s="146"/>
      <c r="D28" s="456">
        <f>SUM(D16)</f>
        <v>966094.69</v>
      </c>
      <c r="E28" s="456">
        <f>SUM(E16)</f>
        <v>13793.75</v>
      </c>
      <c r="F28" s="456">
        <f>SUM(F16)</f>
        <v>1436042</v>
      </c>
      <c r="G28" s="456">
        <f>SUM(G16)</f>
        <v>1449835.75</v>
      </c>
      <c r="H28" s="455">
        <f>SUM(H16)</f>
        <v>1000000</v>
      </c>
      <c r="I28" s="340" t="s">
        <v>1742</v>
      </c>
    </row>
    <row r="29" spans="1:10" ht="20.100000000000001" customHeight="1" outlineLevel="1" thickTop="1">
      <c r="H29" s="454"/>
    </row>
    <row r="30" spans="1:10" ht="15.95" customHeight="1">
      <c r="A30" s="134" t="s">
        <v>364</v>
      </c>
      <c r="C30" s="141" t="s">
        <v>363</v>
      </c>
      <c r="E30" s="4804" t="s">
        <v>1384</v>
      </c>
      <c r="F30" s="4804"/>
      <c r="G30" s="4804"/>
    </row>
    <row r="31" spans="1:10" ht="15.95" customHeight="1">
      <c r="C31" s="141"/>
    </row>
    <row r="32" spans="1:10" ht="27.6" customHeight="1">
      <c r="A32" s="139" t="s">
        <v>1735</v>
      </c>
      <c r="C32" s="4635" t="s">
        <v>360</v>
      </c>
      <c r="D32" s="4635"/>
      <c r="E32" s="4630" t="s">
        <v>359</v>
      </c>
      <c r="F32" s="4630"/>
      <c r="G32" s="4630"/>
      <c r="H32" s="4630"/>
    </row>
    <row r="33" spans="1:9" s="135" customFormat="1" ht="15.95" customHeight="1">
      <c r="A33" s="2104" t="s">
        <v>1734</v>
      </c>
      <c r="B33" s="2104"/>
      <c r="C33" s="4622" t="s">
        <v>357</v>
      </c>
      <c r="D33" s="4622"/>
      <c r="E33" s="4623" t="s">
        <v>356</v>
      </c>
      <c r="F33" s="4623"/>
      <c r="G33" s="4623"/>
      <c r="H33" s="4623"/>
      <c r="I33" s="136"/>
    </row>
    <row r="34" spans="1:9" s="135" customFormat="1" ht="13.5">
      <c r="A34" s="4645"/>
      <c r="B34" s="4645"/>
      <c r="C34" s="4655"/>
      <c r="D34" s="4655"/>
      <c r="E34" s="137"/>
      <c r="F34" s="137"/>
      <c r="G34" s="137"/>
      <c r="H34" s="137"/>
      <c r="I34" s="136"/>
    </row>
  </sheetData>
  <mergeCells count="11">
    <mergeCell ref="A5:H5"/>
    <mergeCell ref="A6:H6"/>
    <mergeCell ref="E12:G12"/>
    <mergeCell ref="C32:D32"/>
    <mergeCell ref="E32:H32"/>
    <mergeCell ref="E30:G30"/>
    <mergeCell ref="C33:D33"/>
    <mergeCell ref="E33:H33"/>
    <mergeCell ref="A34:B34"/>
    <mergeCell ref="A12:B14"/>
    <mergeCell ref="C34:D34"/>
  </mergeCells>
  <pageMargins left="0.5" right="0" top="0.25" bottom="0" header="0.5" footer="0"/>
  <pageSetup paperSize="5" orientation="portrait"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zoomScale="110" zoomScaleNormal="110" workbookViewId="0">
      <selection activeCell="J19" sqref="J19"/>
    </sheetView>
  </sheetViews>
  <sheetFormatPr defaultColWidth="12.5703125" defaultRowHeight="15.75" outlineLevelRow="1" outlineLevelCol="2"/>
  <cols>
    <col min="1" max="1" width="1.85546875" style="235" customWidth="1"/>
    <col min="2" max="2" width="30.7109375" style="235" customWidth="1"/>
    <col min="3" max="3" width="10.42578125" style="235" customWidth="1"/>
    <col min="4" max="5" width="10.85546875" style="235" customWidth="1"/>
    <col min="6" max="6" width="10.7109375" style="235" customWidth="1"/>
    <col min="7" max="7" width="12.28515625" style="235" customWidth="1"/>
    <col min="8" max="8" width="12.140625" style="235" customWidth="1"/>
    <col min="9" max="9" width="14.140625" style="235" hidden="1" customWidth="1"/>
    <col min="10" max="48" width="12.5703125" style="235"/>
    <col min="49" max="53" width="12.5703125" style="235" outlineLevel="1"/>
    <col min="54" max="59" width="12.5703125" style="235" outlineLevel="2"/>
    <col min="60" max="62" width="12.5703125" style="235" outlineLevel="1"/>
    <col min="63" max="82" width="12.5703125" style="235"/>
    <col min="83" max="86" width="12.5703125" style="235" outlineLevel="1"/>
    <col min="87" max="134" width="12.5703125" style="235"/>
    <col min="135" max="140" width="12.5703125" style="235" outlineLevel="1"/>
    <col min="141" max="146" width="12.5703125" style="235" outlineLevel="2"/>
    <col min="147" max="149" width="12.5703125" style="235" outlineLevel="1"/>
    <col min="150" max="16384" width="12.5703125" style="235"/>
  </cols>
  <sheetData>
    <row r="1" spans="1:8" s="134" customFormat="1" ht="13.5">
      <c r="A1" s="575" t="s">
        <v>473</v>
      </c>
      <c r="E1" s="1668"/>
      <c r="G1" s="1668"/>
      <c r="H1" s="1668"/>
    </row>
    <row r="2" spans="1:8" s="134" customFormat="1" ht="14.25" customHeight="1">
      <c r="A2" s="574" t="s">
        <v>584</v>
      </c>
      <c r="E2" s="1667"/>
      <c r="G2" s="1667"/>
      <c r="H2" s="1667"/>
    </row>
    <row r="3" spans="1:8" s="134" customFormat="1" ht="14.25" customHeight="1">
      <c r="E3" s="1667"/>
      <c r="F3" s="1667"/>
      <c r="G3" s="1667"/>
      <c r="H3" s="1667"/>
    </row>
    <row r="4" spans="1:8" s="134" customFormat="1" ht="14.25" customHeight="1">
      <c r="E4" s="1667"/>
      <c r="F4" s="1667"/>
      <c r="G4" s="1667"/>
      <c r="H4" s="1667"/>
    </row>
    <row r="5" spans="1:8" s="134" customFormat="1" ht="14.25" customHeight="1">
      <c r="A5" s="4630" t="s">
        <v>471</v>
      </c>
      <c r="B5" s="4630"/>
      <c r="C5" s="4630"/>
      <c r="D5" s="4630"/>
      <c r="E5" s="4630"/>
      <c r="F5" s="4630"/>
      <c r="G5" s="4630"/>
      <c r="H5" s="4630"/>
    </row>
    <row r="6" spans="1:8" s="134" customFormat="1" ht="14.25" customHeight="1">
      <c r="A6" s="4623" t="s">
        <v>583</v>
      </c>
      <c r="B6" s="4631"/>
      <c r="C6" s="4631"/>
      <c r="D6" s="4631"/>
      <c r="E6" s="4631"/>
      <c r="F6" s="4631"/>
      <c r="G6" s="4631"/>
      <c r="H6" s="4631"/>
    </row>
    <row r="7" spans="1:8" s="134" customFormat="1" ht="14.25" customHeight="1">
      <c r="A7" s="140"/>
      <c r="B7" s="140"/>
      <c r="C7" s="140"/>
      <c r="D7" s="140"/>
      <c r="E7" s="140"/>
      <c r="F7" s="140"/>
      <c r="G7" s="140"/>
      <c r="H7" s="140"/>
    </row>
    <row r="8" spans="1:8" s="134" customFormat="1" ht="14.25" customHeight="1">
      <c r="A8" s="140"/>
      <c r="B8" s="140"/>
      <c r="C8" s="140"/>
      <c r="D8" s="140"/>
      <c r="E8" s="140"/>
      <c r="F8" s="140"/>
      <c r="G8" s="140"/>
      <c r="H8" s="140"/>
    </row>
    <row r="9" spans="1:8" s="134" customFormat="1" ht="14.25" customHeight="1">
      <c r="A9" s="2076" t="s">
        <v>1746</v>
      </c>
      <c r="B9" s="266"/>
    </row>
    <row r="10" spans="1:8" ht="14.25" customHeight="1">
      <c r="A10" s="398"/>
      <c r="B10" s="2076" t="s">
        <v>1780</v>
      </c>
      <c r="D10" s="134"/>
      <c r="E10" s="134"/>
      <c r="F10" s="134"/>
      <c r="G10" s="134"/>
      <c r="H10" s="134"/>
    </row>
    <row r="11" spans="1:8" ht="14.25" customHeight="1">
      <c r="A11" s="398"/>
      <c r="B11" s="397"/>
      <c r="D11" s="134"/>
      <c r="E11" s="134"/>
      <c r="F11" s="134"/>
      <c r="G11" s="134"/>
      <c r="H11" s="134"/>
    </row>
    <row r="12" spans="1:8" ht="14.25" customHeight="1">
      <c r="A12" s="4624" t="s">
        <v>468</v>
      </c>
      <c r="B12" s="4625"/>
      <c r="C12" s="570" t="s">
        <v>467</v>
      </c>
      <c r="D12" s="264" t="s">
        <v>466</v>
      </c>
      <c r="E12" s="4632" t="s">
        <v>465</v>
      </c>
      <c r="F12" s="4633"/>
      <c r="G12" s="4634"/>
      <c r="H12" s="265" t="s">
        <v>464</v>
      </c>
    </row>
    <row r="13" spans="1:8" ht="14.25" customHeight="1">
      <c r="A13" s="4626"/>
      <c r="B13" s="4627"/>
      <c r="C13" s="569" t="s">
        <v>463</v>
      </c>
      <c r="D13" s="262" t="s">
        <v>573</v>
      </c>
      <c r="E13" s="597" t="s">
        <v>462</v>
      </c>
      <c r="F13" s="597" t="s">
        <v>461</v>
      </c>
      <c r="G13" s="262" t="s">
        <v>244</v>
      </c>
      <c r="H13" s="262">
        <v>2022</v>
      </c>
    </row>
    <row r="14" spans="1:8" ht="14.25" customHeight="1">
      <c r="A14" s="4628"/>
      <c r="B14" s="4629"/>
      <c r="C14" s="567"/>
      <c r="D14" s="258" t="s">
        <v>460</v>
      </c>
      <c r="E14" s="258" t="s">
        <v>460</v>
      </c>
      <c r="F14" s="258" t="s">
        <v>459</v>
      </c>
      <c r="G14" s="259"/>
      <c r="H14" s="258" t="s">
        <v>458</v>
      </c>
    </row>
    <row r="15" spans="1:8" ht="20.100000000000001" customHeight="1">
      <c r="A15" s="2117" t="s">
        <v>456</v>
      </c>
      <c r="B15" s="536"/>
      <c r="C15" s="396"/>
      <c r="D15" s="396"/>
      <c r="E15" s="396"/>
      <c r="F15" s="536"/>
      <c r="G15" s="536"/>
      <c r="H15" s="536"/>
    </row>
    <row r="16" spans="1:8" ht="20.100000000000001" customHeight="1">
      <c r="A16" s="2116" t="s">
        <v>407</v>
      </c>
      <c r="B16" s="188"/>
      <c r="C16" s="526"/>
      <c r="D16" s="535">
        <f>SUM(D17:D30)</f>
        <v>620574.5</v>
      </c>
      <c r="E16" s="535">
        <f>SUM(E17:E30)</f>
        <v>167132.5</v>
      </c>
      <c r="F16" s="535">
        <f>SUM(F17:F30)</f>
        <v>932867.5</v>
      </c>
      <c r="G16" s="535">
        <f>SUM(G17:G30)</f>
        <v>1100000</v>
      </c>
      <c r="H16" s="535">
        <f>SUM(H17:H30)</f>
        <v>1100000</v>
      </c>
    </row>
    <row r="17" spans="1:9" ht="15.95" customHeight="1" outlineLevel="1">
      <c r="A17" s="519" t="s">
        <v>402</v>
      </c>
      <c r="B17" s="518"/>
      <c r="C17" s="530" t="s">
        <v>401</v>
      </c>
      <c r="D17" s="984">
        <v>49740</v>
      </c>
      <c r="E17" s="1738">
        <v>44882.5</v>
      </c>
      <c r="F17" s="1107">
        <f>SUM(G17-E17)</f>
        <v>5117.5</v>
      </c>
      <c r="G17" s="982">
        <v>50000</v>
      </c>
      <c r="H17" s="982">
        <v>50000</v>
      </c>
    </row>
    <row r="18" spans="1:9" ht="15.95" customHeight="1" outlineLevel="1">
      <c r="A18" s="1736" t="s">
        <v>674</v>
      </c>
      <c r="B18" s="1735"/>
      <c r="C18" s="530" t="s">
        <v>396</v>
      </c>
      <c r="D18" s="951">
        <v>8844</v>
      </c>
      <c r="E18" s="994">
        <v>0</v>
      </c>
      <c r="F18" s="378">
        <f>SUM(G18-E18)</f>
        <v>50000</v>
      </c>
      <c r="G18" s="157">
        <v>50000</v>
      </c>
      <c r="H18" s="157">
        <v>50000</v>
      </c>
    </row>
    <row r="19" spans="1:9" ht="15.95" customHeight="1" outlineLevel="1">
      <c r="A19" s="166" t="s">
        <v>395</v>
      </c>
      <c r="B19" s="518"/>
      <c r="C19" s="978" t="s">
        <v>394</v>
      </c>
      <c r="D19" s="951">
        <v>227765.5</v>
      </c>
      <c r="E19" s="994">
        <v>0</v>
      </c>
      <c r="F19" s="378">
        <f>SUM(G19-E19)</f>
        <v>616520</v>
      </c>
      <c r="G19" s="157">
        <v>616520</v>
      </c>
      <c r="H19" s="157">
        <v>605200</v>
      </c>
    </row>
    <row r="20" spans="1:9" ht="15.95" customHeight="1" outlineLevel="1">
      <c r="A20" s="517" t="s">
        <v>389</v>
      </c>
      <c r="B20" s="950"/>
      <c r="C20" s="971" t="s">
        <v>388</v>
      </c>
      <c r="D20" s="951">
        <v>334225</v>
      </c>
      <c r="E20" s="994">
        <v>122250</v>
      </c>
      <c r="F20" s="378">
        <f>SUM(G20-E20)</f>
        <v>213000</v>
      </c>
      <c r="G20" s="157">
        <v>335250</v>
      </c>
      <c r="H20" s="157">
        <v>346570</v>
      </c>
    </row>
    <row r="21" spans="1:9" ht="15.95" customHeight="1" outlineLevel="1">
      <c r="A21" s="519" t="s">
        <v>368</v>
      </c>
      <c r="B21" s="518"/>
      <c r="C21" s="971" t="s">
        <v>367</v>
      </c>
      <c r="D21" s="951">
        <v>0</v>
      </c>
      <c r="E21" s="994">
        <v>0</v>
      </c>
      <c r="F21" s="378">
        <f>SUM(G21-E21)</f>
        <v>48230</v>
      </c>
      <c r="G21" s="157">
        <v>48230</v>
      </c>
      <c r="H21" s="157">
        <v>48230</v>
      </c>
    </row>
    <row r="22" spans="1:9" ht="15.95" customHeight="1" outlineLevel="1">
      <c r="A22" s="519"/>
      <c r="B22" s="518"/>
      <c r="C22" s="971"/>
      <c r="D22" s="951"/>
      <c r="E22" s="994"/>
      <c r="F22" s="378"/>
      <c r="G22" s="390"/>
      <c r="H22" s="157"/>
    </row>
    <row r="23" spans="1:9" ht="15.95" customHeight="1" outlineLevel="1">
      <c r="A23" s="519"/>
      <c r="B23" s="518"/>
      <c r="C23" s="971"/>
      <c r="D23" s="951"/>
      <c r="E23" s="994"/>
      <c r="F23" s="378"/>
      <c r="G23" s="390"/>
      <c r="H23" s="157"/>
    </row>
    <row r="24" spans="1:9" ht="15.95" customHeight="1" outlineLevel="1">
      <c r="A24" s="519"/>
      <c r="B24" s="518"/>
      <c r="C24" s="971"/>
      <c r="D24" s="951"/>
      <c r="E24" s="994"/>
      <c r="F24" s="378"/>
      <c r="G24" s="390"/>
      <c r="H24" s="157"/>
    </row>
    <row r="25" spans="1:9" ht="15.95" customHeight="1" outlineLevel="1">
      <c r="A25" s="519"/>
      <c r="B25" s="518"/>
      <c r="C25" s="971"/>
      <c r="D25" s="951"/>
      <c r="E25" s="994"/>
      <c r="F25" s="238"/>
      <c r="G25" s="390"/>
      <c r="H25" s="157"/>
    </row>
    <row r="26" spans="1:9" ht="15.95" customHeight="1" outlineLevel="1">
      <c r="A26" s="519"/>
      <c r="B26" s="518"/>
      <c r="C26" s="971"/>
      <c r="D26" s="951"/>
      <c r="E26" s="994"/>
      <c r="F26" s="238"/>
      <c r="G26" s="390"/>
      <c r="H26" s="157"/>
    </row>
    <row r="27" spans="1:9" ht="15.95" customHeight="1" outlineLevel="1">
      <c r="A27" s="517"/>
      <c r="B27" s="516"/>
      <c r="C27" s="1734"/>
      <c r="D27" s="951"/>
      <c r="E27" s="994"/>
      <c r="F27" s="238"/>
      <c r="G27" s="390"/>
      <c r="H27" s="157"/>
    </row>
    <row r="28" spans="1:9" s="344" customFormat="1" ht="15.95" customHeight="1" outlineLevel="1">
      <c r="A28" s="512"/>
      <c r="B28" s="514"/>
      <c r="C28" s="2105"/>
      <c r="D28" s="951"/>
      <c r="E28" s="994"/>
      <c r="F28" s="238"/>
      <c r="G28" s="390"/>
      <c r="H28" s="157"/>
    </row>
    <row r="29" spans="1:9" s="344" customFormat="1" ht="15.95" customHeight="1" outlineLevel="1">
      <c r="A29" s="512"/>
      <c r="B29" s="511"/>
      <c r="C29" s="971"/>
      <c r="D29" s="951"/>
      <c r="E29" s="994"/>
      <c r="F29" s="238"/>
      <c r="G29" s="390"/>
      <c r="H29" s="157"/>
    </row>
    <row r="30" spans="1:9" s="344" customFormat="1" ht="15.95" customHeight="1" outlineLevel="1">
      <c r="A30" s="508"/>
      <c r="B30" s="507"/>
      <c r="C30" s="970"/>
      <c r="D30" s="969"/>
      <c r="E30" s="993"/>
      <c r="F30" s="992"/>
      <c r="G30" s="991"/>
      <c r="H30" s="149"/>
    </row>
    <row r="31" spans="1:9" s="344" customFormat="1" ht="15.95" customHeight="1" outlineLevel="1" thickBot="1">
      <c r="A31" s="147" t="s">
        <v>366</v>
      </c>
      <c r="B31" s="147"/>
      <c r="C31" s="146"/>
      <c r="D31" s="2156">
        <f>SUM(D16)</f>
        <v>620574.5</v>
      </c>
      <c r="E31" s="456">
        <f>SUM(E16)</f>
        <v>167132.5</v>
      </c>
      <c r="F31" s="147">
        <f>SUM(F16)</f>
        <v>932867.5</v>
      </c>
      <c r="G31" s="456">
        <f>SUM(G16)</f>
        <v>1100000</v>
      </c>
      <c r="H31" s="455">
        <f>SUM(H16)</f>
        <v>1100000</v>
      </c>
      <c r="I31" s="340" t="s">
        <v>1742</v>
      </c>
    </row>
    <row r="32" spans="1:9" ht="20.100000000000001" customHeight="1" outlineLevel="1" thickTop="1">
      <c r="H32" s="454"/>
    </row>
    <row r="33" spans="1:9" s="134" customFormat="1" ht="15.95" customHeight="1">
      <c r="A33" s="134" t="s">
        <v>364</v>
      </c>
      <c r="C33" s="141" t="s">
        <v>947</v>
      </c>
      <c r="F33" s="4805" t="s">
        <v>1779</v>
      </c>
      <c r="G33" s="4805"/>
      <c r="H33" s="4805"/>
    </row>
    <row r="34" spans="1:9" s="134" customFormat="1" ht="15.95" customHeight="1">
      <c r="C34" s="141"/>
    </row>
    <row r="35" spans="1:9" s="134" customFormat="1" ht="27.6" customHeight="1">
      <c r="A35" s="139" t="s">
        <v>1735</v>
      </c>
      <c r="C35" s="4635" t="s">
        <v>360</v>
      </c>
      <c r="D35" s="4635"/>
      <c r="E35" s="4635"/>
      <c r="F35" s="4630" t="s">
        <v>359</v>
      </c>
      <c r="G35" s="4630"/>
      <c r="H35" s="4630"/>
      <c r="I35" s="541"/>
    </row>
    <row r="36" spans="1:9" s="135" customFormat="1" ht="15.95" customHeight="1">
      <c r="A36" s="2104" t="s">
        <v>1734</v>
      </c>
      <c r="B36" s="2104"/>
      <c r="C36" s="4622" t="s">
        <v>357</v>
      </c>
      <c r="D36" s="4622"/>
      <c r="E36" s="4622"/>
      <c r="F36" s="4623" t="s">
        <v>356</v>
      </c>
      <c r="G36" s="4623"/>
      <c r="H36" s="4623"/>
      <c r="I36" s="1788"/>
    </row>
    <row r="37" spans="1:9" s="135" customFormat="1" ht="13.5">
      <c r="A37" s="4645"/>
      <c r="B37" s="4645"/>
      <c r="C37" s="4655"/>
      <c r="D37" s="4655"/>
      <c r="E37" s="137"/>
      <c r="F37" s="137"/>
      <c r="G37" s="137"/>
      <c r="H37" s="137"/>
      <c r="I37" s="136"/>
    </row>
  </sheetData>
  <mergeCells count="11">
    <mergeCell ref="F36:H36"/>
    <mergeCell ref="A37:B37"/>
    <mergeCell ref="A12:B14"/>
    <mergeCell ref="A5:H5"/>
    <mergeCell ref="A6:H6"/>
    <mergeCell ref="E12:G12"/>
    <mergeCell ref="C37:D37"/>
    <mergeCell ref="C35:E35"/>
    <mergeCell ref="C36:E36"/>
    <mergeCell ref="F33:H33"/>
    <mergeCell ref="F35:H35"/>
  </mergeCells>
  <pageMargins left="0.5" right="0" top="0.25" bottom="0" header="0.5" footer="0"/>
  <pageSetup paperSize="5" orientation="portrait"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outlinePr summaryBelow="0"/>
  </sheetPr>
  <dimension ref="A1:DP215"/>
  <sheetViews>
    <sheetView showGridLines="0" showOutlineSymbols="0" zoomScaleNormal="100" workbookViewId="0">
      <selection activeCell="J202" sqref="J202"/>
    </sheetView>
  </sheetViews>
  <sheetFormatPr defaultColWidth="12.5703125" defaultRowHeight="15.75" outlineLevelRow="2" outlineLevelCol="2"/>
  <cols>
    <col min="1" max="1" width="43.42578125" style="1390" customWidth="1"/>
    <col min="2" max="2" width="11" style="2233" customWidth="1"/>
    <col min="3" max="4" width="11.28515625" style="1390" customWidth="1"/>
    <col min="5" max="5" width="10.85546875" style="1390" customWidth="1"/>
    <col min="6" max="6" width="11.7109375" style="1390" customWidth="1"/>
    <col min="7" max="7" width="13.140625" style="1390" bestFit="1" customWidth="1"/>
    <col min="8" max="19" width="12.5703125" style="1390"/>
    <col min="20" max="24" width="12.5703125" style="1390" outlineLevel="1"/>
    <col min="25" max="30" width="12.5703125" style="1390" outlineLevel="2"/>
    <col min="31" max="33" width="12.5703125" style="1390" outlineLevel="1"/>
    <col min="34" max="53" width="12.5703125" style="1390"/>
    <col min="54" max="57" width="12.5703125" style="1390" outlineLevel="1"/>
    <col min="58" max="105" width="12.5703125" style="1390"/>
    <col min="106" max="111" width="12.5703125" style="1390" outlineLevel="1"/>
    <col min="112" max="117" width="12.5703125" style="1390" outlineLevel="2"/>
    <col min="118" max="120" width="12.5703125" style="1390" outlineLevel="1"/>
    <col min="121" max="16384" width="12.5703125" style="1390"/>
  </cols>
  <sheetData>
    <row r="1" spans="1:7" ht="17.25" customHeight="1">
      <c r="A1" s="4810" t="s">
        <v>2014</v>
      </c>
      <c r="B1" s="4811"/>
      <c r="C1" s="4811"/>
      <c r="D1" s="4811"/>
      <c r="E1" s="4811"/>
      <c r="F1" s="4812"/>
    </row>
    <row r="2" spans="1:7" ht="12" customHeight="1">
      <c r="A2" s="4813" t="s">
        <v>2013</v>
      </c>
      <c r="B2" s="4814"/>
      <c r="C2" s="4814"/>
      <c r="D2" s="4814"/>
      <c r="E2" s="4814"/>
      <c r="F2" s="4815"/>
    </row>
    <row r="3" spans="1:7" ht="15.75" customHeight="1" thickBot="1">
      <c r="A3" s="4816" t="s">
        <v>2012</v>
      </c>
      <c r="B3" s="4817"/>
      <c r="C3" s="4817"/>
      <c r="D3" s="4817"/>
      <c r="E3" s="4817"/>
      <c r="F3" s="4818"/>
    </row>
    <row r="4" spans="1:7" s="2248" customFormat="1" ht="14.25" customHeight="1">
      <c r="A4" s="4819" t="s">
        <v>1827</v>
      </c>
      <c r="B4" s="4821" t="s">
        <v>1826</v>
      </c>
      <c r="C4" s="4808" t="s">
        <v>1825</v>
      </c>
      <c r="D4" s="4808" t="s">
        <v>1824</v>
      </c>
      <c r="E4" s="4808" t="s">
        <v>1823</v>
      </c>
      <c r="F4" s="4806" t="s">
        <v>244</v>
      </c>
    </row>
    <row r="5" spans="1:7" s="2248" customFormat="1" ht="23.25" customHeight="1" thickBot="1">
      <c r="A5" s="4820"/>
      <c r="B5" s="4822"/>
      <c r="C5" s="4823"/>
      <c r="D5" s="4823"/>
      <c r="E5" s="4823"/>
      <c r="F5" s="4807"/>
    </row>
    <row r="6" spans="1:7" s="2255" customFormat="1" ht="15" customHeight="1">
      <c r="A6" s="2346" t="s">
        <v>2011</v>
      </c>
      <c r="B6" s="2345"/>
      <c r="C6" s="2345"/>
      <c r="D6" s="2345"/>
      <c r="E6" s="2345"/>
      <c r="F6" s="2344"/>
    </row>
    <row r="7" spans="1:7" s="2256" customFormat="1" ht="15" customHeight="1">
      <c r="A7" s="2332" t="s">
        <v>2010</v>
      </c>
      <c r="B7" s="2331"/>
      <c r="C7" s="2343">
        <f>SUM(C9:C41)</f>
        <v>268005650</v>
      </c>
      <c r="D7" s="2343">
        <f>SUM(D9:D41)</f>
        <v>97408189</v>
      </c>
      <c r="E7" s="2343">
        <f>SUM(E9:E41)</f>
        <v>81516907</v>
      </c>
      <c r="F7" s="2341">
        <f>SUM(F9:F41)</f>
        <v>446930746</v>
      </c>
    </row>
    <row r="8" spans="1:7" s="2256" customFormat="1" ht="15" customHeight="1">
      <c r="A8" s="2338" t="s">
        <v>454</v>
      </c>
      <c r="B8" s="2331"/>
      <c r="C8" s="2343"/>
      <c r="D8" s="2343"/>
      <c r="E8" s="2342"/>
      <c r="F8" s="2341"/>
      <c r="G8" s="2340"/>
    </row>
    <row r="9" spans="1:7" s="2248" customFormat="1" ht="15.6" customHeight="1" outlineLevel="1">
      <c r="A9" s="2334" t="s">
        <v>2009</v>
      </c>
      <c r="B9" s="2333" t="s">
        <v>453</v>
      </c>
      <c r="C9" s="2299">
        <v>151690944</v>
      </c>
      <c r="D9" s="2299">
        <v>45345096</v>
      </c>
      <c r="E9" s="2299">
        <v>49578060</v>
      </c>
      <c r="F9" s="2265">
        <f>SUM(C9:E9)</f>
        <v>246614100</v>
      </c>
      <c r="G9" s="2339"/>
    </row>
    <row r="10" spans="1:7" s="2248" customFormat="1" ht="15.6" customHeight="1" outlineLevel="1">
      <c r="A10" s="2334" t="s">
        <v>2008</v>
      </c>
      <c r="B10" s="2333" t="s">
        <v>2007</v>
      </c>
      <c r="C10" s="2299">
        <v>2354844</v>
      </c>
      <c r="D10" s="2299">
        <v>0</v>
      </c>
      <c r="E10" s="2299">
        <v>0</v>
      </c>
      <c r="F10" s="2296">
        <f>SUM(C10:E10)</f>
        <v>2354844</v>
      </c>
      <c r="G10" s="2339"/>
    </row>
    <row r="11" spans="1:7" s="2248" customFormat="1" ht="15.6" customHeight="1" outlineLevel="1">
      <c r="A11" s="2338" t="s">
        <v>452</v>
      </c>
      <c r="B11" s="2333"/>
      <c r="C11" s="2337"/>
      <c r="D11" s="2336"/>
      <c r="E11" s="2336"/>
      <c r="F11" s="2265"/>
      <c r="G11" s="1422"/>
    </row>
    <row r="12" spans="1:7" s="2248" customFormat="1" ht="15.6" customHeight="1" outlineLevel="1">
      <c r="A12" s="2334" t="s">
        <v>1507</v>
      </c>
      <c r="B12" s="2333" t="s">
        <v>450</v>
      </c>
      <c r="C12" s="2299">
        <v>12624000</v>
      </c>
      <c r="D12" s="2299">
        <v>3816000</v>
      </c>
      <c r="E12" s="2299">
        <v>4632000</v>
      </c>
      <c r="F12" s="2296">
        <f t="shared" ref="F12:F27" si="0">SUM(C12:E12)</f>
        <v>21072000</v>
      </c>
      <c r="G12" s="1422"/>
    </row>
    <row r="13" spans="1:7" s="2248" customFormat="1" ht="15.6" customHeight="1" outlineLevel="1">
      <c r="A13" s="2334" t="s">
        <v>449</v>
      </c>
      <c r="B13" s="2333" t="s">
        <v>448</v>
      </c>
      <c r="C13" s="2299">
        <v>2354100</v>
      </c>
      <c r="D13" s="2299">
        <v>256500</v>
      </c>
      <c r="E13" s="2299">
        <v>313500</v>
      </c>
      <c r="F13" s="2296">
        <f t="shared" si="0"/>
        <v>2924100</v>
      </c>
      <c r="G13" s="1422"/>
    </row>
    <row r="14" spans="1:7" s="2248" customFormat="1" ht="15.6" customHeight="1" outlineLevel="1">
      <c r="A14" s="2334" t="s">
        <v>447</v>
      </c>
      <c r="B14" s="2333" t="s">
        <v>446</v>
      </c>
      <c r="C14" s="2299">
        <v>2354100</v>
      </c>
      <c r="D14" s="2299">
        <v>256500</v>
      </c>
      <c r="E14" s="2299">
        <v>313500</v>
      </c>
      <c r="F14" s="2296">
        <f t="shared" si="0"/>
        <v>2924100</v>
      </c>
      <c r="G14" s="1422"/>
    </row>
    <row r="15" spans="1:7" s="2248" customFormat="1" ht="15.6" customHeight="1" outlineLevel="1">
      <c r="A15" s="2334" t="s">
        <v>445</v>
      </c>
      <c r="B15" s="2333" t="s">
        <v>444</v>
      </c>
      <c r="C15" s="2299">
        <v>3180000</v>
      </c>
      <c r="D15" s="2299">
        <v>954000</v>
      </c>
      <c r="E15" s="2299">
        <v>1458000</v>
      </c>
      <c r="F15" s="2296">
        <f t="shared" si="0"/>
        <v>5592000</v>
      </c>
      <c r="G15" s="1422"/>
    </row>
    <row r="16" spans="1:7" s="2248" customFormat="1" ht="15.6" customHeight="1" outlineLevel="1">
      <c r="A16" s="2334" t="s">
        <v>1698</v>
      </c>
      <c r="B16" s="2333" t="s">
        <v>1697</v>
      </c>
      <c r="C16" s="2299">
        <v>0</v>
      </c>
      <c r="D16" s="2299">
        <v>1692000</v>
      </c>
      <c r="E16" s="2299">
        <v>18000</v>
      </c>
      <c r="F16" s="2296">
        <f t="shared" si="0"/>
        <v>1710000</v>
      </c>
      <c r="G16" s="1422"/>
    </row>
    <row r="17" spans="1:7" s="2248" customFormat="1" ht="15.6" customHeight="1" outlineLevel="1">
      <c r="A17" s="2334" t="s">
        <v>1696</v>
      </c>
      <c r="B17" s="2333" t="s">
        <v>1695</v>
      </c>
      <c r="C17" s="2299">
        <v>0</v>
      </c>
      <c r="D17" s="2299">
        <v>159400</v>
      </c>
      <c r="E17" s="2299">
        <v>1800</v>
      </c>
      <c r="F17" s="2296">
        <f t="shared" si="0"/>
        <v>161200</v>
      </c>
      <c r="G17" s="1422"/>
    </row>
    <row r="18" spans="1:7" s="2248" customFormat="1" ht="15.6" customHeight="1" outlineLevel="1">
      <c r="A18" s="2334" t="s">
        <v>2006</v>
      </c>
      <c r="B18" s="2333" t="s">
        <v>2005</v>
      </c>
      <c r="C18" s="2299">
        <v>0</v>
      </c>
      <c r="D18" s="2299">
        <v>8188800</v>
      </c>
      <c r="E18" s="2266">
        <v>0</v>
      </c>
      <c r="F18" s="2296">
        <f t="shared" si="0"/>
        <v>8188800</v>
      </c>
      <c r="G18" s="1422"/>
    </row>
    <row r="19" spans="1:7" s="2248" customFormat="1" ht="15.6" customHeight="1" outlineLevel="1">
      <c r="A19" s="2334" t="s">
        <v>2004</v>
      </c>
      <c r="B19" s="2333" t="s">
        <v>2003</v>
      </c>
      <c r="C19" s="2299">
        <v>0</v>
      </c>
      <c r="D19" s="2299">
        <v>3036228</v>
      </c>
      <c r="E19" s="2266">
        <v>0</v>
      </c>
      <c r="F19" s="2296">
        <f t="shared" si="0"/>
        <v>3036228</v>
      </c>
      <c r="G19" s="1422"/>
    </row>
    <row r="20" spans="1:7" s="2248" customFormat="1" ht="15.6" customHeight="1" outlineLevel="1">
      <c r="A20" s="2334" t="s">
        <v>2002</v>
      </c>
      <c r="B20" s="2333" t="s">
        <v>2001</v>
      </c>
      <c r="C20" s="2299">
        <v>0</v>
      </c>
      <c r="D20" s="2299">
        <v>758824</v>
      </c>
      <c r="E20" s="2299">
        <v>0</v>
      </c>
      <c r="F20" s="2296">
        <f t="shared" si="0"/>
        <v>758824</v>
      </c>
      <c r="G20" s="1422"/>
    </row>
    <row r="21" spans="1:7" s="2248" customFormat="1" ht="15.6" customHeight="1" outlineLevel="1">
      <c r="A21" s="2334" t="s">
        <v>2000</v>
      </c>
      <c r="B21" s="2333" t="s">
        <v>1999</v>
      </c>
      <c r="C21" s="2299">
        <v>0</v>
      </c>
      <c r="D21" s="2299">
        <v>241740</v>
      </c>
      <c r="E21" s="2299">
        <v>0</v>
      </c>
      <c r="F21" s="2296">
        <f t="shared" si="0"/>
        <v>241740</v>
      </c>
      <c r="G21" s="1422"/>
    </row>
    <row r="22" spans="1:7" s="2248" customFormat="1" ht="15.6" customHeight="1" outlineLevel="1">
      <c r="A22" s="2334" t="s">
        <v>1690</v>
      </c>
      <c r="B22" s="2333" t="s">
        <v>1694</v>
      </c>
      <c r="C22" s="2299">
        <v>0</v>
      </c>
      <c r="D22" s="2299">
        <v>7012120</v>
      </c>
      <c r="E22" s="2299">
        <v>100053</v>
      </c>
      <c r="F22" s="2296">
        <f t="shared" si="0"/>
        <v>7112173</v>
      </c>
      <c r="G22" s="1422"/>
    </row>
    <row r="23" spans="1:7" s="2248" customFormat="1" ht="15.6" customHeight="1" outlineLevel="1">
      <c r="A23" s="2334" t="s">
        <v>1691</v>
      </c>
      <c r="B23" s="2333" t="s">
        <v>1693</v>
      </c>
      <c r="C23" s="2299">
        <v>0</v>
      </c>
      <c r="D23" s="2299">
        <v>1851452</v>
      </c>
      <c r="E23" s="2299">
        <v>0</v>
      </c>
      <c r="F23" s="2296">
        <f t="shared" si="0"/>
        <v>1851452</v>
      </c>
      <c r="G23" s="1422"/>
    </row>
    <row r="24" spans="1:7" s="2248" customFormat="1" ht="15.6" customHeight="1" outlineLevel="1">
      <c r="A24" s="2334" t="s">
        <v>1692</v>
      </c>
      <c r="B24" s="2333" t="s">
        <v>440</v>
      </c>
      <c r="C24" s="2299">
        <v>3740000</v>
      </c>
      <c r="D24" s="2299">
        <v>40000</v>
      </c>
      <c r="E24" s="2299">
        <v>250000</v>
      </c>
      <c r="F24" s="2296">
        <f t="shared" si="0"/>
        <v>4030000</v>
      </c>
      <c r="G24" s="1422"/>
    </row>
    <row r="25" spans="1:7" s="2248" customFormat="1" ht="15.6" customHeight="1" outlineLevel="1">
      <c r="A25" s="2334" t="s">
        <v>1998</v>
      </c>
      <c r="B25" s="2333" t="s">
        <v>439</v>
      </c>
      <c r="C25" s="2299">
        <v>13126491</v>
      </c>
      <c r="D25" s="2299">
        <v>3778758</v>
      </c>
      <c r="E25" s="2299">
        <v>4131505</v>
      </c>
      <c r="F25" s="2296">
        <f t="shared" si="0"/>
        <v>21036754</v>
      </c>
      <c r="G25" s="1422"/>
    </row>
    <row r="26" spans="1:7" s="2248" customFormat="1" ht="15.6" customHeight="1" outlineLevel="1">
      <c r="A26" s="2334" t="s">
        <v>438</v>
      </c>
      <c r="B26" s="2333" t="s">
        <v>437</v>
      </c>
      <c r="C26" s="2299">
        <v>2650000</v>
      </c>
      <c r="D26" s="2299">
        <v>795000</v>
      </c>
      <c r="E26" s="2299">
        <v>965000</v>
      </c>
      <c r="F26" s="2296">
        <f t="shared" si="0"/>
        <v>4410000</v>
      </c>
      <c r="G26" s="1422"/>
    </row>
    <row r="27" spans="1:7" s="2248" customFormat="1" ht="15.6" customHeight="1" outlineLevel="1">
      <c r="A27" s="2334" t="s">
        <v>436</v>
      </c>
      <c r="B27" s="2333" t="s">
        <v>435</v>
      </c>
      <c r="C27" s="2299">
        <v>12837149</v>
      </c>
      <c r="D27" s="2299">
        <v>3778758</v>
      </c>
      <c r="E27" s="2299">
        <v>4131505</v>
      </c>
      <c r="F27" s="2296">
        <f t="shared" si="0"/>
        <v>20747412</v>
      </c>
      <c r="G27" s="1422"/>
    </row>
    <row r="28" spans="1:7" s="2248" customFormat="1" ht="15.6" customHeight="1" outlineLevel="1">
      <c r="A28" s="2335" t="s">
        <v>1997</v>
      </c>
      <c r="B28" s="2333"/>
      <c r="C28" s="2299"/>
      <c r="D28" s="2336"/>
      <c r="E28" s="2266"/>
      <c r="F28" s="2265"/>
      <c r="G28" s="1422"/>
    </row>
    <row r="29" spans="1:7" s="2248" customFormat="1" ht="15.6" customHeight="1" outlineLevel="1">
      <c r="A29" s="2334" t="s">
        <v>421</v>
      </c>
      <c r="B29" s="2333" t="s">
        <v>433</v>
      </c>
      <c r="C29" s="2299">
        <v>18485504</v>
      </c>
      <c r="D29" s="2299">
        <v>5441413</v>
      </c>
      <c r="E29" s="2299">
        <v>5949368</v>
      </c>
      <c r="F29" s="2296">
        <f>SUM(C29:E29)</f>
        <v>29876285</v>
      </c>
      <c r="G29" s="1422"/>
    </row>
    <row r="30" spans="1:7" s="2248" customFormat="1" ht="15.6" customHeight="1" outlineLevel="1">
      <c r="A30" s="2334" t="s">
        <v>432</v>
      </c>
      <c r="B30" s="2333" t="s">
        <v>431</v>
      </c>
      <c r="C30" s="2299">
        <v>632400</v>
      </c>
      <c r="D30" s="2299">
        <v>190800</v>
      </c>
      <c r="E30" s="2299">
        <v>231600</v>
      </c>
      <c r="F30" s="2296">
        <f>SUM(C30:E30)</f>
        <v>1054800</v>
      </c>
      <c r="G30" s="1422"/>
    </row>
    <row r="31" spans="1:7" s="2248" customFormat="1" ht="15.6" customHeight="1" outlineLevel="1">
      <c r="A31" s="2334" t="s">
        <v>418</v>
      </c>
      <c r="B31" s="2333" t="s">
        <v>430</v>
      </c>
      <c r="C31" s="2299">
        <v>2937501</v>
      </c>
      <c r="D31" s="2299">
        <v>891792</v>
      </c>
      <c r="E31" s="2299">
        <v>893428</v>
      </c>
      <c r="F31" s="2296">
        <f>SUM(C31:E31)</f>
        <v>4722721</v>
      </c>
      <c r="G31" s="1422"/>
    </row>
    <row r="32" spans="1:7" s="2248" customFormat="1" ht="15.6" customHeight="1" outlineLevel="1">
      <c r="A32" s="2334" t="s">
        <v>428</v>
      </c>
      <c r="B32" s="2333" t="s">
        <v>427</v>
      </c>
      <c r="C32" s="2299">
        <v>631200</v>
      </c>
      <c r="D32" s="2299">
        <v>190800</v>
      </c>
      <c r="E32" s="2299">
        <v>231600</v>
      </c>
      <c r="F32" s="2296">
        <f>SUM(C32:E32)</f>
        <v>1053600</v>
      </c>
      <c r="G32" s="1422"/>
    </row>
    <row r="33" spans="1:11" s="2248" customFormat="1" ht="15.6" customHeight="1" outlineLevel="1">
      <c r="A33" s="2334" t="s">
        <v>423</v>
      </c>
      <c r="B33" s="2333" t="s">
        <v>422</v>
      </c>
      <c r="C33" s="2299">
        <v>1462157</v>
      </c>
      <c r="D33" s="2299">
        <v>4000</v>
      </c>
      <c r="E33" s="2299">
        <v>642150</v>
      </c>
      <c r="F33" s="2296">
        <f>SUM(C33:E33)</f>
        <v>2108307</v>
      </c>
      <c r="G33" s="1422"/>
    </row>
    <row r="34" spans="1:11" s="2248" customFormat="1" ht="15.6" customHeight="1" outlineLevel="1">
      <c r="A34" s="2335" t="s">
        <v>420</v>
      </c>
      <c r="B34" s="2333"/>
      <c r="C34" s="2266"/>
      <c r="D34" s="2266"/>
      <c r="E34" s="2266"/>
      <c r="F34" s="2296"/>
      <c r="G34" s="1422"/>
    </row>
    <row r="35" spans="1:11" s="2248" customFormat="1" ht="15.6" customHeight="1" outlineLevel="1">
      <c r="A35" s="2334" t="s">
        <v>420</v>
      </c>
      <c r="B35" s="2333" t="s">
        <v>1996</v>
      </c>
      <c r="C35" s="2299">
        <v>19564260</v>
      </c>
      <c r="D35" s="2299">
        <v>7769208</v>
      </c>
      <c r="E35" s="2299">
        <v>6567838</v>
      </c>
      <c r="F35" s="2296">
        <f t="shared" ref="F35:F41" si="1">SUM(C35:E35)</f>
        <v>33901306</v>
      </c>
      <c r="G35" s="1422"/>
    </row>
    <row r="36" spans="1:11" s="2248" customFormat="1" ht="15.6" customHeight="1" outlineLevel="1">
      <c r="A36" s="2334" t="s">
        <v>1995</v>
      </c>
      <c r="B36" s="2333" t="s">
        <v>1994</v>
      </c>
      <c r="C36" s="2299">
        <v>6500000</v>
      </c>
      <c r="D36" s="2299">
        <v>0</v>
      </c>
      <c r="E36" s="2266">
        <v>0</v>
      </c>
      <c r="F36" s="2296">
        <f t="shared" si="1"/>
        <v>6500000</v>
      </c>
      <c r="G36" s="1422"/>
    </row>
    <row r="37" spans="1:11" s="2248" customFormat="1" ht="15.6" customHeight="1" outlineLevel="1">
      <c r="A37" s="2334" t="s">
        <v>1993</v>
      </c>
      <c r="B37" s="2333" t="s">
        <v>416</v>
      </c>
      <c r="C37" s="2299">
        <v>236000</v>
      </c>
      <c r="D37" s="2299">
        <v>120000</v>
      </c>
      <c r="E37" s="2299">
        <v>145000</v>
      </c>
      <c r="F37" s="2296">
        <f t="shared" si="1"/>
        <v>501000</v>
      </c>
      <c r="G37" s="1422"/>
    </row>
    <row r="38" spans="1:11" s="2248" customFormat="1" ht="15.6" customHeight="1" outlineLevel="1">
      <c r="A38" s="2334" t="s">
        <v>1992</v>
      </c>
      <c r="B38" s="2333" t="s">
        <v>413</v>
      </c>
      <c r="C38" s="2299">
        <v>15000</v>
      </c>
      <c r="D38" s="2299">
        <v>4000</v>
      </c>
      <c r="E38" s="2299">
        <v>3000</v>
      </c>
      <c r="F38" s="2296">
        <f t="shared" si="1"/>
        <v>22000</v>
      </c>
      <c r="G38" s="1422"/>
    </row>
    <row r="39" spans="1:11" s="2248" customFormat="1" ht="15.6" customHeight="1" outlineLevel="1">
      <c r="A39" s="2334" t="s">
        <v>1991</v>
      </c>
      <c r="B39" s="2333" t="s">
        <v>411</v>
      </c>
      <c r="C39" s="2299">
        <v>2630000</v>
      </c>
      <c r="D39" s="2299">
        <v>795000</v>
      </c>
      <c r="E39" s="2299">
        <v>960000</v>
      </c>
      <c r="F39" s="2296">
        <f t="shared" si="1"/>
        <v>4385000</v>
      </c>
      <c r="G39" s="1422"/>
    </row>
    <row r="40" spans="1:11" s="2248" customFormat="1" ht="15.6" customHeight="1" outlineLevel="1">
      <c r="A40" s="2334" t="s">
        <v>1990</v>
      </c>
      <c r="B40" s="2333" t="s">
        <v>1989</v>
      </c>
      <c r="C40" s="2299">
        <v>8000000</v>
      </c>
      <c r="D40" s="2299">
        <v>0</v>
      </c>
      <c r="E40" s="2307">
        <v>0</v>
      </c>
      <c r="F40" s="2316">
        <f t="shared" si="1"/>
        <v>8000000</v>
      </c>
      <c r="G40" s="2302"/>
      <c r="H40" s="2306"/>
      <c r="I40" s="2306"/>
      <c r="J40" s="2306"/>
      <c r="K40" s="2306"/>
    </row>
    <row r="41" spans="1:11" s="2248" customFormat="1" ht="15.6" customHeight="1" outlineLevel="1">
      <c r="A41" s="2334" t="s">
        <v>1988</v>
      </c>
      <c r="B41" s="2333" t="s">
        <v>1686</v>
      </c>
      <c r="C41" s="2266"/>
      <c r="D41" s="2299">
        <v>40000</v>
      </c>
      <c r="E41" s="2307">
        <v>0</v>
      </c>
      <c r="F41" s="2316">
        <f t="shared" si="1"/>
        <v>40000</v>
      </c>
      <c r="G41" s="2302"/>
      <c r="H41" s="2306"/>
      <c r="I41" s="2306"/>
      <c r="J41" s="2306"/>
      <c r="K41" s="2306"/>
    </row>
    <row r="42" spans="1:11" s="2255" customFormat="1" ht="15" customHeight="1" outlineLevel="1">
      <c r="A42" s="2332" t="s">
        <v>1987</v>
      </c>
      <c r="B42" s="2331"/>
      <c r="C42" s="2330">
        <f>SUM(C43:C170)</f>
        <v>151475022.02999997</v>
      </c>
      <c r="D42" s="2329">
        <f>SUM(D43:D170)</f>
        <v>159750249.38</v>
      </c>
      <c r="E42" s="2329">
        <f>SUM(E43:E170)</f>
        <v>70977838</v>
      </c>
      <c r="F42" s="2328">
        <f>SUM(F43:F170)</f>
        <v>382203109.41000003</v>
      </c>
      <c r="G42" s="2327"/>
      <c r="H42" s="2327"/>
      <c r="I42" s="2327"/>
      <c r="J42" s="2327"/>
      <c r="K42" s="2326"/>
    </row>
    <row r="43" spans="1:11" s="2248" customFormat="1" ht="15.6" customHeight="1" outlineLevel="1">
      <c r="A43" s="2301" t="s">
        <v>646</v>
      </c>
      <c r="B43" s="2297" t="s">
        <v>405</v>
      </c>
      <c r="C43" s="2324">
        <v>2172120</v>
      </c>
      <c r="D43" s="2305">
        <v>1061976</v>
      </c>
      <c r="E43" s="2305">
        <v>640000</v>
      </c>
      <c r="F43" s="2316">
        <f t="shared" ref="F43:F50" si="2">SUM(C43:E43)</f>
        <v>3874096</v>
      </c>
      <c r="G43" s="2302"/>
      <c r="H43" s="2302"/>
      <c r="I43" s="2302"/>
      <c r="J43" s="2302"/>
      <c r="K43" s="2306"/>
    </row>
    <row r="44" spans="1:11" s="2248" customFormat="1" ht="15.6" customHeight="1" outlineLevel="1">
      <c r="A44" s="2301" t="s">
        <v>1986</v>
      </c>
      <c r="B44" s="2297" t="s">
        <v>1985</v>
      </c>
      <c r="C44" s="2324">
        <v>2000</v>
      </c>
      <c r="D44" s="2305">
        <v>80000</v>
      </c>
      <c r="E44" s="2307">
        <v>0</v>
      </c>
      <c r="F44" s="2316">
        <f t="shared" si="2"/>
        <v>82000</v>
      </c>
      <c r="G44" s="2302"/>
      <c r="H44" s="2302"/>
      <c r="I44" s="2302"/>
      <c r="J44" s="2302"/>
      <c r="K44" s="2306"/>
    </row>
    <row r="45" spans="1:11" s="2248" customFormat="1" ht="15.6" customHeight="1" outlineLevel="1">
      <c r="A45" s="2301" t="s">
        <v>704</v>
      </c>
      <c r="B45" s="2297" t="s">
        <v>403</v>
      </c>
      <c r="C45" s="2324">
        <v>2151109.2599999998</v>
      </c>
      <c r="D45" s="2305">
        <v>4315362</v>
      </c>
      <c r="E45" s="2305">
        <v>380800</v>
      </c>
      <c r="F45" s="2316">
        <f t="shared" si="2"/>
        <v>6847271.2599999998</v>
      </c>
      <c r="G45" s="2302"/>
      <c r="H45" s="2302"/>
      <c r="I45" s="2302"/>
      <c r="J45" s="2302"/>
      <c r="K45" s="2306"/>
    </row>
    <row r="46" spans="1:11" s="2248" customFormat="1" ht="15.6" customHeight="1" outlineLevel="1">
      <c r="A46" s="2301" t="s">
        <v>1984</v>
      </c>
      <c r="B46" s="2325" t="s">
        <v>403</v>
      </c>
      <c r="C46" s="2324">
        <v>284000</v>
      </c>
      <c r="D46" s="2305">
        <v>0</v>
      </c>
      <c r="E46" s="2307">
        <v>0</v>
      </c>
      <c r="F46" s="2316">
        <f t="shared" si="2"/>
        <v>284000</v>
      </c>
      <c r="G46" s="2302"/>
      <c r="H46" s="2302"/>
      <c r="I46" s="2302"/>
      <c r="J46" s="2302"/>
      <c r="K46" s="2306"/>
    </row>
    <row r="47" spans="1:11" s="2248" customFormat="1" ht="15.6" customHeight="1" outlineLevel="1">
      <c r="A47" s="2301" t="s">
        <v>1983</v>
      </c>
      <c r="B47" s="2297" t="s">
        <v>1982</v>
      </c>
      <c r="C47" s="2305">
        <v>0</v>
      </c>
      <c r="D47" s="2305">
        <v>2928000</v>
      </c>
      <c r="E47" s="2307">
        <v>0</v>
      </c>
      <c r="F47" s="2316">
        <f t="shared" si="2"/>
        <v>2928000</v>
      </c>
      <c r="G47" s="2302"/>
      <c r="H47" s="2302"/>
      <c r="I47" s="2302"/>
      <c r="J47" s="2302"/>
      <c r="K47" s="2306"/>
    </row>
    <row r="48" spans="1:11" s="2248" customFormat="1" ht="15.6" customHeight="1" outlineLevel="1">
      <c r="A48" s="2301" t="s">
        <v>402</v>
      </c>
      <c r="B48" s="2297" t="s">
        <v>401</v>
      </c>
      <c r="C48" s="2305">
        <v>1657160</v>
      </c>
      <c r="D48" s="2305">
        <v>1127028</v>
      </c>
      <c r="E48" s="2305">
        <v>511000</v>
      </c>
      <c r="F48" s="2316">
        <f t="shared" si="2"/>
        <v>3295188</v>
      </c>
      <c r="G48" s="2302"/>
      <c r="H48" s="2302"/>
      <c r="I48" s="2302"/>
      <c r="J48" s="2302"/>
      <c r="K48" s="2306"/>
    </row>
    <row r="49" spans="1:11" s="2248" customFormat="1" ht="15.6" customHeight="1" outlineLevel="1">
      <c r="A49" s="2301" t="s">
        <v>1981</v>
      </c>
      <c r="B49" s="2297" t="s">
        <v>398</v>
      </c>
      <c r="C49" s="2305">
        <v>618600</v>
      </c>
      <c r="D49" s="2305">
        <v>46000</v>
      </c>
      <c r="E49" s="2299">
        <v>268000</v>
      </c>
      <c r="F49" s="2316">
        <f t="shared" si="2"/>
        <v>932600</v>
      </c>
      <c r="G49" s="2302"/>
      <c r="H49" s="2302"/>
      <c r="I49" s="2323"/>
      <c r="J49" s="2302"/>
      <c r="K49" s="2306"/>
    </row>
    <row r="50" spans="1:11" s="2248" customFormat="1" ht="15.6" customHeight="1" outlineLevel="1" thickBot="1">
      <c r="A50" s="2315" t="s">
        <v>570</v>
      </c>
      <c r="B50" s="2314" t="s">
        <v>569</v>
      </c>
      <c r="C50" s="2322">
        <v>36000</v>
      </c>
      <c r="D50" s="2321">
        <v>0</v>
      </c>
      <c r="E50" s="2313">
        <v>56000</v>
      </c>
      <c r="F50" s="2320">
        <f t="shared" si="2"/>
        <v>92000</v>
      </c>
      <c r="G50" s="2302"/>
      <c r="H50" s="2302"/>
      <c r="I50" s="2302"/>
      <c r="J50" s="2302"/>
      <c r="K50" s="2306"/>
    </row>
    <row r="51" spans="1:11" s="2248" customFormat="1" ht="15.6" customHeight="1" outlineLevel="1">
      <c r="A51" s="2312"/>
      <c r="B51" s="2291"/>
      <c r="C51" s="2319"/>
      <c r="D51" s="2318"/>
      <c r="E51" s="2318"/>
      <c r="F51" s="2317"/>
      <c r="G51" s="2302"/>
      <c r="H51" s="2302"/>
      <c r="I51" s="2302"/>
      <c r="J51" s="2302"/>
      <c r="K51" s="2306"/>
    </row>
    <row r="52" spans="1:11" s="2248" customFormat="1" ht="15.6" customHeight="1" outlineLevel="1">
      <c r="A52" s="2312"/>
      <c r="B52" s="2291"/>
      <c r="C52" s="2319"/>
      <c r="D52" s="2318"/>
      <c r="E52" s="2318"/>
      <c r="F52" s="2317"/>
      <c r="G52" s="2302"/>
      <c r="H52" s="2302"/>
      <c r="I52" s="2302"/>
      <c r="J52" s="2302"/>
      <c r="K52" s="2306"/>
    </row>
    <row r="53" spans="1:11" s="2288" customFormat="1" ht="15.6" customHeight="1" outlineLevel="1">
      <c r="A53" s="2312"/>
      <c r="B53" s="2291"/>
      <c r="C53" s="2290"/>
      <c r="D53" s="2290"/>
      <c r="E53" s="2290"/>
      <c r="F53" s="2289"/>
      <c r="G53" s="1437"/>
      <c r="H53" s="1422"/>
      <c r="I53" s="1422"/>
      <c r="J53" s="1422"/>
    </row>
    <row r="54" spans="1:11" s="2288" customFormat="1" ht="15.6" customHeight="1" outlineLevel="1">
      <c r="A54" s="2312"/>
      <c r="B54" s="2291"/>
      <c r="C54" s="2290"/>
      <c r="D54" s="2290"/>
      <c r="E54" s="2290"/>
      <c r="F54" s="2289"/>
      <c r="G54" s="1437"/>
      <c r="H54" s="1422"/>
      <c r="I54" s="1422"/>
      <c r="J54" s="1422"/>
    </row>
    <row r="55" spans="1:11" s="2288" customFormat="1" ht="15.6" customHeight="1" outlineLevel="1">
      <c r="A55" s="2312"/>
      <c r="B55" s="2291"/>
      <c r="C55" s="2290"/>
      <c r="D55" s="2290"/>
      <c r="E55" s="2290"/>
      <c r="F55" s="2289"/>
      <c r="G55" s="1437"/>
      <c r="H55" s="1422"/>
      <c r="I55" s="1422"/>
      <c r="J55" s="1422"/>
    </row>
    <row r="56" spans="1:11" s="2288" customFormat="1" ht="15.6" customHeight="1" outlineLevel="1">
      <c r="A56" s="2312"/>
      <c r="B56" s="2291"/>
      <c r="C56" s="2290"/>
      <c r="D56" s="2290"/>
      <c r="E56" s="2290"/>
      <c r="F56" s="2289"/>
      <c r="G56" s="1437"/>
      <c r="H56" s="1422"/>
      <c r="I56" s="1422"/>
      <c r="J56" s="1422"/>
    </row>
    <row r="57" spans="1:11" s="2288" customFormat="1" ht="15.6" customHeight="1" outlineLevel="1">
      <c r="A57" s="2312"/>
      <c r="B57" s="2291"/>
      <c r="C57" s="2290"/>
      <c r="D57" s="2290"/>
      <c r="E57" s="2290"/>
      <c r="F57" s="2289"/>
      <c r="G57" s="1437"/>
      <c r="H57" s="1422"/>
      <c r="I57" s="1422"/>
      <c r="J57" s="1422"/>
    </row>
    <row r="58" spans="1:11" s="2288" customFormat="1" ht="15.6" customHeight="1" outlineLevel="1" thickBot="1">
      <c r="A58" s="2312"/>
      <c r="B58" s="2291"/>
      <c r="C58" s="2290"/>
      <c r="D58" s="2290"/>
      <c r="E58" s="2290"/>
      <c r="F58" s="2289"/>
      <c r="G58" s="1437"/>
      <c r="H58" s="1422"/>
      <c r="I58" s="1422"/>
      <c r="J58" s="1422"/>
    </row>
    <row r="59" spans="1:11" s="2288" customFormat="1" ht="15.6" customHeight="1" outlineLevel="1">
      <c r="A59" s="4819" t="s">
        <v>1827</v>
      </c>
      <c r="B59" s="4821" t="s">
        <v>1826</v>
      </c>
      <c r="C59" s="4808" t="s">
        <v>1825</v>
      </c>
      <c r="D59" s="4808" t="s">
        <v>1824</v>
      </c>
      <c r="E59" s="4808" t="s">
        <v>1823</v>
      </c>
      <c r="F59" s="4806" t="s">
        <v>244</v>
      </c>
      <c r="G59" s="1437"/>
      <c r="H59" s="1422"/>
      <c r="I59" s="1422"/>
      <c r="J59" s="1422"/>
    </row>
    <row r="60" spans="1:11" s="2288" customFormat="1" ht="17.25" customHeight="1" outlineLevel="1" thickBot="1">
      <c r="A60" s="4825"/>
      <c r="B60" s="4826"/>
      <c r="C60" s="4809"/>
      <c r="D60" s="4809"/>
      <c r="E60" s="4809"/>
      <c r="F60" s="4824"/>
      <c r="G60" s="1437"/>
      <c r="H60" s="1422"/>
      <c r="I60" s="1422"/>
      <c r="J60" s="1422"/>
    </row>
    <row r="61" spans="1:11" s="2248" customFormat="1" ht="15.6" customHeight="1" outlineLevel="1">
      <c r="A61" s="2310" t="s">
        <v>1134</v>
      </c>
      <c r="B61" s="2309" t="s">
        <v>1448</v>
      </c>
      <c r="C61" s="2305">
        <v>3304000</v>
      </c>
      <c r="D61" s="2305">
        <v>40000</v>
      </c>
      <c r="E61" s="2266">
        <v>0</v>
      </c>
      <c r="F61" s="2308">
        <f t="shared" ref="F61:F94" si="3">SUM(C61:E61)</f>
        <v>3344000</v>
      </c>
      <c r="G61" s="1422"/>
      <c r="H61" s="1422"/>
      <c r="I61" s="1422"/>
      <c r="J61" s="1422"/>
    </row>
    <row r="62" spans="1:11" s="2248" customFormat="1" ht="15.6" customHeight="1" outlineLevel="1">
      <c r="A62" s="2301" t="s">
        <v>1132</v>
      </c>
      <c r="B62" s="2297" t="s">
        <v>1131</v>
      </c>
      <c r="C62" s="2305">
        <v>68000</v>
      </c>
      <c r="D62" s="2266">
        <v>0</v>
      </c>
      <c r="E62" s="2266">
        <v>0</v>
      </c>
      <c r="F62" s="2296">
        <f t="shared" si="3"/>
        <v>68000</v>
      </c>
      <c r="G62" s="1422"/>
      <c r="H62" s="1422"/>
      <c r="I62" s="1422"/>
      <c r="J62" s="1422"/>
    </row>
    <row r="63" spans="1:11" s="2248" customFormat="1" ht="15.6" customHeight="1" outlineLevel="1">
      <c r="A63" s="2301" t="s">
        <v>1980</v>
      </c>
      <c r="B63" s="2297" t="s">
        <v>1979</v>
      </c>
      <c r="C63" s="2305">
        <v>0</v>
      </c>
      <c r="D63" s="2266">
        <v>0</v>
      </c>
      <c r="E63" s="2299">
        <v>2258200</v>
      </c>
      <c r="F63" s="2296">
        <f t="shared" si="3"/>
        <v>2258200</v>
      </c>
      <c r="G63" s="1422"/>
      <c r="H63" s="1422"/>
      <c r="I63" s="1422"/>
      <c r="J63" s="1422"/>
    </row>
    <row r="64" spans="1:11" s="2248" customFormat="1" ht="15.6" customHeight="1" outlineLevel="1">
      <c r="A64" s="2298" t="s">
        <v>1978</v>
      </c>
      <c r="B64" s="2297" t="s">
        <v>1977</v>
      </c>
      <c r="C64" s="2299">
        <v>0</v>
      </c>
      <c r="D64" s="2299">
        <v>7200000</v>
      </c>
      <c r="E64" s="2266">
        <v>0</v>
      </c>
      <c r="F64" s="2296">
        <f t="shared" si="3"/>
        <v>7200000</v>
      </c>
      <c r="G64" s="1422"/>
      <c r="H64" s="1422"/>
      <c r="I64" s="1422"/>
      <c r="J64" s="1422"/>
    </row>
    <row r="65" spans="1:98" s="2248" customFormat="1" ht="15.6" customHeight="1" outlineLevel="1">
      <c r="A65" s="2301" t="s">
        <v>1738</v>
      </c>
      <c r="B65" s="2297" t="s">
        <v>1679</v>
      </c>
      <c r="C65" s="2299">
        <v>0</v>
      </c>
      <c r="D65" s="2299">
        <v>7391329</v>
      </c>
      <c r="E65" s="2266">
        <v>0</v>
      </c>
      <c r="F65" s="2296">
        <f t="shared" si="3"/>
        <v>7391329</v>
      </c>
      <c r="G65" s="1422"/>
      <c r="H65" s="1422"/>
      <c r="I65" s="1422"/>
      <c r="J65" s="1422"/>
    </row>
    <row r="66" spans="1:98" s="2248" customFormat="1" ht="15.6" customHeight="1" outlineLevel="1">
      <c r="A66" s="2301" t="s">
        <v>1976</v>
      </c>
      <c r="B66" s="2297" t="s">
        <v>1677</v>
      </c>
      <c r="C66" s="2299">
        <v>0</v>
      </c>
      <c r="D66" s="2299">
        <v>6727248.4100000001</v>
      </c>
      <c r="E66" s="2307">
        <v>0</v>
      </c>
      <c r="F66" s="2316">
        <f t="shared" si="3"/>
        <v>6727248.4100000001</v>
      </c>
      <c r="G66" s="1422"/>
      <c r="H66" s="1422"/>
      <c r="I66" s="1422"/>
      <c r="J66" s="1422"/>
    </row>
    <row r="67" spans="1:98" s="2248" customFormat="1" ht="15.6" customHeight="1" outlineLevel="1">
      <c r="A67" s="2301" t="s">
        <v>877</v>
      </c>
      <c r="B67" s="2297" t="s">
        <v>396</v>
      </c>
      <c r="C67" s="2305">
        <v>4144500</v>
      </c>
      <c r="D67" s="2305">
        <v>7138730</v>
      </c>
      <c r="E67" s="2299">
        <v>4445300</v>
      </c>
      <c r="F67" s="2316">
        <f t="shared" si="3"/>
        <v>15728530</v>
      </c>
      <c r="G67" s="1422"/>
      <c r="H67" s="1422"/>
      <c r="I67" s="1422"/>
      <c r="J67" s="1422"/>
    </row>
    <row r="68" spans="1:98" s="2248" customFormat="1" ht="15.6" customHeight="1" outlineLevel="1">
      <c r="A68" s="2301" t="s">
        <v>1975</v>
      </c>
      <c r="B68" s="2297" t="s">
        <v>1974</v>
      </c>
      <c r="C68" s="2307">
        <v>0</v>
      </c>
      <c r="D68" s="2299">
        <v>0</v>
      </c>
      <c r="E68" s="2299">
        <v>1765160</v>
      </c>
      <c r="F68" s="2316">
        <f t="shared" si="3"/>
        <v>1765160</v>
      </c>
      <c r="G68" s="1422"/>
      <c r="H68" s="1422"/>
      <c r="I68" s="1422"/>
      <c r="J68" s="1422"/>
    </row>
    <row r="69" spans="1:98" s="2248" customFormat="1" ht="15.6" customHeight="1" outlineLevel="1">
      <c r="A69" s="2298" t="s">
        <v>1973</v>
      </c>
      <c r="B69" s="2297" t="s">
        <v>1277</v>
      </c>
      <c r="C69" s="2307">
        <v>0</v>
      </c>
      <c r="D69" s="2299">
        <v>0</v>
      </c>
      <c r="E69" s="2299">
        <v>1300000</v>
      </c>
      <c r="F69" s="2316">
        <f t="shared" si="3"/>
        <v>1300000</v>
      </c>
      <c r="G69" s="1422"/>
      <c r="H69" s="1422"/>
      <c r="I69" s="1422"/>
      <c r="J69" s="1422"/>
    </row>
    <row r="70" spans="1:98" s="2248" customFormat="1" ht="15.6" customHeight="1" outlineLevel="1">
      <c r="A70" s="2298" t="s">
        <v>701</v>
      </c>
      <c r="B70" s="2297" t="s">
        <v>394</v>
      </c>
      <c r="C70" s="2305">
        <v>2081560</v>
      </c>
      <c r="D70" s="2305">
        <v>3422198.5</v>
      </c>
      <c r="E70" s="2305">
        <v>1186680</v>
      </c>
      <c r="F70" s="2316">
        <f t="shared" si="3"/>
        <v>6690438.5</v>
      </c>
      <c r="G70" s="1422"/>
      <c r="H70" s="1422"/>
      <c r="I70" s="1422"/>
      <c r="J70" s="1422"/>
    </row>
    <row r="71" spans="1:98" s="2248" customFormat="1" ht="15.6" customHeight="1" outlineLevel="1">
      <c r="A71" s="2298" t="s">
        <v>1972</v>
      </c>
      <c r="B71" s="2297" t="s">
        <v>1971</v>
      </c>
      <c r="C71" s="2299">
        <v>1700000</v>
      </c>
      <c r="D71" s="2299">
        <v>0</v>
      </c>
      <c r="E71" s="2307">
        <v>0</v>
      </c>
      <c r="F71" s="2316">
        <f t="shared" si="3"/>
        <v>1700000</v>
      </c>
      <c r="G71" s="1422"/>
      <c r="H71" s="1422"/>
      <c r="I71" s="1422"/>
      <c r="J71" s="1422"/>
    </row>
    <row r="72" spans="1:98" s="2248" customFormat="1" ht="15.6" customHeight="1" outlineLevel="1">
      <c r="A72" s="2298" t="s">
        <v>1970</v>
      </c>
      <c r="B72" s="2297" t="s">
        <v>1969</v>
      </c>
      <c r="C72" s="2299">
        <v>5000000</v>
      </c>
      <c r="D72" s="2299">
        <v>0</v>
      </c>
      <c r="E72" s="2307">
        <v>0</v>
      </c>
      <c r="F72" s="2316">
        <f t="shared" si="3"/>
        <v>5000000</v>
      </c>
      <c r="G72" s="1422"/>
      <c r="H72" s="1422"/>
      <c r="I72" s="1422"/>
      <c r="J72" s="1422"/>
    </row>
    <row r="73" spans="1:98" s="2248" customFormat="1" ht="15.6" customHeight="1" outlineLevel="1">
      <c r="A73" s="2298" t="s">
        <v>1968</v>
      </c>
      <c r="B73" s="2297" t="s">
        <v>1967</v>
      </c>
      <c r="C73" s="2299">
        <v>1500000</v>
      </c>
      <c r="D73" s="2299">
        <v>0</v>
      </c>
      <c r="E73" s="2307">
        <v>0</v>
      </c>
      <c r="F73" s="2316">
        <f t="shared" si="3"/>
        <v>1500000</v>
      </c>
      <c r="G73" s="1422"/>
      <c r="H73" s="1422"/>
      <c r="I73" s="1422"/>
      <c r="J73" s="1422"/>
    </row>
    <row r="74" spans="1:98" s="2248" customFormat="1" ht="15.6" customHeight="1" outlineLevel="1">
      <c r="A74" s="2298" t="s">
        <v>1966</v>
      </c>
      <c r="B74" s="2297" t="s">
        <v>1965</v>
      </c>
      <c r="C74" s="2299">
        <v>94320</v>
      </c>
      <c r="D74" s="2305">
        <v>0</v>
      </c>
      <c r="E74" s="2299">
        <v>75000</v>
      </c>
      <c r="F74" s="2316">
        <f t="shared" si="3"/>
        <v>169320</v>
      </c>
      <c r="G74" s="1422"/>
      <c r="H74" s="1422"/>
      <c r="I74" s="1422"/>
      <c r="J74" s="1422"/>
    </row>
    <row r="75" spans="1:98" s="2248" customFormat="1" ht="15.6" customHeight="1" outlineLevel="1">
      <c r="A75" s="2298" t="s">
        <v>673</v>
      </c>
      <c r="B75" s="2297" t="s">
        <v>1269</v>
      </c>
      <c r="C75" s="2299">
        <v>292700</v>
      </c>
      <c r="D75" s="2299">
        <v>282340</v>
      </c>
      <c r="E75" s="2299">
        <v>314400</v>
      </c>
      <c r="F75" s="2316">
        <f t="shared" si="3"/>
        <v>889440</v>
      </c>
      <c r="G75" s="1422"/>
      <c r="H75" s="1422"/>
      <c r="I75" s="1422"/>
      <c r="J75" s="1422"/>
      <c r="AI75" s="2248">
        <v>5000</v>
      </c>
      <c r="AJ75" s="2248">
        <v>3900</v>
      </c>
      <c r="AT75" s="2248">
        <v>2000</v>
      </c>
      <c r="AU75" s="2248">
        <v>60000</v>
      </c>
      <c r="AV75" s="2248">
        <v>10000</v>
      </c>
      <c r="AW75" s="2248">
        <v>10000</v>
      </c>
      <c r="BA75" s="2248">
        <v>2000</v>
      </c>
      <c r="BB75" s="2248">
        <v>3000</v>
      </c>
      <c r="BG75" s="2248">
        <v>40000</v>
      </c>
      <c r="BJ75" s="2248">
        <v>220340</v>
      </c>
      <c r="BM75" s="2248">
        <v>180000</v>
      </c>
      <c r="BN75" s="2248">
        <v>14400</v>
      </c>
      <c r="CG75" s="2248">
        <v>30000</v>
      </c>
      <c r="CQ75" s="2248">
        <v>60000</v>
      </c>
      <c r="CT75" s="2248">
        <v>284400</v>
      </c>
    </row>
    <row r="76" spans="1:98" s="2248" customFormat="1" ht="15.6" customHeight="1" outlineLevel="1">
      <c r="A76" s="2298" t="s">
        <v>1266</v>
      </c>
      <c r="B76" s="2297" t="s">
        <v>1265</v>
      </c>
      <c r="C76" s="2266">
        <v>0</v>
      </c>
      <c r="D76" s="2299">
        <v>23480500</v>
      </c>
      <c r="E76" s="2299">
        <v>172400</v>
      </c>
      <c r="F76" s="2316">
        <f t="shared" si="3"/>
        <v>23652900</v>
      </c>
      <c r="G76" s="1422"/>
      <c r="H76" s="1422"/>
      <c r="I76" s="1422"/>
      <c r="J76" s="1422"/>
    </row>
    <row r="77" spans="1:98" s="2248" customFormat="1" ht="15.6" customHeight="1" outlineLevel="1">
      <c r="A77" s="2298" t="s">
        <v>1964</v>
      </c>
      <c r="B77" s="2297" t="s">
        <v>392</v>
      </c>
      <c r="C77" s="2305">
        <v>78850</v>
      </c>
      <c r="D77" s="2305">
        <v>16000</v>
      </c>
      <c r="E77" s="2305">
        <v>12200</v>
      </c>
      <c r="F77" s="2316">
        <f t="shared" si="3"/>
        <v>107050</v>
      </c>
      <c r="G77" s="1422"/>
      <c r="H77" s="1422"/>
      <c r="I77" s="1422"/>
      <c r="J77" s="1422"/>
    </row>
    <row r="78" spans="1:98" s="2248" customFormat="1" ht="15.6" customHeight="1" outlineLevel="1">
      <c r="A78" s="2298" t="s">
        <v>699</v>
      </c>
      <c r="B78" s="2297" t="s">
        <v>390</v>
      </c>
      <c r="C78" s="2305">
        <v>1872097</v>
      </c>
      <c r="D78" s="2305">
        <v>450242</v>
      </c>
      <c r="E78" s="2305">
        <v>296000</v>
      </c>
      <c r="F78" s="2296">
        <f t="shared" si="3"/>
        <v>2618339</v>
      </c>
      <c r="G78" s="1422"/>
      <c r="H78" s="1422"/>
      <c r="I78" s="1422"/>
      <c r="J78" s="1422"/>
    </row>
    <row r="79" spans="1:98" s="2248" customFormat="1" ht="15.6" customHeight="1" outlineLevel="1">
      <c r="A79" s="2298" t="s">
        <v>1264</v>
      </c>
      <c r="B79" s="2300" t="s">
        <v>1263</v>
      </c>
      <c r="C79" s="2305">
        <v>1932600</v>
      </c>
      <c r="D79" s="2305">
        <v>178000</v>
      </c>
      <c r="E79" s="2299">
        <v>61000</v>
      </c>
      <c r="F79" s="2296">
        <f t="shared" si="3"/>
        <v>2171600</v>
      </c>
      <c r="G79" s="1422"/>
      <c r="H79" s="1422"/>
      <c r="I79" s="1422"/>
      <c r="J79" s="1422"/>
    </row>
    <row r="80" spans="1:98" s="2248" customFormat="1" ht="15.6" customHeight="1" outlineLevel="1">
      <c r="A80" s="2298" t="s">
        <v>1963</v>
      </c>
      <c r="B80" s="2297" t="s">
        <v>1962</v>
      </c>
      <c r="C80" s="2299">
        <v>254040</v>
      </c>
      <c r="D80" s="2299">
        <v>31000</v>
      </c>
      <c r="E80" s="2299">
        <v>35640</v>
      </c>
      <c r="F80" s="2296">
        <f t="shared" si="3"/>
        <v>320680</v>
      </c>
      <c r="G80" s="1422"/>
      <c r="H80" s="1422"/>
      <c r="I80" s="1422"/>
      <c r="J80" s="1422"/>
    </row>
    <row r="81" spans="1:10" s="2248" customFormat="1" ht="15.6" customHeight="1" outlineLevel="1">
      <c r="A81" s="2298" t="s">
        <v>1403</v>
      </c>
      <c r="B81" s="2297" t="s">
        <v>1402</v>
      </c>
      <c r="C81" s="2299">
        <v>200000</v>
      </c>
      <c r="D81" s="2299">
        <v>0</v>
      </c>
      <c r="E81" s="2299">
        <v>0</v>
      </c>
      <c r="F81" s="2296">
        <f t="shared" si="3"/>
        <v>200000</v>
      </c>
      <c r="G81" s="1422"/>
      <c r="H81" s="1422"/>
      <c r="I81" s="1422"/>
      <c r="J81" s="1422"/>
    </row>
    <row r="82" spans="1:10" s="2248" customFormat="1" ht="15.6" customHeight="1" outlineLevel="1">
      <c r="A82" s="2298" t="s">
        <v>1961</v>
      </c>
      <c r="B82" s="2297" t="s">
        <v>1960</v>
      </c>
      <c r="C82" s="2299">
        <v>500000</v>
      </c>
      <c r="D82" s="2299">
        <v>401240</v>
      </c>
      <c r="E82" s="2266">
        <v>0</v>
      </c>
      <c r="F82" s="2296">
        <f t="shared" si="3"/>
        <v>901240</v>
      </c>
      <c r="G82" s="1422"/>
      <c r="H82" s="1422"/>
      <c r="I82" s="1422"/>
      <c r="J82" s="1422"/>
    </row>
    <row r="83" spans="1:10" s="2248" customFormat="1" ht="15.6" customHeight="1" outlineLevel="1">
      <c r="A83" s="2298" t="s">
        <v>1959</v>
      </c>
      <c r="B83" s="2297" t="s">
        <v>1958</v>
      </c>
      <c r="C83" s="2266">
        <v>0</v>
      </c>
      <c r="D83" s="2266">
        <v>0</v>
      </c>
      <c r="E83" s="2299">
        <v>482000</v>
      </c>
      <c r="F83" s="2296">
        <f t="shared" si="3"/>
        <v>482000</v>
      </c>
      <c r="G83" s="1422"/>
      <c r="H83" s="1422"/>
      <c r="I83" s="1422"/>
      <c r="J83" s="1422"/>
    </row>
    <row r="84" spans="1:10" s="2248" customFormat="1" ht="15.6" customHeight="1" outlineLevel="1">
      <c r="A84" s="2298" t="s">
        <v>1957</v>
      </c>
      <c r="B84" s="2297" t="s">
        <v>1956</v>
      </c>
      <c r="C84" s="2266">
        <v>0</v>
      </c>
      <c r="D84" s="2266">
        <v>0</v>
      </c>
      <c r="E84" s="2299">
        <v>1000</v>
      </c>
      <c r="F84" s="2296">
        <f t="shared" si="3"/>
        <v>1000</v>
      </c>
      <c r="G84" s="1422"/>
      <c r="H84" s="1422"/>
      <c r="I84" s="1422"/>
      <c r="J84" s="1422"/>
    </row>
    <row r="85" spans="1:10" s="2248" customFormat="1" ht="15.6" customHeight="1" outlineLevel="1">
      <c r="A85" s="2298" t="s">
        <v>1955</v>
      </c>
      <c r="B85" s="2297" t="s">
        <v>1954</v>
      </c>
      <c r="C85" s="2299">
        <v>8100000</v>
      </c>
      <c r="D85" s="2266">
        <v>0</v>
      </c>
      <c r="E85" s="2266">
        <v>0</v>
      </c>
      <c r="F85" s="2296">
        <f t="shared" si="3"/>
        <v>8100000</v>
      </c>
      <c r="G85" s="1422"/>
      <c r="H85" s="1422"/>
      <c r="I85" s="1422"/>
      <c r="J85" s="1422"/>
    </row>
    <row r="86" spans="1:10" s="2248" customFormat="1" ht="15.6" customHeight="1" outlineLevel="1">
      <c r="A86" s="2298" t="s">
        <v>1953</v>
      </c>
      <c r="B86" s="2278" t="s">
        <v>1952</v>
      </c>
      <c r="C86" s="2266">
        <v>0</v>
      </c>
      <c r="D86" s="2299">
        <v>50000</v>
      </c>
      <c r="E86" s="2266">
        <v>0</v>
      </c>
      <c r="F86" s="2296">
        <f t="shared" si="3"/>
        <v>50000</v>
      </c>
      <c r="G86" s="1422"/>
      <c r="H86" s="1422"/>
      <c r="I86" s="1422"/>
      <c r="J86" s="1422"/>
    </row>
    <row r="87" spans="1:10" s="2248" customFormat="1" ht="15.6" customHeight="1" outlineLevel="1">
      <c r="A87" s="2298" t="s">
        <v>1262</v>
      </c>
      <c r="B87" s="2297" t="s">
        <v>1261</v>
      </c>
      <c r="C87" s="2299">
        <v>1250000</v>
      </c>
      <c r="D87" s="2299">
        <v>1000</v>
      </c>
      <c r="E87" s="2266">
        <v>0</v>
      </c>
      <c r="F87" s="2296">
        <f t="shared" si="3"/>
        <v>1251000</v>
      </c>
      <c r="G87" s="1422"/>
      <c r="H87" s="1422"/>
      <c r="I87" s="1422"/>
      <c r="J87" s="1422"/>
    </row>
    <row r="88" spans="1:10" s="2248" customFormat="1" ht="15.6" customHeight="1" outlineLevel="1">
      <c r="A88" s="2298" t="s">
        <v>1951</v>
      </c>
      <c r="B88" s="2297" t="s">
        <v>951</v>
      </c>
      <c r="C88" s="2299">
        <v>297000</v>
      </c>
      <c r="D88" s="2299">
        <v>1100000</v>
      </c>
      <c r="E88" s="2299">
        <v>300000</v>
      </c>
      <c r="F88" s="2316">
        <f t="shared" si="3"/>
        <v>1697000</v>
      </c>
      <c r="G88" s="2302"/>
      <c r="H88" s="1422"/>
      <c r="I88" s="1422"/>
      <c r="J88" s="1422"/>
    </row>
    <row r="89" spans="1:10" s="2248" customFormat="1" ht="15.6" customHeight="1" outlineLevel="1">
      <c r="A89" s="2298" t="s">
        <v>1950</v>
      </c>
      <c r="B89" s="2297" t="s">
        <v>1949</v>
      </c>
      <c r="C89" s="2266">
        <v>0</v>
      </c>
      <c r="D89" s="2299">
        <v>14475655</v>
      </c>
      <c r="E89" s="2299">
        <v>554400</v>
      </c>
      <c r="F89" s="2316">
        <f t="shared" si="3"/>
        <v>15030055</v>
      </c>
      <c r="G89" s="2302"/>
      <c r="H89" s="1422"/>
      <c r="I89" s="1422"/>
      <c r="J89" s="1422"/>
    </row>
    <row r="90" spans="1:10" s="2306" customFormat="1" ht="15.6" customHeight="1" outlineLevel="1">
      <c r="A90" s="2298" t="s">
        <v>389</v>
      </c>
      <c r="B90" s="2297" t="s">
        <v>388</v>
      </c>
      <c r="C90" s="2305">
        <v>37579410</v>
      </c>
      <c r="D90" s="2305">
        <v>31952098</v>
      </c>
      <c r="E90" s="2305">
        <v>35951370</v>
      </c>
      <c r="F90" s="2316">
        <f t="shared" si="3"/>
        <v>105482878</v>
      </c>
      <c r="G90" s="2302"/>
      <c r="H90" s="1422"/>
      <c r="I90" s="1422"/>
      <c r="J90" s="1422"/>
    </row>
    <row r="91" spans="1:10" s="2248" customFormat="1" ht="15.6" customHeight="1" outlineLevel="1">
      <c r="A91" s="2298" t="s">
        <v>1948</v>
      </c>
      <c r="B91" s="2297" t="s">
        <v>1947</v>
      </c>
      <c r="C91" s="2266">
        <v>0</v>
      </c>
      <c r="D91" s="2299">
        <v>1982520</v>
      </c>
      <c r="E91" s="2307">
        <v>0</v>
      </c>
      <c r="F91" s="2316">
        <f t="shared" si="3"/>
        <v>1982520</v>
      </c>
      <c r="G91" s="2302"/>
      <c r="H91" s="1422"/>
      <c r="I91" s="1422"/>
      <c r="J91" s="1422"/>
    </row>
    <row r="92" spans="1:10" s="2248" customFormat="1" ht="15.6" customHeight="1" outlineLevel="1">
      <c r="A92" s="2298" t="s">
        <v>1946</v>
      </c>
      <c r="B92" s="2297" t="s">
        <v>1945</v>
      </c>
      <c r="C92" s="2266">
        <v>0</v>
      </c>
      <c r="D92" s="2266">
        <v>0</v>
      </c>
      <c r="E92" s="2299">
        <v>1600000</v>
      </c>
      <c r="F92" s="2296">
        <f t="shared" si="3"/>
        <v>1600000</v>
      </c>
      <c r="G92" s="1422"/>
      <c r="H92" s="1422"/>
      <c r="I92" s="1422"/>
      <c r="J92" s="1422"/>
    </row>
    <row r="93" spans="1:10" s="2248" customFormat="1" ht="15.6" customHeight="1" outlineLevel="1">
      <c r="A93" s="2298" t="s">
        <v>1944</v>
      </c>
      <c r="B93" s="2297" t="s">
        <v>1943</v>
      </c>
      <c r="C93" s="2266">
        <v>0</v>
      </c>
      <c r="D93" s="2266">
        <v>0</v>
      </c>
      <c r="E93" s="2299">
        <v>4700000</v>
      </c>
      <c r="F93" s="2296">
        <f t="shared" si="3"/>
        <v>4700000</v>
      </c>
      <c r="G93" s="1422"/>
      <c r="H93" s="1422"/>
      <c r="I93" s="1422"/>
      <c r="J93" s="1422"/>
    </row>
    <row r="94" spans="1:10" s="2248" customFormat="1" ht="15.6" customHeight="1" outlineLevel="1">
      <c r="A94" s="2298" t="s">
        <v>1941</v>
      </c>
      <c r="B94" s="2297" t="s">
        <v>1942</v>
      </c>
      <c r="C94" s="2266">
        <v>0</v>
      </c>
      <c r="D94" s="2266">
        <v>0</v>
      </c>
      <c r="E94" s="2299">
        <v>267500</v>
      </c>
      <c r="F94" s="2296">
        <f t="shared" si="3"/>
        <v>267500</v>
      </c>
      <c r="G94" s="1422"/>
      <c r="H94" s="1422"/>
      <c r="I94" s="1422"/>
      <c r="J94" s="1422"/>
    </row>
    <row r="95" spans="1:10" s="2248" customFormat="1" ht="15.6" customHeight="1" outlineLevel="1">
      <c r="A95" s="2298" t="s">
        <v>1941</v>
      </c>
      <c r="B95" s="2297"/>
      <c r="C95" s="2266"/>
      <c r="D95" s="2266"/>
      <c r="E95" s="2266"/>
      <c r="F95" s="2296"/>
      <c r="G95" s="1422"/>
      <c r="H95" s="1422"/>
      <c r="I95" s="1422"/>
      <c r="J95" s="1422"/>
    </row>
    <row r="96" spans="1:10" s="2248" customFormat="1" ht="15.6" customHeight="1" outlineLevel="1">
      <c r="A96" s="2298" t="s">
        <v>1940</v>
      </c>
      <c r="B96" s="2297" t="s">
        <v>1939</v>
      </c>
      <c r="C96" s="2266">
        <v>0</v>
      </c>
      <c r="D96" s="2266">
        <v>0</v>
      </c>
      <c r="E96" s="2299">
        <v>374500</v>
      </c>
      <c r="F96" s="2296">
        <f>SUM(C96:E96)</f>
        <v>374500</v>
      </c>
      <c r="G96" s="1422"/>
      <c r="H96" s="1422"/>
      <c r="I96" s="1422"/>
      <c r="J96" s="1422"/>
    </row>
    <row r="97" spans="1:10" s="2248" customFormat="1" ht="15.6" customHeight="1" outlineLevel="1">
      <c r="A97" s="2298" t="s">
        <v>1938</v>
      </c>
      <c r="B97" s="2297"/>
      <c r="C97" s="2266"/>
      <c r="D97" s="2266"/>
      <c r="E97" s="2266"/>
      <c r="F97" s="2296"/>
      <c r="G97" s="1422"/>
      <c r="H97" s="1422"/>
      <c r="I97" s="1422"/>
      <c r="J97" s="1422"/>
    </row>
    <row r="98" spans="1:10" s="2248" customFormat="1" ht="15.6" customHeight="1" outlineLevel="1">
      <c r="A98" s="2298" t="s">
        <v>1937</v>
      </c>
      <c r="B98" s="2297" t="s">
        <v>1936</v>
      </c>
      <c r="C98" s="2266">
        <v>0</v>
      </c>
      <c r="D98" s="2266">
        <v>0</v>
      </c>
      <c r="E98" s="2299">
        <v>171200</v>
      </c>
      <c r="F98" s="2296">
        <f t="shared" ref="F98:F113" si="4">SUM(C98:E98)</f>
        <v>171200</v>
      </c>
      <c r="G98" s="1422"/>
      <c r="H98" s="1422"/>
      <c r="I98" s="1422"/>
      <c r="J98" s="1422"/>
    </row>
    <row r="99" spans="1:10" s="2248" customFormat="1" ht="15.6" customHeight="1" outlineLevel="1">
      <c r="A99" s="2298" t="s">
        <v>1935</v>
      </c>
      <c r="B99" s="2297" t="s">
        <v>1934</v>
      </c>
      <c r="C99" s="2266">
        <v>0</v>
      </c>
      <c r="D99" s="2299">
        <v>30000</v>
      </c>
      <c r="E99" s="2299">
        <v>170000</v>
      </c>
      <c r="F99" s="2296">
        <f t="shared" si="4"/>
        <v>200000</v>
      </c>
      <c r="G99" s="1422"/>
      <c r="H99" s="1422"/>
      <c r="I99" s="1422"/>
      <c r="J99" s="1422"/>
    </row>
    <row r="100" spans="1:10" s="2248" customFormat="1" ht="15.6" customHeight="1" outlineLevel="1">
      <c r="A100" s="2298" t="s">
        <v>1933</v>
      </c>
      <c r="B100" s="2300" t="s">
        <v>1932</v>
      </c>
      <c r="C100" s="2266">
        <v>0</v>
      </c>
      <c r="D100" s="2299">
        <v>10000</v>
      </c>
      <c r="E100" s="2299">
        <v>1605000</v>
      </c>
      <c r="F100" s="2296">
        <f t="shared" si="4"/>
        <v>1615000</v>
      </c>
      <c r="G100" s="1422"/>
      <c r="H100" s="1422"/>
      <c r="I100" s="1422"/>
      <c r="J100" s="1422"/>
    </row>
    <row r="101" spans="1:10" s="2248" customFormat="1" ht="15.6" customHeight="1" outlineLevel="1">
      <c r="A101" s="2298" t="s">
        <v>1931</v>
      </c>
      <c r="B101" s="2297" t="s">
        <v>1930</v>
      </c>
      <c r="C101" s="2266">
        <v>0</v>
      </c>
      <c r="D101" s="2266">
        <v>0</v>
      </c>
      <c r="E101" s="2299">
        <v>96300</v>
      </c>
      <c r="F101" s="2296">
        <f t="shared" si="4"/>
        <v>96300</v>
      </c>
      <c r="G101" s="1422"/>
      <c r="H101" s="1422"/>
      <c r="I101" s="1422"/>
      <c r="J101" s="1422"/>
    </row>
    <row r="102" spans="1:10" s="2248" customFormat="1" ht="15.6" customHeight="1" outlineLevel="1">
      <c r="A102" s="2298" t="s">
        <v>1929</v>
      </c>
      <c r="B102" s="2297" t="s">
        <v>1928</v>
      </c>
      <c r="C102" s="2266">
        <v>0</v>
      </c>
      <c r="D102" s="2266">
        <v>0</v>
      </c>
      <c r="E102" s="2299">
        <v>53500</v>
      </c>
      <c r="F102" s="2296">
        <f t="shared" si="4"/>
        <v>53500</v>
      </c>
      <c r="G102" s="1422"/>
      <c r="H102" s="1422"/>
      <c r="I102" s="1422"/>
      <c r="J102" s="1422"/>
    </row>
    <row r="103" spans="1:10" s="2248" customFormat="1" ht="15.6" customHeight="1" outlineLevel="1">
      <c r="A103" s="2298" t="s">
        <v>1927</v>
      </c>
      <c r="B103" s="2297" t="s">
        <v>1926</v>
      </c>
      <c r="C103" s="2266">
        <v>0</v>
      </c>
      <c r="D103" s="2266">
        <v>0</v>
      </c>
      <c r="E103" s="2299">
        <v>428000</v>
      </c>
      <c r="F103" s="2296">
        <f t="shared" si="4"/>
        <v>428000</v>
      </c>
      <c r="G103" s="1422"/>
      <c r="H103" s="1422"/>
      <c r="I103" s="1422"/>
      <c r="J103" s="1422"/>
    </row>
    <row r="104" spans="1:10" s="2248" customFormat="1" ht="15.6" customHeight="1" outlineLevel="1">
      <c r="A104" s="2298" t="s">
        <v>1925</v>
      </c>
      <c r="B104" s="2297" t="s">
        <v>1924</v>
      </c>
      <c r="C104" s="2266">
        <v>0</v>
      </c>
      <c r="D104" s="2266">
        <v>0</v>
      </c>
      <c r="E104" s="2299">
        <v>50000</v>
      </c>
      <c r="F104" s="2296">
        <f t="shared" si="4"/>
        <v>50000</v>
      </c>
      <c r="G104" s="1422"/>
      <c r="H104" s="1422"/>
      <c r="I104" s="1422"/>
      <c r="J104" s="1422"/>
    </row>
    <row r="105" spans="1:10" s="2248" customFormat="1" ht="15.6" customHeight="1" outlineLevel="1">
      <c r="A105" s="2298" t="s">
        <v>1923</v>
      </c>
      <c r="B105" s="2297" t="s">
        <v>385</v>
      </c>
      <c r="C105" s="2299">
        <v>178500</v>
      </c>
      <c r="D105" s="2299">
        <v>74000</v>
      </c>
      <c r="E105" s="2299">
        <v>20000</v>
      </c>
      <c r="F105" s="2296">
        <f t="shared" si="4"/>
        <v>272500</v>
      </c>
      <c r="G105" s="1422"/>
      <c r="H105" s="1422"/>
      <c r="I105" s="1422"/>
      <c r="J105" s="1422"/>
    </row>
    <row r="106" spans="1:10" s="2248" customFormat="1" ht="15.6" customHeight="1" outlineLevel="1">
      <c r="A106" s="2301" t="s">
        <v>1922</v>
      </c>
      <c r="B106" s="2297" t="s">
        <v>380</v>
      </c>
      <c r="C106" s="2305">
        <v>930800</v>
      </c>
      <c r="D106" s="2305">
        <v>298000</v>
      </c>
      <c r="E106" s="2305">
        <v>195000</v>
      </c>
      <c r="F106" s="2296">
        <f t="shared" si="4"/>
        <v>1423800</v>
      </c>
      <c r="G106" s="1422"/>
      <c r="H106" s="1422"/>
      <c r="I106" s="1422"/>
      <c r="J106" s="1422"/>
    </row>
    <row r="107" spans="1:10" s="2248" customFormat="1" ht="15.6" customHeight="1" outlineLevel="1">
      <c r="A107" s="2301" t="s">
        <v>1921</v>
      </c>
      <c r="B107" s="2297" t="s">
        <v>1920</v>
      </c>
      <c r="C107" s="2307">
        <v>0</v>
      </c>
      <c r="D107" s="2299">
        <v>0</v>
      </c>
      <c r="E107" s="2299">
        <v>35000</v>
      </c>
      <c r="F107" s="2296">
        <f t="shared" si="4"/>
        <v>35000</v>
      </c>
      <c r="G107" s="1422"/>
      <c r="H107" s="1422"/>
      <c r="I107" s="1422"/>
      <c r="J107" s="1422"/>
    </row>
    <row r="108" spans="1:10" s="2248" customFormat="1" ht="15.6" customHeight="1" outlineLevel="1">
      <c r="A108" s="2301" t="s">
        <v>1919</v>
      </c>
      <c r="B108" s="2297" t="s">
        <v>1245</v>
      </c>
      <c r="C108" s="2299">
        <v>10000</v>
      </c>
      <c r="D108" s="2299">
        <v>10000</v>
      </c>
      <c r="E108" s="2299">
        <v>0</v>
      </c>
      <c r="F108" s="2296">
        <f t="shared" si="4"/>
        <v>20000</v>
      </c>
      <c r="G108" s="1422"/>
      <c r="H108" s="1422"/>
      <c r="I108" s="1422"/>
      <c r="J108" s="1422"/>
    </row>
    <row r="109" spans="1:10" s="2248" customFormat="1" ht="15.6" customHeight="1" outlineLevel="1">
      <c r="A109" s="2301" t="s">
        <v>1918</v>
      </c>
      <c r="B109" s="2297" t="s">
        <v>1917</v>
      </c>
      <c r="C109" s="2307">
        <v>0</v>
      </c>
      <c r="D109" s="2299">
        <v>160000</v>
      </c>
      <c r="E109" s="2299">
        <v>1625000</v>
      </c>
      <c r="F109" s="2296">
        <f t="shared" si="4"/>
        <v>1785000</v>
      </c>
      <c r="G109" s="1422"/>
      <c r="H109" s="1422"/>
      <c r="I109" s="1422"/>
      <c r="J109" s="1422"/>
    </row>
    <row r="110" spans="1:10" s="2248" customFormat="1" ht="15.6" customHeight="1" outlineLevel="1">
      <c r="A110" s="2301" t="s">
        <v>1916</v>
      </c>
      <c r="B110" s="2300" t="s">
        <v>1915</v>
      </c>
      <c r="C110" s="2307">
        <v>0</v>
      </c>
      <c r="D110" s="2299">
        <v>10000</v>
      </c>
      <c r="E110" s="2299">
        <v>0</v>
      </c>
      <c r="F110" s="2296">
        <f t="shared" si="4"/>
        <v>10000</v>
      </c>
      <c r="G110" s="1422"/>
      <c r="H110" s="1422"/>
      <c r="I110" s="1422"/>
      <c r="J110" s="1422"/>
    </row>
    <row r="111" spans="1:10" s="2248" customFormat="1" ht="15.6" customHeight="1" outlineLevel="1">
      <c r="A111" s="2301" t="s">
        <v>1914</v>
      </c>
      <c r="B111" s="2300" t="s">
        <v>1913</v>
      </c>
      <c r="C111" s="2307">
        <v>0</v>
      </c>
      <c r="D111" s="2299">
        <v>25000</v>
      </c>
      <c r="E111" s="2299">
        <v>0</v>
      </c>
      <c r="F111" s="2296">
        <f t="shared" si="4"/>
        <v>25000</v>
      </c>
      <c r="G111" s="1422"/>
      <c r="H111" s="1422"/>
      <c r="I111" s="1422"/>
      <c r="J111" s="1422"/>
    </row>
    <row r="112" spans="1:10" s="2248" customFormat="1" ht="15.6" customHeight="1" outlineLevel="1">
      <c r="A112" s="2301" t="s">
        <v>1912</v>
      </c>
      <c r="B112" s="2297" t="s">
        <v>1667</v>
      </c>
      <c r="C112" s="2307">
        <v>0</v>
      </c>
      <c r="D112" s="2299">
        <v>65000</v>
      </c>
      <c r="E112" s="2307">
        <v>0</v>
      </c>
      <c r="F112" s="2296">
        <f t="shared" si="4"/>
        <v>65000</v>
      </c>
      <c r="G112" s="1422"/>
      <c r="H112" s="1422"/>
      <c r="I112" s="1422"/>
      <c r="J112" s="1422"/>
    </row>
    <row r="113" spans="1:10" s="2248" customFormat="1" ht="15.6" customHeight="1" outlineLevel="1" thickBot="1">
      <c r="A113" s="2315" t="s">
        <v>1911</v>
      </c>
      <c r="B113" s="2314" t="s">
        <v>376</v>
      </c>
      <c r="C113" s="2313">
        <v>1571525</v>
      </c>
      <c r="D113" s="2313">
        <v>1137500</v>
      </c>
      <c r="E113" s="2313">
        <v>1125000</v>
      </c>
      <c r="F113" s="2293">
        <f t="shared" si="4"/>
        <v>3834025</v>
      </c>
      <c r="G113" s="1422"/>
      <c r="H113" s="1422"/>
      <c r="I113" s="1422"/>
      <c r="J113" s="1422"/>
    </row>
    <row r="114" spans="1:10" s="2288" customFormat="1" ht="15.6" customHeight="1" outlineLevel="1">
      <c r="A114" s="2312"/>
      <c r="B114" s="2291"/>
      <c r="C114" s="2311"/>
      <c r="D114" s="2311"/>
      <c r="E114" s="2311"/>
      <c r="F114" s="2289"/>
      <c r="G114" s="1437"/>
      <c r="H114" s="1422"/>
      <c r="I114" s="1422"/>
      <c r="J114" s="1422"/>
    </row>
    <row r="115" spans="1:10" s="2288" customFormat="1" ht="15.6" customHeight="1" outlineLevel="1">
      <c r="A115" s="2312"/>
      <c r="B115" s="2291"/>
      <c r="C115" s="2311"/>
      <c r="D115" s="2311"/>
      <c r="E115" s="2311"/>
      <c r="F115" s="2289"/>
      <c r="G115" s="1437"/>
      <c r="H115" s="1422"/>
      <c r="I115" s="1422"/>
      <c r="J115" s="1422"/>
    </row>
    <row r="116" spans="1:10" s="2288" customFormat="1" ht="15.6" customHeight="1" outlineLevel="1">
      <c r="A116" s="2312"/>
      <c r="B116" s="2291"/>
      <c r="C116" s="2311"/>
      <c r="D116" s="2311"/>
      <c r="E116" s="2311"/>
      <c r="F116" s="2289"/>
      <c r="G116" s="1437"/>
      <c r="H116" s="1422"/>
      <c r="I116" s="1422"/>
      <c r="J116" s="1422"/>
    </row>
    <row r="117" spans="1:10" s="2288" customFormat="1" ht="15.6" customHeight="1" outlineLevel="1">
      <c r="A117" s="2312"/>
      <c r="B117" s="2291"/>
      <c r="C117" s="2311"/>
      <c r="D117" s="2311"/>
      <c r="E117" s="2311"/>
      <c r="F117" s="2289"/>
      <c r="G117" s="1437"/>
      <c r="H117" s="1422"/>
      <c r="I117" s="1422"/>
      <c r="J117" s="1422"/>
    </row>
    <row r="118" spans="1:10" s="2288" customFormat="1" ht="15.6" customHeight="1" outlineLevel="1" thickBot="1">
      <c r="A118" s="2312"/>
      <c r="B118" s="2291"/>
      <c r="C118" s="2311"/>
      <c r="D118" s="2311"/>
      <c r="E118" s="2311"/>
      <c r="F118" s="2289"/>
      <c r="G118" s="1437"/>
      <c r="H118" s="1422"/>
      <c r="I118" s="1422"/>
      <c r="J118" s="1422"/>
    </row>
    <row r="119" spans="1:10" s="2288" customFormat="1" ht="15.6" customHeight="1" outlineLevel="1">
      <c r="A119" s="4819" t="s">
        <v>1827</v>
      </c>
      <c r="B119" s="4821" t="s">
        <v>1826</v>
      </c>
      <c r="C119" s="4808" t="s">
        <v>1825</v>
      </c>
      <c r="D119" s="4808" t="s">
        <v>1824</v>
      </c>
      <c r="E119" s="4808" t="s">
        <v>1823</v>
      </c>
      <c r="F119" s="4806" t="s">
        <v>244</v>
      </c>
      <c r="G119" s="1437"/>
      <c r="H119" s="1422"/>
      <c r="I119" s="1422"/>
      <c r="J119" s="1422"/>
    </row>
    <row r="120" spans="1:10" s="2288" customFormat="1" ht="22.5" customHeight="1" outlineLevel="1" thickBot="1">
      <c r="A120" s="4825"/>
      <c r="B120" s="4826"/>
      <c r="C120" s="4809"/>
      <c r="D120" s="4809"/>
      <c r="E120" s="4809"/>
      <c r="F120" s="4824"/>
      <c r="G120" s="1437"/>
      <c r="H120" s="1422"/>
      <c r="I120" s="1422"/>
      <c r="J120" s="1422"/>
    </row>
    <row r="121" spans="1:10" s="2248" customFormat="1" ht="15.6" customHeight="1" outlineLevel="1">
      <c r="A121" s="2310" t="s">
        <v>1910</v>
      </c>
      <c r="B121" s="2309" t="s">
        <v>1909</v>
      </c>
      <c r="C121" s="2299">
        <v>785000</v>
      </c>
      <c r="D121" s="2299">
        <v>575000</v>
      </c>
      <c r="E121" s="2307">
        <v>0</v>
      </c>
      <c r="F121" s="2308">
        <f>SUM(C121:E121)</f>
        <v>1360000</v>
      </c>
      <c r="G121" s="1422"/>
      <c r="H121" s="1422"/>
      <c r="I121" s="1422"/>
      <c r="J121" s="1422"/>
    </row>
    <row r="122" spans="1:10" s="2248" customFormat="1" ht="15.6" customHeight="1" outlineLevel="1">
      <c r="A122" s="2301" t="s">
        <v>1908</v>
      </c>
      <c r="B122" s="2297"/>
      <c r="C122" s="2307"/>
      <c r="D122" s="2307"/>
      <c r="E122" s="2307"/>
      <c r="F122" s="2296"/>
      <c r="G122" s="1422"/>
      <c r="H122" s="1422"/>
      <c r="I122" s="1422"/>
      <c r="J122" s="1422"/>
    </row>
    <row r="123" spans="1:10" s="2248" customFormat="1" ht="15.6" customHeight="1" outlineLevel="1">
      <c r="A123" s="2301" t="s">
        <v>1907</v>
      </c>
      <c r="B123" s="2297" t="s">
        <v>1906</v>
      </c>
      <c r="C123" s="2299">
        <v>1427000</v>
      </c>
      <c r="D123" s="2299">
        <v>2360000</v>
      </c>
      <c r="E123" s="2299">
        <v>2065000</v>
      </c>
      <c r="F123" s="2296">
        <f t="shared" ref="F123:F158" si="5">SUM(C123:E123)</f>
        <v>5852000</v>
      </c>
      <c r="G123" s="1422"/>
      <c r="H123" s="1422"/>
      <c r="I123" s="1422"/>
      <c r="J123" s="1422"/>
    </row>
    <row r="124" spans="1:10" s="2248" customFormat="1" ht="15.6" customHeight="1" outlineLevel="1">
      <c r="A124" s="2301" t="s">
        <v>1905</v>
      </c>
      <c r="B124" s="2297" t="s">
        <v>1904</v>
      </c>
      <c r="C124" s="2307">
        <v>0</v>
      </c>
      <c r="D124" s="2307">
        <v>0</v>
      </c>
      <c r="E124" s="2299">
        <v>59000</v>
      </c>
      <c r="F124" s="2296">
        <f t="shared" si="5"/>
        <v>59000</v>
      </c>
      <c r="G124" s="1422"/>
      <c r="H124" s="1422"/>
      <c r="I124" s="1422"/>
      <c r="J124" s="1422"/>
    </row>
    <row r="125" spans="1:10" s="2248" customFormat="1" ht="15.6" customHeight="1" outlineLevel="1">
      <c r="A125" s="2301" t="s">
        <v>1903</v>
      </c>
      <c r="B125" s="2297" t="s">
        <v>1902</v>
      </c>
      <c r="C125" s="2299">
        <v>14000</v>
      </c>
      <c r="D125" s="2299">
        <v>30000</v>
      </c>
      <c r="E125" s="2299">
        <v>100000</v>
      </c>
      <c r="F125" s="2296">
        <f t="shared" si="5"/>
        <v>144000</v>
      </c>
      <c r="G125" s="1422"/>
      <c r="H125" s="1422"/>
      <c r="I125" s="1422"/>
      <c r="J125" s="1422"/>
    </row>
    <row r="126" spans="1:10" s="2248" customFormat="1" ht="15.6" customHeight="1" outlineLevel="1">
      <c r="A126" s="2298" t="s">
        <v>1901</v>
      </c>
      <c r="B126" s="2297" t="s">
        <v>1900</v>
      </c>
      <c r="C126" s="2299">
        <v>10000</v>
      </c>
      <c r="D126" s="2299">
        <v>83000</v>
      </c>
      <c r="E126" s="2266">
        <v>0</v>
      </c>
      <c r="F126" s="2296">
        <f t="shared" si="5"/>
        <v>93000</v>
      </c>
      <c r="G126" s="1422"/>
      <c r="H126" s="1422"/>
      <c r="I126" s="1422"/>
      <c r="J126" s="1422"/>
    </row>
    <row r="127" spans="1:10" s="2248" customFormat="1" ht="15.6" customHeight="1" outlineLevel="1">
      <c r="A127" s="2298" t="s">
        <v>678</v>
      </c>
      <c r="B127" s="2297" t="s">
        <v>677</v>
      </c>
      <c r="C127" s="2305">
        <v>15637500</v>
      </c>
      <c r="D127" s="2305">
        <v>6040000</v>
      </c>
      <c r="E127" s="2266">
        <v>0</v>
      </c>
      <c r="F127" s="2296">
        <f t="shared" si="5"/>
        <v>21677500</v>
      </c>
      <c r="G127" s="1422"/>
      <c r="H127" s="1422"/>
      <c r="I127" s="1422"/>
      <c r="J127" s="1422"/>
    </row>
    <row r="128" spans="1:10" s="2248" customFormat="1" ht="15.6" customHeight="1" outlineLevel="1">
      <c r="A128" s="2298" t="s">
        <v>965</v>
      </c>
      <c r="B128" s="2297" t="s">
        <v>964</v>
      </c>
      <c r="C128" s="2305">
        <v>4000000</v>
      </c>
      <c r="D128" s="2305">
        <v>1335000</v>
      </c>
      <c r="E128" s="2266">
        <v>0</v>
      </c>
      <c r="F128" s="2296">
        <f t="shared" si="5"/>
        <v>5335000</v>
      </c>
      <c r="G128" s="1422"/>
      <c r="H128" s="1422"/>
      <c r="I128" s="1422"/>
      <c r="J128" s="1422"/>
    </row>
    <row r="129" spans="1:10" s="2248" customFormat="1" ht="15.6" customHeight="1" outlineLevel="1">
      <c r="A129" s="2298" t="s">
        <v>1243</v>
      </c>
      <c r="B129" s="2297" t="s">
        <v>1242</v>
      </c>
      <c r="C129" s="2305">
        <v>276000</v>
      </c>
      <c r="D129" s="2299">
        <v>0</v>
      </c>
      <c r="E129" s="2266">
        <v>0</v>
      </c>
      <c r="F129" s="2296">
        <f t="shared" si="5"/>
        <v>276000</v>
      </c>
      <c r="G129" s="1422"/>
      <c r="H129" s="1422"/>
      <c r="I129" s="1422"/>
      <c r="J129" s="1422"/>
    </row>
    <row r="130" spans="1:10" s="2248" customFormat="1" ht="15.6" customHeight="1" outlineLevel="1">
      <c r="A130" s="2298" t="s">
        <v>370</v>
      </c>
      <c r="B130" s="2297" t="s">
        <v>369</v>
      </c>
      <c r="C130" s="2305">
        <v>256500</v>
      </c>
      <c r="D130" s="2299">
        <v>5000</v>
      </c>
      <c r="E130" s="2266">
        <v>22000</v>
      </c>
      <c r="F130" s="2296">
        <f t="shared" si="5"/>
        <v>283500</v>
      </c>
      <c r="G130" s="1422"/>
      <c r="H130" s="1422"/>
      <c r="I130" s="1422"/>
      <c r="J130" s="1422"/>
    </row>
    <row r="131" spans="1:10" s="2248" customFormat="1" ht="15.6" customHeight="1" outlineLevel="1">
      <c r="A131" s="2298" t="s">
        <v>1899</v>
      </c>
      <c r="B131" s="2297" t="s">
        <v>1898</v>
      </c>
      <c r="C131" s="2305">
        <v>150000</v>
      </c>
      <c r="D131" s="2299">
        <v>0</v>
      </c>
      <c r="E131" s="2266">
        <v>174000</v>
      </c>
      <c r="F131" s="2296">
        <f t="shared" si="5"/>
        <v>324000</v>
      </c>
      <c r="G131" s="1422"/>
      <c r="H131" s="1422"/>
      <c r="I131" s="1422"/>
      <c r="J131" s="1422"/>
    </row>
    <row r="132" spans="1:10" s="2248" customFormat="1" ht="15.6" customHeight="1" outlineLevel="1">
      <c r="A132" s="2298" t="s">
        <v>1897</v>
      </c>
      <c r="B132" s="2297" t="s">
        <v>1896</v>
      </c>
      <c r="C132" s="2305">
        <v>1050000</v>
      </c>
      <c r="D132" s="2305">
        <v>0</v>
      </c>
      <c r="E132" s="2266">
        <v>0</v>
      </c>
      <c r="F132" s="2296">
        <f t="shared" si="5"/>
        <v>1050000</v>
      </c>
      <c r="G132" s="1422"/>
      <c r="H132" s="1422"/>
      <c r="I132" s="1422"/>
      <c r="J132" s="1422"/>
    </row>
    <row r="133" spans="1:10" s="2248" customFormat="1" ht="15.6" customHeight="1" outlineLevel="1">
      <c r="A133" s="2298" t="s">
        <v>1895</v>
      </c>
      <c r="B133" s="2297" t="s">
        <v>1894</v>
      </c>
      <c r="C133" s="2305">
        <v>1860000</v>
      </c>
      <c r="D133" s="2305">
        <v>0</v>
      </c>
      <c r="E133" s="2266">
        <v>0</v>
      </c>
      <c r="F133" s="2296">
        <f t="shared" si="5"/>
        <v>1860000</v>
      </c>
      <c r="G133" s="1422"/>
      <c r="H133" s="1422"/>
      <c r="I133" s="1422"/>
      <c r="J133" s="1422"/>
    </row>
    <row r="134" spans="1:10" s="2248" customFormat="1" ht="15.6" customHeight="1" outlineLevel="1">
      <c r="A134" s="2298" t="s">
        <v>1893</v>
      </c>
      <c r="B134" s="2297" t="s">
        <v>1892</v>
      </c>
      <c r="C134" s="2266">
        <v>0</v>
      </c>
      <c r="D134" s="2305">
        <v>0</v>
      </c>
      <c r="E134" s="2266">
        <v>452500</v>
      </c>
      <c r="F134" s="2296">
        <f t="shared" si="5"/>
        <v>452500</v>
      </c>
      <c r="G134" s="1422"/>
      <c r="H134" s="1422"/>
      <c r="I134" s="1422"/>
      <c r="J134" s="1422"/>
    </row>
    <row r="135" spans="1:10" s="2248" customFormat="1" ht="15.6" customHeight="1" outlineLevel="1">
      <c r="A135" s="2301" t="s">
        <v>1891</v>
      </c>
      <c r="B135" s="2297" t="s">
        <v>1398</v>
      </c>
      <c r="C135" s="2305">
        <v>229400</v>
      </c>
      <c r="D135" s="2305">
        <v>0</v>
      </c>
      <c r="E135" s="2307">
        <v>1000</v>
      </c>
      <c r="F135" s="2296">
        <f t="shared" si="5"/>
        <v>230400</v>
      </c>
      <c r="G135" s="1422"/>
      <c r="H135" s="1422"/>
      <c r="I135" s="1422"/>
      <c r="J135" s="1422"/>
    </row>
    <row r="136" spans="1:10" s="2248" customFormat="1" ht="15.6" customHeight="1" outlineLevel="1">
      <c r="A136" s="2301" t="s">
        <v>1890</v>
      </c>
      <c r="B136" s="2297" t="s">
        <v>1889</v>
      </c>
      <c r="C136" s="2305">
        <v>1060000</v>
      </c>
      <c r="D136" s="2305">
        <v>0</v>
      </c>
      <c r="E136" s="2266">
        <v>0</v>
      </c>
      <c r="F136" s="2296">
        <f t="shared" si="5"/>
        <v>1060000</v>
      </c>
      <c r="G136" s="1422"/>
      <c r="H136" s="1422"/>
      <c r="I136" s="1422"/>
      <c r="J136" s="1422"/>
    </row>
    <row r="137" spans="1:10" s="2248" customFormat="1" ht="15.6" customHeight="1" outlineLevel="1">
      <c r="A137" s="2301" t="s">
        <v>1662</v>
      </c>
      <c r="B137" s="2297" t="s">
        <v>1661</v>
      </c>
      <c r="C137" s="2305">
        <v>0</v>
      </c>
      <c r="D137" s="2307">
        <v>10000</v>
      </c>
      <c r="E137" s="2266">
        <v>0</v>
      </c>
      <c r="F137" s="2296">
        <f t="shared" si="5"/>
        <v>10000</v>
      </c>
      <c r="G137" s="1422"/>
      <c r="H137" s="1422"/>
      <c r="I137" s="1422"/>
      <c r="J137" s="1422"/>
    </row>
    <row r="138" spans="1:10" s="2248" customFormat="1" ht="15.6" customHeight="1" outlineLevel="1">
      <c r="A138" s="2301" t="s">
        <v>1888</v>
      </c>
      <c r="B138" s="2297" t="s">
        <v>1887</v>
      </c>
      <c r="C138" s="2266">
        <v>0</v>
      </c>
      <c r="D138" s="2305">
        <v>50000</v>
      </c>
      <c r="E138" s="2307">
        <v>12000</v>
      </c>
      <c r="F138" s="2296">
        <f t="shared" si="5"/>
        <v>62000</v>
      </c>
      <c r="G138" s="1422"/>
      <c r="H138" s="1422"/>
      <c r="I138" s="1422"/>
      <c r="J138" s="1422"/>
    </row>
    <row r="139" spans="1:10" s="2248" customFormat="1" ht="15.6" customHeight="1" outlineLevel="1">
      <c r="A139" s="2301" t="s">
        <v>1886</v>
      </c>
      <c r="B139" s="2297" t="s">
        <v>1885</v>
      </c>
      <c r="C139" s="2305">
        <v>350000</v>
      </c>
      <c r="D139" s="2266">
        <v>0</v>
      </c>
      <c r="E139" s="2266">
        <v>0</v>
      </c>
      <c r="F139" s="2296">
        <f t="shared" si="5"/>
        <v>350000</v>
      </c>
      <c r="G139" s="1422"/>
      <c r="H139" s="1422"/>
      <c r="I139" s="1422"/>
      <c r="J139" s="1422"/>
    </row>
    <row r="140" spans="1:10" s="2248" customFormat="1" ht="15.6" customHeight="1" outlineLevel="1">
      <c r="A140" s="2298" t="s">
        <v>1884</v>
      </c>
      <c r="B140" s="2297" t="s">
        <v>1883</v>
      </c>
      <c r="C140" s="2305">
        <v>200000</v>
      </c>
      <c r="D140" s="2266">
        <v>0</v>
      </c>
      <c r="E140" s="2266">
        <v>0</v>
      </c>
      <c r="F140" s="2296">
        <f t="shared" si="5"/>
        <v>200000</v>
      </c>
      <c r="G140" s="1422"/>
      <c r="H140" s="1422"/>
      <c r="I140" s="1422"/>
      <c r="J140" s="1422"/>
    </row>
    <row r="141" spans="1:10" s="2248" customFormat="1" ht="15.6" customHeight="1" outlineLevel="1">
      <c r="A141" s="2298" t="s">
        <v>1882</v>
      </c>
      <c r="B141" s="2297" t="s">
        <v>1881</v>
      </c>
      <c r="C141" s="2305">
        <v>170000</v>
      </c>
      <c r="D141" s="2266">
        <v>0</v>
      </c>
      <c r="E141" s="2266">
        <v>0</v>
      </c>
      <c r="F141" s="2296">
        <f t="shared" si="5"/>
        <v>170000</v>
      </c>
      <c r="G141" s="1422"/>
      <c r="H141" s="1422"/>
      <c r="I141" s="1422"/>
      <c r="J141" s="1422"/>
    </row>
    <row r="142" spans="1:10" s="2248" customFormat="1" ht="15.6" customHeight="1" outlineLevel="1">
      <c r="A142" s="2298" t="s">
        <v>1880</v>
      </c>
      <c r="B142" s="2297" t="s">
        <v>1879</v>
      </c>
      <c r="C142" s="2305">
        <v>50000</v>
      </c>
      <c r="D142" s="2266">
        <v>0</v>
      </c>
      <c r="E142" s="2266">
        <v>0</v>
      </c>
      <c r="F142" s="2296">
        <f t="shared" si="5"/>
        <v>50000</v>
      </c>
      <c r="G142" s="1422"/>
      <c r="H142" s="1422"/>
      <c r="I142" s="1422"/>
      <c r="J142" s="1422"/>
    </row>
    <row r="143" spans="1:10" s="2248" customFormat="1" ht="15.6" customHeight="1" outlineLevel="1">
      <c r="A143" s="2298" t="s">
        <v>1878</v>
      </c>
      <c r="B143" s="2297" t="s">
        <v>1877</v>
      </c>
      <c r="C143" s="2305">
        <v>300000</v>
      </c>
      <c r="D143" s="2266">
        <v>0</v>
      </c>
      <c r="E143" s="2266">
        <v>0</v>
      </c>
      <c r="F143" s="2296">
        <f t="shared" si="5"/>
        <v>300000</v>
      </c>
      <c r="G143" s="1422"/>
      <c r="H143" s="1422"/>
      <c r="I143" s="1422"/>
      <c r="J143" s="1422"/>
    </row>
    <row r="144" spans="1:10" s="2248" customFormat="1" ht="15.6" customHeight="1" outlineLevel="1">
      <c r="A144" s="2298" t="s">
        <v>1876</v>
      </c>
      <c r="B144" s="2297" t="s">
        <v>1875</v>
      </c>
      <c r="C144" s="2305">
        <v>32000</v>
      </c>
      <c r="D144" s="2266">
        <v>0</v>
      </c>
      <c r="E144" s="2266">
        <v>0</v>
      </c>
      <c r="F144" s="2296">
        <f t="shared" si="5"/>
        <v>32000</v>
      </c>
      <c r="G144" s="1422"/>
      <c r="H144" s="1422"/>
      <c r="I144" s="1422"/>
      <c r="J144" s="1422"/>
    </row>
    <row r="145" spans="1:10" s="2248" customFormat="1" ht="15.6" customHeight="1" outlineLevel="1">
      <c r="A145" s="2298" t="s">
        <v>1874</v>
      </c>
      <c r="B145" s="2297" t="s">
        <v>1871</v>
      </c>
      <c r="C145" s="2305">
        <v>0</v>
      </c>
      <c r="D145" s="2305">
        <v>1750080</v>
      </c>
      <c r="E145" s="2266">
        <v>0</v>
      </c>
      <c r="F145" s="2296">
        <f t="shared" si="5"/>
        <v>1750080</v>
      </c>
      <c r="G145" s="1422"/>
      <c r="H145" s="1422"/>
      <c r="I145" s="1422"/>
      <c r="J145" s="1422"/>
    </row>
    <row r="146" spans="1:10" s="2306" customFormat="1" ht="15.6" customHeight="1" outlineLevel="1">
      <c r="A146" s="2298" t="s">
        <v>1873</v>
      </c>
      <c r="B146" s="2297" t="s">
        <v>1871</v>
      </c>
      <c r="C146" s="2305">
        <v>1500000</v>
      </c>
      <c r="D146" s="2266">
        <v>0</v>
      </c>
      <c r="E146" s="2266">
        <v>0</v>
      </c>
      <c r="F146" s="2296">
        <f t="shared" si="5"/>
        <v>1500000</v>
      </c>
      <c r="G146" s="1422"/>
      <c r="H146" s="1422"/>
      <c r="I146" s="1422"/>
      <c r="J146" s="1422"/>
    </row>
    <row r="147" spans="1:10" s="2248" customFormat="1" ht="15.6" customHeight="1" outlineLevel="1">
      <c r="A147" s="2298" t="s">
        <v>1872</v>
      </c>
      <c r="B147" s="2297" t="s">
        <v>1871</v>
      </c>
      <c r="C147" s="2305">
        <v>500000</v>
      </c>
      <c r="D147" s="2266">
        <v>0</v>
      </c>
      <c r="E147" s="2266">
        <v>0</v>
      </c>
      <c r="F147" s="2296">
        <f t="shared" si="5"/>
        <v>500000</v>
      </c>
      <c r="G147" s="1422"/>
      <c r="H147" s="1422"/>
      <c r="I147" s="2302"/>
      <c r="J147" s="1422"/>
    </row>
    <row r="148" spans="1:10" s="2248" customFormat="1" ht="15.6" customHeight="1" outlineLevel="1">
      <c r="A148" s="2298" t="s">
        <v>368</v>
      </c>
      <c r="B148" s="2297" t="s">
        <v>367</v>
      </c>
      <c r="C148" s="2305">
        <v>15193530.77</v>
      </c>
      <c r="D148" s="2305">
        <v>26092666.5</v>
      </c>
      <c r="E148" s="2305">
        <v>3971538</v>
      </c>
      <c r="F148" s="2296">
        <f t="shared" si="5"/>
        <v>45257735.269999996</v>
      </c>
      <c r="G148" s="1422"/>
      <c r="H148" s="1422"/>
      <c r="I148" s="2304"/>
      <c r="J148" s="1422"/>
    </row>
    <row r="149" spans="1:10" s="2248" customFormat="1" ht="15.6" customHeight="1" outlineLevel="1">
      <c r="A149" s="2298" t="s">
        <v>1870</v>
      </c>
      <c r="B149" s="2297" t="s">
        <v>1869</v>
      </c>
      <c r="C149" s="2299">
        <v>180000</v>
      </c>
      <c r="D149" s="2266">
        <v>0</v>
      </c>
      <c r="E149" s="2266">
        <v>0</v>
      </c>
      <c r="F149" s="2296">
        <f t="shared" si="5"/>
        <v>180000</v>
      </c>
      <c r="G149" s="1422"/>
      <c r="H149" s="1422"/>
      <c r="I149" s="2303"/>
      <c r="J149" s="1422"/>
    </row>
    <row r="150" spans="1:10" s="2248" customFormat="1" ht="15.6" customHeight="1" outlineLevel="1">
      <c r="A150" s="2298" t="s">
        <v>1868</v>
      </c>
      <c r="B150" s="2297" t="s">
        <v>1867</v>
      </c>
      <c r="C150" s="2299">
        <v>3174000</v>
      </c>
      <c r="D150" s="2266">
        <v>0</v>
      </c>
      <c r="E150" s="2266">
        <v>0</v>
      </c>
      <c r="F150" s="2296">
        <f t="shared" si="5"/>
        <v>3174000</v>
      </c>
      <c r="G150" s="1422"/>
      <c r="H150" s="1422"/>
      <c r="I150" s="2302"/>
      <c r="J150" s="1422"/>
    </row>
    <row r="151" spans="1:10" s="2248" customFormat="1" ht="15.6" customHeight="1" outlineLevel="1">
      <c r="A151" s="2298" t="s">
        <v>1866</v>
      </c>
      <c r="B151" s="2297" t="s">
        <v>1865</v>
      </c>
      <c r="C151" s="2299">
        <v>440000</v>
      </c>
      <c r="D151" s="2266">
        <v>0</v>
      </c>
      <c r="E151" s="2266">
        <v>0</v>
      </c>
      <c r="F151" s="2296">
        <f t="shared" si="5"/>
        <v>440000</v>
      </c>
      <c r="G151" s="1422"/>
      <c r="H151" s="1422"/>
      <c r="I151" s="2302"/>
      <c r="J151" s="1422"/>
    </row>
    <row r="152" spans="1:10" s="2248" customFormat="1" ht="15.6" customHeight="1" outlineLevel="1">
      <c r="A152" s="2298" t="s">
        <v>1864</v>
      </c>
      <c r="B152" s="2297" t="s">
        <v>1863</v>
      </c>
      <c r="C152" s="2299">
        <v>60000</v>
      </c>
      <c r="D152" s="2266">
        <v>0</v>
      </c>
      <c r="E152" s="2266">
        <v>0</v>
      </c>
      <c r="F152" s="2296">
        <f t="shared" si="5"/>
        <v>60000</v>
      </c>
      <c r="G152" s="1422"/>
      <c r="H152" s="1422"/>
      <c r="I152" s="1422"/>
      <c r="J152" s="1422"/>
    </row>
    <row r="153" spans="1:10" s="2248" customFormat="1" ht="15.6" customHeight="1" outlineLevel="1">
      <c r="A153" s="2301" t="s">
        <v>1862</v>
      </c>
      <c r="B153" s="2297" t="s">
        <v>1861</v>
      </c>
      <c r="C153" s="2299">
        <v>5000</v>
      </c>
      <c r="D153" s="2266">
        <v>0</v>
      </c>
      <c r="E153" s="2266">
        <v>0</v>
      </c>
      <c r="F153" s="2296">
        <f t="shared" si="5"/>
        <v>5000</v>
      </c>
      <c r="G153" s="1422"/>
      <c r="H153" s="1422"/>
      <c r="I153" s="1422"/>
      <c r="J153" s="1422"/>
    </row>
    <row r="154" spans="1:10" s="2248" customFormat="1" ht="15.6" customHeight="1" outlineLevel="1">
      <c r="A154" s="2298" t="s">
        <v>1860</v>
      </c>
      <c r="B154" s="2297" t="s">
        <v>1859</v>
      </c>
      <c r="C154" s="2299">
        <v>15000</v>
      </c>
      <c r="D154" s="2266">
        <v>0</v>
      </c>
      <c r="E154" s="2266">
        <v>0</v>
      </c>
      <c r="F154" s="2296">
        <f t="shared" si="5"/>
        <v>15000</v>
      </c>
      <c r="G154" s="1422"/>
      <c r="H154" s="1422"/>
      <c r="I154" s="1422"/>
      <c r="J154" s="1422"/>
    </row>
    <row r="155" spans="1:10" s="2248" customFormat="1" ht="15.6" customHeight="1" outlineLevel="1">
      <c r="A155" s="2301" t="s">
        <v>1858</v>
      </c>
      <c r="B155" s="2297" t="s">
        <v>1857</v>
      </c>
      <c r="C155" s="2266">
        <v>0</v>
      </c>
      <c r="D155" s="2266">
        <v>0</v>
      </c>
      <c r="E155" s="2299">
        <v>70000</v>
      </c>
      <c r="F155" s="2296">
        <f t="shared" si="5"/>
        <v>70000</v>
      </c>
      <c r="G155" s="1422"/>
      <c r="H155" s="1422"/>
      <c r="I155" s="1422"/>
      <c r="J155" s="1422"/>
    </row>
    <row r="156" spans="1:10" s="2248" customFormat="1" ht="15.6" customHeight="1" outlineLevel="1">
      <c r="A156" s="2301" t="s">
        <v>1856</v>
      </c>
      <c r="B156" s="2297" t="s">
        <v>1855</v>
      </c>
      <c r="C156" s="2266">
        <v>0</v>
      </c>
      <c r="D156" s="2266">
        <v>0</v>
      </c>
      <c r="E156" s="2299">
        <v>190000</v>
      </c>
      <c r="F156" s="2296">
        <f t="shared" si="5"/>
        <v>190000</v>
      </c>
      <c r="G156" s="1422"/>
      <c r="H156" s="1422"/>
      <c r="I156" s="1422"/>
      <c r="J156" s="1422"/>
    </row>
    <row r="157" spans="1:10" s="2248" customFormat="1" ht="15.6" customHeight="1" outlineLevel="1">
      <c r="A157" s="2298" t="s">
        <v>1854</v>
      </c>
      <c r="B157" s="2297" t="s">
        <v>1853</v>
      </c>
      <c r="C157" s="2266">
        <v>0</v>
      </c>
      <c r="D157" s="2299">
        <v>3000000</v>
      </c>
      <c r="E157" s="2266">
        <v>0</v>
      </c>
      <c r="F157" s="2296">
        <f t="shared" si="5"/>
        <v>3000000</v>
      </c>
      <c r="G157" s="1422"/>
      <c r="H157" s="1422"/>
      <c r="I157" s="1422"/>
      <c r="J157" s="1422"/>
    </row>
    <row r="158" spans="1:10" s="2248" customFormat="1" ht="15.6" customHeight="1" outlineLevel="1">
      <c r="A158" s="2298" t="s">
        <v>1852</v>
      </c>
      <c r="B158" s="2297" t="s">
        <v>1851</v>
      </c>
      <c r="C158" s="2299">
        <v>300000</v>
      </c>
      <c r="D158" s="2266">
        <v>0</v>
      </c>
      <c r="E158" s="2266">
        <v>0</v>
      </c>
      <c r="F158" s="2296">
        <f t="shared" si="5"/>
        <v>300000</v>
      </c>
      <c r="G158" s="1422"/>
      <c r="H158" s="1422"/>
      <c r="I158" s="1422"/>
      <c r="J158" s="1422"/>
    </row>
    <row r="159" spans="1:10" s="2248" customFormat="1" ht="15.6" customHeight="1" outlineLevel="1">
      <c r="A159" s="2298" t="s">
        <v>1850</v>
      </c>
      <c r="B159" s="2297"/>
      <c r="C159" s="2266"/>
      <c r="D159" s="2266"/>
      <c r="E159" s="2266"/>
      <c r="F159" s="2296"/>
      <c r="G159" s="1422"/>
      <c r="H159" s="1422"/>
      <c r="I159" s="1422"/>
      <c r="J159" s="1422"/>
    </row>
    <row r="160" spans="1:10" s="2248" customFormat="1" ht="15.6" customHeight="1" outlineLevel="1">
      <c r="A160" s="2298" t="s">
        <v>1849</v>
      </c>
      <c r="B160" s="2297" t="s">
        <v>1848</v>
      </c>
      <c r="C160" s="2266">
        <v>0</v>
      </c>
      <c r="D160" s="2299">
        <v>421535.97</v>
      </c>
      <c r="E160" s="2266">
        <v>0</v>
      </c>
      <c r="F160" s="2296">
        <f t="shared" ref="F160:F170" si="6">SUM(C160:E160)</f>
        <v>421535.97</v>
      </c>
      <c r="G160" s="1422"/>
      <c r="H160" s="1422"/>
      <c r="I160" s="1422"/>
      <c r="J160" s="1422"/>
    </row>
    <row r="161" spans="1:10" s="2248" customFormat="1" ht="15.6" customHeight="1" outlineLevel="1">
      <c r="A161" s="2298" t="s">
        <v>1847</v>
      </c>
      <c r="B161" s="2297" t="s">
        <v>1846</v>
      </c>
      <c r="C161" s="2299">
        <v>3000000</v>
      </c>
      <c r="D161" s="2266">
        <v>0</v>
      </c>
      <c r="E161" s="2266">
        <v>0</v>
      </c>
      <c r="F161" s="2296">
        <f t="shared" si="6"/>
        <v>3000000</v>
      </c>
      <c r="G161" s="1422"/>
      <c r="H161" s="1422"/>
      <c r="I161" s="1422"/>
      <c r="J161" s="1422"/>
    </row>
    <row r="162" spans="1:10" s="2248" customFormat="1" ht="15.6" customHeight="1" outlineLevel="1">
      <c r="A162" s="2298" t="s">
        <v>1845</v>
      </c>
      <c r="B162" s="2297" t="s">
        <v>1844</v>
      </c>
      <c r="C162" s="2299">
        <v>16000000</v>
      </c>
      <c r="D162" s="2266">
        <v>0</v>
      </c>
      <c r="E162" s="2266">
        <v>0</v>
      </c>
      <c r="F162" s="2296">
        <f t="shared" si="6"/>
        <v>16000000</v>
      </c>
      <c r="G162" s="1422"/>
      <c r="H162" s="1422"/>
      <c r="I162" s="1422"/>
      <c r="J162" s="1422"/>
    </row>
    <row r="163" spans="1:10" s="2248" customFormat="1" ht="15.6" customHeight="1" outlineLevel="1">
      <c r="A163" s="2298" t="s">
        <v>1843</v>
      </c>
      <c r="B163" s="2300" t="s">
        <v>1842</v>
      </c>
      <c r="C163" s="2266">
        <v>3000000</v>
      </c>
      <c r="D163" s="2266">
        <v>0</v>
      </c>
      <c r="E163" s="2266">
        <v>0</v>
      </c>
      <c r="F163" s="2296">
        <f t="shared" si="6"/>
        <v>3000000</v>
      </c>
      <c r="G163" s="1422"/>
      <c r="H163" s="1422"/>
      <c r="I163" s="1422"/>
      <c r="J163" s="1422"/>
    </row>
    <row r="164" spans="1:10" s="2248" customFormat="1" ht="15.6" customHeight="1" outlineLevel="1">
      <c r="A164" s="2298" t="s">
        <v>1841</v>
      </c>
      <c r="B164" s="2297" t="s">
        <v>1840</v>
      </c>
      <c r="C164" s="2299">
        <v>200000</v>
      </c>
      <c r="D164" s="2266">
        <v>0</v>
      </c>
      <c r="E164" s="2266">
        <v>0</v>
      </c>
      <c r="F164" s="2296">
        <f t="shared" si="6"/>
        <v>200000</v>
      </c>
      <c r="G164" s="1422"/>
      <c r="H164" s="1422"/>
      <c r="I164" s="1422"/>
      <c r="J164" s="1422"/>
    </row>
    <row r="165" spans="1:10" s="2248" customFormat="1" ht="15.6" customHeight="1" outlineLevel="1">
      <c r="A165" s="2298" t="s">
        <v>1839</v>
      </c>
      <c r="B165" s="2297" t="s">
        <v>1838</v>
      </c>
      <c r="C165" s="2299">
        <v>0</v>
      </c>
      <c r="D165" s="2299">
        <v>300000</v>
      </c>
      <c r="E165" s="2266">
        <v>0</v>
      </c>
      <c r="F165" s="2296">
        <f t="shared" si="6"/>
        <v>300000</v>
      </c>
      <c r="G165" s="1422"/>
      <c r="H165" s="1422"/>
      <c r="I165" s="1422"/>
      <c r="J165" s="1422"/>
    </row>
    <row r="166" spans="1:10" s="2248" customFormat="1" ht="15.6" customHeight="1" outlineLevel="1">
      <c r="A166" s="2298" t="s">
        <v>1837</v>
      </c>
      <c r="B166" s="2297" t="s">
        <v>1836</v>
      </c>
      <c r="C166" s="2266">
        <v>0</v>
      </c>
      <c r="D166" s="2266">
        <v>0</v>
      </c>
      <c r="E166" s="2299">
        <v>50000</v>
      </c>
      <c r="F166" s="2296">
        <f t="shared" si="6"/>
        <v>50000</v>
      </c>
      <c r="G166" s="1422"/>
      <c r="H166" s="1422"/>
      <c r="I166" s="1422"/>
      <c r="J166" s="1422"/>
    </row>
    <row r="167" spans="1:10" s="2248" customFormat="1" ht="15.6" customHeight="1" outlineLevel="1">
      <c r="A167" s="2298" t="s">
        <v>1835</v>
      </c>
      <c r="B167" s="2297" t="s">
        <v>1834</v>
      </c>
      <c r="C167" s="2266">
        <v>0</v>
      </c>
      <c r="D167" s="2266">
        <v>0</v>
      </c>
      <c r="E167" s="2299">
        <v>45000</v>
      </c>
      <c r="F167" s="2296">
        <f t="shared" si="6"/>
        <v>45000</v>
      </c>
      <c r="G167" s="1422"/>
      <c r="H167" s="1422"/>
      <c r="I167" s="1422"/>
      <c r="J167" s="1422"/>
    </row>
    <row r="168" spans="1:10" s="2248" customFormat="1" ht="15.6" customHeight="1" outlineLevel="1">
      <c r="A168" s="2298" t="s">
        <v>1833</v>
      </c>
      <c r="B168" s="2297" t="s">
        <v>1832</v>
      </c>
      <c r="C168" s="2266">
        <v>12000</v>
      </c>
      <c r="D168" s="2266">
        <v>0</v>
      </c>
      <c r="E168" s="2299">
        <v>183250</v>
      </c>
      <c r="F168" s="2296">
        <f t="shared" si="6"/>
        <v>195250</v>
      </c>
      <c r="G168" s="1422"/>
      <c r="H168" s="1422"/>
      <c r="I168" s="1422"/>
      <c r="J168" s="1422"/>
    </row>
    <row r="169" spans="1:10" s="2248" customFormat="1" ht="15.6" customHeight="1" outlineLevel="1">
      <c r="A169" s="2298" t="s">
        <v>1831</v>
      </c>
      <c r="B169" s="2297" t="s">
        <v>1830</v>
      </c>
      <c r="C169" s="2266">
        <v>77200</v>
      </c>
      <c r="D169" s="2266">
        <v>0</v>
      </c>
      <c r="E169" s="2266">
        <v>0</v>
      </c>
      <c r="F169" s="2296">
        <f t="shared" si="6"/>
        <v>77200</v>
      </c>
      <c r="G169" s="1422"/>
      <c r="H169" s="1422"/>
      <c r="I169" s="1422"/>
      <c r="J169" s="1422"/>
    </row>
    <row r="170" spans="1:10" s="2248" customFormat="1" ht="15.6" customHeight="1" outlineLevel="1" thickBot="1">
      <c r="A170" s="2295" t="s">
        <v>1829</v>
      </c>
      <c r="B170" s="2294" t="s">
        <v>1828</v>
      </c>
      <c r="C170" s="2262">
        <v>100000</v>
      </c>
      <c r="D170" s="2262">
        <v>0</v>
      </c>
      <c r="E170" s="2262">
        <v>0</v>
      </c>
      <c r="F170" s="2293">
        <f t="shared" si="6"/>
        <v>100000</v>
      </c>
      <c r="G170" s="1422"/>
      <c r="H170" s="1422"/>
      <c r="I170" s="1422"/>
      <c r="J170" s="1422"/>
    </row>
    <row r="171" spans="1:10" s="2288" customFormat="1" ht="15.6" customHeight="1" outlineLevel="1">
      <c r="A171" s="2292"/>
      <c r="B171" s="2291"/>
      <c r="C171" s="2290"/>
      <c r="D171" s="2290"/>
      <c r="E171" s="2290"/>
      <c r="F171" s="2289"/>
      <c r="G171" s="1437"/>
      <c r="H171" s="1422"/>
      <c r="I171" s="1422"/>
      <c r="J171" s="1422"/>
    </row>
    <row r="172" spans="1:10" s="2288" customFormat="1" ht="15.6" customHeight="1" outlineLevel="1">
      <c r="A172" s="2292"/>
      <c r="B172" s="2291"/>
      <c r="C172" s="2290"/>
      <c r="D172" s="2290"/>
      <c r="E172" s="2290"/>
      <c r="F172" s="2289"/>
      <c r="G172" s="1437"/>
      <c r="H172" s="1422"/>
      <c r="I172" s="1422"/>
      <c r="J172" s="1422"/>
    </row>
    <row r="173" spans="1:10" s="2288" customFormat="1" ht="15.6" customHeight="1" outlineLevel="1">
      <c r="A173" s="2292"/>
      <c r="B173" s="2291"/>
      <c r="C173" s="2290"/>
      <c r="D173" s="2290"/>
      <c r="E173" s="2290"/>
      <c r="F173" s="2289"/>
      <c r="G173" s="1437"/>
      <c r="H173" s="1422"/>
      <c r="I173" s="1422"/>
      <c r="J173" s="1422"/>
    </row>
    <row r="174" spans="1:10" s="2288" customFormat="1" ht="15.6" customHeight="1" outlineLevel="1" thickBot="1">
      <c r="A174" s="2292"/>
      <c r="B174" s="2291"/>
      <c r="C174" s="2290"/>
      <c r="D174" s="2290"/>
      <c r="E174" s="2290"/>
      <c r="F174" s="2289"/>
      <c r="G174" s="1437"/>
      <c r="H174" s="1422"/>
      <c r="I174" s="1422"/>
      <c r="J174" s="1422"/>
    </row>
    <row r="175" spans="1:10" s="2288" customFormat="1" ht="15.6" customHeight="1" outlineLevel="1">
      <c r="A175" s="4819" t="s">
        <v>1827</v>
      </c>
      <c r="B175" s="4821" t="s">
        <v>1826</v>
      </c>
      <c r="C175" s="4808" t="s">
        <v>1825</v>
      </c>
      <c r="D175" s="4808" t="s">
        <v>1824</v>
      </c>
      <c r="E175" s="4808" t="s">
        <v>1823</v>
      </c>
      <c r="F175" s="4806" t="s">
        <v>244</v>
      </c>
      <c r="G175" s="1437"/>
      <c r="H175" s="1422"/>
      <c r="I175" s="1422"/>
      <c r="J175" s="1422"/>
    </row>
    <row r="176" spans="1:10" s="2288" customFormat="1" ht="22.5" customHeight="1" outlineLevel="1" thickBot="1">
      <c r="A176" s="4825"/>
      <c r="B176" s="4826"/>
      <c r="C176" s="4809"/>
      <c r="D176" s="4809"/>
      <c r="E176" s="4809"/>
      <c r="F176" s="4824"/>
      <c r="G176" s="1437"/>
      <c r="H176" s="1422"/>
      <c r="I176" s="1422"/>
      <c r="J176" s="1422"/>
    </row>
    <row r="177" spans="1:10" s="2255" customFormat="1" ht="15.6" customHeight="1" outlineLevel="1">
      <c r="A177" s="2287" t="s">
        <v>1241</v>
      </c>
      <c r="B177" s="2286"/>
      <c r="C177" s="2285">
        <f>SUM(C178:C196)</f>
        <v>80500000</v>
      </c>
      <c r="D177" s="2285">
        <f>SUM(D178:D196)</f>
        <v>34624475.659999996</v>
      </c>
      <c r="E177" s="2285">
        <f>SUM(E178:E196)</f>
        <v>100000000</v>
      </c>
      <c r="F177" s="2285">
        <f>SUM(F178:F196)</f>
        <v>215124475.66</v>
      </c>
      <c r="G177" s="2256"/>
      <c r="H177" s="1422"/>
      <c r="I177" s="1422"/>
      <c r="J177" s="1422"/>
    </row>
    <row r="178" spans="1:10" s="2255" customFormat="1" ht="15.6" customHeight="1" outlineLevel="1">
      <c r="A178" s="2281" t="s">
        <v>1822</v>
      </c>
      <c r="B178" s="2282" t="s">
        <v>1821</v>
      </c>
      <c r="C178" s="2270">
        <v>0</v>
      </c>
      <c r="D178" s="2267">
        <v>1000000</v>
      </c>
      <c r="E178" s="2266"/>
      <c r="F178" s="2265">
        <f t="shared" ref="F178:F196" si="7">SUM(C178:E178)</f>
        <v>1000000</v>
      </c>
      <c r="G178" s="1422"/>
      <c r="H178" s="1422"/>
      <c r="I178" s="1422"/>
      <c r="J178" s="1422"/>
    </row>
    <row r="179" spans="1:10" s="2255" customFormat="1" ht="15.6" customHeight="1" outlineLevel="1">
      <c r="A179" s="2281" t="s">
        <v>1820</v>
      </c>
      <c r="B179" s="2282" t="s">
        <v>1819</v>
      </c>
      <c r="C179" s="2270">
        <v>0</v>
      </c>
      <c r="D179" s="2267">
        <v>1300000</v>
      </c>
      <c r="E179" s="2266"/>
      <c r="F179" s="2265">
        <f t="shared" si="7"/>
        <v>1300000</v>
      </c>
      <c r="G179" s="1422"/>
      <c r="H179" s="1422"/>
      <c r="I179" s="1422"/>
      <c r="J179" s="1422"/>
    </row>
    <row r="180" spans="1:10" s="2255" customFormat="1" ht="15.6" customHeight="1" outlineLevel="1">
      <c r="A180" s="2281" t="s">
        <v>1818</v>
      </c>
      <c r="B180" s="2282" t="s">
        <v>1817</v>
      </c>
      <c r="C180" s="2270">
        <v>0</v>
      </c>
      <c r="D180" s="2267">
        <v>2000000</v>
      </c>
      <c r="E180" s="2266"/>
      <c r="F180" s="2265">
        <f t="shared" si="7"/>
        <v>2000000</v>
      </c>
      <c r="G180" s="1422"/>
      <c r="H180" s="1422"/>
      <c r="I180" s="1422"/>
      <c r="J180" s="1422"/>
    </row>
    <row r="181" spans="1:10" s="2255" customFormat="1" ht="15.6" customHeight="1" outlineLevel="1">
      <c r="A181" s="2281" t="s">
        <v>1816</v>
      </c>
      <c r="B181" s="2282" t="s">
        <v>1815</v>
      </c>
      <c r="C181" s="2270">
        <v>0</v>
      </c>
      <c r="D181" s="2267">
        <v>1000000</v>
      </c>
      <c r="E181" s="2266"/>
      <c r="F181" s="2265">
        <f t="shared" si="7"/>
        <v>1000000</v>
      </c>
      <c r="G181" s="1422"/>
      <c r="H181" s="1422"/>
      <c r="I181" s="1422"/>
      <c r="J181" s="1422"/>
    </row>
    <row r="182" spans="1:10" s="2255" customFormat="1" ht="15.6" customHeight="1" outlineLevel="1">
      <c r="A182" s="2281" t="s">
        <v>1814</v>
      </c>
      <c r="B182" s="2280" t="s">
        <v>1813</v>
      </c>
      <c r="C182" s="2270">
        <v>36000000</v>
      </c>
      <c r="D182" s="2266">
        <v>0</v>
      </c>
      <c r="E182" s="2266"/>
      <c r="F182" s="2265">
        <f t="shared" si="7"/>
        <v>36000000</v>
      </c>
      <c r="G182" s="1422"/>
      <c r="H182" s="1422"/>
      <c r="I182" s="1422"/>
      <c r="J182" s="1422"/>
    </row>
    <row r="183" spans="1:10" s="2255" customFormat="1" ht="15.6" customHeight="1" outlineLevel="1">
      <c r="A183" s="2281" t="s">
        <v>1812</v>
      </c>
      <c r="B183" s="2280" t="s">
        <v>1811</v>
      </c>
      <c r="C183" s="2270">
        <v>0</v>
      </c>
      <c r="D183" s="2267">
        <v>500000</v>
      </c>
      <c r="E183" s="2266"/>
      <c r="F183" s="2265">
        <f t="shared" si="7"/>
        <v>500000</v>
      </c>
      <c r="G183" s="1422"/>
      <c r="H183" s="1422"/>
      <c r="I183" s="1422"/>
      <c r="J183" s="1422"/>
    </row>
    <row r="184" spans="1:10" s="2255" customFormat="1" ht="15.6" customHeight="1" outlineLevel="1">
      <c r="A184" s="2281" t="s">
        <v>950</v>
      </c>
      <c r="B184" s="2280" t="s">
        <v>949</v>
      </c>
      <c r="C184" s="2270">
        <v>3000000</v>
      </c>
      <c r="D184" s="2267">
        <v>500000</v>
      </c>
      <c r="E184" s="2266"/>
      <c r="F184" s="2265">
        <f t="shared" si="7"/>
        <v>3500000</v>
      </c>
      <c r="G184" s="1422"/>
      <c r="H184" s="1422"/>
      <c r="I184" s="1422"/>
      <c r="J184" s="1422"/>
    </row>
    <row r="185" spans="1:10" s="2255" customFormat="1" ht="15.6" customHeight="1" outlineLevel="1">
      <c r="A185" s="2281" t="s">
        <v>1810</v>
      </c>
      <c r="B185" s="2280" t="s">
        <v>1809</v>
      </c>
      <c r="C185" s="2270">
        <v>0</v>
      </c>
      <c r="D185" s="2267">
        <v>1124475.6599999999</v>
      </c>
      <c r="E185" s="2266"/>
      <c r="F185" s="2265">
        <f t="shared" si="7"/>
        <v>1124475.6599999999</v>
      </c>
      <c r="G185" s="1422"/>
      <c r="H185" s="1422"/>
      <c r="I185" s="1422"/>
      <c r="J185" s="1422"/>
    </row>
    <row r="186" spans="1:10" s="2255" customFormat="1" ht="14.25" customHeight="1" outlineLevel="1">
      <c r="A186" s="2281" t="s">
        <v>1808</v>
      </c>
      <c r="B186" s="2282" t="s">
        <v>1807</v>
      </c>
      <c r="C186" s="2270">
        <v>0</v>
      </c>
      <c r="D186" s="2267">
        <v>5000000</v>
      </c>
      <c r="E186" s="2266"/>
      <c r="F186" s="2265">
        <f t="shared" si="7"/>
        <v>5000000</v>
      </c>
      <c r="G186" s="1422"/>
      <c r="H186" s="1422"/>
      <c r="I186" s="1422"/>
      <c r="J186" s="1422"/>
    </row>
    <row r="187" spans="1:10" s="2255" customFormat="1" ht="15.6" customHeight="1" outlineLevel="1">
      <c r="A187" s="2281" t="s">
        <v>1806</v>
      </c>
      <c r="B187" s="2282" t="s">
        <v>1805</v>
      </c>
      <c r="C187" s="2270">
        <v>0</v>
      </c>
      <c r="D187" s="2267">
        <v>15000000</v>
      </c>
      <c r="E187" s="2266"/>
      <c r="F187" s="2265">
        <f t="shared" si="7"/>
        <v>15000000</v>
      </c>
      <c r="G187" s="1422"/>
      <c r="H187" s="1422"/>
      <c r="I187" s="1422"/>
      <c r="J187" s="1422"/>
    </row>
    <row r="188" spans="1:10" s="2255" customFormat="1" ht="15.6" customHeight="1" outlineLevel="1">
      <c r="A188" s="2281" t="s">
        <v>1804</v>
      </c>
      <c r="B188" s="2280" t="s">
        <v>1803</v>
      </c>
      <c r="C188" s="2266">
        <v>1500000</v>
      </c>
      <c r="D188" s="2266">
        <v>0</v>
      </c>
      <c r="E188" s="2270"/>
      <c r="F188" s="2265">
        <f t="shared" si="7"/>
        <v>1500000</v>
      </c>
      <c r="G188" s="1422"/>
      <c r="H188" s="1422"/>
      <c r="I188" s="1422"/>
      <c r="J188" s="1422"/>
    </row>
    <row r="189" spans="1:10" s="2255" customFormat="1" ht="15.6" customHeight="1" outlineLevel="1">
      <c r="A189" s="2284" t="s">
        <v>1802</v>
      </c>
      <c r="B189" s="2283" t="s">
        <v>1801</v>
      </c>
      <c r="C189" s="2266">
        <v>8000000</v>
      </c>
      <c r="D189" s="2267">
        <v>6000000</v>
      </c>
      <c r="E189" s="2270"/>
      <c r="F189" s="2265">
        <f t="shared" si="7"/>
        <v>14000000</v>
      </c>
      <c r="G189" s="1422"/>
      <c r="H189" s="1422"/>
      <c r="I189" s="1422"/>
      <c r="J189" s="1422"/>
    </row>
    <row r="190" spans="1:10" s="2255" customFormat="1" ht="15.6" customHeight="1" outlineLevel="1">
      <c r="A190" s="2281" t="s">
        <v>1800</v>
      </c>
      <c r="B190" s="2280" t="s">
        <v>1799</v>
      </c>
      <c r="C190" s="2266">
        <v>0</v>
      </c>
      <c r="D190" s="2267">
        <v>1000000</v>
      </c>
      <c r="E190" s="2270"/>
      <c r="F190" s="2265">
        <f t="shared" si="7"/>
        <v>1000000</v>
      </c>
      <c r="G190" s="1422"/>
      <c r="H190" s="1422"/>
      <c r="I190" s="1422"/>
      <c r="J190" s="1422"/>
    </row>
    <row r="191" spans="1:10" s="2255" customFormat="1" ht="15.6" customHeight="1" outlineLevel="1">
      <c r="A191" s="2281" t="s">
        <v>1798</v>
      </c>
      <c r="B191" s="2282" t="s">
        <v>1797</v>
      </c>
      <c r="C191" s="2266">
        <v>0</v>
      </c>
      <c r="D191" s="2267">
        <v>200000</v>
      </c>
      <c r="E191" s="2270"/>
      <c r="F191" s="2265">
        <f t="shared" si="7"/>
        <v>200000</v>
      </c>
      <c r="G191" s="1422"/>
      <c r="H191" s="1422"/>
      <c r="I191" s="1422"/>
      <c r="J191" s="1422"/>
    </row>
    <row r="192" spans="1:10" s="2255" customFormat="1" ht="15.6" customHeight="1" outlineLevel="1">
      <c r="A192" s="2281" t="s">
        <v>1796</v>
      </c>
      <c r="B192" s="2282" t="s">
        <v>1795</v>
      </c>
      <c r="C192" s="2266">
        <v>0</v>
      </c>
      <c r="D192" s="2266">
        <v>0</v>
      </c>
      <c r="E192" s="2267">
        <v>100000000</v>
      </c>
      <c r="F192" s="2265">
        <f t="shared" si="7"/>
        <v>100000000</v>
      </c>
      <c r="G192" s="1422"/>
      <c r="H192" s="1422"/>
      <c r="I192" s="1422"/>
      <c r="J192" s="1422"/>
    </row>
    <row r="193" spans="1:10" s="2255" customFormat="1" ht="15.6" customHeight="1" outlineLevel="1">
      <c r="A193" s="2281" t="s">
        <v>1794</v>
      </c>
      <c r="B193" s="2280" t="s">
        <v>1793</v>
      </c>
      <c r="C193" s="2266">
        <v>0</v>
      </c>
      <c r="D193" s="2266">
        <v>0</v>
      </c>
      <c r="E193" s="2270"/>
      <c r="F193" s="2265">
        <f t="shared" si="7"/>
        <v>0</v>
      </c>
      <c r="G193" s="1422"/>
      <c r="H193" s="1422"/>
      <c r="I193" s="1422"/>
      <c r="J193" s="1422"/>
    </row>
    <row r="194" spans="1:10" s="2255" customFormat="1" ht="15.6" customHeight="1" outlineLevel="1">
      <c r="A194" s="2281" t="s">
        <v>1792</v>
      </c>
      <c r="B194" s="2280" t="s">
        <v>1386</v>
      </c>
      <c r="C194" s="2266">
        <v>10000000</v>
      </c>
      <c r="D194" s="2266">
        <v>0</v>
      </c>
      <c r="E194" s="2270"/>
      <c r="F194" s="2265">
        <f t="shared" si="7"/>
        <v>10000000</v>
      </c>
      <c r="G194" s="1422"/>
      <c r="H194" s="1422"/>
      <c r="I194" s="1422"/>
      <c r="J194" s="1422"/>
    </row>
    <row r="195" spans="1:10" s="2255" customFormat="1" ht="15.6" customHeight="1" outlineLevel="1">
      <c r="A195" s="2279" t="s">
        <v>1791</v>
      </c>
      <c r="B195" s="2278"/>
      <c r="C195" s="2266">
        <v>21000000</v>
      </c>
      <c r="D195" s="2266">
        <v>0</v>
      </c>
      <c r="E195" s="2270"/>
      <c r="F195" s="2265">
        <f t="shared" si="7"/>
        <v>21000000</v>
      </c>
      <c r="G195" s="1422"/>
      <c r="H195" s="1422"/>
      <c r="I195" s="1422"/>
      <c r="J195" s="1422"/>
    </row>
    <row r="196" spans="1:10" s="2255" customFormat="1" ht="15.6" customHeight="1" outlineLevel="1" thickBot="1">
      <c r="A196" s="2277" t="s">
        <v>1790</v>
      </c>
      <c r="B196" s="2276"/>
      <c r="C196" s="2262">
        <v>1000000</v>
      </c>
      <c r="D196" s="2262">
        <v>0</v>
      </c>
      <c r="E196" s="2275"/>
      <c r="F196" s="2260">
        <f t="shared" si="7"/>
        <v>1000000</v>
      </c>
      <c r="G196" s="1422"/>
      <c r="H196" s="1422"/>
      <c r="I196" s="1422"/>
      <c r="J196" s="1422"/>
    </row>
    <row r="197" spans="1:10" s="2255" customFormat="1" ht="15.6" customHeight="1" outlineLevel="1">
      <c r="A197" s="2274" t="s">
        <v>1789</v>
      </c>
      <c r="B197" s="2273"/>
      <c r="C197" s="2272">
        <f>SUM(C198:C201)</f>
        <v>1076000</v>
      </c>
      <c r="D197" s="2272">
        <f>SUM(D198:D201)</f>
        <v>236928967.93000001</v>
      </c>
      <c r="E197" s="2272">
        <f>SUM(E198:E201)</f>
        <v>128500000</v>
      </c>
      <c r="F197" s="2271">
        <f>SUM(F198:F201)</f>
        <v>366504967.93000001</v>
      </c>
      <c r="G197" s="2256"/>
      <c r="H197" s="1422"/>
      <c r="I197" s="1422"/>
      <c r="J197" s="1422"/>
    </row>
    <row r="198" spans="1:10" s="2248" customFormat="1" ht="15.6" customHeight="1" outlineLevel="1">
      <c r="A198" s="2269" t="s">
        <v>1788</v>
      </c>
      <c r="B198" s="2268"/>
      <c r="C198" s="2267">
        <v>1076000</v>
      </c>
      <c r="D198" s="2266"/>
      <c r="E198" s="2266"/>
      <c r="F198" s="2265">
        <f>SUM(C198:E198)</f>
        <v>1076000</v>
      </c>
      <c r="G198" s="1422"/>
      <c r="H198" s="1422"/>
      <c r="I198" s="1422"/>
      <c r="J198" s="1422"/>
    </row>
    <row r="199" spans="1:10" s="2248" customFormat="1" ht="15.6" customHeight="1" outlineLevel="1">
      <c r="A199" s="2269" t="s">
        <v>965</v>
      </c>
      <c r="B199" s="2268"/>
      <c r="C199" s="2266"/>
      <c r="D199" s="2267">
        <v>65697200</v>
      </c>
      <c r="E199" s="2270"/>
      <c r="F199" s="2265">
        <f>SUM(C199:E199)</f>
        <v>65697200</v>
      </c>
      <c r="G199" s="1422"/>
      <c r="H199" s="1422"/>
      <c r="I199" s="1422"/>
      <c r="J199" s="1422"/>
    </row>
    <row r="200" spans="1:10" s="2248" customFormat="1" ht="15.6" customHeight="1" outlineLevel="1">
      <c r="A200" s="2269" t="s">
        <v>1787</v>
      </c>
      <c r="B200" s="2268"/>
      <c r="C200" s="2266"/>
      <c r="D200" s="2267">
        <v>24731767.93</v>
      </c>
      <c r="E200" s="2266"/>
      <c r="F200" s="2265">
        <f>SUM(C200:E200)</f>
        <v>24731767.93</v>
      </c>
      <c r="G200" s="1422"/>
      <c r="H200" s="1422"/>
      <c r="I200" s="1422"/>
      <c r="J200" s="1422"/>
    </row>
    <row r="201" spans="1:10" s="2248" customFormat="1" ht="15.6" customHeight="1" outlineLevel="1" thickBot="1">
      <c r="A201" s="2264" t="s">
        <v>1786</v>
      </c>
      <c r="B201" s="2263"/>
      <c r="C201" s="2262"/>
      <c r="D201" s="2261">
        <v>146500000</v>
      </c>
      <c r="E201" s="2261">
        <v>128500000</v>
      </c>
      <c r="F201" s="2260">
        <f>SUM(C201:E201)</f>
        <v>275000000</v>
      </c>
      <c r="G201" s="1422"/>
      <c r="H201" s="1422"/>
      <c r="I201" s="1422"/>
      <c r="J201" s="1422"/>
    </row>
    <row r="202" spans="1:10" s="2255" customFormat="1" ht="18.75" customHeight="1" outlineLevel="2" thickBot="1">
      <c r="A202" s="2259" t="s">
        <v>366</v>
      </c>
      <c r="B202" s="2258"/>
      <c r="C202" s="1420">
        <f>SUM(C7+C42+C177+C197)</f>
        <v>501056672.02999997</v>
      </c>
      <c r="D202" s="1420">
        <f>SUM(D7+D42+D177+D197)</f>
        <v>528711881.96999997</v>
      </c>
      <c r="E202" s="1420">
        <f>SUM(E7+E42+E177+E197)</f>
        <v>380994745</v>
      </c>
      <c r="F202" s="2257">
        <f>SUM(F7+F42+F177+F197)</f>
        <v>1410763299</v>
      </c>
      <c r="G202" s="2256"/>
      <c r="H202" s="1422"/>
      <c r="I202" s="1422"/>
      <c r="J202" s="1422"/>
    </row>
    <row r="203" spans="1:10" s="2248" customFormat="1" ht="23.25" customHeight="1" thickTop="1">
      <c r="A203" s="2254" t="s">
        <v>1785</v>
      </c>
      <c r="B203" s="2250"/>
      <c r="C203" s="2253"/>
      <c r="D203" s="2252"/>
      <c r="E203" s="1437" t="s">
        <v>1784</v>
      </c>
      <c r="F203" s="2249"/>
      <c r="H203" s="1422"/>
      <c r="I203" s="1422"/>
      <c r="J203" s="1422"/>
    </row>
    <row r="204" spans="1:10" s="2248" customFormat="1" ht="22.5" customHeight="1">
      <c r="A204" s="2251"/>
      <c r="B204" s="2250"/>
      <c r="C204" s="1437"/>
      <c r="D204" s="1437"/>
      <c r="E204" s="1437"/>
      <c r="F204" s="2249"/>
      <c r="H204" s="1422"/>
      <c r="I204" s="1422"/>
      <c r="J204" s="1422"/>
    </row>
    <row r="205" spans="1:10" s="1422" customFormat="1" ht="15.6" customHeight="1">
      <c r="A205" s="2247" t="s">
        <v>1783</v>
      </c>
      <c r="B205" s="4827" t="s">
        <v>787</v>
      </c>
      <c r="C205" s="4827"/>
      <c r="D205" s="4827"/>
      <c r="E205" s="4828" t="s">
        <v>359</v>
      </c>
      <c r="F205" s="4829"/>
    </row>
    <row r="206" spans="1:10" s="2241" customFormat="1" ht="12.75" customHeight="1">
      <c r="A206" s="2246" t="s">
        <v>1782</v>
      </c>
      <c r="B206" s="4830" t="s">
        <v>1781</v>
      </c>
      <c r="C206" s="4830"/>
      <c r="D206" s="4830"/>
      <c r="E206" s="4831" t="s">
        <v>356</v>
      </c>
      <c r="F206" s="4832"/>
      <c r="H206" s="1422"/>
      <c r="I206" s="1422"/>
      <c r="J206" s="1422"/>
    </row>
    <row r="207" spans="1:10" s="2241" customFormat="1" ht="12.75" customHeight="1">
      <c r="A207" s="2245"/>
      <c r="B207" s="2244"/>
      <c r="C207" s="2244"/>
      <c r="D207" s="2244"/>
      <c r="E207" s="2243"/>
      <c r="F207" s="2242"/>
      <c r="H207" s="1422"/>
      <c r="I207" s="1422"/>
      <c r="J207" s="1422"/>
    </row>
    <row r="208" spans="1:10" s="1404" customFormat="1" ht="3" customHeight="1" thickBot="1">
      <c r="A208" s="2240"/>
      <c r="B208" s="2239"/>
      <c r="C208" s="2238"/>
      <c r="D208" s="2238"/>
      <c r="E208" s="2238"/>
      <c r="F208" s="2237"/>
      <c r="H208" s="1422"/>
      <c r="I208" s="1422"/>
      <c r="J208" s="1422"/>
    </row>
    <row r="209" spans="1:10" s="1404" customFormat="1" ht="13.5">
      <c r="A209" s="2236"/>
      <c r="B209" s="2235"/>
      <c r="C209" s="1406"/>
      <c r="D209" s="1406"/>
      <c r="E209" s="1406"/>
      <c r="F209" s="1406"/>
      <c r="H209" s="1422"/>
      <c r="I209" s="1422"/>
      <c r="J209" s="1422"/>
    </row>
    <row r="210" spans="1:10" s="1404" customFormat="1" ht="12" customHeight="1">
      <c r="B210" s="2235"/>
      <c r="C210" s="1406"/>
      <c r="D210" s="1406"/>
      <c r="E210" s="1406"/>
      <c r="F210" s="1406"/>
      <c r="H210" s="1422"/>
      <c r="I210" s="1422"/>
      <c r="J210" s="1422"/>
    </row>
    <row r="211" spans="1:10" s="2234" customFormat="1" ht="12" customHeight="1">
      <c r="B211" s="2233"/>
      <c r="H211" s="1422"/>
      <c r="I211" s="1422"/>
      <c r="J211" s="1422"/>
    </row>
    <row r="212" spans="1:10" s="2234" customFormat="1" ht="12" customHeight="1">
      <c r="B212" s="2233"/>
    </row>
    <row r="213" spans="1:10" s="2234" customFormat="1" ht="12" customHeight="1">
      <c r="B213" s="2233"/>
    </row>
    <row r="214" spans="1:10" s="2234" customFormat="1" ht="12" customHeight="1">
      <c r="B214" s="2233"/>
    </row>
    <row r="215" spans="1:10" s="2234" customFormat="1" ht="12" customHeight="1">
      <c r="B215" s="2233"/>
    </row>
  </sheetData>
  <mergeCells count="31">
    <mergeCell ref="B205:D205"/>
    <mergeCell ref="E205:F205"/>
    <mergeCell ref="B206:D206"/>
    <mergeCell ref="E206:F206"/>
    <mergeCell ref="A175:A176"/>
    <mergeCell ref="B175:B176"/>
    <mergeCell ref="C175:C176"/>
    <mergeCell ref="D175:D176"/>
    <mergeCell ref="E175:E176"/>
    <mergeCell ref="F175:F176"/>
    <mergeCell ref="E59:E60"/>
    <mergeCell ref="F59:F60"/>
    <mergeCell ref="A119:A120"/>
    <mergeCell ref="B119:B120"/>
    <mergeCell ref="C119:C120"/>
    <mergeCell ref="F4:F5"/>
    <mergeCell ref="D119:D120"/>
    <mergeCell ref="E119:E120"/>
    <mergeCell ref="A1:F1"/>
    <mergeCell ref="A2:F2"/>
    <mergeCell ref="A3:F3"/>
    <mergeCell ref="A4:A5"/>
    <mergeCell ref="B4:B5"/>
    <mergeCell ref="C4:C5"/>
    <mergeCell ref="D4:D5"/>
    <mergeCell ref="E4:E5"/>
    <mergeCell ref="F119:F120"/>
    <mergeCell ref="A59:A60"/>
    <mergeCell ref="B59:B60"/>
    <mergeCell ref="C59:C60"/>
    <mergeCell ref="D59:D60"/>
  </mergeCells>
  <pageMargins left="0.5" right="0" top="1" bottom="1" header="0.5" footer="1"/>
  <pageSetup paperSize="5" orientation="portrait" verticalDpi="300" r:id="rId1"/>
  <headerFooter>
    <oddHeader>&amp;L&amp;"Arial,Italic"&amp;9Local Budget Preparation Form No. 7
Page &amp;P of &amp;N</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1" transitionEvaluation="1" transitionEntry="1">
    <outlinePr summaryBelow="0"/>
  </sheetPr>
  <dimension ref="A1:DS107"/>
  <sheetViews>
    <sheetView showGridLines="0" showOutlineSymbols="0" topLeftCell="A21" zoomScale="120" zoomScaleNormal="120" workbookViewId="0">
      <selection activeCell="E37" sqref="E37"/>
    </sheetView>
  </sheetViews>
  <sheetFormatPr defaultColWidth="12.5703125" defaultRowHeight="15.75" outlineLevelRow="2" outlineLevelCol="2"/>
  <cols>
    <col min="1" max="1" width="38.85546875" style="1390" customWidth="1"/>
    <col min="2" max="2" width="10.7109375" style="2233" customWidth="1"/>
    <col min="3" max="6" width="11.7109375" style="1390" customWidth="1"/>
    <col min="7" max="22" width="12.5703125" style="1390"/>
    <col min="23" max="27" width="12.5703125" style="1390" outlineLevel="1"/>
    <col min="28" max="33" width="12.5703125" style="1390" outlineLevel="2"/>
    <col min="34" max="36" width="12.5703125" style="1390" outlineLevel="1"/>
    <col min="37" max="56" width="12.5703125" style="1390"/>
    <col min="57" max="60" width="12.5703125" style="1390" outlineLevel="1"/>
    <col min="61" max="108" width="12.5703125" style="1390"/>
    <col min="109" max="114" width="12.5703125" style="1390" outlineLevel="1"/>
    <col min="115" max="120" width="12.5703125" style="1390" outlineLevel="2"/>
    <col min="121" max="123" width="12.5703125" style="1390" outlineLevel="1"/>
    <col min="124" max="16384" width="12.5703125" style="1390"/>
  </cols>
  <sheetData>
    <row r="1" spans="1:6" ht="17.25" customHeight="1">
      <c r="A1" s="4810" t="s">
        <v>2014</v>
      </c>
      <c r="B1" s="4811"/>
      <c r="C1" s="4811"/>
      <c r="D1" s="4811"/>
      <c r="E1" s="4811"/>
      <c r="F1" s="4812"/>
    </row>
    <row r="2" spans="1:6" ht="12" customHeight="1">
      <c r="A2" s="4813" t="s">
        <v>2013</v>
      </c>
      <c r="B2" s="4814"/>
      <c r="C2" s="4814"/>
      <c r="D2" s="4814"/>
      <c r="E2" s="4814"/>
      <c r="F2" s="4815"/>
    </row>
    <row r="3" spans="1:6" ht="14.25" customHeight="1" thickBot="1">
      <c r="A3" s="4816" t="s">
        <v>2059</v>
      </c>
      <c r="B3" s="4817"/>
      <c r="C3" s="4817"/>
      <c r="D3" s="4817"/>
      <c r="E3" s="4817"/>
      <c r="F3" s="4818"/>
    </row>
    <row r="4" spans="1:6" s="2248" customFormat="1" ht="14.25" customHeight="1">
      <c r="A4" s="4835" t="s">
        <v>1827</v>
      </c>
      <c r="B4" s="4821" t="s">
        <v>1826</v>
      </c>
      <c r="C4" s="4838" t="s">
        <v>1825</v>
      </c>
      <c r="D4" s="4808" t="s">
        <v>1824</v>
      </c>
      <c r="E4" s="4808" t="s">
        <v>1823</v>
      </c>
      <c r="F4" s="4806" t="s">
        <v>244</v>
      </c>
    </row>
    <row r="5" spans="1:6" s="2248" customFormat="1" ht="23.25" customHeight="1" thickBot="1">
      <c r="A5" s="4837"/>
      <c r="B5" s="4826"/>
      <c r="C5" s="4839"/>
      <c r="D5" s="4809"/>
      <c r="E5" s="4809"/>
      <c r="F5" s="4824"/>
    </row>
    <row r="6" spans="1:6" s="2255" customFormat="1" ht="20.100000000000001" customHeight="1">
      <c r="A6" s="2396" t="s">
        <v>456</v>
      </c>
      <c r="B6" s="2395"/>
      <c r="C6" s="2395"/>
      <c r="D6" s="2395"/>
      <c r="E6" s="2394"/>
      <c r="F6" s="2393"/>
    </row>
    <row r="7" spans="1:6" s="2256" customFormat="1" ht="15" customHeight="1">
      <c r="A7" s="2392" t="s">
        <v>2010</v>
      </c>
      <c r="B7" s="2391"/>
      <c r="C7" s="2390">
        <f>SUM(C9:C35)</f>
        <v>0</v>
      </c>
      <c r="D7" s="2390">
        <f>SUM(D9:D35)</f>
        <v>0</v>
      </c>
      <c r="E7" s="2389">
        <f>SUM(E9:E35)</f>
        <v>122523270</v>
      </c>
      <c r="F7" s="2388">
        <f>SUM(F9:F35)</f>
        <v>122523270</v>
      </c>
    </row>
    <row r="8" spans="1:6" s="2256" customFormat="1" ht="15" customHeight="1">
      <c r="A8" s="2387" t="s">
        <v>2058</v>
      </c>
      <c r="B8" s="2391"/>
      <c r="C8" s="2390"/>
      <c r="D8" s="2390"/>
      <c r="E8" s="2389"/>
      <c r="F8" s="2388"/>
    </row>
    <row r="9" spans="1:6" s="2248" customFormat="1" ht="15.6" customHeight="1" outlineLevel="1">
      <c r="A9" s="2367" t="s">
        <v>2009</v>
      </c>
      <c r="B9" s="2333" t="s">
        <v>453</v>
      </c>
      <c r="C9" s="2366">
        <v>0</v>
      </c>
      <c r="D9" s="2366">
        <v>0</v>
      </c>
      <c r="E9" s="2365">
        <v>63090756</v>
      </c>
      <c r="F9" s="2265">
        <f>SUM(C9:E9)</f>
        <v>63090756</v>
      </c>
    </row>
    <row r="10" spans="1:6" s="2248" customFormat="1" ht="15.6" customHeight="1" outlineLevel="1">
      <c r="A10" s="2387" t="s">
        <v>452</v>
      </c>
      <c r="B10" s="2333"/>
      <c r="C10" s="2366"/>
      <c r="D10" s="2366"/>
      <c r="E10" s="2365"/>
      <c r="F10" s="2265"/>
    </row>
    <row r="11" spans="1:6" s="2248" customFormat="1" ht="15.6" customHeight="1" outlineLevel="1">
      <c r="A11" s="2367" t="s">
        <v>1507</v>
      </c>
      <c r="B11" s="2333" t="s">
        <v>450</v>
      </c>
      <c r="C11" s="2366">
        <v>0</v>
      </c>
      <c r="D11" s="2366">
        <v>0</v>
      </c>
      <c r="E11" s="2365">
        <v>3696000</v>
      </c>
      <c r="F11" s="2265">
        <f t="shared" ref="F11:F22" si="0">SUM(C11:E11)</f>
        <v>3696000</v>
      </c>
    </row>
    <row r="12" spans="1:6" s="2248" customFormat="1" ht="15.6" customHeight="1" outlineLevel="1">
      <c r="A12" s="2367" t="s">
        <v>449</v>
      </c>
      <c r="B12" s="2333" t="s">
        <v>448</v>
      </c>
      <c r="C12" s="2366">
        <v>0</v>
      </c>
      <c r="D12" s="2366">
        <v>0</v>
      </c>
      <c r="E12" s="2365">
        <v>228000</v>
      </c>
      <c r="F12" s="2265">
        <f t="shared" si="0"/>
        <v>228000</v>
      </c>
    </row>
    <row r="13" spans="1:6" s="2248" customFormat="1" ht="15.6" customHeight="1" outlineLevel="1">
      <c r="A13" s="2367" t="s">
        <v>447</v>
      </c>
      <c r="B13" s="2333" t="s">
        <v>446</v>
      </c>
      <c r="C13" s="2366">
        <v>0</v>
      </c>
      <c r="D13" s="2366">
        <v>0</v>
      </c>
      <c r="E13" s="2365">
        <v>228000</v>
      </c>
      <c r="F13" s="2265">
        <f t="shared" si="0"/>
        <v>228000</v>
      </c>
    </row>
    <row r="14" spans="1:6" s="2248" customFormat="1" ht="15.6" customHeight="1" outlineLevel="1">
      <c r="A14" s="2367" t="s">
        <v>445</v>
      </c>
      <c r="B14" s="2333" t="s">
        <v>444</v>
      </c>
      <c r="C14" s="2366">
        <v>0</v>
      </c>
      <c r="D14" s="2366">
        <v>0</v>
      </c>
      <c r="E14" s="2365">
        <v>924000</v>
      </c>
      <c r="F14" s="2265">
        <f t="shared" si="0"/>
        <v>924000</v>
      </c>
    </row>
    <row r="15" spans="1:6" s="2248" customFormat="1" ht="15.6" customHeight="1" outlineLevel="1">
      <c r="A15" s="2367" t="s">
        <v>1698</v>
      </c>
      <c r="B15" s="2333" t="s">
        <v>1697</v>
      </c>
      <c r="C15" s="2366">
        <v>0</v>
      </c>
      <c r="D15" s="2366">
        <v>0</v>
      </c>
      <c r="E15" s="2365">
        <v>2772000</v>
      </c>
      <c r="F15" s="2265">
        <f t="shared" si="0"/>
        <v>2772000</v>
      </c>
    </row>
    <row r="16" spans="1:6" s="2248" customFormat="1" ht="15.6" customHeight="1" outlineLevel="1">
      <c r="A16" s="2367" t="s">
        <v>1696</v>
      </c>
      <c r="B16" s="2333" t="s">
        <v>1695</v>
      </c>
      <c r="C16" s="2366">
        <v>0</v>
      </c>
      <c r="D16" s="2366">
        <v>0</v>
      </c>
      <c r="E16" s="2365">
        <v>277200</v>
      </c>
      <c r="F16" s="2265">
        <f t="shared" si="0"/>
        <v>277200</v>
      </c>
    </row>
    <row r="17" spans="1:6" s="2248" customFormat="1" ht="15.6" customHeight="1" outlineLevel="1">
      <c r="A17" s="2367" t="s">
        <v>1690</v>
      </c>
      <c r="B17" s="2333" t="s">
        <v>1694</v>
      </c>
      <c r="C17" s="2366">
        <v>0</v>
      </c>
      <c r="D17" s="2366">
        <v>0</v>
      </c>
      <c r="E17" s="2365">
        <v>13043976</v>
      </c>
      <c r="F17" s="2265">
        <f t="shared" si="0"/>
        <v>13043976</v>
      </c>
    </row>
    <row r="18" spans="1:6" s="2248" customFormat="1" ht="15.6" customHeight="1" outlineLevel="1">
      <c r="A18" s="2367" t="s">
        <v>1691</v>
      </c>
      <c r="B18" s="2333" t="s">
        <v>1693</v>
      </c>
      <c r="C18" s="2366">
        <v>0</v>
      </c>
      <c r="D18" s="2366">
        <v>0</v>
      </c>
      <c r="E18" s="2365">
        <v>2929954</v>
      </c>
      <c r="F18" s="2265">
        <f t="shared" si="0"/>
        <v>2929954</v>
      </c>
    </row>
    <row r="19" spans="1:6" s="2248" customFormat="1" ht="15.6" customHeight="1" outlineLevel="1">
      <c r="A19" s="2367" t="s">
        <v>1692</v>
      </c>
      <c r="B19" s="2333" t="s">
        <v>440</v>
      </c>
      <c r="C19" s="2366">
        <v>0</v>
      </c>
      <c r="D19" s="2366">
        <v>0</v>
      </c>
      <c r="E19" s="2365">
        <v>3500000</v>
      </c>
      <c r="F19" s="2265">
        <f t="shared" si="0"/>
        <v>3500000</v>
      </c>
    </row>
    <row r="20" spans="1:6" s="2248" customFormat="1" ht="15.6" customHeight="1" outlineLevel="1">
      <c r="A20" s="2367" t="s">
        <v>1998</v>
      </c>
      <c r="B20" s="2333" t="s">
        <v>439</v>
      </c>
      <c r="C20" s="2366">
        <v>0</v>
      </c>
      <c r="D20" s="2366">
        <v>0</v>
      </c>
      <c r="E20" s="2365">
        <v>5257563</v>
      </c>
      <c r="F20" s="2265">
        <f t="shared" si="0"/>
        <v>5257563</v>
      </c>
    </row>
    <row r="21" spans="1:6" s="2248" customFormat="1" ht="15.6" customHeight="1" outlineLevel="1">
      <c r="A21" s="2367" t="s">
        <v>438</v>
      </c>
      <c r="B21" s="2333" t="s">
        <v>437</v>
      </c>
      <c r="C21" s="2366">
        <v>0</v>
      </c>
      <c r="D21" s="2366">
        <v>0</v>
      </c>
      <c r="E21" s="2365">
        <v>770000</v>
      </c>
      <c r="F21" s="2265">
        <f t="shared" si="0"/>
        <v>770000</v>
      </c>
    </row>
    <row r="22" spans="1:6" s="2248" customFormat="1" ht="15.6" customHeight="1" outlineLevel="1">
      <c r="A22" s="2367" t="s">
        <v>436</v>
      </c>
      <c r="B22" s="2333" t="s">
        <v>435</v>
      </c>
      <c r="C22" s="2366">
        <v>0</v>
      </c>
      <c r="D22" s="2366">
        <v>0</v>
      </c>
      <c r="E22" s="2365">
        <v>5257563</v>
      </c>
      <c r="F22" s="2265">
        <f t="shared" si="0"/>
        <v>5257563</v>
      </c>
    </row>
    <row r="23" spans="1:6" s="2248" customFormat="1" ht="15.6" customHeight="1" outlineLevel="1">
      <c r="A23" s="2335" t="s">
        <v>1997</v>
      </c>
      <c r="B23" s="2333"/>
      <c r="C23" s="2366"/>
      <c r="D23" s="2366"/>
      <c r="E23" s="2365"/>
      <c r="F23" s="2265"/>
    </row>
    <row r="24" spans="1:6" s="2248" customFormat="1" ht="15.6" customHeight="1" outlineLevel="1">
      <c r="A24" s="2367" t="s">
        <v>421</v>
      </c>
      <c r="B24" s="2333" t="s">
        <v>433</v>
      </c>
      <c r="C24" s="2366">
        <v>0</v>
      </c>
      <c r="D24" s="2366">
        <v>0</v>
      </c>
      <c r="E24" s="2365">
        <v>7570891</v>
      </c>
      <c r="F24" s="2265">
        <f>SUM(C24:E24)</f>
        <v>7570891</v>
      </c>
    </row>
    <row r="25" spans="1:6" s="2248" customFormat="1" ht="15.6" customHeight="1" outlineLevel="1">
      <c r="A25" s="2367" t="s">
        <v>432</v>
      </c>
      <c r="B25" s="2333" t="s">
        <v>431</v>
      </c>
      <c r="C25" s="2366">
        <v>0</v>
      </c>
      <c r="D25" s="2366">
        <v>0</v>
      </c>
      <c r="E25" s="2365">
        <v>184800</v>
      </c>
      <c r="F25" s="2265">
        <f>SUM(C25:E25)</f>
        <v>184800</v>
      </c>
    </row>
    <row r="26" spans="1:6" s="2248" customFormat="1" ht="15.6" customHeight="1" outlineLevel="1">
      <c r="A26" s="2367" t="s">
        <v>418</v>
      </c>
      <c r="B26" s="2333" t="s">
        <v>430</v>
      </c>
      <c r="C26" s="2366">
        <v>0</v>
      </c>
      <c r="D26" s="2366">
        <v>0</v>
      </c>
      <c r="E26" s="2365">
        <v>1233367</v>
      </c>
      <c r="F26" s="2265">
        <f>SUM(C26:E26)</f>
        <v>1233367</v>
      </c>
    </row>
    <row r="27" spans="1:6" s="2248" customFormat="1" ht="15.6" customHeight="1" outlineLevel="1">
      <c r="A27" s="2367" t="s">
        <v>428</v>
      </c>
      <c r="B27" s="2333" t="s">
        <v>427</v>
      </c>
      <c r="C27" s="2366">
        <v>0</v>
      </c>
      <c r="D27" s="2366">
        <v>0</v>
      </c>
      <c r="E27" s="2365">
        <v>184800</v>
      </c>
      <c r="F27" s="2265">
        <f>SUM(C27:E27)</f>
        <v>184800</v>
      </c>
    </row>
    <row r="28" spans="1:6" s="2248" customFormat="1" ht="15.6" customHeight="1" outlineLevel="1">
      <c r="A28" s="2335" t="s">
        <v>420</v>
      </c>
      <c r="B28" s="2333"/>
      <c r="C28" s="2366"/>
      <c r="D28" s="2366"/>
      <c r="E28" s="2365"/>
      <c r="F28" s="2265"/>
    </row>
    <row r="29" spans="1:6" s="2248" customFormat="1" ht="15.6" customHeight="1" outlineLevel="1">
      <c r="A29" s="2367" t="s">
        <v>423</v>
      </c>
      <c r="B29" s="2333" t="s">
        <v>422</v>
      </c>
      <c r="C29" s="2366">
        <v>0</v>
      </c>
      <c r="D29" s="2366">
        <v>0</v>
      </c>
      <c r="E29" s="2365">
        <v>3343400</v>
      </c>
      <c r="F29" s="2265">
        <f t="shared" ref="F29:F35" si="1">SUM(C29:E29)</f>
        <v>3343400</v>
      </c>
    </row>
    <row r="30" spans="1:6" s="2248" customFormat="1" ht="15.6" customHeight="1" outlineLevel="1">
      <c r="A30" s="2367" t="s">
        <v>420</v>
      </c>
      <c r="B30" s="2333" t="s">
        <v>1996</v>
      </c>
      <c r="C30" s="2366">
        <v>0</v>
      </c>
      <c r="D30" s="2366">
        <v>0</v>
      </c>
      <c r="E30" s="2365">
        <v>7000000</v>
      </c>
      <c r="F30" s="2265">
        <f t="shared" si="1"/>
        <v>7000000</v>
      </c>
    </row>
    <row r="31" spans="1:6" s="2248" customFormat="1" ht="15.6" customHeight="1" outlineLevel="1">
      <c r="A31" s="2367" t="s">
        <v>1993</v>
      </c>
      <c r="B31" s="2333" t="s">
        <v>416</v>
      </c>
      <c r="C31" s="2366">
        <v>0</v>
      </c>
      <c r="D31" s="2366">
        <v>0</v>
      </c>
      <c r="E31" s="2365">
        <v>125000</v>
      </c>
      <c r="F31" s="2265">
        <f t="shared" si="1"/>
        <v>125000</v>
      </c>
    </row>
    <row r="32" spans="1:6" s="2248" customFormat="1" ht="15.6" customHeight="1" outlineLevel="1">
      <c r="A32" s="2367" t="s">
        <v>1992</v>
      </c>
      <c r="B32" s="2333" t="s">
        <v>413</v>
      </c>
      <c r="C32" s="2366">
        <v>0</v>
      </c>
      <c r="D32" s="2366">
        <v>0</v>
      </c>
      <c r="E32" s="2365">
        <v>1000</v>
      </c>
      <c r="F32" s="2265">
        <f t="shared" si="1"/>
        <v>1000</v>
      </c>
    </row>
    <row r="33" spans="1:6" s="2248" customFormat="1" ht="15.6" customHeight="1" outlineLevel="1">
      <c r="A33" s="2367" t="s">
        <v>1991</v>
      </c>
      <c r="B33" s="2333" t="s">
        <v>411</v>
      </c>
      <c r="C33" s="2366">
        <v>0</v>
      </c>
      <c r="D33" s="2366">
        <v>0</v>
      </c>
      <c r="E33" s="2365">
        <v>805000</v>
      </c>
      <c r="F33" s="2265">
        <f t="shared" si="1"/>
        <v>805000</v>
      </c>
    </row>
    <row r="34" spans="1:6" s="2248" customFormat="1" ht="15.6" customHeight="1" outlineLevel="1">
      <c r="A34" s="2367" t="s">
        <v>2057</v>
      </c>
      <c r="B34" s="2386" t="s">
        <v>408</v>
      </c>
      <c r="C34" s="2366">
        <v>0</v>
      </c>
      <c r="D34" s="2366">
        <v>0</v>
      </c>
      <c r="E34" s="2365">
        <v>0</v>
      </c>
      <c r="F34" s="2265">
        <f t="shared" si="1"/>
        <v>0</v>
      </c>
    </row>
    <row r="35" spans="1:6" s="2248" customFormat="1" ht="15.6" customHeight="1" outlineLevel="1">
      <c r="A35" s="2364" t="s">
        <v>2056</v>
      </c>
      <c r="B35" s="2363" t="s">
        <v>2055</v>
      </c>
      <c r="C35" s="2362">
        <v>0</v>
      </c>
      <c r="D35" s="2362">
        <v>0</v>
      </c>
      <c r="E35" s="2361">
        <v>100000</v>
      </c>
      <c r="F35" s="2385">
        <f t="shared" si="1"/>
        <v>100000</v>
      </c>
    </row>
    <row r="36" spans="1:6" s="2255" customFormat="1" ht="15" customHeight="1" outlineLevel="1">
      <c r="A36" s="2384" t="s">
        <v>1987</v>
      </c>
      <c r="B36" s="2331"/>
      <c r="C36" s="2330">
        <f>SUM(C37:C91)</f>
        <v>0</v>
      </c>
      <c r="D36" s="2330">
        <f>SUM(D37:D91)</f>
        <v>0</v>
      </c>
      <c r="E36" s="2330">
        <f>SUM(E37:E91)</f>
        <v>66423930</v>
      </c>
      <c r="F36" s="2383">
        <f>SUM(F37:F91)</f>
        <v>66423930</v>
      </c>
    </row>
    <row r="37" spans="1:6" s="2248" customFormat="1" ht="15.6" customHeight="1" outlineLevel="1">
      <c r="A37" s="2382" t="s">
        <v>646</v>
      </c>
      <c r="B37" s="2381" t="s">
        <v>405</v>
      </c>
      <c r="C37" s="2380">
        <v>0</v>
      </c>
      <c r="D37" s="2380">
        <v>0</v>
      </c>
      <c r="E37" s="2379">
        <v>50000</v>
      </c>
      <c r="F37" s="2378">
        <f t="shared" ref="F37:F48" si="2">SUM(C37:E37)</f>
        <v>50000</v>
      </c>
    </row>
    <row r="38" spans="1:6" s="2248" customFormat="1" ht="15.6" customHeight="1" outlineLevel="1">
      <c r="A38" s="2367" t="s">
        <v>2054</v>
      </c>
      <c r="B38" s="2333" t="s">
        <v>2053</v>
      </c>
      <c r="C38" s="2366">
        <v>0</v>
      </c>
      <c r="D38" s="2366">
        <v>0</v>
      </c>
      <c r="E38" s="2365">
        <v>300000</v>
      </c>
      <c r="F38" s="2296">
        <f t="shared" si="2"/>
        <v>300000</v>
      </c>
    </row>
    <row r="39" spans="1:6" s="2248" customFormat="1" ht="15.6" customHeight="1" outlineLevel="1">
      <c r="A39" s="2367" t="s">
        <v>704</v>
      </c>
      <c r="B39" s="2333" t="s">
        <v>403</v>
      </c>
      <c r="C39" s="2366">
        <v>0</v>
      </c>
      <c r="D39" s="2366">
        <v>0</v>
      </c>
      <c r="E39" s="2365">
        <v>200000</v>
      </c>
      <c r="F39" s="2296">
        <f t="shared" si="2"/>
        <v>200000</v>
      </c>
    </row>
    <row r="40" spans="1:6" s="2248" customFormat="1" ht="15.6" customHeight="1" outlineLevel="1">
      <c r="A40" s="2367" t="s">
        <v>402</v>
      </c>
      <c r="B40" s="2333" t="s">
        <v>401</v>
      </c>
      <c r="C40" s="2366">
        <v>0</v>
      </c>
      <c r="D40" s="2366">
        <v>0</v>
      </c>
      <c r="E40" s="2365">
        <v>1000000</v>
      </c>
      <c r="F40" s="2296">
        <f t="shared" si="2"/>
        <v>1000000</v>
      </c>
    </row>
    <row r="41" spans="1:6" s="2248" customFormat="1" ht="15.6" customHeight="1" outlineLevel="1">
      <c r="A41" s="2367" t="s">
        <v>1981</v>
      </c>
      <c r="B41" s="2333" t="s">
        <v>398</v>
      </c>
      <c r="C41" s="2366">
        <v>0</v>
      </c>
      <c r="D41" s="2366">
        <v>0</v>
      </c>
      <c r="E41" s="2365">
        <v>350000</v>
      </c>
      <c r="F41" s="2296">
        <f t="shared" si="2"/>
        <v>350000</v>
      </c>
    </row>
    <row r="42" spans="1:6" s="2248" customFormat="1" ht="15.6" customHeight="1" outlineLevel="1">
      <c r="A42" s="2367" t="s">
        <v>702</v>
      </c>
      <c r="B42" s="2333" t="s">
        <v>2052</v>
      </c>
      <c r="C42" s="2366">
        <v>0</v>
      </c>
      <c r="D42" s="2366">
        <v>0</v>
      </c>
      <c r="E42" s="2365">
        <v>7000000</v>
      </c>
      <c r="F42" s="2296">
        <f t="shared" si="2"/>
        <v>7000000</v>
      </c>
    </row>
    <row r="43" spans="1:6" s="2248" customFormat="1" ht="15.6" customHeight="1" outlineLevel="1">
      <c r="A43" s="2367" t="s">
        <v>1775</v>
      </c>
      <c r="B43" s="2377" t="s">
        <v>1679</v>
      </c>
      <c r="C43" s="2366">
        <v>0</v>
      </c>
      <c r="D43" s="2366">
        <v>0</v>
      </c>
      <c r="E43" s="2365">
        <v>0</v>
      </c>
      <c r="F43" s="2296">
        <f t="shared" si="2"/>
        <v>0</v>
      </c>
    </row>
    <row r="44" spans="1:6" s="2248" customFormat="1" ht="15.6" customHeight="1" outlineLevel="1">
      <c r="A44" s="2367" t="s">
        <v>2051</v>
      </c>
      <c r="B44" s="2333" t="s">
        <v>2050</v>
      </c>
      <c r="C44" s="2366">
        <v>0</v>
      </c>
      <c r="D44" s="2366">
        <v>0</v>
      </c>
      <c r="E44" s="2365">
        <v>4000000</v>
      </c>
      <c r="F44" s="2296">
        <f t="shared" si="2"/>
        <v>4000000</v>
      </c>
    </row>
    <row r="45" spans="1:6" s="2248" customFormat="1" ht="15.6" customHeight="1" outlineLevel="1">
      <c r="A45" s="2367" t="s">
        <v>2049</v>
      </c>
      <c r="B45" s="2333" t="s">
        <v>2048</v>
      </c>
      <c r="C45" s="2366">
        <v>0</v>
      </c>
      <c r="D45" s="2366">
        <v>0</v>
      </c>
      <c r="E45" s="2365">
        <v>8000000</v>
      </c>
      <c r="F45" s="2296">
        <f t="shared" si="2"/>
        <v>8000000</v>
      </c>
    </row>
    <row r="46" spans="1:6" s="2248" customFormat="1" ht="15.6" customHeight="1" outlineLevel="1">
      <c r="A46" s="2367" t="s">
        <v>2047</v>
      </c>
      <c r="B46" s="2333" t="s">
        <v>2046</v>
      </c>
      <c r="C46" s="2366">
        <v>0</v>
      </c>
      <c r="D46" s="2366">
        <v>0</v>
      </c>
      <c r="E46" s="2365">
        <v>1000000</v>
      </c>
      <c r="F46" s="2296">
        <f t="shared" si="2"/>
        <v>1000000</v>
      </c>
    </row>
    <row r="47" spans="1:6" s="2248" customFormat="1" ht="15.6" customHeight="1" outlineLevel="1">
      <c r="A47" s="2367" t="s">
        <v>2045</v>
      </c>
      <c r="B47" s="2333" t="s">
        <v>2044</v>
      </c>
      <c r="C47" s="2366">
        <v>0</v>
      </c>
      <c r="D47" s="2366">
        <v>0</v>
      </c>
      <c r="E47" s="2365">
        <v>50000</v>
      </c>
      <c r="F47" s="2296">
        <f t="shared" si="2"/>
        <v>50000</v>
      </c>
    </row>
    <row r="48" spans="1:6" s="2248" customFormat="1" ht="15.6" customHeight="1" outlineLevel="1">
      <c r="A48" s="2367" t="s">
        <v>2043</v>
      </c>
      <c r="B48" s="2333" t="s">
        <v>2039</v>
      </c>
      <c r="C48" s="2366">
        <v>0</v>
      </c>
      <c r="D48" s="2366">
        <v>0</v>
      </c>
      <c r="E48" s="2365">
        <v>100000</v>
      </c>
      <c r="F48" s="2296">
        <f t="shared" si="2"/>
        <v>100000</v>
      </c>
    </row>
    <row r="49" spans="1:6" s="2248" customFormat="1" ht="15.6" customHeight="1" outlineLevel="1">
      <c r="A49" s="2367" t="s">
        <v>2042</v>
      </c>
      <c r="B49" s="2333"/>
      <c r="C49" s="2366"/>
      <c r="D49" s="2366"/>
      <c r="E49" s="2365"/>
      <c r="F49" s="2296"/>
    </row>
    <row r="50" spans="1:6" s="2248" customFormat="1" ht="15.6" customHeight="1" outlineLevel="1" thickBot="1">
      <c r="A50" s="2376" t="s">
        <v>2041</v>
      </c>
      <c r="B50" s="2375" t="s">
        <v>2039</v>
      </c>
      <c r="C50" s="2374">
        <v>0</v>
      </c>
      <c r="D50" s="2374">
        <v>0</v>
      </c>
      <c r="E50" s="2373">
        <v>10000</v>
      </c>
      <c r="F50" s="2293">
        <f>SUM(C50:E50)</f>
        <v>10000</v>
      </c>
    </row>
    <row r="51" spans="1:6" s="2288" customFormat="1" ht="15.6" customHeight="1" outlineLevel="1">
      <c r="A51" s="2372"/>
      <c r="B51" s="2371"/>
      <c r="C51" s="2370"/>
      <c r="D51" s="2370"/>
      <c r="E51" s="2369"/>
      <c r="F51" s="2368"/>
    </row>
    <row r="52" spans="1:6" s="2288" customFormat="1" ht="15.6" customHeight="1" outlineLevel="1">
      <c r="A52" s="2372"/>
      <c r="B52" s="2371"/>
      <c r="C52" s="2370"/>
      <c r="D52" s="2370"/>
      <c r="E52" s="2369"/>
      <c r="F52" s="2368"/>
    </row>
    <row r="53" spans="1:6" s="2288" customFormat="1" ht="15.6" customHeight="1" outlineLevel="1">
      <c r="A53" s="2372"/>
      <c r="B53" s="2371"/>
      <c r="C53" s="2370"/>
      <c r="D53" s="2370"/>
      <c r="E53" s="2369"/>
      <c r="F53" s="2368"/>
    </row>
    <row r="54" spans="1:6" s="2288" customFormat="1" ht="15.6" customHeight="1" outlineLevel="1">
      <c r="A54" s="2372"/>
      <c r="B54" s="2371"/>
      <c r="C54" s="2370"/>
      <c r="D54" s="2370"/>
      <c r="E54" s="2369"/>
      <c r="F54" s="2368"/>
    </row>
    <row r="55" spans="1:6" s="2288" customFormat="1" ht="15.6" customHeight="1" outlineLevel="1" thickBot="1">
      <c r="A55" s="2372"/>
      <c r="B55" s="2371"/>
      <c r="C55" s="2370"/>
      <c r="D55" s="2370"/>
      <c r="E55" s="2369"/>
      <c r="F55" s="2368"/>
    </row>
    <row r="56" spans="1:6" s="2248" customFormat="1" ht="14.25" customHeight="1">
      <c r="A56" s="4835" t="s">
        <v>1827</v>
      </c>
      <c r="B56" s="4821" t="s">
        <v>1826</v>
      </c>
      <c r="C56" s="4808" t="s">
        <v>1825</v>
      </c>
      <c r="D56" s="4808" t="s">
        <v>1824</v>
      </c>
      <c r="E56" s="4808" t="s">
        <v>1823</v>
      </c>
      <c r="F56" s="4808" t="s">
        <v>244</v>
      </c>
    </row>
    <row r="57" spans="1:6" s="2248" customFormat="1" ht="23.25" customHeight="1" thickBot="1">
      <c r="A57" s="4836"/>
      <c r="B57" s="4826"/>
      <c r="C57" s="4809"/>
      <c r="D57" s="4809"/>
      <c r="E57" s="4809"/>
      <c r="F57" s="4809"/>
    </row>
    <row r="58" spans="1:6" s="2248" customFormat="1" ht="15.6" customHeight="1" outlineLevel="1">
      <c r="A58" s="2367" t="s">
        <v>1976</v>
      </c>
      <c r="B58" s="2333"/>
      <c r="C58" s="2366"/>
      <c r="D58" s="2366"/>
      <c r="E58" s="2365"/>
      <c r="F58" s="2296"/>
    </row>
    <row r="59" spans="1:6" s="2248" customFormat="1" ht="15.6" customHeight="1" outlineLevel="1">
      <c r="A59" s="2367" t="s">
        <v>2040</v>
      </c>
      <c r="B59" s="2333" t="s">
        <v>2039</v>
      </c>
      <c r="C59" s="2366">
        <v>0</v>
      </c>
      <c r="D59" s="2366">
        <v>0</v>
      </c>
      <c r="E59" s="2365">
        <v>10000</v>
      </c>
      <c r="F59" s="2296">
        <f t="shared" ref="F59:F70" si="3">SUM(C59:E59)</f>
        <v>10000</v>
      </c>
    </row>
    <row r="60" spans="1:6" s="2248" customFormat="1" ht="15.6" customHeight="1" outlineLevel="1">
      <c r="A60" s="2367" t="s">
        <v>877</v>
      </c>
      <c r="B60" s="2333" t="s">
        <v>396</v>
      </c>
      <c r="C60" s="2366">
        <v>0</v>
      </c>
      <c r="D60" s="2366">
        <v>0</v>
      </c>
      <c r="E60" s="2365">
        <v>1000000</v>
      </c>
      <c r="F60" s="2296">
        <f t="shared" si="3"/>
        <v>1000000</v>
      </c>
    </row>
    <row r="61" spans="1:6" s="2248" customFormat="1" ht="15.6" customHeight="1" outlineLevel="1">
      <c r="A61" s="2367" t="s">
        <v>701</v>
      </c>
      <c r="B61" s="2333" t="s">
        <v>394</v>
      </c>
      <c r="C61" s="2366">
        <v>0</v>
      </c>
      <c r="D61" s="2366">
        <v>0</v>
      </c>
      <c r="E61" s="2365">
        <v>700000</v>
      </c>
      <c r="F61" s="2296">
        <f t="shared" si="3"/>
        <v>700000</v>
      </c>
    </row>
    <row r="62" spans="1:6" s="2248" customFormat="1" ht="15.6" customHeight="1" outlineLevel="1">
      <c r="A62" s="2367" t="s">
        <v>673</v>
      </c>
      <c r="B62" s="2333" t="s">
        <v>1269</v>
      </c>
      <c r="C62" s="2366">
        <v>0</v>
      </c>
      <c r="D62" s="2366">
        <v>0</v>
      </c>
      <c r="E62" s="2365">
        <v>300000</v>
      </c>
      <c r="F62" s="2296">
        <f t="shared" si="3"/>
        <v>300000</v>
      </c>
    </row>
    <row r="63" spans="1:6" s="2248" customFormat="1" ht="15.6" customHeight="1" outlineLevel="1">
      <c r="A63" s="2367" t="s">
        <v>1266</v>
      </c>
      <c r="B63" s="2333" t="s">
        <v>1265</v>
      </c>
      <c r="C63" s="2366">
        <v>0</v>
      </c>
      <c r="D63" s="2366">
        <v>0</v>
      </c>
      <c r="E63" s="2365">
        <v>5500000</v>
      </c>
      <c r="F63" s="2296">
        <f t="shared" si="3"/>
        <v>5500000</v>
      </c>
    </row>
    <row r="64" spans="1:6" s="2248" customFormat="1" ht="15.6" customHeight="1" outlineLevel="1">
      <c r="A64" s="2367" t="s">
        <v>1964</v>
      </c>
      <c r="B64" s="2333" t="s">
        <v>392</v>
      </c>
      <c r="C64" s="2366">
        <v>0</v>
      </c>
      <c r="D64" s="2366">
        <v>0</v>
      </c>
      <c r="E64" s="2365">
        <v>1000</v>
      </c>
      <c r="F64" s="2296">
        <f t="shared" si="3"/>
        <v>1000</v>
      </c>
    </row>
    <row r="65" spans="1:6" s="2248" customFormat="1" ht="15.6" customHeight="1" outlineLevel="1">
      <c r="A65" s="2367" t="s">
        <v>2038</v>
      </c>
      <c r="B65" s="2333" t="s">
        <v>390</v>
      </c>
      <c r="C65" s="2366">
        <v>0</v>
      </c>
      <c r="D65" s="2366">
        <v>0</v>
      </c>
      <c r="E65" s="2365">
        <v>150000</v>
      </c>
      <c r="F65" s="2296">
        <f t="shared" si="3"/>
        <v>150000</v>
      </c>
    </row>
    <row r="66" spans="1:6" s="2248" customFormat="1" ht="15.6" customHeight="1" outlineLevel="1">
      <c r="A66" s="2367" t="s">
        <v>1264</v>
      </c>
      <c r="B66" s="2333" t="s">
        <v>1263</v>
      </c>
      <c r="C66" s="2366">
        <v>0</v>
      </c>
      <c r="D66" s="2366">
        <v>0</v>
      </c>
      <c r="E66" s="2365">
        <v>500000</v>
      </c>
      <c r="F66" s="2296">
        <f t="shared" si="3"/>
        <v>500000</v>
      </c>
    </row>
    <row r="67" spans="1:6" s="2248" customFormat="1" ht="15.6" customHeight="1" outlineLevel="1">
      <c r="A67" s="2367" t="s">
        <v>1262</v>
      </c>
      <c r="B67" s="2333" t="s">
        <v>1261</v>
      </c>
      <c r="C67" s="2366">
        <v>0</v>
      </c>
      <c r="D67" s="2366">
        <v>0</v>
      </c>
      <c r="E67" s="2365">
        <v>764400</v>
      </c>
      <c r="F67" s="2296">
        <f t="shared" si="3"/>
        <v>764400</v>
      </c>
    </row>
    <row r="68" spans="1:6" s="2248" customFormat="1" ht="15.6" customHeight="1" outlineLevel="1">
      <c r="A68" s="2367" t="s">
        <v>389</v>
      </c>
      <c r="B68" s="2333" t="s">
        <v>388</v>
      </c>
      <c r="C68" s="2366">
        <v>0</v>
      </c>
      <c r="D68" s="2366">
        <v>0</v>
      </c>
      <c r="E68" s="2365">
        <v>29312530</v>
      </c>
      <c r="F68" s="2296">
        <f t="shared" si="3"/>
        <v>29312530</v>
      </c>
    </row>
    <row r="69" spans="1:6" s="2248" customFormat="1" ht="15.6" customHeight="1" outlineLevel="1">
      <c r="A69" s="2367" t="s">
        <v>1935</v>
      </c>
      <c r="B69" s="2333" t="s">
        <v>1934</v>
      </c>
      <c r="C69" s="2366">
        <v>0</v>
      </c>
      <c r="D69" s="2366">
        <v>0</v>
      </c>
      <c r="E69" s="2365">
        <v>750000</v>
      </c>
      <c r="F69" s="2296">
        <f t="shared" si="3"/>
        <v>750000</v>
      </c>
    </row>
    <row r="70" spans="1:6" s="2248" customFormat="1" ht="15.6" customHeight="1" outlineLevel="1">
      <c r="A70" s="2367" t="s">
        <v>1922</v>
      </c>
      <c r="B70" s="2333" t="s">
        <v>380</v>
      </c>
      <c r="C70" s="2366">
        <v>0</v>
      </c>
      <c r="D70" s="2366">
        <v>0</v>
      </c>
      <c r="E70" s="2365">
        <v>100000</v>
      </c>
      <c r="F70" s="2296">
        <f t="shared" si="3"/>
        <v>100000</v>
      </c>
    </row>
    <row r="71" spans="1:6" s="2248" customFormat="1" ht="15.6" customHeight="1" outlineLevel="1">
      <c r="A71" s="2367" t="s">
        <v>873</v>
      </c>
      <c r="B71" s="2333"/>
      <c r="C71" s="2366"/>
      <c r="D71" s="2366"/>
      <c r="E71" s="2365"/>
      <c r="F71" s="2296"/>
    </row>
    <row r="72" spans="1:6" s="2248" customFormat="1" ht="15.6" customHeight="1" outlineLevel="1">
      <c r="A72" s="2367" t="s">
        <v>2037</v>
      </c>
      <c r="B72" s="2333" t="s">
        <v>1245</v>
      </c>
      <c r="C72" s="2366">
        <v>0</v>
      </c>
      <c r="D72" s="2366">
        <v>0</v>
      </c>
      <c r="E72" s="2365">
        <v>1000</v>
      </c>
      <c r="F72" s="2296">
        <f>SUM(C72:E72)</f>
        <v>1000</v>
      </c>
    </row>
    <row r="73" spans="1:6" s="2248" customFormat="1" ht="15.6" customHeight="1" outlineLevel="1">
      <c r="A73" s="2367" t="s">
        <v>873</v>
      </c>
      <c r="B73" s="2333"/>
      <c r="C73" s="2366"/>
      <c r="D73" s="2366"/>
      <c r="E73" s="2365"/>
      <c r="F73" s="2296"/>
    </row>
    <row r="74" spans="1:6" s="2248" customFormat="1" ht="15.6" customHeight="1" outlineLevel="1">
      <c r="A74" s="2367" t="s">
        <v>2036</v>
      </c>
      <c r="B74" s="2333" t="s">
        <v>1913</v>
      </c>
      <c r="C74" s="2366">
        <v>0</v>
      </c>
      <c r="D74" s="2366">
        <v>0</v>
      </c>
      <c r="E74" s="2365">
        <v>100000</v>
      </c>
      <c r="F74" s="2296">
        <f>SUM(C74:E74)</f>
        <v>100000</v>
      </c>
    </row>
    <row r="75" spans="1:6" s="2248" customFormat="1" ht="15.6" customHeight="1" outlineLevel="1">
      <c r="A75" s="2367" t="s">
        <v>2033</v>
      </c>
      <c r="B75" s="2333"/>
      <c r="C75" s="2366"/>
      <c r="D75" s="2366"/>
      <c r="E75" s="2365"/>
      <c r="F75" s="2296"/>
    </row>
    <row r="76" spans="1:6" s="2248" customFormat="1" ht="15.6" customHeight="1" outlineLevel="1">
      <c r="A76" s="2367" t="s">
        <v>2035</v>
      </c>
      <c r="B76" s="2333" t="s">
        <v>2034</v>
      </c>
      <c r="C76" s="2366">
        <v>0</v>
      </c>
      <c r="D76" s="2366">
        <v>0</v>
      </c>
      <c r="E76" s="2365">
        <v>100000</v>
      </c>
      <c r="F76" s="2296">
        <f>SUM(C76:E76)</f>
        <v>100000</v>
      </c>
    </row>
    <row r="77" spans="1:6" s="2248" customFormat="1" ht="15.6" customHeight="1" outlineLevel="1">
      <c r="A77" s="2367" t="s">
        <v>2033</v>
      </c>
      <c r="B77" s="2333"/>
      <c r="C77" s="2366"/>
      <c r="D77" s="2366"/>
      <c r="E77" s="2365"/>
      <c r="F77" s="2296"/>
    </row>
    <row r="78" spans="1:6" s="2248" customFormat="1" ht="15.6" customHeight="1" outlineLevel="1">
      <c r="A78" s="2367" t="s">
        <v>2032</v>
      </c>
      <c r="B78" s="2333" t="s">
        <v>2031</v>
      </c>
      <c r="C78" s="2366">
        <v>0</v>
      </c>
      <c r="D78" s="2366">
        <v>0</v>
      </c>
      <c r="E78" s="2365">
        <v>0</v>
      </c>
      <c r="F78" s="2296">
        <f>SUM(C78:E78)</f>
        <v>0</v>
      </c>
    </row>
    <row r="79" spans="1:6" s="2248" customFormat="1" ht="15.6" customHeight="1" outlineLevel="1">
      <c r="A79" s="2367" t="s">
        <v>1925</v>
      </c>
      <c r="B79" s="2333"/>
      <c r="C79" s="2366"/>
      <c r="D79" s="2366"/>
      <c r="E79" s="2365"/>
      <c r="F79" s="2296"/>
    </row>
    <row r="80" spans="1:6" s="2248" customFormat="1" ht="15.6" customHeight="1" outlineLevel="1">
      <c r="A80" s="2367" t="s">
        <v>2030</v>
      </c>
      <c r="B80" s="2333" t="s">
        <v>2029</v>
      </c>
      <c r="C80" s="2366">
        <v>0</v>
      </c>
      <c r="D80" s="2366">
        <v>0</v>
      </c>
      <c r="E80" s="2365">
        <v>100000</v>
      </c>
      <c r="F80" s="2296">
        <f>SUM(C80:E80)</f>
        <v>100000</v>
      </c>
    </row>
    <row r="81" spans="1:6" s="2248" customFormat="1" ht="15.6" customHeight="1" outlineLevel="1">
      <c r="A81" s="2367" t="s">
        <v>1925</v>
      </c>
      <c r="B81" s="2333"/>
      <c r="C81" s="2366"/>
      <c r="D81" s="2366"/>
      <c r="E81" s="2365"/>
      <c r="F81" s="2296"/>
    </row>
    <row r="82" spans="1:6" s="2248" customFormat="1" ht="15.6" customHeight="1" outlineLevel="1">
      <c r="A82" s="2367" t="s">
        <v>2028</v>
      </c>
      <c r="B82" s="2333" t="s">
        <v>1667</v>
      </c>
      <c r="C82" s="2366">
        <v>0</v>
      </c>
      <c r="D82" s="2366">
        <v>0</v>
      </c>
      <c r="E82" s="2365">
        <v>100000</v>
      </c>
      <c r="F82" s="2296">
        <f t="shared" ref="F82:F91" si="4">SUM(C82:E82)</f>
        <v>100000</v>
      </c>
    </row>
    <row r="83" spans="1:6" s="2248" customFormat="1" ht="15.6" customHeight="1" outlineLevel="1">
      <c r="A83" s="2367" t="s">
        <v>1911</v>
      </c>
      <c r="B83" s="2333" t="s">
        <v>376</v>
      </c>
      <c r="C83" s="2366">
        <v>0</v>
      </c>
      <c r="D83" s="2366">
        <v>0</v>
      </c>
      <c r="E83" s="2365">
        <v>1000000</v>
      </c>
      <c r="F83" s="2296">
        <f t="shared" si="4"/>
        <v>1000000</v>
      </c>
    </row>
    <row r="84" spans="1:6" s="2248" customFormat="1" ht="15.6" customHeight="1" outlineLevel="1">
      <c r="A84" s="2367" t="s">
        <v>1901</v>
      </c>
      <c r="B84" s="2333" t="s">
        <v>1900</v>
      </c>
      <c r="C84" s="2366">
        <v>0</v>
      </c>
      <c r="D84" s="2366">
        <v>0</v>
      </c>
      <c r="E84" s="2365">
        <v>200000</v>
      </c>
      <c r="F84" s="2296">
        <f t="shared" si="4"/>
        <v>200000</v>
      </c>
    </row>
    <row r="85" spans="1:6" s="2248" customFormat="1" ht="15.6" customHeight="1" outlineLevel="1">
      <c r="A85" s="2367" t="s">
        <v>1243</v>
      </c>
      <c r="B85" s="2333" t="s">
        <v>1242</v>
      </c>
      <c r="C85" s="2366">
        <v>0</v>
      </c>
      <c r="D85" s="2366">
        <v>0</v>
      </c>
      <c r="E85" s="2365">
        <v>75000</v>
      </c>
      <c r="F85" s="2296">
        <f t="shared" si="4"/>
        <v>75000</v>
      </c>
    </row>
    <row r="86" spans="1:6" s="2248" customFormat="1" ht="15.6" customHeight="1" outlineLevel="1">
      <c r="A86" s="2367" t="s">
        <v>370</v>
      </c>
      <c r="B86" s="2333" t="s">
        <v>369</v>
      </c>
      <c r="C86" s="2366">
        <v>0</v>
      </c>
      <c r="D86" s="2366">
        <v>0</v>
      </c>
      <c r="E86" s="2365">
        <v>5000</v>
      </c>
      <c r="F86" s="2296">
        <f t="shared" si="4"/>
        <v>5000</v>
      </c>
    </row>
    <row r="87" spans="1:6" s="2248" customFormat="1" ht="15.6" customHeight="1" outlineLevel="1">
      <c r="A87" s="2367" t="s">
        <v>368</v>
      </c>
      <c r="B87" s="2333" t="s">
        <v>367</v>
      </c>
      <c r="C87" s="2366">
        <v>0</v>
      </c>
      <c r="D87" s="2366">
        <v>0</v>
      </c>
      <c r="E87" s="2365">
        <v>795000</v>
      </c>
      <c r="F87" s="2296">
        <f t="shared" si="4"/>
        <v>795000</v>
      </c>
    </row>
    <row r="88" spans="1:6" s="2248" customFormat="1" ht="15.6" customHeight="1" outlineLevel="1">
      <c r="A88" s="2367" t="s">
        <v>2027</v>
      </c>
      <c r="B88" s="2333" t="s">
        <v>2026</v>
      </c>
      <c r="C88" s="2366">
        <v>0</v>
      </c>
      <c r="D88" s="2366">
        <v>0</v>
      </c>
      <c r="E88" s="2365">
        <v>200000</v>
      </c>
      <c r="F88" s="2296">
        <f t="shared" si="4"/>
        <v>200000</v>
      </c>
    </row>
    <row r="89" spans="1:6" s="2248" customFormat="1" ht="15.6" customHeight="1" outlineLevel="1">
      <c r="A89" s="2367" t="s">
        <v>2025</v>
      </c>
      <c r="B89" s="2333" t="s">
        <v>2024</v>
      </c>
      <c r="C89" s="2366">
        <v>0</v>
      </c>
      <c r="D89" s="2366">
        <v>0</v>
      </c>
      <c r="E89" s="2365">
        <v>1150000</v>
      </c>
      <c r="F89" s="2296">
        <f t="shared" si="4"/>
        <v>1150000</v>
      </c>
    </row>
    <row r="90" spans="1:6" s="2248" customFormat="1" ht="15.6" customHeight="1" outlineLevel="1">
      <c r="A90" s="2367" t="s">
        <v>2023</v>
      </c>
      <c r="B90" s="2333" t="s">
        <v>2022</v>
      </c>
      <c r="C90" s="2366">
        <v>0</v>
      </c>
      <c r="D90" s="2366">
        <v>0</v>
      </c>
      <c r="E90" s="2365">
        <v>450000</v>
      </c>
      <c r="F90" s="2296">
        <f t="shared" si="4"/>
        <v>450000</v>
      </c>
    </row>
    <row r="91" spans="1:6" s="2248" customFormat="1" ht="15.6" customHeight="1" outlineLevel="1">
      <c r="A91" s="2364" t="s">
        <v>2021</v>
      </c>
      <c r="B91" s="2363" t="s">
        <v>2020</v>
      </c>
      <c r="C91" s="2362">
        <v>0</v>
      </c>
      <c r="D91" s="2362">
        <v>0</v>
      </c>
      <c r="E91" s="2361">
        <v>1000000</v>
      </c>
      <c r="F91" s="2360">
        <f t="shared" si="4"/>
        <v>1000000</v>
      </c>
    </row>
    <row r="92" spans="1:6" s="2255" customFormat="1" ht="15.6" customHeight="1" outlineLevel="1">
      <c r="A92" s="2359" t="s">
        <v>1241</v>
      </c>
      <c r="B92" s="2358"/>
      <c r="C92" s="2357">
        <f>SUM(C93:C93)</f>
        <v>0</v>
      </c>
      <c r="D92" s="2357">
        <f>SUM(D93:D93)</f>
        <v>0</v>
      </c>
      <c r="E92" s="2357">
        <f>SUM(E93:E93)</f>
        <v>0</v>
      </c>
      <c r="F92" s="2356">
        <f>SUM(F93:F93)</f>
        <v>0</v>
      </c>
    </row>
    <row r="93" spans="1:6" s="2255" customFormat="1" ht="15.75" customHeight="1" outlineLevel="1" thickBot="1">
      <c r="A93" s="2355" t="s">
        <v>1791</v>
      </c>
      <c r="B93" s="2354"/>
      <c r="C93" s="2353">
        <v>0</v>
      </c>
      <c r="D93" s="2353">
        <v>0</v>
      </c>
      <c r="E93" s="2352">
        <v>0</v>
      </c>
      <c r="F93" s="2351">
        <f>SUM(C93:E93)</f>
        <v>0</v>
      </c>
    </row>
    <row r="94" spans="1:6" s="2255" customFormat="1" ht="15" customHeight="1" outlineLevel="2" thickBot="1">
      <c r="A94" s="2350" t="s">
        <v>366</v>
      </c>
      <c r="B94" s="2258"/>
      <c r="C94" s="1420">
        <f>SUM(C7+C36+C92)</f>
        <v>0</v>
      </c>
      <c r="D94" s="1420">
        <f>SUM(D7+D36+D92)</f>
        <v>0</v>
      </c>
      <c r="E94" s="1420">
        <f>SUM(E7+E36+E92)</f>
        <v>188947200</v>
      </c>
      <c r="F94" s="2257">
        <f>SUM(F7+F36+F92)</f>
        <v>188947200</v>
      </c>
    </row>
    <row r="95" spans="1:6" s="2255" customFormat="1" ht="15" customHeight="1" outlineLevel="2" thickTop="1">
      <c r="A95" s="2349"/>
      <c r="B95" s="2348"/>
      <c r="C95" s="1411"/>
      <c r="D95" s="1413"/>
      <c r="E95" s="1413"/>
      <c r="F95" s="2347"/>
    </row>
    <row r="96" spans="1:6" s="2248" customFormat="1" ht="15" customHeight="1">
      <c r="A96" s="2251" t="s">
        <v>2019</v>
      </c>
      <c r="B96" s="2250"/>
      <c r="C96" s="2253"/>
      <c r="D96" s="2252"/>
      <c r="E96" s="1437" t="s">
        <v>2018</v>
      </c>
      <c r="F96" s="2249"/>
    </row>
    <row r="97" spans="1:6" s="2248" customFormat="1" ht="26.45" customHeight="1">
      <c r="A97" s="2254"/>
      <c r="B97" s="2250"/>
      <c r="C97" s="1437"/>
      <c r="D97" s="1437"/>
      <c r="E97" s="1437"/>
      <c r="F97" s="2249"/>
    </row>
    <row r="98" spans="1:6" s="1422" customFormat="1" ht="12.6" customHeight="1">
      <c r="A98" s="2247" t="s">
        <v>2017</v>
      </c>
      <c r="B98" s="4834" t="s">
        <v>787</v>
      </c>
      <c r="C98" s="4834"/>
      <c r="D98" s="4834"/>
      <c r="E98" s="4828" t="s">
        <v>359</v>
      </c>
      <c r="F98" s="4829"/>
    </row>
    <row r="99" spans="1:6" s="2241" customFormat="1" ht="11.45" customHeight="1">
      <c r="A99" s="2246" t="s">
        <v>2016</v>
      </c>
      <c r="B99" s="4833" t="s">
        <v>2015</v>
      </c>
      <c r="C99" s="4833"/>
      <c r="D99" s="4833"/>
      <c r="E99" s="4831" t="s">
        <v>356</v>
      </c>
      <c r="F99" s="4832"/>
    </row>
    <row r="100" spans="1:6" s="2241" customFormat="1" ht="12.75">
      <c r="A100" s="2245"/>
      <c r="B100" s="2244"/>
      <c r="C100" s="2244"/>
      <c r="D100" s="2244"/>
      <c r="E100" s="2243"/>
      <c r="F100" s="2242"/>
    </row>
    <row r="101" spans="1:6" s="1404" customFormat="1" ht="14.25" thickBot="1">
      <c r="A101" s="2240"/>
      <c r="B101" s="2239"/>
      <c r="C101" s="2238"/>
      <c r="D101" s="2238"/>
      <c r="E101" s="2238"/>
      <c r="F101" s="2237"/>
    </row>
    <row r="102" spans="1:6" s="1404" customFormat="1" ht="13.5">
      <c r="A102" s="2236"/>
      <c r="B102" s="2235"/>
      <c r="C102" s="1406"/>
      <c r="D102" s="1406"/>
      <c r="E102" s="1406"/>
      <c r="F102" s="1406"/>
    </row>
    <row r="103" spans="1:6" s="2234" customFormat="1" ht="12" customHeight="1">
      <c r="B103" s="2233"/>
    </row>
    <row r="104" spans="1:6" s="2234" customFormat="1" ht="12" customHeight="1">
      <c r="B104" s="2233"/>
    </row>
    <row r="105" spans="1:6" s="2234" customFormat="1" ht="12" customHeight="1">
      <c r="B105" s="2233"/>
    </row>
    <row r="106" spans="1:6" s="2234" customFormat="1" ht="12" customHeight="1">
      <c r="B106" s="2233"/>
    </row>
    <row r="107" spans="1:6" s="2234" customFormat="1" ht="12" customHeight="1">
      <c r="B107" s="2233"/>
    </row>
  </sheetData>
  <mergeCells count="19">
    <mergeCell ref="A56:A57"/>
    <mergeCell ref="B56:B57"/>
    <mergeCell ref="C56:C57"/>
    <mergeCell ref="D56:D57"/>
    <mergeCell ref="A1:F1"/>
    <mergeCell ref="A2:F2"/>
    <mergeCell ref="A3:F3"/>
    <mergeCell ref="A4:A5"/>
    <mergeCell ref="B4:B5"/>
    <mergeCell ref="C4:C5"/>
    <mergeCell ref="B99:D99"/>
    <mergeCell ref="E99:F99"/>
    <mergeCell ref="F56:F57"/>
    <mergeCell ref="D4:D5"/>
    <mergeCell ref="E4:E5"/>
    <mergeCell ref="F4:F5"/>
    <mergeCell ref="E56:E57"/>
    <mergeCell ref="B98:D98"/>
    <mergeCell ref="E98:F98"/>
  </mergeCells>
  <pageMargins left="0.5" right="0" top="1" bottom="1" header="0.5" footer="1"/>
  <pageSetup paperSize="5" orientation="portrait" verticalDpi="300" r:id="rId1"/>
  <headerFooter>
    <oddHeader>&amp;L&amp;"Arial,Italic"&amp;9Local Budget Preparation Form No. 7
Page &amp;P of &amp;N</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outlinePr summaryBelow="0"/>
  </sheetPr>
  <dimension ref="A1:DS75"/>
  <sheetViews>
    <sheetView showGridLines="0" showOutlineSymbols="0" topLeftCell="A58" zoomScale="130" zoomScaleNormal="130" workbookViewId="0">
      <selection activeCell="F64" sqref="F64"/>
    </sheetView>
  </sheetViews>
  <sheetFormatPr defaultColWidth="12.5703125" defaultRowHeight="15.75" outlineLevelRow="2" outlineLevelCol="2"/>
  <cols>
    <col min="1" max="1" width="38.28515625" style="1390" customWidth="1"/>
    <col min="2" max="2" width="11.42578125" style="2233" customWidth="1"/>
    <col min="3" max="6" width="11.7109375" style="1390" customWidth="1"/>
    <col min="7" max="22" width="12.5703125" style="1390"/>
    <col min="23" max="27" width="12.5703125" style="1390" outlineLevel="1"/>
    <col min="28" max="33" width="12.5703125" style="1390" outlineLevel="2"/>
    <col min="34" max="36" width="12.5703125" style="1390" outlineLevel="1"/>
    <col min="37" max="56" width="12.5703125" style="1390"/>
    <col min="57" max="60" width="12.5703125" style="1390" outlineLevel="1"/>
    <col min="61" max="108" width="12.5703125" style="1390"/>
    <col min="109" max="114" width="12.5703125" style="1390" outlineLevel="1"/>
    <col min="115" max="120" width="12.5703125" style="1390" outlineLevel="2"/>
    <col min="121" max="123" width="12.5703125" style="1390" outlineLevel="1"/>
    <col min="124" max="16384" width="12.5703125" style="1390"/>
  </cols>
  <sheetData>
    <row r="1" spans="1:6" ht="17.25" customHeight="1">
      <c r="A1" s="4810" t="s">
        <v>2014</v>
      </c>
      <c r="B1" s="4811"/>
      <c r="C1" s="4811"/>
      <c r="D1" s="4811"/>
      <c r="E1" s="4811"/>
      <c r="F1" s="4812"/>
    </row>
    <row r="2" spans="1:6" ht="12" customHeight="1">
      <c r="A2" s="4813" t="s">
        <v>2013</v>
      </c>
      <c r="B2" s="4814"/>
      <c r="C2" s="4814"/>
      <c r="D2" s="4814"/>
      <c r="E2" s="4814"/>
      <c r="F2" s="4815"/>
    </row>
    <row r="3" spans="1:6" ht="14.25" customHeight="1" thickBot="1">
      <c r="A3" s="4816" t="s">
        <v>1228</v>
      </c>
      <c r="B3" s="4817"/>
      <c r="C3" s="4817"/>
      <c r="D3" s="4817"/>
      <c r="E3" s="4817"/>
      <c r="F3" s="4818"/>
    </row>
    <row r="4" spans="1:6" s="2248" customFormat="1" ht="14.25" customHeight="1">
      <c r="A4" s="4847" t="s">
        <v>1827</v>
      </c>
      <c r="B4" s="4849" t="s">
        <v>1826</v>
      </c>
      <c r="C4" s="4840" t="s">
        <v>1825</v>
      </c>
      <c r="D4" s="4840" t="s">
        <v>1824</v>
      </c>
      <c r="E4" s="4840" t="s">
        <v>1823</v>
      </c>
      <c r="F4" s="4842" t="s">
        <v>244</v>
      </c>
    </row>
    <row r="5" spans="1:6" s="2248" customFormat="1" ht="13.5" customHeight="1">
      <c r="A5" s="4848"/>
      <c r="B5" s="4850"/>
      <c r="C5" s="4841"/>
      <c r="D5" s="4841"/>
      <c r="E5" s="4841"/>
      <c r="F5" s="4843"/>
    </row>
    <row r="6" spans="1:6" s="2233" customFormat="1" ht="13.5" customHeight="1">
      <c r="A6" s="2428" t="s">
        <v>2011</v>
      </c>
      <c r="B6" s="2427"/>
      <c r="C6" s="2427"/>
      <c r="D6" s="2427"/>
      <c r="E6" s="2426"/>
      <c r="F6" s="2425"/>
    </row>
    <row r="7" spans="1:6" s="2419" customFormat="1" ht="12.2" customHeight="1">
      <c r="A7" s="2424" t="s">
        <v>2010</v>
      </c>
      <c r="B7" s="2423"/>
      <c r="C7" s="2422">
        <f>SUM(C9:C29)</f>
        <v>0</v>
      </c>
      <c r="D7" s="2422">
        <f>SUM(D9:D29)</f>
        <v>0</v>
      </c>
      <c r="E7" s="2422">
        <f>SUM(E9:E29)</f>
        <v>24362431</v>
      </c>
      <c r="F7" s="2420">
        <f>SUM(F9:F29)</f>
        <v>24362431</v>
      </c>
    </row>
    <row r="8" spans="1:6" s="2419" customFormat="1" ht="12.2" customHeight="1">
      <c r="A8" s="2335" t="s">
        <v>454</v>
      </c>
      <c r="B8" s="2423"/>
      <c r="C8" s="2422"/>
      <c r="D8" s="2422"/>
      <c r="E8" s="2421"/>
      <c r="F8" s="2420"/>
    </row>
    <row r="9" spans="1:6" ht="12.2" customHeight="1" outlineLevel="1">
      <c r="A9" s="2411" t="s">
        <v>2009</v>
      </c>
      <c r="B9" s="2297" t="s">
        <v>453</v>
      </c>
      <c r="C9" s="2410">
        <v>0</v>
      </c>
      <c r="D9" s="2410">
        <v>0</v>
      </c>
      <c r="E9" s="2266">
        <v>14323632</v>
      </c>
      <c r="F9" s="2409">
        <f>SUM(C9:E9)</f>
        <v>14323632</v>
      </c>
    </row>
    <row r="10" spans="1:6" ht="12.2" customHeight="1" outlineLevel="1">
      <c r="A10" s="2335" t="s">
        <v>452</v>
      </c>
      <c r="B10" s="2297"/>
      <c r="C10" s="2410"/>
      <c r="D10" s="2410"/>
      <c r="E10" s="2266"/>
      <c r="F10" s="2409"/>
    </row>
    <row r="11" spans="1:6" ht="12.2" customHeight="1" outlineLevel="1">
      <c r="A11" s="2411" t="s">
        <v>1507</v>
      </c>
      <c r="B11" s="2297" t="s">
        <v>450</v>
      </c>
      <c r="C11" s="2410">
        <v>0</v>
      </c>
      <c r="D11" s="2410">
        <v>0</v>
      </c>
      <c r="E11" s="2266">
        <v>1464000</v>
      </c>
      <c r="F11" s="2409">
        <f t="shared" ref="F11:F18" si="0">SUM(C11:E11)</f>
        <v>1464000</v>
      </c>
    </row>
    <row r="12" spans="1:6" ht="12.2" customHeight="1" outlineLevel="1">
      <c r="A12" s="2411" t="s">
        <v>449</v>
      </c>
      <c r="B12" s="2297" t="s">
        <v>448</v>
      </c>
      <c r="C12" s="2410">
        <v>0</v>
      </c>
      <c r="D12" s="2410">
        <v>0</v>
      </c>
      <c r="E12" s="2266">
        <v>142500</v>
      </c>
      <c r="F12" s="2409">
        <f t="shared" si="0"/>
        <v>142500</v>
      </c>
    </row>
    <row r="13" spans="1:6" ht="12.2" customHeight="1" outlineLevel="1">
      <c r="A13" s="2411" t="s">
        <v>447</v>
      </c>
      <c r="B13" s="2297" t="s">
        <v>446</v>
      </c>
      <c r="C13" s="2410">
        <v>0</v>
      </c>
      <c r="D13" s="2410">
        <v>0</v>
      </c>
      <c r="E13" s="2266">
        <v>142500</v>
      </c>
      <c r="F13" s="2409">
        <f t="shared" si="0"/>
        <v>142500</v>
      </c>
    </row>
    <row r="14" spans="1:6" ht="12.2" customHeight="1" outlineLevel="1">
      <c r="A14" s="2411" t="s">
        <v>445</v>
      </c>
      <c r="B14" s="2297" t="s">
        <v>444</v>
      </c>
      <c r="C14" s="2410">
        <v>0</v>
      </c>
      <c r="D14" s="2410">
        <v>0</v>
      </c>
      <c r="E14" s="2266">
        <v>366000</v>
      </c>
      <c r="F14" s="2409">
        <f t="shared" si="0"/>
        <v>366000</v>
      </c>
    </row>
    <row r="15" spans="1:6" ht="12.2" customHeight="1" outlineLevel="1">
      <c r="A15" s="2411" t="s">
        <v>1692</v>
      </c>
      <c r="B15" s="2297" t="s">
        <v>440</v>
      </c>
      <c r="C15" s="2410">
        <v>0</v>
      </c>
      <c r="D15" s="2410">
        <v>0</v>
      </c>
      <c r="E15" s="2266">
        <v>500000</v>
      </c>
      <c r="F15" s="2409">
        <f t="shared" si="0"/>
        <v>500000</v>
      </c>
    </row>
    <row r="16" spans="1:6" ht="12.2" customHeight="1" outlineLevel="1">
      <c r="A16" s="2411" t="s">
        <v>1998</v>
      </c>
      <c r="B16" s="2297" t="s">
        <v>439</v>
      </c>
      <c r="C16" s="2410">
        <v>0</v>
      </c>
      <c r="D16" s="2410">
        <v>0</v>
      </c>
      <c r="E16" s="2266">
        <v>1193636</v>
      </c>
      <c r="F16" s="2409">
        <f t="shared" si="0"/>
        <v>1193636</v>
      </c>
    </row>
    <row r="17" spans="1:6" ht="12.2" customHeight="1" outlineLevel="1">
      <c r="A17" s="2411" t="s">
        <v>438</v>
      </c>
      <c r="B17" s="2297" t="s">
        <v>437</v>
      </c>
      <c r="C17" s="2410">
        <v>0</v>
      </c>
      <c r="D17" s="2410">
        <v>0</v>
      </c>
      <c r="E17" s="2266">
        <v>305000</v>
      </c>
      <c r="F17" s="2409">
        <f t="shared" si="0"/>
        <v>305000</v>
      </c>
    </row>
    <row r="18" spans="1:6" ht="12.2" customHeight="1" outlineLevel="1">
      <c r="A18" s="2411" t="s">
        <v>2072</v>
      </c>
      <c r="B18" s="2297" t="s">
        <v>435</v>
      </c>
      <c r="C18" s="2410">
        <v>0</v>
      </c>
      <c r="D18" s="2410">
        <v>0</v>
      </c>
      <c r="E18" s="2266">
        <v>1193636</v>
      </c>
      <c r="F18" s="2409">
        <f t="shared" si="0"/>
        <v>1193636</v>
      </c>
    </row>
    <row r="19" spans="1:6" ht="12.2" customHeight="1" outlineLevel="1">
      <c r="A19" s="2335" t="s">
        <v>1997</v>
      </c>
      <c r="B19" s="2297"/>
      <c r="C19" s="2410"/>
      <c r="D19" s="2410"/>
      <c r="E19" s="2266"/>
      <c r="F19" s="2409"/>
    </row>
    <row r="20" spans="1:6" ht="12.2" customHeight="1" outlineLevel="1">
      <c r="A20" s="2411" t="s">
        <v>421</v>
      </c>
      <c r="B20" s="2297" t="s">
        <v>433</v>
      </c>
      <c r="C20" s="2410">
        <v>0</v>
      </c>
      <c r="D20" s="2410">
        <v>0</v>
      </c>
      <c r="E20" s="2266">
        <v>1718836</v>
      </c>
      <c r="F20" s="2409">
        <f>SUM(C20:E20)</f>
        <v>1718836</v>
      </c>
    </row>
    <row r="21" spans="1:6" ht="12.2" customHeight="1" outlineLevel="1">
      <c r="A21" s="2411" t="s">
        <v>432</v>
      </c>
      <c r="B21" s="2297" t="s">
        <v>431</v>
      </c>
      <c r="C21" s="2410">
        <v>0</v>
      </c>
      <c r="D21" s="2410">
        <v>0</v>
      </c>
      <c r="E21" s="2266">
        <v>73200</v>
      </c>
      <c r="F21" s="2409">
        <f>SUM(C21:E21)</f>
        <v>73200</v>
      </c>
    </row>
    <row r="22" spans="1:6" ht="12.2" customHeight="1" outlineLevel="1">
      <c r="A22" s="2411" t="s">
        <v>418</v>
      </c>
      <c r="B22" s="2297" t="s">
        <v>430</v>
      </c>
      <c r="C22" s="2410">
        <v>0</v>
      </c>
      <c r="D22" s="2410">
        <v>0</v>
      </c>
      <c r="E22" s="2266">
        <v>282005</v>
      </c>
      <c r="F22" s="2409">
        <f>SUM(C22:E22)</f>
        <v>282005</v>
      </c>
    </row>
    <row r="23" spans="1:6" ht="12.2" customHeight="1" outlineLevel="1">
      <c r="A23" s="2411" t="s">
        <v>428</v>
      </c>
      <c r="B23" s="2297" t="s">
        <v>427</v>
      </c>
      <c r="C23" s="2410">
        <v>0</v>
      </c>
      <c r="D23" s="2410">
        <v>0</v>
      </c>
      <c r="E23" s="2266">
        <v>73200</v>
      </c>
      <c r="F23" s="2409">
        <f>SUM(C23:E23)</f>
        <v>73200</v>
      </c>
    </row>
    <row r="24" spans="1:6" ht="12.2" customHeight="1" outlineLevel="1">
      <c r="A24" s="2335" t="s">
        <v>420</v>
      </c>
      <c r="B24" s="2297"/>
      <c r="C24" s="2410"/>
      <c r="D24" s="2410"/>
      <c r="E24" s="2266"/>
      <c r="F24" s="2409"/>
    </row>
    <row r="25" spans="1:6" ht="12.2" customHeight="1" outlineLevel="1">
      <c r="A25" s="2411" t="s">
        <v>423</v>
      </c>
      <c r="B25" s="2297" t="s">
        <v>422</v>
      </c>
      <c r="C25" s="2410">
        <v>0</v>
      </c>
      <c r="D25" s="2410">
        <v>0</v>
      </c>
      <c r="E25" s="2266">
        <v>377110</v>
      </c>
      <c r="F25" s="2409">
        <f>SUM(C25:E25)</f>
        <v>377110</v>
      </c>
    </row>
    <row r="26" spans="1:6" ht="12.2" customHeight="1" outlineLevel="1">
      <c r="A26" s="2411" t="s">
        <v>420</v>
      </c>
      <c r="B26" s="2297" t="s">
        <v>1996</v>
      </c>
      <c r="C26" s="2410">
        <v>0</v>
      </c>
      <c r="D26" s="2410">
        <v>0</v>
      </c>
      <c r="E26" s="2266">
        <v>1871176</v>
      </c>
      <c r="F26" s="2409">
        <f>SUM(C26:E26)</f>
        <v>1871176</v>
      </c>
    </row>
    <row r="27" spans="1:6" ht="12.2" customHeight="1" outlineLevel="1">
      <c r="A27" s="2411" t="s">
        <v>1993</v>
      </c>
      <c r="B27" s="2297" t="s">
        <v>416</v>
      </c>
      <c r="C27" s="2410">
        <v>0</v>
      </c>
      <c r="D27" s="2410">
        <v>0</v>
      </c>
      <c r="E27" s="2266">
        <v>30000</v>
      </c>
      <c r="F27" s="2409">
        <f>SUM(C27:E27)</f>
        <v>30000</v>
      </c>
    </row>
    <row r="28" spans="1:6" ht="12.2" customHeight="1" outlineLevel="1">
      <c r="A28" s="2411" t="s">
        <v>1992</v>
      </c>
      <c r="B28" s="2297" t="s">
        <v>413</v>
      </c>
      <c r="C28" s="2410">
        <v>0</v>
      </c>
      <c r="D28" s="2410">
        <v>0</v>
      </c>
      <c r="E28" s="2266">
        <v>1000</v>
      </c>
      <c r="F28" s="2409">
        <f>SUM(C28:E28)</f>
        <v>1000</v>
      </c>
    </row>
    <row r="29" spans="1:6" ht="12.2" customHeight="1" outlineLevel="1">
      <c r="A29" s="2411" t="s">
        <v>1991</v>
      </c>
      <c r="B29" s="2297" t="s">
        <v>411</v>
      </c>
      <c r="C29" s="2410">
        <v>0</v>
      </c>
      <c r="D29" s="2410">
        <v>0</v>
      </c>
      <c r="E29" s="2266">
        <v>305000</v>
      </c>
      <c r="F29" s="2409">
        <f>SUM(C29:E29)</f>
        <v>305000</v>
      </c>
    </row>
    <row r="30" spans="1:6" s="2233" customFormat="1" ht="12.2" customHeight="1" outlineLevel="1">
      <c r="A30" s="2384" t="s">
        <v>1987</v>
      </c>
      <c r="B30" s="2331"/>
      <c r="C30" s="2418">
        <f>SUM(C31:C61)</f>
        <v>0</v>
      </c>
      <c r="D30" s="2418">
        <f>SUM(D31:D61)</f>
        <v>0</v>
      </c>
      <c r="E30" s="2418">
        <f>SUM(E31:E61)</f>
        <v>34023570</v>
      </c>
      <c r="F30" s="2417">
        <f>SUM(F31:F61)</f>
        <v>34023570</v>
      </c>
    </row>
    <row r="31" spans="1:6" s="2248" customFormat="1" ht="12.2" customHeight="1" outlineLevel="1">
      <c r="A31" s="2416" t="s">
        <v>646</v>
      </c>
      <c r="B31" s="2415" t="s">
        <v>405</v>
      </c>
      <c r="C31" s="2414">
        <v>0</v>
      </c>
      <c r="D31" s="2414">
        <v>0</v>
      </c>
      <c r="E31" s="2413">
        <v>90000</v>
      </c>
      <c r="F31" s="2412">
        <f t="shared" ref="F31:F48" si="1">SUM(C31:E31)</f>
        <v>90000</v>
      </c>
    </row>
    <row r="32" spans="1:6" s="2248" customFormat="1" ht="12.2" customHeight="1" outlineLevel="1">
      <c r="A32" s="2411" t="s">
        <v>704</v>
      </c>
      <c r="B32" s="2297" t="s">
        <v>403</v>
      </c>
      <c r="C32" s="2410">
        <v>0</v>
      </c>
      <c r="D32" s="2410">
        <v>0</v>
      </c>
      <c r="E32" s="2266">
        <v>125000</v>
      </c>
      <c r="F32" s="2409">
        <f t="shared" si="1"/>
        <v>125000</v>
      </c>
    </row>
    <row r="33" spans="1:6" s="2248" customFormat="1" ht="12.2" customHeight="1" outlineLevel="1">
      <c r="A33" s="2411" t="s">
        <v>402</v>
      </c>
      <c r="B33" s="2297" t="s">
        <v>401</v>
      </c>
      <c r="C33" s="2410">
        <v>0</v>
      </c>
      <c r="D33" s="2410">
        <v>0</v>
      </c>
      <c r="E33" s="2266">
        <v>220000</v>
      </c>
      <c r="F33" s="2409">
        <f t="shared" si="1"/>
        <v>220000</v>
      </c>
    </row>
    <row r="34" spans="1:6" s="2248" customFormat="1" ht="12.2" customHeight="1" outlineLevel="1">
      <c r="A34" s="2411" t="s">
        <v>1981</v>
      </c>
      <c r="B34" s="2297" t="s">
        <v>398</v>
      </c>
      <c r="C34" s="2410">
        <v>0</v>
      </c>
      <c r="D34" s="2410">
        <v>0</v>
      </c>
      <c r="E34" s="2266">
        <v>120000</v>
      </c>
      <c r="F34" s="2409">
        <f t="shared" si="1"/>
        <v>120000</v>
      </c>
    </row>
    <row r="35" spans="1:6" s="2248" customFormat="1" ht="12.2" customHeight="1" outlineLevel="1">
      <c r="A35" s="2411" t="s">
        <v>2071</v>
      </c>
      <c r="B35" s="2297" t="s">
        <v>1281</v>
      </c>
      <c r="C35" s="2410">
        <v>0</v>
      </c>
      <c r="D35" s="2410">
        <v>0</v>
      </c>
      <c r="E35" s="2266">
        <v>260000</v>
      </c>
      <c r="F35" s="2409">
        <f t="shared" si="1"/>
        <v>260000</v>
      </c>
    </row>
    <row r="36" spans="1:6" s="2248" customFormat="1" ht="12.2" customHeight="1" outlineLevel="1">
      <c r="A36" s="2411" t="s">
        <v>2070</v>
      </c>
      <c r="B36" s="2297" t="s">
        <v>1279</v>
      </c>
      <c r="C36" s="2410">
        <v>0</v>
      </c>
      <c r="D36" s="2410">
        <v>0</v>
      </c>
      <c r="E36" s="2266">
        <v>50000</v>
      </c>
      <c r="F36" s="2409">
        <f t="shared" si="1"/>
        <v>50000</v>
      </c>
    </row>
    <row r="37" spans="1:6" s="2248" customFormat="1" ht="12.2" customHeight="1" outlineLevel="1">
      <c r="A37" s="2411" t="s">
        <v>877</v>
      </c>
      <c r="B37" s="2297" t="s">
        <v>396</v>
      </c>
      <c r="C37" s="2410">
        <v>0</v>
      </c>
      <c r="D37" s="2410">
        <v>0</v>
      </c>
      <c r="E37" s="2266">
        <v>2740000</v>
      </c>
      <c r="F37" s="2409">
        <f t="shared" si="1"/>
        <v>2740000</v>
      </c>
    </row>
    <row r="38" spans="1:6" s="2248" customFormat="1" ht="12.2" customHeight="1" outlineLevel="1">
      <c r="A38" s="2411" t="s">
        <v>1973</v>
      </c>
      <c r="B38" s="2297" t="s">
        <v>1277</v>
      </c>
      <c r="C38" s="2410">
        <v>0</v>
      </c>
      <c r="D38" s="2410">
        <v>0</v>
      </c>
      <c r="E38" s="2266">
        <v>1832250</v>
      </c>
      <c r="F38" s="2409">
        <f t="shared" si="1"/>
        <v>1832250</v>
      </c>
    </row>
    <row r="39" spans="1:6" s="2248" customFormat="1" ht="12.2" customHeight="1" outlineLevel="1">
      <c r="A39" s="2411" t="s">
        <v>2069</v>
      </c>
      <c r="B39" s="2297" t="s">
        <v>1275</v>
      </c>
      <c r="C39" s="2410">
        <v>0</v>
      </c>
      <c r="D39" s="2410">
        <v>0</v>
      </c>
      <c r="E39" s="2266">
        <v>60000</v>
      </c>
      <c r="F39" s="2409">
        <f t="shared" si="1"/>
        <v>60000</v>
      </c>
    </row>
    <row r="40" spans="1:6" s="2248" customFormat="1" ht="12.2" customHeight="1" outlineLevel="1">
      <c r="A40" s="2411" t="s">
        <v>2068</v>
      </c>
      <c r="B40" s="2297" t="s">
        <v>1273</v>
      </c>
      <c r="C40" s="2410">
        <v>0</v>
      </c>
      <c r="D40" s="2410">
        <v>0</v>
      </c>
      <c r="E40" s="2266">
        <v>50000</v>
      </c>
      <c r="F40" s="2409">
        <f t="shared" si="1"/>
        <v>50000</v>
      </c>
    </row>
    <row r="41" spans="1:6" s="2248" customFormat="1" ht="12.2" customHeight="1" outlineLevel="1">
      <c r="A41" s="2411" t="s">
        <v>2067</v>
      </c>
      <c r="B41" s="2297" t="s">
        <v>1271</v>
      </c>
      <c r="C41" s="2410">
        <v>0</v>
      </c>
      <c r="D41" s="2410">
        <v>0</v>
      </c>
      <c r="E41" s="2266">
        <v>600000</v>
      </c>
      <c r="F41" s="2409">
        <f t="shared" si="1"/>
        <v>600000</v>
      </c>
    </row>
    <row r="42" spans="1:6" s="2248" customFormat="1" ht="12.2" customHeight="1" outlineLevel="1">
      <c r="A42" s="2411" t="s">
        <v>673</v>
      </c>
      <c r="B42" s="2297" t="s">
        <v>1269</v>
      </c>
      <c r="C42" s="2410">
        <v>0</v>
      </c>
      <c r="D42" s="2410">
        <v>0</v>
      </c>
      <c r="E42" s="2266">
        <v>24000</v>
      </c>
      <c r="F42" s="2409">
        <f t="shared" si="1"/>
        <v>24000</v>
      </c>
    </row>
    <row r="43" spans="1:6" s="2248" customFormat="1" ht="12.2" customHeight="1" outlineLevel="1">
      <c r="A43" s="2411" t="s">
        <v>1268</v>
      </c>
      <c r="B43" s="2297" t="s">
        <v>1267</v>
      </c>
      <c r="C43" s="2410">
        <v>0</v>
      </c>
      <c r="D43" s="2410">
        <v>0</v>
      </c>
      <c r="E43" s="2266">
        <v>4900000</v>
      </c>
      <c r="F43" s="2409">
        <f t="shared" si="1"/>
        <v>4900000</v>
      </c>
    </row>
    <row r="44" spans="1:6" s="2248" customFormat="1" ht="12.2" customHeight="1" outlineLevel="1">
      <c r="A44" s="2411" t="s">
        <v>1266</v>
      </c>
      <c r="B44" s="2297" t="s">
        <v>1265</v>
      </c>
      <c r="C44" s="2410">
        <v>0</v>
      </c>
      <c r="D44" s="2410">
        <v>0</v>
      </c>
      <c r="E44" s="2266">
        <v>11850000</v>
      </c>
      <c r="F44" s="2409">
        <f t="shared" si="1"/>
        <v>11850000</v>
      </c>
    </row>
    <row r="45" spans="1:6" s="2248" customFormat="1" ht="12.2" customHeight="1" outlineLevel="1">
      <c r="A45" s="2411" t="s">
        <v>2038</v>
      </c>
      <c r="B45" s="2297" t="s">
        <v>390</v>
      </c>
      <c r="C45" s="2410">
        <v>0</v>
      </c>
      <c r="D45" s="2410">
        <v>0</v>
      </c>
      <c r="E45" s="2266">
        <v>183000</v>
      </c>
      <c r="F45" s="2409">
        <f t="shared" si="1"/>
        <v>183000</v>
      </c>
    </row>
    <row r="46" spans="1:6" s="2248" customFormat="1" ht="12.2" customHeight="1" outlineLevel="1">
      <c r="A46" s="2411" t="s">
        <v>1264</v>
      </c>
      <c r="B46" s="2297" t="s">
        <v>1263</v>
      </c>
      <c r="C46" s="2410">
        <v>0</v>
      </c>
      <c r="D46" s="2410">
        <v>0</v>
      </c>
      <c r="E46" s="2266">
        <v>27540</v>
      </c>
      <c r="F46" s="2409">
        <f t="shared" si="1"/>
        <v>27540</v>
      </c>
    </row>
    <row r="47" spans="1:6" s="2248" customFormat="1" ht="12.2" customHeight="1" outlineLevel="1">
      <c r="A47" s="2411" t="s">
        <v>389</v>
      </c>
      <c r="B47" s="2297" t="s">
        <v>388</v>
      </c>
      <c r="C47" s="2410">
        <v>0</v>
      </c>
      <c r="D47" s="2410">
        <v>0</v>
      </c>
      <c r="E47" s="2266">
        <v>7536600</v>
      </c>
      <c r="F47" s="2409">
        <f t="shared" si="1"/>
        <v>7536600</v>
      </c>
    </row>
    <row r="48" spans="1:6" s="2248" customFormat="1" ht="12.2" customHeight="1" outlineLevel="1">
      <c r="A48" s="2411" t="s">
        <v>2066</v>
      </c>
      <c r="B48" s="2297" t="s">
        <v>1258</v>
      </c>
      <c r="C48" s="2410">
        <v>0</v>
      </c>
      <c r="D48" s="2410">
        <v>0</v>
      </c>
      <c r="E48" s="2266">
        <v>250000</v>
      </c>
      <c r="F48" s="2409">
        <f t="shared" si="1"/>
        <v>250000</v>
      </c>
    </row>
    <row r="49" spans="1:6" s="2248" customFormat="1" ht="12.2" customHeight="1" outlineLevel="1">
      <c r="A49" s="2411" t="s">
        <v>1938</v>
      </c>
      <c r="B49" s="2297"/>
      <c r="C49" s="2410"/>
      <c r="D49" s="2410"/>
      <c r="E49" s="2266"/>
      <c r="F49" s="2409"/>
    </row>
    <row r="50" spans="1:6" s="2248" customFormat="1" ht="12.2" customHeight="1" outlineLevel="1">
      <c r="A50" s="2411" t="s">
        <v>2065</v>
      </c>
      <c r="B50" s="2297" t="s">
        <v>1256</v>
      </c>
      <c r="C50" s="2410">
        <v>0</v>
      </c>
      <c r="D50" s="2410">
        <v>0</v>
      </c>
      <c r="E50" s="2266">
        <v>150000</v>
      </c>
      <c r="F50" s="2409">
        <f>SUM(C50:E50)</f>
        <v>150000</v>
      </c>
    </row>
    <row r="51" spans="1:6" s="2248" customFormat="1" ht="12.2" customHeight="1" outlineLevel="1">
      <c r="A51" s="2411" t="s">
        <v>1938</v>
      </c>
      <c r="B51" s="2297"/>
      <c r="C51" s="2410"/>
      <c r="D51" s="2410"/>
      <c r="E51" s="2266"/>
      <c r="F51" s="2409"/>
    </row>
    <row r="52" spans="1:6" s="2248" customFormat="1" ht="12.2" customHeight="1" outlineLevel="1">
      <c r="A52" s="2411" t="s">
        <v>2064</v>
      </c>
      <c r="B52" s="2297" t="s">
        <v>1254</v>
      </c>
      <c r="C52" s="2410">
        <v>0</v>
      </c>
      <c r="D52" s="2410">
        <v>0</v>
      </c>
      <c r="E52" s="2266">
        <v>1500000</v>
      </c>
      <c r="F52" s="2409">
        <f>SUM(C52:E52)</f>
        <v>1500000</v>
      </c>
    </row>
    <row r="53" spans="1:6" s="2248" customFormat="1" ht="12.2" customHeight="1" outlineLevel="1">
      <c r="A53" s="2298" t="s">
        <v>1938</v>
      </c>
      <c r="B53" s="2297"/>
      <c r="C53" s="2410"/>
      <c r="D53" s="2410"/>
      <c r="E53" s="2266"/>
      <c r="F53" s="2409"/>
    </row>
    <row r="54" spans="1:6" s="2248" customFormat="1" ht="12.2" customHeight="1" outlineLevel="1">
      <c r="A54" s="2411" t="s">
        <v>2063</v>
      </c>
      <c r="B54" s="2297" t="s">
        <v>1250</v>
      </c>
      <c r="C54" s="2410">
        <v>0</v>
      </c>
      <c r="D54" s="2410">
        <v>0</v>
      </c>
      <c r="E54" s="2266">
        <v>250000</v>
      </c>
      <c r="F54" s="2409">
        <f>SUM(C54:E54)</f>
        <v>250000</v>
      </c>
    </row>
    <row r="55" spans="1:6" s="2248" customFormat="1" ht="12.2" customHeight="1" outlineLevel="1">
      <c r="A55" s="2411" t="s">
        <v>1923</v>
      </c>
      <c r="B55" s="2297" t="s">
        <v>385</v>
      </c>
      <c r="C55" s="2410">
        <v>0</v>
      </c>
      <c r="D55" s="2410">
        <v>0</v>
      </c>
      <c r="E55" s="2266">
        <v>50000</v>
      </c>
      <c r="F55" s="2409">
        <f>SUM(C55:E55)</f>
        <v>50000</v>
      </c>
    </row>
    <row r="56" spans="1:6" s="2248" customFormat="1" ht="12.2" customHeight="1" outlineLevel="1">
      <c r="A56" s="2411" t="s">
        <v>1922</v>
      </c>
      <c r="B56" s="2297" t="s">
        <v>380</v>
      </c>
      <c r="C56" s="2410">
        <v>0</v>
      </c>
      <c r="D56" s="2410">
        <v>0</v>
      </c>
      <c r="E56" s="2266">
        <v>110000</v>
      </c>
      <c r="F56" s="2409">
        <f>SUM(C56:E56)</f>
        <v>110000</v>
      </c>
    </row>
    <row r="57" spans="1:6" s="2248" customFormat="1" ht="12.2" customHeight="1" outlineLevel="1">
      <c r="A57" s="2411" t="s">
        <v>1925</v>
      </c>
      <c r="B57" s="2297"/>
      <c r="C57" s="2410"/>
      <c r="D57" s="2410"/>
      <c r="E57" s="2266"/>
      <c r="F57" s="2409"/>
    </row>
    <row r="58" spans="1:6" s="2248" customFormat="1" ht="12.2" customHeight="1" outlineLevel="1">
      <c r="A58" s="2411" t="s">
        <v>2062</v>
      </c>
      <c r="B58" s="2297" t="s">
        <v>1245</v>
      </c>
      <c r="C58" s="2410">
        <v>0</v>
      </c>
      <c r="D58" s="2410">
        <v>0</v>
      </c>
      <c r="E58" s="2266">
        <v>25000</v>
      </c>
      <c r="F58" s="2409">
        <f>SUM(C58:E58)</f>
        <v>25000</v>
      </c>
    </row>
    <row r="59" spans="1:6" s="2248" customFormat="1" ht="12.2" customHeight="1" outlineLevel="1">
      <c r="A59" s="2411" t="s">
        <v>2061</v>
      </c>
      <c r="B59" s="2297" t="s">
        <v>376</v>
      </c>
      <c r="C59" s="2410">
        <v>0</v>
      </c>
      <c r="D59" s="2410">
        <v>0</v>
      </c>
      <c r="E59" s="2266">
        <v>250000</v>
      </c>
      <c r="F59" s="2409">
        <f>SUM(C59:E59)</f>
        <v>250000</v>
      </c>
    </row>
    <row r="60" spans="1:6" s="2248" customFormat="1" ht="12.2" customHeight="1" outlineLevel="1">
      <c r="A60" s="2411" t="s">
        <v>1243</v>
      </c>
      <c r="B60" s="2297" t="s">
        <v>1242</v>
      </c>
      <c r="C60" s="2410">
        <v>0</v>
      </c>
      <c r="D60" s="2410">
        <v>0</v>
      </c>
      <c r="E60" s="2266">
        <v>250000</v>
      </c>
      <c r="F60" s="2409">
        <f>SUM(C60:E60)</f>
        <v>250000</v>
      </c>
    </row>
    <row r="61" spans="1:6" s="2248" customFormat="1" ht="12.2" customHeight="1" outlineLevel="1">
      <c r="A61" s="2411" t="s">
        <v>368</v>
      </c>
      <c r="B61" s="2297" t="s">
        <v>367</v>
      </c>
      <c r="C61" s="2410">
        <v>0</v>
      </c>
      <c r="D61" s="2410">
        <v>0</v>
      </c>
      <c r="E61" s="2266">
        <v>520180</v>
      </c>
      <c r="F61" s="2409">
        <f>SUM(C61:E61)</f>
        <v>520180</v>
      </c>
    </row>
    <row r="62" spans="1:6" s="2255" customFormat="1" ht="12.2" customHeight="1" outlineLevel="1">
      <c r="A62" s="2408" t="s">
        <v>1241</v>
      </c>
      <c r="B62" s="2407"/>
      <c r="C62" s="2406">
        <f>SUM(C63:C63)</f>
        <v>0</v>
      </c>
      <c r="D62" s="2406">
        <f>SUM(D63:D63)</f>
        <v>0</v>
      </c>
      <c r="E62" s="2406">
        <f>SUM(E63:E63)</f>
        <v>1363999</v>
      </c>
      <c r="F62" s="2405">
        <f>SUM(F63:F63)</f>
        <v>1363999</v>
      </c>
    </row>
    <row r="63" spans="1:6" s="2255" customFormat="1" ht="12.2" customHeight="1" outlineLevel="1" thickBot="1">
      <c r="A63" s="2404" t="s">
        <v>1791</v>
      </c>
      <c r="B63" s="2403"/>
      <c r="C63" s="2402">
        <v>0</v>
      </c>
      <c r="D63" s="2402">
        <v>0</v>
      </c>
      <c r="E63" s="2401">
        <v>1363999</v>
      </c>
      <c r="F63" s="2400">
        <f>SUM(C63:E63)</f>
        <v>1363999</v>
      </c>
    </row>
    <row r="64" spans="1:6" s="2233" customFormat="1" ht="12.2" customHeight="1" outlineLevel="2" thickBot="1">
      <c r="A64" s="2350" t="s">
        <v>366</v>
      </c>
      <c r="B64" s="2258"/>
      <c r="C64" s="2399">
        <f>SUM(C7+C30+C62)</f>
        <v>0</v>
      </c>
      <c r="D64" s="2399">
        <f>SUM(D7+D30+D62)</f>
        <v>0</v>
      </c>
      <c r="E64" s="2399">
        <f>SUM(E7+E30+E62)</f>
        <v>59750000</v>
      </c>
      <c r="F64" s="2398">
        <f>SUM(F7+F30+F62)</f>
        <v>59750000</v>
      </c>
    </row>
    <row r="65" spans="1:6" ht="15" customHeight="1" thickTop="1">
      <c r="A65" s="2251" t="s">
        <v>2019</v>
      </c>
      <c r="B65" s="2250"/>
      <c r="C65" s="2253"/>
      <c r="D65" s="2252"/>
      <c r="E65" s="1437" t="s">
        <v>2018</v>
      </c>
      <c r="F65" s="2249"/>
    </row>
    <row r="66" spans="1:6" ht="15" customHeight="1">
      <c r="A66" s="2254"/>
      <c r="B66" s="2250"/>
      <c r="C66" s="1437"/>
      <c r="D66" s="1437"/>
      <c r="E66" s="1437"/>
      <c r="F66" s="2249"/>
    </row>
    <row r="67" spans="1:6" s="1403" customFormat="1" ht="13.5" customHeight="1">
      <c r="A67" s="2247" t="s">
        <v>2017</v>
      </c>
      <c r="B67" s="4827" t="s">
        <v>787</v>
      </c>
      <c r="C67" s="4827"/>
      <c r="D67" s="4827"/>
      <c r="E67" s="4828" t="s">
        <v>359</v>
      </c>
      <c r="F67" s="4829"/>
    </row>
    <row r="68" spans="1:6" s="1404" customFormat="1" ht="12.75" customHeight="1">
      <c r="A68" s="2246" t="s">
        <v>2016</v>
      </c>
      <c r="B68" s="4830" t="s">
        <v>2060</v>
      </c>
      <c r="C68" s="4830"/>
      <c r="D68" s="4830"/>
      <c r="E68" s="4831" t="s">
        <v>356</v>
      </c>
      <c r="F68" s="4832"/>
    </row>
    <row r="69" spans="1:6" s="1404" customFormat="1" ht="12.75" customHeight="1" thickBot="1">
      <c r="A69" s="2397"/>
      <c r="B69" s="4844"/>
      <c r="C69" s="4844"/>
      <c r="D69" s="4844"/>
      <c r="E69" s="4845"/>
      <c r="F69" s="4846"/>
    </row>
    <row r="70" spans="1:6" s="1404" customFormat="1" ht="13.5">
      <c r="A70" s="2236"/>
      <c r="B70" s="2235"/>
      <c r="C70" s="1406"/>
      <c r="D70" s="1406"/>
      <c r="E70" s="1406"/>
      <c r="F70" s="1406"/>
    </row>
    <row r="71" spans="1:6" s="1404" customFormat="1" ht="12" customHeight="1">
      <c r="B71" s="2235"/>
      <c r="C71" s="1406"/>
      <c r="D71" s="1406"/>
      <c r="E71" s="1406"/>
      <c r="F71" s="1406"/>
    </row>
    <row r="72" spans="1:6" s="2234" customFormat="1" ht="12" customHeight="1">
      <c r="B72" s="2233"/>
    </row>
    <row r="73" spans="1:6" s="2234" customFormat="1" ht="12" customHeight="1">
      <c r="B73" s="2233"/>
    </row>
    <row r="74" spans="1:6" s="2234" customFormat="1" ht="12" customHeight="1">
      <c r="B74" s="2233"/>
    </row>
    <row r="75" spans="1:6" s="2234" customFormat="1" ht="12" customHeight="1">
      <c r="B75" s="2233"/>
    </row>
  </sheetData>
  <mergeCells count="15">
    <mergeCell ref="B69:D69"/>
    <mergeCell ref="E69:F69"/>
    <mergeCell ref="A1:F1"/>
    <mergeCell ref="A2:F2"/>
    <mergeCell ref="A3:F3"/>
    <mergeCell ref="A4:A5"/>
    <mergeCell ref="B4:B5"/>
    <mergeCell ref="C4:C5"/>
    <mergeCell ref="D4:D5"/>
    <mergeCell ref="E4:E5"/>
    <mergeCell ref="F4:F5"/>
    <mergeCell ref="B68:D68"/>
    <mergeCell ref="E68:F68"/>
    <mergeCell ref="B67:D67"/>
    <mergeCell ref="E67:F67"/>
  </mergeCells>
  <pageMargins left="0.5" right="0" top="0.85" bottom="0.25" header="0.5" footer="1"/>
  <pageSetup paperSize="5" orientation="portrait" verticalDpi="300" r:id="rId1"/>
  <headerFooter>
    <oddHeader>&amp;L&amp;"Arial,Italic"&amp;9Local Budget Preparation Form No. 7
Page &amp;P of &amp;N</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outlinePr summaryBelow="0"/>
  </sheetPr>
  <dimension ref="A1:DS68"/>
  <sheetViews>
    <sheetView showGridLines="0" showOutlineSymbols="0" topLeftCell="A52" zoomScale="120" zoomScaleNormal="120" workbookViewId="0">
      <selection activeCell="A62" sqref="A62"/>
    </sheetView>
  </sheetViews>
  <sheetFormatPr defaultColWidth="12.5703125" defaultRowHeight="15.75" outlineLevelRow="2" outlineLevelCol="2"/>
  <cols>
    <col min="1" max="1" width="38.85546875" style="1390" customWidth="1"/>
    <col min="2" max="2" width="10.7109375" style="2233" customWidth="1"/>
    <col min="3" max="6" width="11.7109375" style="1390" customWidth="1"/>
    <col min="7" max="22" width="12.5703125" style="1390"/>
    <col min="23" max="27" width="12.5703125" style="1390" outlineLevel="1"/>
    <col min="28" max="33" width="12.5703125" style="1390" outlineLevel="2"/>
    <col min="34" max="36" width="12.5703125" style="1390" outlineLevel="1"/>
    <col min="37" max="56" width="12.5703125" style="1390"/>
    <col min="57" max="60" width="12.5703125" style="1390" outlineLevel="1"/>
    <col min="61" max="108" width="12.5703125" style="1390"/>
    <col min="109" max="114" width="12.5703125" style="1390" outlineLevel="1"/>
    <col min="115" max="120" width="12.5703125" style="1390" outlineLevel="2"/>
    <col min="121" max="123" width="12.5703125" style="1390" outlineLevel="1"/>
    <col min="124" max="16384" width="12.5703125" style="1390"/>
  </cols>
  <sheetData>
    <row r="1" spans="1:6" ht="17.25" customHeight="1">
      <c r="A1" s="4810" t="s">
        <v>2014</v>
      </c>
      <c r="B1" s="4811"/>
      <c r="C1" s="4811"/>
      <c r="D1" s="4811"/>
      <c r="E1" s="4811"/>
      <c r="F1" s="4812"/>
    </row>
    <row r="2" spans="1:6" ht="12" customHeight="1">
      <c r="A2" s="4813" t="s">
        <v>2013</v>
      </c>
      <c r="B2" s="4814"/>
      <c r="C2" s="4814"/>
      <c r="D2" s="4814"/>
      <c r="E2" s="4814"/>
      <c r="F2" s="4815"/>
    </row>
    <row r="3" spans="1:6" ht="15.75" customHeight="1">
      <c r="A3" s="4851" t="s">
        <v>2086</v>
      </c>
      <c r="B3" s="4852"/>
      <c r="C3" s="4852"/>
      <c r="D3" s="4852"/>
      <c r="E3" s="4852"/>
      <c r="F3" s="4853"/>
    </row>
    <row r="4" spans="1:6" s="2248" customFormat="1" ht="13.9" customHeight="1">
      <c r="A4" s="4854" t="s">
        <v>1827</v>
      </c>
      <c r="B4" s="4855" t="s">
        <v>1826</v>
      </c>
      <c r="C4" s="4856" t="s">
        <v>1825</v>
      </c>
      <c r="D4" s="4856" t="s">
        <v>1824</v>
      </c>
      <c r="E4" s="4856" t="s">
        <v>1823</v>
      </c>
      <c r="F4" s="4857" t="s">
        <v>244</v>
      </c>
    </row>
    <row r="5" spans="1:6" s="2248" customFormat="1" ht="12" customHeight="1">
      <c r="A5" s="4848"/>
      <c r="B5" s="4850"/>
      <c r="C5" s="4841"/>
      <c r="D5" s="4841"/>
      <c r="E5" s="4841"/>
      <c r="F5" s="4843"/>
    </row>
    <row r="6" spans="1:6" s="2233" customFormat="1" ht="13.9" customHeight="1">
      <c r="A6" s="2428" t="s">
        <v>456</v>
      </c>
      <c r="B6" s="2427"/>
      <c r="C6" s="2427"/>
      <c r="D6" s="2427"/>
      <c r="E6" s="2426"/>
      <c r="F6" s="2425"/>
    </row>
    <row r="7" spans="1:6" s="2419" customFormat="1" ht="13.9" customHeight="1">
      <c r="A7" s="2424" t="s">
        <v>2010</v>
      </c>
      <c r="B7" s="2423"/>
      <c r="C7" s="2456">
        <f>SUM(C8:C28)</f>
        <v>0</v>
      </c>
      <c r="D7" s="2456">
        <f>SUM(D8:D28)</f>
        <v>0</v>
      </c>
      <c r="E7" s="2456">
        <f>SUM(E8:E28)</f>
        <v>13598655</v>
      </c>
      <c r="F7" s="2456">
        <f>SUM(F8:F28)</f>
        <v>13598655</v>
      </c>
    </row>
    <row r="8" spans="1:6" ht="12.6" customHeight="1" outlineLevel="1">
      <c r="A8" s="2411" t="s">
        <v>2009</v>
      </c>
      <c r="B8" s="2297" t="s">
        <v>453</v>
      </c>
      <c r="C8" s="2454">
        <v>0</v>
      </c>
      <c r="D8" s="2454">
        <v>0</v>
      </c>
      <c r="E8" s="2453">
        <v>8295456</v>
      </c>
      <c r="F8" s="2452">
        <f>SUM(C8:E8)</f>
        <v>8295456</v>
      </c>
    </row>
    <row r="9" spans="1:6" ht="14.25" customHeight="1" outlineLevel="1">
      <c r="A9" s="2335" t="s">
        <v>452</v>
      </c>
      <c r="B9" s="2297"/>
      <c r="C9" s="2454"/>
      <c r="D9" s="2454"/>
      <c r="E9" s="2453"/>
      <c r="F9" s="2452"/>
    </row>
    <row r="10" spans="1:6" ht="12.6" customHeight="1" outlineLevel="1">
      <c r="A10" s="2411" t="s">
        <v>1507</v>
      </c>
      <c r="B10" s="2297" t="s">
        <v>450</v>
      </c>
      <c r="C10" s="2454">
        <v>0</v>
      </c>
      <c r="D10" s="2454">
        <v>0</v>
      </c>
      <c r="E10" s="2453">
        <v>720000</v>
      </c>
      <c r="F10" s="2452">
        <f t="shared" ref="F10:F17" si="0">SUM(C10:E10)</f>
        <v>720000</v>
      </c>
    </row>
    <row r="11" spans="1:6" ht="12.6" customHeight="1" outlineLevel="1">
      <c r="A11" s="2411" t="s">
        <v>449</v>
      </c>
      <c r="B11" s="2297" t="s">
        <v>448</v>
      </c>
      <c r="C11" s="2454">
        <v>0</v>
      </c>
      <c r="D11" s="2454">
        <v>0</v>
      </c>
      <c r="E11" s="2453">
        <v>142500</v>
      </c>
      <c r="F11" s="2452">
        <f t="shared" si="0"/>
        <v>142500</v>
      </c>
    </row>
    <row r="12" spans="1:6" ht="12.6" customHeight="1" outlineLevel="1">
      <c r="A12" s="2411" t="s">
        <v>447</v>
      </c>
      <c r="B12" s="2297" t="s">
        <v>446</v>
      </c>
      <c r="C12" s="2454">
        <v>0</v>
      </c>
      <c r="D12" s="2454">
        <v>0</v>
      </c>
      <c r="E12" s="2453">
        <v>142500</v>
      </c>
      <c r="F12" s="2452">
        <f t="shared" si="0"/>
        <v>142500</v>
      </c>
    </row>
    <row r="13" spans="1:6" ht="12.6" customHeight="1" outlineLevel="1">
      <c r="A13" s="2411" t="s">
        <v>445</v>
      </c>
      <c r="B13" s="2297" t="s">
        <v>444</v>
      </c>
      <c r="C13" s="2454">
        <v>0</v>
      </c>
      <c r="D13" s="2454">
        <v>0</v>
      </c>
      <c r="E13" s="2453">
        <v>180000</v>
      </c>
      <c r="F13" s="2452">
        <f t="shared" si="0"/>
        <v>180000</v>
      </c>
    </row>
    <row r="14" spans="1:6" ht="12.6" customHeight="1" outlineLevel="1">
      <c r="A14" s="2411" t="s">
        <v>1692</v>
      </c>
      <c r="B14" s="2297" t="s">
        <v>440</v>
      </c>
      <c r="C14" s="2454">
        <v>0</v>
      </c>
      <c r="D14" s="2454">
        <v>0</v>
      </c>
      <c r="E14" s="2453">
        <v>100000</v>
      </c>
      <c r="F14" s="2452">
        <f t="shared" si="0"/>
        <v>100000</v>
      </c>
    </row>
    <row r="15" spans="1:6" ht="12.6" customHeight="1" outlineLevel="1">
      <c r="A15" s="2411" t="s">
        <v>1998</v>
      </c>
      <c r="B15" s="2297" t="s">
        <v>439</v>
      </c>
      <c r="C15" s="2454">
        <v>0</v>
      </c>
      <c r="D15" s="2454">
        <v>0</v>
      </c>
      <c r="E15" s="2453">
        <v>691288</v>
      </c>
      <c r="F15" s="2452">
        <f t="shared" si="0"/>
        <v>691288</v>
      </c>
    </row>
    <row r="16" spans="1:6" ht="12.6" customHeight="1" outlineLevel="1">
      <c r="A16" s="2411" t="s">
        <v>438</v>
      </c>
      <c r="B16" s="2297" t="s">
        <v>437</v>
      </c>
      <c r="C16" s="2454">
        <v>0</v>
      </c>
      <c r="D16" s="2454">
        <v>0</v>
      </c>
      <c r="E16" s="2453">
        <v>150000</v>
      </c>
      <c r="F16" s="2452">
        <f t="shared" si="0"/>
        <v>150000</v>
      </c>
    </row>
    <row r="17" spans="1:8" ht="12.6" customHeight="1" outlineLevel="1">
      <c r="A17" s="2411" t="s">
        <v>2072</v>
      </c>
      <c r="B17" s="2297" t="s">
        <v>435</v>
      </c>
      <c r="C17" s="2454">
        <v>0</v>
      </c>
      <c r="D17" s="2454">
        <v>0</v>
      </c>
      <c r="E17" s="2453">
        <v>691288</v>
      </c>
      <c r="F17" s="2452">
        <f t="shared" si="0"/>
        <v>691288</v>
      </c>
    </row>
    <row r="18" spans="1:8" ht="14.25" customHeight="1" outlineLevel="1">
      <c r="A18" s="2335" t="s">
        <v>1997</v>
      </c>
      <c r="B18" s="2297"/>
      <c r="C18" s="2454"/>
      <c r="D18" s="2454"/>
      <c r="E18" s="2453"/>
      <c r="F18" s="2452"/>
    </row>
    <row r="19" spans="1:8" ht="12.6" customHeight="1" outlineLevel="1">
      <c r="A19" s="2411" t="s">
        <v>421</v>
      </c>
      <c r="B19" s="2297" t="s">
        <v>433</v>
      </c>
      <c r="C19" s="2454">
        <v>0</v>
      </c>
      <c r="D19" s="2454">
        <v>0</v>
      </c>
      <c r="E19" s="2453">
        <v>995455</v>
      </c>
      <c r="F19" s="2452">
        <f>SUM(C19:E19)</f>
        <v>995455</v>
      </c>
    </row>
    <row r="20" spans="1:8" ht="12.6" customHeight="1" outlineLevel="1">
      <c r="A20" s="2411" t="s">
        <v>432</v>
      </c>
      <c r="B20" s="2297" t="s">
        <v>431</v>
      </c>
      <c r="C20" s="2454">
        <v>0</v>
      </c>
      <c r="D20" s="2454">
        <v>0</v>
      </c>
      <c r="E20" s="2453">
        <v>36000</v>
      </c>
      <c r="F20" s="2452">
        <f>SUM(C20:E20)</f>
        <v>36000</v>
      </c>
    </row>
    <row r="21" spans="1:8" ht="12.6" customHeight="1" outlineLevel="1">
      <c r="A21" s="2411" t="s">
        <v>418</v>
      </c>
      <c r="B21" s="2297" t="s">
        <v>430</v>
      </c>
      <c r="C21" s="2454">
        <v>0</v>
      </c>
      <c r="D21" s="2454">
        <v>0</v>
      </c>
      <c r="E21" s="2453">
        <v>162563</v>
      </c>
      <c r="F21" s="2452">
        <f>SUM(C21:E21)</f>
        <v>162563</v>
      </c>
    </row>
    <row r="22" spans="1:8" ht="12.6" customHeight="1" outlineLevel="1">
      <c r="A22" s="2411" t="s">
        <v>428</v>
      </c>
      <c r="B22" s="2297" t="s">
        <v>427</v>
      </c>
      <c r="C22" s="2454">
        <v>0</v>
      </c>
      <c r="D22" s="2454">
        <v>0</v>
      </c>
      <c r="E22" s="2453">
        <v>36000</v>
      </c>
      <c r="F22" s="2452">
        <f>SUM(C22:E22)</f>
        <v>36000</v>
      </c>
    </row>
    <row r="23" spans="1:8" ht="12.6" customHeight="1" outlineLevel="1">
      <c r="A23" s="2335" t="s">
        <v>420</v>
      </c>
      <c r="B23" s="2297"/>
      <c r="C23" s="2454"/>
      <c r="D23" s="2454"/>
      <c r="E23" s="2453"/>
      <c r="F23" s="2452"/>
    </row>
    <row r="24" spans="1:8" ht="12.6" customHeight="1" outlineLevel="1">
      <c r="A24" s="2411" t="s">
        <v>423</v>
      </c>
      <c r="B24" s="2300" t="s">
        <v>422</v>
      </c>
      <c r="C24" s="2454">
        <v>0</v>
      </c>
      <c r="D24" s="2454">
        <v>0</v>
      </c>
      <c r="E24" s="2453">
        <v>1000</v>
      </c>
      <c r="F24" s="2452">
        <f>SUM(C24:E24)</f>
        <v>1000</v>
      </c>
    </row>
    <row r="25" spans="1:8" ht="12.6" customHeight="1" outlineLevel="1">
      <c r="A25" s="2411" t="s">
        <v>420</v>
      </c>
      <c r="B25" s="2297" t="s">
        <v>1996</v>
      </c>
      <c r="C25" s="2454">
        <v>0</v>
      </c>
      <c r="D25" s="2454">
        <v>0</v>
      </c>
      <c r="E25" s="2453">
        <v>1083605</v>
      </c>
      <c r="F25" s="2452">
        <f>SUM(C25:E25)</f>
        <v>1083605</v>
      </c>
    </row>
    <row r="26" spans="1:8" ht="12.6" customHeight="1" outlineLevel="1">
      <c r="A26" s="2411" t="s">
        <v>1993</v>
      </c>
      <c r="B26" s="2297" t="s">
        <v>416</v>
      </c>
      <c r="C26" s="2454">
        <v>0</v>
      </c>
      <c r="D26" s="2454">
        <v>0</v>
      </c>
      <c r="E26" s="2453">
        <v>20000</v>
      </c>
      <c r="F26" s="2452">
        <f>SUM(C26:E26)</f>
        <v>20000</v>
      </c>
    </row>
    <row r="27" spans="1:8" ht="12.6" customHeight="1" outlineLevel="1">
      <c r="A27" s="2411" t="s">
        <v>1992</v>
      </c>
      <c r="B27" s="2297" t="s">
        <v>413</v>
      </c>
      <c r="C27" s="2454">
        <v>0</v>
      </c>
      <c r="D27" s="2454">
        <v>0</v>
      </c>
      <c r="E27" s="2453">
        <v>1000</v>
      </c>
      <c r="F27" s="2452">
        <f>SUM(C27:E27)</f>
        <v>1000</v>
      </c>
      <c r="H27" s="2248" t="s">
        <v>2085</v>
      </c>
    </row>
    <row r="28" spans="1:8" ht="12.6" customHeight="1" outlineLevel="1">
      <c r="A28" s="2411" t="s">
        <v>1991</v>
      </c>
      <c r="B28" s="2297" t="s">
        <v>411</v>
      </c>
      <c r="C28" s="2454">
        <v>0</v>
      </c>
      <c r="D28" s="2454">
        <v>0</v>
      </c>
      <c r="E28" s="2453">
        <v>150000</v>
      </c>
      <c r="F28" s="2452">
        <f>SUM(C28:E28)</f>
        <v>150000</v>
      </c>
    </row>
    <row r="29" spans="1:8" s="2233" customFormat="1" ht="13.9" customHeight="1" outlineLevel="1">
      <c r="A29" s="2384" t="s">
        <v>1987</v>
      </c>
      <c r="B29" s="2331"/>
      <c r="C29" s="2330">
        <f>SUM(C30:C54)</f>
        <v>0</v>
      </c>
      <c r="D29" s="2330">
        <f>SUM(D30:D54)</f>
        <v>0</v>
      </c>
      <c r="E29" s="2330">
        <f>SUM(E30:E54)</f>
        <v>5901345</v>
      </c>
      <c r="F29" s="2383">
        <f>SUM(F30:F54)</f>
        <v>5901345</v>
      </c>
    </row>
    <row r="30" spans="1:8" s="2248" customFormat="1" ht="12.6" customHeight="1" outlineLevel="1">
      <c r="A30" s="2416" t="s">
        <v>646</v>
      </c>
      <c r="B30" s="2415" t="s">
        <v>405</v>
      </c>
      <c r="C30" s="2448">
        <v>0</v>
      </c>
      <c r="D30" s="2448">
        <v>0</v>
      </c>
      <c r="E30" s="2455">
        <v>5000</v>
      </c>
      <c r="F30" s="2446">
        <f t="shared" ref="F30:F41" si="1">SUM(C30:E30)</f>
        <v>5000</v>
      </c>
    </row>
    <row r="31" spans="1:8" s="2248" customFormat="1" ht="12.6" customHeight="1" outlineLevel="1">
      <c r="A31" s="2411" t="s">
        <v>704</v>
      </c>
      <c r="B31" s="2297" t="s">
        <v>403</v>
      </c>
      <c r="C31" s="2454">
        <v>0</v>
      </c>
      <c r="D31" s="2454">
        <v>0</v>
      </c>
      <c r="E31" s="2453">
        <v>5000</v>
      </c>
      <c r="F31" s="2452">
        <f t="shared" si="1"/>
        <v>5000</v>
      </c>
    </row>
    <row r="32" spans="1:8" s="2248" customFormat="1" ht="12.6" customHeight="1" outlineLevel="1">
      <c r="A32" s="2411" t="s">
        <v>402</v>
      </c>
      <c r="B32" s="2297" t="s">
        <v>401</v>
      </c>
      <c r="C32" s="2454">
        <v>0</v>
      </c>
      <c r="D32" s="2454">
        <v>0</v>
      </c>
      <c r="E32" s="2453">
        <v>50000</v>
      </c>
      <c r="F32" s="2452">
        <f t="shared" si="1"/>
        <v>50000</v>
      </c>
    </row>
    <row r="33" spans="1:6" s="2248" customFormat="1" ht="12.6" customHeight="1" outlineLevel="1">
      <c r="A33" s="2411" t="s">
        <v>1981</v>
      </c>
      <c r="B33" s="2297" t="s">
        <v>398</v>
      </c>
      <c r="C33" s="2454">
        <v>0</v>
      </c>
      <c r="D33" s="2454">
        <v>0</v>
      </c>
      <c r="E33" s="2453">
        <v>25000</v>
      </c>
      <c r="F33" s="2452">
        <f t="shared" si="1"/>
        <v>25000</v>
      </c>
    </row>
    <row r="34" spans="1:6" s="2248" customFormat="1" ht="12.6" customHeight="1" outlineLevel="1">
      <c r="A34" s="2411" t="s">
        <v>877</v>
      </c>
      <c r="B34" s="2297" t="s">
        <v>396</v>
      </c>
      <c r="C34" s="2454">
        <v>0</v>
      </c>
      <c r="D34" s="2454">
        <v>0</v>
      </c>
      <c r="E34" s="2453">
        <v>100000</v>
      </c>
      <c r="F34" s="2452">
        <f t="shared" si="1"/>
        <v>100000</v>
      </c>
    </row>
    <row r="35" spans="1:6" s="2248" customFormat="1" ht="12.6" customHeight="1" outlineLevel="1">
      <c r="A35" s="2411" t="s">
        <v>701</v>
      </c>
      <c r="B35" s="2297" t="s">
        <v>394</v>
      </c>
      <c r="C35" s="2454">
        <v>0</v>
      </c>
      <c r="D35" s="2454">
        <v>0</v>
      </c>
      <c r="E35" s="2453">
        <v>100000</v>
      </c>
      <c r="F35" s="2452">
        <f t="shared" si="1"/>
        <v>100000</v>
      </c>
    </row>
    <row r="36" spans="1:6" s="2248" customFormat="1" ht="12.6" customHeight="1" outlineLevel="1">
      <c r="A36" s="2411" t="s">
        <v>673</v>
      </c>
      <c r="B36" s="2297" t="s">
        <v>1269</v>
      </c>
      <c r="C36" s="2454">
        <v>0</v>
      </c>
      <c r="D36" s="2454">
        <v>0</v>
      </c>
      <c r="E36" s="2453">
        <v>410000</v>
      </c>
      <c r="F36" s="2452">
        <f t="shared" si="1"/>
        <v>410000</v>
      </c>
    </row>
    <row r="37" spans="1:6" s="2248" customFormat="1" ht="12.6" customHeight="1" outlineLevel="1">
      <c r="A37" s="2411" t="s">
        <v>2038</v>
      </c>
      <c r="B37" s="2297" t="s">
        <v>390</v>
      </c>
      <c r="C37" s="2454">
        <v>0</v>
      </c>
      <c r="D37" s="2454">
        <v>0</v>
      </c>
      <c r="E37" s="2453">
        <v>49915</v>
      </c>
      <c r="F37" s="2452">
        <f t="shared" si="1"/>
        <v>49915</v>
      </c>
    </row>
    <row r="38" spans="1:6" s="2248" customFormat="1" ht="12.6" customHeight="1" outlineLevel="1">
      <c r="A38" s="2411" t="s">
        <v>1264</v>
      </c>
      <c r="B38" s="2297" t="s">
        <v>1263</v>
      </c>
      <c r="C38" s="2454">
        <v>0</v>
      </c>
      <c r="D38" s="2454">
        <v>0</v>
      </c>
      <c r="E38" s="2453">
        <v>6000</v>
      </c>
      <c r="F38" s="2452">
        <f t="shared" si="1"/>
        <v>6000</v>
      </c>
    </row>
    <row r="39" spans="1:6" s="2248" customFormat="1" ht="12.6" customHeight="1" outlineLevel="1">
      <c r="A39" s="2411" t="s">
        <v>1963</v>
      </c>
      <c r="B39" s="2297" t="s">
        <v>1962</v>
      </c>
      <c r="C39" s="2454">
        <v>0</v>
      </c>
      <c r="D39" s="2454">
        <v>0</v>
      </c>
      <c r="E39" s="2453">
        <v>500</v>
      </c>
      <c r="F39" s="2452">
        <f t="shared" si="1"/>
        <v>500</v>
      </c>
    </row>
    <row r="40" spans="1:6" s="2248" customFormat="1" ht="12.6" customHeight="1" outlineLevel="1">
      <c r="A40" s="2411" t="s">
        <v>389</v>
      </c>
      <c r="B40" s="2297" t="s">
        <v>388</v>
      </c>
      <c r="C40" s="2454">
        <v>0</v>
      </c>
      <c r="D40" s="2454">
        <v>0</v>
      </c>
      <c r="E40" s="2453">
        <v>4890780</v>
      </c>
      <c r="F40" s="2452">
        <f t="shared" si="1"/>
        <v>4890780</v>
      </c>
    </row>
    <row r="41" spans="1:6" s="2248" customFormat="1" ht="12.6" customHeight="1" outlineLevel="1">
      <c r="A41" s="2411" t="s">
        <v>1929</v>
      </c>
      <c r="B41" s="2297" t="s">
        <v>1928</v>
      </c>
      <c r="C41" s="2454">
        <v>0</v>
      </c>
      <c r="D41" s="2454">
        <v>0</v>
      </c>
      <c r="E41" s="2453">
        <v>43744</v>
      </c>
      <c r="F41" s="2452">
        <f t="shared" si="1"/>
        <v>43744</v>
      </c>
    </row>
    <row r="42" spans="1:6" s="2248" customFormat="1" ht="12.6" customHeight="1" outlineLevel="1">
      <c r="A42" s="2411" t="s">
        <v>1935</v>
      </c>
      <c r="B42" s="2297"/>
      <c r="C42" s="2454"/>
      <c r="D42" s="2454"/>
      <c r="E42" s="2453"/>
      <c r="F42" s="2452"/>
    </row>
    <row r="43" spans="1:6" s="2248" customFormat="1" ht="12.6" customHeight="1" outlineLevel="1">
      <c r="A43" s="2411" t="s">
        <v>2084</v>
      </c>
      <c r="B43" s="2297" t="s">
        <v>2083</v>
      </c>
      <c r="C43" s="2454">
        <v>0</v>
      </c>
      <c r="D43" s="2454">
        <v>0</v>
      </c>
      <c r="E43" s="2453">
        <v>100000</v>
      </c>
      <c r="F43" s="2452">
        <f>SUM(C43:E43)</f>
        <v>100000</v>
      </c>
    </row>
    <row r="44" spans="1:6" s="2248" customFormat="1" ht="12.6" customHeight="1" outlineLevel="1">
      <c r="A44" s="2411" t="s">
        <v>2082</v>
      </c>
      <c r="B44" s="2297" t="s">
        <v>2081</v>
      </c>
      <c r="C44" s="2454">
        <v>0</v>
      </c>
      <c r="D44" s="2454">
        <v>0</v>
      </c>
      <c r="E44" s="2453">
        <v>5000</v>
      </c>
      <c r="F44" s="2452">
        <f>SUM(C44:E44)</f>
        <v>5000</v>
      </c>
    </row>
    <row r="45" spans="1:6" s="2248" customFormat="1" ht="12.6" customHeight="1" outlineLevel="1">
      <c r="A45" s="2411" t="s">
        <v>2080</v>
      </c>
      <c r="B45" s="2297"/>
      <c r="C45" s="2454"/>
      <c r="D45" s="2454"/>
      <c r="E45" s="2453"/>
      <c r="F45" s="2452"/>
    </row>
    <row r="46" spans="1:6" s="2248" customFormat="1" ht="12.6" customHeight="1" outlineLevel="1">
      <c r="A46" s="2411" t="s">
        <v>2079</v>
      </c>
      <c r="B46" s="2297" t="s">
        <v>2078</v>
      </c>
      <c r="C46" s="2454">
        <v>0</v>
      </c>
      <c r="D46" s="2454">
        <v>0</v>
      </c>
      <c r="E46" s="2453">
        <v>5000</v>
      </c>
      <c r="F46" s="2452">
        <f>SUM(C46:E46)</f>
        <v>5000</v>
      </c>
    </row>
    <row r="47" spans="1:6" s="2248" customFormat="1" ht="12.6" customHeight="1" outlineLevel="1">
      <c r="A47" s="2411" t="s">
        <v>1923</v>
      </c>
      <c r="B47" s="2297" t="s">
        <v>385</v>
      </c>
      <c r="C47" s="2454">
        <v>0</v>
      </c>
      <c r="D47" s="2454">
        <v>0</v>
      </c>
      <c r="E47" s="2453">
        <v>18000</v>
      </c>
      <c r="F47" s="2452">
        <f>SUM(C47:E47)</f>
        <v>18000</v>
      </c>
    </row>
    <row r="48" spans="1:6" s="2248" customFormat="1" ht="12.6" customHeight="1" outlineLevel="1">
      <c r="A48" s="2411" t="s">
        <v>1922</v>
      </c>
      <c r="B48" s="2297" t="s">
        <v>380</v>
      </c>
      <c r="C48" s="2454">
        <v>0</v>
      </c>
      <c r="D48" s="2454">
        <v>0</v>
      </c>
      <c r="E48" s="2453">
        <v>10000</v>
      </c>
      <c r="F48" s="2452">
        <f>SUM(C48:E48)</f>
        <v>10000</v>
      </c>
    </row>
    <row r="49" spans="1:6" s="2248" customFormat="1" ht="12.6" customHeight="1" outlineLevel="1">
      <c r="A49" s="2411" t="s">
        <v>873</v>
      </c>
      <c r="B49" s="2297"/>
      <c r="C49" s="2454"/>
      <c r="D49" s="2454"/>
      <c r="E49" s="2453"/>
      <c r="F49" s="2452"/>
    </row>
    <row r="50" spans="1:6" s="2248" customFormat="1" ht="12.6" customHeight="1" outlineLevel="1">
      <c r="A50" s="2411" t="s">
        <v>2077</v>
      </c>
      <c r="B50" s="2297" t="s">
        <v>1667</v>
      </c>
      <c r="C50" s="2454">
        <v>0</v>
      </c>
      <c r="D50" s="2454">
        <v>0</v>
      </c>
      <c r="E50" s="2453">
        <v>10000</v>
      </c>
      <c r="F50" s="2452">
        <f>SUM(C50:E50)</f>
        <v>10000</v>
      </c>
    </row>
    <row r="51" spans="1:6" s="2248" customFormat="1" ht="12.6" customHeight="1" outlineLevel="1">
      <c r="A51" s="2411" t="s">
        <v>2061</v>
      </c>
      <c r="B51" s="2297" t="s">
        <v>376</v>
      </c>
      <c r="C51" s="2454">
        <v>0</v>
      </c>
      <c r="D51" s="2454">
        <v>0</v>
      </c>
      <c r="E51" s="2453">
        <v>5000</v>
      </c>
      <c r="F51" s="2452">
        <f>SUM(C51:E51)</f>
        <v>5000</v>
      </c>
    </row>
    <row r="52" spans="1:6" s="2248" customFormat="1" ht="12.6" customHeight="1" outlineLevel="1">
      <c r="A52" s="2411" t="s">
        <v>2076</v>
      </c>
      <c r="B52" s="2297"/>
      <c r="C52" s="2454"/>
      <c r="D52" s="2454"/>
      <c r="E52" s="2453"/>
      <c r="F52" s="2452"/>
    </row>
    <row r="53" spans="1:6" s="2248" customFormat="1" ht="12.6" customHeight="1" outlineLevel="1">
      <c r="A53" s="2411" t="s">
        <v>2075</v>
      </c>
      <c r="B53" s="2297" t="s">
        <v>1906</v>
      </c>
      <c r="C53" s="2454">
        <v>0</v>
      </c>
      <c r="D53" s="2454">
        <v>0</v>
      </c>
      <c r="E53" s="2453">
        <v>10000</v>
      </c>
      <c r="F53" s="2452">
        <f>SUM(C53:E53)</f>
        <v>10000</v>
      </c>
    </row>
    <row r="54" spans="1:6" s="2248" customFormat="1" ht="12.6" customHeight="1" outlineLevel="1">
      <c r="A54" s="2411" t="s">
        <v>368</v>
      </c>
      <c r="B54" s="2297" t="s">
        <v>367</v>
      </c>
      <c r="C54" s="2454">
        <v>0</v>
      </c>
      <c r="D54" s="2454">
        <v>0</v>
      </c>
      <c r="E54" s="2453">
        <v>52406</v>
      </c>
      <c r="F54" s="2452">
        <f>SUM(C54:E54)</f>
        <v>52406</v>
      </c>
    </row>
    <row r="55" spans="1:6" s="2255" customFormat="1" ht="13.9" customHeight="1" outlineLevel="1">
      <c r="A55" s="2408" t="s">
        <v>1241</v>
      </c>
      <c r="B55" s="2407"/>
      <c r="C55" s="2451">
        <f>SUM(C56:C57)</f>
        <v>0</v>
      </c>
      <c r="D55" s="2451">
        <f>SUM(D56:D57)</f>
        <v>0</v>
      </c>
      <c r="E55" s="2451">
        <f>SUM(E56:E57)</f>
        <v>400000</v>
      </c>
      <c r="F55" s="2450">
        <f>SUM(F56:F57)</f>
        <v>400000</v>
      </c>
    </row>
    <row r="56" spans="1:6" s="2255" customFormat="1" ht="12.6" hidden="1" customHeight="1" outlineLevel="1">
      <c r="A56" s="2449" t="s">
        <v>1802</v>
      </c>
      <c r="B56" s="2297" t="s">
        <v>1801</v>
      </c>
      <c r="C56" s="2448">
        <v>0</v>
      </c>
      <c r="D56" s="2448">
        <v>0</v>
      </c>
      <c r="E56" s="2447">
        <v>0</v>
      </c>
      <c r="F56" s="2446">
        <f>SUM(C56:E56)</f>
        <v>0</v>
      </c>
    </row>
    <row r="57" spans="1:6" s="2326" customFormat="1" ht="12.6" customHeight="1" outlineLevel="1">
      <c r="A57" s="2445" t="s">
        <v>2074</v>
      </c>
      <c r="B57" s="2297"/>
      <c r="C57" s="2444">
        <v>0</v>
      </c>
      <c r="D57" s="2444">
        <v>0</v>
      </c>
      <c r="E57" s="2443">
        <v>400000</v>
      </c>
      <c r="F57" s="2442">
        <f>SUM(C57:E57)</f>
        <v>400000</v>
      </c>
    </row>
    <row r="58" spans="1:6" s="2233" customFormat="1" ht="13.9" customHeight="1" outlineLevel="2" thickBot="1">
      <c r="A58" s="2441" t="s">
        <v>366</v>
      </c>
      <c r="B58" s="2440"/>
      <c r="C58" s="2439">
        <f>SUM(C7+C29+C55)</f>
        <v>0</v>
      </c>
      <c r="D58" s="2439">
        <f>SUM(D7+D29+D55)</f>
        <v>0</v>
      </c>
      <c r="E58" s="2439">
        <f>SUM(E7+E29+E55)</f>
        <v>19900000</v>
      </c>
      <c r="F58" s="2439">
        <f>SUM(F7+F29+F55)</f>
        <v>19900000</v>
      </c>
    </row>
    <row r="59" spans="1:6" ht="15" customHeight="1" thickTop="1">
      <c r="A59" s="2438" t="s">
        <v>1785</v>
      </c>
      <c r="B59" s="2437"/>
      <c r="C59" s="2436"/>
      <c r="D59" s="2435"/>
      <c r="E59" s="2434" t="s">
        <v>2073</v>
      </c>
      <c r="F59" s="2433"/>
    </row>
    <row r="60" spans="1:6" ht="15" customHeight="1">
      <c r="A60" s="2254"/>
      <c r="B60" s="2250"/>
      <c r="C60" s="1437"/>
      <c r="D60" s="1437"/>
      <c r="E60" s="1437"/>
      <c r="F60" s="2249"/>
    </row>
    <row r="61" spans="1:6" ht="15" customHeight="1">
      <c r="A61" s="2254"/>
      <c r="B61" s="2250"/>
      <c r="C61" s="1437"/>
      <c r="D61" s="1437"/>
      <c r="E61" s="1437"/>
      <c r="F61" s="2249"/>
    </row>
    <row r="62" spans="1:6" s="1403" customFormat="1" ht="13.5" customHeight="1">
      <c r="A62" s="2247" t="s">
        <v>2017</v>
      </c>
      <c r="B62" s="4827" t="s">
        <v>787</v>
      </c>
      <c r="C62" s="4827"/>
      <c r="D62" s="4827"/>
      <c r="E62" s="4828" t="s">
        <v>359</v>
      </c>
      <c r="F62" s="4829"/>
    </row>
    <row r="63" spans="1:6" s="1404" customFormat="1" ht="12.75" customHeight="1">
      <c r="A63" s="2246" t="s">
        <v>2016</v>
      </c>
      <c r="B63" s="4830" t="s">
        <v>1781</v>
      </c>
      <c r="C63" s="4830"/>
      <c r="D63" s="4830"/>
      <c r="E63" s="4831" t="s">
        <v>356</v>
      </c>
      <c r="F63" s="4832"/>
    </row>
    <row r="64" spans="1:6" s="1404" customFormat="1" ht="12.75" customHeight="1" thickBot="1">
      <c r="A64" s="2397"/>
      <c r="B64" s="4844"/>
      <c r="C64" s="4844"/>
      <c r="D64" s="4844"/>
      <c r="E64" s="4845"/>
      <c r="F64" s="4846"/>
    </row>
    <row r="65" spans="1:6" s="2429" customFormat="1" ht="8.25" customHeight="1">
      <c r="A65" s="2432"/>
      <c r="B65" s="2431"/>
      <c r="C65" s="2430"/>
      <c r="D65" s="2430"/>
      <c r="E65" s="2430"/>
      <c r="F65" s="2430"/>
    </row>
    <row r="66" spans="1:6" s="1404" customFormat="1" ht="12" customHeight="1">
      <c r="B66" s="2235"/>
      <c r="C66" s="1406"/>
      <c r="D66" s="1406"/>
      <c r="E66" s="1406"/>
      <c r="F66" s="1406"/>
    </row>
    <row r="67" spans="1:6" s="2234" customFormat="1" ht="12" customHeight="1">
      <c r="B67" s="2233"/>
    </row>
    <row r="68" spans="1:6" s="2234" customFormat="1" ht="12" customHeight="1">
      <c r="B68" s="2233"/>
    </row>
  </sheetData>
  <mergeCells count="15">
    <mergeCell ref="A1:F1"/>
    <mergeCell ref="A2:F2"/>
    <mergeCell ref="A3:F3"/>
    <mergeCell ref="A4:A5"/>
    <mergeCell ref="B4:B5"/>
    <mergeCell ref="C4:C5"/>
    <mergeCell ref="D4:D5"/>
    <mergeCell ref="E4:E5"/>
    <mergeCell ref="F4:F5"/>
    <mergeCell ref="B64:D64"/>
    <mergeCell ref="E64:F64"/>
    <mergeCell ref="B62:D62"/>
    <mergeCell ref="E62:F62"/>
    <mergeCell ref="B63:D63"/>
    <mergeCell ref="E63:F63"/>
  </mergeCells>
  <pageMargins left="0.5" right="0" top="1" bottom="0" header="0.5" footer="0.25"/>
  <pageSetup paperSize="5" orientation="portrait" verticalDpi="300" r:id="rId1"/>
  <headerFooter>
    <oddHeader>&amp;L&amp;"Arial,Italic"&amp;9Local Budget Preparation Form No. 7
Page &amp;P of &amp;N</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outlinePr summaryBelow="0"/>
  </sheetPr>
  <dimension ref="A1:DS64"/>
  <sheetViews>
    <sheetView showGridLines="0" showRowColHeaders="0" showOutlineSymbols="0" topLeftCell="A50" zoomScale="120" zoomScaleNormal="120" workbookViewId="0">
      <selection activeCell="E59" sqref="E59:F59"/>
    </sheetView>
  </sheetViews>
  <sheetFormatPr defaultColWidth="12.5703125" defaultRowHeight="15.75" outlineLevelRow="2" outlineLevelCol="2"/>
  <cols>
    <col min="1" max="1" width="38.85546875" style="1390" customWidth="1"/>
    <col min="2" max="2" width="10.7109375" style="2233" customWidth="1"/>
    <col min="3" max="6" width="11.7109375" style="1390" customWidth="1"/>
    <col min="7" max="22" width="12.5703125" style="1390"/>
    <col min="23" max="27" width="12.5703125" style="1390" outlineLevel="1"/>
    <col min="28" max="33" width="12.5703125" style="1390" outlineLevel="2"/>
    <col min="34" max="36" width="12.5703125" style="1390" outlineLevel="1"/>
    <col min="37" max="56" width="12.5703125" style="1390"/>
    <col min="57" max="60" width="12.5703125" style="1390" outlineLevel="1"/>
    <col min="61" max="108" width="12.5703125" style="1390"/>
    <col min="109" max="114" width="12.5703125" style="1390" outlineLevel="1"/>
    <col min="115" max="120" width="12.5703125" style="1390" outlineLevel="2"/>
    <col min="121" max="123" width="12.5703125" style="1390" outlineLevel="1"/>
    <col min="124" max="16384" width="12.5703125" style="1390"/>
  </cols>
  <sheetData>
    <row r="1" spans="1:6" ht="17.25" customHeight="1">
      <c r="A1" s="4810" t="s">
        <v>2014</v>
      </c>
      <c r="B1" s="4811"/>
      <c r="C1" s="4811"/>
      <c r="D1" s="4811"/>
      <c r="E1" s="4811"/>
      <c r="F1" s="4812"/>
    </row>
    <row r="2" spans="1:6" ht="12" customHeight="1">
      <c r="A2" s="4813" t="s">
        <v>2013</v>
      </c>
      <c r="B2" s="4814"/>
      <c r="C2" s="4814"/>
      <c r="D2" s="4814"/>
      <c r="E2" s="4814"/>
      <c r="F2" s="4815"/>
    </row>
    <row r="3" spans="1:6" ht="14.25" customHeight="1">
      <c r="A3" s="4851" t="s">
        <v>2093</v>
      </c>
      <c r="B3" s="4852"/>
      <c r="C3" s="4852"/>
      <c r="D3" s="4852"/>
      <c r="E3" s="4852"/>
      <c r="F3" s="4853"/>
    </row>
    <row r="4" spans="1:6" s="2248" customFormat="1" ht="13.9" customHeight="1">
      <c r="A4" s="4854" t="s">
        <v>1827</v>
      </c>
      <c r="B4" s="4855" t="s">
        <v>1826</v>
      </c>
      <c r="C4" s="4856" t="s">
        <v>1825</v>
      </c>
      <c r="D4" s="4856" t="s">
        <v>1824</v>
      </c>
      <c r="E4" s="4858" t="s">
        <v>1823</v>
      </c>
      <c r="F4" s="4857" t="s">
        <v>244</v>
      </c>
    </row>
    <row r="5" spans="1:6" s="2248" customFormat="1" ht="16.5" customHeight="1">
      <c r="A5" s="4848"/>
      <c r="B5" s="4850"/>
      <c r="C5" s="4841"/>
      <c r="D5" s="4841"/>
      <c r="E5" s="4859"/>
      <c r="F5" s="4843"/>
    </row>
    <row r="6" spans="1:6" s="2233" customFormat="1" ht="16.5" customHeight="1">
      <c r="A6" s="2428" t="s">
        <v>2011</v>
      </c>
      <c r="B6" s="2427"/>
      <c r="C6" s="2427"/>
      <c r="D6" s="2427"/>
      <c r="E6" s="2426"/>
      <c r="F6" s="2425"/>
    </row>
    <row r="7" spans="1:6" s="2419" customFormat="1" ht="13.9" customHeight="1">
      <c r="A7" s="2424" t="s">
        <v>2010</v>
      </c>
      <c r="B7" s="2423"/>
      <c r="C7" s="2456">
        <f>SUM(C9:C25)</f>
        <v>0</v>
      </c>
      <c r="D7" s="2456">
        <f>SUM(D9:D25)</f>
        <v>0</v>
      </c>
      <c r="E7" s="2461">
        <f>SUM(E9:E25)</f>
        <v>2672170</v>
      </c>
      <c r="F7" s="2460">
        <f>SUM(F9:F25)</f>
        <v>2672170</v>
      </c>
    </row>
    <row r="8" spans="1:6" s="2419" customFormat="1" ht="12.95" customHeight="1">
      <c r="A8" s="2335" t="s">
        <v>454</v>
      </c>
      <c r="B8" s="2423"/>
      <c r="C8" s="2456"/>
      <c r="D8" s="2456"/>
      <c r="E8" s="2461"/>
      <c r="F8" s="2460"/>
    </row>
    <row r="9" spans="1:6" ht="12.95" customHeight="1" outlineLevel="1">
      <c r="A9" s="2411" t="s">
        <v>2009</v>
      </c>
      <c r="B9" s="2297" t="s">
        <v>453</v>
      </c>
      <c r="C9" s="2454">
        <v>0</v>
      </c>
      <c r="D9" s="2454">
        <v>0</v>
      </c>
      <c r="E9" s="2270">
        <v>1680720</v>
      </c>
      <c r="F9" s="2452">
        <f>SUM(C9:E9)</f>
        <v>1680720</v>
      </c>
    </row>
    <row r="10" spans="1:6" ht="12.95" customHeight="1" outlineLevel="1">
      <c r="A10" s="2335" t="s">
        <v>452</v>
      </c>
      <c r="B10" s="2297"/>
      <c r="C10" s="2454"/>
      <c r="D10" s="2454"/>
      <c r="E10" s="2270"/>
      <c r="F10" s="2452"/>
    </row>
    <row r="11" spans="1:6" ht="12.95" customHeight="1" outlineLevel="1">
      <c r="A11" s="2411" t="s">
        <v>1507</v>
      </c>
      <c r="B11" s="2297" t="s">
        <v>450</v>
      </c>
      <c r="C11" s="2454">
        <v>0</v>
      </c>
      <c r="D11" s="2454">
        <v>0</v>
      </c>
      <c r="E11" s="2270">
        <v>144000</v>
      </c>
      <c r="F11" s="2452">
        <f>SUM(C11:E11)</f>
        <v>144000</v>
      </c>
    </row>
    <row r="12" spans="1:6" ht="12.95" customHeight="1" outlineLevel="1">
      <c r="A12" s="2411" t="s">
        <v>445</v>
      </c>
      <c r="B12" s="2297" t="s">
        <v>444</v>
      </c>
      <c r="C12" s="2454">
        <v>0</v>
      </c>
      <c r="D12" s="2454">
        <v>0</v>
      </c>
      <c r="E12" s="2270">
        <v>36000</v>
      </c>
      <c r="F12" s="2452">
        <f>SUM(C12:E12)</f>
        <v>36000</v>
      </c>
    </row>
    <row r="13" spans="1:6" ht="12.95" customHeight="1" outlineLevel="1">
      <c r="A13" s="2411" t="s">
        <v>1998</v>
      </c>
      <c r="B13" s="2297" t="s">
        <v>439</v>
      </c>
      <c r="C13" s="2454">
        <v>0</v>
      </c>
      <c r="D13" s="2454">
        <v>0</v>
      </c>
      <c r="E13" s="2270">
        <v>140060</v>
      </c>
      <c r="F13" s="2452">
        <f>SUM(C13:E13)</f>
        <v>140060</v>
      </c>
    </row>
    <row r="14" spans="1:6" ht="12.95" customHeight="1" outlineLevel="1">
      <c r="A14" s="2411" t="s">
        <v>438</v>
      </c>
      <c r="B14" s="2297" t="s">
        <v>437</v>
      </c>
      <c r="C14" s="2454">
        <v>0</v>
      </c>
      <c r="D14" s="2454">
        <v>0</v>
      </c>
      <c r="E14" s="2270">
        <v>30000</v>
      </c>
      <c r="F14" s="2452">
        <f>SUM(C14:E14)</f>
        <v>30000</v>
      </c>
    </row>
    <row r="15" spans="1:6" ht="12.95" customHeight="1" outlineLevel="1">
      <c r="A15" s="2411" t="s">
        <v>436</v>
      </c>
      <c r="B15" s="2297" t="s">
        <v>435</v>
      </c>
      <c r="C15" s="2454">
        <v>0</v>
      </c>
      <c r="D15" s="2454">
        <v>0</v>
      </c>
      <c r="E15" s="2270">
        <v>140060</v>
      </c>
      <c r="F15" s="2452">
        <f>SUM(C15:E15)</f>
        <v>140060</v>
      </c>
    </row>
    <row r="16" spans="1:6" ht="12.95" customHeight="1" outlineLevel="1">
      <c r="A16" s="2335" t="s">
        <v>1997</v>
      </c>
      <c r="B16" s="2297"/>
      <c r="C16" s="2454"/>
      <c r="D16" s="2454"/>
      <c r="E16" s="2270"/>
      <c r="F16" s="2452"/>
    </row>
    <row r="17" spans="1:6" ht="12.95" customHeight="1" outlineLevel="1">
      <c r="A17" s="2411" t="s">
        <v>421</v>
      </c>
      <c r="B17" s="2297" t="s">
        <v>433</v>
      </c>
      <c r="C17" s="2454">
        <v>0</v>
      </c>
      <c r="D17" s="2454">
        <v>0</v>
      </c>
      <c r="E17" s="2270">
        <v>201700</v>
      </c>
      <c r="F17" s="2452">
        <f>SUM(C17:E17)</f>
        <v>201700</v>
      </c>
    </row>
    <row r="18" spans="1:6" ht="12.95" customHeight="1" outlineLevel="1">
      <c r="A18" s="2411" t="s">
        <v>432</v>
      </c>
      <c r="B18" s="2297" t="s">
        <v>431</v>
      </c>
      <c r="C18" s="2454">
        <v>0</v>
      </c>
      <c r="D18" s="2454">
        <v>0</v>
      </c>
      <c r="E18" s="2270">
        <v>7200</v>
      </c>
      <c r="F18" s="2452">
        <f>SUM(C18:E18)</f>
        <v>7200</v>
      </c>
    </row>
    <row r="19" spans="1:6" ht="12.95" customHeight="1" outlineLevel="1">
      <c r="A19" s="2411" t="s">
        <v>418</v>
      </c>
      <c r="B19" s="2297" t="s">
        <v>430</v>
      </c>
      <c r="C19" s="2454">
        <v>0</v>
      </c>
      <c r="D19" s="2454">
        <v>0</v>
      </c>
      <c r="E19" s="2270">
        <v>33615</v>
      </c>
      <c r="F19" s="2452">
        <f>SUM(C19:E19)</f>
        <v>33615</v>
      </c>
    </row>
    <row r="20" spans="1:6" ht="12.95" customHeight="1" outlineLevel="1">
      <c r="A20" s="2411" t="s">
        <v>428</v>
      </c>
      <c r="B20" s="2297" t="s">
        <v>427</v>
      </c>
      <c r="C20" s="2454">
        <v>0</v>
      </c>
      <c r="D20" s="2454">
        <v>0</v>
      </c>
      <c r="E20" s="2270">
        <v>7200</v>
      </c>
      <c r="F20" s="2452">
        <f>SUM(C20:E20)</f>
        <v>7200</v>
      </c>
    </row>
    <row r="21" spans="1:6" ht="12.95" customHeight="1" outlineLevel="1">
      <c r="A21" s="2335" t="s">
        <v>420</v>
      </c>
      <c r="B21" s="2297"/>
      <c r="C21" s="2454"/>
      <c r="D21" s="2454"/>
      <c r="E21" s="2270"/>
      <c r="F21" s="2452"/>
    </row>
    <row r="22" spans="1:6" ht="12.95" customHeight="1" outlineLevel="1">
      <c r="A22" s="2411" t="s">
        <v>423</v>
      </c>
      <c r="B22" s="2297" t="s">
        <v>422</v>
      </c>
      <c r="C22" s="2454">
        <v>0</v>
      </c>
      <c r="D22" s="2454">
        <v>0</v>
      </c>
      <c r="E22" s="2270">
        <v>1000</v>
      </c>
      <c r="F22" s="2452">
        <f>SUM(C22:E22)</f>
        <v>1000</v>
      </c>
    </row>
    <row r="23" spans="1:6" ht="12.95" customHeight="1" outlineLevel="1">
      <c r="A23" s="2411" t="s">
        <v>420</v>
      </c>
      <c r="B23" s="2297" t="s">
        <v>1996</v>
      </c>
      <c r="C23" s="2454">
        <v>0</v>
      </c>
      <c r="D23" s="2454">
        <v>0</v>
      </c>
      <c r="E23" s="2270">
        <v>219615</v>
      </c>
      <c r="F23" s="2452">
        <f>SUM(C23:E23)</f>
        <v>219615</v>
      </c>
    </row>
    <row r="24" spans="1:6" ht="12.95" customHeight="1" outlineLevel="1">
      <c r="A24" s="2411" t="s">
        <v>1992</v>
      </c>
      <c r="B24" s="2297" t="s">
        <v>413</v>
      </c>
      <c r="C24" s="2454">
        <v>0</v>
      </c>
      <c r="D24" s="2454">
        <v>0</v>
      </c>
      <c r="E24" s="2270">
        <v>1000</v>
      </c>
      <c r="F24" s="2452">
        <f>SUM(C24:E24)</f>
        <v>1000</v>
      </c>
    </row>
    <row r="25" spans="1:6" ht="12.95" customHeight="1" outlineLevel="1">
      <c r="A25" s="2411" t="s">
        <v>1991</v>
      </c>
      <c r="B25" s="2297" t="s">
        <v>411</v>
      </c>
      <c r="C25" s="2454">
        <v>0</v>
      </c>
      <c r="D25" s="2454">
        <v>0</v>
      </c>
      <c r="E25" s="2270">
        <v>30000</v>
      </c>
      <c r="F25" s="2452">
        <f>SUM(C25:E25)</f>
        <v>30000</v>
      </c>
    </row>
    <row r="26" spans="1:6" s="2233" customFormat="1" ht="12.95" customHeight="1" outlineLevel="1">
      <c r="A26" s="2384" t="s">
        <v>1987</v>
      </c>
      <c r="B26" s="2331"/>
      <c r="C26" s="2330">
        <f>SUM(C27:C49)</f>
        <v>0</v>
      </c>
      <c r="D26" s="2330">
        <f>SUM(D27:D49)</f>
        <v>0</v>
      </c>
      <c r="E26" s="2330">
        <f>SUM(E27:E49)</f>
        <v>552830</v>
      </c>
      <c r="F26" s="2383">
        <f>SUM(F27:F49)</f>
        <v>552830</v>
      </c>
    </row>
    <row r="27" spans="1:6" s="2248" customFormat="1" ht="12.95" customHeight="1" outlineLevel="1">
      <c r="A27" s="2416" t="s">
        <v>646</v>
      </c>
      <c r="B27" s="2415" t="s">
        <v>405</v>
      </c>
      <c r="C27" s="2448">
        <v>0</v>
      </c>
      <c r="D27" s="2448">
        <v>0</v>
      </c>
      <c r="E27" s="2455">
        <v>5000</v>
      </c>
      <c r="F27" s="2446">
        <f t="shared" ref="F27:F41" si="0">SUM(C27:E27)</f>
        <v>5000</v>
      </c>
    </row>
    <row r="28" spans="1:6" s="2248" customFormat="1" ht="12.95" customHeight="1" outlineLevel="1">
      <c r="A28" s="2411" t="s">
        <v>704</v>
      </c>
      <c r="B28" s="2297" t="s">
        <v>403</v>
      </c>
      <c r="C28" s="2454">
        <v>0</v>
      </c>
      <c r="D28" s="2454">
        <v>0</v>
      </c>
      <c r="E28" s="2453">
        <v>5000</v>
      </c>
      <c r="F28" s="2452">
        <f t="shared" si="0"/>
        <v>5000</v>
      </c>
    </row>
    <row r="29" spans="1:6" s="2248" customFormat="1" ht="12.95" customHeight="1" outlineLevel="1">
      <c r="A29" s="2411" t="s">
        <v>402</v>
      </c>
      <c r="B29" s="2297" t="s">
        <v>401</v>
      </c>
      <c r="C29" s="2454">
        <v>0</v>
      </c>
      <c r="D29" s="2454">
        <v>0</v>
      </c>
      <c r="E29" s="2453">
        <v>30000</v>
      </c>
      <c r="F29" s="2452">
        <f t="shared" si="0"/>
        <v>30000</v>
      </c>
    </row>
    <row r="30" spans="1:6" s="2248" customFormat="1" ht="12.95" customHeight="1" outlineLevel="1">
      <c r="A30" s="2411" t="s">
        <v>1981</v>
      </c>
      <c r="B30" s="2297" t="s">
        <v>398</v>
      </c>
      <c r="C30" s="2454">
        <v>0</v>
      </c>
      <c r="D30" s="2454">
        <v>0</v>
      </c>
      <c r="E30" s="2453">
        <v>15000</v>
      </c>
      <c r="F30" s="2452">
        <f t="shared" si="0"/>
        <v>15000</v>
      </c>
    </row>
    <row r="31" spans="1:6" s="2248" customFormat="1" ht="12.95" hidden="1" customHeight="1" outlineLevel="1">
      <c r="A31" s="2411" t="s">
        <v>2092</v>
      </c>
      <c r="B31" s="2300" t="s">
        <v>2091</v>
      </c>
      <c r="C31" s="2454">
        <v>0</v>
      </c>
      <c r="D31" s="2454">
        <v>0</v>
      </c>
      <c r="E31" s="2454">
        <v>0</v>
      </c>
      <c r="F31" s="2452">
        <f t="shared" si="0"/>
        <v>0</v>
      </c>
    </row>
    <row r="32" spans="1:6" s="2248" customFormat="1" ht="12.95" customHeight="1" outlineLevel="1">
      <c r="A32" s="2411" t="s">
        <v>877</v>
      </c>
      <c r="B32" s="2297" t="s">
        <v>396</v>
      </c>
      <c r="C32" s="2454">
        <v>0</v>
      </c>
      <c r="D32" s="2454">
        <v>0</v>
      </c>
      <c r="E32" s="2454">
        <v>70000</v>
      </c>
      <c r="F32" s="2452">
        <f t="shared" si="0"/>
        <v>70000</v>
      </c>
    </row>
    <row r="33" spans="1:8" s="2248" customFormat="1" ht="12.95" customHeight="1" outlineLevel="1">
      <c r="A33" s="2411" t="s">
        <v>701</v>
      </c>
      <c r="B33" s="2297" t="s">
        <v>394</v>
      </c>
      <c r="C33" s="2454">
        <v>0</v>
      </c>
      <c r="D33" s="2454">
        <v>0</v>
      </c>
      <c r="E33" s="2453">
        <v>70000</v>
      </c>
      <c r="F33" s="2452">
        <f t="shared" si="0"/>
        <v>70000</v>
      </c>
    </row>
    <row r="34" spans="1:8" s="2248" customFormat="1" ht="12.95" customHeight="1" outlineLevel="1">
      <c r="A34" s="2411" t="s">
        <v>673</v>
      </c>
      <c r="B34" s="2297" t="s">
        <v>1269</v>
      </c>
      <c r="C34" s="2454">
        <v>0</v>
      </c>
      <c r="D34" s="2454">
        <v>0</v>
      </c>
      <c r="E34" s="2453">
        <v>25000</v>
      </c>
      <c r="F34" s="2452">
        <f t="shared" si="0"/>
        <v>25000</v>
      </c>
    </row>
    <row r="35" spans="1:8" s="2248" customFormat="1" ht="12.95" hidden="1" customHeight="1" outlineLevel="1">
      <c r="A35" s="2411" t="s">
        <v>1266</v>
      </c>
      <c r="B35" s="2297" t="s">
        <v>1265</v>
      </c>
      <c r="C35" s="2454">
        <v>0</v>
      </c>
      <c r="D35" s="2454">
        <v>0</v>
      </c>
      <c r="E35" s="2454">
        <v>0</v>
      </c>
      <c r="F35" s="2452">
        <f t="shared" si="0"/>
        <v>0</v>
      </c>
    </row>
    <row r="36" spans="1:8" s="2248" customFormat="1" ht="12.95" hidden="1" customHeight="1" outlineLevel="1">
      <c r="A36" s="2411" t="s">
        <v>1964</v>
      </c>
      <c r="B36" s="2297" t="s">
        <v>392</v>
      </c>
      <c r="C36" s="2454">
        <v>0</v>
      </c>
      <c r="D36" s="2454">
        <v>0</v>
      </c>
      <c r="E36" s="2454">
        <v>0</v>
      </c>
      <c r="F36" s="2452">
        <f t="shared" si="0"/>
        <v>0</v>
      </c>
    </row>
    <row r="37" spans="1:8" s="2248" customFormat="1" ht="12.95" customHeight="1" outlineLevel="1">
      <c r="A37" s="2411" t="s">
        <v>2038</v>
      </c>
      <c r="B37" s="2297" t="s">
        <v>390</v>
      </c>
      <c r="C37" s="2454">
        <v>0</v>
      </c>
      <c r="D37" s="2454">
        <v>0</v>
      </c>
      <c r="E37" s="2454">
        <v>7000</v>
      </c>
      <c r="F37" s="2452">
        <f t="shared" si="0"/>
        <v>7000</v>
      </c>
    </row>
    <row r="38" spans="1:8" s="2248" customFormat="1" ht="12.95" customHeight="1" outlineLevel="1">
      <c r="A38" s="2411" t="s">
        <v>1264</v>
      </c>
      <c r="B38" s="2297" t="s">
        <v>1263</v>
      </c>
      <c r="C38" s="2454">
        <v>0</v>
      </c>
      <c r="D38" s="2454">
        <v>0</v>
      </c>
      <c r="E38" s="2453">
        <v>7000</v>
      </c>
      <c r="F38" s="2452">
        <f t="shared" si="0"/>
        <v>7000</v>
      </c>
    </row>
    <row r="39" spans="1:8" s="2248" customFormat="1" ht="12.95" customHeight="1" outlineLevel="1">
      <c r="A39" s="2411" t="s">
        <v>1963</v>
      </c>
      <c r="B39" s="2297" t="s">
        <v>1962</v>
      </c>
      <c r="C39" s="2454">
        <v>0</v>
      </c>
      <c r="D39" s="2454">
        <v>0</v>
      </c>
      <c r="E39" s="2453">
        <v>6500</v>
      </c>
      <c r="F39" s="2452">
        <f t="shared" si="0"/>
        <v>6500</v>
      </c>
    </row>
    <row r="40" spans="1:8" s="2248" customFormat="1" ht="12.95" hidden="1" customHeight="1" outlineLevel="1">
      <c r="A40" s="2411" t="s">
        <v>389</v>
      </c>
      <c r="B40" s="2297" t="s">
        <v>388</v>
      </c>
      <c r="C40" s="2454">
        <v>0</v>
      </c>
      <c r="D40" s="2454">
        <v>0</v>
      </c>
      <c r="E40" s="2454">
        <v>0</v>
      </c>
      <c r="F40" s="2452">
        <f t="shared" si="0"/>
        <v>0</v>
      </c>
    </row>
    <row r="41" spans="1:8" s="2248" customFormat="1" ht="12.95" customHeight="1" outlineLevel="1">
      <c r="A41" s="2411" t="s">
        <v>2090</v>
      </c>
      <c r="B41" s="2297" t="s">
        <v>1932</v>
      </c>
      <c r="C41" s="2454">
        <v>0</v>
      </c>
      <c r="D41" s="2454">
        <v>0</v>
      </c>
      <c r="E41" s="2453">
        <v>70000</v>
      </c>
      <c r="F41" s="2452">
        <f t="shared" si="0"/>
        <v>70000</v>
      </c>
    </row>
    <row r="42" spans="1:8" s="2248" customFormat="1" ht="12.95" customHeight="1" outlineLevel="1">
      <c r="A42" s="2411" t="s">
        <v>1935</v>
      </c>
      <c r="B42" s="2297"/>
      <c r="C42" s="2454"/>
      <c r="D42" s="2454"/>
      <c r="E42" s="2453"/>
      <c r="F42" s="2452"/>
      <c r="H42" s="2248" t="s">
        <v>2085</v>
      </c>
    </row>
    <row r="43" spans="1:8" s="2248" customFormat="1" ht="12.95" customHeight="1" outlineLevel="1">
      <c r="A43" s="2411" t="s">
        <v>2089</v>
      </c>
      <c r="B43" s="2297" t="s">
        <v>2088</v>
      </c>
      <c r="C43" s="2454">
        <v>0</v>
      </c>
      <c r="D43" s="2454">
        <v>0</v>
      </c>
      <c r="E43" s="2453">
        <v>70000</v>
      </c>
      <c r="F43" s="2452">
        <f>SUM(C43:E43)</f>
        <v>70000</v>
      </c>
    </row>
    <row r="44" spans="1:8" s="2248" customFormat="1" ht="12.95" customHeight="1" outlineLevel="1">
      <c r="A44" s="2411" t="s">
        <v>1923</v>
      </c>
      <c r="B44" s="2297" t="s">
        <v>385</v>
      </c>
      <c r="C44" s="2454">
        <v>0</v>
      </c>
      <c r="D44" s="2454">
        <v>0</v>
      </c>
      <c r="E44" s="2453">
        <v>5000</v>
      </c>
      <c r="F44" s="2452">
        <f>SUM(C44:E44)</f>
        <v>5000</v>
      </c>
    </row>
    <row r="45" spans="1:8" s="2248" customFormat="1" ht="12.95" customHeight="1" outlineLevel="1">
      <c r="A45" s="2411" t="s">
        <v>1922</v>
      </c>
      <c r="B45" s="2297" t="s">
        <v>380</v>
      </c>
      <c r="C45" s="2454">
        <v>0</v>
      </c>
      <c r="D45" s="2454">
        <v>0</v>
      </c>
      <c r="E45" s="2453">
        <v>15000</v>
      </c>
      <c r="F45" s="2452">
        <f>SUM(C45:E45)</f>
        <v>15000</v>
      </c>
    </row>
    <row r="46" spans="1:8" s="2248" customFormat="1" ht="12.95" customHeight="1" outlineLevel="1">
      <c r="A46" s="2411" t="s">
        <v>1925</v>
      </c>
      <c r="B46" s="2297"/>
      <c r="C46" s="2454"/>
      <c r="D46" s="2454"/>
      <c r="E46" s="2453"/>
      <c r="F46" s="2452"/>
    </row>
    <row r="47" spans="1:8" s="2248" customFormat="1" ht="12.95" customHeight="1" outlineLevel="1">
      <c r="A47" s="2411" t="s">
        <v>2028</v>
      </c>
      <c r="B47" s="2297" t="s">
        <v>1667</v>
      </c>
      <c r="C47" s="2454">
        <v>0</v>
      </c>
      <c r="D47" s="2454">
        <v>0</v>
      </c>
      <c r="E47" s="2453">
        <v>40000</v>
      </c>
      <c r="F47" s="2452">
        <f>SUM(C47:E47)</f>
        <v>40000</v>
      </c>
    </row>
    <row r="48" spans="1:8" s="2248" customFormat="1" ht="12.95" customHeight="1" outlineLevel="1">
      <c r="A48" s="2411" t="s">
        <v>2061</v>
      </c>
      <c r="B48" s="2297" t="s">
        <v>376</v>
      </c>
      <c r="C48" s="2454">
        <v>0</v>
      </c>
      <c r="D48" s="2454">
        <v>0</v>
      </c>
      <c r="E48" s="2453">
        <v>10000</v>
      </c>
      <c r="F48" s="2452">
        <f>SUM(C48:E48)</f>
        <v>10000</v>
      </c>
    </row>
    <row r="49" spans="1:6" s="2248" customFormat="1" ht="12.95" customHeight="1" outlineLevel="1">
      <c r="A49" s="2411" t="s">
        <v>368</v>
      </c>
      <c r="B49" s="2297" t="s">
        <v>367</v>
      </c>
      <c r="C49" s="2454">
        <v>0</v>
      </c>
      <c r="D49" s="2454">
        <v>0</v>
      </c>
      <c r="E49" s="2453">
        <v>102330</v>
      </c>
      <c r="F49" s="2452">
        <f>SUM(C49:E49)</f>
        <v>102330</v>
      </c>
    </row>
    <row r="50" spans="1:6" s="2255" customFormat="1" ht="12.95" customHeight="1" outlineLevel="1">
      <c r="A50" s="2408" t="s">
        <v>1241</v>
      </c>
      <c r="B50" s="2407"/>
      <c r="C50" s="2450">
        <f>SUM(C51:C54)</f>
        <v>0</v>
      </c>
      <c r="D50" s="2450">
        <f>SUM(D51:D54)</f>
        <v>0</v>
      </c>
      <c r="E50" s="2450">
        <f>E52</f>
        <v>125000</v>
      </c>
      <c r="F50" s="2450">
        <f>SUM(F51:F54)</f>
        <v>125000</v>
      </c>
    </row>
    <row r="51" spans="1:6" s="2255" customFormat="1" ht="12.95" hidden="1" customHeight="1" outlineLevel="1">
      <c r="A51" s="2411" t="s">
        <v>1812</v>
      </c>
      <c r="B51" s="2300" t="s">
        <v>1811</v>
      </c>
      <c r="C51" s="2410"/>
      <c r="D51" s="2410">
        <v>0</v>
      </c>
      <c r="E51" s="2266"/>
      <c r="F51" s="2452">
        <f>SUM(C51:E51)</f>
        <v>0</v>
      </c>
    </row>
    <row r="52" spans="1:6" s="2255" customFormat="1" ht="12.95" customHeight="1" outlineLevel="1">
      <c r="A52" s="2411" t="s">
        <v>950</v>
      </c>
      <c r="B52" s="2300" t="s">
        <v>949</v>
      </c>
      <c r="C52" s="2410"/>
      <c r="D52" s="2410"/>
      <c r="E52" s="2452">
        <v>125000</v>
      </c>
      <c r="F52" s="2452">
        <f>SUM(C52:E52)</f>
        <v>125000</v>
      </c>
    </row>
    <row r="53" spans="1:6" s="2255" customFormat="1" ht="13.5" hidden="1" customHeight="1" outlineLevel="1">
      <c r="A53" s="2411" t="s">
        <v>2087</v>
      </c>
      <c r="B53" s="2300" t="s">
        <v>1386</v>
      </c>
      <c r="C53" s="2410"/>
      <c r="D53" s="2410"/>
      <c r="E53" s="2266"/>
      <c r="F53" s="2452">
        <f>SUM(C53:E53)</f>
        <v>0</v>
      </c>
    </row>
    <row r="54" spans="1:6" s="2326" customFormat="1" ht="12.95" hidden="1" customHeight="1" outlineLevel="1" thickBot="1">
      <c r="A54" s="2459" t="s">
        <v>2074</v>
      </c>
      <c r="B54" s="2314"/>
      <c r="C54" s="2458">
        <v>0</v>
      </c>
      <c r="D54" s="2458">
        <v>0</v>
      </c>
      <c r="E54" s="2262">
        <f>[9]paao!$G$67</f>
        <v>110000</v>
      </c>
      <c r="F54" s="2457">
        <v>0</v>
      </c>
    </row>
    <row r="55" spans="1:6" s="2233" customFormat="1" ht="15" customHeight="1" outlineLevel="2" thickBot="1">
      <c r="A55" s="2350" t="s">
        <v>366</v>
      </c>
      <c r="B55" s="2258"/>
      <c r="C55" s="1420">
        <f>SUM(C7+C26+C50)</f>
        <v>0</v>
      </c>
      <c r="D55" s="1420">
        <f>SUM(D7+D26+D50)</f>
        <v>0</v>
      </c>
      <c r="E55" s="1420">
        <f>SUM(E7+E26+E50)</f>
        <v>3350000</v>
      </c>
      <c r="F55" s="2257">
        <f>SUM(F7+F26+F50)</f>
        <v>3350000</v>
      </c>
    </row>
    <row r="56" spans="1:6" ht="15" customHeight="1" thickTop="1">
      <c r="A56" s="2438" t="s">
        <v>1785</v>
      </c>
      <c r="B56" s="2437"/>
      <c r="C56" s="2436"/>
      <c r="D56" s="2435"/>
      <c r="E56" s="2434" t="s">
        <v>2073</v>
      </c>
      <c r="F56" s="2433"/>
    </row>
    <row r="57" spans="1:6" ht="15" customHeight="1">
      <c r="A57" s="2254"/>
      <c r="B57" s="2250"/>
      <c r="C57" s="1437"/>
      <c r="D57" s="1437"/>
      <c r="E57" s="1437"/>
      <c r="F57" s="2249"/>
    </row>
    <row r="58" spans="1:6" ht="15" customHeight="1">
      <c r="A58" s="2254"/>
      <c r="B58" s="2250"/>
      <c r="C58" s="1437"/>
      <c r="D58" s="1437"/>
      <c r="E58" s="1437"/>
      <c r="F58" s="2249"/>
    </row>
    <row r="59" spans="1:6" s="1403" customFormat="1" ht="13.5" customHeight="1">
      <c r="A59" s="2247" t="s">
        <v>2017</v>
      </c>
      <c r="B59" s="4827" t="s">
        <v>787</v>
      </c>
      <c r="C59" s="4827"/>
      <c r="D59" s="4827"/>
      <c r="E59" s="4828" t="s">
        <v>359</v>
      </c>
      <c r="F59" s="4829"/>
    </row>
    <row r="60" spans="1:6" s="1404" customFormat="1" ht="12.75" customHeight="1">
      <c r="A60" s="2246" t="s">
        <v>2016</v>
      </c>
      <c r="B60" s="4830" t="s">
        <v>1781</v>
      </c>
      <c r="C60" s="4830"/>
      <c r="D60" s="4830"/>
      <c r="E60" s="4831" t="s">
        <v>356</v>
      </c>
      <c r="F60" s="4832"/>
    </row>
    <row r="61" spans="1:6" s="1404" customFormat="1" ht="12.75" customHeight="1" thickBot="1">
      <c r="A61" s="2397"/>
      <c r="B61" s="4844"/>
      <c r="C61" s="4844"/>
      <c r="D61" s="4844"/>
      <c r="E61" s="4845"/>
      <c r="F61" s="4846"/>
    </row>
    <row r="62" spans="1:6" s="1404" customFormat="1" ht="13.5">
      <c r="A62" s="2236"/>
      <c r="B62" s="2235"/>
      <c r="C62" s="1406"/>
      <c r="D62" s="1406"/>
      <c r="E62" s="1406"/>
      <c r="F62" s="1406"/>
    </row>
    <row r="63" spans="1:6" s="1404" customFormat="1" ht="12" customHeight="1">
      <c r="B63" s="2235"/>
      <c r="C63" s="1406"/>
      <c r="D63" s="1406"/>
      <c r="E63" s="1406"/>
      <c r="F63" s="1406"/>
    </row>
    <row r="64" spans="1:6" s="2234" customFormat="1" ht="12" customHeight="1">
      <c r="B64" s="2233"/>
    </row>
  </sheetData>
  <mergeCells count="15">
    <mergeCell ref="E60:F60"/>
    <mergeCell ref="B61:D61"/>
    <mergeCell ref="E61:F61"/>
    <mergeCell ref="B60:D60"/>
    <mergeCell ref="A1:F1"/>
    <mergeCell ref="A2:F2"/>
    <mergeCell ref="A3:F3"/>
    <mergeCell ref="A4:A5"/>
    <mergeCell ref="B4:B5"/>
    <mergeCell ref="C4:C5"/>
    <mergeCell ref="D4:D5"/>
    <mergeCell ref="E4:E5"/>
    <mergeCell ref="F4:F5"/>
    <mergeCell ref="B59:D59"/>
    <mergeCell ref="E59:F59"/>
  </mergeCells>
  <pageMargins left="0.5" right="0" top="1" bottom="0.75" header="0.5" footer="0.75"/>
  <pageSetup paperSize="5" orientation="portrait" verticalDpi="300" r:id="rId1"/>
  <headerFooter>
    <oddHeader>&amp;L&amp;"Arial,Italic"&amp;9Local Budget Preparation Form No. 7
Page &amp;P of &amp;N</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outlinePr summaryBelow="0"/>
  </sheetPr>
  <dimension ref="A1:EU33"/>
  <sheetViews>
    <sheetView showGridLines="0" showOutlineSymbols="0" zoomScaleNormal="100" workbookViewId="0">
      <selection activeCell="L21" sqref="L21"/>
    </sheetView>
  </sheetViews>
  <sheetFormatPr defaultColWidth="12.5703125" defaultRowHeight="15.75" outlineLevelRow="2" outlineLevelCol="2"/>
  <cols>
    <col min="1" max="1" width="2.28515625" style="2462" customWidth="1"/>
    <col min="2" max="2" width="3.7109375" style="2462" customWidth="1"/>
    <col min="3" max="3" width="1.85546875" style="2462" customWidth="1"/>
    <col min="4" max="4" width="25.5703125" style="2462" customWidth="1"/>
    <col min="5" max="5" width="9.7109375" style="2462" customWidth="1"/>
    <col min="6" max="6" width="10.85546875" style="2462" customWidth="1"/>
    <col min="7" max="7" width="11.85546875" style="2462" customWidth="1"/>
    <col min="8" max="8" width="14" style="2462" customWidth="1"/>
    <col min="9" max="10" width="10.5703125" style="2462" customWidth="1"/>
    <col min="11" max="11" width="14.140625" style="2462" customWidth="1"/>
    <col min="12" max="50" width="12.5703125" style="2462"/>
    <col min="51" max="55" width="12.5703125" style="2462" outlineLevel="1"/>
    <col min="56" max="61" width="12.5703125" style="2462" outlineLevel="2"/>
    <col min="62" max="64" width="12.5703125" style="2462" outlineLevel="1"/>
    <col min="65" max="84" width="12.5703125" style="2462"/>
    <col min="85" max="88" width="12.5703125" style="2462" outlineLevel="1"/>
    <col min="89" max="136" width="12.5703125" style="2462"/>
    <col min="137" max="142" width="12.5703125" style="2462" outlineLevel="1"/>
    <col min="143" max="148" width="12.5703125" style="2462" outlineLevel="2"/>
    <col min="149" max="151" width="12.5703125" style="2462" outlineLevel="1"/>
    <col min="152" max="16384" width="12.5703125" style="2462"/>
  </cols>
  <sheetData>
    <row r="1" spans="1:10" s="2525" customFormat="1" ht="12.75">
      <c r="A1" s="2527" t="s">
        <v>473</v>
      </c>
      <c r="B1" s="1403"/>
      <c r="C1" s="1403"/>
      <c r="D1" s="1403"/>
      <c r="E1" s="1403"/>
      <c r="F1" s="1403"/>
      <c r="G1" s="2527"/>
      <c r="H1" s="2527"/>
      <c r="I1" s="2527"/>
      <c r="J1" s="2527"/>
    </row>
    <row r="2" spans="1:10" s="2525" customFormat="1" ht="14.25" customHeight="1">
      <c r="A2" s="2526" t="s">
        <v>584</v>
      </c>
      <c r="B2" s="1403"/>
      <c r="C2" s="1403"/>
      <c r="D2" s="1403"/>
      <c r="E2" s="1403"/>
      <c r="F2" s="1403"/>
      <c r="G2" s="2526"/>
      <c r="H2" s="2526"/>
      <c r="I2" s="2526"/>
      <c r="J2" s="2526"/>
    </row>
    <row r="3" spans="1:10" s="2525" customFormat="1" ht="14.25" customHeight="1">
      <c r="A3" s="2526"/>
      <c r="B3" s="1403"/>
      <c r="C3" s="1403"/>
      <c r="D3" s="1403"/>
      <c r="E3" s="1403"/>
      <c r="F3" s="1403"/>
      <c r="G3" s="2526"/>
      <c r="H3" s="2526"/>
      <c r="I3" s="2526"/>
      <c r="J3" s="2526"/>
    </row>
    <row r="4" spans="1:10" s="2525" customFormat="1" ht="14.25" customHeight="1">
      <c r="A4" s="4741" t="s">
        <v>471</v>
      </c>
      <c r="B4" s="4741"/>
      <c r="C4" s="4741"/>
      <c r="D4" s="4741"/>
      <c r="E4" s="4741"/>
      <c r="F4" s="4741"/>
      <c r="G4" s="4741"/>
      <c r="H4" s="4741"/>
      <c r="I4" s="4741"/>
      <c r="J4" s="4741"/>
    </row>
    <row r="5" spans="1:10" s="2525" customFormat="1" ht="14.25" customHeight="1">
      <c r="A5" s="4742" t="s">
        <v>746</v>
      </c>
      <c r="B5" s="4742"/>
      <c r="C5" s="4742"/>
      <c r="D5" s="4742"/>
      <c r="E5" s="4742"/>
      <c r="F5" s="4742"/>
      <c r="G5" s="4742"/>
      <c r="H5" s="4742"/>
      <c r="I5" s="4742"/>
      <c r="J5" s="4742"/>
    </row>
    <row r="6" spans="1:10" s="2233" customFormat="1" ht="14.25" customHeight="1">
      <c r="A6" s="2524" t="s">
        <v>350</v>
      </c>
      <c r="B6" s="1403"/>
      <c r="C6" s="2523" t="s">
        <v>2107</v>
      </c>
      <c r="D6" s="2522" t="s">
        <v>2106</v>
      </c>
      <c r="E6" s="1403"/>
      <c r="F6" s="1403"/>
      <c r="G6" s="1403"/>
      <c r="H6" s="1403"/>
      <c r="I6" s="1403"/>
      <c r="J6" s="1403"/>
    </row>
    <row r="7" spans="1:10" s="2233" customFormat="1" ht="14.25" customHeight="1">
      <c r="A7" s="2524"/>
      <c r="B7" s="1403"/>
      <c r="C7" s="2523"/>
      <c r="D7" s="2522"/>
      <c r="E7" s="1403"/>
      <c r="F7" s="1403"/>
      <c r="G7" s="1403"/>
      <c r="H7" s="1403"/>
      <c r="I7" s="1403"/>
      <c r="J7" s="1403"/>
    </row>
    <row r="8" spans="1:10" s="2473" customFormat="1" ht="14.25" customHeight="1">
      <c r="A8" s="4743" t="s">
        <v>468</v>
      </c>
      <c r="B8" s="4861"/>
      <c r="C8" s="4861"/>
      <c r="D8" s="4744"/>
      <c r="E8" s="2521" t="s">
        <v>467</v>
      </c>
      <c r="F8" s="2520" t="s">
        <v>466</v>
      </c>
      <c r="G8" s="4864" t="s">
        <v>465</v>
      </c>
      <c r="H8" s="4865"/>
      <c r="I8" s="4866"/>
      <c r="J8" s="2519" t="s">
        <v>464</v>
      </c>
    </row>
    <row r="9" spans="1:10" s="2473" customFormat="1" ht="14.25" customHeight="1">
      <c r="A9" s="4745"/>
      <c r="B9" s="4862"/>
      <c r="C9" s="4862"/>
      <c r="D9" s="4746"/>
      <c r="E9" s="2518" t="s">
        <v>463</v>
      </c>
      <c r="F9" s="2516">
        <v>2020</v>
      </c>
      <c r="G9" s="2517" t="s">
        <v>462</v>
      </c>
      <c r="H9" s="2517" t="s">
        <v>461</v>
      </c>
      <c r="I9" s="2516" t="s">
        <v>244</v>
      </c>
      <c r="J9" s="2516">
        <v>2022</v>
      </c>
    </row>
    <row r="10" spans="1:10" s="2473" customFormat="1" ht="14.25" customHeight="1">
      <c r="A10" s="4747"/>
      <c r="B10" s="4863"/>
      <c r="C10" s="4863"/>
      <c r="D10" s="4748"/>
      <c r="E10" s="2515"/>
      <c r="F10" s="2513" t="s">
        <v>460</v>
      </c>
      <c r="G10" s="2513" t="s">
        <v>460</v>
      </c>
      <c r="H10" s="2513" t="s">
        <v>459</v>
      </c>
      <c r="I10" s="2514"/>
      <c r="J10" s="2513" t="s">
        <v>458</v>
      </c>
    </row>
    <row r="11" spans="1:10" s="2233" customFormat="1" ht="20.100000000000001" customHeight="1">
      <c r="A11" s="2512" t="s">
        <v>2105</v>
      </c>
      <c r="B11" s="2511"/>
      <c r="C11" s="2511"/>
      <c r="D11" s="1514"/>
      <c r="E11" s="1428"/>
      <c r="F11" s="1427"/>
      <c r="G11" s="1427"/>
      <c r="H11" s="1427"/>
      <c r="I11" s="1424"/>
      <c r="J11" s="1424"/>
    </row>
    <row r="12" spans="1:10" s="2504" customFormat="1" ht="16.7" customHeight="1" outlineLevel="1">
      <c r="A12" s="2510" t="s">
        <v>1473</v>
      </c>
      <c r="B12" s="2509"/>
      <c r="C12" s="2508"/>
      <c r="D12" s="2507"/>
      <c r="E12" s="2506"/>
      <c r="F12" s="2505">
        <f>SUM(F14:F27)</f>
        <v>4167065.0500000003</v>
      </c>
      <c r="G12" s="2505">
        <f>SUM(G13:G27)</f>
        <v>425169.61</v>
      </c>
      <c r="H12" s="2505">
        <f>SUM(H13:H27)</f>
        <v>3724830.3899999997</v>
      </c>
      <c r="I12" s="2505">
        <f>SUM(I13:I27)</f>
        <v>4150000</v>
      </c>
      <c r="J12" s="2505">
        <f>SUM(J14:J27)</f>
        <v>6040000</v>
      </c>
    </row>
    <row r="13" spans="1:10" s="2233" customFormat="1" ht="16.7" customHeight="1" outlineLevel="1">
      <c r="A13" s="2503" t="s">
        <v>678</v>
      </c>
      <c r="B13" s="2502"/>
      <c r="C13" s="2501"/>
      <c r="D13" s="2500"/>
      <c r="E13" s="2499" t="s">
        <v>677</v>
      </c>
      <c r="F13" s="2498"/>
      <c r="G13" s="2497"/>
      <c r="H13" s="2497"/>
      <c r="I13" s="2496"/>
      <c r="J13" s="2495"/>
    </row>
    <row r="14" spans="1:10" s="2233" customFormat="1" ht="16.7" customHeight="1" outlineLevel="1">
      <c r="A14" s="2489" t="s">
        <v>2104</v>
      </c>
      <c r="B14" s="2487"/>
      <c r="C14" s="2486"/>
      <c r="D14" s="2485"/>
      <c r="E14" s="2484"/>
      <c r="F14" s="2482">
        <v>215043.21</v>
      </c>
      <c r="G14" s="2483">
        <v>76419.64</v>
      </c>
      <c r="H14" s="2483">
        <f>I14-G14</f>
        <v>173580.36</v>
      </c>
      <c r="I14" s="2482">
        <v>250000</v>
      </c>
      <c r="J14" s="2482">
        <f>[10]RELEASE!$E$12</f>
        <v>250000</v>
      </c>
    </row>
    <row r="15" spans="1:10" s="2233" customFormat="1" ht="16.7" customHeight="1" outlineLevel="1">
      <c r="A15" s="2489" t="s">
        <v>395</v>
      </c>
      <c r="B15" s="2487"/>
      <c r="C15" s="2486"/>
      <c r="D15" s="2485"/>
      <c r="E15" s="2484"/>
      <c r="F15" s="2482">
        <v>687729.7</v>
      </c>
      <c r="G15" s="2483">
        <v>0</v>
      </c>
      <c r="H15" s="2483">
        <f>I15-G15</f>
        <v>500000</v>
      </c>
      <c r="I15" s="2482">
        <v>500000</v>
      </c>
      <c r="J15" s="2482">
        <f>[10]RELEASE!$F$12</f>
        <v>500000</v>
      </c>
    </row>
    <row r="16" spans="1:10" s="2481" customFormat="1" ht="16.5" customHeight="1" outlineLevel="1">
      <c r="A16" s="2489" t="s">
        <v>2103</v>
      </c>
      <c r="B16" s="2487"/>
      <c r="C16" s="2486"/>
      <c r="D16" s="2485"/>
      <c r="E16" s="2484"/>
      <c r="F16" s="2482">
        <v>12271.96</v>
      </c>
      <c r="G16" s="2483">
        <v>0</v>
      </c>
      <c r="H16" s="2483">
        <f>I16-G16</f>
        <v>60000</v>
      </c>
      <c r="I16" s="2482">
        <v>60000</v>
      </c>
      <c r="J16" s="2482">
        <v>0</v>
      </c>
    </row>
    <row r="17" spans="1:11" s="2473" customFormat="1" ht="16.7" customHeight="1" outlineLevel="1">
      <c r="A17" s="2489" t="s">
        <v>368</v>
      </c>
      <c r="B17" s="2487"/>
      <c r="C17" s="2486"/>
      <c r="D17" s="2494"/>
      <c r="E17" s="2491"/>
      <c r="F17" s="2483">
        <v>278388</v>
      </c>
      <c r="G17" s="2483">
        <v>254000</v>
      </c>
      <c r="H17" s="2483">
        <f>I17-G17</f>
        <v>46000</v>
      </c>
      <c r="I17" s="2482">
        <v>300000</v>
      </c>
      <c r="J17" s="2492">
        <v>500000</v>
      </c>
    </row>
    <row r="18" spans="1:11" s="2473" customFormat="1" ht="16.7" customHeight="1" outlineLevel="1">
      <c r="A18" s="2489" t="s">
        <v>2098</v>
      </c>
      <c r="B18" s="2487"/>
      <c r="C18" s="2486"/>
      <c r="D18" s="2493"/>
      <c r="E18" s="2491"/>
      <c r="F18" s="2483"/>
      <c r="G18" s="2483"/>
      <c r="H18" s="2483"/>
      <c r="I18" s="2482"/>
      <c r="J18" s="2492"/>
    </row>
    <row r="19" spans="1:11" s="2490" customFormat="1" ht="16.5" customHeight="1" outlineLevel="1">
      <c r="A19" s="2488" t="s">
        <v>2102</v>
      </c>
      <c r="B19" s="2487"/>
      <c r="C19" s="2486"/>
      <c r="D19" s="2485"/>
      <c r="E19" s="2491"/>
      <c r="F19" s="2483">
        <v>2824900</v>
      </c>
      <c r="G19" s="2483">
        <v>0</v>
      </c>
      <c r="H19" s="2483">
        <f>[10]RELEASE!$J$21</f>
        <v>2328000</v>
      </c>
      <c r="I19" s="2482">
        <f>G19+H19</f>
        <v>2328000</v>
      </c>
      <c r="J19" s="2492">
        <v>4398000</v>
      </c>
    </row>
    <row r="20" spans="1:11" s="2490" customFormat="1" ht="16.5" customHeight="1" outlineLevel="1">
      <c r="A20" s="2489" t="s">
        <v>2098</v>
      </c>
      <c r="B20" s="2487"/>
      <c r="C20" s="2486"/>
      <c r="D20" s="2485"/>
      <c r="E20" s="2484"/>
      <c r="F20" s="2482"/>
      <c r="G20" s="2483"/>
      <c r="H20" s="2483"/>
      <c r="I20" s="2482"/>
      <c r="J20" s="2482"/>
    </row>
    <row r="21" spans="1:11" s="2481" customFormat="1" ht="16.5" customHeight="1" outlineLevel="1">
      <c r="A21" s="2488" t="s">
        <v>2101</v>
      </c>
      <c r="B21" s="2487"/>
      <c r="C21" s="2486"/>
      <c r="D21" s="2485"/>
      <c r="E21" s="2484"/>
      <c r="F21" s="2482">
        <v>144000</v>
      </c>
      <c r="G21" s="2483">
        <v>94749.97</v>
      </c>
      <c r="H21" s="2483">
        <f>I21-G21</f>
        <v>97250.03</v>
      </c>
      <c r="I21" s="2482">
        <v>192000</v>
      </c>
      <c r="J21" s="2482">
        <f>[10]RELEASE!$K$12</f>
        <v>192000</v>
      </c>
    </row>
    <row r="22" spans="1:11" s="2490" customFormat="1" ht="16.5" customHeight="1" outlineLevel="1">
      <c r="A22" s="2489" t="s">
        <v>2098</v>
      </c>
      <c r="B22" s="2487"/>
      <c r="C22" s="2486"/>
      <c r="D22" s="2485"/>
      <c r="E22" s="2491"/>
      <c r="F22" s="2482"/>
      <c r="G22" s="2483"/>
      <c r="H22" s="2483"/>
      <c r="I22" s="2482"/>
      <c r="J22" s="2482"/>
    </row>
    <row r="23" spans="1:11" s="2490" customFormat="1" ht="16.5" customHeight="1" outlineLevel="1">
      <c r="A23" s="2488" t="s">
        <v>2100</v>
      </c>
      <c r="B23" s="2487"/>
      <c r="C23" s="2486"/>
      <c r="D23" s="2485"/>
      <c r="E23" s="2491"/>
      <c r="F23" s="2482">
        <v>0</v>
      </c>
      <c r="G23" s="2483">
        <f>'[11]3311JUNE 2020'!$E$19</f>
        <v>0</v>
      </c>
      <c r="H23" s="2483">
        <f>'[11]3311JUNE 2020'!$F$19</f>
        <v>300000</v>
      </c>
      <c r="I23" s="2482">
        <v>300000</v>
      </c>
      <c r="J23" s="2482">
        <v>0</v>
      </c>
    </row>
    <row r="24" spans="1:11" s="2490" customFormat="1" ht="16.5" customHeight="1" outlineLevel="1">
      <c r="A24" s="2489" t="s">
        <v>2098</v>
      </c>
      <c r="B24" s="2487"/>
      <c r="C24" s="2486"/>
      <c r="D24" s="2485"/>
      <c r="E24" s="2484"/>
      <c r="F24" s="2482"/>
      <c r="G24" s="2483"/>
      <c r="H24" s="2483"/>
      <c r="I24" s="2482"/>
      <c r="J24" s="2482"/>
    </row>
    <row r="25" spans="1:11" s="2490" customFormat="1" ht="16.5" customHeight="1" outlineLevel="1">
      <c r="A25" s="2488" t="s">
        <v>2099</v>
      </c>
      <c r="B25" s="2487"/>
      <c r="C25" s="2486"/>
      <c r="D25" s="2485"/>
      <c r="E25" s="2484"/>
      <c r="F25" s="2482">
        <v>0</v>
      </c>
      <c r="G25" s="2483">
        <f>'[11]3311JUNE 2020'!$E$20</f>
        <v>0</v>
      </c>
      <c r="H25" s="2483">
        <f>'[11]3311JUNE 2020'!$F$20</f>
        <v>200000</v>
      </c>
      <c r="I25" s="2482">
        <f>G25+H25</f>
        <v>200000</v>
      </c>
      <c r="J25" s="2482">
        <f>[10]RELEASE!$M$12</f>
        <v>200000</v>
      </c>
    </row>
    <row r="26" spans="1:11" s="2481" customFormat="1" ht="16.5" customHeight="1" outlineLevel="1">
      <c r="A26" s="2489" t="s">
        <v>2098</v>
      </c>
      <c r="B26" s="2487"/>
      <c r="C26" s="2486"/>
      <c r="D26" s="2485"/>
      <c r="E26" s="2484"/>
      <c r="F26" s="2482"/>
      <c r="G26" s="2483"/>
      <c r="H26" s="2483"/>
      <c r="I26" s="2482"/>
      <c r="J26" s="2482"/>
    </row>
    <row r="27" spans="1:11" s="2481" customFormat="1" ht="16.5" customHeight="1" outlineLevel="1">
      <c r="A27" s="2488" t="s">
        <v>2097</v>
      </c>
      <c r="B27" s="2487"/>
      <c r="C27" s="2486"/>
      <c r="D27" s="2485"/>
      <c r="E27" s="2484"/>
      <c r="F27" s="2482">
        <v>4732.18</v>
      </c>
      <c r="G27" s="2483">
        <v>0</v>
      </c>
      <c r="H27" s="2483">
        <v>20000</v>
      </c>
      <c r="I27" s="2482">
        <v>20000</v>
      </c>
      <c r="J27" s="2482">
        <v>0</v>
      </c>
    </row>
    <row r="28" spans="1:11" s="2419" customFormat="1" ht="20.100000000000001" customHeight="1" outlineLevel="2" thickBot="1">
      <c r="A28" s="2480" t="s">
        <v>2096</v>
      </c>
      <c r="B28" s="1418"/>
      <c r="C28" s="1418"/>
      <c r="D28" s="1418"/>
      <c r="E28" s="2479"/>
      <c r="F28" s="2478">
        <f>F12</f>
        <v>4167065.0500000003</v>
      </c>
      <c r="G28" s="2478">
        <f>G12</f>
        <v>425169.61</v>
      </c>
      <c r="H28" s="2478">
        <f>H12</f>
        <v>3724830.3899999997</v>
      </c>
      <c r="I28" s="2478">
        <f>I12</f>
        <v>4150000</v>
      </c>
      <c r="J28" s="2478">
        <f>J12</f>
        <v>6040000</v>
      </c>
    </row>
    <row r="29" spans="1:11" s="2473" customFormat="1" ht="19.5" customHeight="1" thickTop="1">
      <c r="A29" s="2233" t="s">
        <v>364</v>
      </c>
      <c r="B29" s="2477"/>
      <c r="C29" s="2233"/>
      <c r="D29" s="2233"/>
      <c r="E29" s="2476" t="s">
        <v>363</v>
      </c>
      <c r="F29" s="2233"/>
      <c r="G29" s="2476"/>
      <c r="H29" s="2476" t="s">
        <v>870</v>
      </c>
      <c r="I29" s="2233"/>
      <c r="J29" s="2233"/>
    </row>
    <row r="30" spans="1:11" s="2473" customFormat="1" ht="10.5" customHeight="1">
      <c r="E30" s="2475"/>
    </row>
    <row r="31" spans="1:11" s="2473" customFormat="1" ht="18" customHeight="1">
      <c r="G31" s="2474"/>
    </row>
    <row r="32" spans="1:11" s="2468" customFormat="1" ht="13.5">
      <c r="B32" s="2472" t="s">
        <v>2095</v>
      </c>
      <c r="C32" s="1403"/>
      <c r="D32" s="2471"/>
      <c r="E32" s="4867" t="s">
        <v>360</v>
      </c>
      <c r="F32" s="4867"/>
      <c r="G32" s="2470"/>
      <c r="H32" s="4741" t="s">
        <v>359</v>
      </c>
      <c r="I32" s="4741"/>
      <c r="J32" s="4741"/>
      <c r="K32" s="2469"/>
    </row>
    <row r="33" spans="2:11" s="2463" customFormat="1" ht="13.5">
      <c r="B33" s="2467" t="s">
        <v>2094</v>
      </c>
      <c r="C33" s="2235"/>
      <c r="D33" s="2466"/>
      <c r="E33" s="4757" t="s">
        <v>357</v>
      </c>
      <c r="F33" s="4757"/>
      <c r="G33" s="2465"/>
      <c r="H33" s="4860" t="s">
        <v>356</v>
      </c>
      <c r="I33" s="4860"/>
      <c r="J33" s="4860"/>
      <c r="K33" s="2464"/>
    </row>
  </sheetData>
  <mergeCells count="8">
    <mergeCell ref="E33:F33"/>
    <mergeCell ref="H33:J33"/>
    <mergeCell ref="A4:J4"/>
    <mergeCell ref="A5:J5"/>
    <mergeCell ref="A8:D10"/>
    <mergeCell ref="G8:I8"/>
    <mergeCell ref="E32:F32"/>
    <mergeCell ref="H32:J32"/>
  </mergeCells>
  <pageMargins left="0.36" right="0.27" top="0.75" bottom="0.75" header="0.3" footer="0.3"/>
  <pageSetup paperSize="5" orientation="portrait"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550"/>
  <sheetViews>
    <sheetView showGridLines="0" showOutlineSymbols="0" workbookViewId="0">
      <pane xSplit="18525" topLeftCell="ET1"/>
      <selection activeCell="H15" sqref="H15"/>
      <selection pane="topRight" activeCell="ET1" sqref="ET1"/>
    </sheetView>
  </sheetViews>
  <sheetFormatPr defaultColWidth="12.5703125" defaultRowHeight="15.75" outlineLevelRow="1" outlineLevelCol="2"/>
  <cols>
    <col min="1" max="1" width="1.85546875" style="2462" customWidth="1"/>
    <col min="2" max="2" width="28.7109375" style="2462" customWidth="1"/>
    <col min="3" max="3" width="9.5703125" style="2462" customWidth="1"/>
    <col min="4" max="4" width="13.28515625" style="2462" customWidth="1"/>
    <col min="5" max="5" width="11.5703125" style="2462" customWidth="1"/>
    <col min="6" max="7" width="13.28515625" style="2462" customWidth="1"/>
    <col min="8" max="8" width="11.42578125" style="2462" customWidth="1"/>
    <col min="9" max="9" width="13.5703125" style="2528" bestFit="1" customWidth="1"/>
    <col min="10"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7" spans="1:15" s="1390" customFormat="1" ht="14.25" customHeight="1">
      <c r="A7" s="1578"/>
      <c r="B7" s="1578"/>
      <c r="C7" s="2613"/>
      <c r="D7" s="1578"/>
      <c r="E7" s="1578"/>
      <c r="F7" s="1578"/>
      <c r="G7" s="1578"/>
      <c r="H7" s="1578"/>
    </row>
    <row r="8" spans="1:15" s="1390" customFormat="1" ht="14.25" customHeight="1">
      <c r="A8" s="1577" t="s">
        <v>2120</v>
      </c>
      <c r="C8" s="2525"/>
      <c r="D8" s="1403"/>
      <c r="E8" s="1403"/>
      <c r="F8" s="1403"/>
      <c r="G8" s="1403"/>
      <c r="H8" s="1403"/>
    </row>
    <row r="9" spans="1:15" s="1390" customFormat="1" ht="14.25" customHeight="1">
      <c r="B9" s="2612" t="s">
        <v>2119</v>
      </c>
      <c r="C9" s="2525"/>
      <c r="D9" s="1403"/>
      <c r="E9" s="1403"/>
      <c r="F9" s="1403"/>
      <c r="G9" s="1403"/>
      <c r="H9" s="1403"/>
    </row>
    <row r="10" spans="1:15" s="2463" customFormat="1" ht="13.5">
      <c r="C10" s="2611"/>
      <c r="D10" s="2610"/>
      <c r="E10" s="2609"/>
      <c r="F10" s="1472"/>
      <c r="G10" s="2526"/>
      <c r="H10" s="2609"/>
      <c r="I10" s="2579"/>
      <c r="J10" s="2579"/>
      <c r="K10" s="2579"/>
      <c r="L10" s="2579"/>
      <c r="M10" s="2579"/>
      <c r="N10" s="2579"/>
      <c r="O10" s="2579"/>
    </row>
    <row r="11" spans="1:15" s="2463" customFormat="1" ht="13.5">
      <c r="A11" s="4743" t="s">
        <v>468</v>
      </c>
      <c r="B11" s="4744"/>
      <c r="C11" s="2607" t="s">
        <v>467</v>
      </c>
      <c r="D11" s="2608" t="s">
        <v>466</v>
      </c>
      <c r="E11" s="4869" t="s">
        <v>465</v>
      </c>
      <c r="F11" s="4870"/>
      <c r="G11" s="4871"/>
      <c r="H11" s="2607" t="s">
        <v>464</v>
      </c>
      <c r="I11" s="2579"/>
      <c r="J11" s="2579"/>
      <c r="K11" s="2579"/>
      <c r="L11" s="2579"/>
      <c r="M11" s="2579"/>
      <c r="N11" s="2579"/>
      <c r="O11" s="2579"/>
    </row>
    <row r="12" spans="1:15" s="2463" customFormat="1" ht="13.5">
      <c r="A12" s="4745"/>
      <c r="B12" s="4746"/>
      <c r="C12" s="2606" t="s">
        <v>463</v>
      </c>
      <c r="D12" s="2517">
        <v>2020</v>
      </c>
      <c r="E12" s="2517" t="s">
        <v>2118</v>
      </c>
      <c r="F12" s="2517" t="s">
        <v>2117</v>
      </c>
      <c r="G12" s="2517" t="s">
        <v>244</v>
      </c>
      <c r="H12" s="2517" t="s">
        <v>652</v>
      </c>
      <c r="I12" s="2579"/>
      <c r="J12" s="2579"/>
      <c r="K12" s="2579"/>
      <c r="L12" s="2579"/>
      <c r="M12" s="2579"/>
      <c r="N12" s="2579"/>
      <c r="O12" s="2579"/>
    </row>
    <row r="13" spans="1:15" s="2463" customFormat="1" ht="13.5">
      <c r="A13" s="4747"/>
      <c r="B13" s="4748"/>
      <c r="C13" s="2604"/>
      <c r="D13" s="2602" t="s">
        <v>460</v>
      </c>
      <c r="E13" s="2513" t="s">
        <v>460</v>
      </c>
      <c r="F13" s="2602" t="s">
        <v>459</v>
      </c>
      <c r="G13" s="2603"/>
      <c r="H13" s="2602" t="s">
        <v>458</v>
      </c>
      <c r="I13" s="2579"/>
      <c r="J13" s="2579"/>
      <c r="K13" s="2579"/>
      <c r="L13" s="2579"/>
      <c r="M13" s="2579"/>
      <c r="N13" s="2579"/>
      <c r="O13" s="2579"/>
    </row>
    <row r="14" spans="1:15" s="2463" customFormat="1" ht="15" customHeight="1">
      <c r="A14" s="2601" t="s">
        <v>2011</v>
      </c>
      <c r="B14" s="2605"/>
      <c r="C14" s="2604"/>
      <c r="D14" s="2602"/>
      <c r="E14" s="2513"/>
      <c r="F14" s="2602"/>
      <c r="G14" s="2603"/>
      <c r="H14" s="2602"/>
      <c r="I14" s="2579"/>
      <c r="J14" s="2579"/>
      <c r="K14" s="2579"/>
      <c r="L14" s="2579"/>
      <c r="M14" s="2579"/>
      <c r="N14" s="2579"/>
      <c r="O14" s="2579"/>
    </row>
    <row r="15" spans="1:15" s="2463" customFormat="1" ht="15" customHeight="1" thickBot="1">
      <c r="A15" s="2601" t="s">
        <v>407</v>
      </c>
      <c r="B15" s="2600"/>
      <c r="C15" s="2599"/>
      <c r="D15" s="2598">
        <f>SUM(D16:D22)</f>
        <v>45390.3</v>
      </c>
      <c r="E15" s="2598">
        <f>SUM(E16:E22)</f>
        <v>47993.75</v>
      </c>
      <c r="F15" s="2480">
        <f>SUM(F16:F22)</f>
        <v>202006.25</v>
      </c>
      <c r="G15" s="2598">
        <f>SUM(G16:G27)</f>
        <v>250000</v>
      </c>
      <c r="H15" s="2598">
        <f>SUM(H16:H27)</f>
        <v>450000</v>
      </c>
      <c r="I15" s="2579"/>
      <c r="J15" s="2579"/>
      <c r="K15" s="2579"/>
      <c r="L15" s="2579"/>
      <c r="M15" s="2579"/>
      <c r="N15" s="2579"/>
      <c r="O15" s="2579"/>
    </row>
    <row r="16" spans="1:15" s="2463" customFormat="1" ht="20.100000000000001" customHeight="1" thickTop="1">
      <c r="A16" s="2597" t="s">
        <v>2116</v>
      </c>
      <c r="B16" s="2596"/>
      <c r="C16" s="2595" t="s">
        <v>403</v>
      </c>
      <c r="D16" s="2592">
        <v>0</v>
      </c>
      <c r="E16" s="2593">
        <v>3060</v>
      </c>
      <c r="F16" s="2594">
        <f>G16-E16</f>
        <v>46940</v>
      </c>
      <c r="G16" s="2593">
        <v>50000</v>
      </c>
      <c r="H16" s="2592">
        <v>50000</v>
      </c>
      <c r="I16" s="2579"/>
      <c r="J16" s="2579"/>
      <c r="K16" s="2579"/>
      <c r="L16" s="2579"/>
      <c r="M16" s="2579"/>
      <c r="N16" s="2579"/>
      <c r="O16" s="2579"/>
    </row>
    <row r="17" spans="1:15" s="2463" customFormat="1" ht="20.100000000000001" customHeight="1">
      <c r="A17" s="1536" t="s">
        <v>2115</v>
      </c>
      <c r="B17" s="1552"/>
      <c r="C17" s="735" t="s">
        <v>396</v>
      </c>
      <c r="D17" s="1428">
        <v>0</v>
      </c>
      <c r="E17" s="1427">
        <v>0</v>
      </c>
      <c r="F17" s="1454">
        <v>4000</v>
      </c>
      <c r="G17" s="1427">
        <v>4000</v>
      </c>
      <c r="H17" s="1532">
        <v>4000</v>
      </c>
      <c r="I17" s="2579"/>
      <c r="J17" s="2579"/>
      <c r="K17" s="2579"/>
      <c r="L17" s="2579"/>
      <c r="M17" s="2579"/>
      <c r="N17" s="2579"/>
      <c r="O17" s="2579"/>
    </row>
    <row r="18" spans="1:15" s="2463" customFormat="1" ht="20.100000000000001" customHeight="1">
      <c r="A18" s="1536" t="s">
        <v>878</v>
      </c>
      <c r="B18" s="1552"/>
      <c r="C18" s="2590" t="s">
        <v>394</v>
      </c>
      <c r="D18" s="1428">
        <v>18840.3</v>
      </c>
      <c r="E18" s="1427">
        <v>13783.75</v>
      </c>
      <c r="F18" s="1454">
        <f>G18-E18</f>
        <v>11216.25</v>
      </c>
      <c r="G18" s="1427">
        <v>25000</v>
      </c>
      <c r="H18" s="1427">
        <v>25000</v>
      </c>
      <c r="I18" s="2579"/>
      <c r="J18" s="2579"/>
      <c r="K18" s="2579"/>
      <c r="L18" s="2579"/>
      <c r="M18" s="2579"/>
      <c r="N18" s="2579"/>
      <c r="O18" s="2579"/>
    </row>
    <row r="19" spans="1:15" s="2463" customFormat="1" ht="20.100000000000001" customHeight="1">
      <c r="A19" s="2591" t="s">
        <v>2114</v>
      </c>
      <c r="B19" s="1519"/>
      <c r="C19" s="735" t="s">
        <v>392</v>
      </c>
      <c r="D19" s="1428">
        <v>0</v>
      </c>
      <c r="E19" s="1427">
        <v>0</v>
      </c>
      <c r="F19" s="1454">
        <v>1200</v>
      </c>
      <c r="G19" s="1427">
        <v>1200</v>
      </c>
      <c r="H19" s="1427">
        <v>1200</v>
      </c>
      <c r="I19" s="2579"/>
      <c r="J19" s="2579"/>
      <c r="K19" s="2579"/>
      <c r="L19" s="2579"/>
      <c r="M19" s="2579"/>
      <c r="N19" s="2579"/>
      <c r="O19" s="2579"/>
    </row>
    <row r="20" spans="1:15" s="2463" customFormat="1" ht="20.100000000000001" customHeight="1">
      <c r="A20" s="2591" t="s">
        <v>2113</v>
      </c>
      <c r="B20" s="1519"/>
      <c r="C20" s="735" t="s">
        <v>1898</v>
      </c>
      <c r="D20" s="1428">
        <v>0</v>
      </c>
      <c r="E20" s="1427">
        <v>0</v>
      </c>
      <c r="F20" s="1454">
        <v>5000</v>
      </c>
      <c r="G20" s="1427">
        <v>5000</v>
      </c>
      <c r="H20" s="1427">
        <v>5000</v>
      </c>
      <c r="I20" s="2579"/>
      <c r="J20" s="2579"/>
      <c r="K20" s="2579"/>
      <c r="L20" s="2579"/>
      <c r="M20" s="2579"/>
      <c r="N20" s="2579"/>
      <c r="O20" s="2579"/>
    </row>
    <row r="21" spans="1:15" s="2463" customFormat="1" ht="20.100000000000001" customHeight="1">
      <c r="A21" s="2591" t="s">
        <v>1888</v>
      </c>
      <c r="B21" s="1519"/>
      <c r="C21" s="735" t="s">
        <v>1887</v>
      </c>
      <c r="D21" s="1428">
        <v>0</v>
      </c>
      <c r="E21" s="1427">
        <v>0</v>
      </c>
      <c r="F21" s="1454">
        <v>12000</v>
      </c>
      <c r="G21" s="1427">
        <v>12000</v>
      </c>
      <c r="H21" s="1427">
        <v>12000</v>
      </c>
      <c r="I21" s="2579"/>
      <c r="J21" s="2579"/>
      <c r="K21" s="2579"/>
      <c r="L21" s="2579"/>
      <c r="M21" s="2579"/>
      <c r="N21" s="2579"/>
      <c r="O21" s="2579"/>
    </row>
    <row r="22" spans="1:15" s="2463" customFormat="1" ht="20.100000000000001" customHeight="1">
      <c r="A22" s="2591" t="s">
        <v>368</v>
      </c>
      <c r="B22" s="1519"/>
      <c r="C22" s="2590" t="s">
        <v>367</v>
      </c>
      <c r="D22" s="1428">
        <v>26550</v>
      </c>
      <c r="E22" s="1427">
        <v>31150</v>
      </c>
      <c r="F22" s="1454">
        <f>SUM(G22-E22)</f>
        <v>121650</v>
      </c>
      <c r="G22" s="1427">
        <v>152800</v>
      </c>
      <c r="H22" s="1427">
        <v>352800</v>
      </c>
      <c r="I22" s="2579"/>
      <c r="J22" s="2579"/>
      <c r="K22" s="2579"/>
      <c r="L22" s="2579"/>
      <c r="M22" s="2579"/>
      <c r="N22" s="2579"/>
      <c r="O22" s="2579"/>
    </row>
    <row r="23" spans="1:15" s="2463" customFormat="1" ht="20.100000000000001" customHeight="1">
      <c r="A23" s="2589"/>
      <c r="B23" s="2588"/>
      <c r="C23" s="531"/>
      <c r="D23" s="1428"/>
      <c r="E23" s="1427"/>
      <c r="F23" s="1454"/>
      <c r="G23" s="1427"/>
      <c r="H23" s="1427"/>
      <c r="I23" s="2579"/>
      <c r="J23" s="2579"/>
      <c r="K23" s="2579"/>
      <c r="L23" s="2579"/>
      <c r="M23" s="2579"/>
      <c r="N23" s="2579"/>
      <c r="O23" s="2579"/>
    </row>
    <row r="24" spans="1:15" s="2463" customFormat="1" ht="20.100000000000001" customHeight="1">
      <c r="A24" s="2589"/>
      <c r="B24" s="2588"/>
      <c r="C24" s="531"/>
      <c r="D24" s="1428"/>
      <c r="E24" s="1427"/>
      <c r="F24" s="1454"/>
      <c r="G24" s="1427"/>
      <c r="H24" s="1427"/>
      <c r="I24" s="2579"/>
      <c r="J24" s="2579"/>
      <c r="K24" s="2579"/>
      <c r="L24" s="2579"/>
      <c r="M24" s="2579"/>
      <c r="N24" s="2579"/>
      <c r="O24" s="2579"/>
    </row>
    <row r="25" spans="1:15" s="2463" customFormat="1" ht="20.100000000000001" customHeight="1">
      <c r="A25" s="2589"/>
      <c r="B25" s="2588"/>
      <c r="C25" s="531"/>
      <c r="D25" s="1428"/>
      <c r="E25" s="1427"/>
      <c r="F25" s="1454"/>
      <c r="G25" s="1427"/>
      <c r="H25" s="1427"/>
      <c r="I25" s="2579"/>
      <c r="J25" s="2579"/>
      <c r="K25" s="2579"/>
      <c r="L25" s="2579"/>
      <c r="M25" s="2579"/>
      <c r="N25" s="2579"/>
      <c r="O25" s="2579"/>
    </row>
    <row r="26" spans="1:15" s="2463" customFormat="1" ht="20.100000000000001" customHeight="1">
      <c r="A26" s="2589"/>
      <c r="B26" s="2588"/>
      <c r="C26" s="531"/>
      <c r="D26" s="1428"/>
      <c r="E26" s="1427"/>
      <c r="F26" s="1454"/>
      <c r="G26" s="1427"/>
      <c r="H26" s="1427"/>
      <c r="I26" s="2579"/>
      <c r="J26" s="2579"/>
      <c r="K26" s="2579"/>
      <c r="L26" s="2579"/>
      <c r="M26" s="2579"/>
      <c r="N26" s="2579"/>
      <c r="O26" s="2579"/>
    </row>
    <row r="27" spans="1:15" s="2463" customFormat="1" ht="20.100000000000001" customHeight="1">
      <c r="A27" s="2589"/>
      <c r="B27" s="2588"/>
      <c r="C27" s="1500"/>
      <c r="D27" s="1428"/>
      <c r="E27" s="1427"/>
      <c r="F27" s="1454"/>
      <c r="G27" s="1427"/>
      <c r="H27" s="1427"/>
      <c r="I27" s="2579"/>
      <c r="J27" s="2579"/>
      <c r="K27" s="2579"/>
      <c r="L27" s="2579"/>
      <c r="M27" s="2579"/>
      <c r="N27" s="2579"/>
      <c r="O27" s="2579"/>
    </row>
    <row r="28" spans="1:15" s="2463" customFormat="1" ht="20.100000000000001" customHeight="1">
      <c r="A28" s="2587"/>
      <c r="B28" s="2586"/>
      <c r="C28" s="2585"/>
      <c r="D28" s="1428"/>
      <c r="E28" s="1424"/>
      <c r="F28" s="1454"/>
      <c r="G28" s="1424"/>
      <c r="H28" s="1424"/>
      <c r="I28" s="2579"/>
      <c r="J28" s="2579"/>
      <c r="K28" s="2579"/>
      <c r="L28" s="2579"/>
      <c r="M28" s="2579"/>
      <c r="N28" s="2579"/>
      <c r="O28" s="2579"/>
    </row>
    <row r="29" spans="1:15" s="2463" customFormat="1" ht="20.100000000000001" customHeight="1" thickBot="1">
      <c r="A29" s="2480" t="s">
        <v>366</v>
      </c>
      <c r="B29" s="2584"/>
      <c r="C29" s="2583"/>
      <c r="D29" s="2480">
        <f>SUM(D16:D27)</f>
        <v>45390.3</v>
      </c>
      <c r="E29" s="2480">
        <f>SUM(E16:E27)</f>
        <v>47993.75</v>
      </c>
      <c r="F29" s="2480">
        <f>SUM(F16:F27)</f>
        <v>202006.25</v>
      </c>
      <c r="G29" s="2480">
        <f>SUM(G16:G27)</f>
        <v>250000</v>
      </c>
      <c r="H29" s="2480">
        <f>SUM(H16:H27)</f>
        <v>450000</v>
      </c>
      <c r="I29" s="2579"/>
      <c r="J29" s="2579"/>
      <c r="K29" s="2579"/>
      <c r="L29" s="2579"/>
      <c r="M29" s="2579"/>
      <c r="N29" s="2579"/>
      <c r="O29" s="2579"/>
    </row>
    <row r="30" spans="1:15" s="2288" customFormat="1" ht="19.5" customHeight="1" outlineLevel="1" thickTop="1">
      <c r="A30" s="1403" t="s">
        <v>2112</v>
      </c>
      <c r="B30" s="1390"/>
      <c r="C30" s="1403" t="s">
        <v>2111</v>
      </c>
      <c r="D30" s="1390"/>
      <c r="F30" s="2582" t="s">
        <v>2110</v>
      </c>
      <c r="G30" s="1403"/>
      <c r="H30" s="1390"/>
    </row>
    <row r="31" spans="1:15" s="2288" customFormat="1" ht="15.95" customHeight="1" outlineLevel="1">
      <c r="A31" s="1403"/>
      <c r="B31" s="1390"/>
      <c r="C31" s="1403"/>
      <c r="D31" s="1390"/>
      <c r="E31" s="2471"/>
      <c r="F31" s="2471"/>
      <c r="G31" s="1403"/>
      <c r="H31" s="1390"/>
    </row>
    <row r="32" spans="1:15" s="2288" customFormat="1" ht="10.5" customHeight="1" outlineLevel="1">
      <c r="A32" s="1390"/>
      <c r="B32" s="1403"/>
      <c r="C32" s="2581"/>
      <c r="D32" s="1403"/>
      <c r="E32" s="1403"/>
      <c r="F32" s="1403"/>
      <c r="G32" s="1403"/>
      <c r="H32" s="1390"/>
    </row>
    <row r="33" spans="1:15" s="2288" customFormat="1" ht="15.95" customHeight="1" outlineLevel="1">
      <c r="A33" s="4873" t="s">
        <v>2109</v>
      </c>
      <c r="B33" s="4873"/>
      <c r="C33" s="4760" t="s">
        <v>360</v>
      </c>
      <c r="D33" s="4760"/>
      <c r="E33" s="4760"/>
      <c r="F33" s="4741" t="s">
        <v>359</v>
      </c>
      <c r="G33" s="4741"/>
      <c r="H33" s="4741"/>
    </row>
    <row r="34" spans="1:15" s="2288" customFormat="1" ht="15.95" customHeight="1" outlineLevel="1">
      <c r="A34" s="2580"/>
      <c r="B34" s="2464" t="s">
        <v>2108</v>
      </c>
      <c r="C34" s="4754" t="s">
        <v>357</v>
      </c>
      <c r="D34" s="4754"/>
      <c r="E34" s="4754"/>
      <c r="F34" s="4868" t="s">
        <v>356</v>
      </c>
      <c r="G34" s="4868"/>
      <c r="H34" s="4868"/>
    </row>
    <row r="35" spans="1:15" s="2288" customFormat="1" ht="15.95" customHeight="1" outlineLevel="1">
      <c r="A35" s="4878"/>
      <c r="B35" s="4878"/>
      <c r="C35" s="4754"/>
      <c r="D35" s="4754"/>
      <c r="E35" s="4754"/>
      <c r="F35" s="1406"/>
      <c r="G35" s="1406"/>
      <c r="H35" s="1406"/>
    </row>
    <row r="36" spans="1:15" s="2463" customFormat="1" ht="12.75">
      <c r="B36" s="2464"/>
      <c r="D36" s="2465"/>
      <c r="E36" s="2465"/>
      <c r="F36" s="2465"/>
      <c r="G36" s="2465"/>
      <c r="H36" s="2465"/>
      <c r="I36" s="2579"/>
      <c r="J36" s="2579"/>
      <c r="K36" s="2579"/>
      <c r="L36" s="2579"/>
      <c r="M36" s="2579"/>
      <c r="N36" s="2579"/>
      <c r="O36" s="2579"/>
    </row>
    <row r="37" spans="1:15" s="2463" customFormat="1" ht="12.75">
      <c r="B37" s="2464"/>
      <c r="D37" s="2465"/>
      <c r="E37" s="2465"/>
      <c r="F37" s="2465"/>
      <c r="G37" s="2465"/>
      <c r="H37" s="2465"/>
      <c r="I37" s="2579"/>
      <c r="J37" s="2579"/>
      <c r="K37" s="2579"/>
      <c r="L37" s="2579"/>
      <c r="M37" s="2579"/>
      <c r="N37" s="2579"/>
      <c r="O37" s="2579"/>
    </row>
    <row r="38" spans="1:15" s="2463" customFormat="1" ht="12.75">
      <c r="B38" s="2464"/>
      <c r="D38" s="2465"/>
      <c r="E38" s="2465"/>
      <c r="F38" s="2465"/>
      <c r="G38" s="2465"/>
      <c r="H38" s="2465"/>
      <c r="I38" s="2579"/>
      <c r="J38" s="2579"/>
      <c r="K38" s="2579"/>
      <c r="L38" s="2579"/>
      <c r="M38" s="2579"/>
      <c r="N38" s="2579"/>
      <c r="O38" s="2579"/>
    </row>
    <row r="39" spans="1:15" s="2463" customFormat="1" ht="12.75">
      <c r="B39" s="2464"/>
      <c r="D39" s="2465"/>
      <c r="E39" s="2465"/>
      <c r="F39" s="2465"/>
      <c r="G39" s="2465"/>
      <c r="H39" s="2465"/>
      <c r="I39" s="2579"/>
      <c r="J39" s="2579"/>
      <c r="K39" s="2579"/>
      <c r="L39" s="2579"/>
      <c r="M39" s="2579"/>
      <c r="N39" s="2579"/>
      <c r="O39" s="2579"/>
    </row>
    <row r="40" spans="1:15" s="2531" customFormat="1" ht="12.75">
      <c r="B40" s="2533"/>
      <c r="D40" s="2566"/>
      <c r="E40" s="2566"/>
      <c r="F40" s="2566"/>
      <c r="G40" s="2566"/>
      <c r="H40" s="2566"/>
      <c r="I40" s="2532"/>
      <c r="J40" s="2532"/>
      <c r="K40" s="2532"/>
      <c r="L40" s="2532"/>
      <c r="M40" s="2532"/>
      <c r="N40" s="2532"/>
      <c r="O40" s="2532"/>
    </row>
    <row r="41" spans="1:15" s="2531" customFormat="1" ht="12.75">
      <c r="B41" s="2533"/>
      <c r="D41" s="2566"/>
      <c r="E41" s="2566"/>
      <c r="F41" s="2566"/>
      <c r="G41" s="2566"/>
      <c r="H41" s="2566"/>
      <c r="I41" s="2532"/>
      <c r="J41" s="2532"/>
      <c r="K41" s="2532"/>
      <c r="L41" s="2532"/>
      <c r="M41" s="2532"/>
      <c r="N41" s="2532"/>
      <c r="O41" s="2532"/>
    </row>
    <row r="42" spans="1:15" s="2531" customFormat="1" ht="12.75">
      <c r="B42" s="2533"/>
      <c r="D42" s="2566"/>
      <c r="E42" s="2566"/>
      <c r="F42" s="2566"/>
      <c r="G42" s="2566"/>
      <c r="H42" s="2566"/>
      <c r="I42" s="2532"/>
      <c r="J42" s="2532"/>
      <c r="K42" s="2532"/>
      <c r="L42" s="2532"/>
      <c r="M42" s="2532"/>
      <c r="N42" s="2532"/>
      <c r="O42" s="2532"/>
    </row>
    <row r="43" spans="1:15" s="2531" customFormat="1" ht="12.75">
      <c r="A43" s="4876"/>
      <c r="B43" s="4876"/>
      <c r="C43" s="4876"/>
      <c r="D43" s="4876"/>
      <c r="E43" s="4876"/>
      <c r="F43" s="4876"/>
      <c r="G43" s="4876"/>
      <c r="H43" s="4876"/>
      <c r="I43" s="2532"/>
      <c r="J43" s="2532"/>
      <c r="K43" s="2532"/>
      <c r="L43" s="2532"/>
      <c r="M43" s="2532"/>
      <c r="N43" s="2532"/>
      <c r="O43" s="2532"/>
    </row>
    <row r="44" spans="1:15" s="2531" customFormat="1" ht="12.75">
      <c r="A44" s="4877"/>
      <c r="B44" s="4877"/>
      <c r="C44" s="4877"/>
      <c r="D44" s="4877"/>
      <c r="E44" s="4877"/>
      <c r="F44" s="4877"/>
      <c r="G44" s="4877"/>
      <c r="H44" s="4877"/>
      <c r="I44" s="2532"/>
      <c r="J44" s="2532"/>
      <c r="K44" s="2532"/>
      <c r="L44" s="2532"/>
      <c r="M44" s="2532"/>
      <c r="N44" s="2532"/>
      <c r="O44" s="2532"/>
    </row>
    <row r="45" spans="1:15" s="2531" customFormat="1" ht="12.75">
      <c r="B45" s="2533"/>
      <c r="D45" s="2566"/>
      <c r="E45" s="2566"/>
      <c r="F45" s="2566"/>
      <c r="G45" s="2566"/>
      <c r="H45" s="2566"/>
      <c r="I45" s="2532"/>
      <c r="J45" s="2532"/>
      <c r="K45" s="2532"/>
      <c r="L45" s="2532"/>
      <c r="M45" s="2532"/>
      <c r="N45" s="2532"/>
      <c r="O45" s="2532"/>
    </row>
    <row r="46" spans="1:15" s="2531" customFormat="1" ht="12.75">
      <c r="A46" s="4876"/>
      <c r="B46" s="4876"/>
      <c r="C46" s="4876"/>
      <c r="D46" s="4876"/>
      <c r="E46" s="4876"/>
      <c r="F46" s="4876"/>
      <c r="G46" s="4876"/>
      <c r="H46" s="4876"/>
      <c r="I46" s="2532"/>
      <c r="J46" s="2532"/>
      <c r="K46" s="2532"/>
      <c r="L46" s="2532"/>
      <c r="M46" s="2532"/>
      <c r="N46" s="2532"/>
      <c r="O46" s="2532"/>
    </row>
    <row r="47" spans="1:15" s="2531" customFormat="1" ht="12.75">
      <c r="A47" s="4877"/>
      <c r="B47" s="4877"/>
      <c r="C47" s="4877"/>
      <c r="D47" s="4877"/>
      <c r="E47" s="4877"/>
      <c r="F47" s="4877"/>
      <c r="G47" s="4877"/>
      <c r="H47" s="4877"/>
      <c r="I47" s="2532"/>
      <c r="J47" s="2532"/>
      <c r="K47" s="2532"/>
      <c r="L47" s="2532"/>
      <c r="M47" s="2532"/>
      <c r="N47" s="2532"/>
      <c r="O47" s="2532"/>
    </row>
    <row r="48" spans="1:15" s="2531" customFormat="1" ht="12.75">
      <c r="B48" s="2533"/>
      <c r="D48" s="2566"/>
      <c r="E48" s="2566"/>
      <c r="F48" s="2566"/>
      <c r="G48" s="2566"/>
      <c r="H48" s="2566"/>
      <c r="I48" s="2532"/>
      <c r="J48" s="2532"/>
      <c r="K48" s="2532"/>
      <c r="L48" s="2532"/>
      <c r="M48" s="2532"/>
      <c r="N48" s="2532"/>
      <c r="O48" s="2532"/>
    </row>
    <row r="49" spans="1:15" s="2531" customFormat="1">
      <c r="A49" s="2568"/>
      <c r="B49" s="2567"/>
      <c r="C49" s="2529"/>
      <c r="D49" s="2566"/>
      <c r="E49" s="2566"/>
      <c r="F49" s="2566"/>
      <c r="G49" s="2566"/>
      <c r="H49" s="2566"/>
      <c r="I49" s="2532"/>
      <c r="J49" s="2532"/>
      <c r="K49" s="2532"/>
      <c r="L49" s="2532"/>
      <c r="M49" s="2532"/>
      <c r="N49" s="2532"/>
      <c r="O49" s="2532"/>
    </row>
    <row r="50" spans="1:15" s="2531" customFormat="1" ht="12.75">
      <c r="A50" s="1269"/>
      <c r="B50" s="1269"/>
      <c r="C50" s="2542"/>
      <c r="D50" s="2541"/>
      <c r="E50" s="2561"/>
      <c r="F50" s="2540"/>
      <c r="G50" s="2565"/>
      <c r="H50" s="2561"/>
      <c r="I50" s="2532"/>
      <c r="J50" s="2532"/>
      <c r="K50" s="2532"/>
      <c r="L50" s="2532"/>
      <c r="M50" s="2532"/>
      <c r="N50" s="2532"/>
      <c r="O50" s="2532"/>
    </row>
    <row r="51" spans="1:15" s="2531" customFormat="1" ht="23.25">
      <c r="A51" s="2571"/>
      <c r="B51" s="2571"/>
      <c r="C51" s="2542"/>
      <c r="D51" s="2541"/>
      <c r="E51" s="2561"/>
      <c r="F51" s="2540"/>
      <c r="G51" s="2562"/>
      <c r="H51" s="2561"/>
      <c r="I51" s="2532"/>
      <c r="J51" s="2532"/>
      <c r="K51" s="2532"/>
      <c r="L51" s="2532"/>
      <c r="M51" s="2532"/>
      <c r="N51" s="2532"/>
      <c r="O51" s="2532"/>
    </row>
    <row r="52" spans="1:15" s="2531" customFormat="1" ht="12.75">
      <c r="A52" s="4879"/>
      <c r="B52" s="4879"/>
      <c r="C52" s="2559"/>
      <c r="D52" s="2560"/>
      <c r="E52" s="4880"/>
      <c r="F52" s="4880"/>
      <c r="G52" s="4880"/>
      <c r="H52" s="2557"/>
      <c r="I52" s="2532"/>
      <c r="J52" s="2532"/>
      <c r="K52" s="2532"/>
      <c r="L52" s="2532"/>
      <c r="M52" s="2532"/>
      <c r="N52" s="2532"/>
      <c r="O52" s="2532"/>
    </row>
    <row r="53" spans="1:15" s="2531" customFormat="1" ht="12.75">
      <c r="A53" s="4879"/>
      <c r="B53" s="4879"/>
      <c r="C53" s="2559"/>
      <c r="D53" s="2558"/>
      <c r="E53" s="2558"/>
      <c r="F53" s="2558"/>
      <c r="G53" s="2558"/>
      <c r="H53" s="2558"/>
      <c r="I53" s="2532"/>
      <c r="J53" s="2532"/>
      <c r="K53" s="2532"/>
      <c r="L53" s="2532"/>
      <c r="M53" s="2532"/>
      <c r="N53" s="2532"/>
      <c r="O53" s="2532"/>
    </row>
    <row r="54" spans="1:15" s="2531" customFormat="1" ht="12.75">
      <c r="A54" s="4879"/>
      <c r="B54" s="4879"/>
      <c r="C54" s="2557"/>
      <c r="D54" s="2555"/>
      <c r="E54" s="2555"/>
      <c r="F54" s="2555"/>
      <c r="G54" s="2556"/>
      <c r="H54" s="2555"/>
      <c r="I54" s="2532"/>
      <c r="J54" s="2532"/>
      <c r="K54" s="2532"/>
      <c r="L54" s="2532"/>
      <c r="M54" s="2532"/>
      <c r="N54" s="2532"/>
      <c r="O54" s="2532"/>
    </row>
    <row r="55" spans="1:15" s="2531" customFormat="1" ht="12.75">
      <c r="A55" s="2554"/>
      <c r="B55" s="2553"/>
      <c r="C55" s="2552"/>
      <c r="D55" s="2551"/>
      <c r="E55" s="2551"/>
      <c r="F55" s="2551"/>
      <c r="G55" s="2551"/>
      <c r="H55" s="2551"/>
      <c r="I55" s="2532"/>
      <c r="J55" s="2532"/>
      <c r="K55" s="2532"/>
      <c r="L55" s="2532"/>
      <c r="M55" s="2532"/>
      <c r="N55" s="2532"/>
      <c r="O55" s="2532"/>
    </row>
    <row r="56" spans="1:15" s="2531" customFormat="1" ht="12.75">
      <c r="A56" s="2549"/>
      <c r="B56" s="2549"/>
      <c r="C56" s="2545"/>
      <c r="D56" s="2548"/>
      <c r="E56" s="2548"/>
      <c r="F56" s="2540"/>
      <c r="G56" s="2548"/>
      <c r="H56" s="2548"/>
      <c r="I56" s="2532"/>
      <c r="J56" s="2532"/>
      <c r="K56" s="2532"/>
      <c r="L56" s="2532"/>
      <c r="M56" s="2532"/>
      <c r="N56" s="2532"/>
      <c r="O56" s="2532"/>
    </row>
    <row r="57" spans="1:15" s="2531" customFormat="1" ht="12.75">
      <c r="A57" s="2549"/>
      <c r="B57" s="2549"/>
      <c r="C57" s="2545"/>
      <c r="D57" s="2548"/>
      <c r="E57" s="2548"/>
      <c r="F57" s="2540"/>
      <c r="G57" s="2548"/>
      <c r="H57" s="2548"/>
      <c r="I57" s="2532"/>
      <c r="J57" s="2532"/>
      <c r="K57" s="2532"/>
      <c r="L57" s="2532"/>
      <c r="M57" s="2532"/>
      <c r="N57" s="2532"/>
      <c r="O57" s="2532"/>
    </row>
    <row r="58" spans="1:15" s="2531" customFormat="1" ht="12.75">
      <c r="A58" s="2573"/>
      <c r="B58" s="2574"/>
      <c r="C58" s="2545"/>
      <c r="D58" s="2541"/>
      <c r="E58" s="2544"/>
      <c r="F58" s="2540"/>
      <c r="G58" s="2544"/>
      <c r="H58" s="2544"/>
      <c r="I58" s="2532"/>
      <c r="J58" s="2532"/>
      <c r="K58" s="2532"/>
      <c r="L58" s="2532"/>
      <c r="M58" s="2532"/>
      <c r="N58" s="2532"/>
      <c r="O58" s="2532"/>
    </row>
    <row r="59" spans="1:15" s="2531" customFormat="1" ht="12.75">
      <c r="A59" s="2549"/>
      <c r="B59" s="2549"/>
      <c r="C59" s="2545"/>
      <c r="D59" s="2541"/>
      <c r="E59" s="2544"/>
      <c r="F59" s="2540"/>
      <c r="G59" s="2544"/>
      <c r="H59" s="2544"/>
      <c r="I59" s="2532"/>
      <c r="J59" s="2532"/>
      <c r="K59" s="2532"/>
      <c r="L59" s="2532"/>
      <c r="M59" s="2532"/>
      <c r="N59" s="2532"/>
      <c r="O59" s="2532"/>
    </row>
    <row r="60" spans="1:15" s="2531" customFormat="1" ht="12.75">
      <c r="A60" s="2573"/>
      <c r="B60" s="2572"/>
      <c r="C60" s="2545"/>
      <c r="D60" s="2541"/>
      <c r="E60" s="2544"/>
      <c r="F60" s="2540"/>
      <c r="G60" s="2544"/>
      <c r="H60" s="2544"/>
      <c r="I60" s="2532"/>
      <c r="J60" s="2532"/>
      <c r="K60" s="2532"/>
      <c r="L60" s="2532"/>
      <c r="M60" s="2532"/>
      <c r="N60" s="2532"/>
      <c r="O60" s="2532"/>
    </row>
    <row r="61" spans="1:15" s="2531" customFormat="1" ht="12.75">
      <c r="A61" s="2549"/>
      <c r="B61" s="2549"/>
      <c r="C61" s="2542"/>
      <c r="D61" s="2541"/>
      <c r="E61" s="2544"/>
      <c r="F61" s="2540"/>
      <c r="G61" s="2544"/>
      <c r="H61" s="2544"/>
      <c r="I61" s="2532"/>
      <c r="J61" s="2532"/>
      <c r="K61" s="2532"/>
      <c r="L61" s="2532"/>
      <c r="M61" s="2532"/>
      <c r="N61" s="2532"/>
      <c r="O61" s="2532"/>
    </row>
    <row r="62" spans="1:15" s="2531" customFormat="1" ht="12.75">
      <c r="A62" s="2546"/>
      <c r="B62" s="1269"/>
      <c r="C62" s="2545"/>
      <c r="D62" s="2541"/>
      <c r="E62" s="2544"/>
      <c r="F62" s="2540"/>
      <c r="G62" s="2544"/>
      <c r="H62" s="2544"/>
      <c r="I62" s="2532"/>
      <c r="J62" s="2532"/>
      <c r="K62" s="2532"/>
      <c r="L62" s="2532"/>
      <c r="M62" s="2532"/>
      <c r="N62" s="2532"/>
      <c r="O62" s="2532"/>
    </row>
    <row r="63" spans="1:15" s="2531" customFormat="1" ht="12.75">
      <c r="A63" s="2546"/>
      <c r="B63" s="1269"/>
      <c r="C63" s="2545"/>
      <c r="D63" s="2541"/>
      <c r="E63" s="2544"/>
      <c r="F63" s="2540"/>
      <c r="G63" s="2544"/>
      <c r="H63" s="2544"/>
      <c r="I63" s="2532"/>
      <c r="J63" s="2532"/>
      <c r="K63" s="2532"/>
      <c r="L63" s="2532"/>
      <c r="M63" s="2532"/>
      <c r="N63" s="2532"/>
      <c r="O63" s="2532"/>
    </row>
    <row r="64" spans="1:15" s="2531" customFormat="1" ht="12.75">
      <c r="A64" s="2546"/>
      <c r="B64" s="1269"/>
      <c r="C64" s="2542"/>
      <c r="D64" s="2541"/>
      <c r="E64" s="2544"/>
      <c r="F64" s="2540"/>
      <c r="G64" s="2544"/>
      <c r="H64" s="2544"/>
      <c r="I64" s="2532"/>
      <c r="J64" s="2532"/>
      <c r="K64" s="2532"/>
      <c r="L64" s="2532"/>
      <c r="M64" s="2532"/>
      <c r="N64" s="2532"/>
      <c r="O64" s="2532"/>
    </row>
    <row r="65" spans="1:15" s="2531" customFormat="1" ht="12.75">
      <c r="A65" s="2546"/>
      <c r="B65" s="1269"/>
      <c r="C65" s="2545"/>
      <c r="D65" s="2541"/>
      <c r="E65" s="2544"/>
      <c r="F65" s="2540"/>
      <c r="G65" s="2544"/>
      <c r="H65" s="2544"/>
      <c r="I65" s="2532"/>
      <c r="J65" s="2532"/>
      <c r="K65" s="2532"/>
      <c r="L65" s="2532"/>
      <c r="M65" s="2532"/>
      <c r="N65" s="2532"/>
      <c r="O65" s="2532"/>
    </row>
    <row r="66" spans="1:15" s="2531" customFormat="1" ht="12.75">
      <c r="A66" s="2547"/>
      <c r="B66" s="2546"/>
      <c r="C66" s="2545"/>
      <c r="D66" s="2541"/>
      <c r="E66" s="2544"/>
      <c r="F66" s="2540"/>
      <c r="G66" s="2544"/>
      <c r="H66" s="2544"/>
      <c r="I66" s="2532"/>
      <c r="J66" s="2532"/>
      <c r="K66" s="2532"/>
      <c r="L66" s="2532"/>
      <c r="M66" s="2532"/>
      <c r="N66" s="2532"/>
      <c r="O66" s="2532"/>
    </row>
    <row r="67" spans="1:15" s="2531" customFormat="1" ht="12.75">
      <c r="A67" s="2543"/>
      <c r="B67" s="2543"/>
      <c r="C67" s="2542"/>
      <c r="D67" s="2541"/>
      <c r="E67" s="2539"/>
      <c r="F67" s="2540"/>
      <c r="G67" s="2539"/>
      <c r="H67" s="2539"/>
      <c r="I67" s="2532"/>
      <c r="J67" s="2532"/>
      <c r="K67" s="2532"/>
      <c r="L67" s="2532"/>
      <c r="M67" s="2532"/>
      <c r="N67" s="2532"/>
      <c r="O67" s="2532"/>
    </row>
    <row r="68" spans="1:15" s="2531" customFormat="1" ht="12.75">
      <c r="A68" s="2538"/>
      <c r="B68" s="2538"/>
      <c r="C68" s="2537"/>
      <c r="D68" s="2536"/>
      <c r="E68" s="2536"/>
      <c r="F68" s="2536"/>
      <c r="G68" s="2536"/>
      <c r="H68" s="2536"/>
      <c r="I68" s="2532"/>
      <c r="J68" s="2532"/>
      <c r="K68" s="2532"/>
      <c r="L68" s="2532"/>
      <c r="M68" s="2532"/>
      <c r="N68" s="2532"/>
      <c r="O68" s="2532"/>
    </row>
    <row r="69" spans="1:15" s="2531" customFormat="1" ht="12.75">
      <c r="A69" s="2538"/>
      <c r="B69" s="2538"/>
      <c r="C69" s="2537"/>
      <c r="D69" s="2536"/>
      <c r="E69" s="2536"/>
      <c r="F69" s="2536"/>
      <c r="G69" s="2536"/>
      <c r="H69" s="2536"/>
      <c r="I69" s="2532"/>
      <c r="J69" s="2532"/>
      <c r="K69" s="2532"/>
      <c r="L69" s="2532"/>
      <c r="M69" s="2532"/>
      <c r="N69" s="2532"/>
      <c r="O69" s="2532"/>
    </row>
    <row r="70" spans="1:15" s="2531" customFormat="1">
      <c r="A70" s="1269"/>
      <c r="B70" s="2529"/>
      <c r="C70" s="2535"/>
      <c r="D70" s="2529"/>
      <c r="E70" s="4877"/>
      <c r="F70" s="4877"/>
      <c r="G70" s="1269"/>
      <c r="H70" s="2529"/>
      <c r="I70" s="2532"/>
      <c r="J70" s="2532"/>
      <c r="K70" s="2532"/>
      <c r="L70" s="2532"/>
      <c r="M70" s="2532"/>
      <c r="N70" s="2532"/>
      <c r="O70" s="2532"/>
    </row>
    <row r="71" spans="1:15" s="2531" customFormat="1">
      <c r="A71" s="2529"/>
      <c r="B71" s="1269"/>
      <c r="C71" s="2535"/>
      <c r="D71" s="1269"/>
      <c r="E71" s="1269"/>
      <c r="F71" s="1269"/>
      <c r="G71" s="1269"/>
      <c r="H71" s="2529"/>
      <c r="I71" s="2532"/>
      <c r="J71" s="2532"/>
      <c r="K71" s="2532"/>
      <c r="L71" s="2532"/>
      <c r="M71" s="2532"/>
      <c r="N71" s="2532"/>
      <c r="O71" s="2532"/>
    </row>
    <row r="72" spans="1:15" s="2531" customFormat="1" ht="12.75">
      <c r="A72" s="2534"/>
      <c r="B72" s="1269"/>
      <c r="C72" s="4881"/>
      <c r="D72" s="4881"/>
      <c r="E72" s="4876"/>
      <c r="F72" s="4876"/>
      <c r="G72" s="4876"/>
      <c r="H72" s="4876"/>
      <c r="I72" s="2532"/>
      <c r="J72" s="2532"/>
      <c r="K72" s="2532"/>
      <c r="L72" s="2532"/>
      <c r="M72" s="2532"/>
      <c r="N72" s="2532"/>
      <c r="O72" s="2532"/>
    </row>
    <row r="73" spans="1:15" s="2531" customFormat="1" ht="12.75">
      <c r="B73" s="2533"/>
      <c r="C73" s="4874"/>
      <c r="D73" s="4874"/>
      <c r="E73" s="4875"/>
      <c r="F73" s="4875"/>
      <c r="G73" s="4875"/>
      <c r="H73" s="4875"/>
      <c r="I73" s="2532"/>
      <c r="J73" s="2532"/>
      <c r="K73" s="2532"/>
      <c r="L73" s="2532"/>
      <c r="M73" s="2532"/>
      <c r="N73" s="2532"/>
      <c r="O73" s="2532"/>
    </row>
    <row r="74" spans="1:15" s="2531" customFormat="1" ht="12.75">
      <c r="B74" s="2533"/>
      <c r="D74" s="2566"/>
      <c r="E74" s="2566"/>
      <c r="F74" s="2566"/>
      <c r="G74" s="2566"/>
      <c r="H74" s="2566"/>
      <c r="I74" s="2532"/>
      <c r="J74" s="2532"/>
      <c r="K74" s="2532"/>
      <c r="L74" s="2532"/>
      <c r="M74" s="2532"/>
      <c r="N74" s="2532"/>
      <c r="O74" s="2532"/>
    </row>
    <row r="75" spans="1:15" s="2531" customFormat="1" ht="12.75">
      <c r="B75" s="2533"/>
      <c r="D75" s="2566"/>
      <c r="E75" s="2566"/>
      <c r="F75" s="2566"/>
      <c r="G75" s="2566"/>
      <c r="H75" s="2566"/>
      <c r="I75" s="2532"/>
      <c r="J75" s="2532"/>
      <c r="K75" s="2532"/>
      <c r="L75" s="2532"/>
      <c r="M75" s="2532"/>
      <c r="N75" s="2532"/>
      <c r="O75" s="2532"/>
    </row>
    <row r="76" spans="1:15" s="2531" customFormat="1" ht="12.75">
      <c r="B76" s="2533"/>
      <c r="D76" s="2566"/>
      <c r="E76" s="2566"/>
      <c r="F76" s="2566"/>
      <c r="G76" s="2566"/>
      <c r="H76" s="2566"/>
      <c r="I76" s="2532"/>
      <c r="J76" s="2532"/>
      <c r="K76" s="2532"/>
      <c r="L76" s="2532"/>
      <c r="M76" s="2532"/>
      <c r="N76" s="2532"/>
      <c r="O76" s="2532"/>
    </row>
    <row r="77" spans="1:15" s="2531" customFormat="1" ht="12.75">
      <c r="B77" s="2533"/>
      <c r="D77" s="2566"/>
      <c r="E77" s="2566"/>
      <c r="F77" s="2566"/>
      <c r="G77" s="2566"/>
      <c r="H77" s="2566"/>
      <c r="I77" s="2532"/>
      <c r="J77" s="2532"/>
      <c r="K77" s="2532"/>
      <c r="L77" s="2532"/>
      <c r="M77" s="2532"/>
      <c r="N77" s="2532"/>
      <c r="O77" s="2532"/>
    </row>
    <row r="78" spans="1:15" s="2531" customFormat="1" ht="12.75">
      <c r="B78" s="2533"/>
      <c r="D78" s="2566"/>
      <c r="E78" s="2566"/>
      <c r="F78" s="2566"/>
      <c r="G78" s="2566"/>
      <c r="H78" s="2566"/>
      <c r="I78" s="2532"/>
      <c r="J78" s="2532"/>
      <c r="K78" s="2532"/>
      <c r="L78" s="2532"/>
      <c r="M78" s="2532"/>
      <c r="N78" s="2532"/>
      <c r="O78" s="2532"/>
    </row>
    <row r="79" spans="1:15" s="2531" customFormat="1" ht="12.75">
      <c r="B79" s="2533"/>
      <c r="D79" s="2566"/>
      <c r="E79" s="2566"/>
      <c r="F79" s="2566"/>
      <c r="G79" s="2566"/>
      <c r="H79" s="2566"/>
      <c r="I79" s="2532"/>
      <c r="J79" s="2532"/>
      <c r="K79" s="2532"/>
      <c r="L79" s="2532"/>
      <c r="M79" s="2532"/>
      <c r="N79" s="2532"/>
      <c r="O79" s="2532"/>
    </row>
    <row r="80" spans="1:15" s="2531" customFormat="1" ht="12.75">
      <c r="B80" s="2533"/>
      <c r="D80" s="2566"/>
      <c r="E80" s="2566"/>
      <c r="F80" s="2566"/>
      <c r="G80" s="2566"/>
      <c r="H80" s="2566"/>
      <c r="I80" s="2532"/>
      <c r="J80" s="2532"/>
      <c r="K80" s="2532"/>
      <c r="L80" s="2532"/>
      <c r="M80" s="2532"/>
      <c r="N80" s="2532"/>
      <c r="O80" s="2532"/>
    </row>
    <row r="81" spans="1:15" s="2531" customFormat="1" ht="12.75">
      <c r="B81" s="2533"/>
      <c r="D81" s="2566"/>
      <c r="E81" s="2566"/>
      <c r="F81" s="2566"/>
      <c r="G81" s="2566"/>
      <c r="H81" s="2566"/>
      <c r="I81" s="2532"/>
      <c r="J81" s="2532"/>
      <c r="K81" s="2532"/>
      <c r="L81" s="2532"/>
      <c r="M81" s="2532"/>
      <c r="N81" s="2532"/>
      <c r="O81" s="2532"/>
    </row>
    <row r="82" spans="1:15" s="2531" customFormat="1" ht="12.75">
      <c r="B82" s="2533"/>
      <c r="D82" s="2566"/>
      <c r="E82" s="2566"/>
      <c r="F82" s="2566"/>
      <c r="G82" s="2566"/>
      <c r="H82" s="2566"/>
      <c r="I82" s="2532"/>
      <c r="J82" s="2532"/>
      <c r="K82" s="2532"/>
      <c r="L82" s="2532"/>
      <c r="M82" s="2532"/>
      <c r="N82" s="2532"/>
      <c r="O82" s="2532"/>
    </row>
    <row r="83" spans="1:15" s="2531" customFormat="1" ht="12.75">
      <c r="A83" s="4876"/>
      <c r="B83" s="4876"/>
      <c r="C83" s="4876"/>
      <c r="D83" s="4876"/>
      <c r="E83" s="4876"/>
      <c r="F83" s="4876"/>
      <c r="G83" s="4876"/>
      <c r="H83" s="4876"/>
      <c r="I83" s="2532"/>
      <c r="J83" s="2532"/>
      <c r="K83" s="2532"/>
      <c r="L83" s="2532"/>
      <c r="M83" s="2532"/>
      <c r="N83" s="2532"/>
      <c r="O83" s="2532"/>
    </row>
    <row r="84" spans="1:15" s="2532" customFormat="1" ht="12.75">
      <c r="A84" s="4877"/>
      <c r="B84" s="4877"/>
      <c r="C84" s="4877"/>
      <c r="D84" s="4877"/>
      <c r="E84" s="4877"/>
      <c r="F84" s="4877"/>
      <c r="G84" s="4877"/>
      <c r="H84" s="4877"/>
    </row>
    <row r="85" spans="1:15" s="2532" customFormat="1">
      <c r="A85" s="1302"/>
      <c r="B85" s="2530"/>
      <c r="C85" s="2578"/>
      <c r="D85" s="2530"/>
      <c r="E85" s="4882"/>
      <c r="F85" s="4882"/>
      <c r="G85" s="1302"/>
      <c r="H85" s="2530"/>
    </row>
    <row r="86" spans="1:15" s="2532" customFormat="1">
      <c r="A86" s="2530"/>
      <c r="B86" s="1302"/>
      <c r="C86" s="2578"/>
      <c r="D86" s="1302"/>
      <c r="E86" s="1302"/>
      <c r="F86" s="1302"/>
      <c r="G86" s="1302"/>
      <c r="H86" s="2530"/>
    </row>
    <row r="87" spans="1:15" s="2532" customFormat="1" ht="12.75">
      <c r="A87" s="4876"/>
      <c r="B87" s="4876"/>
      <c r="C87" s="4876"/>
      <c r="D87" s="4876"/>
      <c r="E87" s="4876"/>
      <c r="F87" s="4876"/>
      <c r="G87" s="4876"/>
      <c r="H87" s="4876"/>
    </row>
    <row r="88" spans="1:15" s="2532" customFormat="1" ht="12.75">
      <c r="A88" s="4877"/>
      <c r="B88" s="4877"/>
      <c r="C88" s="4877"/>
      <c r="D88" s="4877"/>
      <c r="E88" s="4877"/>
      <c r="F88" s="4877"/>
      <c r="G88" s="4877"/>
      <c r="H88" s="4877"/>
    </row>
    <row r="89" spans="1:15" s="2532" customFormat="1" ht="12.75">
      <c r="A89" s="4876"/>
      <c r="B89" s="4876"/>
      <c r="C89" s="4876"/>
      <c r="D89" s="4876"/>
      <c r="E89" s="4876"/>
      <c r="F89" s="4876"/>
      <c r="G89" s="4876"/>
      <c r="H89" s="4876"/>
    </row>
    <row r="90" spans="1:15" s="2532" customFormat="1" ht="12.75">
      <c r="A90" s="4877"/>
      <c r="B90" s="4877"/>
      <c r="C90" s="4877"/>
      <c r="D90" s="4877"/>
      <c r="E90" s="4877"/>
      <c r="F90" s="4877"/>
      <c r="G90" s="4877"/>
      <c r="H90" s="4877"/>
    </row>
    <row r="91" spans="1:15" s="2532" customFormat="1" ht="12.75">
      <c r="B91" s="2577"/>
      <c r="D91" s="2576"/>
      <c r="E91" s="2576"/>
      <c r="F91" s="2576"/>
      <c r="G91" s="2576"/>
      <c r="H91" s="2576"/>
    </row>
    <row r="92" spans="1:15" s="2531" customFormat="1">
      <c r="A92" s="2568"/>
      <c r="B92" s="2567"/>
      <c r="C92" s="2529"/>
      <c r="D92" s="2566"/>
      <c r="E92" s="2566"/>
      <c r="F92" s="2566"/>
      <c r="G92" s="2566"/>
      <c r="H92" s="2566"/>
      <c r="I92" s="2532"/>
      <c r="J92" s="2532"/>
      <c r="K92" s="2532"/>
      <c r="L92" s="2532"/>
      <c r="M92" s="2532"/>
      <c r="N92" s="2532"/>
      <c r="O92" s="2532"/>
    </row>
    <row r="93" spans="1:15" s="2531" customFormat="1" ht="12.75">
      <c r="A93" s="1269"/>
      <c r="B93" s="1269"/>
      <c r="C93" s="2542"/>
      <c r="D93" s="2541"/>
      <c r="E93" s="2561"/>
      <c r="F93" s="2540"/>
      <c r="G93" s="2565"/>
      <c r="H93" s="2561"/>
      <c r="I93" s="2532"/>
      <c r="J93" s="2532"/>
      <c r="K93" s="2532"/>
      <c r="L93" s="2532"/>
      <c r="M93" s="2532"/>
      <c r="N93" s="2532"/>
      <c r="O93" s="2532"/>
    </row>
    <row r="94" spans="1:15" s="2531" customFormat="1" ht="23.25">
      <c r="A94" s="2571"/>
      <c r="B94" s="2571"/>
      <c r="C94" s="2542"/>
      <c r="D94" s="2541"/>
      <c r="E94" s="2561"/>
      <c r="F94" s="2540"/>
      <c r="G94" s="2562"/>
      <c r="H94" s="2561"/>
      <c r="I94" s="2532"/>
      <c r="J94" s="2532"/>
      <c r="K94" s="2532"/>
      <c r="L94" s="2532"/>
      <c r="M94" s="2532"/>
      <c r="N94" s="2532"/>
      <c r="O94" s="2532"/>
    </row>
    <row r="95" spans="1:15" s="2531" customFormat="1" ht="12.75">
      <c r="A95" s="4879"/>
      <c r="B95" s="4879"/>
      <c r="C95" s="2559"/>
      <c r="D95" s="2560"/>
      <c r="E95" s="4880"/>
      <c r="F95" s="4880"/>
      <c r="G95" s="4880"/>
      <c r="H95" s="2557"/>
      <c r="I95" s="2532"/>
      <c r="J95" s="2532"/>
      <c r="K95" s="2532"/>
      <c r="L95" s="2532"/>
      <c r="M95" s="2532"/>
      <c r="N95" s="2532"/>
      <c r="O95" s="2532"/>
    </row>
    <row r="96" spans="1:15" s="2531" customFormat="1" ht="12.75">
      <c r="A96" s="4879"/>
      <c r="B96" s="4879"/>
      <c r="C96" s="2559"/>
      <c r="D96" s="2558"/>
      <c r="E96" s="2558"/>
      <c r="F96" s="2558"/>
      <c r="G96" s="2558"/>
      <c r="H96" s="2558"/>
      <c r="I96" s="2532"/>
      <c r="J96" s="2532"/>
      <c r="K96" s="2532"/>
      <c r="L96" s="2532"/>
      <c r="M96" s="2532"/>
      <c r="N96" s="2532"/>
      <c r="O96" s="2532"/>
    </row>
    <row r="97" spans="1:15" s="2531" customFormat="1" ht="12.75">
      <c r="A97" s="4879"/>
      <c r="B97" s="4879"/>
      <c r="C97" s="2557"/>
      <c r="D97" s="2555"/>
      <c r="E97" s="2555"/>
      <c r="F97" s="2555"/>
      <c r="G97" s="2556"/>
      <c r="H97" s="2555"/>
      <c r="I97" s="2532"/>
      <c r="J97" s="2532"/>
      <c r="K97" s="2532"/>
      <c r="L97" s="2532"/>
      <c r="M97" s="2532"/>
      <c r="N97" s="2532"/>
      <c r="O97" s="2532"/>
    </row>
    <row r="98" spans="1:15" s="2531" customFormat="1" ht="12.75">
      <c r="A98" s="2554"/>
      <c r="B98" s="2553"/>
      <c r="C98" s="2552"/>
      <c r="D98" s="2551"/>
      <c r="E98" s="2551"/>
      <c r="F98" s="2551"/>
      <c r="G98" s="2551"/>
      <c r="H98" s="2551"/>
      <c r="I98" s="2532"/>
      <c r="J98" s="2532"/>
      <c r="K98" s="2532"/>
      <c r="L98" s="2532"/>
      <c r="M98" s="2532"/>
      <c r="N98" s="2532"/>
      <c r="O98" s="2532"/>
    </row>
    <row r="99" spans="1:15" s="2531" customFormat="1" ht="12.75">
      <c r="A99" s="2549"/>
      <c r="B99" s="2549"/>
      <c r="C99" s="2545"/>
      <c r="D99" s="2548"/>
      <c r="E99" s="2548"/>
      <c r="F99" s="2540"/>
      <c r="G99" s="2548"/>
      <c r="H99" s="2548"/>
      <c r="I99" s="2532"/>
      <c r="J99" s="2532"/>
      <c r="K99" s="2532"/>
      <c r="L99" s="2532"/>
      <c r="M99" s="2532"/>
      <c r="N99" s="2532"/>
      <c r="O99" s="2532"/>
    </row>
    <row r="100" spans="1:15" s="2531" customFormat="1" ht="12.75">
      <c r="A100" s="2549"/>
      <c r="B100" s="2549"/>
      <c r="C100" s="2545"/>
      <c r="D100" s="2548"/>
      <c r="E100" s="2548"/>
      <c r="F100" s="2540"/>
      <c r="G100" s="2548"/>
      <c r="H100" s="2548"/>
      <c r="I100" s="2532"/>
      <c r="J100" s="2532"/>
      <c r="K100" s="2532"/>
      <c r="L100" s="2532"/>
      <c r="M100" s="2532"/>
      <c r="N100" s="2532"/>
      <c r="O100" s="2532"/>
    </row>
    <row r="101" spans="1:15" s="2531" customFormat="1" ht="12.75">
      <c r="A101" s="2546"/>
      <c r="B101" s="1269"/>
      <c r="C101" s="2545"/>
      <c r="D101" s="2541"/>
      <c r="E101" s="2544"/>
      <c r="F101" s="2540"/>
      <c r="G101" s="2544"/>
      <c r="H101" s="2544"/>
      <c r="I101" s="2532"/>
      <c r="J101" s="2532"/>
      <c r="K101" s="2532"/>
      <c r="L101" s="2532"/>
      <c r="M101" s="2532"/>
      <c r="N101" s="2532"/>
      <c r="O101" s="2532"/>
    </row>
    <row r="102" spans="1:15" s="2531" customFormat="1" ht="12.75">
      <c r="A102" s="2549"/>
      <c r="B102" s="2549"/>
      <c r="C102" s="2545"/>
      <c r="D102" s="2541"/>
      <c r="E102" s="2544"/>
      <c r="F102" s="2540"/>
      <c r="G102" s="2544"/>
      <c r="H102" s="2544"/>
      <c r="I102" s="2532"/>
      <c r="J102" s="2532"/>
      <c r="K102" s="2532"/>
      <c r="L102" s="2532"/>
      <c r="M102" s="2532"/>
      <c r="N102" s="2532"/>
      <c r="O102" s="2532"/>
    </row>
    <row r="103" spans="1:15" s="2531" customFormat="1" ht="12.75">
      <c r="A103" s="2549"/>
      <c r="B103" s="2549"/>
      <c r="C103" s="2545"/>
      <c r="D103" s="2541"/>
      <c r="E103" s="2544"/>
      <c r="F103" s="2540"/>
      <c r="G103" s="2544"/>
      <c r="H103" s="2544"/>
      <c r="I103" s="2532"/>
      <c r="J103" s="2532"/>
      <c r="K103" s="2532"/>
      <c r="L103" s="2532"/>
      <c r="M103" s="2532"/>
      <c r="N103" s="2532"/>
      <c r="O103" s="2532"/>
    </row>
    <row r="104" spans="1:15" s="2531" customFormat="1" ht="12.75">
      <c r="A104" s="2549"/>
      <c r="B104" s="2549"/>
      <c r="C104" s="2542"/>
      <c r="D104" s="2541"/>
      <c r="E104" s="2544"/>
      <c r="F104" s="2540"/>
      <c r="G104" s="2544"/>
      <c r="H104" s="2544"/>
      <c r="I104" s="2532"/>
      <c r="J104" s="2532"/>
      <c r="K104" s="2532"/>
      <c r="L104" s="2532"/>
      <c r="M104" s="2532"/>
      <c r="N104" s="2532"/>
      <c r="O104" s="2532"/>
    </row>
    <row r="105" spans="1:15" s="2531" customFormat="1" ht="12.75">
      <c r="A105" s="2546"/>
      <c r="B105" s="1269"/>
      <c r="C105" s="2542"/>
      <c r="D105" s="2541"/>
      <c r="E105" s="2544"/>
      <c r="F105" s="2540"/>
      <c r="G105" s="2544"/>
      <c r="H105" s="2544"/>
      <c r="I105" s="2532"/>
      <c r="J105" s="2532"/>
      <c r="K105" s="2532"/>
      <c r="L105" s="2532"/>
      <c r="M105" s="2532"/>
      <c r="N105" s="2532"/>
      <c r="O105" s="2532"/>
    </row>
    <row r="106" spans="1:15" s="2531" customFormat="1" ht="12.75">
      <c r="A106" s="2546"/>
      <c r="B106" s="1269"/>
      <c r="C106" s="2545"/>
      <c r="D106" s="2541"/>
      <c r="E106" s="2544"/>
      <c r="F106" s="2540"/>
      <c r="G106" s="2544"/>
      <c r="H106" s="2544"/>
      <c r="I106" s="2532"/>
      <c r="J106" s="2532"/>
      <c r="K106" s="2532"/>
      <c r="L106" s="2532"/>
      <c r="M106" s="2532"/>
      <c r="N106" s="2532"/>
      <c r="O106" s="2532"/>
    </row>
    <row r="107" spans="1:15" s="2531" customFormat="1" ht="12.75">
      <c r="A107" s="2546"/>
      <c r="B107" s="1269"/>
      <c r="C107" s="2545"/>
      <c r="D107" s="2541"/>
      <c r="E107" s="2544"/>
      <c r="F107" s="2540"/>
      <c r="G107" s="2544"/>
      <c r="H107" s="2544"/>
      <c r="I107" s="2532"/>
      <c r="J107" s="2532"/>
      <c r="K107" s="2532"/>
      <c r="L107" s="2532"/>
      <c r="M107" s="2532"/>
      <c r="N107" s="2532"/>
      <c r="O107" s="2532"/>
    </row>
    <row r="108" spans="1:15" s="2531" customFormat="1" ht="12.75">
      <c r="A108" s="2547"/>
      <c r="B108" s="2546"/>
      <c r="C108" s="2545"/>
      <c r="D108" s="2541"/>
      <c r="E108" s="2544"/>
      <c r="F108" s="2540"/>
      <c r="G108" s="2544"/>
      <c r="H108" s="2544"/>
      <c r="I108" s="2532"/>
      <c r="J108" s="2532"/>
      <c r="K108" s="2532"/>
      <c r="L108" s="2532"/>
      <c r="M108" s="2532"/>
      <c r="N108" s="2532"/>
      <c r="O108" s="2532"/>
    </row>
    <row r="109" spans="1:15" s="2531" customFormat="1" ht="12.75">
      <c r="A109" s="2543"/>
      <c r="B109" s="2543"/>
      <c r="C109" s="2542"/>
      <c r="D109" s="2541"/>
      <c r="E109" s="2539"/>
      <c r="F109" s="2540"/>
      <c r="G109" s="2539"/>
      <c r="H109" s="2539"/>
      <c r="I109" s="2532"/>
      <c r="J109" s="2532"/>
      <c r="K109" s="2532"/>
      <c r="L109" s="2532"/>
      <c r="M109" s="2532"/>
      <c r="N109" s="2532"/>
      <c r="O109" s="2532"/>
    </row>
    <row r="110" spans="1:15" s="2531" customFormat="1" ht="12.75">
      <c r="A110" s="2538"/>
      <c r="B110" s="2538"/>
      <c r="C110" s="2537"/>
      <c r="D110" s="2536"/>
      <c r="E110" s="2536"/>
      <c r="F110" s="2536"/>
      <c r="G110" s="2536"/>
      <c r="H110" s="2536"/>
      <c r="I110" s="2532"/>
      <c r="J110" s="2532"/>
      <c r="K110" s="2532"/>
      <c r="L110" s="2532"/>
      <c r="M110" s="2532"/>
      <c r="N110" s="2532"/>
      <c r="O110" s="2532"/>
    </row>
    <row r="111" spans="1:15" s="2531" customFormat="1" ht="12.75">
      <c r="A111" s="2538"/>
      <c r="B111" s="2538"/>
      <c r="C111" s="2537"/>
      <c r="D111" s="2536"/>
      <c r="E111" s="2536"/>
      <c r="F111" s="2536"/>
      <c r="G111" s="2536"/>
      <c r="H111" s="2536"/>
      <c r="I111" s="2532"/>
      <c r="J111" s="2532"/>
      <c r="K111" s="2532"/>
      <c r="L111" s="2532"/>
      <c r="M111" s="2532"/>
      <c r="N111" s="2532"/>
      <c r="O111" s="2532"/>
    </row>
    <row r="112" spans="1:15" s="2531" customFormat="1">
      <c r="A112" s="1269"/>
      <c r="B112" s="2529"/>
      <c r="C112" s="2535"/>
      <c r="D112" s="2529"/>
      <c r="E112" s="4877"/>
      <c r="F112" s="4877"/>
      <c r="G112" s="1269"/>
      <c r="H112" s="2529"/>
      <c r="I112" s="2532"/>
      <c r="J112" s="2532"/>
      <c r="K112" s="2532"/>
      <c r="L112" s="2532"/>
      <c r="M112" s="2532"/>
      <c r="N112" s="2532"/>
      <c r="O112" s="2532"/>
    </row>
    <row r="113" spans="1:15" s="2531" customFormat="1">
      <c r="A113" s="2529"/>
      <c r="B113" s="1269"/>
      <c r="C113" s="2535"/>
      <c r="D113" s="1269"/>
      <c r="E113" s="1269"/>
      <c r="F113" s="1269"/>
      <c r="G113" s="1269"/>
      <c r="H113" s="2529"/>
      <c r="I113" s="2532"/>
      <c r="J113" s="2532"/>
      <c r="K113" s="2532"/>
      <c r="L113" s="2532"/>
      <c r="M113" s="2532"/>
      <c r="N113" s="2532"/>
      <c r="O113" s="2532"/>
    </row>
    <row r="114" spans="1:15" s="2531" customFormat="1" ht="12.75">
      <c r="A114" s="2534"/>
      <c r="B114" s="1269"/>
      <c r="C114" s="4881"/>
      <c r="D114" s="4881"/>
      <c r="E114" s="4876"/>
      <c r="F114" s="4876"/>
      <c r="G114" s="4876"/>
      <c r="H114" s="4876"/>
      <c r="I114" s="2532"/>
      <c r="J114" s="2532"/>
      <c r="K114" s="2532"/>
      <c r="L114" s="2532"/>
      <c r="M114" s="2532"/>
      <c r="N114" s="2532"/>
      <c r="O114" s="2532"/>
    </row>
    <row r="115" spans="1:15" s="2531" customFormat="1" ht="12.75">
      <c r="B115" s="2533"/>
      <c r="C115" s="4874"/>
      <c r="D115" s="4874"/>
      <c r="E115" s="4875"/>
      <c r="F115" s="4875"/>
      <c r="G115" s="4875"/>
      <c r="H115" s="4875"/>
      <c r="I115" s="2532"/>
      <c r="J115" s="2532"/>
      <c r="K115" s="2532"/>
      <c r="L115" s="2532"/>
      <c r="M115" s="2532"/>
      <c r="N115" s="2532"/>
      <c r="O115" s="2532"/>
    </row>
    <row r="116" spans="1:15" s="2531" customFormat="1" ht="12.75">
      <c r="B116" s="2533"/>
      <c r="D116" s="2566"/>
      <c r="E116" s="2566"/>
      <c r="F116" s="2566"/>
      <c r="G116" s="2566"/>
      <c r="H116" s="2566"/>
      <c r="I116" s="2532"/>
      <c r="J116" s="2532"/>
      <c r="K116" s="2532"/>
      <c r="L116" s="2532"/>
      <c r="M116" s="2532"/>
      <c r="N116" s="2532"/>
      <c r="O116" s="2532"/>
    </row>
    <row r="117" spans="1:15" s="2531" customFormat="1" ht="12.75">
      <c r="B117" s="2533"/>
      <c r="D117" s="2566"/>
      <c r="E117" s="2566"/>
      <c r="F117" s="2566"/>
      <c r="G117" s="2566"/>
      <c r="H117" s="2566"/>
      <c r="I117" s="2532"/>
      <c r="J117" s="2532"/>
      <c r="K117" s="2532"/>
      <c r="L117" s="2532"/>
      <c r="M117" s="2532"/>
      <c r="N117" s="2532"/>
      <c r="O117" s="2532"/>
    </row>
    <row r="118" spans="1:15" s="2531" customFormat="1" ht="12.75">
      <c r="B118" s="2533"/>
      <c r="D118" s="2566"/>
      <c r="E118" s="2566"/>
      <c r="F118" s="2566"/>
      <c r="G118" s="2566"/>
      <c r="H118" s="2566"/>
      <c r="I118" s="2532"/>
      <c r="J118" s="2532"/>
      <c r="K118" s="2532"/>
      <c r="L118" s="2532"/>
      <c r="M118" s="2532"/>
      <c r="N118" s="2532"/>
      <c r="O118" s="2532"/>
    </row>
    <row r="119" spans="1:15" s="2531" customFormat="1" ht="12.75">
      <c r="B119" s="2533"/>
      <c r="D119" s="2566"/>
      <c r="E119" s="2566"/>
      <c r="F119" s="2566"/>
      <c r="G119" s="2566"/>
      <c r="H119" s="2566"/>
      <c r="I119" s="2532"/>
      <c r="J119" s="2532"/>
      <c r="K119" s="2532"/>
      <c r="L119" s="2532"/>
      <c r="M119" s="2532"/>
      <c r="N119" s="2532"/>
      <c r="O119" s="2532"/>
    </row>
    <row r="120" spans="1:15" s="2531" customFormat="1" ht="12.75">
      <c r="B120" s="2533"/>
      <c r="D120" s="2566"/>
      <c r="E120" s="2566"/>
      <c r="F120" s="2566"/>
      <c r="G120" s="2566"/>
      <c r="H120" s="2566"/>
      <c r="I120" s="2532"/>
      <c r="J120" s="2532"/>
      <c r="K120" s="2532"/>
      <c r="L120" s="2532"/>
      <c r="M120" s="2532"/>
      <c r="N120" s="2532"/>
      <c r="O120" s="2532"/>
    </row>
    <row r="121" spans="1:15" s="2531" customFormat="1" ht="12.75">
      <c r="B121" s="2533"/>
      <c r="D121" s="2566"/>
      <c r="E121" s="2566"/>
      <c r="F121" s="2566"/>
      <c r="G121" s="2566"/>
      <c r="H121" s="2566"/>
      <c r="I121" s="2532"/>
      <c r="J121" s="2532"/>
      <c r="K121" s="2532"/>
      <c r="L121" s="2532"/>
      <c r="M121" s="2532"/>
      <c r="N121" s="2532"/>
      <c r="O121" s="2532"/>
    </row>
    <row r="122" spans="1:15" s="2531" customFormat="1" ht="12.75">
      <c r="B122" s="2533"/>
      <c r="D122" s="2566"/>
      <c r="E122" s="2566"/>
      <c r="F122" s="2566"/>
      <c r="G122" s="2566"/>
      <c r="H122" s="2566"/>
      <c r="I122" s="2532"/>
      <c r="J122" s="2532"/>
      <c r="K122" s="2532"/>
      <c r="L122" s="2532"/>
      <c r="M122" s="2532"/>
      <c r="N122" s="2532"/>
      <c r="O122" s="2532"/>
    </row>
    <row r="123" spans="1:15" s="2531" customFormat="1" ht="12.75">
      <c r="B123" s="2533"/>
      <c r="D123" s="2566"/>
      <c r="E123" s="2566"/>
      <c r="F123" s="2566"/>
      <c r="G123" s="2566"/>
      <c r="H123" s="2566"/>
      <c r="I123" s="2532"/>
      <c r="J123" s="2532"/>
      <c r="K123" s="2532"/>
      <c r="L123" s="2532"/>
      <c r="M123" s="2532"/>
      <c r="N123" s="2532"/>
      <c r="O123" s="2532"/>
    </row>
    <row r="124" spans="1:15" s="2531" customFormat="1" ht="12.75">
      <c r="B124" s="2533"/>
      <c r="D124" s="2566"/>
      <c r="E124" s="2566"/>
      <c r="F124" s="2566"/>
      <c r="G124" s="2566"/>
      <c r="H124" s="2566"/>
      <c r="I124" s="2532"/>
      <c r="J124" s="2532"/>
      <c r="K124" s="2532"/>
      <c r="L124" s="2532"/>
      <c r="M124" s="2532"/>
      <c r="N124" s="2532"/>
      <c r="O124" s="2532"/>
    </row>
    <row r="125" spans="1:15" s="2531" customFormat="1" ht="12.75">
      <c r="B125" s="2533"/>
      <c r="D125" s="2566"/>
      <c r="E125" s="2566"/>
      <c r="F125" s="2566"/>
      <c r="G125" s="2566"/>
      <c r="H125" s="2566"/>
      <c r="I125" s="2532"/>
      <c r="J125" s="2532"/>
      <c r="K125" s="2532"/>
      <c r="L125" s="2532"/>
      <c r="M125" s="2532"/>
      <c r="N125" s="2532"/>
      <c r="O125" s="2532"/>
    </row>
    <row r="126" spans="1:15" s="2531" customFormat="1" ht="12.75">
      <c r="B126" s="2533"/>
      <c r="D126" s="2566"/>
      <c r="E126" s="2566"/>
      <c r="F126" s="2566"/>
      <c r="G126" s="2566"/>
      <c r="H126" s="2566"/>
      <c r="I126" s="2532"/>
      <c r="J126" s="2532"/>
      <c r="K126" s="2532"/>
      <c r="L126" s="2532"/>
      <c r="M126" s="2532"/>
      <c r="N126" s="2532"/>
      <c r="O126" s="2532"/>
    </row>
    <row r="127" spans="1:15" s="2531" customFormat="1" ht="12.75">
      <c r="B127" s="2533"/>
      <c r="D127" s="2566"/>
      <c r="E127" s="2566"/>
      <c r="F127" s="2566"/>
      <c r="G127" s="2566"/>
      <c r="H127" s="2566"/>
      <c r="I127" s="2532"/>
      <c r="J127" s="2532"/>
      <c r="K127" s="2532"/>
      <c r="L127" s="2532"/>
      <c r="M127" s="2532"/>
      <c r="N127" s="2532"/>
      <c r="O127" s="2532"/>
    </row>
    <row r="128" spans="1:15" s="2531" customFormat="1" ht="12.75">
      <c r="B128" s="2533"/>
      <c r="D128" s="2566"/>
      <c r="E128" s="2566"/>
      <c r="F128" s="2566"/>
      <c r="G128" s="2566"/>
      <c r="H128" s="2566"/>
      <c r="I128" s="2532"/>
      <c r="J128" s="2532"/>
      <c r="K128" s="2532"/>
      <c r="L128" s="2532"/>
      <c r="M128" s="2532"/>
      <c r="N128" s="2532"/>
      <c r="O128" s="2532"/>
    </row>
    <row r="129" spans="1:15" s="2531" customFormat="1" ht="12.75">
      <c r="B129" s="2533"/>
      <c r="D129" s="2566"/>
      <c r="E129" s="2566"/>
      <c r="F129" s="2566"/>
      <c r="G129" s="2566"/>
      <c r="H129" s="2566"/>
      <c r="I129" s="2532"/>
      <c r="J129" s="2532"/>
      <c r="K129" s="2532"/>
      <c r="L129" s="2532"/>
      <c r="M129" s="2532"/>
      <c r="N129" s="2532"/>
      <c r="O129" s="2532"/>
    </row>
    <row r="130" spans="1:15" s="2531" customFormat="1" ht="12.75">
      <c r="B130" s="2533"/>
      <c r="D130" s="2566"/>
      <c r="E130" s="2566"/>
      <c r="F130" s="2566"/>
      <c r="G130" s="2566"/>
      <c r="H130" s="2566"/>
      <c r="I130" s="2532"/>
      <c r="J130" s="2532"/>
      <c r="K130" s="2532"/>
      <c r="L130" s="2532"/>
      <c r="M130" s="2532"/>
      <c r="N130" s="2532"/>
      <c r="O130" s="2532"/>
    </row>
    <row r="131" spans="1:15" s="2531" customFormat="1" ht="12.75">
      <c r="B131" s="2533"/>
      <c r="D131" s="2566"/>
      <c r="E131" s="2566"/>
      <c r="F131" s="2566"/>
      <c r="G131" s="2566"/>
      <c r="H131" s="2566"/>
      <c r="I131" s="2532"/>
      <c r="J131" s="2532"/>
      <c r="K131" s="2532"/>
      <c r="L131" s="2532"/>
      <c r="M131" s="2532"/>
      <c r="N131" s="2532"/>
      <c r="O131" s="2532"/>
    </row>
    <row r="132" spans="1:15" s="2531" customFormat="1" ht="12.75">
      <c r="A132" s="4876"/>
      <c r="B132" s="4876"/>
      <c r="C132" s="4876"/>
      <c r="D132" s="4876"/>
      <c r="E132" s="4876"/>
      <c r="F132" s="4876"/>
      <c r="G132" s="4876"/>
      <c r="H132" s="4876"/>
      <c r="I132" s="2532"/>
      <c r="J132" s="2532"/>
      <c r="K132" s="2532"/>
      <c r="L132" s="2532"/>
      <c r="M132" s="2532"/>
      <c r="N132" s="2532"/>
      <c r="O132" s="2532"/>
    </row>
    <row r="133" spans="1:15" s="2529" customFormat="1">
      <c r="A133" s="4877"/>
      <c r="B133" s="4877"/>
      <c r="C133" s="4877"/>
      <c r="D133" s="4877"/>
      <c r="E133" s="4877"/>
      <c r="F133" s="4877"/>
      <c r="G133" s="4877"/>
      <c r="H133" s="4877"/>
      <c r="I133" s="2530"/>
      <c r="J133" s="2530"/>
      <c r="K133" s="2530"/>
      <c r="L133" s="2530"/>
      <c r="M133" s="2530"/>
      <c r="N133" s="2530"/>
      <c r="O133" s="2530"/>
    </row>
    <row r="134" spans="1:15" s="2529" customFormat="1">
      <c r="I134" s="2530"/>
      <c r="J134" s="2530"/>
      <c r="K134" s="2530"/>
      <c r="L134" s="2530"/>
      <c r="M134" s="2530"/>
      <c r="N134" s="2530"/>
      <c r="O134" s="2530"/>
    </row>
    <row r="135" spans="1:15" s="2529" customFormat="1">
      <c r="I135" s="2530"/>
      <c r="J135" s="2530"/>
      <c r="K135" s="2530"/>
      <c r="L135" s="2530"/>
      <c r="M135" s="2530"/>
      <c r="N135" s="2530"/>
      <c r="O135" s="2530"/>
    </row>
    <row r="136" spans="1:15" s="2531" customFormat="1">
      <c r="A136" s="2568"/>
      <c r="B136" s="2567"/>
      <c r="C136" s="2529"/>
      <c r="D136" s="2566"/>
      <c r="E136" s="2566"/>
      <c r="F136" s="2566"/>
      <c r="G136" s="2566"/>
      <c r="H136" s="2566"/>
      <c r="I136" s="2532"/>
      <c r="J136" s="2532"/>
      <c r="K136" s="2532"/>
      <c r="L136" s="2532"/>
      <c r="M136" s="2532"/>
      <c r="N136" s="2532"/>
      <c r="O136" s="2532"/>
    </row>
    <row r="137" spans="1:15" s="2531" customFormat="1" ht="12.75">
      <c r="A137" s="1269"/>
      <c r="B137" s="1269"/>
      <c r="C137" s="2542"/>
      <c r="D137" s="2541"/>
      <c r="E137" s="2561"/>
      <c r="F137" s="2540"/>
      <c r="G137" s="2565"/>
      <c r="H137" s="2561"/>
      <c r="I137" s="2532"/>
      <c r="J137" s="2532"/>
      <c r="K137" s="2532"/>
      <c r="L137" s="2532"/>
      <c r="M137" s="2532"/>
      <c r="N137" s="2532"/>
      <c r="O137" s="2532"/>
    </row>
    <row r="138" spans="1:15" s="2531" customFormat="1" ht="23.25">
      <c r="A138" s="2575"/>
      <c r="B138" s="2571"/>
      <c r="C138" s="2542"/>
      <c r="D138" s="2541"/>
      <c r="E138" s="2561"/>
      <c r="F138" s="2540"/>
      <c r="G138" s="2562"/>
      <c r="H138" s="2561"/>
      <c r="I138" s="2532"/>
      <c r="J138" s="2532"/>
      <c r="K138" s="2532"/>
      <c r="L138" s="2532"/>
      <c r="M138" s="2532"/>
      <c r="N138" s="2532"/>
      <c r="O138" s="2532"/>
    </row>
    <row r="139" spans="1:15" s="2531" customFormat="1" ht="12.75">
      <c r="A139" s="4879"/>
      <c r="B139" s="4879"/>
      <c r="C139" s="2559"/>
      <c r="D139" s="2560"/>
      <c r="E139" s="4880"/>
      <c r="F139" s="4880"/>
      <c r="G139" s="4880"/>
      <c r="H139" s="2557"/>
      <c r="I139" s="2532"/>
      <c r="J139" s="2532"/>
      <c r="K139" s="2532"/>
      <c r="L139" s="2532"/>
      <c r="M139" s="2532"/>
      <c r="N139" s="2532"/>
      <c r="O139" s="2532"/>
    </row>
    <row r="140" spans="1:15" s="2531" customFormat="1" ht="12.75">
      <c r="A140" s="4879"/>
      <c r="B140" s="4879"/>
      <c r="C140" s="2559"/>
      <c r="D140" s="2558"/>
      <c r="E140" s="2558"/>
      <c r="F140" s="2558"/>
      <c r="G140" s="2558"/>
      <c r="H140" s="2558"/>
      <c r="I140" s="2532"/>
      <c r="J140" s="2532"/>
      <c r="K140" s="2532"/>
      <c r="L140" s="2532"/>
      <c r="M140" s="2532"/>
      <c r="N140" s="2532"/>
      <c r="O140" s="2532"/>
    </row>
    <row r="141" spans="1:15" s="2531" customFormat="1" ht="12.75">
      <c r="A141" s="4879"/>
      <c r="B141" s="4879"/>
      <c r="C141" s="2557"/>
      <c r="D141" s="2555"/>
      <c r="E141" s="2555"/>
      <c r="F141" s="2555"/>
      <c r="G141" s="2556"/>
      <c r="H141" s="2555"/>
      <c r="I141" s="2532"/>
      <c r="J141" s="2532"/>
      <c r="K141" s="2532"/>
      <c r="L141" s="2532"/>
      <c r="M141" s="2532"/>
      <c r="N141" s="2532"/>
      <c r="O141" s="2532"/>
    </row>
    <row r="142" spans="1:15" s="2531" customFormat="1" ht="12.75">
      <c r="A142" s="2554"/>
      <c r="B142" s="2553"/>
      <c r="C142" s="2552"/>
      <c r="D142" s="2551"/>
      <c r="E142" s="2551"/>
      <c r="F142" s="2551"/>
      <c r="G142" s="2551"/>
      <c r="H142" s="2551"/>
      <c r="I142" s="2532"/>
      <c r="J142" s="2532"/>
      <c r="K142" s="2532"/>
      <c r="L142" s="2532"/>
      <c r="M142" s="2532"/>
      <c r="N142" s="2532"/>
      <c r="O142" s="2532"/>
    </row>
    <row r="143" spans="1:15" s="2531" customFormat="1" ht="12.75">
      <c r="A143" s="2549"/>
      <c r="B143" s="2549"/>
      <c r="C143" s="2545"/>
      <c r="D143" s="2548"/>
      <c r="E143" s="2548"/>
      <c r="F143" s="2540"/>
      <c r="G143" s="2548"/>
      <c r="H143" s="2548"/>
      <c r="I143" s="2532"/>
      <c r="J143" s="2532"/>
      <c r="K143" s="2532"/>
      <c r="L143" s="2532"/>
      <c r="M143" s="2532"/>
      <c r="N143" s="2532"/>
      <c r="O143" s="2532"/>
    </row>
    <row r="144" spans="1:15" s="2531" customFormat="1" ht="12.75">
      <c r="A144" s="2549"/>
      <c r="B144" s="2549"/>
      <c r="C144" s="2545"/>
      <c r="D144" s="2548"/>
      <c r="E144" s="2548"/>
      <c r="F144" s="2540"/>
      <c r="G144" s="2548"/>
      <c r="H144" s="2548"/>
      <c r="I144" s="2532"/>
      <c r="J144" s="2532"/>
      <c r="K144" s="2532"/>
      <c r="L144" s="2532"/>
      <c r="M144" s="2532"/>
      <c r="N144" s="2532"/>
      <c r="O144" s="2532"/>
    </row>
    <row r="145" spans="1:15" s="2531" customFormat="1" ht="12.75">
      <c r="A145" s="2546"/>
      <c r="B145" s="1269"/>
      <c r="C145" s="2545"/>
      <c r="D145" s="2541"/>
      <c r="E145" s="2544"/>
      <c r="F145" s="2540"/>
      <c r="G145" s="2544"/>
      <c r="H145" s="2544"/>
      <c r="I145" s="2532"/>
      <c r="J145" s="2532"/>
      <c r="K145" s="2532"/>
      <c r="L145" s="2532"/>
      <c r="M145" s="2532"/>
      <c r="N145" s="2532"/>
      <c r="O145" s="2532"/>
    </row>
    <row r="146" spans="1:15" s="2531" customFormat="1" ht="12.75">
      <c r="A146" s="2549"/>
      <c r="B146" s="2549"/>
      <c r="C146" s="2545"/>
      <c r="D146" s="2541"/>
      <c r="E146" s="2544"/>
      <c r="F146" s="2540"/>
      <c r="G146" s="2544"/>
      <c r="H146" s="2544"/>
      <c r="I146" s="2532"/>
      <c r="J146" s="2532"/>
      <c r="K146" s="2532"/>
      <c r="L146" s="2532"/>
      <c r="M146" s="2532"/>
      <c r="N146" s="2532"/>
      <c r="O146" s="2532"/>
    </row>
    <row r="147" spans="1:15" s="2531" customFormat="1" ht="12.75">
      <c r="A147" s="2573"/>
      <c r="B147" s="2574"/>
      <c r="C147" s="2545"/>
      <c r="D147" s="2541"/>
      <c r="E147" s="2544"/>
      <c r="F147" s="2540"/>
      <c r="G147" s="2544"/>
      <c r="H147" s="2544"/>
      <c r="I147" s="2532"/>
      <c r="J147" s="2532"/>
      <c r="K147" s="2532"/>
      <c r="L147" s="2532"/>
      <c r="M147" s="2532"/>
      <c r="N147" s="2532"/>
      <c r="O147" s="2532"/>
    </row>
    <row r="148" spans="1:15" s="2531" customFormat="1" ht="12.75">
      <c r="A148" s="2549"/>
      <c r="B148" s="2549"/>
      <c r="C148" s="2542"/>
      <c r="D148" s="2541"/>
      <c r="E148" s="2544"/>
      <c r="F148" s="2540"/>
      <c r="G148" s="2544"/>
      <c r="H148" s="2544"/>
      <c r="I148" s="2532"/>
      <c r="J148" s="2532"/>
      <c r="K148" s="2532"/>
      <c r="L148" s="2532"/>
      <c r="M148" s="2532"/>
      <c r="N148" s="2532"/>
      <c r="O148" s="2532"/>
    </row>
    <row r="149" spans="1:15" s="2531" customFormat="1" ht="12.75">
      <c r="A149" s="2573"/>
      <c r="B149" s="2572"/>
      <c r="C149" s="2545"/>
      <c r="D149" s="2541"/>
      <c r="E149" s="2544"/>
      <c r="F149" s="2540"/>
      <c r="G149" s="2544"/>
      <c r="H149" s="2544"/>
      <c r="I149" s="2532"/>
      <c r="J149" s="2532"/>
      <c r="K149" s="2532"/>
      <c r="L149" s="2532"/>
      <c r="M149" s="2532"/>
      <c r="N149" s="2532"/>
      <c r="O149" s="2532"/>
    </row>
    <row r="150" spans="1:15" s="2531" customFormat="1" ht="12.75">
      <c r="A150" s="2546"/>
      <c r="B150" s="1269"/>
      <c r="C150" s="2545"/>
      <c r="D150" s="2541"/>
      <c r="E150" s="2544"/>
      <c r="F150" s="2540"/>
      <c r="G150" s="2544"/>
      <c r="H150" s="2544"/>
      <c r="I150" s="2532"/>
      <c r="J150" s="2532"/>
      <c r="K150" s="2532"/>
      <c r="L150" s="2532"/>
      <c r="M150" s="2532"/>
      <c r="N150" s="2532"/>
      <c r="O150" s="2532"/>
    </row>
    <row r="151" spans="1:15" s="2531" customFormat="1" ht="12.75">
      <c r="A151" s="2546"/>
      <c r="B151" s="1269"/>
      <c r="C151" s="2542"/>
      <c r="D151" s="2541"/>
      <c r="E151" s="2544"/>
      <c r="F151" s="2540"/>
      <c r="G151" s="2544"/>
      <c r="H151" s="2544"/>
      <c r="I151" s="2532"/>
      <c r="J151" s="2532"/>
      <c r="K151" s="2532"/>
      <c r="L151" s="2532"/>
      <c r="M151" s="2532"/>
      <c r="N151" s="2532"/>
      <c r="O151" s="2532"/>
    </row>
    <row r="152" spans="1:15" s="2531" customFormat="1" ht="12.75">
      <c r="A152" s="2546"/>
      <c r="B152" s="1269"/>
      <c r="C152" s="2545"/>
      <c r="D152" s="2541"/>
      <c r="E152" s="2544"/>
      <c r="F152" s="2540"/>
      <c r="G152" s="2544"/>
      <c r="H152" s="2544"/>
      <c r="I152" s="2532"/>
      <c r="J152" s="2532"/>
      <c r="K152" s="2532"/>
      <c r="L152" s="2532"/>
      <c r="M152" s="2532"/>
      <c r="N152" s="2532"/>
      <c r="O152" s="2532"/>
    </row>
    <row r="153" spans="1:15" s="2531" customFormat="1" ht="12.75">
      <c r="A153" s="2546"/>
      <c r="B153" s="1269"/>
      <c r="C153" s="2550"/>
      <c r="D153" s="2541"/>
      <c r="E153" s="2544"/>
      <c r="F153" s="2540"/>
      <c r="G153" s="2544"/>
      <c r="H153" s="2544"/>
      <c r="I153" s="2532"/>
      <c r="J153" s="2532"/>
      <c r="K153" s="2532"/>
      <c r="L153" s="2532"/>
      <c r="M153" s="2532"/>
      <c r="N153" s="2532"/>
      <c r="O153" s="2532"/>
    </row>
    <row r="154" spans="1:15" s="2531" customFormat="1" ht="12.75">
      <c r="A154" s="2546"/>
      <c r="B154" s="1269"/>
      <c r="C154" s="2550"/>
      <c r="D154" s="2541"/>
      <c r="E154" s="2544"/>
      <c r="F154" s="2540"/>
      <c r="G154" s="2544"/>
      <c r="H154" s="2544"/>
      <c r="I154" s="2532"/>
      <c r="J154" s="2532"/>
      <c r="K154" s="2532"/>
      <c r="L154" s="2532"/>
      <c r="M154" s="2532"/>
      <c r="N154" s="2532"/>
      <c r="O154" s="2532"/>
    </row>
    <row r="155" spans="1:15" s="2531" customFormat="1" ht="12.75">
      <c r="A155" s="2538"/>
      <c r="B155" s="2538"/>
      <c r="C155" s="2537"/>
      <c r="D155" s="2536"/>
      <c r="E155" s="2536"/>
      <c r="F155" s="2536"/>
      <c r="G155" s="2536"/>
      <c r="H155" s="2536"/>
      <c r="I155" s="2532"/>
      <c r="J155" s="2532"/>
      <c r="K155" s="2532"/>
      <c r="L155" s="2532"/>
      <c r="M155" s="2532"/>
      <c r="N155" s="2532"/>
      <c r="O155" s="2532"/>
    </row>
    <row r="156" spans="1:15" s="2531" customFormat="1" ht="12.75">
      <c r="A156" s="2538"/>
      <c r="B156" s="2538"/>
      <c r="C156" s="2537"/>
      <c r="D156" s="2536"/>
      <c r="E156" s="2536"/>
      <c r="F156" s="2536"/>
      <c r="G156" s="2536"/>
      <c r="H156" s="2536"/>
      <c r="I156" s="2532"/>
      <c r="J156" s="2532"/>
      <c r="K156" s="2532"/>
      <c r="L156" s="2532"/>
      <c r="M156" s="2532"/>
      <c r="N156" s="2532"/>
      <c r="O156" s="2532"/>
    </row>
    <row r="157" spans="1:15" s="2531" customFormat="1">
      <c r="A157" s="1269"/>
      <c r="B157" s="2529"/>
      <c r="C157" s="2535"/>
      <c r="D157" s="2529"/>
      <c r="E157" s="4877"/>
      <c r="F157" s="4877"/>
      <c r="G157" s="1269"/>
      <c r="H157" s="2529"/>
      <c r="I157" s="2532"/>
      <c r="J157" s="2532"/>
      <c r="K157" s="2532"/>
      <c r="L157" s="2532"/>
      <c r="M157" s="2532"/>
      <c r="N157" s="2532"/>
      <c r="O157" s="2532"/>
    </row>
    <row r="158" spans="1:15" s="2531" customFormat="1">
      <c r="A158" s="2529"/>
      <c r="B158" s="1269"/>
      <c r="C158" s="2535"/>
      <c r="D158" s="1269"/>
      <c r="E158" s="1269"/>
      <c r="F158" s="1269"/>
      <c r="G158" s="1269"/>
      <c r="H158" s="2529"/>
      <c r="I158" s="2532"/>
      <c r="J158" s="2532"/>
      <c r="K158" s="2532"/>
      <c r="L158" s="2532"/>
      <c r="M158" s="2532"/>
      <c r="N158" s="2532"/>
      <c r="O158" s="2532"/>
    </row>
    <row r="159" spans="1:15" s="2531" customFormat="1" ht="12.75">
      <c r="A159" s="2534"/>
      <c r="B159" s="1269"/>
      <c r="C159" s="4881"/>
      <c r="D159" s="4881"/>
      <c r="E159" s="4876"/>
      <c r="F159" s="4876"/>
      <c r="G159" s="4876"/>
      <c r="H159" s="4876"/>
      <c r="I159" s="2532"/>
      <c r="J159" s="2532"/>
      <c r="K159" s="2532"/>
      <c r="L159" s="2532"/>
      <c r="M159" s="2532"/>
      <c r="N159" s="2532"/>
      <c r="O159" s="2532"/>
    </row>
    <row r="160" spans="1:15" s="2531" customFormat="1" ht="12.75">
      <c r="B160" s="2533"/>
      <c r="C160" s="4874"/>
      <c r="D160" s="4874"/>
      <c r="E160" s="4875"/>
      <c r="F160" s="4875"/>
      <c r="G160" s="4875"/>
      <c r="H160" s="4875"/>
      <c r="I160" s="2532"/>
      <c r="J160" s="2532"/>
      <c r="K160" s="2532"/>
      <c r="L160" s="2532"/>
      <c r="M160" s="2532"/>
      <c r="N160" s="2532"/>
      <c r="O160" s="2532"/>
    </row>
    <row r="161" spans="1:15" s="2531" customFormat="1" ht="12.75">
      <c r="B161" s="2533"/>
      <c r="D161" s="2566"/>
      <c r="E161" s="2566"/>
      <c r="F161" s="2566"/>
      <c r="G161" s="2566"/>
      <c r="H161" s="2566"/>
      <c r="I161" s="2532"/>
      <c r="J161" s="2532"/>
      <c r="K161" s="2532"/>
      <c r="L161" s="2532"/>
      <c r="M161" s="2532"/>
      <c r="N161" s="2532"/>
      <c r="O161" s="2532"/>
    </row>
    <row r="162" spans="1:15" s="2531" customFormat="1" ht="12.75">
      <c r="B162" s="2533"/>
      <c r="D162" s="2566"/>
      <c r="E162" s="2566"/>
      <c r="F162" s="2566"/>
      <c r="G162" s="2566"/>
      <c r="H162" s="2566"/>
      <c r="I162" s="2532"/>
      <c r="J162" s="2532"/>
      <c r="K162" s="2532"/>
      <c r="L162" s="2532"/>
      <c r="M162" s="2532"/>
      <c r="N162" s="2532"/>
      <c r="O162" s="2532"/>
    </row>
    <row r="163" spans="1:15" s="2531" customFormat="1" ht="12.75">
      <c r="B163" s="2533"/>
      <c r="D163" s="2566"/>
      <c r="E163" s="2566"/>
      <c r="F163" s="2566"/>
      <c r="G163" s="2566"/>
      <c r="H163" s="2566"/>
      <c r="I163" s="2532"/>
      <c r="J163" s="2532"/>
      <c r="K163" s="2532"/>
      <c r="L163" s="2532"/>
      <c r="M163" s="2532"/>
      <c r="N163" s="2532"/>
      <c r="O163" s="2532"/>
    </row>
    <row r="164" spans="1:15" s="2531" customFormat="1" ht="12.75">
      <c r="B164" s="2533"/>
      <c r="D164" s="2566"/>
      <c r="E164" s="2566"/>
      <c r="F164" s="2566"/>
      <c r="G164" s="2566"/>
      <c r="H164" s="2566"/>
      <c r="I164" s="2532"/>
      <c r="J164" s="2532"/>
      <c r="K164" s="2532"/>
      <c r="L164" s="2532"/>
      <c r="M164" s="2532"/>
      <c r="N164" s="2532"/>
      <c r="O164" s="2532"/>
    </row>
    <row r="165" spans="1:15" s="2531" customFormat="1" ht="12.75">
      <c r="B165" s="2533"/>
      <c r="D165" s="2566"/>
      <c r="E165" s="2566"/>
      <c r="F165" s="2566"/>
      <c r="G165" s="2566"/>
      <c r="H165" s="2566"/>
      <c r="I165" s="2532"/>
      <c r="J165" s="2532"/>
      <c r="K165" s="2532"/>
      <c r="L165" s="2532"/>
      <c r="M165" s="2532"/>
      <c r="N165" s="2532"/>
      <c r="O165" s="2532"/>
    </row>
    <row r="166" spans="1:15" s="2531" customFormat="1" ht="12.75">
      <c r="B166" s="2533"/>
      <c r="D166" s="2566"/>
      <c r="E166" s="2566"/>
      <c r="F166" s="2566"/>
      <c r="G166" s="2566"/>
      <c r="H166" s="2566"/>
      <c r="I166" s="2532"/>
      <c r="J166" s="2532"/>
      <c r="K166" s="2532"/>
      <c r="L166" s="2532"/>
      <c r="M166" s="2532"/>
      <c r="N166" s="2532"/>
      <c r="O166" s="2532"/>
    </row>
    <row r="167" spans="1:15" s="2531" customFormat="1" ht="12.75">
      <c r="B167" s="2533"/>
      <c r="D167" s="2566"/>
      <c r="E167" s="2566"/>
      <c r="F167" s="2566"/>
      <c r="G167" s="2566"/>
      <c r="H167" s="2566"/>
      <c r="I167" s="2532"/>
      <c r="J167" s="2532"/>
      <c r="K167" s="2532"/>
      <c r="L167" s="2532"/>
      <c r="M167" s="2532"/>
      <c r="N167" s="2532"/>
      <c r="O167" s="2532"/>
    </row>
    <row r="168" spans="1:15" s="2531" customFormat="1" ht="12.75">
      <c r="B168" s="2533"/>
      <c r="D168" s="2566"/>
      <c r="E168" s="2566"/>
      <c r="F168" s="2566"/>
      <c r="G168" s="2566"/>
      <c r="H168" s="2566"/>
      <c r="I168" s="2532"/>
      <c r="J168" s="2532"/>
      <c r="K168" s="2532"/>
      <c r="L168" s="2532"/>
      <c r="M168" s="2532"/>
      <c r="N168" s="2532"/>
      <c r="O168" s="2532"/>
    </row>
    <row r="169" spans="1:15" s="2531" customFormat="1" ht="12.75">
      <c r="B169" s="2533"/>
      <c r="D169" s="2566"/>
      <c r="E169" s="2566"/>
      <c r="F169" s="2566"/>
      <c r="G169" s="2566"/>
      <c r="H169" s="2566"/>
      <c r="I169" s="2532"/>
      <c r="J169" s="2532"/>
      <c r="K169" s="2532"/>
      <c r="L169" s="2532"/>
      <c r="M169" s="2532"/>
      <c r="N169" s="2532"/>
      <c r="O169" s="2532"/>
    </row>
    <row r="170" spans="1:15" s="2531" customFormat="1" ht="12.75">
      <c r="B170" s="2533"/>
      <c r="D170" s="2566"/>
      <c r="E170" s="2566"/>
      <c r="F170" s="2566"/>
      <c r="G170" s="2566"/>
      <c r="H170" s="2566"/>
      <c r="I170" s="2532"/>
      <c r="J170" s="2532"/>
      <c r="K170" s="2532"/>
      <c r="L170" s="2532"/>
      <c r="M170" s="2532"/>
      <c r="N170" s="2532"/>
      <c r="O170" s="2532"/>
    </row>
    <row r="171" spans="1:15" s="2531" customFormat="1" ht="12.75">
      <c r="B171" s="2533"/>
      <c r="D171" s="2566"/>
      <c r="E171" s="2566"/>
      <c r="F171" s="2566"/>
      <c r="G171" s="2566"/>
      <c r="H171" s="2566"/>
      <c r="I171" s="2532"/>
      <c r="J171" s="2532"/>
      <c r="K171" s="2532"/>
      <c r="L171" s="2532"/>
      <c r="M171" s="2532"/>
      <c r="N171" s="2532"/>
      <c r="O171" s="2532"/>
    </row>
    <row r="172" spans="1:15" s="2531" customFormat="1" ht="12.75">
      <c r="B172" s="2533"/>
      <c r="D172" s="2566"/>
      <c r="E172" s="2566"/>
      <c r="F172" s="2566"/>
      <c r="G172" s="2566"/>
      <c r="H172" s="2566"/>
      <c r="I172" s="2532"/>
      <c r="J172" s="2532"/>
      <c r="K172" s="2532"/>
      <c r="L172" s="2532"/>
      <c r="M172" s="2532"/>
      <c r="N172" s="2532"/>
      <c r="O172" s="2532"/>
    </row>
    <row r="173" spans="1:15" s="2531" customFormat="1" ht="12.75">
      <c r="B173" s="2533"/>
      <c r="D173" s="2566"/>
      <c r="E173" s="2566"/>
      <c r="F173" s="2566"/>
      <c r="G173" s="2566"/>
      <c r="H173" s="2566"/>
      <c r="I173" s="2532"/>
      <c r="J173" s="2532"/>
      <c r="K173" s="2532"/>
      <c r="L173" s="2532"/>
      <c r="M173" s="2532"/>
      <c r="N173" s="2532"/>
      <c r="O173" s="2532"/>
    </row>
    <row r="174" spans="1:15" s="2529" customFormat="1">
      <c r="A174" s="4876"/>
      <c r="B174" s="4876"/>
      <c r="C174" s="4876"/>
      <c r="D174" s="4876"/>
      <c r="E174" s="4876"/>
      <c r="F174" s="4876"/>
      <c r="G174" s="4876"/>
      <c r="H174" s="4876"/>
      <c r="I174" s="2530"/>
      <c r="J174" s="2530"/>
      <c r="K174" s="2530"/>
      <c r="L174" s="2530"/>
      <c r="M174" s="2530"/>
      <c r="N174" s="2530"/>
      <c r="O174" s="2530"/>
    </row>
    <row r="175" spans="1:15" s="2529" customFormat="1">
      <c r="A175" s="4877"/>
      <c r="B175" s="4877"/>
      <c r="C175" s="4877"/>
      <c r="D175" s="4877"/>
      <c r="E175" s="4877"/>
      <c r="F175" s="4877"/>
      <c r="G175" s="4877"/>
      <c r="H175" s="4877"/>
      <c r="I175" s="2530"/>
      <c r="J175" s="2530"/>
      <c r="K175" s="2530"/>
      <c r="L175" s="2530"/>
      <c r="M175" s="2530"/>
      <c r="N175" s="2530"/>
      <c r="O175" s="2530"/>
    </row>
    <row r="176" spans="1:15" s="2529" customFormat="1">
      <c r="A176" s="4876"/>
      <c r="B176" s="4876"/>
      <c r="C176" s="4876"/>
      <c r="D176" s="4876"/>
      <c r="E176" s="4876"/>
      <c r="F176" s="4876"/>
      <c r="G176" s="4876"/>
      <c r="H176" s="4876"/>
      <c r="I176" s="2530"/>
      <c r="J176" s="2530"/>
      <c r="K176" s="2530"/>
      <c r="L176" s="2530"/>
      <c r="M176" s="2530"/>
      <c r="N176" s="2530"/>
      <c r="O176" s="2530"/>
    </row>
    <row r="177" spans="1:15" s="2529" customFormat="1">
      <c r="A177" s="4877"/>
      <c r="B177" s="4877"/>
      <c r="C177" s="4877"/>
      <c r="D177" s="4877"/>
      <c r="E177" s="4877"/>
      <c r="F177" s="4877"/>
      <c r="G177" s="4877"/>
      <c r="H177" s="4877"/>
      <c r="I177" s="2530"/>
      <c r="J177" s="2530"/>
      <c r="K177" s="2530"/>
      <c r="L177" s="2530"/>
      <c r="M177" s="2530"/>
      <c r="N177" s="2530"/>
      <c r="O177" s="2530"/>
    </row>
    <row r="178" spans="1:15" s="2529" customFormat="1">
      <c r="I178" s="2530"/>
      <c r="J178" s="2530"/>
      <c r="K178" s="2530"/>
      <c r="L178" s="2530"/>
      <c r="M178" s="2530"/>
      <c r="N178" s="2530"/>
      <c r="O178" s="2530"/>
    </row>
    <row r="179" spans="1:15" s="2531" customFormat="1">
      <c r="A179" s="2568"/>
      <c r="B179" s="2567"/>
      <c r="C179" s="2529"/>
      <c r="D179" s="2566"/>
      <c r="E179" s="2566"/>
      <c r="F179" s="2566"/>
      <c r="G179" s="2566"/>
      <c r="H179" s="2566"/>
      <c r="I179" s="2532"/>
      <c r="J179" s="2532"/>
      <c r="K179" s="2532"/>
      <c r="L179" s="2532"/>
      <c r="M179" s="2532"/>
      <c r="N179" s="2532"/>
      <c r="O179" s="2532"/>
    </row>
    <row r="180" spans="1:15" s="2531" customFormat="1" ht="12.75">
      <c r="A180" s="1269"/>
      <c r="B180" s="1269"/>
      <c r="C180" s="2542"/>
      <c r="D180" s="2541"/>
      <c r="E180" s="2561"/>
      <c r="F180" s="2540"/>
      <c r="G180" s="2565"/>
      <c r="H180" s="2561"/>
      <c r="I180" s="2532"/>
      <c r="J180" s="2532"/>
      <c r="K180" s="2532"/>
      <c r="L180" s="2532"/>
      <c r="M180" s="2532"/>
      <c r="N180" s="2532"/>
      <c r="O180" s="2532"/>
    </row>
    <row r="181" spans="1:15" s="2531" customFormat="1" ht="23.25">
      <c r="A181" s="2571"/>
      <c r="B181" s="2571"/>
      <c r="C181" s="2542"/>
      <c r="D181" s="2541"/>
      <c r="E181" s="2561"/>
      <c r="F181" s="2540"/>
      <c r="G181" s="2562"/>
      <c r="H181" s="2561"/>
      <c r="I181" s="2532"/>
      <c r="J181" s="2532"/>
      <c r="K181" s="2532"/>
      <c r="L181" s="2532"/>
      <c r="M181" s="2532"/>
      <c r="N181" s="2532"/>
      <c r="O181" s="2532"/>
    </row>
    <row r="182" spans="1:15" s="2531" customFormat="1" ht="12.75">
      <c r="A182" s="4879"/>
      <c r="B182" s="4879"/>
      <c r="C182" s="2559"/>
      <c r="D182" s="2560"/>
      <c r="E182" s="4880"/>
      <c r="F182" s="4880"/>
      <c r="G182" s="4880"/>
      <c r="H182" s="2557"/>
      <c r="I182" s="2532"/>
      <c r="J182" s="2532"/>
      <c r="K182" s="2532"/>
      <c r="L182" s="2532"/>
      <c r="M182" s="2532"/>
      <c r="N182" s="2532"/>
      <c r="O182" s="2532"/>
    </row>
    <row r="183" spans="1:15" s="2531" customFormat="1" ht="12.75">
      <c r="A183" s="4879"/>
      <c r="B183" s="4879"/>
      <c r="C183" s="2559"/>
      <c r="D183" s="2558"/>
      <c r="E183" s="2558"/>
      <c r="F183" s="2558"/>
      <c r="G183" s="2558"/>
      <c r="H183" s="2558"/>
      <c r="I183" s="2532"/>
      <c r="J183" s="2532"/>
      <c r="K183" s="2532"/>
      <c r="L183" s="2532"/>
      <c r="M183" s="2532"/>
      <c r="N183" s="2532"/>
      <c r="O183" s="2532"/>
    </row>
    <row r="184" spans="1:15" s="2531" customFormat="1" ht="12.75">
      <c r="A184" s="4879"/>
      <c r="B184" s="4879"/>
      <c r="C184" s="2557"/>
      <c r="D184" s="2555"/>
      <c r="E184" s="2555"/>
      <c r="F184" s="2555"/>
      <c r="G184" s="2556"/>
      <c r="H184" s="2555"/>
      <c r="I184" s="2532"/>
      <c r="J184" s="2532"/>
      <c r="K184" s="2532"/>
      <c r="L184" s="2532"/>
      <c r="M184" s="2532"/>
      <c r="N184" s="2532"/>
      <c r="O184" s="2532"/>
    </row>
    <row r="185" spans="1:15" s="2531" customFormat="1" ht="12.75">
      <c r="A185" s="2554"/>
      <c r="B185" s="2553"/>
      <c r="C185" s="2552"/>
      <c r="D185" s="2551"/>
      <c r="E185" s="2551"/>
      <c r="F185" s="2551"/>
      <c r="G185" s="2551"/>
      <c r="H185" s="2551"/>
      <c r="I185" s="2532"/>
      <c r="J185" s="2532"/>
      <c r="K185" s="2532"/>
      <c r="L185" s="2532"/>
      <c r="M185" s="2532"/>
      <c r="N185" s="2532"/>
      <c r="O185" s="2532"/>
    </row>
    <row r="186" spans="1:15" s="2531" customFormat="1" ht="12.75">
      <c r="A186" s="2549"/>
      <c r="B186" s="2549"/>
      <c r="C186" s="2545"/>
      <c r="D186" s="2548"/>
      <c r="E186" s="2548"/>
      <c r="F186" s="2540"/>
      <c r="G186" s="2548"/>
      <c r="H186" s="2548"/>
      <c r="I186" s="2532"/>
      <c r="J186" s="2532"/>
      <c r="K186" s="2532"/>
      <c r="L186" s="2532"/>
      <c r="M186" s="2532"/>
      <c r="N186" s="2532"/>
      <c r="O186" s="2532"/>
    </row>
    <row r="187" spans="1:15" s="2531" customFormat="1" ht="12.75">
      <c r="A187" s="2549"/>
      <c r="B187" s="2549"/>
      <c r="C187" s="2545"/>
      <c r="D187" s="2548"/>
      <c r="E187" s="2548"/>
      <c r="F187" s="2540"/>
      <c r="G187" s="2548"/>
      <c r="H187" s="2548"/>
      <c r="I187" s="2532"/>
      <c r="J187" s="2532"/>
      <c r="K187" s="2532"/>
      <c r="L187" s="2532"/>
      <c r="M187" s="2532"/>
      <c r="N187" s="2532"/>
      <c r="O187" s="2532"/>
    </row>
    <row r="188" spans="1:15" s="2531" customFormat="1" ht="12.75">
      <c r="A188" s="2546"/>
      <c r="B188" s="1269"/>
      <c r="C188" s="2545"/>
      <c r="D188" s="2541"/>
      <c r="E188" s="2544"/>
      <c r="F188" s="2540"/>
      <c r="G188" s="2544"/>
      <c r="H188" s="2544"/>
      <c r="I188" s="2532"/>
      <c r="J188" s="2532"/>
      <c r="K188" s="2532"/>
      <c r="L188" s="2532"/>
      <c r="M188" s="2532"/>
      <c r="N188" s="2532"/>
      <c r="O188" s="2532"/>
    </row>
    <row r="189" spans="1:15" s="2531" customFormat="1" ht="12.75">
      <c r="A189" s="2549"/>
      <c r="B189" s="2549"/>
      <c r="C189" s="2545"/>
      <c r="D189" s="2541"/>
      <c r="E189" s="2544"/>
      <c r="F189" s="2540"/>
      <c r="G189" s="2544"/>
      <c r="H189" s="2544"/>
      <c r="I189" s="2532"/>
      <c r="J189" s="2532"/>
      <c r="K189" s="2532"/>
      <c r="L189" s="2532"/>
      <c r="M189" s="2532"/>
      <c r="N189" s="2532"/>
      <c r="O189" s="2532"/>
    </row>
    <row r="190" spans="1:15" s="2531" customFormat="1" ht="12.75">
      <c r="A190" s="2546"/>
      <c r="B190" s="1269"/>
      <c r="C190" s="2542"/>
      <c r="D190" s="2541"/>
      <c r="E190" s="2544"/>
      <c r="F190" s="2540"/>
      <c r="G190" s="2544"/>
      <c r="H190" s="2544"/>
      <c r="I190" s="2532"/>
      <c r="J190" s="2532"/>
      <c r="K190" s="2532"/>
      <c r="L190" s="2532"/>
      <c r="M190" s="2532"/>
      <c r="N190" s="2532"/>
      <c r="O190" s="2532"/>
    </row>
    <row r="191" spans="1:15" s="2531" customFormat="1" ht="12.75">
      <c r="A191" s="2549"/>
      <c r="B191" s="2549"/>
      <c r="C191" s="2542"/>
      <c r="D191" s="2541"/>
      <c r="E191" s="2544"/>
      <c r="F191" s="2540"/>
      <c r="G191" s="2544"/>
      <c r="H191" s="2544"/>
      <c r="I191" s="2532"/>
      <c r="J191" s="2532"/>
      <c r="K191" s="2532"/>
      <c r="L191" s="2532"/>
      <c r="M191" s="2532"/>
      <c r="N191" s="2532"/>
      <c r="O191" s="2532"/>
    </row>
    <row r="192" spans="1:15" s="2531" customFormat="1" ht="12.75">
      <c r="A192" s="2546"/>
      <c r="B192" s="1269"/>
      <c r="C192" s="2545"/>
      <c r="D192" s="2541"/>
      <c r="E192" s="2544"/>
      <c r="F192" s="2540"/>
      <c r="G192" s="2544"/>
      <c r="H192" s="2544"/>
      <c r="I192" s="2532"/>
      <c r="J192" s="2532"/>
      <c r="K192" s="2532"/>
      <c r="L192" s="2532"/>
      <c r="M192" s="2532"/>
      <c r="N192" s="2532"/>
      <c r="O192" s="2532"/>
    </row>
    <row r="193" spans="1:15" s="2531" customFormat="1" ht="12.75">
      <c r="A193" s="2547"/>
      <c r="B193" s="2546"/>
      <c r="C193" s="2545"/>
      <c r="D193" s="2541"/>
      <c r="E193" s="2544"/>
      <c r="F193" s="2540"/>
      <c r="G193" s="2544"/>
      <c r="H193" s="2544"/>
      <c r="I193" s="2532"/>
      <c r="J193" s="2532"/>
      <c r="K193" s="2532"/>
      <c r="L193" s="2532"/>
      <c r="M193" s="2532"/>
      <c r="N193" s="2532"/>
      <c r="O193" s="2532"/>
    </row>
    <row r="194" spans="1:15" s="2531" customFormat="1" ht="12.75">
      <c r="A194" s="2543"/>
      <c r="B194" s="2543"/>
      <c r="C194" s="2542"/>
      <c r="D194" s="2541"/>
      <c r="E194" s="2539"/>
      <c r="F194" s="2540"/>
      <c r="G194" s="2539"/>
      <c r="H194" s="2539"/>
      <c r="I194" s="2532"/>
      <c r="J194" s="2532"/>
      <c r="K194" s="2532"/>
      <c r="L194" s="2532"/>
      <c r="M194" s="2532"/>
      <c r="N194" s="2532"/>
      <c r="O194" s="2532"/>
    </row>
    <row r="195" spans="1:15" s="2531" customFormat="1" ht="12.75">
      <c r="A195" s="2538"/>
      <c r="B195" s="2538"/>
      <c r="C195" s="2537"/>
      <c r="D195" s="2536"/>
      <c r="E195" s="2536"/>
      <c r="F195" s="2536"/>
      <c r="G195" s="2536"/>
      <c r="H195" s="2536"/>
      <c r="I195" s="2532"/>
      <c r="J195" s="2532"/>
      <c r="K195" s="2532"/>
      <c r="L195" s="2532"/>
      <c r="M195" s="2532"/>
      <c r="N195" s="2532"/>
      <c r="O195" s="2532"/>
    </row>
    <row r="196" spans="1:15" s="2531" customFormat="1" ht="12.75">
      <c r="A196" s="2538"/>
      <c r="B196" s="2538"/>
      <c r="C196" s="2537"/>
      <c r="D196" s="2536"/>
      <c r="E196" s="2536"/>
      <c r="F196" s="2536"/>
      <c r="G196" s="2536"/>
      <c r="H196" s="2536"/>
      <c r="I196" s="2532"/>
      <c r="J196" s="2532"/>
      <c r="K196" s="2532"/>
      <c r="L196" s="2532"/>
      <c r="M196" s="2532"/>
      <c r="N196" s="2532"/>
      <c r="O196" s="2532"/>
    </row>
    <row r="197" spans="1:15" s="2531" customFormat="1">
      <c r="A197" s="1269"/>
      <c r="B197" s="2529"/>
      <c r="C197" s="2535"/>
      <c r="D197" s="2529"/>
      <c r="E197" s="4877"/>
      <c r="F197" s="4877"/>
      <c r="G197" s="1269"/>
      <c r="H197" s="2529"/>
      <c r="I197" s="2532"/>
      <c r="J197" s="2532"/>
      <c r="K197" s="2532"/>
      <c r="L197" s="2532"/>
      <c r="M197" s="2532"/>
      <c r="N197" s="2532"/>
      <c r="O197" s="2532"/>
    </row>
    <row r="198" spans="1:15" s="2531" customFormat="1">
      <c r="A198" s="2529"/>
      <c r="B198" s="1269"/>
      <c r="C198" s="2535"/>
      <c r="D198" s="1269"/>
      <c r="E198" s="1269"/>
      <c r="F198" s="1269"/>
      <c r="G198" s="1269"/>
      <c r="H198" s="2529"/>
      <c r="I198" s="2532"/>
      <c r="J198" s="2532"/>
      <c r="K198" s="2532"/>
      <c r="L198" s="2532"/>
      <c r="M198" s="2532"/>
      <c r="N198" s="2532"/>
      <c r="O198" s="2532"/>
    </row>
    <row r="199" spans="1:15" s="2531" customFormat="1" ht="12.75">
      <c r="A199" s="2534"/>
      <c r="B199" s="1269"/>
      <c r="C199" s="4881"/>
      <c r="D199" s="4881"/>
      <c r="E199" s="4876"/>
      <c r="F199" s="4876"/>
      <c r="G199" s="4876"/>
      <c r="H199" s="4876"/>
      <c r="I199" s="2532"/>
      <c r="J199" s="2532"/>
      <c r="K199" s="2532"/>
      <c r="L199" s="2532"/>
      <c r="M199" s="2532"/>
      <c r="N199" s="2532"/>
      <c r="O199" s="2532"/>
    </row>
    <row r="200" spans="1:15" s="2531" customFormat="1" ht="12.75">
      <c r="B200" s="2533"/>
      <c r="C200" s="4874"/>
      <c r="D200" s="4874"/>
      <c r="E200" s="4875"/>
      <c r="F200" s="4875"/>
      <c r="G200" s="4875"/>
      <c r="H200" s="4875"/>
      <c r="I200" s="2532"/>
      <c r="J200" s="2532"/>
      <c r="K200" s="2532"/>
      <c r="L200" s="2532"/>
      <c r="M200" s="2532"/>
      <c r="N200" s="2532"/>
      <c r="O200" s="2532"/>
    </row>
    <row r="201" spans="1:15" s="2531" customFormat="1" ht="12.75">
      <c r="B201" s="2533"/>
      <c r="D201" s="2566"/>
      <c r="E201" s="2566"/>
      <c r="F201" s="2566"/>
      <c r="G201" s="2566"/>
      <c r="H201" s="2566"/>
      <c r="I201" s="2532"/>
      <c r="J201" s="2532"/>
      <c r="K201" s="2532"/>
      <c r="L201" s="2532"/>
      <c r="M201" s="2532"/>
      <c r="N201" s="2532"/>
      <c r="O201" s="2532"/>
    </row>
    <row r="202" spans="1:15" s="2531" customFormat="1" ht="12.75">
      <c r="B202" s="2533"/>
      <c r="D202" s="2566"/>
      <c r="E202" s="2566"/>
      <c r="F202" s="2566"/>
      <c r="G202" s="2566"/>
      <c r="H202" s="2566"/>
      <c r="I202" s="2532"/>
      <c r="J202" s="2532"/>
      <c r="K202" s="2532"/>
      <c r="L202" s="2532"/>
      <c r="M202" s="2532"/>
      <c r="N202" s="2532"/>
      <c r="O202" s="2532"/>
    </row>
    <row r="203" spans="1:15" s="2531" customFormat="1" ht="12.75">
      <c r="B203" s="2533"/>
      <c r="D203" s="2566"/>
      <c r="E203" s="2566"/>
      <c r="F203" s="2566"/>
      <c r="G203" s="2566"/>
      <c r="H203" s="2566"/>
      <c r="I203" s="2532"/>
      <c r="J203" s="2532"/>
      <c r="K203" s="2532"/>
      <c r="L203" s="2532"/>
      <c r="M203" s="2532"/>
      <c r="N203" s="2532"/>
      <c r="O203" s="2532"/>
    </row>
    <row r="204" spans="1:15" s="2531" customFormat="1" ht="12.75">
      <c r="B204" s="2533"/>
      <c r="D204" s="2566"/>
      <c r="E204" s="2566"/>
      <c r="F204" s="2566"/>
      <c r="G204" s="2566"/>
      <c r="H204" s="2566"/>
      <c r="I204" s="2532"/>
      <c r="J204" s="2532"/>
      <c r="K204" s="2532"/>
      <c r="L204" s="2532"/>
      <c r="M204" s="2532"/>
      <c r="N204" s="2532"/>
      <c r="O204" s="2532"/>
    </row>
    <row r="205" spans="1:15" s="2531" customFormat="1" ht="12.75">
      <c r="B205" s="2533"/>
      <c r="D205" s="2566"/>
      <c r="E205" s="2566"/>
      <c r="F205" s="2566"/>
      <c r="G205" s="2566"/>
      <c r="H205" s="2566"/>
      <c r="I205" s="2532"/>
      <c r="J205" s="2532"/>
      <c r="K205" s="2532"/>
      <c r="L205" s="2532"/>
      <c r="M205" s="2532"/>
      <c r="N205" s="2532"/>
      <c r="O205" s="2532"/>
    </row>
    <row r="206" spans="1:15" s="2531" customFormat="1" ht="12.75">
      <c r="B206" s="2533"/>
      <c r="D206" s="2566"/>
      <c r="E206" s="2566"/>
      <c r="F206" s="2566"/>
      <c r="G206" s="2566"/>
      <c r="H206" s="2566"/>
      <c r="I206" s="2532"/>
      <c r="J206" s="2532"/>
      <c r="K206" s="2532"/>
      <c r="L206" s="2532"/>
      <c r="M206" s="2532"/>
      <c r="N206" s="2532"/>
      <c r="O206" s="2532"/>
    </row>
    <row r="207" spans="1:15" s="2531" customFormat="1" ht="12.75">
      <c r="B207" s="2533"/>
      <c r="D207" s="2566"/>
      <c r="E207" s="2566"/>
      <c r="F207" s="2566"/>
      <c r="G207" s="2566"/>
      <c r="H207" s="2566"/>
      <c r="I207" s="2532"/>
      <c r="J207" s="2532"/>
      <c r="K207" s="2532"/>
      <c r="L207" s="2532"/>
      <c r="M207" s="2532"/>
      <c r="N207" s="2532"/>
      <c r="O207" s="2532"/>
    </row>
    <row r="208" spans="1:15" s="2531" customFormat="1" ht="12.75">
      <c r="B208" s="2533"/>
      <c r="D208" s="2566"/>
      <c r="E208" s="2566"/>
      <c r="F208" s="2566"/>
      <c r="G208" s="2566"/>
      <c r="H208" s="2566"/>
      <c r="I208" s="2532"/>
      <c r="J208" s="2532"/>
      <c r="K208" s="2532"/>
      <c r="L208" s="2532"/>
      <c r="M208" s="2532"/>
      <c r="N208" s="2532"/>
      <c r="O208" s="2532"/>
    </row>
    <row r="209" spans="1:15" s="2531" customFormat="1" ht="12.75">
      <c r="B209" s="2533"/>
      <c r="D209" s="2566"/>
      <c r="E209" s="2566"/>
      <c r="F209" s="2566"/>
      <c r="G209" s="2566"/>
      <c r="H209" s="2566"/>
      <c r="I209" s="2532"/>
      <c r="J209" s="2532"/>
      <c r="K209" s="2532"/>
      <c r="L209" s="2532"/>
      <c r="M209" s="2532"/>
      <c r="N209" s="2532"/>
      <c r="O209" s="2532"/>
    </row>
    <row r="210" spans="1:15" s="2531" customFormat="1" ht="12.75">
      <c r="B210" s="2533"/>
      <c r="D210" s="2566"/>
      <c r="E210" s="2566"/>
      <c r="F210" s="2566"/>
      <c r="G210" s="2566"/>
      <c r="H210" s="2566"/>
      <c r="I210" s="2532"/>
      <c r="J210" s="2532"/>
      <c r="K210" s="2532"/>
      <c r="L210" s="2532"/>
      <c r="M210" s="2532"/>
      <c r="N210" s="2532"/>
      <c r="O210" s="2532"/>
    </row>
    <row r="211" spans="1:15" s="2531" customFormat="1" ht="12.75">
      <c r="B211" s="2533"/>
      <c r="D211" s="2566"/>
      <c r="E211" s="2566"/>
      <c r="F211" s="2566"/>
      <c r="G211" s="2566"/>
      <c r="H211" s="2566"/>
      <c r="I211" s="2532"/>
      <c r="J211" s="2532"/>
      <c r="K211" s="2532"/>
      <c r="L211" s="2532"/>
      <c r="M211" s="2532"/>
      <c r="N211" s="2532"/>
      <c r="O211" s="2532"/>
    </row>
    <row r="212" spans="1:15" s="2531" customFormat="1" ht="12.75">
      <c r="B212" s="2533"/>
      <c r="D212" s="2566"/>
      <c r="E212" s="2566"/>
      <c r="F212" s="2566"/>
      <c r="G212" s="2566"/>
      <c r="H212" s="2566"/>
      <c r="I212" s="2532"/>
      <c r="J212" s="2532"/>
      <c r="K212" s="2532"/>
      <c r="L212" s="2532"/>
      <c r="M212" s="2532"/>
      <c r="N212" s="2532"/>
      <c r="O212" s="2532"/>
    </row>
    <row r="213" spans="1:15" s="2531" customFormat="1" ht="12.75">
      <c r="B213" s="2533"/>
      <c r="D213" s="2566"/>
      <c r="E213" s="2566"/>
      <c r="F213" s="2566"/>
      <c r="G213" s="2566"/>
      <c r="H213" s="2566"/>
      <c r="I213" s="2532"/>
      <c r="J213" s="2532"/>
      <c r="K213" s="2532"/>
      <c r="L213" s="2532"/>
      <c r="M213" s="2532"/>
      <c r="N213" s="2532"/>
      <c r="O213" s="2532"/>
    </row>
    <row r="214" spans="1:15" s="2531" customFormat="1" ht="12.75">
      <c r="B214" s="2533"/>
      <c r="D214" s="2566"/>
      <c r="E214" s="2566"/>
      <c r="F214" s="2566"/>
      <c r="G214" s="2566"/>
      <c r="H214" s="2566"/>
      <c r="I214" s="2532"/>
      <c r="J214" s="2532"/>
      <c r="K214" s="2532"/>
      <c r="L214" s="2532"/>
      <c r="M214" s="2532"/>
      <c r="N214" s="2532"/>
      <c r="O214" s="2532"/>
    </row>
    <row r="215" spans="1:15" s="2531" customFormat="1" ht="12.75">
      <c r="B215" s="2533"/>
      <c r="D215" s="2566"/>
      <c r="E215" s="2566"/>
      <c r="F215" s="2566"/>
      <c r="G215" s="2566"/>
      <c r="H215" s="2566"/>
      <c r="I215" s="2532"/>
      <c r="J215" s="2532"/>
      <c r="K215" s="2532"/>
      <c r="L215" s="2532"/>
      <c r="M215" s="2532"/>
      <c r="N215" s="2532"/>
      <c r="O215" s="2532"/>
    </row>
    <row r="216" spans="1:15" s="2531" customFormat="1" ht="12.75">
      <c r="B216" s="2533"/>
      <c r="D216" s="2566"/>
      <c r="E216" s="2566"/>
      <c r="F216" s="2566"/>
      <c r="G216" s="2566"/>
      <c r="H216" s="2566"/>
      <c r="I216" s="2532"/>
      <c r="J216" s="2532"/>
      <c r="K216" s="2532"/>
      <c r="L216" s="2532"/>
      <c r="M216" s="2532"/>
      <c r="N216" s="2532"/>
      <c r="O216" s="2532"/>
    </row>
    <row r="217" spans="1:15" s="2531" customFormat="1" ht="12.75">
      <c r="A217" s="4876"/>
      <c r="B217" s="4876"/>
      <c r="C217" s="4876"/>
      <c r="D217" s="4876"/>
      <c r="E217" s="4876"/>
      <c r="F217" s="4876"/>
      <c r="G217" s="4876"/>
      <c r="H217" s="4876"/>
      <c r="I217" s="2532"/>
      <c r="J217" s="2532"/>
      <c r="K217" s="2532"/>
      <c r="L217" s="2532"/>
      <c r="M217" s="2532"/>
      <c r="N217" s="2532"/>
      <c r="O217" s="2532"/>
    </row>
    <row r="218" spans="1:15" s="2529" customFormat="1">
      <c r="A218" s="4877"/>
      <c r="B218" s="4877"/>
      <c r="C218" s="4877"/>
      <c r="D218" s="4877"/>
      <c r="E218" s="4877"/>
      <c r="F218" s="4877"/>
      <c r="G218" s="4877"/>
      <c r="H218" s="4877"/>
      <c r="I218" s="2530"/>
      <c r="J218" s="2530"/>
      <c r="K218" s="2530"/>
      <c r="L218" s="2530"/>
      <c r="M218" s="2530"/>
      <c r="N218" s="2530"/>
      <c r="O218" s="2530"/>
    </row>
    <row r="219" spans="1:15" s="2529" customFormat="1">
      <c r="A219" s="4876"/>
      <c r="B219" s="4876"/>
      <c r="C219" s="4876"/>
      <c r="D219" s="4876"/>
      <c r="E219" s="4876"/>
      <c r="F219" s="4876"/>
      <c r="G219" s="4876"/>
      <c r="H219" s="4876"/>
      <c r="I219" s="2530"/>
      <c r="J219" s="2530"/>
      <c r="K219" s="2530"/>
      <c r="L219" s="2530"/>
      <c r="M219" s="2530"/>
      <c r="N219" s="2530"/>
      <c r="O219" s="2530"/>
    </row>
    <row r="220" spans="1:15" s="2529" customFormat="1">
      <c r="A220" s="4877"/>
      <c r="B220" s="4877"/>
      <c r="C220" s="4877"/>
      <c r="D220" s="4877"/>
      <c r="E220" s="4877"/>
      <c r="F220" s="4877"/>
      <c r="G220" s="4877"/>
      <c r="H220" s="4877"/>
      <c r="I220" s="2530"/>
      <c r="J220" s="2530"/>
      <c r="K220" s="2530"/>
      <c r="L220" s="2530"/>
      <c r="M220" s="2530"/>
      <c r="N220" s="2530"/>
      <c r="O220" s="2530"/>
    </row>
    <row r="221" spans="1:15" s="2529" customFormat="1">
      <c r="I221" s="2530"/>
      <c r="J221" s="2530"/>
      <c r="K221" s="2530"/>
      <c r="L221" s="2530"/>
      <c r="M221" s="2530"/>
      <c r="N221" s="2530"/>
      <c r="O221" s="2530"/>
    </row>
    <row r="222" spans="1:15" s="2531" customFormat="1">
      <c r="A222" s="2568"/>
      <c r="B222" s="2567"/>
      <c r="C222" s="2529"/>
      <c r="D222" s="2566"/>
      <c r="E222" s="2566"/>
      <c r="F222" s="2566"/>
      <c r="G222" s="2566"/>
      <c r="H222" s="2566"/>
      <c r="I222" s="2532"/>
      <c r="J222" s="2532"/>
      <c r="K222" s="2532"/>
      <c r="L222" s="2532"/>
      <c r="M222" s="2532"/>
      <c r="N222" s="2532"/>
      <c r="O222" s="2532"/>
    </row>
    <row r="223" spans="1:15" s="2531" customFormat="1" ht="12.75">
      <c r="A223" s="1269"/>
      <c r="B223" s="1269"/>
      <c r="C223" s="2542"/>
      <c r="D223" s="2541"/>
      <c r="E223" s="2561"/>
      <c r="F223" s="2540"/>
      <c r="G223" s="2565"/>
      <c r="H223" s="2561"/>
      <c r="I223" s="2532"/>
      <c r="J223" s="2532"/>
      <c r="K223" s="2532"/>
      <c r="L223" s="2532"/>
      <c r="M223" s="2532"/>
      <c r="N223" s="2532"/>
      <c r="O223" s="2532"/>
    </row>
    <row r="224" spans="1:15" s="2531" customFormat="1" ht="23.25">
      <c r="A224" s="2564"/>
      <c r="B224" s="2564"/>
      <c r="C224" s="2542"/>
      <c r="D224" s="2541"/>
      <c r="E224" s="2561"/>
      <c r="F224" s="2540"/>
      <c r="G224" s="2562"/>
      <c r="H224" s="2561"/>
      <c r="I224" s="2532"/>
      <c r="J224" s="2532"/>
      <c r="K224" s="2532"/>
      <c r="L224" s="2532"/>
      <c r="M224" s="2532"/>
      <c r="N224" s="2532"/>
      <c r="O224" s="2532"/>
    </row>
    <row r="225" spans="1:15" s="2531" customFormat="1" ht="12.75">
      <c r="A225" s="4879"/>
      <c r="B225" s="4879"/>
      <c r="C225" s="2559"/>
      <c r="D225" s="2560"/>
      <c r="E225" s="4880"/>
      <c r="F225" s="4880"/>
      <c r="G225" s="4880"/>
      <c r="H225" s="2557"/>
      <c r="I225" s="2532"/>
      <c r="J225" s="2532"/>
      <c r="K225" s="2532"/>
      <c r="L225" s="2532"/>
      <c r="M225" s="2532"/>
      <c r="N225" s="2532"/>
      <c r="O225" s="2532"/>
    </row>
    <row r="226" spans="1:15" s="2531" customFormat="1" ht="12.75">
      <c r="A226" s="4879"/>
      <c r="B226" s="4879"/>
      <c r="C226" s="2559"/>
      <c r="D226" s="2558"/>
      <c r="E226" s="2558"/>
      <c r="F226" s="2558"/>
      <c r="G226" s="2558"/>
      <c r="H226" s="2558"/>
      <c r="I226" s="2532"/>
      <c r="J226" s="2532"/>
      <c r="K226" s="2532"/>
      <c r="L226" s="2532"/>
      <c r="M226" s="2532"/>
      <c r="N226" s="2532"/>
      <c r="O226" s="2532"/>
    </row>
    <row r="227" spans="1:15" s="2531" customFormat="1" ht="12.75">
      <c r="A227" s="4879"/>
      <c r="B227" s="4879"/>
      <c r="C227" s="2557"/>
      <c r="D227" s="2555"/>
      <c r="E227" s="2555"/>
      <c r="F227" s="2555"/>
      <c r="G227" s="2556"/>
      <c r="H227" s="2555"/>
      <c r="I227" s="2532"/>
      <c r="J227" s="2532"/>
      <c r="K227" s="2532"/>
      <c r="L227" s="2532"/>
      <c r="M227" s="2532"/>
      <c r="N227" s="2532"/>
      <c r="O227" s="2532"/>
    </row>
    <row r="228" spans="1:15" s="2531" customFormat="1" ht="12.75">
      <c r="A228" s="2554"/>
      <c r="B228" s="2553"/>
      <c r="C228" s="2552"/>
      <c r="D228" s="2551"/>
      <c r="E228" s="2551"/>
      <c r="F228" s="2551"/>
      <c r="G228" s="2551"/>
      <c r="H228" s="2551"/>
      <c r="I228" s="2532"/>
      <c r="J228" s="2532"/>
      <c r="K228" s="2532"/>
      <c r="L228" s="2532"/>
      <c r="M228" s="2532"/>
      <c r="N228" s="2532"/>
      <c r="O228" s="2532"/>
    </row>
    <row r="229" spans="1:15" s="2531" customFormat="1" ht="12.75">
      <c r="A229" s="2546"/>
      <c r="B229" s="1269"/>
      <c r="C229" s="2545"/>
      <c r="D229" s="2548"/>
      <c r="E229" s="2548"/>
      <c r="F229" s="2540"/>
      <c r="G229" s="2548"/>
      <c r="H229" s="2548"/>
      <c r="I229" s="2532"/>
      <c r="J229" s="2532"/>
      <c r="K229" s="2532"/>
      <c r="L229" s="2532"/>
      <c r="M229" s="2532"/>
      <c r="N229" s="2532"/>
      <c r="O229" s="2532"/>
    </row>
    <row r="230" spans="1:15" s="2531" customFormat="1" ht="12.75">
      <c r="A230" s="2549"/>
      <c r="B230" s="2549"/>
      <c r="C230" s="2545"/>
      <c r="D230" s="2548"/>
      <c r="E230" s="2548"/>
      <c r="F230" s="2540"/>
      <c r="G230" s="2548"/>
      <c r="H230" s="2548"/>
      <c r="I230" s="2532"/>
      <c r="J230" s="2532"/>
      <c r="K230" s="2532"/>
      <c r="L230" s="2532"/>
      <c r="M230" s="2532"/>
      <c r="N230" s="2532"/>
      <c r="O230" s="2532"/>
    </row>
    <row r="231" spans="1:15" s="2531" customFormat="1" ht="12.75">
      <c r="A231" s="2546"/>
      <c r="B231" s="1269"/>
      <c r="C231" s="2542"/>
      <c r="D231" s="2541"/>
      <c r="E231" s="2544"/>
      <c r="F231" s="2540"/>
      <c r="G231" s="2544"/>
      <c r="H231" s="2544"/>
      <c r="I231" s="2532"/>
      <c r="J231" s="2532"/>
      <c r="K231" s="2532"/>
      <c r="L231" s="2532"/>
      <c r="M231" s="2532"/>
      <c r="N231" s="2532"/>
      <c r="O231" s="2532"/>
    </row>
    <row r="232" spans="1:15" s="2531" customFormat="1" ht="12.75">
      <c r="A232" s="2549"/>
      <c r="B232" s="2549"/>
      <c r="C232" s="2545"/>
      <c r="D232" s="2541"/>
      <c r="E232" s="2544"/>
      <c r="F232" s="2540"/>
      <c r="G232" s="2544"/>
      <c r="H232" s="2544"/>
      <c r="I232" s="2532"/>
      <c r="J232" s="2532"/>
      <c r="K232" s="2532"/>
      <c r="L232" s="2532"/>
      <c r="M232" s="2532"/>
      <c r="N232" s="2532"/>
      <c r="O232" s="2532"/>
    </row>
    <row r="233" spans="1:15" s="2531" customFormat="1" ht="12.75">
      <c r="A233" s="2549"/>
      <c r="B233" s="2549"/>
      <c r="C233" s="2542"/>
      <c r="D233" s="2541"/>
      <c r="E233" s="2544"/>
      <c r="F233" s="2540"/>
      <c r="G233" s="2544"/>
      <c r="H233" s="2544"/>
      <c r="I233" s="2532"/>
      <c r="J233" s="2532"/>
      <c r="K233" s="2532"/>
      <c r="L233" s="2532"/>
      <c r="M233" s="2532"/>
      <c r="N233" s="2532"/>
      <c r="O233" s="2532"/>
    </row>
    <row r="234" spans="1:15" s="2531" customFormat="1" ht="12.75">
      <c r="A234" s="2549"/>
      <c r="B234" s="2549"/>
      <c r="C234" s="2542"/>
      <c r="D234" s="2541"/>
      <c r="E234" s="2544"/>
      <c r="F234" s="2540"/>
      <c r="G234" s="2544"/>
      <c r="H234" s="2544"/>
      <c r="I234" s="2532"/>
      <c r="J234" s="2532"/>
      <c r="K234" s="2532"/>
      <c r="L234" s="2532"/>
      <c r="M234" s="2532"/>
      <c r="N234" s="2532"/>
      <c r="O234" s="2532"/>
    </row>
    <row r="235" spans="1:15" s="2531" customFormat="1" ht="12.75">
      <c r="A235" s="2546"/>
      <c r="B235" s="1269"/>
      <c r="C235" s="2545"/>
      <c r="D235" s="2541"/>
      <c r="E235" s="2544"/>
      <c r="F235" s="2540"/>
      <c r="G235" s="2544"/>
      <c r="H235" s="2544"/>
      <c r="I235" s="2532"/>
      <c r="J235" s="2532"/>
      <c r="K235" s="2532"/>
      <c r="L235" s="2532"/>
      <c r="M235" s="2532"/>
      <c r="N235" s="2532"/>
      <c r="O235" s="2532"/>
    </row>
    <row r="236" spans="1:15" s="2531" customFormat="1" ht="12.75">
      <c r="A236" s="2546"/>
      <c r="B236" s="1269"/>
      <c r="C236" s="2545"/>
      <c r="D236" s="2541"/>
      <c r="E236" s="2544"/>
      <c r="F236" s="2540"/>
      <c r="G236" s="2544"/>
      <c r="H236" s="2544"/>
      <c r="I236" s="2532"/>
      <c r="J236" s="2532"/>
      <c r="K236" s="2532"/>
      <c r="L236" s="2532"/>
      <c r="M236" s="2532"/>
      <c r="N236" s="2532"/>
      <c r="O236" s="2532"/>
    </row>
    <row r="237" spans="1:15" s="2531" customFormat="1" ht="12.75">
      <c r="A237" s="2547"/>
      <c r="B237" s="2546"/>
      <c r="C237" s="2545"/>
      <c r="D237" s="2541"/>
      <c r="E237" s="2544"/>
      <c r="F237" s="2540"/>
      <c r="G237" s="2544"/>
      <c r="H237" s="2544"/>
      <c r="I237" s="2532"/>
      <c r="J237" s="2532"/>
      <c r="K237" s="2532"/>
      <c r="L237" s="2532"/>
      <c r="M237" s="2532"/>
      <c r="N237" s="2532"/>
      <c r="O237" s="2532"/>
    </row>
    <row r="238" spans="1:15" s="2531" customFormat="1" ht="12.75">
      <c r="A238" s="2543"/>
      <c r="B238" s="2543"/>
      <c r="C238" s="2542"/>
      <c r="D238" s="2541"/>
      <c r="E238" s="2539"/>
      <c r="F238" s="2540"/>
      <c r="G238" s="2539"/>
      <c r="H238" s="2539"/>
      <c r="I238" s="2532"/>
      <c r="J238" s="2532"/>
      <c r="K238" s="2532"/>
      <c r="L238" s="2532"/>
      <c r="M238" s="2532"/>
      <c r="N238" s="2532"/>
      <c r="O238" s="2532"/>
    </row>
    <row r="239" spans="1:15" s="2531" customFormat="1" ht="12.75">
      <c r="A239" s="2538"/>
      <c r="B239" s="2538"/>
      <c r="C239" s="2537"/>
      <c r="D239" s="2536"/>
      <c r="E239" s="2536"/>
      <c r="F239" s="2536"/>
      <c r="G239" s="2536"/>
      <c r="H239" s="2536"/>
      <c r="I239" s="2532"/>
      <c r="J239" s="2532"/>
      <c r="K239" s="2532"/>
      <c r="L239" s="2532"/>
      <c r="M239" s="2532"/>
      <c r="N239" s="2532"/>
      <c r="O239" s="2532"/>
    </row>
    <row r="240" spans="1:15" s="2531" customFormat="1" ht="12.75">
      <c r="A240" s="2538"/>
      <c r="B240" s="2538"/>
      <c r="C240" s="2537"/>
      <c r="D240" s="2536"/>
      <c r="E240" s="2536"/>
      <c r="F240" s="2536"/>
      <c r="G240" s="2536"/>
      <c r="H240" s="2536"/>
      <c r="I240" s="2532"/>
      <c r="J240" s="2532"/>
      <c r="K240" s="2532"/>
      <c r="L240" s="2532"/>
      <c r="M240" s="2532"/>
      <c r="N240" s="2532"/>
      <c r="O240" s="2532"/>
    </row>
    <row r="241" spans="1:15" s="2531" customFormat="1">
      <c r="A241" s="1269"/>
      <c r="B241" s="2529"/>
      <c r="C241" s="2535"/>
      <c r="D241" s="2529"/>
      <c r="E241" s="4877"/>
      <c r="F241" s="4877"/>
      <c r="G241" s="1269"/>
      <c r="H241" s="2529"/>
      <c r="I241" s="2532"/>
      <c r="J241" s="2532"/>
      <c r="K241" s="2532"/>
      <c r="L241" s="2532"/>
      <c r="M241" s="2532"/>
      <c r="N241" s="2532"/>
      <c r="O241" s="2532"/>
    </row>
    <row r="242" spans="1:15" s="2531" customFormat="1">
      <c r="A242" s="2529"/>
      <c r="B242" s="1269"/>
      <c r="C242" s="2535"/>
      <c r="D242" s="1269"/>
      <c r="E242" s="1269"/>
      <c r="F242" s="1269"/>
      <c r="G242" s="1269"/>
      <c r="H242" s="2529"/>
      <c r="I242" s="2532"/>
      <c r="J242" s="2532"/>
      <c r="K242" s="2532"/>
      <c r="L242" s="2532"/>
      <c r="M242" s="2532"/>
      <c r="N242" s="2532"/>
      <c r="O242" s="2532"/>
    </row>
    <row r="243" spans="1:15" s="2531" customFormat="1" ht="12.75">
      <c r="A243" s="2534"/>
      <c r="B243" s="1269"/>
      <c r="C243" s="4881"/>
      <c r="D243" s="4881"/>
      <c r="E243" s="4876"/>
      <c r="F243" s="4876"/>
      <c r="G243" s="4876"/>
      <c r="H243" s="4876"/>
      <c r="I243" s="2532"/>
      <c r="J243" s="2532"/>
      <c r="K243" s="2532"/>
      <c r="L243" s="2532"/>
      <c r="M243" s="2532"/>
      <c r="N243" s="2532"/>
      <c r="O243" s="2532"/>
    </row>
    <row r="244" spans="1:15" s="2531" customFormat="1" ht="12.75">
      <c r="B244" s="2533"/>
      <c r="C244" s="4874"/>
      <c r="D244" s="4874"/>
      <c r="E244" s="4875"/>
      <c r="F244" s="4875"/>
      <c r="G244" s="4875"/>
      <c r="H244" s="4875"/>
      <c r="I244" s="2532"/>
      <c r="J244" s="2532"/>
      <c r="K244" s="2532"/>
      <c r="L244" s="2532"/>
      <c r="M244" s="2532"/>
      <c r="N244" s="2532"/>
      <c r="O244" s="2532"/>
    </row>
    <row r="245" spans="1:15" s="2531" customFormat="1" ht="12.75">
      <c r="B245" s="2533"/>
      <c r="D245" s="2566"/>
      <c r="E245" s="2566"/>
      <c r="F245" s="2566"/>
      <c r="G245" s="2566"/>
      <c r="H245" s="2566"/>
      <c r="I245" s="2532"/>
      <c r="J245" s="2532"/>
      <c r="K245" s="2532"/>
      <c r="L245" s="2532"/>
      <c r="M245" s="2532"/>
      <c r="N245" s="2532"/>
      <c r="O245" s="2532"/>
    </row>
    <row r="246" spans="1:15" s="2531" customFormat="1" ht="12.75">
      <c r="B246" s="2533"/>
      <c r="D246" s="2566"/>
      <c r="E246" s="2566"/>
      <c r="F246" s="2566"/>
      <c r="G246" s="2566"/>
      <c r="H246" s="2566"/>
      <c r="I246" s="2532"/>
      <c r="J246" s="2532"/>
      <c r="K246" s="2532"/>
      <c r="L246" s="2532"/>
      <c r="M246" s="2532"/>
      <c r="N246" s="2532"/>
      <c r="O246" s="2532"/>
    </row>
    <row r="247" spans="1:15" s="2531" customFormat="1" ht="12.75">
      <c r="B247" s="2533"/>
      <c r="D247" s="2566"/>
      <c r="E247" s="2566"/>
      <c r="F247" s="2566"/>
      <c r="G247" s="2566"/>
      <c r="H247" s="2566"/>
      <c r="I247" s="2532"/>
      <c r="J247" s="2532"/>
      <c r="K247" s="2532"/>
      <c r="L247" s="2532"/>
      <c r="M247" s="2532"/>
      <c r="N247" s="2532"/>
      <c r="O247" s="2532"/>
    </row>
    <row r="248" spans="1:15" s="2531" customFormat="1" ht="12.75">
      <c r="B248" s="2533"/>
      <c r="D248" s="2566"/>
      <c r="E248" s="2566"/>
      <c r="F248" s="2566"/>
      <c r="G248" s="2566"/>
      <c r="H248" s="2566"/>
      <c r="I248" s="2532"/>
      <c r="J248" s="2532"/>
      <c r="K248" s="2532"/>
      <c r="L248" s="2532"/>
      <c r="M248" s="2532"/>
      <c r="N248" s="2532"/>
      <c r="O248" s="2532"/>
    </row>
    <row r="249" spans="1:15" s="2531" customFormat="1" ht="12.75">
      <c r="B249" s="2533"/>
      <c r="D249" s="2566"/>
      <c r="E249" s="2566"/>
      <c r="F249" s="2566"/>
      <c r="G249" s="2566"/>
      <c r="H249" s="2566"/>
      <c r="I249" s="2532"/>
      <c r="J249" s="2532"/>
      <c r="K249" s="2532"/>
      <c r="L249" s="2532"/>
      <c r="M249" s="2532"/>
      <c r="N249" s="2532"/>
      <c r="O249" s="2532"/>
    </row>
    <row r="250" spans="1:15" s="2531" customFormat="1" ht="12.75">
      <c r="B250" s="2533"/>
      <c r="D250" s="2566"/>
      <c r="E250" s="2566"/>
      <c r="F250" s="2566"/>
      <c r="G250" s="2566"/>
      <c r="H250" s="2566"/>
      <c r="I250" s="2532"/>
      <c r="J250" s="2532"/>
      <c r="K250" s="2532"/>
      <c r="L250" s="2532"/>
      <c r="M250" s="2532"/>
      <c r="N250" s="2532"/>
      <c r="O250" s="2532"/>
    </row>
    <row r="251" spans="1:15" s="2531" customFormat="1" ht="12.75">
      <c r="B251" s="2533"/>
      <c r="D251" s="2566"/>
      <c r="E251" s="2566"/>
      <c r="F251" s="2566"/>
      <c r="G251" s="2566"/>
      <c r="H251" s="2566"/>
      <c r="I251" s="2532"/>
      <c r="J251" s="2532"/>
      <c r="K251" s="2532"/>
      <c r="L251" s="2532"/>
      <c r="M251" s="2532"/>
      <c r="N251" s="2532"/>
      <c r="O251" s="2532"/>
    </row>
    <row r="252" spans="1:15" s="2531" customFormat="1" ht="12.75">
      <c r="B252" s="2533"/>
      <c r="D252" s="2566"/>
      <c r="E252" s="2566"/>
      <c r="F252" s="2566"/>
      <c r="G252" s="2566"/>
      <c r="H252" s="2566"/>
      <c r="I252" s="2532"/>
      <c r="J252" s="2532"/>
      <c r="K252" s="2532"/>
      <c r="L252" s="2532"/>
      <c r="M252" s="2532"/>
      <c r="N252" s="2532"/>
      <c r="O252" s="2532"/>
    </row>
    <row r="253" spans="1:15" s="2531" customFormat="1" ht="12.75">
      <c r="B253" s="2533"/>
      <c r="D253" s="2566"/>
      <c r="E253" s="2566"/>
      <c r="F253" s="2566"/>
      <c r="G253" s="2566"/>
      <c r="H253" s="2566"/>
      <c r="I253" s="2532"/>
      <c r="J253" s="2532"/>
      <c r="K253" s="2532"/>
      <c r="L253" s="2532"/>
      <c r="M253" s="2532"/>
      <c r="N253" s="2532"/>
      <c r="O253" s="2532"/>
    </row>
    <row r="254" spans="1:15" s="2531" customFormat="1" ht="12.75">
      <c r="B254" s="2533"/>
      <c r="D254" s="2566"/>
      <c r="E254" s="2566"/>
      <c r="F254" s="2566"/>
      <c r="G254" s="2566"/>
      <c r="H254" s="2566"/>
      <c r="I254" s="2532"/>
      <c r="J254" s="2532"/>
      <c r="K254" s="2532"/>
      <c r="L254" s="2532"/>
      <c r="M254" s="2532"/>
      <c r="N254" s="2532"/>
      <c r="O254" s="2532"/>
    </row>
    <row r="255" spans="1:15" s="2531" customFormat="1" ht="12.75">
      <c r="B255" s="2533"/>
      <c r="D255" s="2566"/>
      <c r="E255" s="2566"/>
      <c r="F255" s="2566"/>
      <c r="G255" s="2566"/>
      <c r="H255" s="2566"/>
      <c r="I255" s="2532"/>
      <c r="J255" s="2532"/>
      <c r="K255" s="2532"/>
      <c r="L255" s="2532"/>
      <c r="M255" s="2532"/>
      <c r="N255" s="2532"/>
      <c r="O255" s="2532"/>
    </row>
    <row r="256" spans="1:15" s="2531" customFormat="1" ht="12.75">
      <c r="B256" s="2533"/>
      <c r="D256" s="2566"/>
      <c r="E256" s="2566"/>
      <c r="F256" s="2566"/>
      <c r="G256" s="2566"/>
      <c r="H256" s="2566"/>
      <c r="I256" s="2532"/>
      <c r="J256" s="2532"/>
      <c r="K256" s="2532"/>
      <c r="L256" s="2532"/>
      <c r="M256" s="2532"/>
      <c r="N256" s="2532"/>
      <c r="O256" s="2532"/>
    </row>
    <row r="257" spans="1:15" s="2531" customFormat="1" ht="12.75">
      <c r="B257" s="2533"/>
      <c r="D257" s="2566"/>
      <c r="E257" s="2566"/>
      <c r="F257" s="2566"/>
      <c r="G257" s="2566"/>
      <c r="H257" s="2566"/>
      <c r="I257" s="2532"/>
      <c r="J257" s="2532"/>
      <c r="K257" s="2532"/>
      <c r="L257" s="2532"/>
      <c r="M257" s="2532"/>
      <c r="N257" s="2532"/>
      <c r="O257" s="2532"/>
    </row>
    <row r="258" spans="1:15" s="2531" customFormat="1" ht="12.75">
      <c r="B258" s="2533"/>
      <c r="D258" s="2566"/>
      <c r="E258" s="2566"/>
      <c r="F258" s="2566"/>
      <c r="G258" s="2566"/>
      <c r="H258" s="2566"/>
      <c r="I258" s="2532"/>
      <c r="J258" s="2532"/>
      <c r="K258" s="2532"/>
      <c r="L258" s="2532"/>
      <c r="M258" s="2532"/>
      <c r="N258" s="2532"/>
      <c r="O258" s="2532"/>
    </row>
    <row r="259" spans="1:15" s="2531" customFormat="1" ht="12.75">
      <c r="B259" s="2533"/>
      <c r="D259" s="2566"/>
      <c r="E259" s="2566"/>
      <c r="F259" s="2566"/>
      <c r="G259" s="2566"/>
      <c r="H259" s="2566"/>
      <c r="I259" s="2532"/>
      <c r="J259" s="2532"/>
      <c r="K259" s="2532"/>
      <c r="L259" s="2532"/>
      <c r="M259" s="2532"/>
      <c r="N259" s="2532"/>
      <c r="O259" s="2532"/>
    </row>
    <row r="260" spans="1:15" s="2531" customFormat="1" ht="12.75">
      <c r="B260" s="2533"/>
      <c r="D260" s="2566"/>
      <c r="E260" s="2566"/>
      <c r="F260" s="2566"/>
      <c r="G260" s="2566"/>
      <c r="H260" s="2566"/>
      <c r="I260" s="2532"/>
      <c r="J260" s="2532"/>
      <c r="K260" s="2532"/>
      <c r="L260" s="2532"/>
      <c r="M260" s="2532"/>
      <c r="N260" s="2532"/>
      <c r="O260" s="2532"/>
    </row>
    <row r="261" spans="1:15" s="2531" customFormat="1" ht="12.75">
      <c r="B261" s="2533"/>
      <c r="D261" s="2566"/>
      <c r="E261" s="2566"/>
      <c r="F261" s="2566"/>
      <c r="G261" s="2566"/>
      <c r="H261" s="2566"/>
      <c r="I261" s="2532"/>
      <c r="J261" s="2532"/>
      <c r="K261" s="2532"/>
      <c r="L261" s="2532"/>
      <c r="M261" s="2532"/>
      <c r="N261" s="2532"/>
      <c r="O261" s="2532"/>
    </row>
    <row r="262" spans="1:15" s="2529" customFormat="1">
      <c r="I262" s="2530"/>
      <c r="J262" s="2530"/>
      <c r="K262" s="2530"/>
      <c r="L262" s="2530"/>
      <c r="M262" s="2530"/>
      <c r="N262" s="2530"/>
      <c r="O262" s="2530"/>
    </row>
    <row r="263" spans="1:15" s="2529" customFormat="1">
      <c r="A263" s="4876"/>
      <c r="B263" s="4876"/>
      <c r="C263" s="4876"/>
      <c r="D263" s="4876"/>
      <c r="E263" s="4876"/>
      <c r="F263" s="4876"/>
      <c r="G263" s="4876"/>
      <c r="H263" s="4876"/>
      <c r="I263" s="2530"/>
      <c r="J263" s="2530"/>
      <c r="K263" s="2530"/>
      <c r="L263" s="2530"/>
      <c r="M263" s="2530"/>
      <c r="N263" s="2530"/>
      <c r="O263" s="2530"/>
    </row>
    <row r="264" spans="1:15" s="2529" customFormat="1">
      <c r="A264" s="4877"/>
      <c r="B264" s="4877"/>
      <c r="C264" s="4877"/>
      <c r="D264" s="4877"/>
      <c r="E264" s="4877"/>
      <c r="F264" s="4877"/>
      <c r="G264" s="4877"/>
      <c r="H264" s="4877"/>
      <c r="I264" s="2530"/>
      <c r="J264" s="2530"/>
      <c r="K264" s="2530"/>
      <c r="L264" s="2530"/>
      <c r="M264" s="2530"/>
      <c r="N264" s="2530"/>
      <c r="O264" s="2530"/>
    </row>
    <row r="265" spans="1:15" s="2529" customFormat="1">
      <c r="I265" s="2530"/>
      <c r="J265" s="2530"/>
      <c r="K265" s="2530"/>
      <c r="L265" s="2530"/>
      <c r="M265" s="2530"/>
      <c r="N265" s="2530"/>
      <c r="O265" s="2530"/>
    </row>
    <row r="266" spans="1:15" s="2531" customFormat="1">
      <c r="A266" s="2568"/>
      <c r="B266" s="2567"/>
      <c r="C266" s="2529"/>
      <c r="D266" s="2566"/>
      <c r="E266" s="2566"/>
      <c r="F266" s="2566"/>
      <c r="G266" s="2566"/>
      <c r="H266" s="2566"/>
      <c r="I266" s="2532"/>
      <c r="J266" s="2532"/>
      <c r="K266" s="2532"/>
      <c r="L266" s="2532"/>
      <c r="M266" s="2532"/>
      <c r="N266" s="2532"/>
      <c r="O266" s="2532"/>
    </row>
    <row r="267" spans="1:15" s="2531" customFormat="1" ht="12.75">
      <c r="A267" s="1269"/>
      <c r="B267" s="1269"/>
      <c r="C267" s="2542"/>
      <c r="D267" s="2541"/>
      <c r="E267" s="2561"/>
      <c r="F267" s="2540"/>
      <c r="G267" s="2565"/>
      <c r="H267" s="2561"/>
      <c r="I267" s="2532"/>
      <c r="J267" s="2532"/>
      <c r="K267" s="2532"/>
      <c r="L267" s="2532"/>
      <c r="M267" s="2532"/>
      <c r="N267" s="2532"/>
      <c r="O267" s="2532"/>
    </row>
    <row r="268" spans="1:15" s="2531" customFormat="1" ht="23.25">
      <c r="A268" s="2564"/>
      <c r="B268" s="2564"/>
      <c r="C268" s="2563"/>
      <c r="D268" s="2570"/>
      <c r="E268" s="2561"/>
      <c r="F268" s="2540"/>
      <c r="G268" s="2562"/>
      <c r="H268" s="2561"/>
      <c r="I268" s="2532"/>
      <c r="J268" s="2532"/>
      <c r="K268" s="2532"/>
      <c r="L268" s="2532"/>
      <c r="M268" s="2532"/>
      <c r="N268" s="2532"/>
      <c r="O268" s="2532"/>
    </row>
    <row r="269" spans="1:15" s="2531" customFormat="1" ht="12.75">
      <c r="A269" s="4879"/>
      <c r="B269" s="4879"/>
      <c r="C269" s="2559"/>
      <c r="D269" s="2560"/>
      <c r="E269" s="4880"/>
      <c r="F269" s="4880"/>
      <c r="G269" s="4880"/>
      <c r="H269" s="2557"/>
      <c r="I269" s="2532"/>
      <c r="J269" s="2532"/>
      <c r="K269" s="2532"/>
      <c r="L269" s="2532"/>
      <c r="M269" s="2532"/>
      <c r="N269" s="2532"/>
      <c r="O269" s="2532"/>
    </row>
    <row r="270" spans="1:15" s="2531" customFormat="1" ht="12.75">
      <c r="A270" s="4879"/>
      <c r="B270" s="4879"/>
      <c r="C270" s="2559"/>
      <c r="D270" s="2558"/>
      <c r="E270" s="2558"/>
      <c r="F270" s="2558"/>
      <c r="G270" s="2558"/>
      <c r="H270" s="2558"/>
      <c r="I270" s="2532"/>
      <c r="J270" s="2532"/>
      <c r="K270" s="2532"/>
      <c r="L270" s="2532"/>
      <c r="M270" s="2532"/>
      <c r="N270" s="2532"/>
      <c r="O270" s="2532"/>
    </row>
    <row r="271" spans="1:15" s="2531" customFormat="1" ht="12.75">
      <c r="A271" s="4879"/>
      <c r="B271" s="4879"/>
      <c r="C271" s="2557"/>
      <c r="D271" s="2555"/>
      <c r="E271" s="2555"/>
      <c r="F271" s="2555"/>
      <c r="G271" s="2556"/>
      <c r="H271" s="2555"/>
      <c r="I271" s="2532"/>
      <c r="J271" s="2532"/>
      <c r="K271" s="2532"/>
      <c r="L271" s="2532"/>
      <c r="M271" s="2532"/>
      <c r="N271" s="2532"/>
      <c r="O271" s="2532"/>
    </row>
    <row r="272" spans="1:15" s="2531" customFormat="1" ht="12.75">
      <c r="A272" s="2554"/>
      <c r="B272" s="2553"/>
      <c r="C272" s="2552"/>
      <c r="D272" s="2551"/>
      <c r="E272" s="2551"/>
      <c r="F272" s="2551"/>
      <c r="G272" s="2551"/>
      <c r="H272" s="2551"/>
      <c r="I272" s="2532"/>
      <c r="J272" s="2532"/>
      <c r="K272" s="2532"/>
      <c r="L272" s="2532"/>
      <c r="M272" s="2532"/>
      <c r="N272" s="2532"/>
      <c r="O272" s="2532"/>
    </row>
    <row r="273" spans="1:15" s="2531" customFormat="1" ht="12.75">
      <c r="A273" s="2546"/>
      <c r="B273" s="1269"/>
      <c r="C273" s="2542"/>
      <c r="D273" s="2548"/>
      <c r="E273" s="2548"/>
      <c r="F273" s="2540"/>
      <c r="G273" s="2548"/>
      <c r="H273" s="2548"/>
      <c r="I273" s="2532"/>
      <c r="J273" s="2532"/>
      <c r="K273" s="2532"/>
      <c r="L273" s="2532"/>
      <c r="M273" s="2532"/>
      <c r="N273" s="2532"/>
      <c r="O273" s="2532"/>
    </row>
    <row r="274" spans="1:15" s="2531" customFormat="1" ht="12.75">
      <c r="A274" s="2549"/>
      <c r="B274" s="2549"/>
      <c r="C274" s="2545"/>
      <c r="D274" s="2548"/>
      <c r="E274" s="2548"/>
      <c r="F274" s="2540"/>
      <c r="G274" s="2548"/>
      <c r="H274" s="2548"/>
      <c r="I274" s="2532"/>
      <c r="J274" s="2532"/>
      <c r="K274" s="2532"/>
      <c r="L274" s="2532"/>
      <c r="M274" s="2532"/>
      <c r="N274" s="2532"/>
      <c r="O274" s="2532"/>
    </row>
    <row r="275" spans="1:15" s="2531" customFormat="1" ht="12.75">
      <c r="A275" s="2546"/>
      <c r="B275" s="1269"/>
      <c r="C275" s="2545"/>
      <c r="D275" s="2541"/>
      <c r="E275" s="2544"/>
      <c r="F275" s="2540"/>
      <c r="G275" s="2544"/>
      <c r="H275" s="2544"/>
      <c r="I275" s="2532"/>
      <c r="J275" s="2532"/>
      <c r="K275" s="2532"/>
      <c r="L275" s="2532"/>
      <c r="M275" s="2532"/>
      <c r="N275" s="2532"/>
      <c r="O275" s="2532"/>
    </row>
    <row r="276" spans="1:15" s="2531" customFormat="1" ht="12.75">
      <c r="A276" s="2549"/>
      <c r="B276" s="2549"/>
      <c r="C276" s="2545"/>
      <c r="D276" s="2541"/>
      <c r="E276" s="2544"/>
      <c r="F276" s="2540"/>
      <c r="G276" s="2544"/>
      <c r="H276" s="2544"/>
      <c r="I276" s="2532"/>
      <c r="J276" s="2532"/>
      <c r="K276" s="2532"/>
      <c r="L276" s="2532"/>
      <c r="M276" s="2532"/>
      <c r="N276" s="2532"/>
      <c r="O276" s="2532"/>
    </row>
    <row r="277" spans="1:15" s="2531" customFormat="1" ht="12.75">
      <c r="A277" s="2543"/>
      <c r="B277" s="2543"/>
      <c r="C277" s="2542"/>
      <c r="D277" s="2541"/>
      <c r="E277" s="2539"/>
      <c r="F277" s="2540"/>
      <c r="G277" s="2539"/>
      <c r="H277" s="2539"/>
      <c r="I277" s="2532"/>
      <c r="J277" s="2532"/>
      <c r="K277" s="2532"/>
      <c r="L277" s="2532"/>
      <c r="M277" s="2532"/>
      <c r="N277" s="2532"/>
      <c r="O277" s="2532"/>
    </row>
    <row r="278" spans="1:15" s="2531" customFormat="1" ht="12.75">
      <c r="A278" s="2538"/>
      <c r="B278" s="2538"/>
      <c r="C278" s="2537"/>
      <c r="D278" s="2536"/>
      <c r="E278" s="2536"/>
      <c r="F278" s="2536"/>
      <c r="G278" s="2536"/>
      <c r="H278" s="2536"/>
      <c r="I278" s="2532"/>
      <c r="J278" s="2532"/>
      <c r="K278" s="2532"/>
      <c r="L278" s="2532"/>
      <c r="M278" s="2532"/>
      <c r="N278" s="2532"/>
      <c r="O278" s="2532"/>
    </row>
    <row r="279" spans="1:15" s="2531" customFormat="1" ht="12.75">
      <c r="A279" s="2538"/>
      <c r="B279" s="2538"/>
      <c r="C279" s="2537"/>
      <c r="D279" s="2536"/>
      <c r="E279" s="2536"/>
      <c r="F279" s="2536"/>
      <c r="G279" s="2536"/>
      <c r="H279" s="2536"/>
      <c r="I279" s="2532"/>
      <c r="J279" s="2532"/>
      <c r="K279" s="2532"/>
      <c r="L279" s="2532"/>
      <c r="M279" s="2532"/>
      <c r="N279" s="2532"/>
      <c r="O279" s="2532"/>
    </row>
    <row r="280" spans="1:15" s="2531" customFormat="1">
      <c r="A280" s="1269"/>
      <c r="B280" s="2529"/>
      <c r="C280" s="2535"/>
      <c r="D280" s="2529"/>
      <c r="E280" s="4877"/>
      <c r="F280" s="4877"/>
      <c r="G280" s="1269"/>
      <c r="H280" s="2529"/>
      <c r="I280" s="2532"/>
      <c r="J280" s="2532"/>
      <c r="K280" s="2532"/>
      <c r="L280" s="2532"/>
      <c r="M280" s="2532"/>
      <c r="N280" s="2532"/>
      <c r="O280" s="2532"/>
    </row>
    <row r="281" spans="1:15" s="2531" customFormat="1">
      <c r="A281" s="2529"/>
      <c r="B281" s="1269"/>
      <c r="C281" s="2535"/>
      <c r="D281" s="1269"/>
      <c r="E281" s="1269"/>
      <c r="F281" s="1269"/>
      <c r="G281" s="1269"/>
      <c r="H281" s="2529"/>
      <c r="I281" s="2532"/>
      <c r="J281" s="2532"/>
      <c r="K281" s="2532"/>
      <c r="L281" s="2532"/>
      <c r="M281" s="2532"/>
      <c r="N281" s="2532"/>
      <c r="O281" s="2532"/>
    </row>
    <row r="282" spans="1:15" s="2531" customFormat="1" ht="12.75">
      <c r="A282" s="2534"/>
      <c r="B282" s="1269"/>
      <c r="C282" s="4881"/>
      <c r="D282" s="4881"/>
      <c r="E282" s="4876"/>
      <c r="F282" s="4876"/>
      <c r="G282" s="4876"/>
      <c r="H282" s="4876"/>
      <c r="I282" s="2532"/>
      <c r="J282" s="2532"/>
      <c r="K282" s="2532"/>
      <c r="L282" s="2532"/>
      <c r="M282" s="2532"/>
      <c r="N282" s="2532"/>
      <c r="O282" s="2532"/>
    </row>
    <row r="283" spans="1:15" s="2531" customFormat="1" ht="12.75">
      <c r="B283" s="2533"/>
      <c r="C283" s="4874"/>
      <c r="D283" s="4874"/>
      <c r="E283" s="4875"/>
      <c r="F283" s="4875"/>
      <c r="G283" s="4875"/>
      <c r="H283" s="4875"/>
      <c r="I283" s="2532"/>
      <c r="J283" s="2532"/>
      <c r="K283" s="2532"/>
      <c r="L283" s="2532"/>
      <c r="M283" s="2532"/>
      <c r="N283" s="2532"/>
      <c r="O283" s="2532"/>
    </row>
    <row r="284" spans="1:15" s="2531" customFormat="1" ht="12.75">
      <c r="B284" s="2533"/>
      <c r="D284" s="2566"/>
      <c r="E284" s="2566"/>
      <c r="F284" s="2566"/>
      <c r="G284" s="2566"/>
      <c r="H284" s="2566"/>
      <c r="I284" s="2532"/>
      <c r="J284" s="2532"/>
      <c r="K284" s="2532"/>
      <c r="L284" s="2532"/>
      <c r="M284" s="2532"/>
      <c r="N284" s="2532"/>
      <c r="O284" s="2532"/>
    </row>
    <row r="285" spans="1:15" s="2531" customFormat="1" ht="12.75">
      <c r="B285" s="2533"/>
      <c r="D285" s="2566"/>
      <c r="E285" s="2566"/>
      <c r="F285" s="2566"/>
      <c r="G285" s="2566"/>
      <c r="H285" s="2566"/>
      <c r="I285" s="2532"/>
      <c r="J285" s="2532"/>
      <c r="K285" s="2532"/>
      <c r="L285" s="2532"/>
      <c r="M285" s="2532"/>
      <c r="N285" s="2532"/>
      <c r="O285" s="2532"/>
    </row>
    <row r="286" spans="1:15" s="2531" customFormat="1" ht="12.75">
      <c r="B286" s="2533"/>
      <c r="D286" s="2566"/>
      <c r="E286" s="2566"/>
      <c r="F286" s="2566"/>
      <c r="G286" s="2566"/>
      <c r="H286" s="2566"/>
      <c r="I286" s="2532"/>
      <c r="J286" s="2532"/>
      <c r="K286" s="2532"/>
      <c r="L286" s="2532"/>
      <c r="M286" s="2532"/>
      <c r="N286" s="2532"/>
      <c r="O286" s="2532"/>
    </row>
    <row r="287" spans="1:15" s="2531" customFormat="1" ht="12.75">
      <c r="B287" s="2533"/>
      <c r="D287" s="2566"/>
      <c r="E287" s="2566"/>
      <c r="F287" s="2566"/>
      <c r="G287" s="2566"/>
      <c r="H287" s="2566"/>
      <c r="I287" s="2532"/>
      <c r="J287" s="2532"/>
      <c r="K287" s="2532"/>
      <c r="L287" s="2532"/>
      <c r="M287" s="2532"/>
      <c r="N287" s="2532"/>
      <c r="O287" s="2532"/>
    </row>
    <row r="288" spans="1:15" s="2531" customFormat="1" ht="12.75">
      <c r="B288" s="2533"/>
      <c r="D288" s="2566"/>
      <c r="E288" s="2566"/>
      <c r="F288" s="2566"/>
      <c r="G288" s="2566"/>
      <c r="H288" s="2566"/>
      <c r="I288" s="2532"/>
      <c r="J288" s="2532"/>
      <c r="K288" s="2532"/>
      <c r="L288" s="2532"/>
      <c r="M288" s="2532"/>
      <c r="N288" s="2532"/>
      <c r="O288" s="2532"/>
    </row>
    <row r="289" spans="1:15" s="2531" customFormat="1" ht="12.75">
      <c r="B289" s="2533"/>
      <c r="D289" s="2566"/>
      <c r="E289" s="2566"/>
      <c r="F289" s="2566"/>
      <c r="G289" s="2566"/>
      <c r="H289" s="2566"/>
      <c r="I289" s="2532"/>
      <c r="J289" s="2532"/>
      <c r="K289" s="2532"/>
      <c r="L289" s="2532"/>
      <c r="M289" s="2532"/>
      <c r="N289" s="2532"/>
      <c r="O289" s="2532"/>
    </row>
    <row r="290" spans="1:15" s="2531" customFormat="1" ht="12.75">
      <c r="B290" s="2533"/>
      <c r="D290" s="2566"/>
      <c r="E290" s="2566"/>
      <c r="F290" s="2566"/>
      <c r="G290" s="2566"/>
      <c r="H290" s="2566"/>
      <c r="I290" s="2532"/>
      <c r="J290" s="2532"/>
      <c r="K290" s="2532"/>
      <c r="L290" s="2532"/>
      <c r="M290" s="2532"/>
      <c r="N290" s="2532"/>
      <c r="O290" s="2532"/>
    </row>
    <row r="291" spans="1:15" s="2531" customFormat="1" ht="12.75">
      <c r="B291" s="2533"/>
      <c r="D291" s="2566"/>
      <c r="E291" s="2566"/>
      <c r="F291" s="2566"/>
      <c r="G291" s="2566"/>
      <c r="H291" s="2566"/>
      <c r="I291" s="2532"/>
      <c r="J291" s="2532"/>
      <c r="K291" s="2532"/>
      <c r="L291" s="2532"/>
      <c r="M291" s="2532"/>
      <c r="N291" s="2532"/>
      <c r="O291" s="2532"/>
    </row>
    <row r="292" spans="1:15" s="2531" customFormat="1" ht="12.75">
      <c r="B292" s="2533"/>
      <c r="D292" s="2566"/>
      <c r="E292" s="2566"/>
      <c r="F292" s="2566"/>
      <c r="G292" s="2566"/>
      <c r="H292" s="2566"/>
      <c r="I292" s="2532"/>
      <c r="J292" s="2532"/>
      <c r="K292" s="2532"/>
      <c r="L292" s="2532"/>
      <c r="M292" s="2532"/>
      <c r="N292" s="2532"/>
      <c r="O292" s="2532"/>
    </row>
    <row r="293" spans="1:15" s="2531" customFormat="1" ht="12.75">
      <c r="B293" s="2533"/>
      <c r="D293" s="2566"/>
      <c r="E293" s="2566"/>
      <c r="F293" s="2566"/>
      <c r="G293" s="2566"/>
      <c r="H293" s="2566"/>
      <c r="I293" s="2532"/>
      <c r="J293" s="2532"/>
      <c r="K293" s="2532"/>
      <c r="L293" s="2532"/>
      <c r="M293" s="2532"/>
      <c r="N293" s="2532"/>
      <c r="O293" s="2532"/>
    </row>
    <row r="294" spans="1:15" s="2531" customFormat="1" ht="12.75">
      <c r="B294" s="2533"/>
      <c r="D294" s="2566"/>
      <c r="E294" s="2566"/>
      <c r="F294" s="2566"/>
      <c r="G294" s="2566"/>
      <c r="H294" s="2566"/>
      <c r="I294" s="2532"/>
      <c r="J294" s="2532"/>
      <c r="K294" s="2532"/>
      <c r="L294" s="2532"/>
      <c r="M294" s="2532"/>
      <c r="N294" s="2532"/>
      <c r="O294" s="2532"/>
    </row>
    <row r="295" spans="1:15" s="2531" customFormat="1" ht="12.75">
      <c r="B295" s="2533"/>
      <c r="D295" s="2566"/>
      <c r="E295" s="2566"/>
      <c r="F295" s="2566"/>
      <c r="G295" s="2566"/>
      <c r="H295" s="2566"/>
      <c r="I295" s="2532"/>
      <c r="J295" s="2532"/>
      <c r="K295" s="2532"/>
      <c r="L295" s="2532"/>
      <c r="M295" s="2532"/>
      <c r="N295" s="2532"/>
      <c r="O295" s="2532"/>
    </row>
    <row r="296" spans="1:15" s="2531" customFormat="1" ht="12.75">
      <c r="B296" s="2533"/>
      <c r="D296" s="2566"/>
      <c r="E296" s="2566"/>
      <c r="F296" s="2566"/>
      <c r="G296" s="2566"/>
      <c r="H296" s="2566"/>
      <c r="I296" s="2532"/>
      <c r="J296" s="2532"/>
      <c r="K296" s="2532"/>
      <c r="L296" s="2532"/>
      <c r="M296" s="2532"/>
      <c r="N296" s="2532"/>
      <c r="O296" s="2532"/>
    </row>
    <row r="297" spans="1:15" s="2531" customFormat="1" ht="12.75">
      <c r="B297" s="2533"/>
      <c r="D297" s="2566"/>
      <c r="E297" s="2566"/>
      <c r="F297" s="2566"/>
      <c r="G297" s="2566"/>
      <c r="H297" s="2566"/>
      <c r="I297" s="2532"/>
      <c r="J297" s="2532"/>
      <c r="K297" s="2532"/>
      <c r="L297" s="2532"/>
      <c r="M297" s="2532"/>
      <c r="N297" s="2532"/>
      <c r="O297" s="2532"/>
    </row>
    <row r="298" spans="1:15" s="2531" customFormat="1" ht="12.75">
      <c r="B298" s="2533"/>
      <c r="D298" s="2566"/>
      <c r="E298" s="2566"/>
      <c r="F298" s="2566"/>
      <c r="G298" s="2566"/>
      <c r="H298" s="2566"/>
      <c r="I298" s="2532"/>
      <c r="J298" s="2532"/>
      <c r="K298" s="2532"/>
      <c r="L298" s="2532"/>
      <c r="M298" s="2532"/>
      <c r="N298" s="2532"/>
      <c r="O298" s="2532"/>
    </row>
    <row r="299" spans="1:15" s="2531" customFormat="1" ht="12.75">
      <c r="B299" s="2533"/>
      <c r="D299" s="2566"/>
      <c r="E299" s="2566"/>
      <c r="F299" s="2566"/>
      <c r="G299" s="2566"/>
      <c r="H299" s="2566"/>
      <c r="I299" s="2532"/>
      <c r="J299" s="2532"/>
      <c r="K299" s="2532"/>
      <c r="L299" s="2532"/>
      <c r="M299" s="2532"/>
      <c r="N299" s="2532"/>
      <c r="O299" s="2532"/>
    </row>
    <row r="300" spans="1:15" s="2531" customFormat="1" ht="12.75">
      <c r="B300" s="2533"/>
      <c r="D300" s="2566"/>
      <c r="E300" s="2566"/>
      <c r="F300" s="2566"/>
      <c r="G300" s="2566"/>
      <c r="H300" s="2566"/>
      <c r="I300" s="2532"/>
      <c r="J300" s="2532"/>
      <c r="K300" s="2532"/>
      <c r="L300" s="2532"/>
      <c r="M300" s="2532"/>
      <c r="N300" s="2532"/>
      <c r="O300" s="2532"/>
    </row>
    <row r="301" spans="1:15" s="2531" customFormat="1" ht="12.75">
      <c r="B301" s="2533"/>
      <c r="D301" s="2566"/>
      <c r="E301" s="2566"/>
      <c r="F301" s="2566"/>
      <c r="G301" s="2566"/>
      <c r="H301" s="2566"/>
      <c r="I301" s="2532"/>
      <c r="J301" s="2532"/>
      <c r="K301" s="2532"/>
      <c r="L301" s="2532"/>
      <c r="M301" s="2532"/>
      <c r="N301" s="2532"/>
      <c r="O301" s="2532"/>
    </row>
    <row r="302" spans="1:15" s="2531" customFormat="1" ht="12.75">
      <c r="B302" s="2533"/>
      <c r="D302" s="2566"/>
      <c r="E302" s="2566"/>
      <c r="F302" s="2566"/>
      <c r="G302" s="2566"/>
      <c r="H302" s="2566"/>
      <c r="I302" s="2532"/>
      <c r="J302" s="2532"/>
      <c r="K302" s="2532"/>
      <c r="L302" s="2532"/>
      <c r="M302" s="2532"/>
      <c r="N302" s="2532"/>
      <c r="O302" s="2532"/>
    </row>
    <row r="303" spans="1:15" s="2529" customFormat="1">
      <c r="A303" s="4876"/>
      <c r="B303" s="4876"/>
      <c r="C303" s="4876"/>
      <c r="D303" s="4876"/>
      <c r="E303" s="4876"/>
      <c r="F303" s="4876"/>
      <c r="G303" s="4876"/>
      <c r="H303" s="4876"/>
      <c r="I303" s="2530"/>
      <c r="J303" s="2530"/>
      <c r="K303" s="2530"/>
      <c r="L303" s="2530"/>
      <c r="M303" s="2530"/>
      <c r="N303" s="2530"/>
      <c r="O303" s="2530"/>
    </row>
    <row r="304" spans="1:15" s="2529" customFormat="1">
      <c r="A304" s="4877"/>
      <c r="B304" s="4877"/>
      <c r="C304" s="4877"/>
      <c r="D304" s="4877"/>
      <c r="E304" s="4877"/>
      <c r="F304" s="4877"/>
      <c r="G304" s="4877"/>
      <c r="H304" s="4877"/>
      <c r="I304" s="2530"/>
      <c r="J304" s="2530"/>
      <c r="K304" s="2530"/>
      <c r="L304" s="2530"/>
      <c r="M304" s="2530"/>
      <c r="N304" s="2530"/>
      <c r="O304" s="2530"/>
    </row>
    <row r="305" spans="1:15" s="2529" customFormat="1">
      <c r="I305" s="2530"/>
      <c r="J305" s="2530"/>
      <c r="K305" s="2530"/>
      <c r="L305" s="2530"/>
      <c r="M305" s="2530"/>
      <c r="N305" s="2530"/>
      <c r="O305" s="2530"/>
    </row>
    <row r="306" spans="1:15" s="2529" customFormat="1">
      <c r="I306" s="2530"/>
      <c r="J306" s="2530"/>
      <c r="K306" s="2530"/>
      <c r="L306" s="2530"/>
      <c r="M306" s="2530"/>
      <c r="N306" s="2530"/>
      <c r="O306" s="2530"/>
    </row>
    <row r="307" spans="1:15" s="2531" customFormat="1">
      <c r="A307" s="2568"/>
      <c r="B307" s="2567"/>
      <c r="C307" s="2529"/>
      <c r="D307" s="2566"/>
      <c r="E307" s="2566"/>
      <c r="F307" s="2566"/>
      <c r="G307" s="2566"/>
      <c r="H307" s="2566"/>
      <c r="I307" s="2532"/>
      <c r="J307" s="2532"/>
      <c r="K307" s="2532"/>
      <c r="L307" s="2532"/>
      <c r="M307" s="2532"/>
      <c r="N307" s="2532"/>
      <c r="O307" s="2532"/>
    </row>
    <row r="308" spans="1:15" s="2531" customFormat="1" ht="12.75">
      <c r="A308" s="1269"/>
      <c r="B308" s="1269"/>
      <c r="C308" s="2542"/>
      <c r="D308" s="2541"/>
      <c r="E308" s="2561"/>
      <c r="F308" s="2540"/>
      <c r="G308" s="2565"/>
      <c r="H308" s="2561"/>
      <c r="I308" s="2532"/>
      <c r="J308" s="2532"/>
      <c r="K308" s="2532"/>
      <c r="L308" s="2532"/>
      <c r="M308" s="2532"/>
      <c r="N308" s="2532"/>
      <c r="O308" s="2532"/>
    </row>
    <row r="309" spans="1:15" s="2531" customFormat="1" ht="23.25">
      <c r="A309" s="2564"/>
      <c r="B309" s="2564"/>
      <c r="C309" s="2563"/>
      <c r="D309" s="2541"/>
      <c r="E309" s="2561"/>
      <c r="F309" s="2540"/>
      <c r="G309" s="2562"/>
      <c r="H309" s="2561"/>
      <c r="I309" s="2532"/>
      <c r="J309" s="2532"/>
      <c r="K309" s="2532"/>
      <c r="L309" s="2532"/>
      <c r="M309" s="2532"/>
      <c r="N309" s="2532"/>
      <c r="O309" s="2532"/>
    </row>
    <row r="310" spans="1:15" s="2531" customFormat="1" ht="12.75">
      <c r="A310" s="4879"/>
      <c r="B310" s="4879"/>
      <c r="C310" s="2559"/>
      <c r="D310" s="2560"/>
      <c r="E310" s="4880"/>
      <c r="F310" s="4880"/>
      <c r="G310" s="4880"/>
      <c r="H310" s="2557"/>
      <c r="I310" s="2532"/>
      <c r="J310" s="2532"/>
      <c r="K310" s="2532"/>
      <c r="L310" s="2532"/>
      <c r="M310" s="2532"/>
      <c r="N310" s="2532"/>
      <c r="O310" s="2532"/>
    </row>
    <row r="311" spans="1:15" s="2531" customFormat="1" ht="12.75">
      <c r="A311" s="4879"/>
      <c r="B311" s="4879"/>
      <c r="C311" s="2559"/>
      <c r="D311" s="2558"/>
      <c r="E311" s="2558"/>
      <c r="F311" s="2558"/>
      <c r="G311" s="2558"/>
      <c r="H311" s="2558"/>
      <c r="I311" s="2532"/>
      <c r="J311" s="2532"/>
      <c r="K311" s="2532"/>
      <c r="L311" s="2532"/>
      <c r="M311" s="2532"/>
      <c r="N311" s="2532"/>
      <c r="O311" s="2532"/>
    </row>
    <row r="312" spans="1:15" s="2531" customFormat="1" ht="12.75">
      <c r="A312" s="4879"/>
      <c r="B312" s="4879"/>
      <c r="C312" s="2557"/>
      <c r="D312" s="2555"/>
      <c r="E312" s="2555"/>
      <c r="F312" s="2555"/>
      <c r="G312" s="2556"/>
      <c r="H312" s="2555"/>
      <c r="I312" s="2532"/>
      <c r="J312" s="2532"/>
      <c r="K312" s="2532"/>
      <c r="L312" s="2532"/>
      <c r="M312" s="2532"/>
      <c r="N312" s="2532"/>
      <c r="O312" s="2532"/>
    </row>
    <row r="313" spans="1:15" s="2531" customFormat="1" ht="12.75">
      <c r="A313" s="2554"/>
      <c r="B313" s="2553"/>
      <c r="C313" s="2552"/>
      <c r="D313" s="2551"/>
      <c r="E313" s="2551"/>
      <c r="F313" s="2551"/>
      <c r="G313" s="2551"/>
      <c r="H313" s="2551"/>
      <c r="I313" s="2532"/>
      <c r="J313" s="2532"/>
      <c r="K313" s="2532"/>
      <c r="L313" s="2532"/>
      <c r="M313" s="2532"/>
      <c r="N313" s="2532"/>
      <c r="O313" s="2532"/>
    </row>
    <row r="314" spans="1:15" s="2531" customFormat="1" ht="12.75">
      <c r="A314" s="2546"/>
      <c r="B314" s="1269"/>
      <c r="C314" s="2545"/>
      <c r="D314" s="2548"/>
      <c r="E314" s="2548"/>
      <c r="F314" s="2540"/>
      <c r="G314" s="2548"/>
      <c r="H314" s="2548"/>
      <c r="I314" s="2532"/>
      <c r="J314" s="2532"/>
      <c r="K314" s="2532"/>
      <c r="L314" s="2532"/>
      <c r="M314" s="2532"/>
      <c r="N314" s="2532"/>
      <c r="O314" s="2532"/>
    </row>
    <row r="315" spans="1:15" s="2531" customFormat="1" ht="12.75">
      <c r="A315" s="2549"/>
      <c r="B315" s="2549"/>
      <c r="C315" s="2545"/>
      <c r="D315" s="2548"/>
      <c r="E315" s="2548"/>
      <c r="F315" s="2540"/>
      <c r="G315" s="2548"/>
      <c r="H315" s="2548"/>
      <c r="I315" s="2532"/>
      <c r="J315" s="2532"/>
      <c r="K315" s="2532"/>
      <c r="L315" s="2532"/>
      <c r="M315" s="2532"/>
      <c r="N315" s="2532"/>
      <c r="O315" s="2532"/>
    </row>
    <row r="316" spans="1:15" s="2531" customFormat="1" ht="12.75">
      <c r="A316" s="2546"/>
      <c r="B316" s="1269"/>
      <c r="C316" s="2542"/>
      <c r="D316" s="2541"/>
      <c r="E316" s="2544"/>
      <c r="F316" s="2540"/>
      <c r="G316" s="2544"/>
      <c r="H316" s="2544"/>
      <c r="I316" s="2532"/>
      <c r="J316" s="2532"/>
      <c r="K316" s="2532"/>
      <c r="L316" s="2532"/>
      <c r="M316" s="2532"/>
      <c r="N316" s="2532"/>
      <c r="O316" s="2532"/>
    </row>
    <row r="317" spans="1:15" s="2531" customFormat="1" ht="12.75">
      <c r="A317" s="2549"/>
      <c r="B317" s="2549"/>
      <c r="C317" s="2545"/>
      <c r="D317" s="2541"/>
      <c r="E317" s="2544"/>
      <c r="F317" s="2540"/>
      <c r="G317" s="2544"/>
      <c r="H317" s="2544"/>
      <c r="I317" s="2532"/>
      <c r="J317" s="2532"/>
      <c r="K317" s="2532"/>
      <c r="L317" s="2532"/>
      <c r="M317" s="2532"/>
      <c r="N317" s="2532"/>
      <c r="O317" s="2532"/>
    </row>
    <row r="318" spans="1:15" s="2531" customFormat="1" ht="12.75">
      <c r="A318" s="2549"/>
      <c r="B318" s="2549"/>
      <c r="C318" s="2542"/>
      <c r="D318" s="2541"/>
      <c r="E318" s="2544"/>
      <c r="F318" s="2540"/>
      <c r="G318" s="2544"/>
      <c r="H318" s="2544"/>
      <c r="I318" s="2532"/>
      <c r="J318" s="2532"/>
      <c r="K318" s="2532"/>
      <c r="L318" s="2532"/>
      <c r="M318" s="2532"/>
      <c r="N318" s="2532"/>
      <c r="O318" s="2532"/>
    </row>
    <row r="319" spans="1:15" s="2531" customFormat="1" ht="12.75">
      <c r="A319" s="2549"/>
      <c r="B319" s="2549"/>
      <c r="C319" s="2542"/>
      <c r="D319" s="2541"/>
      <c r="E319" s="2544"/>
      <c r="F319" s="2540"/>
      <c r="G319" s="2544"/>
      <c r="H319" s="2544"/>
      <c r="I319" s="2532"/>
      <c r="J319" s="2532"/>
      <c r="K319" s="2532"/>
      <c r="L319" s="2532"/>
      <c r="M319" s="2532"/>
      <c r="N319" s="2532"/>
      <c r="O319" s="2532"/>
    </row>
    <row r="320" spans="1:15" s="2531" customFormat="1" ht="12.75">
      <c r="A320" s="2546"/>
      <c r="B320" s="1269"/>
      <c r="C320" s="2545"/>
      <c r="D320" s="2541"/>
      <c r="E320" s="2544"/>
      <c r="F320" s="2540"/>
      <c r="G320" s="2544"/>
      <c r="H320" s="2544"/>
      <c r="I320" s="2532"/>
      <c r="J320" s="2532"/>
      <c r="K320" s="2532"/>
      <c r="L320" s="2532"/>
      <c r="M320" s="2532"/>
      <c r="N320" s="2532"/>
      <c r="O320" s="2532"/>
    </row>
    <row r="321" spans="1:15" s="2531" customFormat="1" ht="12.75">
      <c r="A321" s="2546"/>
      <c r="B321" s="1269"/>
      <c r="C321" s="2545"/>
      <c r="D321" s="2541"/>
      <c r="E321" s="2544"/>
      <c r="F321" s="2540"/>
      <c r="G321" s="2544"/>
      <c r="H321" s="2544"/>
      <c r="I321" s="2532"/>
      <c r="J321" s="2532"/>
      <c r="K321" s="2532"/>
      <c r="L321" s="2532"/>
      <c r="M321" s="2532"/>
      <c r="N321" s="2532"/>
      <c r="O321" s="2532"/>
    </row>
    <row r="322" spans="1:15" s="2531" customFormat="1" ht="12.75">
      <c r="A322" s="2547"/>
      <c r="B322" s="2546"/>
      <c r="C322" s="2545"/>
      <c r="D322" s="2541"/>
      <c r="E322" s="2544"/>
      <c r="F322" s="2540"/>
      <c r="G322" s="2544"/>
      <c r="H322" s="2544"/>
      <c r="I322" s="2532"/>
      <c r="J322" s="2532"/>
      <c r="K322" s="2532"/>
      <c r="L322" s="2532"/>
      <c r="M322" s="2532"/>
      <c r="N322" s="2532"/>
      <c r="O322" s="2532"/>
    </row>
    <row r="323" spans="1:15" s="2531" customFormat="1" ht="12.75">
      <c r="A323" s="2543"/>
      <c r="B323" s="2543"/>
      <c r="C323" s="2542"/>
      <c r="D323" s="2541"/>
      <c r="E323" s="2539"/>
      <c r="F323" s="2540"/>
      <c r="G323" s="2539"/>
      <c r="H323" s="2539"/>
      <c r="I323" s="2532"/>
      <c r="J323" s="2532"/>
      <c r="K323" s="2532"/>
      <c r="L323" s="2532"/>
      <c r="M323" s="2532"/>
      <c r="N323" s="2532"/>
      <c r="O323" s="2532"/>
    </row>
    <row r="324" spans="1:15" s="2531" customFormat="1" ht="12.75">
      <c r="A324" s="2538"/>
      <c r="B324" s="2538"/>
      <c r="C324" s="2537"/>
      <c r="D324" s="2536"/>
      <c r="E324" s="2536"/>
      <c r="F324" s="2536"/>
      <c r="G324" s="2536"/>
      <c r="H324" s="2536"/>
      <c r="I324" s="2532"/>
      <c r="J324" s="2532"/>
      <c r="K324" s="2532"/>
      <c r="L324" s="2532"/>
      <c r="M324" s="2532"/>
      <c r="N324" s="2532"/>
      <c r="O324" s="2532"/>
    </row>
    <row r="325" spans="1:15" s="2531" customFormat="1" ht="12.75">
      <c r="A325" s="2538"/>
      <c r="B325" s="2538"/>
      <c r="C325" s="2537"/>
      <c r="D325" s="2536"/>
      <c r="E325" s="2536"/>
      <c r="F325" s="2536"/>
      <c r="G325" s="2536"/>
      <c r="H325" s="2536"/>
      <c r="I325" s="2532"/>
      <c r="J325" s="2532"/>
      <c r="K325" s="2532"/>
      <c r="L325" s="2532"/>
      <c r="M325" s="2532"/>
      <c r="N325" s="2532"/>
      <c r="O325" s="2532"/>
    </row>
    <row r="326" spans="1:15" s="2531" customFormat="1">
      <c r="A326" s="1269"/>
      <c r="B326" s="2529"/>
      <c r="C326" s="2535"/>
      <c r="D326" s="2529"/>
      <c r="E326" s="4877"/>
      <c r="F326" s="4877"/>
      <c r="G326" s="1269"/>
      <c r="H326" s="2529"/>
      <c r="I326" s="2532"/>
      <c r="J326" s="2532"/>
      <c r="K326" s="2532"/>
      <c r="L326" s="2532"/>
      <c r="M326" s="2532"/>
      <c r="N326" s="2532"/>
      <c r="O326" s="2532"/>
    </row>
    <row r="327" spans="1:15" s="2531" customFormat="1">
      <c r="A327" s="2529"/>
      <c r="B327" s="1269"/>
      <c r="C327" s="2535"/>
      <c r="D327" s="1269"/>
      <c r="E327" s="1269"/>
      <c r="F327" s="1269"/>
      <c r="G327" s="1269"/>
      <c r="H327" s="2529"/>
      <c r="I327" s="2532"/>
      <c r="J327" s="2532"/>
      <c r="K327" s="2532"/>
      <c r="L327" s="2532"/>
      <c r="M327" s="2532"/>
      <c r="N327" s="2532"/>
      <c r="O327" s="2532"/>
    </row>
    <row r="328" spans="1:15" s="2531" customFormat="1" ht="12.75">
      <c r="A328" s="2534"/>
      <c r="B328" s="1269"/>
      <c r="C328" s="4881"/>
      <c r="D328" s="4881"/>
      <c r="E328" s="4876"/>
      <c r="F328" s="4876"/>
      <c r="G328" s="4876"/>
      <c r="H328" s="4876"/>
      <c r="I328" s="2532"/>
      <c r="J328" s="2532"/>
      <c r="K328" s="2532"/>
      <c r="L328" s="2532"/>
      <c r="M328" s="2532"/>
      <c r="N328" s="2532"/>
      <c r="O328" s="2532"/>
    </row>
    <row r="329" spans="1:15" s="2531" customFormat="1" ht="12.75">
      <c r="B329" s="2533"/>
      <c r="C329" s="4874"/>
      <c r="D329" s="4874"/>
      <c r="E329" s="4875"/>
      <c r="F329" s="4875"/>
      <c r="G329" s="4875"/>
      <c r="H329" s="4875"/>
      <c r="I329" s="2532"/>
      <c r="J329" s="2532"/>
      <c r="K329" s="2532"/>
      <c r="L329" s="2532"/>
      <c r="M329" s="2532"/>
      <c r="N329" s="2532"/>
      <c r="O329" s="2532"/>
    </row>
    <row r="330" spans="1:15" s="2531" customFormat="1" ht="12.75">
      <c r="B330" s="2533"/>
      <c r="D330" s="2566"/>
      <c r="E330" s="2566"/>
      <c r="F330" s="2566"/>
      <c r="G330" s="2566"/>
      <c r="H330" s="2566"/>
      <c r="I330" s="2532"/>
      <c r="J330" s="2532"/>
      <c r="K330" s="2532"/>
      <c r="L330" s="2532"/>
      <c r="M330" s="2532"/>
      <c r="N330" s="2532"/>
      <c r="O330" s="2532"/>
    </row>
    <row r="331" spans="1:15" s="2531" customFormat="1" ht="12.75">
      <c r="B331" s="2533"/>
      <c r="D331" s="2566"/>
      <c r="E331" s="2566"/>
      <c r="F331" s="2566"/>
      <c r="G331" s="2566"/>
      <c r="H331" s="2566"/>
      <c r="I331" s="2532"/>
      <c r="J331" s="2532"/>
      <c r="K331" s="2532"/>
      <c r="L331" s="2532"/>
      <c r="M331" s="2532"/>
      <c r="N331" s="2532"/>
      <c r="O331" s="2532"/>
    </row>
    <row r="332" spans="1:15" s="2531" customFormat="1" ht="12.75">
      <c r="B332" s="2533"/>
      <c r="D332" s="2566"/>
      <c r="E332" s="2566"/>
      <c r="F332" s="2566"/>
      <c r="G332" s="2566"/>
      <c r="H332" s="2566"/>
      <c r="I332" s="2532"/>
      <c r="J332" s="2532"/>
      <c r="K332" s="2532"/>
      <c r="L332" s="2532"/>
      <c r="M332" s="2532"/>
      <c r="N332" s="2532"/>
      <c r="O332" s="2532"/>
    </row>
    <row r="333" spans="1:15" s="2531" customFormat="1" ht="12.75">
      <c r="B333" s="2533"/>
      <c r="D333" s="2566"/>
      <c r="E333" s="2566"/>
      <c r="F333" s="2566"/>
      <c r="G333" s="2566"/>
      <c r="H333" s="2566"/>
      <c r="I333" s="2532"/>
      <c r="J333" s="2532"/>
      <c r="K333" s="2532"/>
      <c r="L333" s="2532"/>
      <c r="M333" s="2532"/>
      <c r="N333" s="2532"/>
      <c r="O333" s="2532"/>
    </row>
    <row r="334" spans="1:15" s="2531" customFormat="1" ht="12.75">
      <c r="B334" s="2533"/>
      <c r="D334" s="2566"/>
      <c r="E334" s="2566"/>
      <c r="F334" s="2566"/>
      <c r="G334" s="2566"/>
      <c r="H334" s="2566"/>
      <c r="I334" s="2532"/>
      <c r="J334" s="2532"/>
      <c r="K334" s="2532"/>
      <c r="L334" s="2532"/>
      <c r="M334" s="2532"/>
      <c r="N334" s="2532"/>
      <c r="O334" s="2532"/>
    </row>
    <row r="335" spans="1:15" s="2531" customFormat="1" ht="12.75">
      <c r="B335" s="2533"/>
      <c r="D335" s="2566"/>
      <c r="E335" s="2566"/>
      <c r="F335" s="2566"/>
      <c r="G335" s="2566"/>
      <c r="H335" s="2566"/>
      <c r="I335" s="2532"/>
      <c r="J335" s="2532"/>
      <c r="K335" s="2532"/>
      <c r="L335" s="2532"/>
      <c r="M335" s="2532"/>
      <c r="N335" s="2532"/>
      <c r="O335" s="2532"/>
    </row>
    <row r="336" spans="1:15" s="2531" customFormat="1" ht="12.75">
      <c r="B336" s="2533"/>
      <c r="D336" s="2566"/>
      <c r="E336" s="2566"/>
      <c r="F336" s="2566"/>
      <c r="G336" s="2566"/>
      <c r="H336" s="2566"/>
      <c r="I336" s="2532"/>
      <c r="J336" s="2532"/>
      <c r="K336" s="2532"/>
      <c r="L336" s="2532"/>
      <c r="M336" s="2532"/>
      <c r="N336" s="2532"/>
      <c r="O336" s="2532"/>
    </row>
    <row r="337" spans="1:15" s="2531" customFormat="1" ht="12.75">
      <c r="B337" s="2533"/>
      <c r="D337" s="2566"/>
      <c r="E337" s="2566"/>
      <c r="F337" s="2566"/>
      <c r="G337" s="2566"/>
      <c r="H337" s="2566"/>
      <c r="I337" s="2532"/>
      <c r="J337" s="2532"/>
      <c r="K337" s="2532"/>
      <c r="L337" s="2532"/>
      <c r="M337" s="2532"/>
      <c r="N337" s="2532"/>
      <c r="O337" s="2532"/>
    </row>
    <row r="338" spans="1:15" s="2531" customFormat="1" ht="12.75">
      <c r="B338" s="2533"/>
      <c r="D338" s="2566"/>
      <c r="E338" s="2566"/>
      <c r="F338" s="2566"/>
      <c r="G338" s="2566"/>
      <c r="H338" s="2566"/>
      <c r="I338" s="2532"/>
      <c r="J338" s="2532"/>
      <c r="K338" s="2532"/>
      <c r="L338" s="2532"/>
      <c r="M338" s="2532"/>
      <c r="N338" s="2532"/>
      <c r="O338" s="2532"/>
    </row>
    <row r="339" spans="1:15" s="2531" customFormat="1" ht="12.75">
      <c r="B339" s="2533"/>
      <c r="D339" s="2566"/>
      <c r="E339" s="2566"/>
      <c r="F339" s="2566"/>
      <c r="G339" s="2566"/>
      <c r="H339" s="2566"/>
      <c r="I339" s="2532"/>
      <c r="J339" s="2532"/>
      <c r="K339" s="2532"/>
      <c r="L339" s="2532"/>
      <c r="M339" s="2532"/>
      <c r="N339" s="2532"/>
      <c r="O339" s="2532"/>
    </row>
    <row r="340" spans="1:15" s="2531" customFormat="1" ht="12.75">
      <c r="B340" s="2533"/>
      <c r="D340" s="2566"/>
      <c r="E340" s="2566"/>
      <c r="F340" s="2566"/>
      <c r="G340" s="2566"/>
      <c r="H340" s="2566"/>
      <c r="I340" s="2532"/>
      <c r="J340" s="2532"/>
      <c r="K340" s="2532"/>
      <c r="L340" s="2532"/>
      <c r="M340" s="2532"/>
      <c r="N340" s="2532"/>
      <c r="O340" s="2532"/>
    </row>
    <row r="341" spans="1:15" s="2531" customFormat="1" ht="12.75">
      <c r="B341" s="2533"/>
      <c r="D341" s="2566"/>
      <c r="E341" s="2566"/>
      <c r="F341" s="2566"/>
      <c r="G341" s="2566"/>
      <c r="H341" s="2566"/>
      <c r="I341" s="2532"/>
      <c r="J341" s="2532"/>
      <c r="K341" s="2532"/>
      <c r="L341" s="2532"/>
      <c r="M341" s="2532"/>
      <c r="N341" s="2532"/>
      <c r="O341" s="2532"/>
    </row>
    <row r="342" spans="1:15" s="2531" customFormat="1" ht="12.75">
      <c r="B342" s="2533"/>
      <c r="D342" s="2566"/>
      <c r="E342" s="2566"/>
      <c r="F342" s="2566"/>
      <c r="G342" s="2566"/>
      <c r="H342" s="2566"/>
      <c r="I342" s="2532"/>
      <c r="J342" s="2532"/>
      <c r="K342" s="2532"/>
      <c r="L342" s="2532"/>
      <c r="M342" s="2532"/>
      <c r="N342" s="2532"/>
      <c r="O342" s="2532"/>
    </row>
    <row r="343" spans="1:15" s="2529" customFormat="1">
      <c r="I343" s="2530"/>
      <c r="J343" s="2530"/>
      <c r="K343" s="2530"/>
      <c r="L343" s="2530"/>
      <c r="M343" s="2530"/>
      <c r="N343" s="2530"/>
      <c r="O343" s="2530"/>
    </row>
    <row r="344" spans="1:15" s="2529" customFormat="1">
      <c r="A344" s="4876"/>
      <c r="B344" s="4876"/>
      <c r="C344" s="4876"/>
      <c r="D344" s="4876"/>
      <c r="E344" s="4876"/>
      <c r="F344" s="4876"/>
      <c r="G344" s="4876"/>
      <c r="H344" s="4876"/>
      <c r="I344" s="2530"/>
      <c r="J344" s="2530"/>
      <c r="K344" s="2530"/>
      <c r="L344" s="2530"/>
      <c r="M344" s="2530"/>
      <c r="N344" s="2530"/>
      <c r="O344" s="2530"/>
    </row>
    <row r="345" spans="1:15" s="2529" customFormat="1">
      <c r="A345" s="4877"/>
      <c r="B345" s="4877"/>
      <c r="C345" s="4877"/>
      <c r="D345" s="4877"/>
      <c r="E345" s="4877"/>
      <c r="F345" s="4877"/>
      <c r="G345" s="4877"/>
      <c r="H345" s="4877"/>
      <c r="I345" s="2530"/>
      <c r="J345" s="2530"/>
      <c r="K345" s="2530"/>
      <c r="L345" s="2530"/>
      <c r="M345" s="2530"/>
      <c r="N345" s="2530"/>
      <c r="O345" s="2530"/>
    </row>
    <row r="346" spans="1:15" s="2529" customFormat="1">
      <c r="I346" s="2530"/>
      <c r="J346" s="2530"/>
      <c r="K346" s="2530"/>
      <c r="L346" s="2530"/>
      <c r="M346" s="2530"/>
      <c r="N346" s="2530"/>
      <c r="O346" s="2530"/>
    </row>
    <row r="347" spans="1:15" s="2529" customFormat="1">
      <c r="I347" s="2530"/>
      <c r="J347" s="2530"/>
      <c r="K347" s="2530"/>
      <c r="L347" s="2530"/>
      <c r="M347" s="2530"/>
      <c r="N347" s="2530"/>
      <c r="O347" s="2530"/>
    </row>
    <row r="348" spans="1:15" s="2531" customFormat="1">
      <c r="A348" s="2568"/>
      <c r="B348" s="2567"/>
      <c r="C348" s="2529"/>
      <c r="D348" s="2566"/>
      <c r="E348" s="2566"/>
      <c r="F348" s="2566"/>
      <c r="G348" s="2566"/>
      <c r="H348" s="2566"/>
      <c r="I348" s="2532"/>
      <c r="J348" s="2532"/>
      <c r="K348" s="2532"/>
      <c r="L348" s="2532"/>
      <c r="M348" s="2532"/>
      <c r="N348" s="2532"/>
      <c r="O348" s="2532"/>
    </row>
    <row r="349" spans="1:15" s="2531" customFormat="1" ht="12.75">
      <c r="A349" s="1269"/>
      <c r="B349" s="1269"/>
      <c r="C349" s="2542"/>
      <c r="D349" s="2541"/>
      <c r="E349" s="2561"/>
      <c r="F349" s="2540"/>
      <c r="G349" s="2565"/>
      <c r="H349" s="2561"/>
      <c r="I349" s="2532"/>
      <c r="J349" s="2532"/>
      <c r="K349" s="2532"/>
      <c r="L349" s="2532"/>
      <c r="M349" s="2532"/>
      <c r="N349" s="2532"/>
      <c r="O349" s="2532"/>
    </row>
    <row r="350" spans="1:15" s="2531" customFormat="1" ht="23.25">
      <c r="A350" s="2564"/>
      <c r="B350" s="2564"/>
      <c r="C350" s="2563"/>
      <c r="D350" s="2541"/>
      <c r="E350" s="2561"/>
      <c r="F350" s="2540"/>
      <c r="G350" s="2562"/>
      <c r="H350" s="2561"/>
      <c r="I350" s="2532"/>
      <c r="J350" s="2532"/>
      <c r="K350" s="2532"/>
      <c r="L350" s="2532"/>
      <c r="M350" s="2532"/>
      <c r="N350" s="2532"/>
      <c r="O350" s="2532"/>
    </row>
    <row r="351" spans="1:15" s="2531" customFormat="1" ht="12.75">
      <c r="A351" s="4879"/>
      <c r="B351" s="4879"/>
      <c r="C351" s="2559"/>
      <c r="D351" s="2560"/>
      <c r="E351" s="4880"/>
      <c r="F351" s="4880"/>
      <c r="G351" s="4880"/>
      <c r="H351" s="2557"/>
      <c r="I351" s="2532"/>
      <c r="J351" s="2532"/>
      <c r="K351" s="2532"/>
      <c r="L351" s="2532"/>
      <c r="M351" s="2532"/>
      <c r="N351" s="2532"/>
      <c r="O351" s="2532"/>
    </row>
    <row r="352" spans="1:15" s="2531" customFormat="1" ht="12.75">
      <c r="A352" s="4879"/>
      <c r="B352" s="4879"/>
      <c r="C352" s="2559"/>
      <c r="D352" s="2558"/>
      <c r="E352" s="2558"/>
      <c r="F352" s="2558"/>
      <c r="G352" s="2558"/>
      <c r="H352" s="2558"/>
      <c r="I352" s="2532"/>
      <c r="J352" s="2532"/>
      <c r="K352" s="2532"/>
      <c r="L352" s="2532"/>
      <c r="M352" s="2532"/>
      <c r="N352" s="2532"/>
      <c r="O352" s="2532"/>
    </row>
    <row r="353" spans="1:15" s="2531" customFormat="1" ht="12.75">
      <c r="A353" s="4879"/>
      <c r="B353" s="4879"/>
      <c r="C353" s="2557"/>
      <c r="D353" s="2555"/>
      <c r="E353" s="2555"/>
      <c r="F353" s="2555"/>
      <c r="G353" s="2556"/>
      <c r="H353" s="2555"/>
      <c r="I353" s="2532"/>
      <c r="J353" s="2532"/>
      <c r="K353" s="2532"/>
      <c r="L353" s="2532"/>
      <c r="M353" s="2532"/>
      <c r="N353" s="2532"/>
      <c r="O353" s="2532"/>
    </row>
    <row r="354" spans="1:15" s="2531" customFormat="1" ht="12.75">
      <c r="A354" s="2554"/>
      <c r="B354" s="2553"/>
      <c r="C354" s="2552"/>
      <c r="D354" s="2551"/>
      <c r="E354" s="2551"/>
      <c r="F354" s="2551"/>
      <c r="G354" s="2551"/>
      <c r="H354" s="2551"/>
      <c r="I354" s="2532"/>
      <c r="J354" s="2532"/>
      <c r="K354" s="2532"/>
      <c r="L354" s="2532"/>
      <c r="M354" s="2532"/>
      <c r="N354" s="2532"/>
      <c r="O354" s="2532"/>
    </row>
    <row r="355" spans="1:15" s="2531" customFormat="1" ht="12.75">
      <c r="A355" s="2549"/>
      <c r="B355" s="2549"/>
      <c r="C355" s="2545"/>
      <c r="D355" s="2548"/>
      <c r="E355" s="2548"/>
      <c r="F355" s="2540"/>
      <c r="G355" s="2548"/>
      <c r="H355" s="2548"/>
      <c r="I355" s="2532"/>
      <c r="J355" s="2532"/>
      <c r="K355" s="2532"/>
      <c r="L355" s="2532"/>
      <c r="M355" s="2532"/>
      <c r="N355" s="2532"/>
      <c r="O355" s="2532"/>
    </row>
    <row r="356" spans="1:15" s="2531" customFormat="1" ht="12.75">
      <c r="A356" s="2549"/>
      <c r="B356" s="2549"/>
      <c r="C356" s="2545"/>
      <c r="D356" s="2548"/>
      <c r="E356" s="2548"/>
      <c r="F356" s="2540"/>
      <c r="G356" s="2548"/>
      <c r="H356" s="2548"/>
      <c r="I356" s="2532"/>
      <c r="J356" s="2532"/>
      <c r="K356" s="2532"/>
      <c r="L356" s="2532"/>
      <c r="M356" s="2532"/>
      <c r="N356" s="2532"/>
      <c r="O356" s="2532"/>
    </row>
    <row r="357" spans="1:15" s="2531" customFormat="1" ht="12.75">
      <c r="A357" s="2546"/>
      <c r="B357" s="1269"/>
      <c r="C357" s="2545"/>
      <c r="D357" s="2541"/>
      <c r="E357" s="2544"/>
      <c r="F357" s="2540"/>
      <c r="G357" s="2544"/>
      <c r="H357" s="2544"/>
      <c r="I357" s="2532"/>
      <c r="J357" s="2532"/>
      <c r="K357" s="2532"/>
      <c r="L357" s="2532"/>
      <c r="M357" s="2532"/>
      <c r="N357" s="2532"/>
      <c r="O357" s="2532"/>
    </row>
    <row r="358" spans="1:15" s="2531" customFormat="1" ht="12.75">
      <c r="A358" s="2549"/>
      <c r="B358" s="2549"/>
      <c r="C358" s="2545"/>
      <c r="D358" s="2541"/>
      <c r="E358" s="2544"/>
      <c r="F358" s="2540"/>
      <c r="G358" s="2544"/>
      <c r="H358" s="2544"/>
      <c r="I358" s="2532"/>
      <c r="J358" s="2532"/>
      <c r="K358" s="2532"/>
      <c r="L358" s="2532"/>
      <c r="M358" s="2532"/>
      <c r="N358" s="2532"/>
      <c r="O358" s="2532"/>
    </row>
    <row r="359" spans="1:15" s="2531" customFormat="1" ht="12.75">
      <c r="A359" s="2546"/>
      <c r="B359" s="1269"/>
      <c r="C359" s="2542"/>
      <c r="D359" s="2541"/>
      <c r="E359" s="2544"/>
      <c r="F359" s="2540"/>
      <c r="G359" s="2544"/>
      <c r="H359" s="2544"/>
      <c r="I359" s="2532"/>
      <c r="J359" s="2532"/>
      <c r="K359" s="2532"/>
      <c r="L359" s="2532"/>
      <c r="M359" s="2532"/>
      <c r="N359" s="2532"/>
      <c r="O359" s="2532"/>
    </row>
    <row r="360" spans="1:15" s="2531" customFormat="1" ht="12.75">
      <c r="A360" s="2549"/>
      <c r="B360" s="2549"/>
      <c r="C360" s="2542"/>
      <c r="D360" s="2541"/>
      <c r="E360" s="2544"/>
      <c r="F360" s="2540"/>
      <c r="G360" s="2544"/>
      <c r="H360" s="2544"/>
      <c r="I360" s="2532"/>
      <c r="J360" s="2532"/>
      <c r="K360" s="2532"/>
      <c r="L360" s="2532"/>
      <c r="M360" s="2532"/>
      <c r="N360" s="2532"/>
      <c r="O360" s="2532"/>
    </row>
    <row r="361" spans="1:15" s="2531" customFormat="1" ht="12.75">
      <c r="A361" s="2547"/>
      <c r="B361" s="2546"/>
      <c r="C361" s="2545"/>
      <c r="D361" s="2541"/>
      <c r="E361" s="2544"/>
      <c r="F361" s="2540"/>
      <c r="G361" s="2544"/>
      <c r="H361" s="2544"/>
      <c r="I361" s="2532"/>
      <c r="J361" s="2532"/>
      <c r="K361" s="2532"/>
      <c r="L361" s="2532"/>
      <c r="M361" s="2532"/>
      <c r="N361" s="2532"/>
      <c r="O361" s="2532"/>
    </row>
    <row r="362" spans="1:15" s="2531" customFormat="1" ht="12.75">
      <c r="A362" s="2543"/>
      <c r="B362" s="2543"/>
      <c r="C362" s="2542"/>
      <c r="D362" s="2541"/>
      <c r="E362" s="2539"/>
      <c r="F362" s="2540"/>
      <c r="G362" s="2539"/>
      <c r="H362" s="2539"/>
      <c r="I362" s="2532"/>
      <c r="J362" s="2532"/>
      <c r="K362" s="2532"/>
      <c r="L362" s="2532"/>
      <c r="M362" s="2532"/>
      <c r="N362" s="2532"/>
      <c r="O362" s="2532"/>
    </row>
    <row r="363" spans="1:15" s="2531" customFormat="1" ht="12.75">
      <c r="A363" s="2538"/>
      <c r="B363" s="2538"/>
      <c r="C363" s="2537"/>
      <c r="D363" s="2536"/>
      <c r="E363" s="2536"/>
      <c r="F363" s="2536"/>
      <c r="G363" s="2536"/>
      <c r="H363" s="2536"/>
      <c r="I363" s="2532"/>
      <c r="J363" s="2532"/>
      <c r="K363" s="2532"/>
      <c r="L363" s="2532"/>
      <c r="M363" s="2532"/>
      <c r="N363" s="2532"/>
      <c r="O363" s="2532"/>
    </row>
    <row r="364" spans="1:15" s="2531" customFormat="1" ht="12.75">
      <c r="A364" s="2538"/>
      <c r="B364" s="2538"/>
      <c r="C364" s="2537"/>
      <c r="D364" s="2536"/>
      <c r="E364" s="2536"/>
      <c r="F364" s="2536"/>
      <c r="G364" s="2536"/>
      <c r="H364" s="2536"/>
      <c r="I364" s="2532"/>
      <c r="J364" s="2532"/>
      <c r="K364" s="2532"/>
      <c r="L364" s="2532"/>
      <c r="M364" s="2532"/>
      <c r="N364" s="2532"/>
      <c r="O364" s="2532"/>
    </row>
    <row r="365" spans="1:15" s="2531" customFormat="1">
      <c r="A365" s="1269"/>
      <c r="B365" s="2529"/>
      <c r="C365" s="2535"/>
      <c r="D365" s="2529"/>
      <c r="E365" s="4877"/>
      <c r="F365" s="4877"/>
      <c r="G365" s="1269"/>
      <c r="H365" s="2529"/>
      <c r="I365" s="2532"/>
      <c r="J365" s="2532"/>
      <c r="K365" s="2532"/>
      <c r="L365" s="2532"/>
      <c r="M365" s="2532"/>
      <c r="N365" s="2532"/>
      <c r="O365" s="2532"/>
    </row>
    <row r="366" spans="1:15" s="2531" customFormat="1">
      <c r="A366" s="2529"/>
      <c r="B366" s="1269"/>
      <c r="C366" s="2535"/>
      <c r="D366" s="1269"/>
      <c r="E366" s="1269"/>
      <c r="F366" s="1269"/>
      <c r="G366" s="1269"/>
      <c r="H366" s="2529"/>
      <c r="I366" s="2532"/>
      <c r="J366" s="2532"/>
      <c r="K366" s="2532"/>
      <c r="L366" s="2532"/>
      <c r="M366" s="2532"/>
      <c r="N366" s="2532"/>
      <c r="O366" s="2532"/>
    </row>
    <row r="367" spans="1:15" s="2531" customFormat="1" ht="12.75">
      <c r="A367" s="2534"/>
      <c r="B367" s="1269"/>
      <c r="C367" s="4881"/>
      <c r="D367" s="4881"/>
      <c r="E367" s="4876"/>
      <c r="F367" s="4876"/>
      <c r="G367" s="4876"/>
      <c r="H367" s="4876"/>
      <c r="I367" s="2532"/>
      <c r="J367" s="2532"/>
      <c r="K367" s="2532"/>
      <c r="L367" s="2532"/>
      <c r="M367" s="2532"/>
      <c r="N367" s="2532"/>
      <c r="O367" s="2532"/>
    </row>
    <row r="368" spans="1:15" s="2531" customFormat="1" ht="12.75">
      <c r="B368" s="2533"/>
      <c r="C368" s="4874"/>
      <c r="D368" s="4874"/>
      <c r="E368" s="4875"/>
      <c r="F368" s="4875"/>
      <c r="G368" s="4875"/>
      <c r="H368" s="4875"/>
      <c r="I368" s="2532"/>
      <c r="J368" s="2532"/>
      <c r="K368" s="2532"/>
      <c r="L368" s="2532"/>
      <c r="M368" s="2532"/>
      <c r="N368" s="2532"/>
      <c r="O368" s="2532"/>
    </row>
    <row r="369" spans="2:15" s="2531" customFormat="1" ht="12.75">
      <c r="B369" s="2533"/>
      <c r="D369" s="2566"/>
      <c r="E369" s="2566"/>
      <c r="F369" s="2566"/>
      <c r="G369" s="2566"/>
      <c r="H369" s="2566"/>
      <c r="I369" s="2532"/>
      <c r="J369" s="2532"/>
      <c r="K369" s="2532"/>
      <c r="L369" s="2532"/>
      <c r="M369" s="2532"/>
      <c r="N369" s="2532"/>
      <c r="O369" s="2532"/>
    </row>
    <row r="370" spans="2:15" s="2531" customFormat="1" ht="12.75">
      <c r="B370" s="2533"/>
      <c r="D370" s="2566"/>
      <c r="E370" s="2566"/>
      <c r="F370" s="2566"/>
      <c r="G370" s="2566"/>
      <c r="H370" s="2566"/>
      <c r="I370" s="2532"/>
      <c r="J370" s="2532"/>
      <c r="K370" s="2532"/>
      <c r="L370" s="2532"/>
      <c r="M370" s="2532"/>
      <c r="N370" s="2532"/>
      <c r="O370" s="2532"/>
    </row>
    <row r="371" spans="2:15" s="2531" customFormat="1" ht="12.75">
      <c r="B371" s="2533"/>
      <c r="D371" s="2566"/>
      <c r="E371" s="2566"/>
      <c r="F371" s="2566"/>
      <c r="G371" s="2566"/>
      <c r="H371" s="2566"/>
      <c r="I371" s="2532"/>
      <c r="J371" s="2532"/>
      <c r="K371" s="2532"/>
      <c r="L371" s="2532"/>
      <c r="M371" s="2532"/>
      <c r="N371" s="2532"/>
      <c r="O371" s="2532"/>
    </row>
    <row r="372" spans="2:15" s="2531" customFormat="1" ht="12.75">
      <c r="B372" s="2533"/>
      <c r="D372" s="2566"/>
      <c r="E372" s="2566"/>
      <c r="F372" s="2566"/>
      <c r="G372" s="2566"/>
      <c r="H372" s="2566"/>
      <c r="I372" s="2532"/>
      <c r="J372" s="2532"/>
      <c r="K372" s="2532"/>
      <c r="L372" s="2532"/>
      <c r="M372" s="2532"/>
      <c r="N372" s="2532"/>
      <c r="O372" s="2532"/>
    </row>
    <row r="373" spans="2:15" s="2531" customFormat="1" ht="12.75">
      <c r="B373" s="2533"/>
      <c r="D373" s="2566"/>
      <c r="E373" s="2566"/>
      <c r="F373" s="2566"/>
      <c r="G373" s="2566"/>
      <c r="H373" s="2566"/>
      <c r="I373" s="2532"/>
      <c r="J373" s="2532"/>
      <c r="K373" s="2532"/>
      <c r="L373" s="2532"/>
      <c r="M373" s="2532"/>
      <c r="N373" s="2532"/>
      <c r="O373" s="2532"/>
    </row>
    <row r="374" spans="2:15" s="2531" customFormat="1" ht="12.75">
      <c r="B374" s="2533"/>
      <c r="D374" s="2566"/>
      <c r="E374" s="2566"/>
      <c r="F374" s="2566"/>
      <c r="G374" s="2566"/>
      <c r="H374" s="2566"/>
      <c r="I374" s="2532"/>
      <c r="J374" s="2532"/>
      <c r="K374" s="2532"/>
      <c r="L374" s="2532"/>
      <c r="M374" s="2532"/>
      <c r="N374" s="2532"/>
      <c r="O374" s="2532"/>
    </row>
    <row r="375" spans="2:15" s="2531" customFormat="1" ht="12.75">
      <c r="B375" s="2533"/>
      <c r="D375" s="2566"/>
      <c r="E375" s="2566"/>
      <c r="F375" s="2566"/>
      <c r="G375" s="2566"/>
      <c r="H375" s="2566"/>
      <c r="I375" s="2532"/>
      <c r="J375" s="2532"/>
      <c r="K375" s="2532"/>
      <c r="L375" s="2532"/>
      <c r="M375" s="2532"/>
      <c r="N375" s="2532"/>
      <c r="O375" s="2532"/>
    </row>
    <row r="376" spans="2:15" s="2531" customFormat="1" ht="12.75">
      <c r="B376" s="2533"/>
      <c r="D376" s="2566"/>
      <c r="E376" s="2566"/>
      <c r="F376" s="2566"/>
      <c r="G376" s="2566"/>
      <c r="H376" s="2566"/>
      <c r="I376" s="2532"/>
      <c r="J376" s="2532"/>
      <c r="K376" s="2532"/>
      <c r="L376" s="2532"/>
      <c r="M376" s="2532"/>
      <c r="N376" s="2532"/>
      <c r="O376" s="2532"/>
    </row>
    <row r="377" spans="2:15" s="2531" customFormat="1" ht="12.75">
      <c r="B377" s="2533"/>
      <c r="D377" s="2566"/>
      <c r="E377" s="2566"/>
      <c r="F377" s="2566"/>
      <c r="G377" s="2566"/>
      <c r="H377" s="2566"/>
      <c r="I377" s="2532"/>
      <c r="J377" s="2532"/>
      <c r="K377" s="2532"/>
      <c r="L377" s="2532"/>
      <c r="M377" s="2532"/>
      <c r="N377" s="2532"/>
      <c r="O377" s="2532"/>
    </row>
    <row r="378" spans="2:15" s="2531" customFormat="1" ht="12.75">
      <c r="B378" s="2533"/>
      <c r="D378" s="2566"/>
      <c r="E378" s="2566"/>
      <c r="F378" s="2566"/>
      <c r="G378" s="2566"/>
      <c r="H378" s="2566"/>
      <c r="I378" s="2532"/>
      <c r="J378" s="2532"/>
      <c r="K378" s="2532"/>
      <c r="L378" s="2532"/>
      <c r="M378" s="2532"/>
      <c r="N378" s="2532"/>
      <c r="O378" s="2532"/>
    </row>
    <row r="379" spans="2:15" s="2531" customFormat="1" ht="12.75">
      <c r="B379" s="2533"/>
      <c r="D379" s="2566"/>
      <c r="E379" s="2566"/>
      <c r="F379" s="2566"/>
      <c r="G379" s="2566"/>
      <c r="H379" s="2566"/>
      <c r="I379" s="2532"/>
      <c r="J379" s="2532"/>
      <c r="K379" s="2532"/>
      <c r="L379" s="2532"/>
      <c r="M379" s="2532"/>
      <c r="N379" s="2532"/>
      <c r="O379" s="2532"/>
    </row>
    <row r="380" spans="2:15" s="2531" customFormat="1" ht="12.75">
      <c r="B380" s="2533"/>
      <c r="D380" s="2566"/>
      <c r="E380" s="2566"/>
      <c r="F380" s="2566"/>
      <c r="G380" s="2566"/>
      <c r="H380" s="2566"/>
      <c r="I380" s="2532"/>
      <c r="J380" s="2532"/>
      <c r="K380" s="2532"/>
      <c r="L380" s="2532"/>
      <c r="M380" s="2532"/>
      <c r="N380" s="2532"/>
      <c r="O380" s="2532"/>
    </row>
    <row r="381" spans="2:15" s="2531" customFormat="1" ht="12.75">
      <c r="B381" s="2533"/>
      <c r="D381" s="2566"/>
      <c r="E381" s="2566"/>
      <c r="F381" s="2566"/>
      <c r="G381" s="2566"/>
      <c r="H381" s="2566"/>
      <c r="I381" s="2532"/>
      <c r="J381" s="2532"/>
      <c r="K381" s="2532"/>
      <c r="L381" s="2532"/>
      <c r="M381" s="2532"/>
      <c r="N381" s="2532"/>
      <c r="O381" s="2532"/>
    </row>
    <row r="382" spans="2:15" s="2531" customFormat="1" ht="12.75">
      <c r="B382" s="2533"/>
      <c r="D382" s="2566"/>
      <c r="E382" s="2566"/>
      <c r="F382" s="2566"/>
      <c r="G382" s="2566"/>
      <c r="H382" s="2566"/>
      <c r="I382" s="2532"/>
      <c r="J382" s="2532"/>
      <c r="K382" s="2532"/>
      <c r="L382" s="2532"/>
      <c r="M382" s="2532"/>
      <c r="N382" s="2532"/>
      <c r="O382" s="2532"/>
    </row>
    <row r="383" spans="2:15" s="2531" customFormat="1" ht="12.75">
      <c r="B383" s="2533"/>
      <c r="D383" s="2566"/>
      <c r="E383" s="2566"/>
      <c r="F383" s="2566"/>
      <c r="G383" s="2566"/>
      <c r="H383" s="2566"/>
      <c r="I383" s="2532"/>
      <c r="J383" s="2532"/>
      <c r="K383" s="2532"/>
      <c r="L383" s="2532"/>
      <c r="M383" s="2532"/>
      <c r="N383" s="2532"/>
      <c r="O383" s="2532"/>
    </row>
    <row r="384" spans="2:15" s="2531" customFormat="1" ht="12.75">
      <c r="B384" s="2533"/>
      <c r="D384" s="2566"/>
      <c r="E384" s="2566"/>
      <c r="F384" s="2566"/>
      <c r="G384" s="2566"/>
      <c r="H384" s="2566"/>
      <c r="I384" s="2532"/>
      <c r="J384" s="2532"/>
      <c r="K384" s="2532"/>
      <c r="L384" s="2532"/>
      <c r="M384" s="2532"/>
      <c r="N384" s="2532"/>
      <c r="O384" s="2532"/>
    </row>
    <row r="385" spans="1:15" s="2531" customFormat="1" ht="12.75">
      <c r="B385" s="2533"/>
      <c r="D385" s="2566"/>
      <c r="E385" s="2566"/>
      <c r="F385" s="2566"/>
      <c r="G385" s="2566"/>
      <c r="H385" s="2566"/>
      <c r="I385" s="2532"/>
      <c r="J385" s="2532"/>
      <c r="K385" s="2532"/>
      <c r="L385" s="2532"/>
      <c r="M385" s="2532"/>
      <c r="N385" s="2532"/>
      <c r="O385" s="2532"/>
    </row>
    <row r="386" spans="1:15" s="2529" customFormat="1">
      <c r="A386" s="4876"/>
      <c r="B386" s="4876"/>
      <c r="C386" s="4876"/>
      <c r="D386" s="4876"/>
      <c r="E386" s="4876"/>
      <c r="F386" s="4876"/>
      <c r="G386" s="4876"/>
      <c r="H386" s="4876"/>
      <c r="I386" s="2530"/>
      <c r="J386" s="2530"/>
      <c r="K386" s="2530"/>
      <c r="L386" s="2530"/>
      <c r="M386" s="2530"/>
      <c r="N386" s="2530"/>
      <c r="O386" s="2530"/>
    </row>
    <row r="387" spans="1:15" s="2529" customFormat="1">
      <c r="A387" s="4877"/>
      <c r="B387" s="4877"/>
      <c r="C387" s="4877"/>
      <c r="D387" s="4877"/>
      <c r="E387" s="4877"/>
      <c r="F387" s="4877"/>
      <c r="G387" s="4877"/>
      <c r="H387" s="4877"/>
      <c r="I387" s="2530"/>
      <c r="J387" s="2530"/>
      <c r="K387" s="2530"/>
      <c r="L387" s="2530"/>
      <c r="M387" s="2530"/>
      <c r="N387" s="2530"/>
      <c r="O387" s="2530"/>
    </row>
    <row r="388" spans="1:15" s="2529" customFormat="1">
      <c r="I388" s="2530"/>
      <c r="J388" s="2530"/>
      <c r="K388" s="2530"/>
      <c r="L388" s="2530"/>
      <c r="M388" s="2530"/>
      <c r="N388" s="2530"/>
      <c r="O388" s="2530"/>
    </row>
    <row r="389" spans="1:15" s="2529" customFormat="1">
      <c r="I389" s="2530"/>
      <c r="J389" s="2530"/>
      <c r="K389" s="2530"/>
      <c r="L389" s="2530"/>
      <c r="M389" s="2530"/>
      <c r="N389" s="2530"/>
      <c r="O389" s="2530"/>
    </row>
    <row r="390" spans="1:15" s="2531" customFormat="1">
      <c r="A390" s="2568"/>
      <c r="B390" s="2567"/>
      <c r="C390" s="2529"/>
      <c r="D390" s="2566"/>
      <c r="E390" s="2566"/>
      <c r="F390" s="2566"/>
      <c r="G390" s="2566"/>
      <c r="H390" s="2566"/>
      <c r="I390" s="2532"/>
      <c r="J390" s="2532"/>
      <c r="K390" s="2532"/>
      <c r="L390" s="2532"/>
      <c r="M390" s="2532"/>
      <c r="N390" s="2532"/>
      <c r="O390" s="2532"/>
    </row>
    <row r="391" spans="1:15" s="2531" customFormat="1" ht="12.75">
      <c r="A391" s="1269"/>
      <c r="B391" s="1269"/>
      <c r="C391" s="2542"/>
      <c r="D391" s="2541"/>
      <c r="E391" s="2561"/>
      <c r="F391" s="2540"/>
      <c r="G391" s="2565"/>
      <c r="H391" s="2561"/>
      <c r="I391" s="2532"/>
      <c r="J391" s="2532"/>
      <c r="K391" s="2532"/>
      <c r="L391" s="2532"/>
      <c r="M391" s="2532"/>
      <c r="N391" s="2532"/>
      <c r="O391" s="2532"/>
    </row>
    <row r="392" spans="1:15" s="2531" customFormat="1" ht="23.25">
      <c r="A392" s="2564"/>
      <c r="B392" s="2564"/>
      <c r="C392" s="2563"/>
      <c r="D392" s="2541"/>
      <c r="E392" s="2561"/>
      <c r="F392" s="2540"/>
      <c r="G392" s="2562"/>
      <c r="H392" s="2561"/>
      <c r="I392" s="2532"/>
      <c r="J392" s="2532"/>
      <c r="K392" s="2532"/>
      <c r="L392" s="2532"/>
      <c r="M392" s="2532"/>
      <c r="N392" s="2532"/>
      <c r="O392" s="2532"/>
    </row>
    <row r="393" spans="1:15" s="2531" customFormat="1" ht="12.75">
      <c r="A393" s="4879"/>
      <c r="B393" s="4879"/>
      <c r="C393" s="2559"/>
      <c r="D393" s="2560"/>
      <c r="E393" s="4880"/>
      <c r="F393" s="4880"/>
      <c r="G393" s="4880"/>
      <c r="H393" s="2557"/>
      <c r="I393" s="2532"/>
      <c r="J393" s="2532"/>
      <c r="K393" s="2532"/>
      <c r="L393" s="2532"/>
      <c r="M393" s="2532"/>
      <c r="N393" s="2532"/>
      <c r="O393" s="2532"/>
    </row>
    <row r="394" spans="1:15" s="2531" customFormat="1" ht="12.75">
      <c r="A394" s="4879"/>
      <c r="B394" s="4879"/>
      <c r="C394" s="2559"/>
      <c r="D394" s="2558"/>
      <c r="E394" s="2558"/>
      <c r="F394" s="2558"/>
      <c r="G394" s="2558"/>
      <c r="H394" s="2558"/>
      <c r="I394" s="2532"/>
      <c r="J394" s="2532"/>
      <c r="K394" s="2532"/>
      <c r="L394" s="2532"/>
      <c r="M394" s="2532"/>
      <c r="N394" s="2532"/>
      <c r="O394" s="2532"/>
    </row>
    <row r="395" spans="1:15" s="2531" customFormat="1" ht="12.75">
      <c r="A395" s="4879"/>
      <c r="B395" s="4879"/>
      <c r="C395" s="2557"/>
      <c r="D395" s="2555"/>
      <c r="E395" s="2555"/>
      <c r="F395" s="2555"/>
      <c r="G395" s="2556"/>
      <c r="H395" s="2555"/>
      <c r="I395" s="2532"/>
      <c r="J395" s="2532"/>
      <c r="K395" s="2532"/>
      <c r="L395" s="2532"/>
      <c r="M395" s="2532"/>
      <c r="N395" s="2532"/>
      <c r="O395" s="2532"/>
    </row>
    <row r="396" spans="1:15" s="2531" customFormat="1" ht="12.75">
      <c r="A396" s="2554"/>
      <c r="B396" s="2553"/>
      <c r="C396" s="2552"/>
      <c r="D396" s="2551"/>
      <c r="E396" s="2551"/>
      <c r="F396" s="2551"/>
      <c r="G396" s="2551"/>
      <c r="H396" s="2551"/>
      <c r="I396" s="2532"/>
      <c r="J396" s="2532"/>
      <c r="K396" s="2532"/>
      <c r="L396" s="2532"/>
      <c r="M396" s="2532"/>
      <c r="N396" s="2532"/>
      <c r="O396" s="2532"/>
    </row>
    <row r="397" spans="1:15" s="2531" customFormat="1" ht="12.75">
      <c r="A397" s="2549"/>
      <c r="B397" s="2549"/>
      <c r="C397" s="2545"/>
      <c r="D397" s="2548"/>
      <c r="E397" s="2548"/>
      <c r="F397" s="2540"/>
      <c r="G397" s="2548"/>
      <c r="H397" s="2548"/>
      <c r="I397" s="2532"/>
      <c r="J397" s="2532"/>
      <c r="K397" s="2532"/>
      <c r="L397" s="2532"/>
      <c r="M397" s="2532"/>
      <c r="N397" s="2532"/>
      <c r="O397" s="2532"/>
    </row>
    <row r="398" spans="1:15" s="2531" customFormat="1" ht="12.75">
      <c r="A398" s="2549"/>
      <c r="B398" s="2549"/>
      <c r="C398" s="2545"/>
      <c r="D398" s="2548"/>
      <c r="E398" s="2548"/>
      <c r="F398" s="2540"/>
      <c r="G398" s="2548"/>
      <c r="H398" s="2548"/>
      <c r="I398" s="2532"/>
      <c r="J398" s="2532"/>
      <c r="K398" s="2532"/>
      <c r="L398" s="2532"/>
      <c r="M398" s="2532"/>
      <c r="N398" s="2532"/>
      <c r="O398" s="2532"/>
    </row>
    <row r="399" spans="1:15" s="2531" customFormat="1" ht="12.75">
      <c r="A399" s="2546"/>
      <c r="B399" s="1269"/>
      <c r="C399" s="2545"/>
      <c r="D399" s="2541"/>
      <c r="E399" s="2544"/>
      <c r="F399" s="2540"/>
      <c r="G399" s="2544"/>
      <c r="H399" s="2544"/>
      <c r="I399" s="2532"/>
      <c r="J399" s="2532"/>
      <c r="K399" s="2532"/>
      <c r="L399" s="2532"/>
      <c r="M399" s="2532"/>
      <c r="N399" s="2532"/>
      <c r="O399" s="2532"/>
    </row>
    <row r="400" spans="1:15" s="2531" customFormat="1" ht="12.75">
      <c r="A400" s="2549"/>
      <c r="B400" s="2549"/>
      <c r="C400" s="2545"/>
      <c r="D400" s="2541"/>
      <c r="E400" s="2544"/>
      <c r="F400" s="2540"/>
      <c r="G400" s="2544"/>
      <c r="H400" s="2544"/>
      <c r="I400" s="2532"/>
      <c r="J400" s="2532"/>
      <c r="K400" s="2532"/>
      <c r="L400" s="2532"/>
      <c r="M400" s="2532"/>
      <c r="N400" s="2532"/>
      <c r="O400" s="2532"/>
    </row>
    <row r="401" spans="1:15" s="2531" customFormat="1" ht="12.75">
      <c r="A401" s="2546"/>
      <c r="B401" s="1269"/>
      <c r="C401" s="2542"/>
      <c r="D401" s="2541"/>
      <c r="E401" s="2544"/>
      <c r="F401" s="2540"/>
      <c r="G401" s="2544"/>
      <c r="H401" s="2544"/>
      <c r="I401" s="2532"/>
      <c r="J401" s="2532"/>
      <c r="K401" s="2532"/>
      <c r="L401" s="2532"/>
      <c r="M401" s="2532"/>
      <c r="N401" s="2532"/>
      <c r="O401" s="2532"/>
    </row>
    <row r="402" spans="1:15" s="2531" customFormat="1" ht="12.75">
      <c r="A402" s="2549"/>
      <c r="B402" s="2549"/>
      <c r="C402" s="2542"/>
      <c r="D402" s="2541"/>
      <c r="E402" s="2544"/>
      <c r="F402" s="2540"/>
      <c r="G402" s="2544"/>
      <c r="H402" s="2544"/>
      <c r="I402" s="2532"/>
      <c r="J402" s="2532"/>
      <c r="K402" s="2532"/>
      <c r="L402" s="2532"/>
      <c r="M402" s="2532"/>
      <c r="N402" s="2532"/>
      <c r="O402" s="2532"/>
    </row>
    <row r="403" spans="1:15" s="2531" customFormat="1" ht="12.75">
      <c r="A403" s="2547"/>
      <c r="B403" s="2546"/>
      <c r="C403" s="2545"/>
      <c r="D403" s="2541"/>
      <c r="E403" s="2544"/>
      <c r="F403" s="2540"/>
      <c r="G403" s="2544"/>
      <c r="H403" s="2544"/>
      <c r="I403" s="2532"/>
      <c r="J403" s="2532"/>
      <c r="K403" s="2532"/>
      <c r="L403" s="2532"/>
      <c r="M403" s="2532"/>
      <c r="N403" s="2532"/>
      <c r="O403" s="2532"/>
    </row>
    <row r="404" spans="1:15" s="2531" customFormat="1" ht="12.75">
      <c r="A404" s="2543"/>
      <c r="B404" s="2543"/>
      <c r="C404" s="2542"/>
      <c r="D404" s="2541"/>
      <c r="E404" s="2539"/>
      <c r="F404" s="2540"/>
      <c r="G404" s="2539"/>
      <c r="H404" s="2539"/>
      <c r="I404" s="2532"/>
      <c r="J404" s="2532"/>
      <c r="K404" s="2532"/>
      <c r="L404" s="2532"/>
      <c r="M404" s="2532"/>
      <c r="N404" s="2532"/>
      <c r="O404" s="2532"/>
    </row>
    <row r="405" spans="1:15" s="2531" customFormat="1" ht="12.75">
      <c r="A405" s="2538"/>
      <c r="B405" s="2538"/>
      <c r="C405" s="2537"/>
      <c r="D405" s="2536"/>
      <c r="E405" s="2536"/>
      <c r="F405" s="2536"/>
      <c r="G405" s="2536"/>
      <c r="H405" s="2536"/>
      <c r="I405" s="2532"/>
      <c r="J405" s="2532"/>
      <c r="K405" s="2532"/>
      <c r="L405" s="2532"/>
      <c r="M405" s="2532"/>
      <c r="N405" s="2532"/>
      <c r="O405" s="2532"/>
    </row>
    <row r="406" spans="1:15" s="2531" customFormat="1" ht="12.75">
      <c r="A406" s="2538"/>
      <c r="B406" s="2538"/>
      <c r="C406" s="2537"/>
      <c r="D406" s="2536"/>
      <c r="E406" s="2536"/>
      <c r="F406" s="2536"/>
      <c r="G406" s="2536"/>
      <c r="H406" s="2536"/>
      <c r="I406" s="2532"/>
      <c r="J406" s="2532"/>
      <c r="K406" s="2532"/>
      <c r="L406" s="2532"/>
      <c r="M406" s="2532"/>
      <c r="N406" s="2532"/>
      <c r="O406" s="2532"/>
    </row>
    <row r="407" spans="1:15" s="2531" customFormat="1">
      <c r="A407" s="1269"/>
      <c r="B407" s="2529"/>
      <c r="C407" s="2535"/>
      <c r="D407" s="2529"/>
      <c r="E407" s="4877"/>
      <c r="F407" s="4877"/>
      <c r="G407" s="1269"/>
      <c r="H407" s="2529"/>
      <c r="I407" s="2532"/>
      <c r="J407" s="2532"/>
      <c r="K407" s="2532"/>
      <c r="L407" s="2532"/>
      <c r="M407" s="2532"/>
      <c r="N407" s="2532"/>
      <c r="O407" s="2532"/>
    </row>
    <row r="408" spans="1:15" s="2531" customFormat="1">
      <c r="A408" s="2529"/>
      <c r="B408" s="1269"/>
      <c r="C408" s="2535"/>
      <c r="D408" s="1269"/>
      <c r="E408" s="1269"/>
      <c r="F408" s="1269"/>
      <c r="G408" s="1269"/>
      <c r="H408" s="2529"/>
      <c r="I408" s="2532"/>
      <c r="J408" s="2532"/>
      <c r="K408" s="2532"/>
      <c r="L408" s="2532"/>
      <c r="M408" s="2532"/>
      <c r="N408" s="2532"/>
      <c r="O408" s="2532"/>
    </row>
    <row r="409" spans="1:15" s="2531" customFormat="1" ht="12.75">
      <c r="A409" s="2534"/>
      <c r="B409" s="1269"/>
      <c r="C409" s="4881"/>
      <c r="D409" s="4881"/>
      <c r="E409" s="4876"/>
      <c r="F409" s="4876"/>
      <c r="G409" s="4876"/>
      <c r="H409" s="4876"/>
      <c r="I409" s="2532"/>
      <c r="J409" s="2532"/>
      <c r="K409" s="2532"/>
      <c r="L409" s="2532"/>
      <c r="M409" s="2532"/>
      <c r="N409" s="2532"/>
      <c r="O409" s="2532"/>
    </row>
    <row r="410" spans="1:15" s="2531" customFormat="1" ht="12.75">
      <c r="B410" s="2533"/>
      <c r="C410" s="4874"/>
      <c r="D410" s="4874"/>
      <c r="E410" s="4875"/>
      <c r="F410" s="4875"/>
      <c r="G410" s="4875"/>
      <c r="H410" s="4875"/>
      <c r="I410" s="2532"/>
      <c r="J410" s="2532"/>
      <c r="K410" s="2532"/>
      <c r="L410" s="2532"/>
      <c r="M410" s="2532"/>
      <c r="N410" s="2532"/>
      <c r="O410" s="2532"/>
    </row>
    <row r="411" spans="1:15" s="2531" customFormat="1" ht="12.75">
      <c r="B411" s="2533"/>
      <c r="D411" s="2566"/>
      <c r="E411" s="2566"/>
      <c r="F411" s="2566"/>
      <c r="G411" s="2566"/>
      <c r="H411" s="2566"/>
      <c r="I411" s="2532"/>
      <c r="J411" s="2532"/>
      <c r="K411" s="2532"/>
      <c r="L411" s="2532"/>
      <c r="M411" s="2532"/>
      <c r="N411" s="2532"/>
      <c r="O411" s="2532"/>
    </row>
    <row r="412" spans="1:15" s="2531" customFormat="1" ht="12.75">
      <c r="B412" s="2533"/>
      <c r="D412" s="2566"/>
      <c r="E412" s="2566"/>
      <c r="F412" s="2566"/>
      <c r="G412" s="2566"/>
      <c r="H412" s="2566"/>
      <c r="I412" s="2532"/>
      <c r="J412" s="2532"/>
      <c r="K412" s="2532"/>
      <c r="L412" s="2532"/>
      <c r="M412" s="2532"/>
      <c r="N412" s="2532"/>
      <c r="O412" s="2532"/>
    </row>
    <row r="413" spans="1:15" s="2531" customFormat="1" ht="12.75">
      <c r="B413" s="2533"/>
      <c r="D413" s="2566"/>
      <c r="E413" s="2566"/>
      <c r="F413" s="2566"/>
      <c r="G413" s="2566"/>
      <c r="H413" s="2566"/>
      <c r="I413" s="2532"/>
      <c r="J413" s="2532"/>
      <c r="K413" s="2532"/>
      <c r="L413" s="2532"/>
      <c r="M413" s="2532"/>
      <c r="N413" s="2532"/>
      <c r="O413" s="2532"/>
    </row>
    <row r="414" spans="1:15" s="2531" customFormat="1" ht="12.75">
      <c r="B414" s="2533"/>
      <c r="D414" s="2566"/>
      <c r="E414" s="2566"/>
      <c r="F414" s="2566"/>
      <c r="G414" s="2566"/>
      <c r="H414" s="2566"/>
      <c r="I414" s="2532"/>
      <c r="J414" s="2532"/>
      <c r="K414" s="2532"/>
      <c r="L414" s="2532"/>
      <c r="M414" s="2532"/>
      <c r="N414" s="2532"/>
      <c r="O414" s="2532"/>
    </row>
    <row r="415" spans="1:15" s="2531" customFormat="1" ht="12.75">
      <c r="B415" s="2533"/>
      <c r="D415" s="2566"/>
      <c r="E415" s="2566"/>
      <c r="F415" s="2566"/>
      <c r="G415" s="2566"/>
      <c r="H415" s="2566"/>
      <c r="I415" s="2532"/>
      <c r="J415" s="2532"/>
      <c r="K415" s="2532"/>
      <c r="L415" s="2532"/>
      <c r="M415" s="2532"/>
      <c r="N415" s="2532"/>
      <c r="O415" s="2532"/>
    </row>
    <row r="416" spans="1:15" s="2531" customFormat="1" ht="12.75">
      <c r="B416" s="2533"/>
      <c r="D416" s="2566"/>
      <c r="E416" s="2566"/>
      <c r="F416" s="2566"/>
      <c r="G416" s="2566"/>
      <c r="H416" s="2566"/>
      <c r="I416" s="2532"/>
      <c r="J416" s="2532"/>
      <c r="K416" s="2532"/>
      <c r="L416" s="2532"/>
      <c r="M416" s="2532"/>
      <c r="N416" s="2532"/>
      <c r="O416" s="2532"/>
    </row>
    <row r="417" spans="1:15" s="2531" customFormat="1" ht="12.75">
      <c r="B417" s="2533"/>
      <c r="D417" s="2566"/>
      <c r="E417" s="2566"/>
      <c r="F417" s="2566"/>
      <c r="G417" s="2566"/>
      <c r="H417" s="2566"/>
      <c r="I417" s="2532"/>
      <c r="J417" s="2532"/>
      <c r="K417" s="2532"/>
      <c r="L417" s="2532"/>
      <c r="M417" s="2532"/>
      <c r="N417" s="2532"/>
      <c r="O417" s="2532"/>
    </row>
    <row r="418" spans="1:15" s="2531" customFormat="1" ht="12.75">
      <c r="B418" s="2533"/>
      <c r="D418" s="2566"/>
      <c r="E418" s="2566"/>
      <c r="F418" s="2566"/>
      <c r="G418" s="2566"/>
      <c r="H418" s="2566"/>
      <c r="I418" s="2532"/>
      <c r="J418" s="2532"/>
      <c r="K418" s="2532"/>
      <c r="L418" s="2532"/>
      <c r="M418" s="2532"/>
      <c r="N418" s="2532"/>
      <c r="O418" s="2532"/>
    </row>
    <row r="419" spans="1:15" s="2531" customFormat="1" ht="12.75">
      <c r="B419" s="2533"/>
      <c r="D419" s="2566"/>
      <c r="E419" s="2566"/>
      <c r="F419" s="2566"/>
      <c r="G419" s="2566"/>
      <c r="H419" s="2566"/>
      <c r="I419" s="2532"/>
      <c r="J419" s="2532"/>
      <c r="K419" s="2532"/>
      <c r="L419" s="2532"/>
      <c r="M419" s="2532"/>
      <c r="N419" s="2532"/>
      <c r="O419" s="2532"/>
    </row>
    <row r="420" spans="1:15" s="2531" customFormat="1" ht="12.75">
      <c r="B420" s="2533"/>
      <c r="D420" s="2566"/>
      <c r="E420" s="2566"/>
      <c r="F420" s="2566"/>
      <c r="G420" s="2566"/>
      <c r="H420" s="2566"/>
      <c r="I420" s="2532"/>
      <c r="J420" s="2532"/>
      <c r="K420" s="2532"/>
      <c r="L420" s="2532"/>
      <c r="M420" s="2532"/>
      <c r="N420" s="2532"/>
      <c r="O420" s="2532"/>
    </row>
    <row r="421" spans="1:15" s="2531" customFormat="1" ht="12.75">
      <c r="B421" s="2533"/>
      <c r="D421" s="2566"/>
      <c r="E421" s="2566"/>
      <c r="F421" s="2566"/>
      <c r="G421" s="2566"/>
      <c r="H421" s="2566"/>
      <c r="I421" s="2532"/>
      <c r="J421" s="2532"/>
      <c r="K421" s="2532"/>
      <c r="L421" s="2532"/>
      <c r="M421" s="2532"/>
      <c r="N421" s="2532"/>
      <c r="O421" s="2532"/>
    </row>
    <row r="422" spans="1:15" s="2531" customFormat="1" ht="12.75">
      <c r="B422" s="2533"/>
      <c r="D422" s="2566"/>
      <c r="E422" s="2566"/>
      <c r="F422" s="2566"/>
      <c r="G422" s="2566"/>
      <c r="H422" s="2566"/>
      <c r="I422" s="2532"/>
      <c r="J422" s="2532"/>
      <c r="K422" s="2532"/>
      <c r="L422" s="2532"/>
      <c r="M422" s="2532"/>
      <c r="N422" s="2532"/>
      <c r="O422" s="2532"/>
    </row>
    <row r="423" spans="1:15" s="2531" customFormat="1" ht="12.75">
      <c r="B423" s="2533"/>
      <c r="D423" s="2566"/>
      <c r="E423" s="2566"/>
      <c r="F423" s="2566"/>
      <c r="G423" s="2566"/>
      <c r="H423" s="2566"/>
      <c r="I423" s="2532"/>
      <c r="J423" s="2532"/>
      <c r="K423" s="2532"/>
      <c r="L423" s="2532"/>
      <c r="M423" s="2532"/>
      <c r="N423" s="2532"/>
      <c r="O423" s="2532"/>
    </row>
    <row r="424" spans="1:15" s="2531" customFormat="1" ht="12.75">
      <c r="B424" s="2533"/>
      <c r="D424" s="2566"/>
      <c r="E424" s="2566"/>
      <c r="F424" s="2566"/>
      <c r="G424" s="2566"/>
      <c r="H424" s="2566"/>
      <c r="I424" s="2532"/>
      <c r="J424" s="2532"/>
      <c r="K424" s="2532"/>
      <c r="L424" s="2532"/>
      <c r="M424" s="2532"/>
      <c r="N424" s="2532"/>
      <c r="O424" s="2532"/>
    </row>
    <row r="425" spans="1:15" s="2531" customFormat="1" ht="12.75">
      <c r="B425" s="2533"/>
      <c r="D425" s="2566"/>
      <c r="E425" s="2566"/>
      <c r="F425" s="2566"/>
      <c r="G425" s="2566"/>
      <c r="H425" s="2566"/>
      <c r="I425" s="2532"/>
      <c r="J425" s="2532"/>
      <c r="K425" s="2532"/>
      <c r="L425" s="2532"/>
      <c r="M425" s="2532"/>
      <c r="N425" s="2532"/>
      <c r="O425" s="2532"/>
    </row>
    <row r="426" spans="1:15" s="2531" customFormat="1" ht="12.75">
      <c r="B426" s="2533"/>
      <c r="D426" s="2566"/>
      <c r="E426" s="2566"/>
      <c r="F426" s="2566"/>
      <c r="G426" s="2566"/>
      <c r="H426" s="2566"/>
      <c r="I426" s="2532"/>
      <c r="J426" s="2532"/>
      <c r="K426" s="2532"/>
      <c r="L426" s="2532"/>
      <c r="M426" s="2532"/>
      <c r="N426" s="2532"/>
      <c r="O426" s="2532"/>
    </row>
    <row r="427" spans="1:15" s="2529" customFormat="1">
      <c r="A427" s="4876"/>
      <c r="B427" s="4876"/>
      <c r="C427" s="4876"/>
      <c r="D427" s="4876"/>
      <c r="E427" s="4876"/>
      <c r="F427" s="4876"/>
      <c r="G427" s="4876"/>
      <c r="H427" s="4876"/>
      <c r="I427" s="2530"/>
      <c r="J427" s="2530"/>
      <c r="K427" s="2530"/>
      <c r="L427" s="2530"/>
      <c r="M427" s="2530"/>
      <c r="N427" s="2530"/>
      <c r="O427" s="2530"/>
    </row>
    <row r="428" spans="1:15" s="2529" customFormat="1">
      <c r="A428" s="4877"/>
      <c r="B428" s="4877"/>
      <c r="C428" s="4877"/>
      <c r="D428" s="4877"/>
      <c r="E428" s="4877"/>
      <c r="F428" s="4877"/>
      <c r="G428" s="4877"/>
      <c r="H428" s="4877"/>
      <c r="I428" s="2530"/>
      <c r="J428" s="2530"/>
      <c r="K428" s="2530"/>
      <c r="L428" s="2530"/>
      <c r="M428" s="2530"/>
      <c r="N428" s="2530"/>
      <c r="O428" s="2530"/>
    </row>
    <row r="429" spans="1:15" s="2529" customFormat="1">
      <c r="I429" s="2530"/>
      <c r="J429" s="2530"/>
      <c r="K429" s="2530"/>
      <c r="L429" s="2530"/>
      <c r="M429" s="2530"/>
      <c r="N429" s="2530"/>
      <c r="O429" s="2530"/>
    </row>
    <row r="430" spans="1:15" s="2529" customFormat="1">
      <c r="I430" s="2530"/>
      <c r="J430" s="2530"/>
      <c r="K430" s="2530"/>
      <c r="L430" s="2530"/>
      <c r="M430" s="2530"/>
      <c r="N430" s="2530"/>
      <c r="O430" s="2530"/>
    </row>
    <row r="431" spans="1:15" s="2529" customFormat="1">
      <c r="I431" s="2530"/>
      <c r="J431" s="2530"/>
      <c r="K431" s="2530"/>
      <c r="L431" s="2530"/>
      <c r="M431" s="2530"/>
      <c r="N431" s="2530"/>
      <c r="O431" s="2530"/>
    </row>
    <row r="432" spans="1:15" s="2531" customFormat="1">
      <c r="A432" s="2568"/>
      <c r="B432" s="2567"/>
      <c r="C432" s="2529"/>
      <c r="D432" s="2566"/>
      <c r="E432" s="2566"/>
      <c r="F432" s="2566"/>
      <c r="G432" s="2566"/>
      <c r="H432" s="2566"/>
      <c r="I432" s="2532"/>
      <c r="J432" s="2532"/>
      <c r="K432" s="2532"/>
      <c r="L432" s="2532"/>
      <c r="M432" s="2532"/>
      <c r="N432" s="2532"/>
      <c r="O432" s="2532"/>
    </row>
    <row r="433" spans="1:15" s="2531" customFormat="1" ht="12.75">
      <c r="A433" s="1269"/>
      <c r="B433" s="1269"/>
      <c r="C433" s="2542"/>
      <c r="D433" s="2541"/>
      <c r="E433" s="2561"/>
      <c r="F433" s="2540"/>
      <c r="G433" s="2565"/>
      <c r="H433" s="2561"/>
      <c r="I433" s="2532"/>
      <c r="J433" s="2532"/>
      <c r="K433" s="2532"/>
      <c r="L433" s="2532"/>
      <c r="M433" s="2532"/>
      <c r="N433" s="2532"/>
      <c r="O433" s="2532"/>
    </row>
    <row r="434" spans="1:15" s="2531" customFormat="1" ht="23.25">
      <c r="A434" s="2564"/>
      <c r="B434" s="2564"/>
      <c r="C434" s="2563"/>
      <c r="D434" s="2570"/>
      <c r="E434" s="2569"/>
      <c r="F434" s="2540"/>
      <c r="G434" s="2562"/>
      <c r="H434" s="2561"/>
      <c r="I434" s="2532"/>
      <c r="J434" s="2532"/>
      <c r="K434" s="2532"/>
      <c r="L434" s="2532"/>
      <c r="M434" s="2532"/>
      <c r="N434" s="2532"/>
      <c r="O434" s="2532"/>
    </row>
    <row r="435" spans="1:15" s="2531" customFormat="1" ht="12.75">
      <c r="A435" s="4879"/>
      <c r="B435" s="4879"/>
      <c r="C435" s="2559"/>
      <c r="D435" s="2560"/>
      <c r="E435" s="4880"/>
      <c r="F435" s="4880"/>
      <c r="G435" s="4880"/>
      <c r="H435" s="2557"/>
      <c r="I435" s="2532"/>
      <c r="J435" s="2532"/>
      <c r="K435" s="2532"/>
      <c r="L435" s="2532"/>
      <c r="M435" s="2532"/>
      <c r="N435" s="2532"/>
      <c r="O435" s="2532"/>
    </row>
    <row r="436" spans="1:15" s="2531" customFormat="1" ht="12.75">
      <c r="A436" s="4879"/>
      <c r="B436" s="4879"/>
      <c r="C436" s="2559"/>
      <c r="D436" s="2558"/>
      <c r="E436" s="2558"/>
      <c r="F436" s="2558"/>
      <c r="G436" s="2558"/>
      <c r="H436" s="2558"/>
      <c r="I436" s="2532"/>
      <c r="J436" s="2532"/>
      <c r="K436" s="2532"/>
      <c r="L436" s="2532"/>
      <c r="M436" s="2532"/>
      <c r="N436" s="2532"/>
      <c r="O436" s="2532"/>
    </row>
    <row r="437" spans="1:15" s="2531" customFormat="1" ht="12.75">
      <c r="A437" s="4879"/>
      <c r="B437" s="4879"/>
      <c r="C437" s="2557"/>
      <c r="D437" s="2555"/>
      <c r="E437" s="2555"/>
      <c r="F437" s="2555"/>
      <c r="G437" s="2556"/>
      <c r="H437" s="2555"/>
      <c r="I437" s="2532"/>
      <c r="J437" s="2532"/>
      <c r="K437" s="2532"/>
      <c r="L437" s="2532"/>
      <c r="M437" s="2532"/>
      <c r="N437" s="2532"/>
      <c r="O437" s="2532"/>
    </row>
    <row r="438" spans="1:15" s="2531" customFormat="1" ht="12.75">
      <c r="A438" s="2554"/>
      <c r="B438" s="2553"/>
      <c r="C438" s="2552"/>
      <c r="D438" s="2551"/>
      <c r="E438" s="2551"/>
      <c r="F438" s="2551"/>
      <c r="G438" s="2551"/>
      <c r="H438" s="2551"/>
      <c r="I438" s="2532"/>
      <c r="J438" s="2532"/>
      <c r="K438" s="2532"/>
      <c r="L438" s="2532"/>
      <c r="M438" s="2532"/>
      <c r="N438" s="2532"/>
      <c r="O438" s="2532"/>
    </row>
    <row r="439" spans="1:15" s="2531" customFormat="1" ht="12.75">
      <c r="A439" s="2549"/>
      <c r="B439" s="2549"/>
      <c r="C439" s="2545"/>
      <c r="D439" s="2548"/>
      <c r="E439" s="2548"/>
      <c r="F439" s="2540"/>
      <c r="G439" s="2548"/>
      <c r="H439" s="2548"/>
      <c r="I439" s="2532"/>
      <c r="J439" s="2532"/>
      <c r="K439" s="2532"/>
      <c r="L439" s="2532"/>
      <c r="M439" s="2532"/>
      <c r="N439" s="2532"/>
      <c r="O439" s="2532"/>
    </row>
    <row r="440" spans="1:15" s="2531" customFormat="1" ht="12.75">
      <c r="A440" s="2549"/>
      <c r="B440" s="2549"/>
      <c r="C440" s="2545"/>
      <c r="D440" s="2548"/>
      <c r="E440" s="2548"/>
      <c r="F440" s="2540"/>
      <c r="G440" s="2548"/>
      <c r="H440" s="2548"/>
      <c r="I440" s="2532"/>
      <c r="J440" s="2532"/>
      <c r="K440" s="2532"/>
      <c r="L440" s="2532"/>
      <c r="M440" s="2532"/>
      <c r="N440" s="2532"/>
      <c r="O440" s="2532"/>
    </row>
    <row r="441" spans="1:15" s="2531" customFormat="1" ht="12.75">
      <c r="A441" s="2546"/>
      <c r="B441" s="1269"/>
      <c r="C441" s="2545"/>
      <c r="D441" s="2541"/>
      <c r="E441" s="2544"/>
      <c r="F441" s="2540"/>
      <c r="G441" s="2544"/>
      <c r="H441" s="2544"/>
      <c r="I441" s="2532"/>
      <c r="J441" s="2532"/>
      <c r="K441" s="2532"/>
      <c r="L441" s="2532"/>
      <c r="M441" s="2532"/>
      <c r="N441" s="2532"/>
      <c r="O441" s="2532"/>
    </row>
    <row r="442" spans="1:15" s="2531" customFormat="1" ht="12.75">
      <c r="A442" s="2549"/>
      <c r="B442" s="2549"/>
      <c r="C442" s="2545"/>
      <c r="D442" s="2541"/>
      <c r="E442" s="2544"/>
      <c r="F442" s="2540"/>
      <c r="G442" s="2544"/>
      <c r="H442" s="2544"/>
      <c r="I442" s="2532"/>
      <c r="J442" s="2532"/>
      <c r="K442" s="2532"/>
      <c r="L442" s="2532"/>
      <c r="M442" s="2532"/>
      <c r="N442" s="2532"/>
      <c r="O442" s="2532"/>
    </row>
    <row r="443" spans="1:15" s="2531" customFormat="1" ht="12.75">
      <c r="A443" s="2546"/>
      <c r="B443" s="1269"/>
      <c r="C443" s="2545"/>
      <c r="D443" s="2541"/>
      <c r="E443" s="2544"/>
      <c r="F443" s="2540"/>
      <c r="G443" s="2544"/>
      <c r="H443" s="2544"/>
      <c r="I443" s="2532"/>
      <c r="J443" s="2532"/>
      <c r="K443" s="2532"/>
      <c r="L443" s="2532"/>
      <c r="M443" s="2532"/>
      <c r="N443" s="2532"/>
      <c r="O443" s="2532"/>
    </row>
    <row r="444" spans="1:15" s="2531" customFormat="1" ht="12.75">
      <c r="A444" s="2547"/>
      <c r="B444" s="2546"/>
      <c r="C444" s="2545"/>
      <c r="D444" s="2541"/>
      <c r="E444" s="2544"/>
      <c r="F444" s="2540"/>
      <c r="G444" s="2544"/>
      <c r="H444" s="2544"/>
      <c r="I444" s="2532"/>
      <c r="J444" s="2532"/>
      <c r="K444" s="2532"/>
      <c r="L444" s="2532"/>
      <c r="M444" s="2532"/>
      <c r="N444" s="2532"/>
      <c r="O444" s="2532"/>
    </row>
    <row r="445" spans="1:15" s="2531" customFormat="1" ht="12.75">
      <c r="A445" s="2543"/>
      <c r="B445" s="2543"/>
      <c r="C445" s="2542"/>
      <c r="D445" s="2541"/>
      <c r="E445" s="2539"/>
      <c r="F445" s="2540"/>
      <c r="G445" s="2539"/>
      <c r="H445" s="2539"/>
      <c r="I445" s="2532"/>
      <c r="J445" s="2532"/>
      <c r="K445" s="2532"/>
      <c r="L445" s="2532"/>
      <c r="M445" s="2532"/>
      <c r="N445" s="2532"/>
      <c r="O445" s="2532"/>
    </row>
    <row r="446" spans="1:15" s="2531" customFormat="1" ht="12.75">
      <c r="A446" s="2538"/>
      <c r="B446" s="2538"/>
      <c r="C446" s="2537"/>
      <c r="D446" s="2536"/>
      <c r="E446" s="2536"/>
      <c r="F446" s="2536"/>
      <c r="G446" s="2536"/>
      <c r="H446" s="2536"/>
      <c r="I446" s="2532"/>
      <c r="J446" s="2532"/>
      <c r="K446" s="2532"/>
      <c r="L446" s="2532"/>
      <c r="M446" s="2532"/>
      <c r="N446" s="2532"/>
      <c r="O446" s="2532"/>
    </row>
    <row r="447" spans="1:15" s="2531" customFormat="1" ht="12.75">
      <c r="A447" s="2538"/>
      <c r="B447" s="2538"/>
      <c r="C447" s="2537"/>
      <c r="D447" s="2536"/>
      <c r="E447" s="2536"/>
      <c r="F447" s="2536"/>
      <c r="G447" s="2536"/>
      <c r="H447" s="2536"/>
      <c r="I447" s="2532"/>
      <c r="J447" s="2532"/>
      <c r="K447" s="2532"/>
      <c r="L447" s="2532"/>
      <c r="M447" s="2532"/>
      <c r="N447" s="2532"/>
      <c r="O447" s="2532"/>
    </row>
    <row r="448" spans="1:15" s="2531" customFormat="1">
      <c r="A448" s="1269"/>
      <c r="B448" s="2529"/>
      <c r="C448" s="2535"/>
      <c r="D448" s="2529"/>
      <c r="E448" s="4877"/>
      <c r="F448" s="4877"/>
      <c r="G448" s="1269"/>
      <c r="H448" s="2529"/>
      <c r="I448" s="2532"/>
      <c r="J448" s="2532"/>
      <c r="K448" s="2532"/>
      <c r="L448" s="2532"/>
      <c r="M448" s="2532"/>
      <c r="N448" s="2532"/>
      <c r="O448" s="2532"/>
    </row>
    <row r="449" spans="1:15" s="2531" customFormat="1">
      <c r="A449" s="2529"/>
      <c r="B449" s="1269"/>
      <c r="C449" s="2535"/>
      <c r="D449" s="1269"/>
      <c r="E449" s="1269"/>
      <c r="F449" s="1269"/>
      <c r="G449" s="1269"/>
      <c r="H449" s="2529"/>
      <c r="I449" s="2532"/>
      <c r="J449" s="2532"/>
      <c r="K449" s="2532"/>
      <c r="L449" s="2532"/>
      <c r="M449" s="2532"/>
      <c r="N449" s="2532"/>
      <c r="O449" s="2532"/>
    </row>
    <row r="450" spans="1:15" s="2531" customFormat="1" ht="12.75">
      <c r="A450" s="2534"/>
      <c r="B450" s="1269"/>
      <c r="C450" s="4881"/>
      <c r="D450" s="4881"/>
      <c r="E450" s="4876"/>
      <c r="F450" s="4876"/>
      <c r="G450" s="4876"/>
      <c r="H450" s="4876"/>
      <c r="I450" s="2532"/>
      <c r="J450" s="2532"/>
      <c r="K450" s="2532"/>
      <c r="L450" s="2532"/>
      <c r="M450" s="2532"/>
      <c r="N450" s="2532"/>
      <c r="O450" s="2532"/>
    </row>
    <row r="451" spans="1:15" s="2531" customFormat="1" ht="12.75">
      <c r="B451" s="2533"/>
      <c r="C451" s="4874"/>
      <c r="D451" s="4874"/>
      <c r="E451" s="4875"/>
      <c r="F451" s="4875"/>
      <c r="G451" s="4875"/>
      <c r="H451" s="4875"/>
      <c r="I451" s="2532"/>
      <c r="J451" s="2532"/>
      <c r="K451" s="2532"/>
      <c r="L451" s="2532"/>
      <c r="M451" s="2532"/>
      <c r="N451" s="2532"/>
      <c r="O451" s="2532"/>
    </row>
    <row r="452" spans="1:15" s="2531" customFormat="1" ht="12.75">
      <c r="B452" s="2533"/>
      <c r="D452" s="2566"/>
      <c r="E452" s="2566"/>
      <c r="F452" s="2566"/>
      <c r="G452" s="2566"/>
      <c r="H452" s="2566"/>
      <c r="I452" s="2532"/>
      <c r="J452" s="2532"/>
      <c r="K452" s="2532"/>
      <c r="L452" s="2532"/>
      <c r="M452" s="2532"/>
      <c r="N452" s="2532"/>
      <c r="O452" s="2532"/>
    </row>
    <row r="453" spans="1:15" s="2531" customFormat="1" ht="12.75">
      <c r="B453" s="2533"/>
      <c r="D453" s="2566"/>
      <c r="E453" s="2566"/>
      <c r="F453" s="2566"/>
      <c r="G453" s="2566"/>
      <c r="H453" s="2566"/>
      <c r="I453" s="2532"/>
      <c r="J453" s="2532"/>
      <c r="K453" s="2532"/>
      <c r="L453" s="2532"/>
      <c r="M453" s="2532"/>
      <c r="N453" s="2532"/>
      <c r="O453" s="2532"/>
    </row>
    <row r="454" spans="1:15" s="2531" customFormat="1" ht="12.75">
      <c r="B454" s="2533"/>
      <c r="D454" s="2566"/>
      <c r="E454" s="2566"/>
      <c r="F454" s="2566"/>
      <c r="G454" s="2566"/>
      <c r="H454" s="2566"/>
      <c r="I454" s="2532"/>
      <c r="J454" s="2532"/>
      <c r="K454" s="2532"/>
      <c r="L454" s="2532"/>
      <c r="M454" s="2532"/>
      <c r="N454" s="2532"/>
      <c r="O454" s="2532"/>
    </row>
    <row r="455" spans="1:15" s="2531" customFormat="1" ht="12.75">
      <c r="B455" s="2533"/>
      <c r="D455" s="2566"/>
      <c r="E455" s="2566"/>
      <c r="F455" s="2566"/>
      <c r="G455" s="2566"/>
      <c r="H455" s="2566"/>
      <c r="I455" s="2532"/>
      <c r="J455" s="2532"/>
      <c r="K455" s="2532"/>
      <c r="L455" s="2532"/>
      <c r="M455" s="2532"/>
      <c r="N455" s="2532"/>
      <c r="O455" s="2532"/>
    </row>
    <row r="456" spans="1:15" s="2531" customFormat="1" ht="12.75">
      <c r="B456" s="2533"/>
      <c r="D456" s="2566"/>
      <c r="E456" s="2566"/>
      <c r="F456" s="2566"/>
      <c r="G456" s="2566"/>
      <c r="H456" s="2566"/>
      <c r="I456" s="2532"/>
      <c r="J456" s="2532"/>
      <c r="K456" s="2532"/>
      <c r="L456" s="2532"/>
      <c r="M456" s="2532"/>
      <c r="N456" s="2532"/>
      <c r="O456" s="2532"/>
    </row>
    <row r="457" spans="1:15" s="2531" customFormat="1" ht="12.75">
      <c r="B457" s="2533"/>
      <c r="D457" s="2566"/>
      <c r="E457" s="2566"/>
      <c r="F457" s="2566"/>
      <c r="G457" s="2566"/>
      <c r="H457" s="2566"/>
      <c r="I457" s="2532"/>
      <c r="J457" s="2532"/>
      <c r="K457" s="2532"/>
      <c r="L457" s="2532"/>
      <c r="M457" s="2532"/>
      <c r="N457" s="2532"/>
      <c r="O457" s="2532"/>
    </row>
    <row r="458" spans="1:15" s="2531" customFormat="1" ht="12.75">
      <c r="B458" s="2533"/>
      <c r="D458" s="2566"/>
      <c r="E458" s="2566"/>
      <c r="F458" s="2566"/>
      <c r="G458" s="2566"/>
      <c r="H458" s="2566"/>
      <c r="I458" s="2532"/>
      <c r="J458" s="2532"/>
      <c r="K458" s="2532"/>
      <c r="L458" s="2532"/>
      <c r="M458" s="2532"/>
      <c r="N458" s="2532"/>
      <c r="O458" s="2532"/>
    </row>
    <row r="459" spans="1:15" s="2531" customFormat="1" ht="12.75">
      <c r="B459" s="2533"/>
      <c r="D459" s="2566"/>
      <c r="E459" s="2566"/>
      <c r="F459" s="2566"/>
      <c r="G459" s="2566"/>
      <c r="H459" s="2566"/>
      <c r="I459" s="2532"/>
      <c r="J459" s="2532"/>
      <c r="K459" s="2532"/>
      <c r="L459" s="2532"/>
      <c r="M459" s="2532"/>
      <c r="N459" s="2532"/>
      <c r="O459" s="2532"/>
    </row>
    <row r="460" spans="1:15" s="2531" customFormat="1" ht="12.75">
      <c r="B460" s="2533"/>
      <c r="D460" s="2566"/>
      <c r="E460" s="2566"/>
      <c r="F460" s="2566"/>
      <c r="G460" s="2566"/>
      <c r="H460" s="2566"/>
      <c r="I460" s="2532"/>
      <c r="J460" s="2532"/>
      <c r="K460" s="2532"/>
      <c r="L460" s="2532"/>
      <c r="M460" s="2532"/>
      <c r="N460" s="2532"/>
      <c r="O460" s="2532"/>
    </row>
    <row r="461" spans="1:15" s="2531" customFormat="1" ht="12.75">
      <c r="B461" s="2533"/>
      <c r="D461" s="2566"/>
      <c r="E461" s="2566"/>
      <c r="F461" s="2566"/>
      <c r="G461" s="2566"/>
      <c r="H461" s="2566"/>
      <c r="I461" s="2532"/>
      <c r="J461" s="2532"/>
      <c r="K461" s="2532"/>
      <c r="L461" s="2532"/>
      <c r="M461" s="2532"/>
      <c r="N461" s="2532"/>
      <c r="O461" s="2532"/>
    </row>
    <row r="462" spans="1:15" s="2531" customFormat="1" ht="12.75">
      <c r="B462" s="2533"/>
      <c r="D462" s="2566"/>
      <c r="E462" s="2566"/>
      <c r="F462" s="2566"/>
      <c r="G462" s="2566"/>
      <c r="H462" s="2566"/>
      <c r="I462" s="2532"/>
      <c r="J462" s="2532"/>
      <c r="K462" s="2532"/>
      <c r="L462" s="2532"/>
      <c r="M462" s="2532"/>
      <c r="N462" s="2532"/>
      <c r="O462" s="2532"/>
    </row>
    <row r="463" spans="1:15" s="2531" customFormat="1" ht="12.75">
      <c r="B463" s="2533"/>
      <c r="D463" s="2566"/>
      <c r="E463" s="2566"/>
      <c r="F463" s="2566"/>
      <c r="G463" s="2566"/>
      <c r="H463" s="2566"/>
      <c r="I463" s="2532"/>
      <c r="J463" s="2532"/>
      <c r="K463" s="2532"/>
      <c r="L463" s="2532"/>
      <c r="M463" s="2532"/>
      <c r="N463" s="2532"/>
      <c r="O463" s="2532"/>
    </row>
    <row r="464" spans="1:15" s="2531" customFormat="1" ht="12.75">
      <c r="B464" s="2533"/>
      <c r="D464" s="2566"/>
      <c r="E464" s="2566"/>
      <c r="F464" s="2566"/>
      <c r="G464" s="2566"/>
      <c r="H464" s="2566"/>
      <c r="I464" s="2532"/>
      <c r="J464" s="2532"/>
      <c r="K464" s="2532"/>
      <c r="L464" s="2532"/>
      <c r="M464" s="2532"/>
      <c r="N464" s="2532"/>
      <c r="O464" s="2532"/>
    </row>
    <row r="465" spans="1:15" s="2531" customFormat="1" ht="12.75">
      <c r="B465" s="2533"/>
      <c r="D465" s="2566"/>
      <c r="E465" s="2566"/>
      <c r="F465" s="2566"/>
      <c r="G465" s="2566"/>
      <c r="H465" s="2566"/>
      <c r="I465" s="2532"/>
      <c r="J465" s="2532"/>
      <c r="K465" s="2532"/>
      <c r="L465" s="2532"/>
      <c r="M465" s="2532"/>
      <c r="N465" s="2532"/>
      <c r="O465" s="2532"/>
    </row>
    <row r="466" spans="1:15" s="2531" customFormat="1" ht="12.75">
      <c r="B466" s="2533"/>
      <c r="D466" s="2566"/>
      <c r="E466" s="2566"/>
      <c r="F466" s="2566"/>
      <c r="G466" s="2566"/>
      <c r="H466" s="2566"/>
      <c r="I466" s="2532"/>
      <c r="J466" s="2532"/>
      <c r="K466" s="2532"/>
      <c r="L466" s="2532"/>
      <c r="M466" s="2532"/>
      <c r="N466" s="2532"/>
      <c r="O466" s="2532"/>
    </row>
    <row r="467" spans="1:15" s="2531" customFormat="1" ht="12.75">
      <c r="B467" s="2533"/>
      <c r="D467" s="2566"/>
      <c r="E467" s="2566"/>
      <c r="F467" s="2566"/>
      <c r="G467" s="2566"/>
      <c r="H467" s="2566"/>
      <c r="I467" s="2532"/>
      <c r="J467" s="2532"/>
      <c r="K467" s="2532"/>
      <c r="L467" s="2532"/>
      <c r="M467" s="2532"/>
      <c r="N467" s="2532"/>
      <c r="O467" s="2532"/>
    </row>
    <row r="468" spans="1:15" s="2531" customFormat="1" ht="12.75">
      <c r="B468" s="2533"/>
      <c r="D468" s="2566"/>
      <c r="E468" s="2566"/>
      <c r="F468" s="2566"/>
      <c r="G468" s="2566"/>
      <c r="H468" s="2566"/>
      <c r="I468" s="2532"/>
      <c r="J468" s="2532"/>
      <c r="K468" s="2532"/>
      <c r="L468" s="2532"/>
      <c r="M468" s="2532"/>
      <c r="N468" s="2532"/>
      <c r="O468" s="2532"/>
    </row>
    <row r="469" spans="1:15" s="2531" customFormat="1" ht="12.75">
      <c r="B469" s="2533"/>
      <c r="D469" s="2566"/>
      <c r="E469" s="2566"/>
      <c r="F469" s="2566"/>
      <c r="G469" s="2566"/>
      <c r="H469" s="2566"/>
      <c r="I469" s="2532"/>
      <c r="J469" s="2532"/>
      <c r="K469" s="2532"/>
      <c r="L469" s="2532"/>
      <c r="M469" s="2532"/>
      <c r="N469" s="2532"/>
      <c r="O469" s="2532"/>
    </row>
    <row r="470" spans="1:15" s="2531" customFormat="1" ht="12.75">
      <c r="B470" s="2533"/>
      <c r="D470" s="2566"/>
      <c r="E470" s="2566"/>
      <c r="F470" s="2566"/>
      <c r="G470" s="2566"/>
      <c r="H470" s="2566"/>
      <c r="I470" s="2532"/>
      <c r="J470" s="2532"/>
      <c r="K470" s="2532"/>
      <c r="L470" s="2532"/>
      <c r="M470" s="2532"/>
      <c r="N470" s="2532"/>
      <c r="O470" s="2532"/>
    </row>
    <row r="471" spans="1:15" s="2529" customFormat="1">
      <c r="I471" s="2530"/>
      <c r="J471" s="2530"/>
      <c r="K471" s="2530"/>
      <c r="L471" s="2530"/>
      <c r="M471" s="2530"/>
      <c r="N471" s="2530"/>
      <c r="O471" s="2530"/>
    </row>
    <row r="472" spans="1:15" s="2529" customFormat="1">
      <c r="I472" s="2530"/>
      <c r="J472" s="2530"/>
      <c r="K472" s="2530"/>
      <c r="L472" s="2530"/>
      <c r="M472" s="2530"/>
      <c r="N472" s="2530"/>
      <c r="O472" s="2530"/>
    </row>
    <row r="473" spans="1:15" s="2529" customFormat="1">
      <c r="I473" s="2530"/>
      <c r="J473" s="2530"/>
      <c r="K473" s="2530"/>
      <c r="L473" s="2530"/>
      <c r="M473" s="2530"/>
      <c r="N473" s="2530"/>
      <c r="O473" s="2530"/>
    </row>
    <row r="474" spans="1:15" s="2529" customFormat="1">
      <c r="A474" s="4876"/>
      <c r="B474" s="4876"/>
      <c r="C474" s="4876"/>
      <c r="D474" s="4876"/>
      <c r="E474" s="4876"/>
      <c r="F474" s="4876"/>
      <c r="G474" s="4876"/>
      <c r="H474" s="4876"/>
      <c r="I474" s="2530"/>
      <c r="J474" s="2530"/>
      <c r="K474" s="2530"/>
      <c r="L474" s="2530"/>
      <c r="M474" s="2530"/>
      <c r="N474" s="2530"/>
      <c r="O474" s="2530"/>
    </row>
    <row r="475" spans="1:15" s="2529" customFormat="1">
      <c r="A475" s="4877"/>
      <c r="B475" s="4877"/>
      <c r="C475" s="4877"/>
      <c r="D475" s="4877"/>
      <c r="E475" s="4877"/>
      <c r="F475" s="4877"/>
      <c r="G475" s="4877"/>
      <c r="H475" s="4877"/>
      <c r="I475" s="2530"/>
      <c r="J475" s="2530"/>
      <c r="K475" s="2530"/>
      <c r="L475" s="2530"/>
      <c r="M475" s="2530"/>
      <c r="N475" s="2530"/>
      <c r="O475" s="2530"/>
    </row>
    <row r="476" spans="1:15" s="2529" customFormat="1">
      <c r="I476" s="2530"/>
      <c r="J476" s="2530"/>
      <c r="K476" s="2530"/>
      <c r="L476" s="2530"/>
      <c r="M476" s="2530"/>
      <c r="N476" s="2530"/>
      <c r="O476" s="2530"/>
    </row>
    <row r="477" spans="1:15" s="2531" customFormat="1">
      <c r="A477" s="2568"/>
      <c r="B477" s="2567"/>
      <c r="C477" s="2529"/>
      <c r="D477" s="2566"/>
      <c r="E477" s="2566"/>
      <c r="F477" s="2566"/>
      <c r="G477" s="2566"/>
      <c r="H477" s="2566"/>
      <c r="I477" s="2532"/>
      <c r="J477" s="2532"/>
      <c r="K477" s="2532"/>
      <c r="L477" s="2532"/>
      <c r="M477" s="2532"/>
      <c r="N477" s="2532"/>
      <c r="O477" s="2532"/>
    </row>
    <row r="478" spans="1:15" s="2531" customFormat="1" ht="12.75">
      <c r="A478" s="1269"/>
      <c r="B478" s="1269"/>
      <c r="C478" s="2542"/>
      <c r="D478" s="2541"/>
      <c r="E478" s="2561"/>
      <c r="F478" s="2540"/>
      <c r="G478" s="2565"/>
      <c r="H478" s="2561"/>
      <c r="I478" s="2532"/>
      <c r="J478" s="2532"/>
      <c r="K478" s="2532"/>
      <c r="L478" s="2532"/>
      <c r="M478" s="2532"/>
      <c r="N478" s="2532"/>
      <c r="O478" s="2532"/>
    </row>
    <row r="479" spans="1:15" s="2531" customFormat="1" ht="23.25">
      <c r="A479" s="2564"/>
      <c r="B479" s="2564"/>
      <c r="C479" s="2563"/>
      <c r="D479" s="2541"/>
      <c r="E479" s="2561"/>
      <c r="F479" s="2540"/>
      <c r="G479" s="2562"/>
      <c r="H479" s="2561"/>
      <c r="I479" s="2532"/>
      <c r="J479" s="2532"/>
      <c r="K479" s="2532"/>
      <c r="L479" s="2532"/>
      <c r="M479" s="2532"/>
      <c r="N479" s="2532"/>
      <c r="O479" s="2532"/>
    </row>
    <row r="480" spans="1:15" s="2531" customFormat="1" ht="12.75">
      <c r="A480" s="4879"/>
      <c r="B480" s="4879"/>
      <c r="C480" s="2559"/>
      <c r="D480" s="2560"/>
      <c r="E480" s="4880"/>
      <c r="F480" s="4880"/>
      <c r="G480" s="4880"/>
      <c r="H480" s="2557"/>
      <c r="I480" s="2532"/>
      <c r="J480" s="2532"/>
      <c r="K480" s="2532"/>
      <c r="L480" s="2532"/>
      <c r="M480" s="2532"/>
      <c r="N480" s="2532"/>
      <c r="O480" s="2532"/>
    </row>
    <row r="481" spans="1:15" s="2531" customFormat="1" ht="12.75">
      <c r="A481" s="4879"/>
      <c r="B481" s="4879"/>
      <c r="C481" s="2559"/>
      <c r="D481" s="2558"/>
      <c r="E481" s="2558"/>
      <c r="F481" s="2558"/>
      <c r="G481" s="2558"/>
      <c r="H481" s="2558"/>
      <c r="I481" s="2532"/>
      <c r="J481" s="2532"/>
      <c r="K481" s="2532"/>
      <c r="L481" s="2532"/>
      <c r="M481" s="2532"/>
      <c r="N481" s="2532"/>
      <c r="O481" s="2532"/>
    </row>
    <row r="482" spans="1:15" s="2531" customFormat="1" ht="12.75">
      <c r="A482" s="4879"/>
      <c r="B482" s="4879"/>
      <c r="C482" s="2557"/>
      <c r="D482" s="2555"/>
      <c r="E482" s="2555"/>
      <c r="F482" s="2555"/>
      <c r="G482" s="2556"/>
      <c r="H482" s="2555"/>
      <c r="I482" s="2532"/>
      <c r="J482" s="2532"/>
      <c r="K482" s="2532"/>
      <c r="L482" s="2532"/>
      <c r="M482" s="2532"/>
      <c r="N482" s="2532"/>
      <c r="O482" s="2532"/>
    </row>
    <row r="483" spans="1:15" s="2531" customFormat="1" ht="12.75">
      <c r="A483" s="2554"/>
      <c r="B483" s="2553"/>
      <c r="C483" s="2552"/>
      <c r="D483" s="2551"/>
      <c r="E483" s="2551"/>
      <c r="F483" s="2551"/>
      <c r="G483" s="2551"/>
      <c r="H483" s="2551"/>
      <c r="I483" s="2532"/>
      <c r="J483" s="2532"/>
      <c r="K483" s="2532"/>
      <c r="L483" s="2532"/>
      <c r="M483" s="2532"/>
      <c r="N483" s="2532"/>
      <c r="O483" s="2532"/>
    </row>
    <row r="484" spans="1:15" s="2531" customFormat="1" ht="12.75">
      <c r="A484" s="2549"/>
      <c r="B484" s="2549"/>
      <c r="C484" s="2542"/>
      <c r="D484" s="2548"/>
      <c r="E484" s="2548"/>
      <c r="F484" s="2540"/>
      <c r="G484" s="2548"/>
      <c r="H484" s="2548"/>
      <c r="I484" s="2532"/>
      <c r="J484" s="2532"/>
      <c r="K484" s="2532"/>
      <c r="L484" s="2532"/>
      <c r="M484" s="2532"/>
      <c r="N484" s="2532"/>
      <c r="O484" s="2532"/>
    </row>
    <row r="485" spans="1:15" s="2531" customFormat="1" ht="12.75">
      <c r="A485" s="2549"/>
      <c r="B485" s="2549"/>
      <c r="C485" s="2545"/>
      <c r="D485" s="2548"/>
      <c r="E485" s="2548"/>
      <c r="F485" s="2540"/>
      <c r="G485" s="2548"/>
      <c r="H485" s="2548"/>
      <c r="I485" s="2532"/>
      <c r="J485" s="2532"/>
      <c r="K485" s="2532"/>
      <c r="L485" s="2532"/>
      <c r="M485" s="2532"/>
      <c r="N485" s="2532"/>
      <c r="O485" s="2532"/>
    </row>
    <row r="486" spans="1:15" s="2531" customFormat="1" ht="12.75">
      <c r="A486" s="2547"/>
      <c r="B486" s="2546"/>
      <c r="C486" s="2545"/>
      <c r="D486" s="2541"/>
      <c r="E486" s="2544"/>
      <c r="F486" s="2540"/>
      <c r="G486" s="2544"/>
      <c r="H486" s="2544"/>
      <c r="I486" s="2532"/>
      <c r="J486" s="2532"/>
      <c r="K486" s="2532"/>
      <c r="L486" s="2532"/>
      <c r="M486" s="2532"/>
      <c r="N486" s="2532"/>
      <c r="O486" s="2532"/>
    </row>
    <row r="487" spans="1:15" s="2531" customFormat="1" ht="12.75">
      <c r="A487" s="2543"/>
      <c r="B487" s="2543"/>
      <c r="C487" s="2542"/>
      <c r="D487" s="2541"/>
      <c r="E487" s="2539"/>
      <c r="F487" s="2540"/>
      <c r="G487" s="2539"/>
      <c r="H487" s="2539"/>
      <c r="I487" s="2532"/>
      <c r="J487" s="2532"/>
      <c r="K487" s="2532"/>
      <c r="L487" s="2532"/>
      <c r="M487" s="2532"/>
      <c r="N487" s="2532"/>
      <c r="O487" s="2532"/>
    </row>
    <row r="488" spans="1:15" s="2531" customFormat="1" ht="12.75">
      <c r="A488" s="2538"/>
      <c r="B488" s="2538"/>
      <c r="C488" s="2537"/>
      <c r="D488" s="2536"/>
      <c r="E488" s="2536"/>
      <c r="F488" s="2536"/>
      <c r="G488" s="2536"/>
      <c r="H488" s="2536"/>
      <c r="I488" s="2532"/>
      <c r="J488" s="2532"/>
      <c r="K488" s="2532"/>
      <c r="L488" s="2532"/>
      <c r="M488" s="2532"/>
      <c r="N488" s="2532"/>
      <c r="O488" s="2532"/>
    </row>
    <row r="489" spans="1:15" s="2531" customFormat="1" ht="12.75">
      <c r="A489" s="2538"/>
      <c r="B489" s="2538"/>
      <c r="C489" s="2537"/>
      <c r="D489" s="2536"/>
      <c r="E489" s="2536"/>
      <c r="F489" s="2536"/>
      <c r="G489" s="2536"/>
      <c r="H489" s="2536"/>
      <c r="I489" s="2532"/>
      <c r="J489" s="2532"/>
      <c r="K489" s="2532"/>
      <c r="L489" s="2532"/>
      <c r="M489" s="2532"/>
      <c r="N489" s="2532"/>
      <c r="O489" s="2532"/>
    </row>
    <row r="490" spans="1:15" s="2531" customFormat="1">
      <c r="A490" s="1269"/>
      <c r="B490" s="2529"/>
      <c r="C490" s="2535"/>
      <c r="D490" s="2529"/>
      <c r="E490" s="4877"/>
      <c r="F490" s="4877"/>
      <c r="G490" s="1269"/>
      <c r="H490" s="2529"/>
      <c r="I490" s="2532"/>
      <c r="J490" s="2532"/>
      <c r="K490" s="2532"/>
      <c r="L490" s="2532"/>
      <c r="M490" s="2532"/>
      <c r="N490" s="2532"/>
      <c r="O490" s="2532"/>
    </row>
    <row r="491" spans="1:15" s="2531" customFormat="1">
      <c r="A491" s="2529"/>
      <c r="B491" s="1269"/>
      <c r="C491" s="2535"/>
      <c r="D491" s="1269"/>
      <c r="E491" s="1269"/>
      <c r="F491" s="1269"/>
      <c r="G491" s="1269"/>
      <c r="H491" s="2529"/>
      <c r="I491" s="2532"/>
      <c r="J491" s="2532"/>
      <c r="K491" s="2532"/>
      <c r="L491" s="2532"/>
      <c r="M491" s="2532"/>
      <c r="N491" s="2532"/>
      <c r="O491" s="2532"/>
    </row>
    <row r="492" spans="1:15" s="2531" customFormat="1" ht="12.75">
      <c r="A492" s="2534"/>
      <c r="B492" s="1269"/>
      <c r="C492" s="4881"/>
      <c r="D492" s="4881"/>
      <c r="E492" s="4876"/>
      <c r="F492" s="4876"/>
      <c r="G492" s="4876"/>
      <c r="H492" s="4876"/>
      <c r="I492" s="2532"/>
      <c r="J492" s="2532"/>
      <c r="K492" s="2532"/>
      <c r="L492" s="2532"/>
      <c r="M492" s="2532"/>
      <c r="N492" s="2532"/>
      <c r="O492" s="2532"/>
    </row>
    <row r="493" spans="1:15" s="2531" customFormat="1" ht="12.75">
      <c r="B493" s="2533"/>
      <c r="C493" s="4874"/>
      <c r="D493" s="4874"/>
      <c r="E493" s="4875"/>
      <c r="F493" s="4875"/>
      <c r="G493" s="4875"/>
      <c r="H493" s="4875"/>
      <c r="I493" s="2532"/>
      <c r="J493" s="2532"/>
      <c r="K493" s="2532"/>
      <c r="L493" s="2532"/>
      <c r="M493" s="2532"/>
      <c r="N493" s="2532"/>
      <c r="O493" s="2532"/>
    </row>
    <row r="494" spans="1:15" s="2531" customFormat="1" ht="7.5" customHeight="1">
      <c r="B494" s="2533"/>
      <c r="D494" s="2566"/>
      <c r="E494" s="2566"/>
      <c r="F494" s="2566"/>
      <c r="G494" s="2566"/>
      <c r="H494" s="2566"/>
      <c r="I494" s="2532"/>
      <c r="J494" s="2532"/>
      <c r="K494" s="2532"/>
      <c r="L494" s="2532"/>
      <c r="M494" s="2532"/>
      <c r="N494" s="2532"/>
      <c r="O494" s="2532"/>
    </row>
    <row r="495" spans="1:15" s="2531" customFormat="1" ht="7.5" customHeight="1">
      <c r="B495" s="2533"/>
      <c r="D495" s="2566"/>
      <c r="E495" s="2566"/>
      <c r="F495" s="2566"/>
      <c r="G495" s="2566"/>
      <c r="H495" s="2566"/>
      <c r="I495" s="2532"/>
      <c r="J495" s="2532"/>
      <c r="K495" s="2532"/>
      <c r="L495" s="2532"/>
      <c r="M495" s="2532"/>
      <c r="N495" s="2532"/>
      <c r="O495" s="2532"/>
    </row>
    <row r="496" spans="1:15" s="2531" customFormat="1" ht="7.5" customHeight="1">
      <c r="B496" s="2533"/>
      <c r="D496" s="2566"/>
      <c r="E496" s="2566"/>
      <c r="F496" s="2566"/>
      <c r="G496" s="2566"/>
      <c r="H496" s="2566"/>
      <c r="I496" s="2532"/>
      <c r="J496" s="2532"/>
      <c r="K496" s="2532"/>
      <c r="L496" s="2532"/>
      <c r="M496" s="2532"/>
      <c r="N496" s="2532"/>
      <c r="O496" s="2532"/>
    </row>
    <row r="497" spans="2:15" s="2531" customFormat="1" ht="7.5" customHeight="1">
      <c r="B497" s="2533"/>
      <c r="D497" s="2566"/>
      <c r="E497" s="2566"/>
      <c r="F497" s="2566"/>
      <c r="G497" s="2566"/>
      <c r="H497" s="2566"/>
      <c r="I497" s="2532"/>
      <c r="J497" s="2532"/>
      <c r="K497" s="2532"/>
      <c r="L497" s="2532"/>
      <c r="M497" s="2532"/>
      <c r="N497" s="2532"/>
      <c r="O497" s="2532"/>
    </row>
    <row r="498" spans="2:15" s="2531" customFormat="1" ht="7.5" customHeight="1">
      <c r="B498" s="2533"/>
      <c r="D498" s="2566"/>
      <c r="E498" s="2566"/>
      <c r="F498" s="2566"/>
      <c r="G498" s="2566"/>
      <c r="H498" s="2566"/>
      <c r="I498" s="2532"/>
      <c r="J498" s="2532"/>
      <c r="K498" s="2532"/>
      <c r="L498" s="2532"/>
      <c r="M498" s="2532"/>
      <c r="N498" s="2532"/>
      <c r="O498" s="2532"/>
    </row>
    <row r="499" spans="2:15" s="2531" customFormat="1" ht="7.5" customHeight="1">
      <c r="B499" s="2533"/>
      <c r="D499" s="2566"/>
      <c r="E499" s="2566"/>
      <c r="F499" s="2566"/>
      <c r="G499" s="2566"/>
      <c r="H499" s="2566"/>
      <c r="I499" s="2532"/>
      <c r="J499" s="2532"/>
      <c r="K499" s="2532"/>
      <c r="L499" s="2532"/>
      <c r="M499" s="2532"/>
      <c r="N499" s="2532"/>
      <c r="O499" s="2532"/>
    </row>
    <row r="500" spans="2:15" s="2531" customFormat="1" ht="7.5" customHeight="1">
      <c r="B500" s="2533"/>
      <c r="D500" s="2566"/>
      <c r="E500" s="2566"/>
      <c r="F500" s="2566"/>
      <c r="G500" s="2566"/>
      <c r="H500" s="2566"/>
      <c r="I500" s="2532"/>
      <c r="J500" s="2532"/>
      <c r="K500" s="2532"/>
      <c r="L500" s="2532"/>
      <c r="M500" s="2532"/>
      <c r="N500" s="2532"/>
      <c r="O500" s="2532"/>
    </row>
    <row r="501" spans="2:15" s="2531" customFormat="1" ht="7.5" customHeight="1">
      <c r="B501" s="2533"/>
      <c r="D501" s="2566"/>
      <c r="E501" s="2566"/>
      <c r="F501" s="2566"/>
      <c r="G501" s="2566"/>
      <c r="H501" s="2566"/>
      <c r="I501" s="2532"/>
      <c r="J501" s="2532"/>
      <c r="K501" s="2532"/>
      <c r="L501" s="2532"/>
      <c r="M501" s="2532"/>
      <c r="N501" s="2532"/>
      <c r="O501" s="2532"/>
    </row>
    <row r="502" spans="2:15" s="2531" customFormat="1" ht="7.5" customHeight="1">
      <c r="B502" s="2533"/>
      <c r="D502" s="2566"/>
      <c r="E502" s="2566"/>
      <c r="F502" s="2566"/>
      <c r="G502" s="2566"/>
      <c r="H502" s="2566"/>
      <c r="I502" s="2532"/>
      <c r="J502" s="2532"/>
      <c r="K502" s="2532"/>
      <c r="L502" s="2532"/>
      <c r="M502" s="2532"/>
      <c r="N502" s="2532"/>
      <c r="O502" s="2532"/>
    </row>
    <row r="503" spans="2:15" s="2531" customFormat="1" ht="7.5" customHeight="1">
      <c r="B503" s="2533"/>
      <c r="D503" s="2566"/>
      <c r="E503" s="2566"/>
      <c r="F503" s="2566"/>
      <c r="G503" s="2566"/>
      <c r="H503" s="2566"/>
      <c r="I503" s="2532"/>
      <c r="J503" s="2532"/>
      <c r="K503" s="2532"/>
      <c r="L503" s="2532"/>
      <c r="M503" s="2532"/>
      <c r="N503" s="2532"/>
      <c r="O503" s="2532"/>
    </row>
    <row r="504" spans="2:15" s="2531" customFormat="1" ht="7.5" customHeight="1">
      <c r="B504" s="2533"/>
      <c r="D504" s="2566"/>
      <c r="E504" s="2566"/>
      <c r="F504" s="2566"/>
      <c r="G504" s="2566"/>
      <c r="H504" s="2566"/>
      <c r="I504" s="2532"/>
      <c r="J504" s="2532"/>
      <c r="K504" s="2532"/>
      <c r="L504" s="2532"/>
      <c r="M504" s="2532"/>
      <c r="N504" s="2532"/>
      <c r="O504" s="2532"/>
    </row>
    <row r="505" spans="2:15" s="2531" customFormat="1" ht="7.5" customHeight="1">
      <c r="B505" s="2533"/>
      <c r="D505" s="2566"/>
      <c r="E505" s="2566"/>
      <c r="F505" s="2566"/>
      <c r="G505" s="2566"/>
      <c r="H505" s="2566"/>
      <c r="I505" s="2532"/>
      <c r="J505" s="2532"/>
      <c r="K505" s="2532"/>
      <c r="L505" s="2532"/>
      <c r="M505" s="2532"/>
      <c r="N505" s="2532"/>
      <c r="O505" s="2532"/>
    </row>
    <row r="506" spans="2:15" s="2531" customFormat="1" ht="7.5" customHeight="1">
      <c r="B506" s="2533"/>
      <c r="D506" s="2566"/>
      <c r="E506" s="2566"/>
      <c r="F506" s="2566"/>
      <c r="G506" s="2566"/>
      <c r="H506" s="2566"/>
      <c r="I506" s="2532"/>
      <c r="J506" s="2532"/>
      <c r="K506" s="2532"/>
      <c r="L506" s="2532"/>
      <c r="M506" s="2532"/>
      <c r="N506" s="2532"/>
      <c r="O506" s="2532"/>
    </row>
    <row r="507" spans="2:15" s="2531" customFormat="1" ht="7.5" customHeight="1">
      <c r="B507" s="2533"/>
      <c r="D507" s="2566"/>
      <c r="E507" s="2566"/>
      <c r="F507" s="2566"/>
      <c r="G507" s="2566"/>
      <c r="H507" s="2566"/>
      <c r="I507" s="2532"/>
      <c r="J507" s="2532"/>
      <c r="K507" s="2532"/>
      <c r="L507" s="2532"/>
      <c r="M507" s="2532"/>
      <c r="N507" s="2532"/>
      <c r="O507" s="2532"/>
    </row>
    <row r="508" spans="2:15" s="2531" customFormat="1" ht="7.5" customHeight="1">
      <c r="B508" s="2533"/>
      <c r="D508" s="2566"/>
      <c r="E508" s="2566"/>
      <c r="F508" s="2566"/>
      <c r="G508" s="2566"/>
      <c r="H508" s="2566"/>
      <c r="I508" s="2532"/>
      <c r="J508" s="2532"/>
      <c r="K508" s="2532"/>
      <c r="L508" s="2532"/>
      <c r="M508" s="2532"/>
      <c r="N508" s="2532"/>
      <c r="O508" s="2532"/>
    </row>
    <row r="509" spans="2:15" s="2531" customFormat="1" ht="7.5" customHeight="1">
      <c r="B509" s="2533"/>
      <c r="D509" s="2566"/>
      <c r="E509" s="2566"/>
      <c r="F509" s="2566"/>
      <c r="G509" s="2566"/>
      <c r="H509" s="2566"/>
      <c r="I509" s="2532"/>
      <c r="J509" s="2532"/>
      <c r="K509" s="2532"/>
      <c r="L509" s="2532"/>
      <c r="M509" s="2532"/>
      <c r="N509" s="2532"/>
      <c r="O509" s="2532"/>
    </row>
    <row r="510" spans="2:15" s="2531" customFormat="1" ht="7.5" customHeight="1">
      <c r="B510" s="2533"/>
      <c r="D510" s="2566"/>
      <c r="E510" s="2566"/>
      <c r="F510" s="2566"/>
      <c r="G510" s="2566"/>
      <c r="H510" s="2566"/>
      <c r="I510" s="2532"/>
      <c r="J510" s="2532"/>
      <c r="K510" s="2532"/>
      <c r="L510" s="2532"/>
      <c r="M510" s="2532"/>
      <c r="N510" s="2532"/>
      <c r="O510" s="2532"/>
    </row>
    <row r="511" spans="2:15" s="2531" customFormat="1" ht="7.5" customHeight="1">
      <c r="B511" s="2533"/>
      <c r="D511" s="2566"/>
      <c r="E511" s="2566"/>
      <c r="F511" s="2566"/>
      <c r="G511" s="2566"/>
      <c r="H511" s="2566"/>
      <c r="I511" s="2532"/>
      <c r="J511" s="2532"/>
      <c r="K511" s="2532"/>
      <c r="L511" s="2532"/>
      <c r="M511" s="2532"/>
      <c r="N511" s="2532"/>
      <c r="O511" s="2532"/>
    </row>
    <row r="512" spans="2:15" s="2531" customFormat="1" ht="7.5" customHeight="1">
      <c r="B512" s="2533"/>
      <c r="D512" s="2566"/>
      <c r="E512" s="2566"/>
      <c r="F512" s="2566"/>
      <c r="G512" s="2566"/>
      <c r="H512" s="2566"/>
      <c r="I512" s="2532"/>
      <c r="J512" s="2532"/>
      <c r="K512" s="2532"/>
      <c r="L512" s="2532"/>
      <c r="M512" s="2532"/>
      <c r="N512" s="2532"/>
      <c r="O512" s="2532"/>
    </row>
    <row r="513" spans="2:15" s="2531" customFormat="1" ht="7.5" customHeight="1">
      <c r="B513" s="2533"/>
      <c r="D513" s="2566"/>
      <c r="E513" s="2566"/>
      <c r="F513" s="2566"/>
      <c r="G513" s="2566"/>
      <c r="H513" s="2566"/>
      <c r="I513" s="2532"/>
      <c r="J513" s="2532"/>
      <c r="K513" s="2532"/>
      <c r="L513" s="2532"/>
      <c r="M513" s="2532"/>
      <c r="N513" s="2532"/>
      <c r="O513" s="2532"/>
    </row>
    <row r="514" spans="2:15" s="2531" customFormat="1" ht="7.5" customHeight="1">
      <c r="B514" s="2533"/>
      <c r="D514" s="2566"/>
      <c r="E514" s="2566"/>
      <c r="F514" s="2566"/>
      <c r="G514" s="2566"/>
      <c r="H514" s="2566"/>
      <c r="I514" s="2532"/>
      <c r="J514" s="2532"/>
      <c r="K514" s="2532"/>
      <c r="L514" s="2532"/>
      <c r="M514" s="2532"/>
      <c r="N514" s="2532"/>
      <c r="O514" s="2532"/>
    </row>
    <row r="515" spans="2:15" s="2531" customFormat="1" ht="7.5" customHeight="1">
      <c r="B515" s="2533"/>
      <c r="D515" s="2566"/>
      <c r="E515" s="2566"/>
      <c r="F515" s="2566"/>
      <c r="G515" s="2566"/>
      <c r="H515" s="2566"/>
      <c r="I515" s="2532"/>
      <c r="J515" s="2532"/>
      <c r="K515" s="2532"/>
      <c r="L515" s="2532"/>
      <c r="M515" s="2532"/>
      <c r="N515" s="2532"/>
      <c r="O515" s="2532"/>
    </row>
    <row r="516" spans="2:15" s="2531" customFormat="1" ht="7.5" customHeight="1">
      <c r="B516" s="2533"/>
      <c r="D516" s="2566"/>
      <c r="E516" s="2566"/>
      <c r="F516" s="2566"/>
      <c r="G516" s="2566"/>
      <c r="H516" s="2566"/>
      <c r="I516" s="2532"/>
      <c r="J516" s="2532"/>
      <c r="K516" s="2532"/>
      <c r="L516" s="2532"/>
      <c r="M516" s="2532"/>
      <c r="N516" s="2532"/>
      <c r="O516" s="2532"/>
    </row>
    <row r="517" spans="2:15" s="2531" customFormat="1" ht="7.5" customHeight="1">
      <c r="B517" s="2533"/>
      <c r="D517" s="2566"/>
      <c r="E517" s="2566"/>
      <c r="F517" s="2566"/>
      <c r="G517" s="2566"/>
      <c r="H517" s="2566"/>
      <c r="I517" s="2532"/>
      <c r="J517" s="2532"/>
      <c r="K517" s="2532"/>
      <c r="L517" s="2532"/>
      <c r="M517" s="2532"/>
      <c r="N517" s="2532"/>
      <c r="O517" s="2532"/>
    </row>
    <row r="518" spans="2:15" s="2531" customFormat="1" ht="7.5" customHeight="1">
      <c r="B518" s="2533"/>
      <c r="D518" s="2566"/>
      <c r="E518" s="2566"/>
      <c r="F518" s="2566"/>
      <c r="G518" s="2566"/>
      <c r="H518" s="2566"/>
      <c r="I518" s="2532"/>
      <c r="J518" s="2532"/>
      <c r="K518" s="2532"/>
      <c r="L518" s="2532"/>
      <c r="M518" s="2532"/>
      <c r="N518" s="2532"/>
      <c r="O518" s="2532"/>
    </row>
    <row r="519" spans="2:15" s="2531" customFormat="1" ht="7.5" customHeight="1">
      <c r="B519" s="2533"/>
      <c r="D519" s="2566"/>
      <c r="E519" s="2566"/>
      <c r="F519" s="2566"/>
      <c r="G519" s="2566"/>
      <c r="H519" s="2566"/>
      <c r="I519" s="2532"/>
      <c r="J519" s="2532"/>
      <c r="K519" s="2532"/>
      <c r="L519" s="2532"/>
      <c r="M519" s="2532"/>
      <c r="N519" s="2532"/>
      <c r="O519" s="2532"/>
    </row>
    <row r="520" spans="2:15" s="2531" customFormat="1" ht="7.5" customHeight="1">
      <c r="B520" s="2533"/>
      <c r="D520" s="2566"/>
      <c r="E520" s="2566"/>
      <c r="F520" s="2566"/>
      <c r="G520" s="2566"/>
      <c r="H520" s="2566"/>
      <c r="I520" s="2532"/>
      <c r="J520" s="2532"/>
      <c r="K520" s="2532"/>
      <c r="L520" s="2532"/>
      <c r="M520" s="2532"/>
      <c r="N520" s="2532"/>
      <c r="O520" s="2532"/>
    </row>
    <row r="521" spans="2:15" s="2531" customFormat="1" ht="7.5" customHeight="1">
      <c r="B521" s="2533"/>
      <c r="D521" s="2566"/>
      <c r="E521" s="2566"/>
      <c r="F521" s="2566"/>
      <c r="G521" s="2566"/>
      <c r="H521" s="2566"/>
      <c r="I521" s="2532"/>
      <c r="J521" s="2532"/>
      <c r="K521" s="2532"/>
      <c r="L521" s="2532"/>
      <c r="M521" s="2532"/>
      <c r="N521" s="2532"/>
      <c r="O521" s="2532"/>
    </row>
    <row r="522" spans="2:15" s="2531" customFormat="1" ht="7.5" customHeight="1">
      <c r="B522" s="2533"/>
      <c r="D522" s="2566"/>
      <c r="E522" s="2566"/>
      <c r="F522" s="2566"/>
      <c r="G522" s="2566"/>
      <c r="H522" s="2566"/>
      <c r="I522" s="2532"/>
      <c r="J522" s="2532"/>
      <c r="K522" s="2532"/>
      <c r="L522" s="2532"/>
      <c r="M522" s="2532"/>
      <c r="N522" s="2532"/>
      <c r="O522" s="2532"/>
    </row>
    <row r="523" spans="2:15" s="2531" customFormat="1" ht="7.5" customHeight="1">
      <c r="B523" s="2533"/>
      <c r="D523" s="2566"/>
      <c r="E523" s="2566"/>
      <c r="F523" s="2566"/>
      <c r="G523" s="2566"/>
      <c r="H523" s="2566"/>
      <c r="I523" s="2532"/>
      <c r="J523" s="2532"/>
      <c r="K523" s="2532"/>
      <c r="L523" s="2532"/>
      <c r="M523" s="2532"/>
      <c r="N523" s="2532"/>
      <c r="O523" s="2532"/>
    </row>
    <row r="524" spans="2:15" s="2531" customFormat="1" ht="7.5" customHeight="1">
      <c r="B524" s="2533"/>
      <c r="D524" s="2566"/>
      <c r="E524" s="2566"/>
      <c r="F524" s="2566"/>
      <c r="G524" s="2566"/>
      <c r="H524" s="2566"/>
      <c r="I524" s="2532"/>
      <c r="J524" s="2532"/>
      <c r="K524" s="2532"/>
      <c r="L524" s="2532"/>
      <c r="M524" s="2532"/>
      <c r="N524" s="2532"/>
      <c r="O524" s="2532"/>
    </row>
    <row r="525" spans="2:15" s="2531" customFormat="1" ht="7.5" customHeight="1">
      <c r="B525" s="2533"/>
      <c r="D525" s="2566"/>
      <c r="E525" s="2566"/>
      <c r="F525" s="2566"/>
      <c r="G525" s="2566"/>
      <c r="H525" s="2566"/>
      <c r="I525" s="2532"/>
      <c r="J525" s="2532"/>
      <c r="K525" s="2532"/>
      <c r="L525" s="2532"/>
      <c r="M525" s="2532"/>
      <c r="N525" s="2532"/>
      <c r="O525" s="2532"/>
    </row>
    <row r="526" spans="2:15" s="2531" customFormat="1" ht="7.5" customHeight="1">
      <c r="B526" s="2533"/>
      <c r="D526" s="2566"/>
      <c r="E526" s="2566"/>
      <c r="F526" s="2566"/>
      <c r="G526" s="2566"/>
      <c r="H526" s="2566"/>
      <c r="I526" s="2532"/>
      <c r="J526" s="2532"/>
      <c r="K526" s="2532"/>
      <c r="L526" s="2532"/>
      <c r="M526" s="2532"/>
      <c r="N526" s="2532"/>
      <c r="O526" s="2532"/>
    </row>
    <row r="527" spans="2:15" s="2531" customFormat="1" ht="7.5" customHeight="1">
      <c r="B527" s="2533"/>
      <c r="D527" s="2566"/>
      <c r="E527" s="2566"/>
      <c r="F527" s="2566"/>
      <c r="G527" s="2566"/>
      <c r="H527" s="2566"/>
      <c r="I527" s="2532"/>
      <c r="J527" s="2532"/>
      <c r="K527" s="2532"/>
      <c r="L527" s="2532"/>
      <c r="M527" s="2532"/>
      <c r="N527" s="2532"/>
      <c r="O527" s="2532"/>
    </row>
    <row r="528" spans="2:15" s="2531" customFormat="1" ht="7.5" customHeight="1">
      <c r="B528" s="2533"/>
      <c r="D528" s="2566"/>
      <c r="E528" s="2566"/>
      <c r="F528" s="2566"/>
      <c r="G528" s="2566"/>
      <c r="H528" s="2566"/>
      <c r="I528" s="2532"/>
      <c r="J528" s="2532"/>
      <c r="K528" s="2532"/>
      <c r="L528" s="2532"/>
      <c r="M528" s="2532"/>
      <c r="N528" s="2532"/>
      <c r="O528" s="2532"/>
    </row>
    <row r="529" spans="1:15" s="2531" customFormat="1" ht="7.5" customHeight="1">
      <c r="B529" s="2533"/>
      <c r="D529" s="2566"/>
      <c r="E529" s="2566"/>
      <c r="F529" s="2566"/>
      <c r="G529" s="2566"/>
      <c r="H529" s="2566"/>
      <c r="I529" s="2532"/>
      <c r="J529" s="2532"/>
      <c r="K529" s="2532"/>
      <c r="L529" s="2532"/>
      <c r="M529" s="2532"/>
      <c r="N529" s="2532"/>
      <c r="O529" s="2532"/>
    </row>
    <row r="530" spans="1:15" s="2529" customFormat="1">
      <c r="A530" s="4876"/>
      <c r="B530" s="4876"/>
      <c r="C530" s="4876"/>
      <c r="D530" s="4876"/>
      <c r="E530" s="4876"/>
      <c r="F530" s="4876"/>
      <c r="G530" s="4876"/>
      <c r="H530" s="4876"/>
      <c r="I530" s="2530"/>
      <c r="J530" s="2530"/>
      <c r="K530" s="2530"/>
      <c r="L530" s="2530"/>
      <c r="M530" s="2530"/>
      <c r="N530" s="2530"/>
      <c r="O530" s="2530"/>
    </row>
    <row r="531" spans="1:15" s="2529" customFormat="1">
      <c r="A531" s="4877"/>
      <c r="B531" s="4877"/>
      <c r="C531" s="4877"/>
      <c r="D531" s="4877"/>
      <c r="E531" s="4877"/>
      <c r="F531" s="4877"/>
      <c r="G531" s="4877"/>
      <c r="H531" s="4877"/>
      <c r="I531" s="2530"/>
      <c r="J531" s="2530"/>
      <c r="K531" s="2530"/>
      <c r="L531" s="2530"/>
      <c r="M531" s="2530"/>
      <c r="N531" s="2530"/>
      <c r="O531" s="2530"/>
    </row>
    <row r="532" spans="1:15" s="2529" customFormat="1">
      <c r="I532" s="2530"/>
      <c r="J532" s="2530"/>
      <c r="K532" s="2530"/>
      <c r="L532" s="2530"/>
      <c r="M532" s="2530"/>
      <c r="N532" s="2530"/>
      <c r="O532" s="2530"/>
    </row>
    <row r="533" spans="1:15" s="2531" customFormat="1">
      <c r="A533" s="2568"/>
      <c r="B533" s="2567"/>
      <c r="C533" s="2529"/>
      <c r="D533" s="2566"/>
      <c r="E533" s="2566"/>
      <c r="F533" s="2566"/>
      <c r="G533" s="2566"/>
      <c r="H533" s="2566"/>
      <c r="I533" s="2532"/>
      <c r="J533" s="2532"/>
      <c r="K533" s="2532"/>
      <c r="L533" s="2532"/>
      <c r="M533" s="2532"/>
      <c r="N533" s="2532"/>
      <c r="O533" s="2532"/>
    </row>
    <row r="534" spans="1:15" s="2531" customFormat="1" ht="12.75">
      <c r="A534" s="1269"/>
      <c r="B534" s="1269"/>
      <c r="C534" s="2542"/>
      <c r="D534" s="2541"/>
      <c r="E534" s="2561"/>
      <c r="F534" s="2540"/>
      <c r="G534" s="2565"/>
      <c r="H534" s="2561"/>
      <c r="I534" s="2532"/>
      <c r="J534" s="2532"/>
      <c r="K534" s="2532"/>
      <c r="L534" s="2532"/>
      <c r="M534" s="2532"/>
      <c r="N534" s="2532"/>
      <c r="O534" s="2532"/>
    </row>
    <row r="535" spans="1:15" s="2531" customFormat="1" ht="23.25">
      <c r="A535" s="2564"/>
      <c r="B535" s="2564"/>
      <c r="C535" s="2563"/>
      <c r="D535" s="2541"/>
      <c r="E535" s="2561"/>
      <c r="F535" s="2540"/>
      <c r="G535" s="2562"/>
      <c r="H535" s="2561"/>
      <c r="I535" s="2532"/>
      <c r="J535" s="2532"/>
      <c r="K535" s="2532"/>
      <c r="L535" s="2532"/>
      <c r="M535" s="2532"/>
      <c r="N535" s="2532"/>
      <c r="O535" s="2532"/>
    </row>
    <row r="536" spans="1:15" s="2531" customFormat="1" ht="12.75">
      <c r="A536" s="4879"/>
      <c r="B536" s="4879"/>
      <c r="C536" s="2559"/>
      <c r="D536" s="2560"/>
      <c r="E536" s="4880"/>
      <c r="F536" s="4880"/>
      <c r="G536" s="4880"/>
      <c r="H536" s="2557"/>
      <c r="I536" s="2532"/>
      <c r="J536" s="2532"/>
      <c r="K536" s="2532"/>
      <c r="L536" s="2532"/>
      <c r="M536" s="2532"/>
      <c r="N536" s="2532"/>
      <c r="O536" s="2532"/>
    </row>
    <row r="537" spans="1:15" s="2531" customFormat="1" ht="12.75">
      <c r="A537" s="4879"/>
      <c r="B537" s="4879"/>
      <c r="C537" s="2559"/>
      <c r="D537" s="2558"/>
      <c r="E537" s="2558"/>
      <c r="F537" s="2558"/>
      <c r="G537" s="2558"/>
      <c r="H537" s="2558"/>
      <c r="I537" s="2532"/>
      <c r="J537" s="2532"/>
      <c r="K537" s="2532"/>
      <c r="L537" s="2532"/>
      <c r="M537" s="2532"/>
      <c r="N537" s="2532"/>
      <c r="O537" s="2532"/>
    </row>
    <row r="538" spans="1:15" s="2531" customFormat="1" ht="12.75">
      <c r="A538" s="4879"/>
      <c r="B538" s="4879"/>
      <c r="C538" s="2557"/>
      <c r="D538" s="2555"/>
      <c r="E538" s="2555"/>
      <c r="F538" s="2555"/>
      <c r="G538" s="2556"/>
      <c r="H538" s="2555"/>
      <c r="I538" s="2532"/>
      <c r="J538" s="2532"/>
      <c r="K538" s="2532"/>
      <c r="L538" s="2532"/>
      <c r="M538" s="2532"/>
      <c r="N538" s="2532"/>
      <c r="O538" s="2532"/>
    </row>
    <row r="539" spans="1:15" s="2531" customFormat="1" ht="12.75">
      <c r="A539" s="2554"/>
      <c r="B539" s="2553"/>
      <c r="C539" s="2552"/>
      <c r="D539" s="2551"/>
      <c r="E539" s="2551"/>
      <c r="F539" s="2551"/>
      <c r="G539" s="2551"/>
      <c r="H539" s="2551"/>
      <c r="I539" s="2532"/>
      <c r="J539" s="2532"/>
      <c r="K539" s="2532"/>
      <c r="L539" s="2532"/>
      <c r="M539" s="2532"/>
      <c r="N539" s="2532"/>
      <c r="O539" s="2532"/>
    </row>
    <row r="540" spans="1:15" s="2531" customFormat="1" ht="12.75">
      <c r="A540" s="2549"/>
      <c r="B540" s="2549"/>
      <c r="C540" s="2550"/>
      <c r="D540" s="2548"/>
      <c r="E540" s="2548"/>
      <c r="F540" s="2540"/>
      <c r="G540" s="2548"/>
      <c r="H540" s="2548"/>
      <c r="I540" s="2532"/>
      <c r="J540" s="2532"/>
      <c r="K540" s="2532"/>
      <c r="L540" s="2532"/>
      <c r="M540" s="2532"/>
      <c r="N540" s="2532"/>
      <c r="O540" s="2532"/>
    </row>
    <row r="541" spans="1:15" s="2531" customFormat="1" ht="12.75">
      <c r="A541" s="2549"/>
      <c r="B541" s="2549"/>
      <c r="C541" s="2545"/>
      <c r="D541" s="2548"/>
      <c r="E541" s="2548"/>
      <c r="F541" s="2540"/>
      <c r="G541" s="2548"/>
      <c r="H541" s="2548"/>
      <c r="I541" s="2532"/>
      <c r="J541" s="2532"/>
      <c r="K541" s="2532"/>
      <c r="L541" s="2532"/>
      <c r="M541" s="2532"/>
      <c r="N541" s="2532"/>
      <c r="O541" s="2532"/>
    </row>
    <row r="542" spans="1:15" s="2531" customFormat="1" ht="12.75">
      <c r="A542" s="2547"/>
      <c r="B542" s="2546"/>
      <c r="C542" s="2545"/>
      <c r="D542" s="2541"/>
      <c r="E542" s="2544"/>
      <c r="F542" s="2540"/>
      <c r="G542" s="2544"/>
      <c r="H542" s="2544"/>
      <c r="I542" s="2532"/>
      <c r="J542" s="2532"/>
      <c r="K542" s="2532"/>
      <c r="L542" s="2532"/>
      <c r="M542" s="2532"/>
      <c r="N542" s="2532"/>
      <c r="O542" s="2532"/>
    </row>
    <row r="543" spans="1:15" s="2531" customFormat="1" ht="12.75">
      <c r="A543" s="2543"/>
      <c r="B543" s="2543"/>
      <c r="C543" s="2542"/>
      <c r="D543" s="2541"/>
      <c r="E543" s="2539"/>
      <c r="F543" s="2540"/>
      <c r="G543" s="2539"/>
      <c r="H543" s="2539"/>
      <c r="I543" s="2532"/>
      <c r="J543" s="2532"/>
      <c r="K543" s="2532"/>
      <c r="L543" s="2532"/>
      <c r="M543" s="2532"/>
      <c r="N543" s="2532"/>
      <c r="O543" s="2532"/>
    </row>
    <row r="544" spans="1:15" s="2531" customFormat="1" ht="12.75">
      <c r="A544" s="2538"/>
      <c r="B544" s="2538"/>
      <c r="C544" s="2537"/>
      <c r="D544" s="2536"/>
      <c r="E544" s="2536"/>
      <c r="F544" s="2536"/>
      <c r="G544" s="2536"/>
      <c r="H544" s="2536"/>
      <c r="I544" s="2532"/>
      <c r="J544" s="2532"/>
      <c r="K544" s="2532"/>
      <c r="L544" s="2532"/>
      <c r="M544" s="2532"/>
      <c r="N544" s="2532"/>
      <c r="O544" s="2532"/>
    </row>
    <row r="545" spans="1:15" s="2531" customFormat="1" ht="12.75">
      <c r="A545" s="2538"/>
      <c r="B545" s="2538"/>
      <c r="C545" s="2537"/>
      <c r="D545" s="2536"/>
      <c r="E545" s="2536"/>
      <c r="F545" s="2536"/>
      <c r="G545" s="2536"/>
      <c r="H545" s="2536"/>
      <c r="I545" s="2532"/>
      <c r="J545" s="2532"/>
      <c r="K545" s="2532"/>
      <c r="L545" s="2532"/>
      <c r="M545" s="2532"/>
      <c r="N545" s="2532"/>
      <c r="O545" s="2532"/>
    </row>
    <row r="546" spans="1:15" s="2531" customFormat="1">
      <c r="A546" s="1269"/>
      <c r="B546" s="2529"/>
      <c r="C546" s="2535"/>
      <c r="D546" s="2529"/>
      <c r="E546" s="4877"/>
      <c r="F546" s="4877"/>
      <c r="G546" s="1269"/>
      <c r="H546" s="2529"/>
      <c r="I546" s="2532"/>
      <c r="J546" s="2532"/>
      <c r="K546" s="2532"/>
      <c r="L546" s="2532"/>
      <c r="M546" s="2532"/>
      <c r="N546" s="2532"/>
      <c r="O546" s="2532"/>
    </row>
    <row r="547" spans="1:15" s="2531" customFormat="1">
      <c r="A547" s="2529"/>
      <c r="B547" s="1269"/>
      <c r="C547" s="2535"/>
      <c r="D547" s="1269"/>
      <c r="E547" s="1269"/>
      <c r="F547" s="1269"/>
      <c r="G547" s="1269"/>
      <c r="H547" s="2529"/>
      <c r="I547" s="2532"/>
      <c r="J547" s="2532"/>
      <c r="K547" s="2532"/>
      <c r="L547" s="2532"/>
      <c r="M547" s="2532"/>
      <c r="N547" s="2532"/>
      <c r="O547" s="2532"/>
    </row>
    <row r="548" spans="1:15" s="2531" customFormat="1" ht="12.75">
      <c r="A548" s="2534"/>
      <c r="B548" s="1269"/>
      <c r="C548" s="4881"/>
      <c r="D548" s="4881"/>
      <c r="E548" s="4876"/>
      <c r="F548" s="4876"/>
      <c r="G548" s="4876"/>
      <c r="H548" s="4876"/>
      <c r="I548" s="2532"/>
      <c r="J548" s="2532"/>
      <c r="K548" s="2532"/>
      <c r="L548" s="2532"/>
      <c r="M548" s="2532"/>
      <c r="N548" s="2532"/>
      <c r="O548" s="2532"/>
    </row>
    <row r="549" spans="1:15" s="2531" customFormat="1" ht="12.75">
      <c r="B549" s="2533"/>
      <c r="C549" s="4874"/>
      <c r="D549" s="4874"/>
      <c r="E549" s="4875"/>
      <c r="F549" s="4875"/>
      <c r="G549" s="4875"/>
      <c r="H549" s="4875"/>
      <c r="I549" s="2532"/>
      <c r="J549" s="2532"/>
      <c r="K549" s="2532"/>
      <c r="L549" s="2532"/>
      <c r="M549" s="2532"/>
      <c r="N549" s="2532"/>
      <c r="O549" s="2532"/>
    </row>
    <row r="550" spans="1:15" s="2529" customFormat="1">
      <c r="I550" s="2530"/>
      <c r="J550" s="2530"/>
      <c r="K550" s="2530"/>
      <c r="L550" s="2530"/>
      <c r="M550" s="2530"/>
      <c r="N550" s="2530"/>
      <c r="O550" s="2530"/>
    </row>
  </sheetData>
  <mergeCells count="130">
    <mergeCell ref="C548:D548"/>
    <mergeCell ref="E548:H548"/>
    <mergeCell ref="C549:D549"/>
    <mergeCell ref="E549:H549"/>
    <mergeCell ref="C493:D493"/>
    <mergeCell ref="E493:H493"/>
    <mergeCell ref="A530:H530"/>
    <mergeCell ref="A531:H531"/>
    <mergeCell ref="A536:B538"/>
    <mergeCell ref="A474:H474"/>
    <mergeCell ref="E536:G536"/>
    <mergeCell ref="A475:H475"/>
    <mergeCell ref="A480:B482"/>
    <mergeCell ref="E480:G480"/>
    <mergeCell ref="E490:F490"/>
    <mergeCell ref="C492:D492"/>
    <mergeCell ref="E492:H492"/>
    <mergeCell ref="E546:F546"/>
    <mergeCell ref="A427:H427"/>
    <mergeCell ref="A428:H428"/>
    <mergeCell ref="A435:B437"/>
    <mergeCell ref="E435:G435"/>
    <mergeCell ref="E448:F448"/>
    <mergeCell ref="C450:D450"/>
    <mergeCell ref="E450:H450"/>
    <mergeCell ref="C451:D451"/>
    <mergeCell ref="E451:H451"/>
    <mergeCell ref="A386:H386"/>
    <mergeCell ref="A387:H387"/>
    <mergeCell ref="A393:B395"/>
    <mergeCell ref="E393:G393"/>
    <mergeCell ref="E407:F407"/>
    <mergeCell ref="C409:D409"/>
    <mergeCell ref="E409:H409"/>
    <mergeCell ref="C410:D410"/>
    <mergeCell ref="E410:H410"/>
    <mergeCell ref="A344:H344"/>
    <mergeCell ref="A345:H345"/>
    <mergeCell ref="A351:B353"/>
    <mergeCell ref="E351:G351"/>
    <mergeCell ref="E365:F365"/>
    <mergeCell ref="C367:D367"/>
    <mergeCell ref="E367:H367"/>
    <mergeCell ref="C368:D368"/>
    <mergeCell ref="E368:H368"/>
    <mergeCell ref="A303:H303"/>
    <mergeCell ref="A304:H304"/>
    <mergeCell ref="A310:B312"/>
    <mergeCell ref="E310:G310"/>
    <mergeCell ref="E326:F326"/>
    <mergeCell ref="C328:D328"/>
    <mergeCell ref="E328:H328"/>
    <mergeCell ref="C329:D329"/>
    <mergeCell ref="E329:H329"/>
    <mergeCell ref="A263:H263"/>
    <mergeCell ref="A264:H264"/>
    <mergeCell ref="A269:B271"/>
    <mergeCell ref="E269:G269"/>
    <mergeCell ref="E280:F280"/>
    <mergeCell ref="C282:D282"/>
    <mergeCell ref="E282:H282"/>
    <mergeCell ref="C283:D283"/>
    <mergeCell ref="E283:H283"/>
    <mergeCell ref="A219:H219"/>
    <mergeCell ref="A220:H220"/>
    <mergeCell ref="A225:B227"/>
    <mergeCell ref="E225:G225"/>
    <mergeCell ref="E241:F241"/>
    <mergeCell ref="C243:D243"/>
    <mergeCell ref="E243:H243"/>
    <mergeCell ref="C244:D244"/>
    <mergeCell ref="E244:H244"/>
    <mergeCell ref="A182:B184"/>
    <mergeCell ref="E182:G182"/>
    <mergeCell ref="E197:F197"/>
    <mergeCell ref="C199:D199"/>
    <mergeCell ref="E199:H199"/>
    <mergeCell ref="C200:D200"/>
    <mergeCell ref="E200:H200"/>
    <mergeCell ref="A217:H217"/>
    <mergeCell ref="A218:H218"/>
    <mergeCell ref="E157:F157"/>
    <mergeCell ref="C159:D159"/>
    <mergeCell ref="E159:H159"/>
    <mergeCell ref="C160:D160"/>
    <mergeCell ref="E160:H160"/>
    <mergeCell ref="A174:H174"/>
    <mergeCell ref="A175:H175"/>
    <mergeCell ref="A176:H176"/>
    <mergeCell ref="A177:H177"/>
    <mergeCell ref="E112:F112"/>
    <mergeCell ref="C114:D114"/>
    <mergeCell ref="E114:H114"/>
    <mergeCell ref="C115:D115"/>
    <mergeCell ref="E115:H115"/>
    <mergeCell ref="A132:H132"/>
    <mergeCell ref="A133:H133"/>
    <mergeCell ref="A139:B141"/>
    <mergeCell ref="E139:G139"/>
    <mergeCell ref="A83:H83"/>
    <mergeCell ref="A84:H84"/>
    <mergeCell ref="E85:F85"/>
    <mergeCell ref="A87:H87"/>
    <mergeCell ref="A88:H88"/>
    <mergeCell ref="A89:H89"/>
    <mergeCell ref="A90:H90"/>
    <mergeCell ref="A95:B97"/>
    <mergeCell ref="E95:G95"/>
    <mergeCell ref="C73:D73"/>
    <mergeCell ref="E73:H73"/>
    <mergeCell ref="A43:H43"/>
    <mergeCell ref="A44:H44"/>
    <mergeCell ref="A46:H46"/>
    <mergeCell ref="A47:H47"/>
    <mergeCell ref="A35:B35"/>
    <mergeCell ref="C35:E35"/>
    <mergeCell ref="A52:B54"/>
    <mergeCell ref="E52:G52"/>
    <mergeCell ref="E70:F70"/>
    <mergeCell ref="C72:D72"/>
    <mergeCell ref="E72:H72"/>
    <mergeCell ref="C34:E34"/>
    <mergeCell ref="F34:H34"/>
    <mergeCell ref="A11:B13"/>
    <mergeCell ref="E11:G11"/>
    <mergeCell ref="A6:H6"/>
    <mergeCell ref="A5:H5"/>
    <mergeCell ref="A33:B33"/>
    <mergeCell ref="C33:E33"/>
    <mergeCell ref="F33:H33"/>
  </mergeCells>
  <pageMargins left="0.25" right="0" top="0.25" bottom="0" header="0.5" footer="0"/>
  <pageSetup paperSize="5"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5"/>
  <sheetViews>
    <sheetView showGridLines="0" showOutlineSymbols="0" topLeftCell="A13" zoomScaleNormal="100" workbookViewId="0">
      <selection activeCell="B13" sqref="B13"/>
    </sheetView>
  </sheetViews>
  <sheetFormatPr defaultColWidth="12.42578125" defaultRowHeight="12.75" outlineLevelRow="1" outlineLevelCol="2"/>
  <cols>
    <col min="1" max="1" width="2.7109375" style="134" customWidth="1"/>
    <col min="2" max="2" width="31.42578125" style="134" customWidth="1"/>
    <col min="3" max="3" width="9" style="134" customWidth="1"/>
    <col min="4" max="4" width="10.7109375" style="134" customWidth="1"/>
    <col min="5" max="5" width="11.85546875" style="134" customWidth="1"/>
    <col min="6" max="6" width="12.42578125" style="134" customWidth="1"/>
    <col min="7" max="7" width="11.85546875" style="134" customWidth="1"/>
    <col min="8" max="8" width="10.7109375" style="134" customWidth="1"/>
    <col min="9" max="48" width="12.42578125" style="134" customWidth="1"/>
    <col min="49" max="53" width="12.42578125" style="134" customWidth="1" outlineLevel="1"/>
    <col min="54" max="59" width="12.42578125" style="134" customWidth="1" outlineLevel="2"/>
    <col min="60" max="62" width="12.42578125" style="134" customWidth="1" outlineLevel="1"/>
    <col min="63" max="82" width="12.42578125" style="134" customWidth="1"/>
    <col min="83" max="86" width="12.42578125" style="134" customWidth="1" outlineLevel="1"/>
    <col min="87" max="134" width="12.42578125" style="134" customWidth="1"/>
    <col min="135" max="140" width="12.42578125" style="134" customWidth="1" outlineLevel="1"/>
    <col min="141" max="146" width="12.42578125" style="134" customWidth="1" outlineLevel="2"/>
    <col min="147" max="149" width="12.42578125" style="134" customWidth="1" outlineLevel="1"/>
    <col min="150" max="150" width="12.42578125" style="134" customWidth="1"/>
    <col min="151" max="16384" width="12.42578125" style="134"/>
  </cols>
  <sheetData>
    <row r="1" spans="1:8" s="235" customFormat="1" ht="15.75">
      <c r="A1" s="4643" t="s">
        <v>473</v>
      </c>
      <c r="B1" s="4643"/>
      <c r="C1" s="4643"/>
      <c r="E1" s="271"/>
    </row>
    <row r="2" spans="1:8" s="235" customFormat="1" ht="14.25" customHeight="1">
      <c r="A2" s="4644" t="s">
        <v>584</v>
      </c>
      <c r="B2" s="4644"/>
      <c r="C2" s="4644"/>
      <c r="E2" s="270"/>
    </row>
    <row r="3" spans="1:8" s="235" customFormat="1" ht="24" customHeight="1">
      <c r="A3" s="4630" t="s">
        <v>471</v>
      </c>
      <c r="B3" s="4630"/>
      <c r="C3" s="4630"/>
      <c r="D3" s="4630"/>
      <c r="E3" s="4630"/>
      <c r="F3" s="4630"/>
      <c r="G3" s="4630"/>
      <c r="H3" s="4630"/>
    </row>
    <row r="4" spans="1:8" s="235" customFormat="1" ht="12" customHeight="1">
      <c r="A4" s="4623" t="s">
        <v>583</v>
      </c>
      <c r="B4" s="4631"/>
      <c r="C4" s="4631"/>
      <c r="D4" s="4631"/>
      <c r="E4" s="4631"/>
      <c r="F4" s="4631"/>
      <c r="G4" s="4631"/>
      <c r="H4" s="4631"/>
    </row>
    <row r="5" spans="1:8" ht="14.25" customHeight="1">
      <c r="A5" s="140"/>
      <c r="B5" s="140"/>
      <c r="C5" s="140"/>
      <c r="D5" s="140"/>
      <c r="E5" s="140"/>
      <c r="F5" s="140"/>
      <c r="G5" s="140"/>
      <c r="H5" s="140"/>
    </row>
    <row r="6" spans="1:8" ht="16.5" customHeight="1">
      <c r="A6" s="399" t="s">
        <v>653</v>
      </c>
      <c r="B6" s="266"/>
    </row>
    <row r="7" spans="1:8" ht="14.25" customHeight="1">
      <c r="A7" s="267"/>
      <c r="B7" s="538" t="s">
        <v>657</v>
      </c>
    </row>
    <row r="8" spans="1:8" ht="14.25" customHeight="1">
      <c r="A8" s="267"/>
      <c r="B8" s="266"/>
    </row>
    <row r="9" spans="1:8" ht="20.100000000000001" customHeight="1">
      <c r="A9" s="4624" t="s">
        <v>468</v>
      </c>
      <c r="B9" s="4625"/>
      <c r="C9" s="265" t="s">
        <v>467</v>
      </c>
      <c r="D9" s="264" t="s">
        <v>466</v>
      </c>
      <c r="E9" s="4632" t="s">
        <v>465</v>
      </c>
      <c r="F9" s="4633"/>
      <c r="G9" s="4634"/>
      <c r="H9" s="265" t="s">
        <v>464</v>
      </c>
    </row>
    <row r="10" spans="1:8" ht="20.100000000000001" customHeight="1">
      <c r="A10" s="4626"/>
      <c r="B10" s="4627"/>
      <c r="C10" s="261" t="s">
        <v>463</v>
      </c>
      <c r="D10" s="261">
        <v>2020</v>
      </c>
      <c r="E10" s="503" t="s">
        <v>462</v>
      </c>
      <c r="F10" s="503" t="s">
        <v>461</v>
      </c>
      <c r="G10" s="262" t="s">
        <v>244</v>
      </c>
      <c r="H10" s="262" t="s">
        <v>652</v>
      </c>
    </row>
    <row r="11" spans="1:8" ht="20.100000000000001" customHeight="1">
      <c r="A11" s="4628"/>
      <c r="B11" s="4629"/>
      <c r="C11" s="260"/>
      <c r="D11" s="258" t="s">
        <v>460</v>
      </c>
      <c r="E11" s="258" t="s">
        <v>460</v>
      </c>
      <c r="F11" s="258" t="s">
        <v>459</v>
      </c>
      <c r="G11" s="259"/>
      <c r="H11" s="258" t="s">
        <v>458</v>
      </c>
    </row>
    <row r="12" spans="1:8" ht="20.100000000000001" customHeight="1">
      <c r="A12" s="537" t="s">
        <v>456</v>
      </c>
      <c r="B12" s="536"/>
      <c r="C12" s="396"/>
      <c r="D12" s="396"/>
      <c r="E12" s="396"/>
      <c r="F12" s="536"/>
      <c r="G12" s="536"/>
      <c r="H12" s="536"/>
    </row>
    <row r="13" spans="1:8" ht="20.100000000000001" customHeight="1">
      <c r="A13" s="189" t="s">
        <v>455</v>
      </c>
      <c r="B13" s="527"/>
      <c r="C13" s="526"/>
      <c r="D13" s="535">
        <f>SUM(D14:D16)</f>
        <v>1061410.5899999999</v>
      </c>
      <c r="E13" s="535">
        <f>SUM(E14:E16)</f>
        <v>0</v>
      </c>
      <c r="F13" s="535">
        <f>SUM(F14:F16)</f>
        <v>0</v>
      </c>
      <c r="G13" s="535">
        <f>SUM(G14:G16)</f>
        <v>0</v>
      </c>
      <c r="H13" s="534">
        <f>SUM(H14:H16)</f>
        <v>0</v>
      </c>
    </row>
    <row r="14" spans="1:8" ht="20.100000000000001" customHeight="1" outlineLevel="1">
      <c r="A14" s="178"/>
      <c r="B14" s="185"/>
      <c r="C14" s="533"/>
      <c r="D14" s="521"/>
      <c r="E14" s="521"/>
      <c r="F14" s="521"/>
      <c r="G14" s="521"/>
      <c r="H14" s="532"/>
    </row>
    <row r="15" spans="1:8" ht="20.100000000000001" customHeight="1" outlineLevel="1">
      <c r="A15" s="178" t="s">
        <v>441</v>
      </c>
      <c r="B15" s="177"/>
      <c r="C15" s="531" t="s">
        <v>440</v>
      </c>
      <c r="D15" s="509">
        <v>1061410.5899999999</v>
      </c>
      <c r="E15" s="509">
        <v>0</v>
      </c>
      <c r="F15" s="212">
        <f>SUM(G15-E15)</f>
        <v>0</v>
      </c>
      <c r="G15" s="212">
        <v>0</v>
      </c>
      <c r="H15" s="529">
        <v>0</v>
      </c>
    </row>
    <row r="16" spans="1:8" ht="20.100000000000001" customHeight="1" outlineLevel="1">
      <c r="A16" s="178"/>
      <c r="B16" s="177"/>
      <c r="C16" s="530"/>
      <c r="D16" s="509"/>
      <c r="E16" s="509"/>
      <c r="F16" s="509"/>
      <c r="G16" s="509"/>
      <c r="H16" s="529"/>
    </row>
    <row r="17" spans="1:9" ht="20.100000000000001" customHeight="1">
      <c r="A17" s="528" t="s">
        <v>407</v>
      </c>
      <c r="B17" s="527"/>
      <c r="C17" s="526"/>
      <c r="D17" s="524">
        <f>SUM(D18:D28)</f>
        <v>169829.55</v>
      </c>
      <c r="E17" s="524">
        <f>SUM(E18:E28)</f>
        <v>0</v>
      </c>
      <c r="F17" s="525">
        <f>SUM(F18:F28)</f>
        <v>0</v>
      </c>
      <c r="G17" s="524">
        <f>SUM(G18:G28)</f>
        <v>0</v>
      </c>
      <c r="H17" s="523">
        <f>SUM(H18:H28)</f>
        <v>0</v>
      </c>
    </row>
    <row r="18" spans="1:9" ht="20.100000000000001" customHeight="1" outlineLevel="1">
      <c r="A18" s="522" t="s">
        <v>402</v>
      </c>
      <c r="B18" s="185"/>
      <c r="C18" s="165" t="s">
        <v>401</v>
      </c>
      <c r="D18" s="521">
        <v>41663</v>
      </c>
      <c r="E18" s="521">
        <v>0</v>
      </c>
      <c r="F18" s="509">
        <f>SUM(G18-E18)</f>
        <v>0</v>
      </c>
      <c r="G18" s="520">
        <v>0</v>
      </c>
      <c r="H18" s="520">
        <v>0</v>
      </c>
    </row>
    <row r="19" spans="1:9" ht="20.100000000000001" customHeight="1" outlineLevel="1">
      <c r="A19" s="163" t="s">
        <v>400</v>
      </c>
      <c r="B19" s="162"/>
      <c r="C19" s="165"/>
      <c r="D19" s="509"/>
      <c r="E19" s="509"/>
      <c r="F19" s="509"/>
      <c r="G19" s="212"/>
      <c r="H19" s="212"/>
    </row>
    <row r="20" spans="1:9" ht="20.100000000000001" customHeight="1" outlineLevel="1">
      <c r="A20" s="181"/>
      <c r="B20" s="179" t="s">
        <v>399</v>
      </c>
      <c r="C20" s="161" t="s">
        <v>398</v>
      </c>
      <c r="D20" s="509">
        <v>35700</v>
      </c>
      <c r="E20" s="509">
        <v>0</v>
      </c>
      <c r="F20" s="509">
        <f>SUM(G20-E20)</f>
        <v>0</v>
      </c>
      <c r="G20" s="212">
        <v>0</v>
      </c>
      <c r="H20" s="212">
        <v>0</v>
      </c>
    </row>
    <row r="21" spans="1:9" ht="20.100000000000001" customHeight="1" outlineLevel="1">
      <c r="A21" s="163" t="s">
        <v>395</v>
      </c>
      <c r="B21" s="177"/>
      <c r="C21" s="174" t="s">
        <v>394</v>
      </c>
      <c r="D21" s="509">
        <v>57466.55</v>
      </c>
      <c r="E21" s="509">
        <v>0</v>
      </c>
      <c r="F21" s="509">
        <f>SUM(G21-E21)</f>
        <v>0</v>
      </c>
      <c r="G21" s="212">
        <v>0</v>
      </c>
      <c r="H21" s="212">
        <v>0</v>
      </c>
    </row>
    <row r="22" spans="1:9" ht="20.100000000000001" customHeight="1" outlineLevel="1">
      <c r="A22" s="178" t="s">
        <v>393</v>
      </c>
      <c r="B22" s="177"/>
      <c r="C22" s="165" t="s">
        <v>392</v>
      </c>
      <c r="D22" s="509">
        <v>35000</v>
      </c>
      <c r="E22" s="509">
        <v>0</v>
      </c>
      <c r="F22" s="509">
        <f>SUM(G22-E22)</f>
        <v>0</v>
      </c>
      <c r="G22" s="212">
        <v>0</v>
      </c>
      <c r="H22" s="212">
        <v>0</v>
      </c>
    </row>
    <row r="23" spans="1:9" ht="20.100000000000001" customHeight="1" outlineLevel="1">
      <c r="A23" s="176" t="s">
        <v>368</v>
      </c>
      <c r="B23" s="175"/>
      <c r="C23" s="174" t="s">
        <v>367</v>
      </c>
      <c r="D23" s="509">
        <v>0</v>
      </c>
      <c r="E23" s="509">
        <v>0</v>
      </c>
      <c r="F23" s="509">
        <f>SUM(G23-E23)</f>
        <v>0</v>
      </c>
      <c r="G23" s="212">
        <v>0</v>
      </c>
      <c r="H23" s="212">
        <v>0</v>
      </c>
    </row>
    <row r="24" spans="1:9" ht="20.100000000000001" customHeight="1" outlineLevel="1">
      <c r="A24" s="519"/>
      <c r="B24" s="518"/>
      <c r="C24" s="515"/>
      <c r="D24" s="509"/>
      <c r="E24" s="509"/>
      <c r="F24" s="509"/>
      <c r="G24" s="509"/>
      <c r="H24" s="212"/>
    </row>
    <row r="25" spans="1:9" ht="20.100000000000001" customHeight="1" outlineLevel="1">
      <c r="A25" s="517"/>
      <c r="B25" s="516"/>
      <c r="C25" s="515"/>
      <c r="D25" s="509"/>
      <c r="E25" s="509"/>
      <c r="F25" s="509"/>
      <c r="G25" s="509"/>
      <c r="H25" s="212"/>
    </row>
    <row r="26" spans="1:9" s="148" customFormat="1" ht="20.100000000000001" customHeight="1" outlineLevel="1">
      <c r="A26" s="512"/>
      <c r="B26" s="514"/>
      <c r="C26" s="513"/>
      <c r="D26" s="509"/>
      <c r="E26" s="509"/>
      <c r="F26" s="509"/>
      <c r="G26" s="509"/>
      <c r="H26" s="212"/>
    </row>
    <row r="27" spans="1:9" s="148" customFormat="1" ht="20.100000000000001" customHeight="1" outlineLevel="1">
      <c r="A27" s="512"/>
      <c r="B27" s="511"/>
      <c r="C27" s="510"/>
      <c r="D27" s="509"/>
      <c r="E27" s="509"/>
      <c r="F27" s="509"/>
      <c r="G27" s="509"/>
      <c r="H27" s="212"/>
    </row>
    <row r="28" spans="1:9" s="148" customFormat="1" ht="20.100000000000001" customHeight="1" outlineLevel="1">
      <c r="A28" s="508"/>
      <c r="B28" s="507"/>
      <c r="C28" s="506"/>
      <c r="D28" s="505"/>
      <c r="E28" s="505"/>
      <c r="F28" s="505"/>
      <c r="G28" s="505"/>
      <c r="H28" s="504"/>
    </row>
    <row r="29" spans="1:9" s="148" customFormat="1" ht="20.100000000000001" customHeight="1" outlineLevel="1" thickBot="1">
      <c r="A29" s="147" t="s">
        <v>366</v>
      </c>
      <c r="B29" s="147"/>
      <c r="C29" s="146"/>
      <c r="D29" s="456">
        <f>SUM(D13+D17)</f>
        <v>1231240.1399999999</v>
      </c>
      <c r="E29" s="456">
        <f>SUM(E13+E17)</f>
        <v>0</v>
      </c>
      <c r="F29" s="456">
        <f>SUM(F13+F17)</f>
        <v>0</v>
      </c>
      <c r="G29" s="456">
        <f>SUM(G13+G17)</f>
        <v>0</v>
      </c>
      <c r="H29" s="455">
        <f>SUM(H13+H17)</f>
        <v>0</v>
      </c>
      <c r="I29" s="454"/>
    </row>
    <row r="30" spans="1:9" ht="12" customHeight="1" outlineLevel="1" thickTop="1"/>
    <row r="31" spans="1:9" s="235" customFormat="1" ht="19.5" customHeight="1">
      <c r="A31" s="134" t="s">
        <v>656</v>
      </c>
      <c r="B31" s="453"/>
      <c r="C31" s="141" t="s">
        <v>363</v>
      </c>
      <c r="E31" s="4631" t="s">
        <v>655</v>
      </c>
      <c r="F31" s="4631"/>
      <c r="G31" s="134"/>
    </row>
    <row r="32" spans="1:9" s="235" customFormat="1" ht="14.25" customHeight="1">
      <c r="A32" s="134"/>
      <c r="B32" s="134"/>
      <c r="C32" s="141"/>
      <c r="D32" s="134"/>
      <c r="E32" s="134"/>
      <c r="F32" s="134"/>
      <c r="G32" s="134"/>
    </row>
    <row r="33" spans="1:9" ht="23.45" customHeight="1">
      <c r="B33" s="139" t="s">
        <v>639</v>
      </c>
      <c r="C33" s="4635" t="s">
        <v>360</v>
      </c>
      <c r="D33" s="4635"/>
      <c r="E33" s="4630" t="s">
        <v>359</v>
      </c>
      <c r="F33" s="4630"/>
      <c r="G33" s="4630"/>
      <c r="H33" s="4630"/>
    </row>
    <row r="34" spans="1:9" s="135" customFormat="1" ht="12" customHeight="1">
      <c r="B34" s="138" t="s">
        <v>654</v>
      </c>
      <c r="C34" s="4642" t="s">
        <v>357</v>
      </c>
      <c r="D34" s="4642"/>
      <c r="E34" s="4623" t="s">
        <v>356</v>
      </c>
      <c r="F34" s="4623"/>
      <c r="G34" s="4623"/>
      <c r="H34" s="4623"/>
      <c r="I34" s="136"/>
    </row>
    <row r="35" spans="1:9" s="135" customFormat="1" ht="13.5">
      <c r="A35" s="4645"/>
      <c r="B35" s="4645"/>
      <c r="C35" s="4621"/>
      <c r="D35" s="4621"/>
      <c r="E35" s="137"/>
      <c r="F35" s="137"/>
      <c r="G35" s="137"/>
      <c r="H35" s="137"/>
      <c r="I35" s="136"/>
    </row>
  </sheetData>
  <mergeCells count="13">
    <mergeCell ref="C33:D33"/>
    <mergeCell ref="E33:H33"/>
    <mergeCell ref="C35:D35"/>
    <mergeCell ref="A1:C1"/>
    <mergeCell ref="A2:C2"/>
    <mergeCell ref="C34:D34"/>
    <mergeCell ref="E34:H34"/>
    <mergeCell ref="A35:B35"/>
    <mergeCell ref="A9:B11"/>
    <mergeCell ref="A3:H3"/>
    <mergeCell ref="A4:H4"/>
    <mergeCell ref="E9:G9"/>
    <mergeCell ref="E31:F31"/>
  </mergeCells>
  <pageMargins left="0.5" right="0" top="0.25" bottom="0" header="0.5" footer="0"/>
  <pageSetup paperSize="5" orientation="portrait"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510"/>
  <sheetViews>
    <sheetView showGridLines="0" showOutlineSymbols="0" topLeftCell="A10" workbookViewId="0">
      <pane xSplit="18525" topLeftCell="ET1"/>
      <selection activeCell="K22" sqref="K22"/>
      <selection pane="topRight" activeCell="ET1" sqref="ET1"/>
    </sheetView>
  </sheetViews>
  <sheetFormatPr defaultColWidth="12.5703125" defaultRowHeight="15.75" outlineLevelRow="1" outlineLevelCol="2"/>
  <cols>
    <col min="1" max="1" width="1.85546875" style="2462" customWidth="1"/>
    <col min="2" max="2" width="33.7109375" style="2462" customWidth="1"/>
    <col min="3" max="3" width="12.140625" style="2462" customWidth="1"/>
    <col min="4" max="5" width="10.42578125" style="2462" customWidth="1"/>
    <col min="6" max="6" width="11.140625" style="2462" customWidth="1"/>
    <col min="7" max="7" width="10.7109375" style="2462" customWidth="1"/>
    <col min="8" max="8" width="10.28515625" style="2462" customWidth="1"/>
    <col min="9"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7" spans="1:15" s="2463" customFormat="1" ht="12.75">
      <c r="B7" s="2464"/>
      <c r="D7" s="2465"/>
      <c r="E7" s="2465"/>
      <c r="F7" s="2465"/>
      <c r="G7" s="2465"/>
      <c r="H7" s="2465"/>
      <c r="I7" s="2579"/>
      <c r="J7" s="2579"/>
      <c r="K7" s="2579"/>
      <c r="L7" s="2579"/>
      <c r="M7" s="2579"/>
      <c r="N7" s="2579"/>
      <c r="O7" s="2579"/>
    </row>
    <row r="8" spans="1:15" s="1390" customFormat="1" ht="14.25" customHeight="1">
      <c r="A8" s="1577" t="s">
        <v>2120</v>
      </c>
      <c r="C8" s="2525"/>
      <c r="D8" s="1403"/>
      <c r="E8" s="1403"/>
      <c r="F8" s="1403"/>
      <c r="G8" s="1403"/>
      <c r="H8" s="1403"/>
    </row>
    <row r="9" spans="1:15" s="1390" customFormat="1" ht="14.25" customHeight="1">
      <c r="B9" s="2612" t="s">
        <v>2124</v>
      </c>
      <c r="C9" s="2525"/>
      <c r="D9" s="1403"/>
      <c r="E9" s="1403"/>
      <c r="F9" s="1403"/>
      <c r="G9" s="1403"/>
      <c r="H9" s="1403"/>
    </row>
    <row r="10" spans="1:15" s="2463" customFormat="1" ht="13.5" customHeight="1">
      <c r="A10" s="2571"/>
      <c r="B10" s="2571"/>
      <c r="C10" s="2542"/>
      <c r="D10" s="2541"/>
      <c r="E10" s="2561"/>
      <c r="F10" s="2540"/>
      <c r="G10" s="1388"/>
      <c r="H10" s="2561"/>
      <c r="I10" s="2579"/>
      <c r="J10" s="2579"/>
      <c r="K10" s="2579"/>
      <c r="L10" s="2579"/>
      <c r="M10" s="2579"/>
      <c r="N10" s="2579"/>
      <c r="O10" s="2579"/>
    </row>
    <row r="11" spans="1:15" s="2463" customFormat="1" ht="13.5">
      <c r="A11" s="4883" t="s">
        <v>468</v>
      </c>
      <c r="B11" s="4884"/>
      <c r="C11" s="2626" t="s">
        <v>467</v>
      </c>
      <c r="D11" s="2608" t="s">
        <v>466</v>
      </c>
      <c r="E11" s="4869" t="s">
        <v>465</v>
      </c>
      <c r="F11" s="4870"/>
      <c r="G11" s="4871"/>
      <c r="H11" s="2607" t="s">
        <v>464</v>
      </c>
      <c r="I11" s="2579"/>
      <c r="J11" s="2579"/>
      <c r="K11" s="2579"/>
      <c r="L11" s="2579"/>
      <c r="M11" s="2579"/>
      <c r="N11" s="2579"/>
      <c r="O11" s="2579"/>
    </row>
    <row r="12" spans="1:15" s="2463" customFormat="1" ht="13.5">
      <c r="A12" s="4885"/>
      <c r="B12" s="4886"/>
      <c r="C12" s="2625" t="s">
        <v>463</v>
      </c>
      <c r="D12" s="2517">
        <v>2020</v>
      </c>
      <c r="E12" s="2517" t="s">
        <v>2118</v>
      </c>
      <c r="F12" s="2517" t="s">
        <v>2117</v>
      </c>
      <c r="G12" s="2517" t="s">
        <v>244</v>
      </c>
      <c r="H12" s="2517" t="s">
        <v>652</v>
      </c>
      <c r="I12" s="2579"/>
      <c r="J12" s="2579"/>
      <c r="K12" s="2579"/>
      <c r="L12" s="2579"/>
      <c r="M12" s="2579"/>
      <c r="N12" s="2579"/>
      <c r="O12" s="2579"/>
    </row>
    <row r="13" spans="1:15" s="2463" customFormat="1" ht="13.5">
      <c r="A13" s="4887"/>
      <c r="B13" s="4888"/>
      <c r="C13" s="2624"/>
      <c r="D13" s="2602" t="s">
        <v>460</v>
      </c>
      <c r="E13" s="2513" t="s">
        <v>460</v>
      </c>
      <c r="F13" s="2602" t="s">
        <v>459</v>
      </c>
      <c r="G13" s="2623"/>
      <c r="H13" s="2602" t="s">
        <v>458</v>
      </c>
      <c r="I13" s="2579"/>
      <c r="J13" s="2579"/>
      <c r="K13" s="2579"/>
      <c r="L13" s="2579"/>
      <c r="M13" s="2579"/>
      <c r="N13" s="2579"/>
      <c r="O13" s="2579"/>
    </row>
    <row r="14" spans="1:15" s="2463" customFormat="1" ht="15" customHeight="1">
      <c r="A14" s="2601" t="s">
        <v>2011</v>
      </c>
      <c r="B14" s="2605"/>
      <c r="C14" s="2604"/>
      <c r="D14" s="2602"/>
      <c r="E14" s="2513"/>
      <c r="F14" s="2602"/>
      <c r="G14" s="2603"/>
      <c r="H14" s="2602"/>
      <c r="I14" s="2579"/>
      <c r="J14" s="2579"/>
      <c r="K14" s="2579"/>
      <c r="L14" s="2579"/>
      <c r="M14" s="2579"/>
      <c r="N14" s="2579"/>
      <c r="O14" s="2579"/>
    </row>
    <row r="15" spans="1:15" s="2463" customFormat="1" ht="15" customHeight="1">
      <c r="A15" s="2601" t="s">
        <v>407</v>
      </c>
      <c r="B15" s="2600"/>
      <c r="C15" s="2599"/>
      <c r="D15" s="2598">
        <f>SUM(D16:D22)</f>
        <v>6707813.5399999991</v>
      </c>
      <c r="E15" s="2598">
        <f>SUM(E16:E22)</f>
        <v>2833825.6</v>
      </c>
      <c r="F15" s="2598">
        <f>SUM(F16:F22)</f>
        <v>8254782.4000000004</v>
      </c>
      <c r="G15" s="1512">
        <f>SUM(G16:G22)</f>
        <v>11088608</v>
      </c>
      <c r="H15" s="2622">
        <f>SUM(H16:H22)</f>
        <v>9662950</v>
      </c>
      <c r="I15" s="2579"/>
      <c r="J15" s="2579"/>
      <c r="K15" s="2579"/>
      <c r="L15" s="2579"/>
      <c r="M15" s="2579"/>
      <c r="N15" s="2579"/>
      <c r="O15" s="2579"/>
    </row>
    <row r="16" spans="1:15" s="1404" customFormat="1" ht="20.100000000000001" customHeight="1">
      <c r="A16" s="2591" t="s">
        <v>674</v>
      </c>
      <c r="B16" s="1519"/>
      <c r="C16" s="735" t="s">
        <v>396</v>
      </c>
      <c r="D16" s="1428">
        <v>1787082.69</v>
      </c>
      <c r="E16" s="1427">
        <v>426880.6</v>
      </c>
      <c r="F16" s="1454">
        <f>G16-E16</f>
        <v>3773677.4</v>
      </c>
      <c r="G16" s="1427">
        <v>4200558</v>
      </c>
      <c r="H16" s="1427">
        <v>2398900</v>
      </c>
      <c r="I16" s="2616"/>
      <c r="J16" s="2616"/>
      <c r="K16" s="2616"/>
      <c r="L16" s="2616"/>
      <c r="M16" s="2616"/>
      <c r="N16" s="2616"/>
      <c r="O16" s="2616"/>
    </row>
    <row r="17" spans="1:15" s="1404" customFormat="1" ht="20.100000000000001" customHeight="1">
      <c r="A17" s="2591" t="s">
        <v>1950</v>
      </c>
      <c r="B17" s="2621"/>
      <c r="C17" s="735" t="s">
        <v>1949</v>
      </c>
      <c r="D17" s="1428">
        <v>4308619.3499999996</v>
      </c>
      <c r="E17" s="1427">
        <v>2044880</v>
      </c>
      <c r="F17" s="1454">
        <f>G17-E17</f>
        <v>3341020</v>
      </c>
      <c r="G17" s="1427">
        <v>5385900</v>
      </c>
      <c r="H17" s="1424">
        <v>5385900</v>
      </c>
      <c r="I17" s="2616"/>
      <c r="J17" s="2616"/>
      <c r="K17" s="2616"/>
      <c r="L17" s="2616"/>
      <c r="M17" s="2616"/>
      <c r="N17" s="2616"/>
      <c r="O17" s="2616"/>
    </row>
    <row r="18" spans="1:15" s="1404" customFormat="1" ht="20.100000000000001" customHeight="1">
      <c r="A18" s="1560" t="s">
        <v>2122</v>
      </c>
      <c r="B18" s="2621"/>
      <c r="C18" s="735"/>
      <c r="D18" s="1428"/>
      <c r="E18" s="1427"/>
      <c r="F18" s="1454"/>
      <c r="G18" s="1427"/>
      <c r="H18" s="1427"/>
      <c r="I18" s="2616"/>
      <c r="J18" s="2616"/>
      <c r="K18" s="2616"/>
      <c r="L18" s="2616"/>
      <c r="M18" s="2616"/>
      <c r="N18" s="2616"/>
      <c r="O18" s="2616"/>
    </row>
    <row r="19" spans="1:15" s="1404" customFormat="1" ht="20.100000000000001" customHeight="1">
      <c r="A19" s="2591" t="s">
        <v>2123</v>
      </c>
      <c r="B19" s="2621"/>
      <c r="C19" s="735" t="s">
        <v>376</v>
      </c>
      <c r="D19" s="1428">
        <v>324138.5</v>
      </c>
      <c r="E19" s="1427">
        <v>131765</v>
      </c>
      <c r="F19" s="1454">
        <f>G19-E19</f>
        <v>318235</v>
      </c>
      <c r="G19" s="1427">
        <v>450000</v>
      </c>
      <c r="H19" s="1427">
        <v>350000</v>
      </c>
      <c r="I19" s="2616"/>
      <c r="J19" s="2616"/>
      <c r="K19" s="2616"/>
      <c r="L19" s="2616"/>
      <c r="M19" s="2616"/>
      <c r="N19" s="2616"/>
      <c r="O19" s="2616"/>
    </row>
    <row r="20" spans="1:15" s="1404" customFormat="1" ht="20.100000000000001" customHeight="1">
      <c r="A20" s="1560" t="s">
        <v>2122</v>
      </c>
      <c r="B20" s="2621"/>
      <c r="C20" s="735"/>
      <c r="D20" s="1428"/>
      <c r="E20" s="1427"/>
      <c r="F20" s="1454"/>
      <c r="G20" s="1427"/>
      <c r="H20" s="1427"/>
      <c r="I20" s="2616"/>
      <c r="J20" s="2616"/>
      <c r="K20" s="2616"/>
      <c r="L20" s="2616"/>
      <c r="M20" s="2616"/>
      <c r="N20" s="2616"/>
      <c r="O20" s="2616"/>
    </row>
    <row r="21" spans="1:15" s="1404" customFormat="1" ht="20.100000000000001" customHeight="1">
      <c r="A21" s="2591" t="s">
        <v>2121</v>
      </c>
      <c r="B21" s="2621"/>
      <c r="C21" s="735" t="s">
        <v>371</v>
      </c>
      <c r="D21" s="1428">
        <v>254373</v>
      </c>
      <c r="E21" s="1427">
        <v>230300</v>
      </c>
      <c r="F21" s="1454">
        <f>G21-E21</f>
        <v>793700</v>
      </c>
      <c r="G21" s="1427">
        <v>1024000</v>
      </c>
      <c r="H21" s="1427">
        <v>1500000</v>
      </c>
      <c r="I21" s="2616"/>
      <c r="J21" s="2616"/>
      <c r="K21" s="2616"/>
      <c r="L21" s="2616"/>
      <c r="M21" s="2616"/>
      <c r="N21" s="2616"/>
      <c r="O21" s="2616"/>
    </row>
    <row r="22" spans="1:15" s="1404" customFormat="1" ht="20.100000000000001" customHeight="1">
      <c r="A22" s="2591" t="s">
        <v>368</v>
      </c>
      <c r="B22" s="1519"/>
      <c r="C22" s="2590" t="s">
        <v>367</v>
      </c>
      <c r="D22" s="1428">
        <v>33600</v>
      </c>
      <c r="E22" s="1427">
        <v>0</v>
      </c>
      <c r="F22" s="1454">
        <f>G22-E22</f>
        <v>28150</v>
      </c>
      <c r="G22" s="1427">
        <v>28150</v>
      </c>
      <c r="H22" s="1427">
        <v>28150</v>
      </c>
      <c r="I22" s="2616"/>
      <c r="J22" s="2616"/>
      <c r="K22" s="2616"/>
      <c r="L22" s="2616"/>
      <c r="M22" s="2616"/>
      <c r="N22" s="2616"/>
      <c r="O22" s="2616"/>
    </row>
    <row r="23" spans="1:15" s="1404" customFormat="1" ht="20.100000000000001" customHeight="1">
      <c r="A23" s="2591"/>
      <c r="B23" s="1519"/>
      <c r="C23" s="2620"/>
      <c r="D23" s="1559"/>
      <c r="E23" s="2619"/>
      <c r="F23" s="1558"/>
      <c r="G23" s="2619"/>
      <c r="H23" s="2619"/>
      <c r="I23" s="2616"/>
      <c r="J23" s="2616"/>
      <c r="K23" s="2616"/>
      <c r="L23" s="2616"/>
      <c r="M23" s="2616"/>
      <c r="N23" s="2616"/>
      <c r="O23" s="2616"/>
    </row>
    <row r="24" spans="1:15" s="1404" customFormat="1" ht="20.100000000000001" customHeight="1">
      <c r="A24" s="2591"/>
      <c r="B24" s="1519"/>
      <c r="C24" s="2620"/>
      <c r="D24" s="1559"/>
      <c r="E24" s="2619"/>
      <c r="F24" s="1558"/>
      <c r="G24" s="2619"/>
      <c r="H24" s="2619"/>
      <c r="I24" s="2616"/>
      <c r="J24" s="2616"/>
      <c r="K24" s="2616"/>
      <c r="L24" s="2616"/>
      <c r="M24" s="2616"/>
      <c r="N24" s="2616"/>
      <c r="O24" s="2616"/>
    </row>
    <row r="25" spans="1:15" s="1404" customFormat="1" ht="20.100000000000001" customHeight="1">
      <c r="A25" s="2587"/>
      <c r="B25" s="2586"/>
      <c r="C25" s="2585"/>
      <c r="D25" s="1559"/>
      <c r="E25" s="2618"/>
      <c r="F25" s="1558"/>
      <c r="G25" s="2618"/>
      <c r="H25" s="2618"/>
      <c r="I25" s="2616"/>
      <c r="J25" s="2616"/>
      <c r="K25" s="2616"/>
      <c r="L25" s="2616"/>
      <c r="M25" s="2616"/>
      <c r="N25" s="2616"/>
      <c r="O25" s="2616"/>
    </row>
    <row r="26" spans="1:15" s="1404" customFormat="1" ht="20.100000000000001" customHeight="1" thickBot="1">
      <c r="A26" s="2617" t="s">
        <v>366</v>
      </c>
      <c r="B26" s="2584"/>
      <c r="C26" s="2583"/>
      <c r="D26" s="1418">
        <f>SUM(D16:D22)</f>
        <v>6707813.5399999991</v>
      </c>
      <c r="E26" s="1418">
        <f>SUM(E16:E22)</f>
        <v>2833825.6</v>
      </c>
      <c r="F26" s="1418">
        <f>SUM(F16:F22)</f>
        <v>8254782.4000000004</v>
      </c>
      <c r="G26" s="1418">
        <f>SUM(G16:G22)</f>
        <v>11088608</v>
      </c>
      <c r="H26" s="1418">
        <f>SUM(H16:H22)</f>
        <v>9662950</v>
      </c>
      <c r="I26" s="2616"/>
      <c r="J26" s="2616"/>
      <c r="K26" s="2616"/>
      <c r="L26" s="2616"/>
      <c r="M26" s="2616"/>
      <c r="N26" s="2616"/>
      <c r="O26" s="2616"/>
    </row>
    <row r="27" spans="1:15" s="1404" customFormat="1" ht="20.100000000000001" customHeight="1" thickTop="1">
      <c r="A27" s="1403" t="s">
        <v>2112</v>
      </c>
      <c r="B27" s="1390"/>
      <c r="C27" s="1403" t="s">
        <v>2111</v>
      </c>
      <c r="D27" s="1390"/>
      <c r="E27" s="2288"/>
      <c r="F27" s="2582" t="s">
        <v>2110</v>
      </c>
      <c r="G27" s="1403"/>
      <c r="H27" s="1390"/>
      <c r="I27" s="2616"/>
      <c r="J27" s="2616" t="s">
        <v>256</v>
      </c>
      <c r="K27" s="2616"/>
      <c r="L27" s="2616"/>
      <c r="M27" s="2616"/>
      <c r="N27" s="2616"/>
      <c r="O27" s="2616"/>
    </row>
    <row r="28" spans="1:15" s="1404" customFormat="1" ht="20.100000000000001" customHeight="1">
      <c r="A28" s="1403"/>
      <c r="B28" s="1390"/>
      <c r="C28" s="1403"/>
      <c r="D28" s="1390"/>
      <c r="E28" s="2471"/>
      <c r="F28" s="2471"/>
      <c r="G28" s="1403"/>
      <c r="H28" s="1390"/>
      <c r="I28" s="2616"/>
      <c r="J28" s="2616"/>
      <c r="K28" s="2616"/>
      <c r="L28" s="2616"/>
      <c r="M28" s="2616"/>
      <c r="N28" s="2616"/>
      <c r="O28" s="2616"/>
    </row>
    <row r="29" spans="1:15" s="1404" customFormat="1" ht="20.100000000000001" customHeight="1">
      <c r="A29" s="1390"/>
      <c r="B29" s="1403"/>
      <c r="C29" s="2581"/>
      <c r="D29" s="1403"/>
      <c r="E29" s="1403"/>
      <c r="F29" s="1403"/>
      <c r="G29" s="1403"/>
      <c r="H29" s="1390"/>
      <c r="I29" s="2616"/>
      <c r="J29" s="2616"/>
      <c r="K29" s="2616"/>
      <c r="L29" s="2616"/>
      <c r="M29" s="2616"/>
      <c r="N29" s="2616"/>
      <c r="O29" s="2616"/>
    </row>
    <row r="30" spans="1:15" s="2288" customFormat="1" ht="19.5" customHeight="1" outlineLevel="1">
      <c r="A30" s="4873" t="s">
        <v>2109</v>
      </c>
      <c r="B30" s="4873"/>
      <c r="C30" s="4760" t="s">
        <v>360</v>
      </c>
      <c r="D30" s="4760"/>
      <c r="E30" s="4760"/>
      <c r="F30" s="4741" t="s">
        <v>359</v>
      </c>
      <c r="G30" s="4741"/>
      <c r="H30" s="4741"/>
    </row>
    <row r="31" spans="1:15" s="2288" customFormat="1" ht="15.95" customHeight="1" outlineLevel="1">
      <c r="A31" s="2580"/>
      <c r="B31" s="2464" t="s">
        <v>2108</v>
      </c>
      <c r="C31" s="4754" t="s">
        <v>357</v>
      </c>
      <c r="D31" s="4754"/>
      <c r="E31" s="4754"/>
      <c r="F31" s="4868" t="s">
        <v>356</v>
      </c>
      <c r="G31" s="4868"/>
      <c r="H31" s="4868"/>
    </row>
    <row r="32" spans="1:15" s="2288" customFormat="1" ht="10.5" customHeight="1" outlineLevel="1">
      <c r="A32" s="4878"/>
      <c r="B32" s="4878"/>
      <c r="C32" s="4754"/>
      <c r="D32" s="4754"/>
      <c r="E32" s="4754"/>
      <c r="F32" s="1406"/>
      <c r="G32" s="1406"/>
      <c r="H32" s="1406"/>
    </row>
    <row r="33" spans="1:15" s="2288" customFormat="1" ht="15.95" customHeight="1" outlineLevel="1">
      <c r="A33" s="2463"/>
      <c r="B33" s="2464"/>
      <c r="C33" s="2463"/>
      <c r="D33" s="2465"/>
      <c r="E33" s="2465"/>
      <c r="F33" s="2465"/>
      <c r="G33" s="2465"/>
      <c r="H33" s="2465"/>
    </row>
    <row r="34" spans="1:15" s="2288" customFormat="1" ht="15.75" customHeight="1" outlineLevel="1">
      <c r="A34" s="2463"/>
      <c r="B34" s="2464"/>
      <c r="C34" s="2463"/>
      <c r="D34" s="2465"/>
      <c r="E34" s="2465"/>
      <c r="F34" s="2465"/>
      <c r="G34" s="2465"/>
      <c r="H34" s="2465"/>
    </row>
    <row r="35" spans="1:15" s="2288" customFormat="1" ht="12" customHeight="1" outlineLevel="1">
      <c r="A35" s="2463"/>
      <c r="B35" s="2464"/>
      <c r="C35" s="2463"/>
      <c r="D35" s="2465"/>
      <c r="E35" s="2465"/>
      <c r="F35" s="2465"/>
      <c r="G35" s="2465"/>
      <c r="H35" s="2465"/>
    </row>
    <row r="36" spans="1:15" s="2463" customFormat="1" ht="12.75">
      <c r="B36" s="2464"/>
      <c r="D36" s="2465"/>
      <c r="E36" s="2465"/>
      <c r="F36" s="2465"/>
      <c r="G36" s="2465"/>
      <c r="H36" s="2465"/>
      <c r="I36" s="2579"/>
      <c r="J36" s="2579"/>
      <c r="K36" s="2579"/>
      <c r="L36" s="2579"/>
      <c r="M36" s="2579"/>
      <c r="N36" s="2579"/>
      <c r="O36" s="2579"/>
    </row>
    <row r="37" spans="1:15" s="2463" customFormat="1" ht="12.75">
      <c r="B37" s="2464"/>
      <c r="D37" s="2465"/>
      <c r="E37" s="2465"/>
      <c r="F37" s="2465"/>
      <c r="G37" s="2465"/>
      <c r="H37" s="2465"/>
      <c r="I37" s="2579"/>
      <c r="J37" s="2579"/>
      <c r="K37" s="2579"/>
      <c r="L37" s="2579"/>
      <c r="M37" s="2579"/>
      <c r="N37" s="2579"/>
      <c r="O37" s="2579"/>
    </row>
    <row r="38" spans="1:15" s="2463" customFormat="1" ht="12.75">
      <c r="B38" s="2464"/>
      <c r="D38" s="2465"/>
      <c r="E38" s="2465"/>
      <c r="F38" s="2465"/>
      <c r="G38" s="2465"/>
      <c r="H38" s="2465"/>
      <c r="I38" s="2579"/>
      <c r="J38" s="2579"/>
      <c r="K38" s="2579"/>
      <c r="L38" s="2579"/>
      <c r="M38" s="2579"/>
      <c r="N38" s="2579"/>
      <c r="O38" s="2579"/>
    </row>
    <row r="39" spans="1:15" s="2463" customFormat="1" ht="12.75">
      <c r="B39" s="2464"/>
      <c r="D39" s="2465"/>
      <c r="E39" s="2465"/>
      <c r="F39" s="2465"/>
      <c r="G39" s="2465"/>
      <c r="H39" s="2465"/>
      <c r="I39" s="2579"/>
      <c r="J39" s="2579"/>
      <c r="K39" s="2579"/>
      <c r="L39" s="2579"/>
      <c r="M39" s="2579"/>
      <c r="N39" s="2579"/>
      <c r="O39" s="2579"/>
    </row>
    <row r="40" spans="1:15" s="2463" customFormat="1" ht="12.75">
      <c r="B40" s="2464"/>
      <c r="D40" s="2465"/>
      <c r="E40" s="2465"/>
      <c r="F40" s="2465"/>
      <c r="G40" s="2465"/>
      <c r="H40" s="2465"/>
      <c r="I40" s="2579"/>
      <c r="J40" s="2579"/>
      <c r="K40" s="2579"/>
      <c r="L40" s="2579"/>
      <c r="M40" s="2579"/>
      <c r="N40" s="2579"/>
      <c r="O40" s="2579"/>
    </row>
    <row r="41" spans="1:15" s="2463" customFormat="1" ht="12.75">
      <c r="A41" s="4889"/>
      <c r="B41" s="4889"/>
      <c r="C41" s="4889"/>
      <c r="D41" s="4889"/>
      <c r="E41" s="4889"/>
      <c r="F41" s="4889"/>
      <c r="G41" s="4889"/>
      <c r="H41" s="4889"/>
      <c r="I41" s="2579"/>
      <c r="J41" s="2579"/>
      <c r="K41" s="2579"/>
      <c r="L41" s="2579"/>
      <c r="M41" s="2579"/>
      <c r="N41" s="2579"/>
      <c r="O41" s="2579"/>
    </row>
    <row r="42" spans="1:15" s="2463" customFormat="1" ht="12.75">
      <c r="A42" s="4729"/>
      <c r="B42" s="4729"/>
      <c r="C42" s="4729"/>
      <c r="D42" s="4729"/>
      <c r="E42" s="4729"/>
      <c r="F42" s="4729"/>
      <c r="G42" s="4729"/>
      <c r="H42" s="4729"/>
      <c r="I42" s="2579"/>
      <c r="J42" s="2579"/>
      <c r="K42" s="2579"/>
      <c r="L42" s="2579"/>
      <c r="M42" s="2579"/>
      <c r="N42" s="2579"/>
      <c r="O42" s="2579"/>
    </row>
    <row r="43" spans="1:15" s="2463" customFormat="1">
      <c r="A43" s="1302"/>
      <c r="B43" s="2530"/>
      <c r="C43" s="2578"/>
      <c r="D43" s="2530"/>
      <c r="E43" s="4882"/>
      <c r="F43" s="4882"/>
      <c r="G43" s="1302"/>
      <c r="H43" s="2530"/>
      <c r="I43" s="2579"/>
      <c r="J43" s="2579"/>
      <c r="K43" s="2579"/>
      <c r="L43" s="2579"/>
      <c r="M43" s="2579"/>
      <c r="N43" s="2579"/>
      <c r="O43" s="2579"/>
    </row>
    <row r="44" spans="1:15" s="2463" customFormat="1">
      <c r="A44" s="2530"/>
      <c r="B44" s="1302"/>
      <c r="C44" s="2578"/>
      <c r="D44" s="1302"/>
      <c r="E44" s="1302"/>
      <c r="F44" s="1302"/>
      <c r="G44" s="1302"/>
      <c r="H44" s="2530"/>
      <c r="I44" s="2579"/>
      <c r="J44" s="2579"/>
      <c r="K44" s="2579"/>
      <c r="L44" s="2579"/>
      <c r="M44" s="2579"/>
      <c r="N44" s="2579"/>
      <c r="O44" s="2579"/>
    </row>
    <row r="45" spans="1:15" s="2532" customFormat="1" ht="12.75">
      <c r="A45" s="4889"/>
      <c r="B45" s="4889"/>
      <c r="C45" s="4889"/>
      <c r="D45" s="4889"/>
      <c r="E45" s="4889"/>
      <c r="F45" s="4889"/>
      <c r="G45" s="4889"/>
      <c r="H45" s="4889"/>
    </row>
    <row r="46" spans="1:15" s="2532" customFormat="1" ht="12.75">
      <c r="A46" s="4877"/>
      <c r="B46" s="4877"/>
      <c r="C46" s="4877"/>
      <c r="D46" s="4877"/>
      <c r="E46" s="4877"/>
      <c r="F46" s="4877"/>
      <c r="G46" s="4877"/>
      <c r="H46" s="4877"/>
    </row>
    <row r="47" spans="1:15" s="2532" customFormat="1" ht="12.75">
      <c r="A47" s="4876"/>
      <c r="B47" s="4876"/>
      <c r="C47" s="4876"/>
      <c r="D47" s="4876"/>
      <c r="E47" s="4876"/>
      <c r="F47" s="4876"/>
      <c r="G47" s="4876"/>
      <c r="H47" s="4876"/>
    </row>
    <row r="48" spans="1:15" s="2532" customFormat="1" ht="12.75">
      <c r="A48" s="4877"/>
      <c r="B48" s="4877"/>
      <c r="C48" s="4877"/>
      <c r="D48" s="4877"/>
      <c r="E48" s="4877"/>
      <c r="F48" s="4877"/>
      <c r="G48" s="4877"/>
      <c r="H48" s="4877"/>
    </row>
    <row r="49" spans="1:15" s="2532" customFormat="1" ht="12.75">
      <c r="B49" s="2577"/>
      <c r="D49" s="2576"/>
      <c r="E49" s="2576"/>
      <c r="F49" s="2576"/>
      <c r="G49" s="2576"/>
      <c r="H49" s="2576"/>
    </row>
    <row r="50" spans="1:15" s="2532" customFormat="1">
      <c r="A50" s="2568"/>
      <c r="B50" s="2567"/>
      <c r="C50" s="2529"/>
      <c r="D50" s="2566"/>
      <c r="E50" s="2566"/>
      <c r="F50" s="2566"/>
      <c r="G50" s="2566"/>
      <c r="H50" s="2566"/>
    </row>
    <row r="51" spans="1:15" s="2532" customFormat="1" ht="12.75">
      <c r="A51" s="1269"/>
      <c r="B51" s="1269"/>
      <c r="C51" s="2542"/>
      <c r="D51" s="2541"/>
      <c r="E51" s="2561"/>
      <c r="F51" s="2540"/>
      <c r="G51" s="2565"/>
      <c r="H51" s="2561"/>
    </row>
    <row r="52" spans="1:15" s="2532" customFormat="1" ht="23.25">
      <c r="A52" s="2571"/>
      <c r="B52" s="2571"/>
      <c r="C52" s="2542"/>
      <c r="D52" s="2541"/>
      <c r="E52" s="2561"/>
      <c r="F52" s="2540"/>
      <c r="G52" s="2562"/>
      <c r="H52" s="2561"/>
    </row>
    <row r="53" spans="1:15" s="2463" customFormat="1" ht="12.75">
      <c r="A53" s="4879"/>
      <c r="B53" s="4879"/>
      <c r="C53" s="2559"/>
      <c r="D53" s="2560"/>
      <c r="E53" s="4880"/>
      <c r="F53" s="4880"/>
      <c r="G53" s="4880"/>
      <c r="H53" s="2557"/>
      <c r="I53" s="2579"/>
      <c r="J53" s="2579"/>
      <c r="K53" s="2579"/>
      <c r="L53" s="2579"/>
      <c r="M53" s="2579"/>
      <c r="N53" s="2579"/>
      <c r="O53" s="2579"/>
    </row>
    <row r="54" spans="1:15" s="2463" customFormat="1" ht="12.75">
      <c r="A54" s="4879"/>
      <c r="B54" s="4879"/>
      <c r="C54" s="2559"/>
      <c r="D54" s="2558"/>
      <c r="E54" s="2558"/>
      <c r="F54" s="2558"/>
      <c r="G54" s="2558"/>
      <c r="H54" s="2558"/>
      <c r="I54" s="2579"/>
      <c r="J54" s="2579"/>
      <c r="K54" s="2579"/>
      <c r="L54" s="2579"/>
      <c r="M54" s="2579"/>
      <c r="N54" s="2579"/>
      <c r="O54" s="2579"/>
    </row>
    <row r="55" spans="1:15" s="2463" customFormat="1" ht="12.75">
      <c r="A55" s="4879"/>
      <c r="B55" s="4879"/>
      <c r="C55" s="2557"/>
      <c r="D55" s="2555"/>
      <c r="E55" s="2555"/>
      <c r="F55" s="2555"/>
      <c r="G55" s="2556"/>
      <c r="H55" s="2555"/>
      <c r="I55" s="2579"/>
      <c r="J55" s="2579"/>
      <c r="K55" s="2579"/>
      <c r="L55" s="2579"/>
      <c r="M55" s="2579"/>
      <c r="N55" s="2579"/>
      <c r="O55" s="2579"/>
    </row>
    <row r="56" spans="1:15" s="2463" customFormat="1" ht="12.75">
      <c r="A56" s="2554"/>
      <c r="B56" s="2553"/>
      <c r="C56" s="2552"/>
      <c r="D56" s="2551"/>
      <c r="E56" s="2551"/>
      <c r="F56" s="2551"/>
      <c r="G56" s="2551"/>
      <c r="H56" s="2551"/>
      <c r="I56" s="2579"/>
      <c r="J56" s="2579"/>
      <c r="K56" s="2579"/>
      <c r="L56" s="2579"/>
      <c r="M56" s="2579"/>
      <c r="N56" s="2579"/>
      <c r="O56" s="2579"/>
    </row>
    <row r="57" spans="1:15" s="2463" customFormat="1" ht="12.75">
      <c r="A57" s="2549"/>
      <c r="B57" s="2549"/>
      <c r="C57" s="2545"/>
      <c r="D57" s="2548"/>
      <c r="E57" s="2548"/>
      <c r="F57" s="2540"/>
      <c r="G57" s="2548"/>
      <c r="H57" s="2548"/>
      <c r="I57" s="2579"/>
      <c r="J57" s="2579"/>
      <c r="K57" s="2579"/>
      <c r="L57" s="2579"/>
      <c r="M57" s="2579"/>
      <c r="N57" s="2579"/>
      <c r="O57" s="2579"/>
    </row>
    <row r="58" spans="1:15" s="2463" customFormat="1" ht="12.75">
      <c r="A58" s="2549"/>
      <c r="B58" s="2549"/>
      <c r="C58" s="2545"/>
      <c r="D58" s="2548"/>
      <c r="E58" s="2548"/>
      <c r="F58" s="2540"/>
      <c r="G58" s="2548"/>
      <c r="H58" s="2548"/>
      <c r="I58" s="2579"/>
      <c r="J58" s="2579"/>
      <c r="K58" s="2579"/>
      <c r="L58" s="2579"/>
      <c r="M58" s="2579"/>
      <c r="N58" s="2579"/>
      <c r="O58" s="2579"/>
    </row>
    <row r="59" spans="1:15" s="2463" customFormat="1" ht="12.75">
      <c r="A59" s="2546"/>
      <c r="B59" s="1269"/>
      <c r="C59" s="2545"/>
      <c r="D59" s="2541"/>
      <c r="E59" s="2544"/>
      <c r="F59" s="2540"/>
      <c r="G59" s="2544"/>
      <c r="H59" s="2544"/>
      <c r="I59" s="2579"/>
      <c r="J59" s="2579"/>
      <c r="K59" s="2579"/>
      <c r="L59" s="2579"/>
      <c r="M59" s="2579"/>
      <c r="N59" s="2579"/>
      <c r="O59" s="2579"/>
    </row>
    <row r="60" spans="1:15" s="2463" customFormat="1" ht="12.75">
      <c r="A60" s="2549"/>
      <c r="B60" s="2549"/>
      <c r="C60" s="2545"/>
      <c r="D60" s="2541"/>
      <c r="E60" s="2544"/>
      <c r="F60" s="2540"/>
      <c r="G60" s="2544"/>
      <c r="H60" s="2544"/>
      <c r="I60" s="2579"/>
      <c r="J60" s="2579"/>
      <c r="K60" s="2579"/>
      <c r="L60" s="2579"/>
      <c r="M60" s="2579"/>
      <c r="N60" s="2579"/>
      <c r="O60" s="2579"/>
    </row>
    <row r="61" spans="1:15" s="2463" customFormat="1" ht="12.75">
      <c r="A61" s="2549"/>
      <c r="B61" s="2549"/>
      <c r="C61" s="2545"/>
      <c r="D61" s="2541"/>
      <c r="E61" s="2544"/>
      <c r="F61" s="2540"/>
      <c r="G61" s="2544"/>
      <c r="H61" s="2544"/>
      <c r="I61" s="2579"/>
      <c r="J61" s="2579"/>
      <c r="K61" s="2579"/>
      <c r="L61" s="2579"/>
      <c r="M61" s="2579"/>
      <c r="N61" s="2579"/>
      <c r="O61" s="2579"/>
    </row>
    <row r="62" spans="1:15" s="2463" customFormat="1" ht="12.75">
      <c r="A62" s="2549"/>
      <c r="B62" s="2549"/>
      <c r="C62" s="2542"/>
      <c r="D62" s="2541"/>
      <c r="E62" s="2544"/>
      <c r="F62" s="2540"/>
      <c r="G62" s="2544"/>
      <c r="H62" s="2544"/>
      <c r="I62" s="2579"/>
      <c r="J62" s="2579"/>
      <c r="K62" s="2579"/>
      <c r="L62" s="2579"/>
      <c r="M62" s="2579"/>
      <c r="N62" s="2579"/>
      <c r="O62" s="2579"/>
    </row>
    <row r="63" spans="1:15" s="2463" customFormat="1" ht="12.75">
      <c r="A63" s="2546"/>
      <c r="B63" s="1269"/>
      <c r="C63" s="2542"/>
      <c r="D63" s="2541"/>
      <c r="E63" s="2544"/>
      <c r="F63" s="2540"/>
      <c r="G63" s="2544"/>
      <c r="H63" s="2544"/>
      <c r="I63" s="2579"/>
      <c r="J63" s="2579"/>
      <c r="K63" s="2579"/>
      <c r="L63" s="2579"/>
      <c r="M63" s="2579"/>
      <c r="N63" s="2579"/>
      <c r="O63" s="2579"/>
    </row>
    <row r="64" spans="1:15" s="2463" customFormat="1" ht="12.75">
      <c r="A64" s="2546"/>
      <c r="B64" s="1269"/>
      <c r="C64" s="2545"/>
      <c r="D64" s="2541"/>
      <c r="E64" s="2544"/>
      <c r="F64" s="2540"/>
      <c r="G64" s="2544"/>
      <c r="H64" s="2544"/>
      <c r="I64" s="2579"/>
      <c r="J64" s="2579"/>
      <c r="K64" s="2579"/>
      <c r="L64" s="2579"/>
      <c r="M64" s="2579"/>
      <c r="N64" s="2579"/>
      <c r="O64" s="2579"/>
    </row>
    <row r="65" spans="1:15" s="2463" customFormat="1" ht="12.75">
      <c r="A65" s="2546"/>
      <c r="B65" s="1269"/>
      <c r="C65" s="2545"/>
      <c r="D65" s="2541"/>
      <c r="E65" s="2544"/>
      <c r="F65" s="2540"/>
      <c r="G65" s="2544"/>
      <c r="H65" s="2544"/>
      <c r="I65" s="2579"/>
      <c r="J65" s="2579"/>
      <c r="K65" s="2579"/>
      <c r="L65" s="2579"/>
      <c r="M65" s="2579"/>
      <c r="N65" s="2579"/>
      <c r="O65" s="2579"/>
    </row>
    <row r="66" spans="1:15" s="2463" customFormat="1" ht="12.75">
      <c r="A66" s="2547"/>
      <c r="B66" s="2546"/>
      <c r="C66" s="2545"/>
      <c r="D66" s="2541"/>
      <c r="E66" s="2544"/>
      <c r="F66" s="2540"/>
      <c r="G66" s="2544"/>
      <c r="H66" s="2544"/>
      <c r="I66" s="2579"/>
      <c r="J66" s="2579"/>
      <c r="K66" s="2579"/>
      <c r="L66" s="2579"/>
      <c r="M66" s="2579"/>
      <c r="N66" s="2579"/>
      <c r="O66" s="2579"/>
    </row>
    <row r="67" spans="1:15" s="2463" customFormat="1" ht="12.75">
      <c r="A67" s="2543"/>
      <c r="B67" s="2543"/>
      <c r="C67" s="2542"/>
      <c r="D67" s="2541"/>
      <c r="E67" s="2539"/>
      <c r="F67" s="2540"/>
      <c r="G67" s="2539"/>
      <c r="H67" s="2539"/>
      <c r="I67" s="2579"/>
      <c r="J67" s="2579"/>
      <c r="K67" s="2579"/>
      <c r="L67" s="2579"/>
      <c r="M67" s="2579"/>
      <c r="N67" s="2579"/>
      <c r="O67" s="2579"/>
    </row>
    <row r="68" spans="1:15" s="2463" customFormat="1" ht="12.75">
      <c r="A68" s="2538"/>
      <c r="B68" s="2538"/>
      <c r="C68" s="2537"/>
      <c r="D68" s="2536"/>
      <c r="E68" s="2536"/>
      <c r="F68" s="2536"/>
      <c r="G68" s="2536"/>
      <c r="H68" s="2536"/>
      <c r="I68" s="2579"/>
      <c r="J68" s="2579"/>
      <c r="K68" s="2579"/>
      <c r="L68" s="2579"/>
      <c r="M68" s="2579"/>
      <c r="N68" s="2579"/>
      <c r="O68" s="2579"/>
    </row>
    <row r="69" spans="1:15" s="2463" customFormat="1" ht="12.75">
      <c r="A69" s="2538"/>
      <c r="B69" s="2538"/>
      <c r="C69" s="2537"/>
      <c r="D69" s="2536"/>
      <c r="E69" s="2536"/>
      <c r="F69" s="2536"/>
      <c r="G69" s="2536"/>
      <c r="H69" s="2536"/>
      <c r="I69" s="2579"/>
      <c r="J69" s="2579"/>
      <c r="K69" s="2579"/>
      <c r="L69" s="2579"/>
      <c r="M69" s="2579"/>
      <c r="N69" s="2579"/>
      <c r="O69" s="2579"/>
    </row>
    <row r="70" spans="1:15" s="2463" customFormat="1">
      <c r="A70" s="1269"/>
      <c r="B70" s="2529"/>
      <c r="C70" s="2535"/>
      <c r="D70" s="2529"/>
      <c r="E70" s="4877"/>
      <c r="F70" s="4877"/>
      <c r="G70" s="1269"/>
      <c r="H70" s="2529"/>
      <c r="I70" s="2579"/>
      <c r="J70" s="2579"/>
      <c r="K70" s="2579"/>
      <c r="L70" s="2579"/>
      <c r="M70" s="2579"/>
      <c r="N70" s="2579"/>
      <c r="O70" s="2579"/>
    </row>
    <row r="71" spans="1:15" s="2463" customFormat="1">
      <c r="A71" s="2529"/>
      <c r="B71" s="1269"/>
      <c r="C71" s="2535"/>
      <c r="D71" s="1269"/>
      <c r="E71" s="1269"/>
      <c r="F71" s="1269"/>
      <c r="G71" s="1269"/>
      <c r="H71" s="2529"/>
      <c r="I71" s="2579"/>
      <c r="J71" s="2579"/>
      <c r="K71" s="2579"/>
      <c r="L71" s="2579"/>
      <c r="M71" s="2579"/>
      <c r="N71" s="2579"/>
      <c r="O71" s="2579"/>
    </row>
    <row r="72" spans="1:15" s="2463" customFormat="1" ht="12.75">
      <c r="A72" s="2534"/>
      <c r="B72" s="1269"/>
      <c r="C72" s="4881"/>
      <c r="D72" s="4881"/>
      <c r="E72" s="4876"/>
      <c r="F72" s="4876"/>
      <c r="G72" s="4876"/>
      <c r="H72" s="4876"/>
      <c r="I72" s="2579"/>
      <c r="J72" s="2579"/>
      <c r="K72" s="2579"/>
      <c r="L72" s="2579"/>
      <c r="M72" s="2579"/>
      <c r="N72" s="2579"/>
      <c r="O72" s="2579"/>
    </row>
    <row r="73" spans="1:15" s="2463" customFormat="1" ht="12.75">
      <c r="A73" s="2531"/>
      <c r="B73" s="2533"/>
      <c r="C73" s="4874"/>
      <c r="D73" s="4874"/>
      <c r="E73" s="4875"/>
      <c r="F73" s="4875"/>
      <c r="G73" s="4875"/>
      <c r="H73" s="4875"/>
      <c r="I73" s="2579"/>
      <c r="J73" s="2579"/>
      <c r="K73" s="2579"/>
      <c r="L73" s="2579"/>
      <c r="M73" s="2579"/>
      <c r="N73" s="2579"/>
      <c r="O73" s="2579"/>
    </row>
    <row r="74" spans="1:15" s="2463" customFormat="1" ht="12.75">
      <c r="A74" s="2531"/>
      <c r="B74" s="2533"/>
      <c r="C74" s="2531"/>
      <c r="D74" s="2566"/>
      <c r="E74" s="2566"/>
      <c r="F74" s="2566"/>
      <c r="G74" s="2566"/>
      <c r="H74" s="2566"/>
      <c r="I74" s="2579"/>
      <c r="J74" s="2579"/>
      <c r="K74" s="2579"/>
      <c r="L74" s="2579"/>
      <c r="M74" s="2579"/>
      <c r="N74" s="2579"/>
      <c r="O74" s="2579"/>
    </row>
    <row r="75" spans="1:15" s="2463" customFormat="1" ht="12.75">
      <c r="A75" s="2531"/>
      <c r="B75" s="2533"/>
      <c r="C75" s="2531"/>
      <c r="D75" s="2566"/>
      <c r="E75" s="2566"/>
      <c r="F75" s="2566"/>
      <c r="G75" s="2566"/>
      <c r="H75" s="2566"/>
      <c r="I75" s="2579"/>
      <c r="J75" s="2579"/>
      <c r="K75" s="2579"/>
      <c r="L75" s="2579"/>
      <c r="M75" s="2579"/>
      <c r="N75" s="2579"/>
      <c r="O75" s="2579"/>
    </row>
    <row r="76" spans="1:15" s="2463" customFormat="1" ht="12.75">
      <c r="A76" s="2531"/>
      <c r="B76" s="2533"/>
      <c r="C76" s="2531"/>
      <c r="D76" s="2566"/>
      <c r="E76" s="2566"/>
      <c r="F76" s="2566"/>
      <c r="G76" s="2566"/>
      <c r="H76" s="2566"/>
      <c r="I76" s="2579"/>
      <c r="J76" s="2579"/>
      <c r="K76" s="2579"/>
      <c r="L76" s="2579"/>
      <c r="M76" s="2579"/>
      <c r="N76" s="2579"/>
      <c r="O76" s="2579"/>
    </row>
    <row r="77" spans="1:15" s="2463" customFormat="1" ht="12.75">
      <c r="A77" s="2531"/>
      <c r="B77" s="2533"/>
      <c r="C77" s="2531"/>
      <c r="D77" s="2566"/>
      <c r="E77" s="2566"/>
      <c r="F77" s="2566"/>
      <c r="G77" s="2566"/>
      <c r="H77" s="2566"/>
      <c r="I77" s="2579"/>
      <c r="J77" s="2579"/>
      <c r="K77" s="2579"/>
      <c r="L77" s="2579"/>
      <c r="M77" s="2579"/>
      <c r="N77" s="2579"/>
      <c r="O77" s="2579"/>
    </row>
    <row r="78" spans="1:15" s="2463" customFormat="1" ht="12.75">
      <c r="A78" s="2531"/>
      <c r="B78" s="2533"/>
      <c r="C78" s="2531"/>
      <c r="D78" s="2566"/>
      <c r="E78" s="2566"/>
      <c r="F78" s="2566"/>
      <c r="G78" s="2566"/>
      <c r="H78" s="2566"/>
      <c r="I78" s="2579"/>
      <c r="J78" s="2579"/>
      <c r="K78" s="2579"/>
      <c r="L78" s="2579"/>
      <c r="M78" s="2579"/>
      <c r="N78" s="2579"/>
      <c r="O78" s="2579"/>
    </row>
    <row r="79" spans="1:15" s="2463" customFormat="1" ht="12.75">
      <c r="A79" s="2531"/>
      <c r="B79" s="2533"/>
      <c r="C79" s="2531"/>
      <c r="D79" s="2566"/>
      <c r="E79" s="2566"/>
      <c r="F79" s="2566"/>
      <c r="G79" s="2566"/>
      <c r="H79" s="2566"/>
      <c r="I79" s="2579"/>
      <c r="J79" s="2579"/>
      <c r="K79" s="2579"/>
      <c r="L79" s="2579"/>
      <c r="M79" s="2579"/>
      <c r="N79" s="2579"/>
      <c r="O79" s="2579"/>
    </row>
    <row r="80" spans="1:15" s="2463" customFormat="1" ht="12.75">
      <c r="A80" s="2531"/>
      <c r="B80" s="2533"/>
      <c r="C80" s="2531"/>
      <c r="D80" s="2566"/>
      <c r="E80" s="2566"/>
      <c r="F80" s="2566"/>
      <c r="G80" s="2566"/>
      <c r="H80" s="2566"/>
      <c r="I80" s="2579"/>
      <c r="J80" s="2579"/>
      <c r="K80" s="2579"/>
      <c r="L80" s="2579"/>
      <c r="M80" s="2579"/>
      <c r="N80" s="2579"/>
      <c r="O80" s="2579"/>
    </row>
    <row r="81" spans="1:15" s="2463" customFormat="1" ht="12.75">
      <c r="A81" s="2531"/>
      <c r="B81" s="2533"/>
      <c r="C81" s="2531"/>
      <c r="D81" s="2566"/>
      <c r="E81" s="2566"/>
      <c r="F81" s="2566"/>
      <c r="G81" s="2566"/>
      <c r="H81" s="2566"/>
      <c r="I81" s="2579"/>
      <c r="J81" s="2579"/>
      <c r="K81" s="2579"/>
      <c r="L81" s="2579"/>
      <c r="M81" s="2579"/>
      <c r="N81" s="2579"/>
      <c r="O81" s="2579"/>
    </row>
    <row r="82" spans="1:15" s="2463" customFormat="1" ht="12.75">
      <c r="A82" s="2531"/>
      <c r="B82" s="2533"/>
      <c r="C82" s="2531"/>
      <c r="D82" s="2566"/>
      <c r="E82" s="2566"/>
      <c r="F82" s="2566"/>
      <c r="G82" s="2566"/>
      <c r="H82" s="2566"/>
      <c r="I82" s="2579"/>
      <c r="J82" s="2579"/>
      <c r="K82" s="2579"/>
      <c r="L82" s="2579"/>
      <c r="M82" s="2579"/>
      <c r="N82" s="2579"/>
      <c r="O82" s="2579"/>
    </row>
    <row r="83" spans="1:15" s="2463" customFormat="1" ht="12.75">
      <c r="A83" s="2531"/>
      <c r="B83" s="2533"/>
      <c r="C83" s="2531"/>
      <c r="D83" s="2566"/>
      <c r="E83" s="2566"/>
      <c r="F83" s="2566"/>
      <c r="G83" s="2566"/>
      <c r="H83" s="2566"/>
      <c r="I83" s="2579"/>
      <c r="J83" s="2579"/>
      <c r="K83" s="2579"/>
      <c r="L83" s="2579"/>
      <c r="M83" s="2579"/>
      <c r="N83" s="2579"/>
      <c r="O83" s="2579"/>
    </row>
    <row r="84" spans="1:15" s="2463" customFormat="1" ht="12.75">
      <c r="A84" s="2531"/>
      <c r="B84" s="2533"/>
      <c r="C84" s="2531"/>
      <c r="D84" s="2566"/>
      <c r="E84" s="2566"/>
      <c r="F84" s="2566"/>
      <c r="G84" s="2566"/>
      <c r="H84" s="2566"/>
      <c r="I84" s="2579"/>
      <c r="J84" s="2579"/>
      <c r="K84" s="2579"/>
      <c r="L84" s="2579"/>
      <c r="M84" s="2579"/>
      <c r="N84" s="2579"/>
      <c r="O84" s="2579"/>
    </row>
    <row r="85" spans="1:15" s="2463" customFormat="1" ht="12.75">
      <c r="A85" s="2531"/>
      <c r="B85" s="2533"/>
      <c r="C85" s="2531"/>
      <c r="D85" s="2566"/>
      <c r="E85" s="2566"/>
      <c r="F85" s="2566"/>
      <c r="G85" s="2566"/>
      <c r="H85" s="2566"/>
      <c r="I85" s="2579"/>
      <c r="J85" s="2579"/>
      <c r="K85" s="2579"/>
      <c r="L85" s="2579"/>
      <c r="M85" s="2579"/>
      <c r="N85" s="2579"/>
      <c r="O85" s="2579"/>
    </row>
    <row r="86" spans="1:15" s="2463" customFormat="1" ht="12.75">
      <c r="A86" s="2531"/>
      <c r="B86" s="2533"/>
      <c r="C86" s="2531"/>
      <c r="D86" s="2566"/>
      <c r="E86" s="2566"/>
      <c r="F86" s="2566"/>
      <c r="G86" s="2566"/>
      <c r="H86" s="2566"/>
      <c r="I86" s="2579"/>
      <c r="J86" s="2579"/>
      <c r="K86" s="2579"/>
      <c r="L86" s="2579"/>
      <c r="M86" s="2579"/>
      <c r="N86" s="2579"/>
      <c r="O86" s="2579"/>
    </row>
    <row r="87" spans="1:15" s="2463" customFormat="1" ht="12.75">
      <c r="A87" s="2531"/>
      <c r="B87" s="2533"/>
      <c r="C87" s="2531"/>
      <c r="D87" s="2566"/>
      <c r="E87" s="2566"/>
      <c r="F87" s="2566"/>
      <c r="G87" s="2566"/>
      <c r="H87" s="2566"/>
      <c r="I87" s="2579"/>
      <c r="J87" s="2579"/>
      <c r="K87" s="2579"/>
      <c r="L87" s="2579"/>
      <c r="M87" s="2579"/>
      <c r="N87" s="2579"/>
      <c r="O87" s="2579"/>
    </row>
    <row r="88" spans="1:15" s="2463" customFormat="1" ht="12.75">
      <c r="A88" s="2531"/>
      <c r="B88" s="2533"/>
      <c r="C88" s="2531"/>
      <c r="D88" s="2566"/>
      <c r="E88" s="2566"/>
      <c r="F88" s="2566"/>
      <c r="G88" s="2566"/>
      <c r="H88" s="2566"/>
      <c r="I88" s="2579"/>
      <c r="J88" s="2579"/>
      <c r="K88" s="2579"/>
      <c r="L88" s="2579"/>
      <c r="M88" s="2579"/>
      <c r="N88" s="2579"/>
      <c r="O88" s="2579"/>
    </row>
    <row r="89" spans="1:15" s="2463" customFormat="1" ht="12.75">
      <c r="A89" s="2531"/>
      <c r="B89" s="2533"/>
      <c r="C89" s="2531"/>
      <c r="D89" s="2566"/>
      <c r="E89" s="2566"/>
      <c r="F89" s="2566"/>
      <c r="G89" s="2566"/>
      <c r="H89" s="2566"/>
      <c r="I89" s="2579"/>
      <c r="J89" s="2579"/>
      <c r="K89" s="2579"/>
      <c r="L89" s="2579"/>
      <c r="M89" s="2579"/>
      <c r="N89" s="2579"/>
      <c r="O89" s="2579"/>
    </row>
    <row r="90" spans="1:15" s="2463" customFormat="1" ht="12.75">
      <c r="A90" s="4876"/>
      <c r="B90" s="4876"/>
      <c r="C90" s="4876"/>
      <c r="D90" s="4876"/>
      <c r="E90" s="4876"/>
      <c r="F90" s="4876"/>
      <c r="G90" s="4876"/>
      <c r="H90" s="4876"/>
      <c r="I90" s="2579"/>
      <c r="J90" s="2579"/>
      <c r="K90" s="2579"/>
      <c r="L90" s="2579"/>
      <c r="M90" s="2579"/>
      <c r="N90" s="2579"/>
      <c r="O90" s="2579"/>
    </row>
    <row r="91" spans="1:15" s="2463" customFormat="1" ht="12.75">
      <c r="A91" s="4877"/>
      <c r="B91" s="4877"/>
      <c r="C91" s="4877"/>
      <c r="D91" s="4877"/>
      <c r="E91" s="4877"/>
      <c r="F91" s="4877"/>
      <c r="G91" s="4877"/>
      <c r="H91" s="4877"/>
      <c r="I91" s="2579"/>
      <c r="J91" s="2579"/>
      <c r="K91" s="2579"/>
      <c r="L91" s="2579"/>
      <c r="M91" s="2579"/>
      <c r="N91" s="2579"/>
      <c r="O91" s="2579"/>
    </row>
    <row r="92" spans="1:15" s="2463" customFormat="1">
      <c r="A92" s="2529"/>
      <c r="B92" s="2529"/>
      <c r="C92" s="2529"/>
      <c r="D92" s="2529"/>
      <c r="E92" s="2529"/>
      <c r="F92" s="2529"/>
      <c r="G92" s="2529"/>
      <c r="H92" s="2529"/>
      <c r="I92" s="2579"/>
      <c r="J92" s="2579"/>
      <c r="K92" s="2579"/>
      <c r="L92" s="2579"/>
      <c r="M92" s="2579"/>
      <c r="N92" s="2579"/>
      <c r="O92" s="2579"/>
    </row>
    <row r="93" spans="1:15" s="2463" customFormat="1">
      <c r="A93" s="2529"/>
      <c r="B93" s="2529"/>
      <c r="C93" s="2529"/>
      <c r="D93" s="2529"/>
      <c r="E93" s="2529"/>
      <c r="F93" s="2529"/>
      <c r="G93" s="2529"/>
      <c r="H93" s="2529"/>
      <c r="I93" s="2579"/>
      <c r="J93" s="2579"/>
      <c r="K93" s="2579"/>
      <c r="L93" s="2579"/>
      <c r="M93" s="2579"/>
      <c r="N93" s="2579"/>
      <c r="O93" s="2579"/>
    </row>
    <row r="94" spans="1:15">
      <c r="A94" s="2568"/>
      <c r="B94" s="2567"/>
      <c r="C94" s="2529"/>
      <c r="D94" s="2566"/>
      <c r="E94" s="2566"/>
      <c r="F94" s="2566"/>
      <c r="G94" s="2566"/>
      <c r="H94" s="2566"/>
    </row>
    <row r="95" spans="1:15">
      <c r="A95" s="1269"/>
      <c r="B95" s="1269"/>
      <c r="C95" s="2542"/>
      <c r="D95" s="2541"/>
      <c r="E95" s="2561"/>
      <c r="F95" s="2540"/>
      <c r="G95" s="2565"/>
      <c r="H95" s="2561"/>
    </row>
    <row r="96" spans="1:15" ht="23.25">
      <c r="A96" s="2575"/>
      <c r="B96" s="2571"/>
      <c r="C96" s="2542"/>
      <c r="D96" s="2541"/>
      <c r="E96" s="2561"/>
      <c r="F96" s="2540"/>
      <c r="G96" s="2562"/>
      <c r="H96" s="2561"/>
    </row>
    <row r="97" spans="1:15" s="2463" customFormat="1" ht="12.75">
      <c r="A97" s="4879"/>
      <c r="B97" s="4879"/>
      <c r="C97" s="2559"/>
      <c r="D97" s="2560"/>
      <c r="E97" s="4880"/>
      <c r="F97" s="4880"/>
      <c r="G97" s="4880"/>
      <c r="H97" s="2557"/>
      <c r="I97" s="2579"/>
      <c r="J97" s="2579"/>
      <c r="K97" s="2579"/>
      <c r="L97" s="2579"/>
      <c r="M97" s="2579"/>
      <c r="N97" s="2579"/>
      <c r="O97" s="2579"/>
    </row>
    <row r="98" spans="1:15" s="2463" customFormat="1" ht="12.75">
      <c r="A98" s="4879"/>
      <c r="B98" s="4879"/>
      <c r="C98" s="2559"/>
      <c r="D98" s="2558"/>
      <c r="E98" s="2558"/>
      <c r="F98" s="2558"/>
      <c r="G98" s="2558"/>
      <c r="H98" s="2558"/>
      <c r="I98" s="2579"/>
      <c r="J98" s="2579"/>
      <c r="K98" s="2579"/>
      <c r="L98" s="2579"/>
      <c r="M98" s="2579"/>
      <c r="N98" s="2579"/>
      <c r="O98" s="2579"/>
    </row>
    <row r="99" spans="1:15" s="2463" customFormat="1" ht="12.75">
      <c r="A99" s="4879"/>
      <c r="B99" s="4879"/>
      <c r="C99" s="2557"/>
      <c r="D99" s="2555"/>
      <c r="E99" s="2555"/>
      <c r="F99" s="2555"/>
      <c r="G99" s="2556"/>
      <c r="H99" s="2555"/>
      <c r="I99" s="2579"/>
      <c r="J99" s="2579"/>
      <c r="K99" s="2579"/>
      <c r="L99" s="2579"/>
      <c r="M99" s="2579"/>
      <c r="N99" s="2579"/>
      <c r="O99" s="2579"/>
    </row>
    <row r="100" spans="1:15" s="2463" customFormat="1" ht="12.75">
      <c r="A100" s="2554"/>
      <c r="B100" s="2553"/>
      <c r="C100" s="2552"/>
      <c r="D100" s="2551"/>
      <c r="E100" s="2551"/>
      <c r="F100" s="2551"/>
      <c r="G100" s="2551"/>
      <c r="H100" s="2551"/>
      <c r="I100" s="2579"/>
      <c r="J100" s="2579"/>
      <c r="K100" s="2579"/>
      <c r="L100" s="2579"/>
      <c r="M100" s="2579"/>
      <c r="N100" s="2579"/>
      <c r="O100" s="2579"/>
    </row>
    <row r="101" spans="1:15" s="2463" customFormat="1" ht="12.75">
      <c r="A101" s="2549"/>
      <c r="B101" s="2549"/>
      <c r="C101" s="2545"/>
      <c r="D101" s="2548"/>
      <c r="E101" s="2548"/>
      <c r="F101" s="2540"/>
      <c r="G101" s="2548"/>
      <c r="H101" s="2548"/>
      <c r="I101" s="2579"/>
      <c r="J101" s="2579"/>
      <c r="K101" s="2579"/>
      <c r="L101" s="2579"/>
      <c r="M101" s="2579"/>
      <c r="N101" s="2579"/>
      <c r="O101" s="2579"/>
    </row>
    <row r="102" spans="1:15" s="2463" customFormat="1" ht="12.75">
      <c r="A102" s="2549"/>
      <c r="B102" s="2549"/>
      <c r="C102" s="2545"/>
      <c r="D102" s="2548"/>
      <c r="E102" s="2548"/>
      <c r="F102" s="2540"/>
      <c r="G102" s="2548"/>
      <c r="H102" s="2548"/>
      <c r="I102" s="2579"/>
      <c r="J102" s="2579"/>
      <c r="K102" s="2579"/>
      <c r="L102" s="2579"/>
      <c r="M102" s="2579"/>
      <c r="N102" s="2579"/>
      <c r="O102" s="2579"/>
    </row>
    <row r="103" spans="1:15" s="2463" customFormat="1" ht="12.75">
      <c r="A103" s="2546"/>
      <c r="B103" s="1269"/>
      <c r="C103" s="2545"/>
      <c r="D103" s="2541"/>
      <c r="E103" s="2544"/>
      <c r="F103" s="2540"/>
      <c r="G103" s="2544"/>
      <c r="H103" s="2544"/>
      <c r="I103" s="2579"/>
      <c r="J103" s="2579"/>
      <c r="K103" s="2579"/>
      <c r="L103" s="2579"/>
      <c r="M103" s="2579"/>
      <c r="N103" s="2579"/>
      <c r="O103" s="2579"/>
    </row>
    <row r="104" spans="1:15" s="2463" customFormat="1" ht="12.75">
      <c r="A104" s="2549"/>
      <c r="B104" s="2549"/>
      <c r="C104" s="2545"/>
      <c r="D104" s="2541"/>
      <c r="E104" s="2544"/>
      <c r="F104" s="2540"/>
      <c r="G104" s="2544"/>
      <c r="H104" s="2544"/>
      <c r="I104" s="2579"/>
      <c r="J104" s="2579"/>
      <c r="K104" s="2579"/>
      <c r="L104" s="2579"/>
      <c r="M104" s="2579"/>
      <c r="N104" s="2579"/>
      <c r="O104" s="2579"/>
    </row>
    <row r="105" spans="1:15" s="2463" customFormat="1" ht="12.75">
      <c r="A105" s="2573"/>
      <c r="B105" s="2574"/>
      <c r="C105" s="2545"/>
      <c r="D105" s="2541"/>
      <c r="E105" s="2544"/>
      <c r="F105" s="2540"/>
      <c r="G105" s="2544"/>
      <c r="H105" s="2544"/>
      <c r="I105" s="2579"/>
      <c r="J105" s="2579"/>
      <c r="K105" s="2579"/>
      <c r="L105" s="2579"/>
      <c r="M105" s="2579"/>
      <c r="N105" s="2579"/>
      <c r="O105" s="2579"/>
    </row>
    <row r="106" spans="1:15" s="2463" customFormat="1" ht="12.75">
      <c r="A106" s="2549"/>
      <c r="B106" s="2549"/>
      <c r="C106" s="2542"/>
      <c r="D106" s="2541"/>
      <c r="E106" s="2544"/>
      <c r="F106" s="2540"/>
      <c r="G106" s="2544"/>
      <c r="H106" s="2544"/>
      <c r="I106" s="2579"/>
      <c r="J106" s="2579"/>
      <c r="K106" s="2579"/>
      <c r="L106" s="2579"/>
      <c r="M106" s="2579"/>
      <c r="N106" s="2579"/>
      <c r="O106" s="2579"/>
    </row>
    <row r="107" spans="1:15" s="2463" customFormat="1" ht="12.75">
      <c r="A107" s="2573"/>
      <c r="B107" s="2572"/>
      <c r="C107" s="2545"/>
      <c r="D107" s="2541"/>
      <c r="E107" s="2544"/>
      <c r="F107" s="2540"/>
      <c r="G107" s="2544"/>
      <c r="H107" s="2544"/>
      <c r="I107" s="2579"/>
      <c r="J107" s="2579"/>
      <c r="K107" s="2579"/>
      <c r="L107" s="2579"/>
      <c r="M107" s="2579"/>
      <c r="N107" s="2579"/>
      <c r="O107" s="2579"/>
    </row>
    <row r="108" spans="1:15" s="2463" customFormat="1" ht="12.75">
      <c r="A108" s="2546"/>
      <c r="B108" s="1269"/>
      <c r="C108" s="2545"/>
      <c r="D108" s="2541"/>
      <c r="E108" s="2544"/>
      <c r="F108" s="2540"/>
      <c r="G108" s="2544"/>
      <c r="H108" s="2544"/>
      <c r="I108" s="2579"/>
      <c r="J108" s="2579"/>
      <c r="K108" s="2579"/>
      <c r="L108" s="2579"/>
      <c r="M108" s="2579"/>
      <c r="N108" s="2579"/>
      <c r="O108" s="2579"/>
    </row>
    <row r="109" spans="1:15" s="2463" customFormat="1" ht="12.75">
      <c r="A109" s="2546"/>
      <c r="B109" s="1269"/>
      <c r="C109" s="2542"/>
      <c r="D109" s="2541"/>
      <c r="E109" s="2544"/>
      <c r="F109" s="2540"/>
      <c r="G109" s="2544"/>
      <c r="H109" s="2544"/>
      <c r="I109" s="2579"/>
      <c r="J109" s="2579"/>
      <c r="K109" s="2579"/>
      <c r="L109" s="2579"/>
      <c r="M109" s="2579"/>
      <c r="N109" s="2579"/>
      <c r="O109" s="2579"/>
    </row>
    <row r="110" spans="1:15" s="2463" customFormat="1" ht="12.75">
      <c r="A110" s="2546"/>
      <c r="B110" s="1269"/>
      <c r="C110" s="2545"/>
      <c r="D110" s="2541"/>
      <c r="E110" s="2544"/>
      <c r="F110" s="2540"/>
      <c r="G110" s="2544"/>
      <c r="H110" s="2544"/>
      <c r="I110" s="2579"/>
      <c r="J110" s="2579"/>
      <c r="K110" s="2579"/>
      <c r="L110" s="2579"/>
      <c r="M110" s="2579"/>
      <c r="N110" s="2579"/>
      <c r="O110" s="2579"/>
    </row>
    <row r="111" spans="1:15" s="2463" customFormat="1" ht="12.75">
      <c r="A111" s="2546"/>
      <c r="B111" s="1269"/>
      <c r="C111" s="2550"/>
      <c r="D111" s="2541"/>
      <c r="E111" s="2544"/>
      <c r="F111" s="2540"/>
      <c r="G111" s="2544"/>
      <c r="H111" s="2544"/>
      <c r="I111" s="2579"/>
      <c r="J111" s="2579"/>
      <c r="K111" s="2579"/>
      <c r="L111" s="2579"/>
      <c r="M111" s="2579"/>
      <c r="N111" s="2579"/>
      <c r="O111" s="2579"/>
    </row>
    <row r="112" spans="1:15" s="2463" customFormat="1" ht="12.75">
      <c r="A112" s="2546"/>
      <c r="B112" s="1269"/>
      <c r="C112" s="2550"/>
      <c r="D112" s="2541"/>
      <c r="E112" s="2544"/>
      <c r="F112" s="2540"/>
      <c r="G112" s="2544"/>
      <c r="H112" s="2544"/>
      <c r="I112" s="2579"/>
      <c r="J112" s="2579"/>
      <c r="K112" s="2579"/>
      <c r="L112" s="2579"/>
      <c r="M112" s="2579"/>
      <c r="N112" s="2579"/>
      <c r="O112" s="2579"/>
    </row>
    <row r="113" spans="1:15" s="2463" customFormat="1" ht="12.75">
      <c r="A113" s="2538"/>
      <c r="B113" s="2538"/>
      <c r="C113" s="2537"/>
      <c r="D113" s="2536"/>
      <c r="E113" s="2536"/>
      <c r="F113" s="2536"/>
      <c r="G113" s="2536"/>
      <c r="H113" s="2536"/>
      <c r="I113" s="2579"/>
      <c r="J113" s="2579"/>
      <c r="K113" s="2579"/>
      <c r="L113" s="2579"/>
      <c r="M113" s="2579"/>
      <c r="N113" s="2579"/>
      <c r="O113" s="2579"/>
    </row>
    <row r="114" spans="1:15" s="2463" customFormat="1" ht="12.75">
      <c r="A114" s="2538"/>
      <c r="B114" s="2538"/>
      <c r="C114" s="2537"/>
      <c r="D114" s="2536"/>
      <c r="E114" s="2536"/>
      <c r="F114" s="2536"/>
      <c r="G114" s="2536"/>
      <c r="H114" s="2536"/>
      <c r="I114" s="2579"/>
      <c r="J114" s="2579"/>
      <c r="K114" s="2579"/>
      <c r="L114" s="2579"/>
      <c r="M114" s="2579"/>
      <c r="N114" s="2579"/>
      <c r="O114" s="2579"/>
    </row>
    <row r="115" spans="1:15" s="2463" customFormat="1">
      <c r="A115" s="1269"/>
      <c r="B115" s="2529"/>
      <c r="C115" s="2535"/>
      <c r="D115" s="2529"/>
      <c r="E115" s="4877"/>
      <c r="F115" s="4877"/>
      <c r="G115" s="1269"/>
      <c r="H115" s="2529"/>
      <c r="I115" s="2579"/>
      <c r="J115" s="2579"/>
      <c r="K115" s="2579"/>
      <c r="L115" s="2579"/>
      <c r="M115" s="2579"/>
      <c r="N115" s="2579"/>
      <c r="O115" s="2579"/>
    </row>
    <row r="116" spans="1:15" s="2463" customFormat="1">
      <c r="A116" s="2529"/>
      <c r="B116" s="1269"/>
      <c r="C116" s="2535"/>
      <c r="D116" s="1269"/>
      <c r="E116" s="1269"/>
      <c r="F116" s="1269"/>
      <c r="G116" s="1269"/>
      <c r="H116" s="2529"/>
      <c r="I116" s="2579"/>
      <c r="J116" s="2579"/>
      <c r="K116" s="2579"/>
      <c r="L116" s="2579"/>
      <c r="M116" s="2579"/>
      <c r="N116" s="2579"/>
      <c r="O116" s="2579"/>
    </row>
    <row r="117" spans="1:15" s="2463" customFormat="1" ht="12.75">
      <c r="A117" s="2534"/>
      <c r="B117" s="1269"/>
      <c r="C117" s="4881"/>
      <c r="D117" s="4881"/>
      <c r="E117" s="4876"/>
      <c r="F117" s="4876"/>
      <c r="G117" s="4876"/>
      <c r="H117" s="4876"/>
      <c r="I117" s="2579"/>
      <c r="J117" s="2579"/>
      <c r="K117" s="2579"/>
      <c r="L117" s="2579"/>
      <c r="M117" s="2579"/>
      <c r="N117" s="2579"/>
      <c r="O117" s="2579"/>
    </row>
    <row r="118" spans="1:15" s="2463" customFormat="1" ht="12.75">
      <c r="A118" s="2531"/>
      <c r="B118" s="2533"/>
      <c r="C118" s="4874"/>
      <c r="D118" s="4874"/>
      <c r="E118" s="4875"/>
      <c r="F118" s="4875"/>
      <c r="G118" s="4875"/>
      <c r="H118" s="4875"/>
      <c r="I118" s="2579"/>
      <c r="J118" s="2579"/>
      <c r="K118" s="2579"/>
      <c r="L118" s="2579"/>
      <c r="M118" s="2579"/>
      <c r="N118" s="2579"/>
      <c r="O118" s="2579"/>
    </row>
    <row r="119" spans="1:15" s="2463" customFormat="1" ht="12.75">
      <c r="A119" s="2531"/>
      <c r="B119" s="2533"/>
      <c r="C119" s="2531"/>
      <c r="D119" s="2566"/>
      <c r="E119" s="2566"/>
      <c r="F119" s="2566"/>
      <c r="G119" s="2566"/>
      <c r="H119" s="2566"/>
      <c r="I119" s="2579"/>
      <c r="J119" s="2579"/>
      <c r="K119" s="2579"/>
      <c r="L119" s="2579"/>
      <c r="M119" s="2579"/>
      <c r="N119" s="2579"/>
      <c r="O119" s="2579"/>
    </row>
    <row r="120" spans="1:15" s="2463" customFormat="1" ht="12.75">
      <c r="A120" s="2531"/>
      <c r="B120" s="2533"/>
      <c r="C120" s="2531"/>
      <c r="D120" s="2566"/>
      <c r="E120" s="2566"/>
      <c r="F120" s="2566"/>
      <c r="G120" s="2566"/>
      <c r="H120" s="2566"/>
      <c r="I120" s="2579"/>
      <c r="J120" s="2579"/>
      <c r="K120" s="2579"/>
      <c r="L120" s="2579"/>
      <c r="M120" s="2579"/>
      <c r="N120" s="2579"/>
      <c r="O120" s="2579"/>
    </row>
    <row r="121" spans="1:15" s="2463" customFormat="1" ht="12.75">
      <c r="A121" s="2531"/>
      <c r="B121" s="2533"/>
      <c r="C121" s="2531"/>
      <c r="D121" s="2566"/>
      <c r="E121" s="2566"/>
      <c r="F121" s="2566"/>
      <c r="G121" s="2566"/>
      <c r="H121" s="2566"/>
      <c r="I121" s="2579"/>
      <c r="J121" s="2579"/>
      <c r="K121" s="2579"/>
      <c r="L121" s="2579"/>
      <c r="M121" s="2579"/>
      <c r="N121" s="2579"/>
      <c r="O121" s="2579"/>
    </row>
    <row r="122" spans="1:15" s="2463" customFormat="1" ht="12.75">
      <c r="A122" s="2531"/>
      <c r="B122" s="2533"/>
      <c r="C122" s="2531"/>
      <c r="D122" s="2566"/>
      <c r="E122" s="2566"/>
      <c r="F122" s="2566"/>
      <c r="G122" s="2566"/>
      <c r="H122" s="2566"/>
      <c r="I122" s="2579"/>
      <c r="J122" s="2579"/>
      <c r="K122" s="2579"/>
      <c r="L122" s="2579"/>
      <c r="M122" s="2579"/>
      <c r="N122" s="2579"/>
      <c r="O122" s="2579"/>
    </row>
    <row r="123" spans="1:15" s="2463" customFormat="1" ht="12.75">
      <c r="A123" s="2531"/>
      <c r="B123" s="2533"/>
      <c r="C123" s="2531"/>
      <c r="D123" s="2566"/>
      <c r="E123" s="2566"/>
      <c r="F123" s="2566"/>
      <c r="G123" s="2566"/>
      <c r="H123" s="2566"/>
      <c r="I123" s="2579"/>
      <c r="J123" s="2579"/>
      <c r="K123" s="2579"/>
      <c r="L123" s="2579"/>
      <c r="M123" s="2579"/>
      <c r="N123" s="2579"/>
      <c r="O123" s="2579"/>
    </row>
    <row r="124" spans="1:15" s="2463" customFormat="1" ht="12.75">
      <c r="A124" s="2531"/>
      <c r="B124" s="2533"/>
      <c r="C124" s="2531"/>
      <c r="D124" s="2566"/>
      <c r="E124" s="2566"/>
      <c r="F124" s="2566"/>
      <c r="G124" s="2566"/>
      <c r="H124" s="2566"/>
      <c r="I124" s="2579"/>
      <c r="J124" s="2579"/>
      <c r="K124" s="2579"/>
      <c r="L124" s="2579"/>
      <c r="M124" s="2579"/>
      <c r="N124" s="2579"/>
      <c r="O124" s="2579"/>
    </row>
    <row r="125" spans="1:15" s="2463" customFormat="1" ht="12.75">
      <c r="A125" s="2531"/>
      <c r="B125" s="2533"/>
      <c r="C125" s="2531"/>
      <c r="D125" s="2566"/>
      <c r="E125" s="2566"/>
      <c r="F125" s="2566"/>
      <c r="G125" s="2566"/>
      <c r="H125" s="2566"/>
      <c r="I125" s="2579"/>
      <c r="J125" s="2579"/>
      <c r="K125" s="2579"/>
      <c r="L125" s="2579"/>
      <c r="M125" s="2579"/>
      <c r="N125" s="2579"/>
      <c r="O125" s="2579"/>
    </row>
    <row r="126" spans="1:15" s="2463" customFormat="1" ht="12.75">
      <c r="A126" s="2531"/>
      <c r="B126" s="2533"/>
      <c r="C126" s="2531"/>
      <c r="D126" s="2566"/>
      <c r="E126" s="2566"/>
      <c r="F126" s="2566"/>
      <c r="G126" s="2566"/>
      <c r="H126" s="2566"/>
      <c r="I126" s="2579"/>
      <c r="J126" s="2579"/>
      <c r="K126" s="2579"/>
      <c r="L126" s="2579"/>
      <c r="M126" s="2579"/>
      <c r="N126" s="2579"/>
      <c r="O126" s="2579"/>
    </row>
    <row r="127" spans="1:15" s="2463" customFormat="1" ht="12.75">
      <c r="A127" s="2531"/>
      <c r="B127" s="2533"/>
      <c r="C127" s="2531"/>
      <c r="D127" s="2566"/>
      <c r="E127" s="2566"/>
      <c r="F127" s="2566"/>
      <c r="G127" s="2566"/>
      <c r="H127" s="2566"/>
      <c r="I127" s="2579"/>
      <c r="J127" s="2579"/>
      <c r="K127" s="2579"/>
      <c r="L127" s="2579"/>
      <c r="M127" s="2579"/>
      <c r="N127" s="2579"/>
      <c r="O127" s="2579"/>
    </row>
    <row r="128" spans="1:15" s="2463" customFormat="1" ht="12.75">
      <c r="A128" s="2531"/>
      <c r="B128" s="2533"/>
      <c r="C128" s="2531"/>
      <c r="D128" s="2566"/>
      <c r="E128" s="2566"/>
      <c r="F128" s="2566"/>
      <c r="G128" s="2566"/>
      <c r="H128" s="2566"/>
      <c r="I128" s="2579"/>
      <c r="J128" s="2579"/>
      <c r="K128" s="2579"/>
      <c r="L128" s="2579"/>
      <c r="M128" s="2579"/>
      <c r="N128" s="2579"/>
      <c r="O128" s="2579"/>
    </row>
    <row r="129" spans="1:15" s="2463" customFormat="1" ht="12.75">
      <c r="A129" s="2531"/>
      <c r="B129" s="2533"/>
      <c r="C129" s="2531"/>
      <c r="D129" s="2566"/>
      <c r="E129" s="2566"/>
      <c r="F129" s="2566"/>
      <c r="G129" s="2566"/>
      <c r="H129" s="2566"/>
      <c r="I129" s="2579"/>
      <c r="J129" s="2579"/>
      <c r="K129" s="2579"/>
      <c r="L129" s="2579"/>
      <c r="M129" s="2579"/>
      <c r="N129" s="2579"/>
      <c r="O129" s="2579"/>
    </row>
    <row r="130" spans="1:15" s="2463" customFormat="1" ht="12.75">
      <c r="A130" s="2531"/>
      <c r="B130" s="2533"/>
      <c r="C130" s="2531"/>
      <c r="D130" s="2566"/>
      <c r="E130" s="2566"/>
      <c r="F130" s="2566"/>
      <c r="G130" s="2566"/>
      <c r="H130" s="2566"/>
      <c r="I130" s="2579"/>
      <c r="J130" s="2579"/>
      <c r="K130" s="2579"/>
      <c r="L130" s="2579"/>
      <c r="M130" s="2579"/>
      <c r="N130" s="2579"/>
      <c r="O130" s="2579"/>
    </row>
    <row r="131" spans="1:15" s="2463" customFormat="1" ht="12.75">
      <c r="A131" s="2531"/>
      <c r="B131" s="2533"/>
      <c r="C131" s="2531"/>
      <c r="D131" s="2566"/>
      <c r="E131" s="2566"/>
      <c r="F131" s="2566"/>
      <c r="G131" s="2566"/>
      <c r="H131" s="2566"/>
      <c r="I131" s="2579"/>
      <c r="J131" s="2579"/>
      <c r="K131" s="2579"/>
      <c r="L131" s="2579"/>
      <c r="M131" s="2579"/>
      <c r="N131" s="2579"/>
      <c r="O131" s="2579"/>
    </row>
    <row r="132" spans="1:15" s="2463" customFormat="1" ht="12.75">
      <c r="A132" s="4876"/>
      <c r="B132" s="4876"/>
      <c r="C132" s="4876"/>
      <c r="D132" s="4876"/>
      <c r="E132" s="4876"/>
      <c r="F132" s="4876"/>
      <c r="G132" s="4876"/>
      <c r="H132" s="4876"/>
      <c r="I132" s="2579"/>
      <c r="J132" s="2579"/>
      <c r="K132" s="2579"/>
      <c r="L132" s="2579"/>
      <c r="M132" s="2579"/>
      <c r="N132" s="2579"/>
      <c r="O132" s="2579"/>
    </row>
    <row r="133" spans="1:15" s="2463" customFormat="1" ht="12.75">
      <c r="A133" s="4877"/>
      <c r="B133" s="4877"/>
      <c r="C133" s="4877"/>
      <c r="D133" s="4877"/>
      <c r="E133" s="4877"/>
      <c r="F133" s="4877"/>
      <c r="G133" s="4877"/>
      <c r="H133" s="4877"/>
      <c r="I133" s="2579"/>
      <c r="J133" s="2579"/>
      <c r="K133" s="2579"/>
      <c r="L133" s="2579"/>
      <c r="M133" s="2579"/>
      <c r="N133" s="2579"/>
      <c r="O133" s="2579"/>
    </row>
    <row r="134" spans="1:15" s="2463" customFormat="1" ht="12.75">
      <c r="A134" s="4876"/>
      <c r="B134" s="4876"/>
      <c r="C134" s="4876"/>
      <c r="D134" s="4876"/>
      <c r="E134" s="4876"/>
      <c r="F134" s="4876"/>
      <c r="G134" s="4876"/>
      <c r="H134" s="4876"/>
      <c r="I134" s="2579"/>
      <c r="J134" s="2579"/>
      <c r="K134" s="2579"/>
      <c r="L134" s="2579"/>
      <c r="M134" s="2579"/>
      <c r="N134" s="2579"/>
      <c r="O134" s="2579"/>
    </row>
    <row r="135" spans="1:15">
      <c r="A135" s="4877"/>
      <c r="B135" s="4877"/>
      <c r="C135" s="4877"/>
      <c r="D135" s="4877"/>
      <c r="E135" s="4877"/>
      <c r="F135" s="4877"/>
      <c r="G135" s="4877"/>
      <c r="H135" s="4877"/>
    </row>
    <row r="136" spans="1:15">
      <c r="A136" s="2529"/>
      <c r="B136" s="2529"/>
      <c r="C136" s="2529"/>
      <c r="D136" s="2529"/>
      <c r="E136" s="2529"/>
      <c r="F136" s="2529"/>
      <c r="G136" s="2529"/>
      <c r="H136" s="2529"/>
    </row>
    <row r="137" spans="1:15">
      <c r="A137" s="2568"/>
      <c r="B137" s="2567"/>
      <c r="C137" s="2529"/>
      <c r="D137" s="2566"/>
      <c r="E137" s="2566"/>
      <c r="F137" s="2566"/>
      <c r="G137" s="2566"/>
      <c r="H137" s="2566"/>
    </row>
    <row r="138" spans="1:15">
      <c r="A138" s="1269"/>
      <c r="B138" s="1269"/>
      <c r="C138" s="2542"/>
      <c r="D138" s="2541"/>
      <c r="E138" s="2561"/>
      <c r="F138" s="2540"/>
      <c r="G138" s="2565"/>
      <c r="H138" s="2561"/>
    </row>
    <row r="139" spans="1:15" ht="23.25">
      <c r="A139" s="2571"/>
      <c r="B139" s="2571"/>
      <c r="C139" s="2542"/>
      <c r="D139" s="2541"/>
      <c r="E139" s="2561"/>
      <c r="F139" s="2540"/>
      <c r="G139" s="2562"/>
      <c r="H139" s="2561"/>
    </row>
    <row r="140" spans="1:15" s="2463" customFormat="1" ht="12.75">
      <c r="A140" s="4879"/>
      <c r="B140" s="4879"/>
      <c r="C140" s="2559"/>
      <c r="D140" s="2560"/>
      <c r="E140" s="4880"/>
      <c r="F140" s="4880"/>
      <c r="G140" s="4880"/>
      <c r="H140" s="2557"/>
      <c r="I140" s="2579"/>
      <c r="J140" s="2579"/>
      <c r="K140" s="2579"/>
      <c r="L140" s="2579"/>
      <c r="M140" s="2579"/>
      <c r="N140" s="2579"/>
      <c r="O140" s="2579"/>
    </row>
    <row r="141" spans="1:15" s="2463" customFormat="1" ht="12.75">
      <c r="A141" s="4879"/>
      <c r="B141" s="4879"/>
      <c r="C141" s="2559"/>
      <c r="D141" s="2558"/>
      <c r="E141" s="2558"/>
      <c r="F141" s="2558"/>
      <c r="G141" s="2558"/>
      <c r="H141" s="2558"/>
      <c r="I141" s="2579"/>
      <c r="J141" s="2579"/>
      <c r="K141" s="2579"/>
      <c r="L141" s="2579"/>
      <c r="M141" s="2579"/>
      <c r="N141" s="2579"/>
      <c r="O141" s="2579"/>
    </row>
    <row r="142" spans="1:15" s="2463" customFormat="1" ht="12.75">
      <c r="A142" s="4879"/>
      <c r="B142" s="4879"/>
      <c r="C142" s="2557"/>
      <c r="D142" s="2555"/>
      <c r="E142" s="2555"/>
      <c r="F142" s="2555"/>
      <c r="G142" s="2556"/>
      <c r="H142" s="2555"/>
      <c r="I142" s="2579"/>
      <c r="J142" s="2579"/>
      <c r="K142" s="2579"/>
      <c r="L142" s="2579"/>
      <c r="M142" s="2579"/>
      <c r="N142" s="2579"/>
      <c r="O142" s="2579"/>
    </row>
    <row r="143" spans="1:15" s="2463" customFormat="1" ht="12.75">
      <c r="A143" s="2554"/>
      <c r="B143" s="2553"/>
      <c r="C143" s="2552"/>
      <c r="D143" s="2551"/>
      <c r="E143" s="2551"/>
      <c r="F143" s="2551"/>
      <c r="G143" s="2551"/>
      <c r="H143" s="2551"/>
      <c r="I143" s="2579"/>
      <c r="J143" s="2579"/>
      <c r="K143" s="2579"/>
      <c r="L143" s="2579"/>
      <c r="M143" s="2579"/>
      <c r="N143" s="2579"/>
      <c r="O143" s="2579"/>
    </row>
    <row r="144" spans="1:15" s="2463" customFormat="1" ht="12.75">
      <c r="A144" s="2549"/>
      <c r="B144" s="2549"/>
      <c r="C144" s="2545"/>
      <c r="D144" s="2548"/>
      <c r="E144" s="2548"/>
      <c r="F144" s="2540"/>
      <c r="G144" s="2548"/>
      <c r="H144" s="2548"/>
      <c r="I144" s="2579"/>
      <c r="J144" s="2579"/>
      <c r="K144" s="2579"/>
      <c r="L144" s="2579"/>
      <c r="M144" s="2579"/>
      <c r="N144" s="2579"/>
      <c r="O144" s="2579"/>
    </row>
    <row r="145" spans="1:15" s="2463" customFormat="1" ht="12.75">
      <c r="A145" s="2549"/>
      <c r="B145" s="2549"/>
      <c r="C145" s="2545"/>
      <c r="D145" s="2548"/>
      <c r="E145" s="2548"/>
      <c r="F145" s="2540"/>
      <c r="G145" s="2548"/>
      <c r="H145" s="2548"/>
      <c r="I145" s="2579"/>
      <c r="J145" s="2579"/>
      <c r="K145" s="2579"/>
      <c r="L145" s="2579"/>
      <c r="M145" s="2579"/>
      <c r="N145" s="2579"/>
      <c r="O145" s="2579"/>
    </row>
    <row r="146" spans="1:15" s="2463" customFormat="1" ht="12.75">
      <c r="A146" s="2546"/>
      <c r="B146" s="1269"/>
      <c r="C146" s="2545"/>
      <c r="D146" s="2541"/>
      <c r="E146" s="2544"/>
      <c r="F146" s="2540"/>
      <c r="G146" s="2544"/>
      <c r="H146" s="2544"/>
      <c r="I146" s="2579"/>
      <c r="J146" s="2579"/>
      <c r="K146" s="2579"/>
      <c r="L146" s="2579"/>
      <c r="M146" s="2579"/>
      <c r="N146" s="2579"/>
      <c r="O146" s="2579"/>
    </row>
    <row r="147" spans="1:15" s="2463" customFormat="1" ht="12.75">
      <c r="A147" s="2549"/>
      <c r="B147" s="2549"/>
      <c r="C147" s="2545"/>
      <c r="D147" s="2541"/>
      <c r="E147" s="2544"/>
      <c r="F147" s="2540"/>
      <c r="G147" s="2544"/>
      <c r="H147" s="2544"/>
      <c r="I147" s="2579"/>
      <c r="J147" s="2579"/>
      <c r="K147" s="2579"/>
      <c r="L147" s="2579"/>
      <c r="M147" s="2579"/>
      <c r="N147" s="2579"/>
      <c r="O147" s="2579"/>
    </row>
    <row r="148" spans="1:15" s="2463" customFormat="1" ht="12.75">
      <c r="A148" s="2546"/>
      <c r="B148" s="1269"/>
      <c r="C148" s="2542"/>
      <c r="D148" s="2541"/>
      <c r="E148" s="2544"/>
      <c r="F148" s="2540"/>
      <c r="G148" s="2544"/>
      <c r="H148" s="2544"/>
      <c r="I148" s="2579"/>
      <c r="J148" s="2579"/>
      <c r="K148" s="2579"/>
      <c r="L148" s="2579"/>
      <c r="M148" s="2579"/>
      <c r="N148" s="2579"/>
      <c r="O148" s="2579"/>
    </row>
    <row r="149" spans="1:15" s="2463" customFormat="1" ht="12.75">
      <c r="A149" s="2549"/>
      <c r="B149" s="2549"/>
      <c r="C149" s="2542"/>
      <c r="D149" s="2541"/>
      <c r="E149" s="2544"/>
      <c r="F149" s="2540"/>
      <c r="G149" s="2544"/>
      <c r="H149" s="2544"/>
      <c r="I149" s="2579"/>
      <c r="J149" s="2579"/>
      <c r="K149" s="2579"/>
      <c r="L149" s="2579"/>
      <c r="M149" s="2579"/>
      <c r="N149" s="2579"/>
      <c r="O149" s="2579"/>
    </row>
    <row r="150" spans="1:15" s="2463" customFormat="1" ht="12.75">
      <c r="A150" s="2546"/>
      <c r="B150" s="1269"/>
      <c r="C150" s="2545"/>
      <c r="D150" s="2541"/>
      <c r="E150" s="2544"/>
      <c r="F150" s="2540"/>
      <c r="G150" s="2544"/>
      <c r="H150" s="2544"/>
      <c r="I150" s="2579"/>
      <c r="J150" s="2579"/>
      <c r="K150" s="2579"/>
      <c r="L150" s="2579"/>
      <c r="M150" s="2579"/>
      <c r="N150" s="2579"/>
      <c r="O150" s="2579"/>
    </row>
    <row r="151" spans="1:15" s="2463" customFormat="1" ht="12.75">
      <c r="A151" s="2547"/>
      <c r="B151" s="2546"/>
      <c r="C151" s="2545"/>
      <c r="D151" s="2541"/>
      <c r="E151" s="2544"/>
      <c r="F151" s="2540"/>
      <c r="G151" s="2544"/>
      <c r="H151" s="2544"/>
      <c r="I151" s="2579"/>
      <c r="J151" s="2579"/>
      <c r="K151" s="2579"/>
      <c r="L151" s="2579"/>
      <c r="M151" s="2579"/>
      <c r="N151" s="2579"/>
      <c r="O151" s="2579"/>
    </row>
    <row r="152" spans="1:15" s="2463" customFormat="1" ht="12.75">
      <c r="A152" s="2543"/>
      <c r="B152" s="2543"/>
      <c r="C152" s="2542"/>
      <c r="D152" s="2541"/>
      <c r="E152" s="2539"/>
      <c r="F152" s="2540"/>
      <c r="G152" s="2539"/>
      <c r="H152" s="2539"/>
      <c r="I152" s="2579"/>
      <c r="J152" s="2579"/>
      <c r="K152" s="2579"/>
      <c r="L152" s="2579"/>
      <c r="M152" s="2579"/>
      <c r="N152" s="2579"/>
      <c r="O152" s="2579"/>
    </row>
    <row r="153" spans="1:15" s="2463" customFormat="1" ht="12.75">
      <c r="A153" s="2538"/>
      <c r="B153" s="2538"/>
      <c r="C153" s="2537"/>
      <c r="D153" s="2536"/>
      <c r="E153" s="2536"/>
      <c r="F153" s="2536"/>
      <c r="G153" s="2536"/>
      <c r="H153" s="2536"/>
      <c r="I153" s="2579"/>
      <c r="J153" s="2579"/>
      <c r="K153" s="2579"/>
      <c r="L153" s="2579"/>
      <c r="M153" s="2579"/>
      <c r="N153" s="2579"/>
      <c r="O153" s="2579"/>
    </row>
    <row r="154" spans="1:15" s="2463" customFormat="1" ht="12.75">
      <c r="A154" s="2538"/>
      <c r="B154" s="2538"/>
      <c r="C154" s="2537"/>
      <c r="D154" s="2536"/>
      <c r="E154" s="2536"/>
      <c r="F154" s="2536"/>
      <c r="G154" s="2536"/>
      <c r="H154" s="2536"/>
      <c r="I154" s="2579"/>
      <c r="J154" s="2579"/>
      <c r="K154" s="2579"/>
      <c r="L154" s="2579"/>
      <c r="M154" s="2579"/>
      <c r="N154" s="2579"/>
      <c r="O154" s="2579"/>
    </row>
    <row r="155" spans="1:15" s="2463" customFormat="1">
      <c r="A155" s="1269"/>
      <c r="B155" s="2529"/>
      <c r="C155" s="2535"/>
      <c r="D155" s="2529"/>
      <c r="E155" s="4877"/>
      <c r="F155" s="4877"/>
      <c r="G155" s="1269"/>
      <c r="H155" s="2529"/>
      <c r="I155" s="2579"/>
      <c r="J155" s="2579"/>
      <c r="K155" s="2579"/>
      <c r="L155" s="2579"/>
      <c r="M155" s="2579"/>
      <c r="N155" s="2579"/>
      <c r="O155" s="2579"/>
    </row>
    <row r="156" spans="1:15" s="2463" customFormat="1">
      <c r="A156" s="2529"/>
      <c r="B156" s="1269"/>
      <c r="C156" s="2535"/>
      <c r="D156" s="1269"/>
      <c r="E156" s="1269"/>
      <c r="F156" s="1269"/>
      <c r="G156" s="1269"/>
      <c r="H156" s="2529"/>
      <c r="I156" s="2579"/>
      <c r="J156" s="2579"/>
      <c r="K156" s="2579"/>
      <c r="L156" s="2579"/>
      <c r="M156" s="2579"/>
      <c r="N156" s="2579"/>
      <c r="O156" s="2579"/>
    </row>
    <row r="157" spans="1:15" s="2463" customFormat="1" ht="12.75">
      <c r="A157" s="2534"/>
      <c r="B157" s="1269"/>
      <c r="C157" s="4881"/>
      <c r="D157" s="4881"/>
      <c r="E157" s="4876"/>
      <c r="F157" s="4876"/>
      <c r="G157" s="4876"/>
      <c r="H157" s="4876"/>
      <c r="I157" s="2579"/>
      <c r="J157" s="2579"/>
      <c r="K157" s="2579"/>
      <c r="L157" s="2579"/>
      <c r="M157" s="2579"/>
      <c r="N157" s="2579"/>
      <c r="O157" s="2579"/>
    </row>
    <row r="158" spans="1:15" s="2463" customFormat="1" ht="12.75">
      <c r="A158" s="2531"/>
      <c r="B158" s="2533"/>
      <c r="C158" s="4874"/>
      <c r="D158" s="4874"/>
      <c r="E158" s="4875"/>
      <c r="F158" s="4875"/>
      <c r="G158" s="4875"/>
      <c r="H158" s="4875"/>
      <c r="I158" s="2579"/>
      <c r="J158" s="2579"/>
      <c r="K158" s="2579"/>
      <c r="L158" s="2579"/>
      <c r="M158" s="2579"/>
      <c r="N158" s="2579"/>
      <c r="O158" s="2579"/>
    </row>
    <row r="159" spans="1:15" s="2463" customFormat="1" ht="12.75">
      <c r="A159" s="2531"/>
      <c r="B159" s="2533"/>
      <c r="C159" s="2531"/>
      <c r="D159" s="2566"/>
      <c r="E159" s="2566"/>
      <c r="F159" s="2566"/>
      <c r="G159" s="2566"/>
      <c r="H159" s="2566"/>
      <c r="I159" s="2579"/>
      <c r="J159" s="2579"/>
      <c r="K159" s="2579"/>
      <c r="L159" s="2579"/>
      <c r="M159" s="2579"/>
      <c r="N159" s="2579"/>
      <c r="O159" s="2579"/>
    </row>
    <row r="160" spans="1:15" s="2463" customFormat="1" ht="12.75">
      <c r="A160" s="2531"/>
      <c r="B160" s="2533"/>
      <c r="C160" s="2531"/>
      <c r="D160" s="2566"/>
      <c r="E160" s="2566"/>
      <c r="F160" s="2566"/>
      <c r="G160" s="2566"/>
      <c r="H160" s="2566"/>
      <c r="I160" s="2579"/>
      <c r="J160" s="2579"/>
      <c r="K160" s="2579"/>
      <c r="L160" s="2579"/>
      <c r="M160" s="2579"/>
      <c r="N160" s="2579"/>
      <c r="O160" s="2579"/>
    </row>
    <row r="161" spans="1:15" s="2463" customFormat="1" ht="12.75">
      <c r="A161" s="2531"/>
      <c r="B161" s="2533"/>
      <c r="C161" s="2531"/>
      <c r="D161" s="2566"/>
      <c r="E161" s="2566"/>
      <c r="F161" s="2566"/>
      <c r="G161" s="2566"/>
      <c r="H161" s="2566"/>
      <c r="I161" s="2579"/>
      <c r="J161" s="2579"/>
      <c r="K161" s="2579"/>
      <c r="L161" s="2579"/>
      <c r="M161" s="2579"/>
      <c r="N161" s="2579"/>
      <c r="O161" s="2579"/>
    </row>
    <row r="162" spans="1:15" s="2463" customFormat="1" ht="12.75">
      <c r="A162" s="2531"/>
      <c r="B162" s="2533"/>
      <c r="C162" s="2531"/>
      <c r="D162" s="2566"/>
      <c r="E162" s="2566"/>
      <c r="F162" s="2566"/>
      <c r="G162" s="2566"/>
      <c r="H162" s="2566"/>
      <c r="I162" s="2579"/>
      <c r="J162" s="2579"/>
      <c r="K162" s="2579"/>
      <c r="L162" s="2579"/>
      <c r="M162" s="2579"/>
      <c r="N162" s="2579"/>
      <c r="O162" s="2579"/>
    </row>
    <row r="163" spans="1:15" s="2463" customFormat="1" ht="12.75">
      <c r="A163" s="2531"/>
      <c r="B163" s="2533"/>
      <c r="C163" s="2531"/>
      <c r="D163" s="2566"/>
      <c r="E163" s="2566"/>
      <c r="F163" s="2566"/>
      <c r="G163" s="2566"/>
      <c r="H163" s="2566"/>
      <c r="I163" s="2579"/>
      <c r="J163" s="2579"/>
      <c r="K163" s="2579"/>
      <c r="L163" s="2579"/>
      <c r="M163" s="2579"/>
      <c r="N163" s="2579"/>
      <c r="O163" s="2579"/>
    </row>
    <row r="164" spans="1:15" s="2463" customFormat="1" ht="12.75">
      <c r="A164" s="2531"/>
      <c r="B164" s="2533"/>
      <c r="C164" s="2531"/>
      <c r="D164" s="2566"/>
      <c r="E164" s="2566"/>
      <c r="F164" s="2566"/>
      <c r="G164" s="2566"/>
      <c r="H164" s="2566"/>
      <c r="I164" s="2579"/>
      <c r="J164" s="2579"/>
      <c r="K164" s="2579"/>
      <c r="L164" s="2579"/>
      <c r="M164" s="2579"/>
      <c r="N164" s="2579"/>
      <c r="O164" s="2579"/>
    </row>
    <row r="165" spans="1:15" s="2463" customFormat="1" ht="12.75">
      <c r="A165" s="2531"/>
      <c r="B165" s="2533"/>
      <c r="C165" s="2531"/>
      <c r="D165" s="2566"/>
      <c r="E165" s="2566"/>
      <c r="F165" s="2566"/>
      <c r="G165" s="2566"/>
      <c r="H165" s="2566"/>
      <c r="I165" s="2579"/>
      <c r="J165" s="2579"/>
      <c r="K165" s="2579"/>
      <c r="L165" s="2579"/>
      <c r="M165" s="2579"/>
      <c r="N165" s="2579"/>
      <c r="O165" s="2579"/>
    </row>
    <row r="166" spans="1:15" s="2463" customFormat="1" ht="12.75">
      <c r="A166" s="2531"/>
      <c r="B166" s="2533"/>
      <c r="C166" s="2531"/>
      <c r="D166" s="2566"/>
      <c r="E166" s="2566"/>
      <c r="F166" s="2566"/>
      <c r="G166" s="2566"/>
      <c r="H166" s="2566"/>
      <c r="I166" s="2579"/>
      <c r="J166" s="2579"/>
      <c r="K166" s="2579"/>
      <c r="L166" s="2579"/>
      <c r="M166" s="2579"/>
      <c r="N166" s="2579"/>
      <c r="O166" s="2579"/>
    </row>
    <row r="167" spans="1:15" s="2463" customFormat="1" ht="12.75">
      <c r="A167" s="2531"/>
      <c r="B167" s="2533"/>
      <c r="C167" s="2531"/>
      <c r="D167" s="2566"/>
      <c r="E167" s="2566"/>
      <c r="F167" s="2566"/>
      <c r="G167" s="2566"/>
      <c r="H167" s="2566"/>
      <c r="I167" s="2579"/>
      <c r="J167" s="2579"/>
      <c r="K167" s="2579"/>
      <c r="L167" s="2579"/>
      <c r="M167" s="2579"/>
      <c r="N167" s="2579"/>
      <c r="O167" s="2579"/>
    </row>
    <row r="168" spans="1:15" s="2463" customFormat="1" ht="12.75">
      <c r="A168" s="2531"/>
      <c r="B168" s="2533"/>
      <c r="C168" s="2531"/>
      <c r="D168" s="2566"/>
      <c r="E168" s="2566"/>
      <c r="F168" s="2566"/>
      <c r="G168" s="2566"/>
      <c r="H168" s="2566"/>
      <c r="I168" s="2579"/>
      <c r="J168" s="2579"/>
      <c r="K168" s="2579"/>
      <c r="L168" s="2579"/>
      <c r="M168" s="2579"/>
      <c r="N168" s="2579"/>
      <c r="O168" s="2579"/>
    </row>
    <row r="169" spans="1:15" s="2463" customFormat="1" ht="12.75">
      <c r="A169" s="2531"/>
      <c r="B169" s="2533"/>
      <c r="C169" s="2531"/>
      <c r="D169" s="2566"/>
      <c r="E169" s="2566"/>
      <c r="F169" s="2566"/>
      <c r="G169" s="2566"/>
      <c r="H169" s="2566"/>
      <c r="I169" s="2579"/>
      <c r="J169" s="2579"/>
      <c r="K169" s="2579"/>
      <c r="L169" s="2579"/>
      <c r="M169" s="2579"/>
      <c r="N169" s="2579"/>
      <c r="O169" s="2579"/>
    </row>
    <row r="170" spans="1:15" s="2463" customFormat="1" ht="12.75">
      <c r="A170" s="2531"/>
      <c r="B170" s="2533"/>
      <c r="C170" s="2531"/>
      <c r="D170" s="2566"/>
      <c r="E170" s="2566"/>
      <c r="F170" s="2566"/>
      <c r="G170" s="2566"/>
      <c r="H170" s="2566"/>
      <c r="I170" s="2579"/>
      <c r="J170" s="2579"/>
      <c r="K170" s="2579"/>
      <c r="L170" s="2579"/>
      <c r="M170" s="2579"/>
      <c r="N170" s="2579"/>
      <c r="O170" s="2579"/>
    </row>
    <row r="171" spans="1:15" s="2463" customFormat="1" ht="12.75">
      <c r="A171" s="2531"/>
      <c r="B171" s="2533"/>
      <c r="C171" s="2531"/>
      <c r="D171" s="2566"/>
      <c r="E171" s="2566"/>
      <c r="F171" s="2566"/>
      <c r="G171" s="2566"/>
      <c r="H171" s="2566"/>
      <c r="I171" s="2579"/>
      <c r="J171" s="2579"/>
      <c r="K171" s="2579"/>
      <c r="L171" s="2579"/>
      <c r="M171" s="2579"/>
      <c r="N171" s="2579"/>
      <c r="O171" s="2579"/>
    </row>
    <row r="172" spans="1:15" s="2463" customFormat="1" ht="12.75">
      <c r="A172" s="2531"/>
      <c r="B172" s="2533"/>
      <c r="C172" s="2531"/>
      <c r="D172" s="2566"/>
      <c r="E172" s="2566"/>
      <c r="F172" s="2566"/>
      <c r="G172" s="2566"/>
      <c r="H172" s="2566"/>
      <c r="I172" s="2579"/>
      <c r="J172" s="2579"/>
      <c r="K172" s="2579"/>
      <c r="L172" s="2579"/>
      <c r="M172" s="2579"/>
      <c r="N172" s="2579"/>
      <c r="O172" s="2579"/>
    </row>
    <row r="173" spans="1:15" s="2463" customFormat="1" ht="12.75">
      <c r="A173" s="2531"/>
      <c r="B173" s="2533"/>
      <c r="C173" s="2531"/>
      <c r="D173" s="2566"/>
      <c r="E173" s="2566"/>
      <c r="F173" s="2566"/>
      <c r="G173" s="2566"/>
      <c r="H173" s="2566"/>
      <c r="I173" s="2579"/>
      <c r="J173" s="2579"/>
      <c r="K173" s="2579"/>
      <c r="L173" s="2579"/>
      <c r="M173" s="2579"/>
      <c r="N173" s="2579"/>
      <c r="O173" s="2579"/>
    </row>
    <row r="174" spans="1:15" s="2463" customFormat="1" ht="12.75">
      <c r="A174" s="2531"/>
      <c r="B174" s="2533"/>
      <c r="C174" s="2531"/>
      <c r="D174" s="2566"/>
      <c r="E174" s="2566"/>
      <c r="F174" s="2566"/>
      <c r="G174" s="2566"/>
      <c r="H174" s="2566"/>
      <c r="I174" s="2579"/>
      <c r="J174" s="2579"/>
      <c r="K174" s="2579"/>
      <c r="L174" s="2579"/>
      <c r="M174" s="2579"/>
      <c r="N174" s="2579"/>
      <c r="O174" s="2579"/>
    </row>
    <row r="175" spans="1:15" s="2463" customFormat="1" ht="12.75">
      <c r="A175" s="4876"/>
      <c r="B175" s="4876"/>
      <c r="C175" s="4876"/>
      <c r="D175" s="4876"/>
      <c r="E175" s="4876"/>
      <c r="F175" s="4876"/>
      <c r="G175" s="4876"/>
      <c r="H175" s="4876"/>
      <c r="I175" s="2579"/>
      <c r="J175" s="2579"/>
      <c r="K175" s="2579"/>
      <c r="L175" s="2579"/>
      <c r="M175" s="2579"/>
      <c r="N175" s="2579"/>
      <c r="O175" s="2579"/>
    </row>
    <row r="176" spans="1:15" s="2463" customFormat="1" ht="12.75">
      <c r="A176" s="4877"/>
      <c r="B176" s="4877"/>
      <c r="C176" s="4877"/>
      <c r="D176" s="4877"/>
      <c r="E176" s="4877"/>
      <c r="F176" s="4877"/>
      <c r="G176" s="4877"/>
      <c r="H176" s="4877"/>
      <c r="I176" s="2579"/>
      <c r="J176" s="2579"/>
      <c r="K176" s="2579"/>
      <c r="L176" s="2579"/>
      <c r="M176" s="2579"/>
      <c r="N176" s="2579"/>
      <c r="O176" s="2579"/>
    </row>
    <row r="177" spans="1:15" s="2463" customFormat="1" ht="12.75">
      <c r="A177" s="4876"/>
      <c r="B177" s="4876"/>
      <c r="C177" s="4876"/>
      <c r="D177" s="4876"/>
      <c r="E177" s="4876"/>
      <c r="F177" s="4876"/>
      <c r="G177" s="4876"/>
      <c r="H177" s="4876"/>
      <c r="I177" s="2579"/>
      <c r="J177" s="2579"/>
      <c r="K177" s="2579"/>
      <c r="L177" s="2579"/>
      <c r="M177" s="2579"/>
      <c r="N177" s="2579"/>
      <c r="O177" s="2579"/>
    </row>
    <row r="178" spans="1:15" s="2463" customFormat="1" ht="12.75">
      <c r="A178" s="4877"/>
      <c r="B178" s="4877"/>
      <c r="C178" s="4877"/>
      <c r="D178" s="4877"/>
      <c r="E178" s="4877"/>
      <c r="F178" s="4877"/>
      <c r="G178" s="4877"/>
      <c r="H178" s="4877"/>
      <c r="I178" s="2579"/>
      <c r="J178" s="2579"/>
      <c r="K178" s="2579"/>
      <c r="L178" s="2579"/>
      <c r="M178" s="2579"/>
      <c r="N178" s="2579"/>
      <c r="O178" s="2579"/>
    </row>
    <row r="179" spans="1:15">
      <c r="A179" s="2529"/>
      <c r="B179" s="2529"/>
      <c r="C179" s="2529"/>
      <c r="D179" s="2529"/>
      <c r="E179" s="2529"/>
      <c r="F179" s="2529"/>
      <c r="G179" s="2529"/>
      <c r="H179" s="2529"/>
    </row>
    <row r="180" spans="1:15">
      <c r="A180" s="2568"/>
      <c r="B180" s="2567"/>
      <c r="C180" s="2529"/>
      <c r="D180" s="2566"/>
      <c r="E180" s="2566"/>
      <c r="F180" s="2566"/>
      <c r="G180" s="2566"/>
      <c r="H180" s="2566"/>
    </row>
    <row r="181" spans="1:15">
      <c r="A181" s="1269"/>
      <c r="B181" s="1269"/>
      <c r="C181" s="2542"/>
      <c r="D181" s="2541"/>
      <c r="E181" s="2561"/>
      <c r="F181" s="2540"/>
      <c r="G181" s="2565"/>
      <c r="H181" s="2561"/>
    </row>
    <row r="182" spans="1:15" ht="23.25">
      <c r="A182" s="2564"/>
      <c r="B182" s="2564"/>
      <c r="C182" s="2542"/>
      <c r="D182" s="2541"/>
      <c r="E182" s="2561"/>
      <c r="F182" s="2540"/>
      <c r="G182" s="2562"/>
      <c r="H182" s="2561"/>
    </row>
    <row r="183" spans="1:15" s="2463" customFormat="1" ht="12.75">
      <c r="A183" s="4879"/>
      <c r="B183" s="4879"/>
      <c r="C183" s="2559"/>
      <c r="D183" s="2560"/>
      <c r="E183" s="4880"/>
      <c r="F183" s="4880"/>
      <c r="G183" s="4880"/>
      <c r="H183" s="2557"/>
      <c r="I183" s="2579"/>
      <c r="J183" s="2579"/>
      <c r="K183" s="2579"/>
      <c r="L183" s="2579"/>
      <c r="M183" s="2579"/>
      <c r="N183" s="2579"/>
      <c r="O183" s="2579"/>
    </row>
    <row r="184" spans="1:15" s="2463" customFormat="1" ht="12.75">
      <c r="A184" s="4879"/>
      <c r="B184" s="4879"/>
      <c r="C184" s="2559"/>
      <c r="D184" s="2558"/>
      <c r="E184" s="2558"/>
      <c r="F184" s="2558"/>
      <c r="G184" s="2558"/>
      <c r="H184" s="2558"/>
      <c r="I184" s="2579"/>
      <c r="J184" s="2579"/>
      <c r="K184" s="2579"/>
      <c r="L184" s="2579"/>
      <c r="M184" s="2579"/>
      <c r="N184" s="2579"/>
      <c r="O184" s="2579"/>
    </row>
    <row r="185" spans="1:15" s="2463" customFormat="1" ht="12.75">
      <c r="A185" s="4879"/>
      <c r="B185" s="4879"/>
      <c r="C185" s="2557"/>
      <c r="D185" s="2555"/>
      <c r="E185" s="2555"/>
      <c r="F185" s="2555"/>
      <c r="G185" s="2556"/>
      <c r="H185" s="2555"/>
      <c r="I185" s="2579"/>
      <c r="J185" s="2579"/>
      <c r="K185" s="2579"/>
      <c r="L185" s="2579"/>
      <c r="M185" s="2579"/>
      <c r="N185" s="2579"/>
      <c r="O185" s="2579"/>
    </row>
    <row r="186" spans="1:15" s="2463" customFormat="1" ht="12.75">
      <c r="A186" s="2554"/>
      <c r="B186" s="2553"/>
      <c r="C186" s="2552"/>
      <c r="D186" s="2551"/>
      <c r="E186" s="2551"/>
      <c r="F186" s="2551"/>
      <c r="G186" s="2551"/>
      <c r="H186" s="2551"/>
      <c r="I186" s="2579"/>
      <c r="J186" s="2579"/>
      <c r="K186" s="2579"/>
      <c r="L186" s="2579"/>
      <c r="M186" s="2579"/>
      <c r="N186" s="2579"/>
      <c r="O186" s="2579"/>
    </row>
    <row r="187" spans="1:15" s="2463" customFormat="1" ht="12.75">
      <c r="A187" s="2546"/>
      <c r="B187" s="1269"/>
      <c r="C187" s="2545"/>
      <c r="D187" s="2548"/>
      <c r="E187" s="2548"/>
      <c r="F187" s="2540"/>
      <c r="G187" s="2548"/>
      <c r="H187" s="2548"/>
      <c r="I187" s="2579"/>
      <c r="J187" s="2579"/>
      <c r="K187" s="2579"/>
      <c r="L187" s="2579"/>
      <c r="M187" s="2579"/>
      <c r="N187" s="2579"/>
      <c r="O187" s="2579"/>
    </row>
    <row r="188" spans="1:15" s="2463" customFormat="1" ht="12.75">
      <c r="A188" s="2549"/>
      <c r="B188" s="2549"/>
      <c r="C188" s="2545"/>
      <c r="D188" s="2548"/>
      <c r="E188" s="2548"/>
      <c r="F188" s="2540"/>
      <c r="G188" s="2548"/>
      <c r="H188" s="2548"/>
      <c r="I188" s="2579"/>
      <c r="J188" s="2579"/>
      <c r="K188" s="2579"/>
      <c r="L188" s="2579"/>
      <c r="M188" s="2579"/>
      <c r="N188" s="2579"/>
      <c r="O188" s="2579"/>
    </row>
    <row r="189" spans="1:15" s="2463" customFormat="1" ht="12.75">
      <c r="A189" s="2546"/>
      <c r="B189" s="1269"/>
      <c r="C189" s="2542"/>
      <c r="D189" s="2541"/>
      <c r="E189" s="2544"/>
      <c r="F189" s="2540"/>
      <c r="G189" s="2544"/>
      <c r="H189" s="2544"/>
      <c r="I189" s="2579"/>
      <c r="J189" s="2579"/>
      <c r="K189" s="2579"/>
      <c r="L189" s="2579"/>
      <c r="M189" s="2579"/>
      <c r="N189" s="2579"/>
      <c r="O189" s="2579"/>
    </row>
    <row r="190" spans="1:15" s="2463" customFormat="1" ht="12.75">
      <c r="A190" s="2549"/>
      <c r="B190" s="2549"/>
      <c r="C190" s="2545"/>
      <c r="D190" s="2541"/>
      <c r="E190" s="2544"/>
      <c r="F190" s="2540"/>
      <c r="G190" s="2544"/>
      <c r="H190" s="2544"/>
      <c r="I190" s="2579"/>
      <c r="J190" s="2579"/>
      <c r="K190" s="2579"/>
      <c r="L190" s="2579"/>
      <c r="M190" s="2579"/>
      <c r="N190" s="2579"/>
      <c r="O190" s="2579"/>
    </row>
    <row r="191" spans="1:15" s="2463" customFormat="1" ht="12.75">
      <c r="A191" s="2549"/>
      <c r="B191" s="2549"/>
      <c r="C191" s="2542"/>
      <c r="D191" s="2541"/>
      <c r="E191" s="2544"/>
      <c r="F191" s="2540"/>
      <c r="G191" s="2544"/>
      <c r="H191" s="2544"/>
      <c r="I191" s="2579"/>
      <c r="J191" s="2579"/>
      <c r="K191" s="2579"/>
      <c r="L191" s="2579"/>
      <c r="M191" s="2579"/>
      <c r="N191" s="2579"/>
      <c r="O191" s="2579"/>
    </row>
    <row r="192" spans="1:15" s="2463" customFormat="1" ht="12.75">
      <c r="A192" s="2549"/>
      <c r="B192" s="2549"/>
      <c r="C192" s="2542"/>
      <c r="D192" s="2541"/>
      <c r="E192" s="2544"/>
      <c r="F192" s="2540"/>
      <c r="G192" s="2544"/>
      <c r="H192" s="2544"/>
      <c r="I192" s="2579"/>
      <c r="J192" s="2579"/>
      <c r="K192" s="2579"/>
      <c r="L192" s="2579"/>
      <c r="M192" s="2579"/>
      <c r="N192" s="2579"/>
      <c r="O192" s="2579"/>
    </row>
    <row r="193" spans="1:15" s="2463" customFormat="1" ht="12.75">
      <c r="A193" s="2546"/>
      <c r="B193" s="1269"/>
      <c r="C193" s="2545"/>
      <c r="D193" s="2541"/>
      <c r="E193" s="2544"/>
      <c r="F193" s="2540"/>
      <c r="G193" s="2544"/>
      <c r="H193" s="2544"/>
      <c r="I193" s="2579"/>
      <c r="J193" s="2579"/>
      <c r="K193" s="2579"/>
      <c r="L193" s="2579"/>
      <c r="M193" s="2579"/>
      <c r="N193" s="2579"/>
      <c r="O193" s="2579"/>
    </row>
    <row r="194" spans="1:15" s="2463" customFormat="1" ht="12.75">
      <c r="A194" s="2546"/>
      <c r="B194" s="1269"/>
      <c r="C194" s="2545"/>
      <c r="D194" s="2541"/>
      <c r="E194" s="2544"/>
      <c r="F194" s="2540"/>
      <c r="G194" s="2544"/>
      <c r="H194" s="2544"/>
      <c r="I194" s="2579"/>
      <c r="J194" s="2579"/>
      <c r="K194" s="2579"/>
      <c r="L194" s="2579"/>
      <c r="M194" s="2579"/>
      <c r="N194" s="2579"/>
      <c r="O194" s="2579"/>
    </row>
    <row r="195" spans="1:15" s="2463" customFormat="1" ht="12.75">
      <c r="A195" s="2547"/>
      <c r="B195" s="2546"/>
      <c r="C195" s="2545"/>
      <c r="D195" s="2541"/>
      <c r="E195" s="2544"/>
      <c r="F195" s="2540"/>
      <c r="G195" s="2544"/>
      <c r="H195" s="2544"/>
      <c r="I195" s="2579"/>
      <c r="J195" s="2579"/>
      <c r="K195" s="2579"/>
      <c r="L195" s="2579"/>
      <c r="M195" s="2579"/>
      <c r="N195" s="2579"/>
      <c r="O195" s="2579"/>
    </row>
    <row r="196" spans="1:15" s="2463" customFormat="1" ht="12.75">
      <c r="A196" s="2543"/>
      <c r="B196" s="2543"/>
      <c r="C196" s="2542"/>
      <c r="D196" s="2541"/>
      <c r="E196" s="2539"/>
      <c r="F196" s="2540"/>
      <c r="G196" s="2539"/>
      <c r="H196" s="2539"/>
      <c r="I196" s="2579"/>
      <c r="J196" s="2579"/>
      <c r="K196" s="2579"/>
      <c r="L196" s="2579"/>
      <c r="M196" s="2579"/>
      <c r="N196" s="2579"/>
      <c r="O196" s="2579"/>
    </row>
    <row r="197" spans="1:15" s="2463" customFormat="1" ht="12.75">
      <c r="A197" s="2538"/>
      <c r="B197" s="2538"/>
      <c r="C197" s="2537"/>
      <c r="D197" s="2536"/>
      <c r="E197" s="2536"/>
      <c r="F197" s="2536"/>
      <c r="G197" s="2536"/>
      <c r="H197" s="2536"/>
      <c r="I197" s="2579"/>
      <c r="J197" s="2579"/>
      <c r="K197" s="2579"/>
      <c r="L197" s="2579"/>
      <c r="M197" s="2579"/>
      <c r="N197" s="2579"/>
      <c r="O197" s="2579"/>
    </row>
    <row r="198" spans="1:15" s="2463" customFormat="1" ht="12.75">
      <c r="A198" s="2538"/>
      <c r="B198" s="2538"/>
      <c r="C198" s="2537"/>
      <c r="D198" s="2536"/>
      <c r="E198" s="2536"/>
      <c r="F198" s="2536"/>
      <c r="G198" s="2536"/>
      <c r="H198" s="2536"/>
      <c r="I198" s="2579"/>
      <c r="J198" s="2579"/>
      <c r="K198" s="2579"/>
      <c r="L198" s="2579"/>
      <c r="M198" s="2579"/>
      <c r="N198" s="2579"/>
      <c r="O198" s="2579"/>
    </row>
    <row r="199" spans="1:15" s="2463" customFormat="1">
      <c r="A199" s="1269"/>
      <c r="B199" s="2529"/>
      <c r="C199" s="2535"/>
      <c r="D199" s="2529"/>
      <c r="E199" s="4877"/>
      <c r="F199" s="4877"/>
      <c r="G199" s="1269"/>
      <c r="H199" s="2529"/>
      <c r="I199" s="2579"/>
      <c r="J199" s="2579"/>
      <c r="K199" s="2579"/>
      <c r="L199" s="2579"/>
      <c r="M199" s="2579"/>
      <c r="N199" s="2579"/>
      <c r="O199" s="2579"/>
    </row>
    <row r="200" spans="1:15" s="2463" customFormat="1">
      <c r="A200" s="2529"/>
      <c r="B200" s="1269"/>
      <c r="C200" s="2535"/>
      <c r="D200" s="1269"/>
      <c r="E200" s="1269"/>
      <c r="F200" s="1269"/>
      <c r="G200" s="1269"/>
      <c r="H200" s="2529"/>
      <c r="I200" s="2579"/>
      <c r="J200" s="2579"/>
      <c r="K200" s="2579"/>
      <c r="L200" s="2579"/>
      <c r="M200" s="2579"/>
      <c r="N200" s="2579"/>
      <c r="O200" s="2579"/>
    </row>
    <row r="201" spans="1:15" s="2463" customFormat="1" ht="12.75">
      <c r="A201" s="2534"/>
      <c r="B201" s="1269"/>
      <c r="C201" s="4881"/>
      <c r="D201" s="4881"/>
      <c r="E201" s="4876"/>
      <c r="F201" s="4876"/>
      <c r="G201" s="4876"/>
      <c r="H201" s="4876"/>
      <c r="I201" s="2579"/>
      <c r="J201" s="2579"/>
      <c r="K201" s="2579"/>
      <c r="L201" s="2579"/>
      <c r="M201" s="2579"/>
      <c r="N201" s="2579"/>
      <c r="O201" s="2579"/>
    </row>
    <row r="202" spans="1:15" s="2463" customFormat="1" ht="12.75">
      <c r="A202" s="2531"/>
      <c r="B202" s="2533"/>
      <c r="C202" s="4874"/>
      <c r="D202" s="4874"/>
      <c r="E202" s="4875"/>
      <c r="F202" s="4875"/>
      <c r="G202" s="4875"/>
      <c r="H202" s="4875"/>
      <c r="I202" s="2579"/>
      <c r="J202" s="2579"/>
      <c r="K202" s="2579"/>
      <c r="L202" s="2579"/>
      <c r="M202" s="2579"/>
      <c r="N202" s="2579"/>
      <c r="O202" s="2579"/>
    </row>
    <row r="203" spans="1:15" s="2463" customFormat="1" ht="12.75">
      <c r="A203" s="2531"/>
      <c r="B203" s="2533"/>
      <c r="C203" s="2531"/>
      <c r="D203" s="2566"/>
      <c r="E203" s="2566"/>
      <c r="F203" s="2566"/>
      <c r="G203" s="2566"/>
      <c r="H203" s="2566"/>
      <c r="I203" s="2579"/>
      <c r="J203" s="2579"/>
      <c r="K203" s="2579"/>
      <c r="L203" s="2579"/>
      <c r="M203" s="2579"/>
      <c r="N203" s="2579"/>
      <c r="O203" s="2579"/>
    </row>
    <row r="204" spans="1:15" s="2463" customFormat="1" ht="12.75">
      <c r="A204" s="2531"/>
      <c r="B204" s="2533"/>
      <c r="C204" s="2531"/>
      <c r="D204" s="2566"/>
      <c r="E204" s="2566"/>
      <c r="F204" s="2566"/>
      <c r="G204" s="2566"/>
      <c r="H204" s="2566"/>
      <c r="I204" s="2579"/>
      <c r="J204" s="2579"/>
      <c r="K204" s="2579"/>
      <c r="L204" s="2579"/>
      <c r="M204" s="2579"/>
      <c r="N204" s="2579"/>
      <c r="O204" s="2579"/>
    </row>
    <row r="205" spans="1:15" s="2463" customFormat="1" ht="12.75">
      <c r="A205" s="2531"/>
      <c r="B205" s="2533"/>
      <c r="C205" s="2531"/>
      <c r="D205" s="2566"/>
      <c r="E205" s="2566"/>
      <c r="F205" s="2566"/>
      <c r="G205" s="2566"/>
      <c r="H205" s="2566"/>
      <c r="I205" s="2579"/>
      <c r="J205" s="2579"/>
      <c r="K205" s="2579"/>
      <c r="L205" s="2579"/>
      <c r="M205" s="2579"/>
      <c r="N205" s="2579"/>
      <c r="O205" s="2579"/>
    </row>
    <row r="206" spans="1:15" s="2463" customFormat="1" ht="12.75">
      <c r="A206" s="2531"/>
      <c r="B206" s="2533"/>
      <c r="C206" s="2531"/>
      <c r="D206" s="2566"/>
      <c r="E206" s="2566"/>
      <c r="F206" s="2566"/>
      <c r="G206" s="2566"/>
      <c r="H206" s="2566"/>
      <c r="I206" s="2579"/>
      <c r="J206" s="2579"/>
      <c r="K206" s="2579"/>
      <c r="L206" s="2579"/>
      <c r="M206" s="2579"/>
      <c r="N206" s="2579"/>
      <c r="O206" s="2579"/>
    </row>
    <row r="207" spans="1:15" s="2463" customFormat="1" ht="12.75">
      <c r="A207" s="2531"/>
      <c r="B207" s="2533"/>
      <c r="C207" s="2531"/>
      <c r="D207" s="2566"/>
      <c r="E207" s="2566"/>
      <c r="F207" s="2566"/>
      <c r="G207" s="2566"/>
      <c r="H207" s="2566"/>
      <c r="I207" s="2579"/>
      <c r="J207" s="2579"/>
      <c r="K207" s="2579"/>
      <c r="L207" s="2579"/>
      <c r="M207" s="2579"/>
      <c r="N207" s="2579"/>
      <c r="O207" s="2579"/>
    </row>
    <row r="208" spans="1:15" s="2463" customFormat="1" ht="12.75">
      <c r="A208" s="2531"/>
      <c r="B208" s="2533"/>
      <c r="C208" s="2531"/>
      <c r="D208" s="2566"/>
      <c r="E208" s="2566"/>
      <c r="F208" s="2566"/>
      <c r="G208" s="2566"/>
      <c r="H208" s="2566"/>
      <c r="I208" s="2579"/>
      <c r="J208" s="2579"/>
      <c r="K208" s="2579"/>
      <c r="L208" s="2579"/>
      <c r="M208" s="2579"/>
      <c r="N208" s="2579"/>
      <c r="O208" s="2579"/>
    </row>
    <row r="209" spans="1:15" s="2463" customFormat="1" ht="12.75">
      <c r="A209" s="2531"/>
      <c r="B209" s="2533"/>
      <c r="C209" s="2531"/>
      <c r="D209" s="2566"/>
      <c r="E209" s="2566"/>
      <c r="F209" s="2566"/>
      <c r="G209" s="2566"/>
      <c r="H209" s="2566"/>
      <c r="I209" s="2579"/>
      <c r="J209" s="2579"/>
      <c r="K209" s="2579"/>
      <c r="L209" s="2579"/>
      <c r="M209" s="2579"/>
      <c r="N209" s="2579"/>
      <c r="O209" s="2579"/>
    </row>
    <row r="210" spans="1:15" s="2463" customFormat="1" ht="12.75">
      <c r="A210" s="2531"/>
      <c r="B210" s="2533"/>
      <c r="C210" s="2531"/>
      <c r="D210" s="2566"/>
      <c r="E210" s="2566"/>
      <c r="F210" s="2566"/>
      <c r="G210" s="2566"/>
      <c r="H210" s="2566"/>
      <c r="I210" s="2579"/>
      <c r="J210" s="2579"/>
      <c r="K210" s="2579"/>
      <c r="L210" s="2579"/>
      <c r="M210" s="2579"/>
      <c r="N210" s="2579"/>
      <c r="O210" s="2579"/>
    </row>
    <row r="211" spans="1:15" s="2463" customFormat="1" ht="12.75">
      <c r="A211" s="2531"/>
      <c r="B211" s="2533"/>
      <c r="C211" s="2531"/>
      <c r="D211" s="2566"/>
      <c r="E211" s="2566"/>
      <c r="F211" s="2566"/>
      <c r="G211" s="2566"/>
      <c r="H211" s="2566"/>
      <c r="I211" s="2579"/>
      <c r="J211" s="2579"/>
      <c r="K211" s="2579"/>
      <c r="L211" s="2579"/>
      <c r="M211" s="2579"/>
      <c r="N211" s="2579"/>
      <c r="O211" s="2579"/>
    </row>
    <row r="212" spans="1:15" s="2463" customFormat="1" ht="12.75">
      <c r="A212" s="2531"/>
      <c r="B212" s="2533"/>
      <c r="C212" s="2531"/>
      <c r="D212" s="2566"/>
      <c r="E212" s="2566"/>
      <c r="F212" s="2566"/>
      <c r="G212" s="2566"/>
      <c r="H212" s="2566"/>
      <c r="I212" s="2579"/>
      <c r="J212" s="2579"/>
      <c r="K212" s="2579"/>
      <c r="L212" s="2579"/>
      <c r="M212" s="2579"/>
      <c r="N212" s="2579"/>
      <c r="O212" s="2579"/>
    </row>
    <row r="213" spans="1:15" s="2463" customFormat="1" ht="12.75">
      <c r="A213" s="2531"/>
      <c r="B213" s="2533"/>
      <c r="C213" s="2531"/>
      <c r="D213" s="2566"/>
      <c r="E213" s="2566"/>
      <c r="F213" s="2566"/>
      <c r="G213" s="2566"/>
      <c r="H213" s="2566"/>
      <c r="I213" s="2579"/>
      <c r="J213" s="2579"/>
      <c r="K213" s="2579"/>
      <c r="L213" s="2579"/>
      <c r="M213" s="2579"/>
      <c r="N213" s="2579"/>
      <c r="O213" s="2579"/>
    </row>
    <row r="214" spans="1:15" s="2463" customFormat="1" ht="12.75">
      <c r="A214" s="2531"/>
      <c r="B214" s="2533"/>
      <c r="C214" s="2531"/>
      <c r="D214" s="2566"/>
      <c r="E214" s="2566"/>
      <c r="F214" s="2566"/>
      <c r="G214" s="2566"/>
      <c r="H214" s="2566"/>
      <c r="I214" s="2579"/>
      <c r="J214" s="2579"/>
      <c r="K214" s="2579"/>
      <c r="L214" s="2579"/>
      <c r="M214" s="2579"/>
      <c r="N214" s="2579"/>
      <c r="O214" s="2579"/>
    </row>
    <row r="215" spans="1:15" s="2463" customFormat="1" ht="12.75">
      <c r="A215" s="2531"/>
      <c r="B215" s="2533"/>
      <c r="C215" s="2531"/>
      <c r="D215" s="2566"/>
      <c r="E215" s="2566"/>
      <c r="F215" s="2566"/>
      <c r="G215" s="2566"/>
      <c r="H215" s="2566"/>
      <c r="I215" s="2579"/>
      <c r="J215" s="2579"/>
      <c r="K215" s="2579"/>
      <c r="L215" s="2579"/>
      <c r="M215" s="2579"/>
      <c r="N215" s="2579"/>
      <c r="O215" s="2579"/>
    </row>
    <row r="216" spans="1:15" s="2463" customFormat="1" ht="12.75">
      <c r="A216" s="2531"/>
      <c r="B216" s="2533"/>
      <c r="C216" s="2531"/>
      <c r="D216" s="2566"/>
      <c r="E216" s="2566"/>
      <c r="F216" s="2566"/>
      <c r="G216" s="2566"/>
      <c r="H216" s="2566"/>
      <c r="I216" s="2579"/>
      <c r="J216" s="2579"/>
      <c r="K216" s="2579"/>
      <c r="L216" s="2579"/>
      <c r="M216" s="2579"/>
      <c r="N216" s="2579"/>
      <c r="O216" s="2579"/>
    </row>
    <row r="217" spans="1:15" s="2463" customFormat="1" ht="12.75">
      <c r="A217" s="2531"/>
      <c r="B217" s="2533"/>
      <c r="C217" s="2531"/>
      <c r="D217" s="2566"/>
      <c r="E217" s="2566"/>
      <c r="F217" s="2566"/>
      <c r="G217" s="2566"/>
      <c r="H217" s="2566"/>
      <c r="I217" s="2579"/>
      <c r="J217" s="2579"/>
      <c r="K217" s="2579"/>
      <c r="L217" s="2579"/>
      <c r="M217" s="2579"/>
      <c r="N217" s="2579"/>
      <c r="O217" s="2579"/>
    </row>
    <row r="218" spans="1:15" s="2463" customFormat="1" ht="12.75">
      <c r="A218" s="2531"/>
      <c r="B218" s="2533"/>
      <c r="C218" s="2531"/>
      <c r="D218" s="2566"/>
      <c r="E218" s="2566"/>
      <c r="F218" s="2566"/>
      <c r="G218" s="2566"/>
      <c r="H218" s="2566"/>
      <c r="I218" s="2579"/>
      <c r="J218" s="2579"/>
      <c r="K218" s="2579"/>
      <c r="L218" s="2579"/>
      <c r="M218" s="2579"/>
      <c r="N218" s="2579"/>
      <c r="O218" s="2579"/>
    </row>
    <row r="219" spans="1:15" s="2463" customFormat="1" ht="12.75">
      <c r="A219" s="2531"/>
      <c r="B219" s="2533"/>
      <c r="C219" s="2531"/>
      <c r="D219" s="2566"/>
      <c r="E219" s="2566"/>
      <c r="F219" s="2566"/>
      <c r="G219" s="2566"/>
      <c r="H219" s="2566"/>
      <c r="I219" s="2579"/>
      <c r="J219" s="2579"/>
      <c r="K219" s="2579"/>
      <c r="L219" s="2579"/>
      <c r="M219" s="2579"/>
      <c r="N219" s="2579"/>
      <c r="O219" s="2579"/>
    </row>
    <row r="220" spans="1:15" s="2463" customFormat="1">
      <c r="A220" s="2529"/>
      <c r="B220" s="2529"/>
      <c r="C220" s="2529"/>
      <c r="D220" s="2529"/>
      <c r="E220" s="2529"/>
      <c r="F220" s="2529"/>
      <c r="G220" s="2529"/>
      <c r="H220" s="2529"/>
      <c r="I220" s="2579"/>
      <c r="J220" s="2579"/>
      <c r="K220" s="2579"/>
      <c r="L220" s="2579"/>
      <c r="M220" s="2579"/>
      <c r="N220" s="2579"/>
      <c r="O220" s="2579"/>
    </row>
    <row r="221" spans="1:15" s="2463" customFormat="1" ht="12.75">
      <c r="A221" s="4876"/>
      <c r="B221" s="4876"/>
      <c r="C221" s="4876"/>
      <c r="D221" s="4876"/>
      <c r="E221" s="4876"/>
      <c r="F221" s="4876"/>
      <c r="G221" s="4876"/>
      <c r="H221" s="4876"/>
      <c r="I221" s="2579"/>
      <c r="J221" s="2579"/>
      <c r="K221" s="2579"/>
      <c r="L221" s="2579"/>
      <c r="M221" s="2579"/>
      <c r="N221" s="2579"/>
      <c r="O221" s="2579"/>
    </row>
    <row r="222" spans="1:15" s="2463" customFormat="1" ht="12.75">
      <c r="A222" s="4877"/>
      <c r="B222" s="4877"/>
      <c r="C222" s="4877"/>
      <c r="D222" s="4877"/>
      <c r="E222" s="4877"/>
      <c r="F222" s="4877"/>
      <c r="G222" s="4877"/>
      <c r="H222" s="4877"/>
      <c r="I222" s="2579"/>
      <c r="J222" s="2579"/>
      <c r="K222" s="2579"/>
      <c r="L222" s="2579"/>
      <c r="M222" s="2579"/>
      <c r="N222" s="2579"/>
      <c r="O222" s="2579"/>
    </row>
    <row r="223" spans="1:15">
      <c r="A223" s="2529"/>
      <c r="B223" s="2529"/>
      <c r="C223" s="2529"/>
      <c r="D223" s="2529"/>
      <c r="E223" s="2529"/>
      <c r="F223" s="2529"/>
      <c r="G223" s="2529"/>
      <c r="H223" s="2529"/>
    </row>
    <row r="224" spans="1:15">
      <c r="A224" s="2568"/>
      <c r="B224" s="2567"/>
      <c r="C224" s="2529"/>
      <c r="D224" s="2566"/>
      <c r="E224" s="2566"/>
      <c r="F224" s="2566"/>
      <c r="G224" s="2566"/>
      <c r="H224" s="2566"/>
    </row>
    <row r="225" spans="1:15">
      <c r="A225" s="1269"/>
      <c r="B225" s="1269"/>
      <c r="C225" s="2542"/>
      <c r="D225" s="2541"/>
      <c r="E225" s="2561"/>
      <c r="F225" s="2540"/>
      <c r="G225" s="2565"/>
      <c r="H225" s="2561"/>
    </row>
    <row r="226" spans="1:15" ht="23.25">
      <c r="A226" s="2564"/>
      <c r="B226" s="2564"/>
      <c r="C226" s="2563"/>
      <c r="D226" s="2570"/>
      <c r="E226" s="2561"/>
      <c r="F226" s="2540"/>
      <c r="G226" s="2562"/>
      <c r="H226" s="2561"/>
    </row>
    <row r="227" spans="1:15" s="2463" customFormat="1" ht="12.75">
      <c r="A227" s="4879"/>
      <c r="B227" s="4879"/>
      <c r="C227" s="2559"/>
      <c r="D227" s="2560"/>
      <c r="E227" s="4880"/>
      <c r="F227" s="4880"/>
      <c r="G227" s="4880"/>
      <c r="H227" s="2557"/>
      <c r="I227" s="2579"/>
      <c r="J227" s="2579"/>
      <c r="K227" s="2579"/>
      <c r="L227" s="2579"/>
      <c r="M227" s="2579"/>
      <c r="N227" s="2579"/>
      <c r="O227" s="2579"/>
    </row>
    <row r="228" spans="1:15" s="2463" customFormat="1" ht="12.75">
      <c r="A228" s="4879"/>
      <c r="B228" s="4879"/>
      <c r="C228" s="2559"/>
      <c r="D228" s="2558"/>
      <c r="E228" s="2558"/>
      <c r="F228" s="2558"/>
      <c r="G228" s="2558"/>
      <c r="H228" s="2558"/>
      <c r="I228" s="2579"/>
      <c r="J228" s="2579"/>
      <c r="K228" s="2579"/>
      <c r="L228" s="2579"/>
      <c r="M228" s="2579"/>
      <c r="N228" s="2579"/>
      <c r="O228" s="2579"/>
    </row>
    <row r="229" spans="1:15" s="2463" customFormat="1" ht="12.75">
      <c r="A229" s="4879"/>
      <c r="B229" s="4879"/>
      <c r="C229" s="2557"/>
      <c r="D229" s="2555"/>
      <c r="E229" s="2555"/>
      <c r="F229" s="2555"/>
      <c r="G229" s="2556"/>
      <c r="H229" s="2555"/>
      <c r="I229" s="2579"/>
      <c r="J229" s="2579"/>
      <c r="K229" s="2579"/>
      <c r="L229" s="2579"/>
      <c r="M229" s="2579"/>
      <c r="N229" s="2579"/>
      <c r="O229" s="2579"/>
    </row>
    <row r="230" spans="1:15" s="2463" customFormat="1" ht="12.75">
      <c r="A230" s="2554"/>
      <c r="B230" s="2553"/>
      <c r="C230" s="2552"/>
      <c r="D230" s="2551"/>
      <c r="E230" s="2551"/>
      <c r="F230" s="2551"/>
      <c r="G230" s="2551"/>
      <c r="H230" s="2551"/>
      <c r="I230" s="2579"/>
      <c r="J230" s="2579"/>
      <c r="K230" s="2579"/>
      <c r="L230" s="2579"/>
      <c r="M230" s="2579"/>
      <c r="N230" s="2579"/>
      <c r="O230" s="2579"/>
    </row>
    <row r="231" spans="1:15" s="2463" customFormat="1" ht="12.75">
      <c r="A231" s="2546"/>
      <c r="B231" s="1269"/>
      <c r="C231" s="2542"/>
      <c r="D231" s="2548"/>
      <c r="E231" s="2548"/>
      <c r="F231" s="2540"/>
      <c r="G231" s="2548"/>
      <c r="H231" s="2548"/>
      <c r="I231" s="2579"/>
      <c r="J231" s="2579"/>
      <c r="K231" s="2579"/>
      <c r="L231" s="2579"/>
      <c r="M231" s="2579"/>
      <c r="N231" s="2579"/>
      <c r="O231" s="2579"/>
    </row>
    <row r="232" spans="1:15" s="2463" customFormat="1" ht="12.75">
      <c r="A232" s="2549"/>
      <c r="B232" s="2549"/>
      <c r="C232" s="2545"/>
      <c r="D232" s="2548"/>
      <c r="E232" s="2548"/>
      <c r="F232" s="2540"/>
      <c r="G232" s="2548"/>
      <c r="H232" s="2548"/>
      <c r="I232" s="2579"/>
      <c r="J232" s="2579"/>
      <c r="K232" s="2579"/>
      <c r="L232" s="2579"/>
      <c r="M232" s="2579"/>
      <c r="N232" s="2579"/>
      <c r="O232" s="2579"/>
    </row>
    <row r="233" spans="1:15" s="2463" customFormat="1" ht="12.75">
      <c r="A233" s="2546"/>
      <c r="B233" s="1269"/>
      <c r="C233" s="2545"/>
      <c r="D233" s="2541"/>
      <c r="E233" s="2544"/>
      <c r="F233" s="2540"/>
      <c r="G233" s="2544"/>
      <c r="H233" s="2544"/>
      <c r="I233" s="2579"/>
      <c r="J233" s="2579"/>
      <c r="K233" s="2579"/>
      <c r="L233" s="2579"/>
      <c r="M233" s="2579"/>
      <c r="N233" s="2579"/>
      <c r="O233" s="2579"/>
    </row>
    <row r="234" spans="1:15" s="2463" customFormat="1" ht="12.75">
      <c r="A234" s="2549"/>
      <c r="B234" s="2549"/>
      <c r="C234" s="2545"/>
      <c r="D234" s="2541"/>
      <c r="E234" s="2544"/>
      <c r="F234" s="2540"/>
      <c r="G234" s="2544"/>
      <c r="H234" s="2544"/>
      <c r="I234" s="2579"/>
      <c r="J234" s="2579"/>
      <c r="K234" s="2579"/>
      <c r="L234" s="2579"/>
      <c r="M234" s="2579"/>
      <c r="N234" s="2579"/>
      <c r="O234" s="2579"/>
    </row>
    <row r="235" spans="1:15" s="2463" customFormat="1" ht="12.75">
      <c r="A235" s="2543"/>
      <c r="B235" s="2543"/>
      <c r="C235" s="2542"/>
      <c r="D235" s="2541"/>
      <c r="E235" s="2539"/>
      <c r="F235" s="2540"/>
      <c r="G235" s="2539"/>
      <c r="H235" s="2539"/>
      <c r="I235" s="2579"/>
      <c r="J235" s="2579"/>
      <c r="K235" s="2579"/>
      <c r="L235" s="2579"/>
      <c r="M235" s="2579"/>
      <c r="N235" s="2579"/>
      <c r="O235" s="2579"/>
    </row>
    <row r="236" spans="1:15" s="2463" customFormat="1" ht="12.75">
      <c r="A236" s="2538"/>
      <c r="B236" s="2538"/>
      <c r="C236" s="2537"/>
      <c r="D236" s="2536"/>
      <c r="E236" s="2536"/>
      <c r="F236" s="2536"/>
      <c r="G236" s="2536"/>
      <c r="H236" s="2536"/>
      <c r="I236" s="2579"/>
      <c r="J236" s="2579"/>
      <c r="K236" s="2579"/>
      <c r="L236" s="2579"/>
      <c r="M236" s="2579"/>
      <c r="N236" s="2579"/>
      <c r="O236" s="2579"/>
    </row>
    <row r="237" spans="1:15" s="2463" customFormat="1" ht="12.75">
      <c r="A237" s="2538"/>
      <c r="B237" s="2538"/>
      <c r="C237" s="2537"/>
      <c r="D237" s="2536"/>
      <c r="E237" s="2536"/>
      <c r="F237" s="2536"/>
      <c r="G237" s="2536"/>
      <c r="H237" s="2536"/>
      <c r="I237" s="2579"/>
      <c r="J237" s="2579"/>
      <c r="K237" s="2579"/>
      <c r="L237" s="2579"/>
      <c r="M237" s="2579"/>
      <c r="N237" s="2579"/>
      <c r="O237" s="2579"/>
    </row>
    <row r="238" spans="1:15" s="2463" customFormat="1">
      <c r="A238" s="1269"/>
      <c r="B238" s="2529"/>
      <c r="C238" s="2535"/>
      <c r="D238" s="2529"/>
      <c r="E238" s="4877"/>
      <c r="F238" s="4877"/>
      <c r="G238" s="1269"/>
      <c r="H238" s="2529"/>
      <c r="I238" s="2579"/>
      <c r="J238" s="2579"/>
      <c r="K238" s="2579"/>
      <c r="L238" s="2579"/>
      <c r="M238" s="2579"/>
      <c r="N238" s="2579"/>
      <c r="O238" s="2579"/>
    </row>
    <row r="239" spans="1:15" s="2463" customFormat="1">
      <c r="A239" s="2529"/>
      <c r="B239" s="1269"/>
      <c r="C239" s="2535"/>
      <c r="D239" s="1269"/>
      <c r="E239" s="1269"/>
      <c r="F239" s="1269"/>
      <c r="G239" s="1269"/>
      <c r="H239" s="2529"/>
      <c r="I239" s="2579"/>
      <c r="J239" s="2579"/>
      <c r="K239" s="2579"/>
      <c r="L239" s="2579"/>
      <c r="M239" s="2579"/>
      <c r="N239" s="2579"/>
      <c r="O239" s="2579"/>
    </row>
    <row r="240" spans="1:15" s="2463" customFormat="1" ht="12.75">
      <c r="A240" s="2534"/>
      <c r="B240" s="1269"/>
      <c r="C240" s="4881"/>
      <c r="D240" s="4881"/>
      <c r="E240" s="4876"/>
      <c r="F240" s="4876"/>
      <c r="G240" s="4876"/>
      <c r="H240" s="4876"/>
      <c r="I240" s="2579"/>
      <c r="J240" s="2579"/>
      <c r="K240" s="2579"/>
      <c r="L240" s="2579"/>
      <c r="M240" s="2579"/>
      <c r="N240" s="2579"/>
      <c r="O240" s="2579"/>
    </row>
    <row r="241" spans="1:15" s="2463" customFormat="1" ht="12.75">
      <c r="A241" s="2531"/>
      <c r="B241" s="2533"/>
      <c r="C241" s="4874"/>
      <c r="D241" s="4874"/>
      <c r="E241" s="4875"/>
      <c r="F241" s="4875"/>
      <c r="G241" s="4875"/>
      <c r="H241" s="4875"/>
      <c r="I241" s="2579"/>
      <c r="J241" s="2579"/>
      <c r="K241" s="2579"/>
      <c r="L241" s="2579"/>
      <c r="M241" s="2579"/>
      <c r="N241" s="2579"/>
      <c r="O241" s="2579"/>
    </row>
    <row r="242" spans="1:15" s="2463" customFormat="1" ht="12.75">
      <c r="A242" s="2531"/>
      <c r="B242" s="2533"/>
      <c r="C242" s="2531"/>
      <c r="D242" s="2566"/>
      <c r="E242" s="2566"/>
      <c r="F242" s="2566"/>
      <c r="G242" s="2566"/>
      <c r="H242" s="2566"/>
      <c r="I242" s="2579"/>
      <c r="J242" s="2579"/>
      <c r="K242" s="2579"/>
      <c r="L242" s="2579"/>
      <c r="M242" s="2579"/>
      <c r="N242" s="2579"/>
      <c r="O242" s="2579"/>
    </row>
    <row r="243" spans="1:15" s="2463" customFormat="1" ht="12.75">
      <c r="A243" s="2531"/>
      <c r="B243" s="2533"/>
      <c r="C243" s="2531"/>
      <c r="D243" s="2566"/>
      <c r="E243" s="2566"/>
      <c r="F243" s="2566"/>
      <c r="G243" s="2566"/>
      <c r="H243" s="2566"/>
      <c r="I243" s="2579"/>
      <c r="J243" s="2579"/>
      <c r="K243" s="2579"/>
      <c r="L243" s="2579"/>
      <c r="M243" s="2579"/>
      <c r="N243" s="2579"/>
      <c r="O243" s="2579"/>
    </row>
    <row r="244" spans="1:15" s="2463" customFormat="1" ht="12.75">
      <c r="A244" s="2531"/>
      <c r="B244" s="2533"/>
      <c r="C244" s="2531"/>
      <c r="D244" s="2566"/>
      <c r="E244" s="2566"/>
      <c r="F244" s="2566"/>
      <c r="G244" s="2566"/>
      <c r="H244" s="2566"/>
      <c r="I244" s="2579"/>
      <c r="J244" s="2579"/>
      <c r="K244" s="2579"/>
      <c r="L244" s="2579"/>
      <c r="M244" s="2579"/>
      <c r="N244" s="2579"/>
      <c r="O244" s="2579"/>
    </row>
    <row r="245" spans="1:15" s="2463" customFormat="1" ht="12.75">
      <c r="A245" s="2531"/>
      <c r="B245" s="2533"/>
      <c r="C245" s="2531"/>
      <c r="D245" s="2566"/>
      <c r="E245" s="2566"/>
      <c r="F245" s="2566"/>
      <c r="G245" s="2566"/>
      <c r="H245" s="2566"/>
      <c r="I245" s="2579"/>
      <c r="J245" s="2579"/>
      <c r="K245" s="2579"/>
      <c r="L245" s="2579"/>
      <c r="M245" s="2579"/>
      <c r="N245" s="2579"/>
      <c r="O245" s="2579"/>
    </row>
    <row r="246" spans="1:15" s="2463" customFormat="1" ht="12.75">
      <c r="A246" s="2531"/>
      <c r="B246" s="2533"/>
      <c r="C246" s="2531"/>
      <c r="D246" s="2566"/>
      <c r="E246" s="2566"/>
      <c r="F246" s="2566"/>
      <c r="G246" s="2566"/>
      <c r="H246" s="2566"/>
      <c r="I246" s="2579"/>
      <c r="J246" s="2579"/>
      <c r="K246" s="2579"/>
      <c r="L246" s="2579"/>
      <c r="M246" s="2579"/>
      <c r="N246" s="2579"/>
      <c r="O246" s="2579"/>
    </row>
    <row r="247" spans="1:15" s="2463" customFormat="1" ht="12.75">
      <c r="A247" s="2531"/>
      <c r="B247" s="2533"/>
      <c r="C247" s="2531"/>
      <c r="D247" s="2566"/>
      <c r="E247" s="2566"/>
      <c r="F247" s="2566"/>
      <c r="G247" s="2566"/>
      <c r="H247" s="2566"/>
      <c r="I247" s="2579"/>
      <c r="J247" s="2579"/>
      <c r="K247" s="2579"/>
      <c r="L247" s="2579"/>
      <c r="M247" s="2579"/>
      <c r="N247" s="2579"/>
      <c r="O247" s="2579"/>
    </row>
    <row r="248" spans="1:15" s="2463" customFormat="1" ht="12.75">
      <c r="A248" s="2531"/>
      <c r="B248" s="2533"/>
      <c r="C248" s="2531"/>
      <c r="D248" s="2566"/>
      <c r="E248" s="2566"/>
      <c r="F248" s="2566"/>
      <c r="G248" s="2566"/>
      <c r="H248" s="2566"/>
      <c r="I248" s="2579"/>
      <c r="J248" s="2579"/>
      <c r="K248" s="2579"/>
      <c r="L248" s="2579"/>
      <c r="M248" s="2579"/>
      <c r="N248" s="2579"/>
      <c r="O248" s="2579"/>
    </row>
    <row r="249" spans="1:15" s="2463" customFormat="1" ht="12.75">
      <c r="A249" s="2531"/>
      <c r="B249" s="2533"/>
      <c r="C249" s="2531"/>
      <c r="D249" s="2566"/>
      <c r="E249" s="2566"/>
      <c r="F249" s="2566"/>
      <c r="G249" s="2566"/>
      <c r="H249" s="2566"/>
      <c r="I249" s="2579"/>
      <c r="J249" s="2579"/>
      <c r="K249" s="2579"/>
      <c r="L249" s="2579"/>
      <c r="M249" s="2579"/>
      <c r="N249" s="2579"/>
      <c r="O249" s="2579"/>
    </row>
    <row r="250" spans="1:15" s="2463" customFormat="1" ht="12.75">
      <c r="A250" s="2531"/>
      <c r="B250" s="2533"/>
      <c r="C250" s="2531"/>
      <c r="D250" s="2566"/>
      <c r="E250" s="2566"/>
      <c r="F250" s="2566"/>
      <c r="G250" s="2566"/>
      <c r="H250" s="2566"/>
      <c r="I250" s="2579"/>
      <c r="J250" s="2579"/>
      <c r="K250" s="2579"/>
      <c r="L250" s="2579"/>
      <c r="M250" s="2579"/>
      <c r="N250" s="2579"/>
      <c r="O250" s="2579"/>
    </row>
    <row r="251" spans="1:15" s="2463" customFormat="1" ht="12.75">
      <c r="A251" s="2531"/>
      <c r="B251" s="2533"/>
      <c r="C251" s="2531"/>
      <c r="D251" s="2566"/>
      <c r="E251" s="2566"/>
      <c r="F251" s="2566"/>
      <c r="G251" s="2566"/>
      <c r="H251" s="2566"/>
      <c r="I251" s="2579"/>
      <c r="J251" s="2579"/>
      <c r="K251" s="2579"/>
      <c r="L251" s="2579"/>
      <c r="M251" s="2579"/>
      <c r="N251" s="2579"/>
      <c r="O251" s="2579"/>
    </row>
    <row r="252" spans="1:15" s="2463" customFormat="1" ht="12.75">
      <c r="A252" s="2531"/>
      <c r="B252" s="2533"/>
      <c r="C252" s="2531"/>
      <c r="D252" s="2566"/>
      <c r="E252" s="2566"/>
      <c r="F252" s="2566"/>
      <c r="G252" s="2566"/>
      <c r="H252" s="2566"/>
      <c r="I252" s="2579"/>
      <c r="J252" s="2579"/>
      <c r="K252" s="2579"/>
      <c r="L252" s="2579"/>
      <c r="M252" s="2579"/>
      <c r="N252" s="2579"/>
      <c r="O252" s="2579"/>
    </row>
    <row r="253" spans="1:15" s="2463" customFormat="1" ht="12.75">
      <c r="A253" s="2531"/>
      <c r="B253" s="2533"/>
      <c r="C253" s="2531"/>
      <c r="D253" s="2566"/>
      <c r="E253" s="2566"/>
      <c r="F253" s="2566"/>
      <c r="G253" s="2566"/>
      <c r="H253" s="2566"/>
      <c r="I253" s="2579"/>
      <c r="J253" s="2579"/>
      <c r="K253" s="2579"/>
      <c r="L253" s="2579"/>
      <c r="M253" s="2579"/>
      <c r="N253" s="2579"/>
      <c r="O253" s="2579"/>
    </row>
    <row r="254" spans="1:15" s="2463" customFormat="1" ht="12.75">
      <c r="A254" s="2531"/>
      <c r="B254" s="2533"/>
      <c r="C254" s="2531"/>
      <c r="D254" s="2566"/>
      <c r="E254" s="2566"/>
      <c r="F254" s="2566"/>
      <c r="G254" s="2566"/>
      <c r="H254" s="2566"/>
      <c r="I254" s="2579"/>
      <c r="J254" s="2579"/>
      <c r="K254" s="2579"/>
      <c r="L254" s="2579"/>
      <c r="M254" s="2579"/>
      <c r="N254" s="2579"/>
      <c r="O254" s="2579"/>
    </row>
    <row r="255" spans="1:15" s="2463" customFormat="1" ht="12.75">
      <c r="A255" s="2531"/>
      <c r="B255" s="2533"/>
      <c r="C255" s="2531"/>
      <c r="D255" s="2566"/>
      <c r="E255" s="2566"/>
      <c r="F255" s="2566"/>
      <c r="G255" s="2566"/>
      <c r="H255" s="2566"/>
      <c r="I255" s="2579"/>
      <c r="J255" s="2579"/>
      <c r="K255" s="2579"/>
      <c r="L255" s="2579"/>
      <c r="M255" s="2579"/>
      <c r="N255" s="2579"/>
      <c r="O255" s="2579"/>
    </row>
    <row r="256" spans="1:15" s="2463" customFormat="1" ht="12.75">
      <c r="A256" s="2531"/>
      <c r="B256" s="2533"/>
      <c r="C256" s="2531"/>
      <c r="D256" s="2566"/>
      <c r="E256" s="2566"/>
      <c r="F256" s="2566"/>
      <c r="G256" s="2566"/>
      <c r="H256" s="2566"/>
      <c r="I256" s="2579"/>
      <c r="J256" s="2579"/>
      <c r="K256" s="2579"/>
      <c r="L256" s="2579"/>
      <c r="M256" s="2579"/>
      <c r="N256" s="2579"/>
      <c r="O256" s="2579"/>
    </row>
    <row r="257" spans="1:15" s="2463" customFormat="1" ht="12.75">
      <c r="A257" s="2531"/>
      <c r="B257" s="2533"/>
      <c r="C257" s="2531"/>
      <c r="D257" s="2566"/>
      <c r="E257" s="2566"/>
      <c r="F257" s="2566"/>
      <c r="G257" s="2566"/>
      <c r="H257" s="2566"/>
      <c r="I257" s="2579"/>
      <c r="J257" s="2579"/>
      <c r="K257" s="2579"/>
      <c r="L257" s="2579"/>
      <c r="M257" s="2579"/>
      <c r="N257" s="2579"/>
      <c r="O257" s="2579"/>
    </row>
    <row r="258" spans="1:15" s="2463" customFormat="1" ht="12.75">
      <c r="A258" s="2531"/>
      <c r="B258" s="2533"/>
      <c r="C258" s="2531"/>
      <c r="D258" s="2566"/>
      <c r="E258" s="2566"/>
      <c r="F258" s="2566"/>
      <c r="G258" s="2566"/>
      <c r="H258" s="2566"/>
      <c r="I258" s="2579"/>
      <c r="J258" s="2579"/>
      <c r="K258" s="2579"/>
      <c r="L258" s="2579"/>
      <c r="M258" s="2579"/>
      <c r="N258" s="2579"/>
      <c r="O258" s="2579"/>
    </row>
    <row r="259" spans="1:15" s="2463" customFormat="1" ht="12.75">
      <c r="A259" s="2531"/>
      <c r="B259" s="2533"/>
      <c r="C259" s="2531"/>
      <c r="D259" s="2566"/>
      <c r="E259" s="2566"/>
      <c r="F259" s="2566"/>
      <c r="G259" s="2566"/>
      <c r="H259" s="2566"/>
      <c r="I259" s="2579"/>
      <c r="J259" s="2579"/>
      <c r="K259" s="2579"/>
      <c r="L259" s="2579"/>
      <c r="M259" s="2579"/>
      <c r="N259" s="2579"/>
      <c r="O259" s="2579"/>
    </row>
    <row r="260" spans="1:15" s="2463" customFormat="1" ht="12.75">
      <c r="A260" s="2531"/>
      <c r="B260" s="2533"/>
      <c r="C260" s="2531"/>
      <c r="D260" s="2566"/>
      <c r="E260" s="2566"/>
      <c r="F260" s="2566"/>
      <c r="G260" s="2566"/>
      <c r="H260" s="2566"/>
      <c r="I260" s="2579"/>
      <c r="J260" s="2579"/>
      <c r="K260" s="2579"/>
      <c r="L260" s="2579"/>
      <c r="M260" s="2579"/>
      <c r="N260" s="2579"/>
      <c r="O260" s="2579"/>
    </row>
    <row r="261" spans="1:15" s="2463" customFormat="1" ht="12.75">
      <c r="A261" s="4876"/>
      <c r="B261" s="4876"/>
      <c r="C261" s="4876"/>
      <c r="D261" s="4876"/>
      <c r="E261" s="4876"/>
      <c r="F261" s="4876"/>
      <c r="G261" s="4876"/>
      <c r="H261" s="4876"/>
      <c r="I261" s="2579"/>
      <c r="J261" s="2579"/>
      <c r="K261" s="2579"/>
      <c r="L261" s="2579"/>
      <c r="M261" s="2579"/>
      <c r="N261" s="2579"/>
      <c r="O261" s="2579"/>
    </row>
    <row r="262" spans="1:15" s="2463" customFormat="1" ht="12.75">
      <c r="A262" s="4877"/>
      <c r="B262" s="4877"/>
      <c r="C262" s="4877"/>
      <c r="D262" s="4877"/>
      <c r="E262" s="4877"/>
      <c r="F262" s="4877"/>
      <c r="G262" s="4877"/>
      <c r="H262" s="4877"/>
      <c r="I262" s="2579"/>
      <c r="J262" s="2579"/>
      <c r="K262" s="2579"/>
      <c r="L262" s="2579"/>
      <c r="M262" s="2579"/>
      <c r="N262" s="2579"/>
      <c r="O262" s="2579"/>
    </row>
    <row r="263" spans="1:15" s="2463" customFormat="1">
      <c r="A263" s="2529"/>
      <c r="B263" s="2529"/>
      <c r="C263" s="2529"/>
      <c r="D263" s="2529"/>
      <c r="E263" s="2529"/>
      <c r="F263" s="2529"/>
      <c r="G263" s="2529"/>
      <c r="H263" s="2529"/>
      <c r="I263" s="2579"/>
      <c r="J263" s="2579"/>
      <c r="K263" s="2579"/>
      <c r="L263" s="2579"/>
      <c r="M263" s="2579"/>
      <c r="N263" s="2579"/>
      <c r="O263" s="2579"/>
    </row>
    <row r="264" spans="1:15">
      <c r="A264" s="2529"/>
      <c r="B264" s="2529"/>
      <c r="C264" s="2529"/>
      <c r="D264" s="2529"/>
      <c r="E264" s="2529"/>
      <c r="F264" s="2529"/>
      <c r="G264" s="2529"/>
      <c r="H264" s="2529"/>
    </row>
    <row r="265" spans="1:15">
      <c r="A265" s="2568"/>
      <c r="B265" s="2567"/>
      <c r="C265" s="2529"/>
      <c r="D265" s="2566"/>
      <c r="E265" s="2566"/>
      <c r="F265" s="2566"/>
      <c r="G265" s="2566"/>
      <c r="H265" s="2566"/>
    </row>
    <row r="266" spans="1:15">
      <c r="A266" s="1269"/>
      <c r="B266" s="1269"/>
      <c r="C266" s="2542"/>
      <c r="D266" s="2541"/>
      <c r="E266" s="2561"/>
      <c r="F266" s="2540"/>
      <c r="G266" s="2565"/>
      <c r="H266" s="2561"/>
    </row>
    <row r="267" spans="1:15" ht="23.25">
      <c r="A267" s="2564"/>
      <c r="B267" s="2564"/>
      <c r="C267" s="2563"/>
      <c r="D267" s="2541"/>
      <c r="E267" s="2561"/>
      <c r="F267" s="2540"/>
      <c r="G267" s="2562"/>
      <c r="H267" s="2561"/>
    </row>
    <row r="268" spans="1:15" s="2463" customFormat="1" ht="12.75">
      <c r="A268" s="4879"/>
      <c r="B268" s="4879"/>
      <c r="C268" s="2559"/>
      <c r="D268" s="2560"/>
      <c r="E268" s="4880"/>
      <c r="F268" s="4880"/>
      <c r="G268" s="4880"/>
      <c r="H268" s="2557"/>
      <c r="I268" s="2579"/>
      <c r="J268" s="2579"/>
      <c r="K268" s="2579"/>
      <c r="L268" s="2579"/>
      <c r="M268" s="2579"/>
      <c r="N268" s="2579"/>
      <c r="O268" s="2579"/>
    </row>
    <row r="269" spans="1:15" s="2463" customFormat="1" ht="12.75">
      <c r="A269" s="4879"/>
      <c r="B269" s="4879"/>
      <c r="C269" s="2559"/>
      <c r="D269" s="2558"/>
      <c r="E269" s="2558"/>
      <c r="F269" s="2558"/>
      <c r="G269" s="2558"/>
      <c r="H269" s="2558"/>
      <c r="I269" s="2579"/>
      <c r="J269" s="2579"/>
      <c r="K269" s="2579"/>
      <c r="L269" s="2579"/>
      <c r="M269" s="2579"/>
      <c r="N269" s="2579"/>
      <c r="O269" s="2579"/>
    </row>
    <row r="270" spans="1:15" s="2463" customFormat="1" ht="12.75">
      <c r="A270" s="4879"/>
      <c r="B270" s="4879"/>
      <c r="C270" s="2557"/>
      <c r="D270" s="2555"/>
      <c r="E270" s="2555"/>
      <c r="F270" s="2555"/>
      <c r="G270" s="2556"/>
      <c r="H270" s="2555"/>
      <c r="I270" s="2579"/>
      <c r="J270" s="2579"/>
      <c r="K270" s="2579"/>
      <c r="L270" s="2579"/>
      <c r="M270" s="2579"/>
      <c r="N270" s="2579"/>
      <c r="O270" s="2579"/>
    </row>
    <row r="271" spans="1:15" s="2463" customFormat="1" ht="12.75">
      <c r="A271" s="2554"/>
      <c r="B271" s="2553"/>
      <c r="C271" s="2552"/>
      <c r="D271" s="2551"/>
      <c r="E271" s="2551"/>
      <c r="F271" s="2551"/>
      <c r="G271" s="2551"/>
      <c r="H271" s="2551"/>
      <c r="I271" s="2579"/>
      <c r="J271" s="2579"/>
      <c r="K271" s="2579"/>
      <c r="L271" s="2579"/>
      <c r="M271" s="2579"/>
      <c r="N271" s="2579"/>
      <c r="O271" s="2579"/>
    </row>
    <row r="272" spans="1:15" s="2463" customFormat="1" ht="12.75">
      <c r="A272" s="2546"/>
      <c r="B272" s="1269"/>
      <c r="C272" s="2545"/>
      <c r="D272" s="2548"/>
      <c r="E272" s="2548"/>
      <c r="F272" s="2540"/>
      <c r="G272" s="2548"/>
      <c r="H272" s="2548"/>
      <c r="I272" s="2579"/>
      <c r="J272" s="2579"/>
      <c r="K272" s="2579"/>
      <c r="L272" s="2579"/>
      <c r="M272" s="2579"/>
      <c r="N272" s="2579"/>
      <c r="O272" s="2579"/>
    </row>
    <row r="273" spans="1:15" s="2463" customFormat="1" ht="12.75">
      <c r="A273" s="2549"/>
      <c r="B273" s="2549"/>
      <c r="C273" s="2545"/>
      <c r="D273" s="2548"/>
      <c r="E273" s="2548"/>
      <c r="F273" s="2540"/>
      <c r="G273" s="2548"/>
      <c r="H273" s="2548"/>
      <c r="I273" s="2579"/>
      <c r="J273" s="2579"/>
      <c r="K273" s="2579"/>
      <c r="L273" s="2579"/>
      <c r="M273" s="2579"/>
      <c r="N273" s="2579"/>
      <c r="O273" s="2579"/>
    </row>
    <row r="274" spans="1:15" s="2463" customFormat="1" ht="12.75">
      <c r="A274" s="2546"/>
      <c r="B274" s="1269"/>
      <c r="C274" s="2542"/>
      <c r="D274" s="2541"/>
      <c r="E274" s="2544"/>
      <c r="F274" s="2540"/>
      <c r="G274" s="2544"/>
      <c r="H274" s="2544"/>
      <c r="I274" s="2579"/>
      <c r="J274" s="2579"/>
      <c r="K274" s="2579"/>
      <c r="L274" s="2579"/>
      <c r="M274" s="2579"/>
      <c r="N274" s="2579"/>
      <c r="O274" s="2579"/>
    </row>
    <row r="275" spans="1:15" s="2463" customFormat="1" ht="12.75">
      <c r="A275" s="2549"/>
      <c r="B275" s="2549"/>
      <c r="C275" s="2545"/>
      <c r="D275" s="2541"/>
      <c r="E275" s="2544"/>
      <c r="F275" s="2540"/>
      <c r="G275" s="2544"/>
      <c r="H275" s="2544"/>
      <c r="I275" s="2579"/>
      <c r="J275" s="2579"/>
      <c r="K275" s="2579"/>
      <c r="L275" s="2579"/>
      <c r="M275" s="2579"/>
      <c r="N275" s="2579"/>
      <c r="O275" s="2579"/>
    </row>
    <row r="276" spans="1:15" s="2463" customFormat="1" ht="12.75">
      <c r="A276" s="2549"/>
      <c r="B276" s="2549"/>
      <c r="C276" s="2542"/>
      <c r="D276" s="2541"/>
      <c r="E276" s="2544"/>
      <c r="F276" s="2540"/>
      <c r="G276" s="2544"/>
      <c r="H276" s="2544"/>
      <c r="I276" s="2579"/>
      <c r="J276" s="2579"/>
      <c r="K276" s="2579"/>
      <c r="L276" s="2579"/>
      <c r="M276" s="2579"/>
      <c r="N276" s="2579"/>
      <c r="O276" s="2579"/>
    </row>
    <row r="277" spans="1:15" s="2463" customFormat="1" ht="12.75">
      <c r="A277" s="2549"/>
      <c r="B277" s="2549"/>
      <c r="C277" s="2542"/>
      <c r="D277" s="2541"/>
      <c r="E277" s="2544"/>
      <c r="F277" s="2540"/>
      <c r="G277" s="2544"/>
      <c r="H277" s="2544"/>
      <c r="I277" s="2579"/>
      <c r="J277" s="2579"/>
      <c r="K277" s="2579"/>
      <c r="L277" s="2579"/>
      <c r="M277" s="2579"/>
      <c r="N277" s="2579"/>
      <c r="O277" s="2579"/>
    </row>
    <row r="278" spans="1:15" s="2463" customFormat="1" ht="12.75">
      <c r="A278" s="2546"/>
      <c r="B278" s="1269"/>
      <c r="C278" s="2545"/>
      <c r="D278" s="2541"/>
      <c r="E278" s="2544"/>
      <c r="F278" s="2540"/>
      <c r="G278" s="2544"/>
      <c r="H278" s="2544"/>
      <c r="I278" s="2579"/>
      <c r="J278" s="2579"/>
      <c r="K278" s="2579"/>
      <c r="L278" s="2579"/>
      <c r="M278" s="2579"/>
      <c r="N278" s="2579"/>
      <c r="O278" s="2579"/>
    </row>
    <row r="279" spans="1:15" s="2463" customFormat="1" ht="12.75">
      <c r="A279" s="2546"/>
      <c r="B279" s="1269"/>
      <c r="C279" s="2545"/>
      <c r="D279" s="2541"/>
      <c r="E279" s="2544"/>
      <c r="F279" s="2540"/>
      <c r="G279" s="2544"/>
      <c r="H279" s="2544"/>
      <c r="I279" s="2579"/>
      <c r="J279" s="2579"/>
      <c r="K279" s="2579"/>
      <c r="L279" s="2579"/>
      <c r="M279" s="2579"/>
      <c r="N279" s="2579"/>
      <c r="O279" s="2579"/>
    </row>
    <row r="280" spans="1:15" s="2463" customFormat="1" ht="12.75">
      <c r="A280" s="2547"/>
      <c r="B280" s="2546"/>
      <c r="C280" s="2545"/>
      <c r="D280" s="2541"/>
      <c r="E280" s="2544"/>
      <c r="F280" s="2540"/>
      <c r="G280" s="2544"/>
      <c r="H280" s="2544"/>
      <c r="I280" s="2579"/>
      <c r="J280" s="2579"/>
      <c r="K280" s="2579"/>
      <c r="L280" s="2579"/>
      <c r="M280" s="2579"/>
      <c r="N280" s="2579"/>
      <c r="O280" s="2579"/>
    </row>
    <row r="281" spans="1:15" s="2463" customFormat="1" ht="12.75">
      <c r="A281" s="2543"/>
      <c r="B281" s="2543"/>
      <c r="C281" s="2542"/>
      <c r="D281" s="2541"/>
      <c r="E281" s="2539"/>
      <c r="F281" s="2540"/>
      <c r="G281" s="2539"/>
      <c r="H281" s="2539"/>
      <c r="I281" s="2579"/>
      <c r="J281" s="2579"/>
      <c r="K281" s="2579"/>
      <c r="L281" s="2579"/>
      <c r="M281" s="2579"/>
      <c r="N281" s="2579"/>
      <c r="O281" s="2579"/>
    </row>
    <row r="282" spans="1:15" s="2463" customFormat="1" ht="12.75">
      <c r="A282" s="2538"/>
      <c r="B282" s="2538"/>
      <c r="C282" s="2537"/>
      <c r="D282" s="2536"/>
      <c r="E282" s="2536"/>
      <c r="F282" s="2536"/>
      <c r="G282" s="2536"/>
      <c r="H282" s="2536"/>
      <c r="I282" s="2579"/>
      <c r="J282" s="2579"/>
      <c r="K282" s="2579"/>
      <c r="L282" s="2579"/>
      <c r="M282" s="2579"/>
      <c r="N282" s="2579"/>
      <c r="O282" s="2579"/>
    </row>
    <row r="283" spans="1:15" s="2463" customFormat="1" ht="12.75">
      <c r="A283" s="2538"/>
      <c r="B283" s="2538"/>
      <c r="C283" s="2537"/>
      <c r="D283" s="2536"/>
      <c r="E283" s="2536"/>
      <c r="F283" s="2536"/>
      <c r="G283" s="2536"/>
      <c r="H283" s="2536"/>
      <c r="I283" s="2579"/>
      <c r="J283" s="2579"/>
      <c r="K283" s="2579"/>
      <c r="L283" s="2579"/>
      <c r="M283" s="2579"/>
      <c r="N283" s="2579"/>
      <c r="O283" s="2579"/>
    </row>
    <row r="284" spans="1:15" s="2463" customFormat="1">
      <c r="A284" s="1269"/>
      <c r="B284" s="2529"/>
      <c r="C284" s="2535"/>
      <c r="D284" s="2529"/>
      <c r="E284" s="4877"/>
      <c r="F284" s="4877"/>
      <c r="G284" s="1269"/>
      <c r="H284" s="2529"/>
      <c r="I284" s="2579"/>
      <c r="J284" s="2579"/>
      <c r="K284" s="2579"/>
      <c r="L284" s="2579"/>
      <c r="M284" s="2579"/>
      <c r="N284" s="2579"/>
      <c r="O284" s="2579"/>
    </row>
    <row r="285" spans="1:15" s="2463" customFormat="1">
      <c r="A285" s="2529"/>
      <c r="B285" s="1269"/>
      <c r="C285" s="2535"/>
      <c r="D285" s="1269"/>
      <c r="E285" s="1269"/>
      <c r="F285" s="1269"/>
      <c r="G285" s="1269"/>
      <c r="H285" s="2529"/>
      <c r="I285" s="2579"/>
      <c r="J285" s="2579"/>
      <c r="K285" s="2579"/>
      <c r="L285" s="2579"/>
      <c r="M285" s="2579"/>
      <c r="N285" s="2579"/>
      <c r="O285" s="2579"/>
    </row>
    <row r="286" spans="1:15" s="2463" customFormat="1" ht="12.75">
      <c r="A286" s="2534"/>
      <c r="B286" s="1269"/>
      <c r="C286" s="4881"/>
      <c r="D286" s="4881"/>
      <c r="E286" s="4876"/>
      <c r="F286" s="4876"/>
      <c r="G286" s="4876"/>
      <c r="H286" s="4876"/>
      <c r="I286" s="2579"/>
      <c r="J286" s="2579"/>
      <c r="K286" s="2579"/>
      <c r="L286" s="2579"/>
      <c r="M286" s="2579"/>
      <c r="N286" s="2579"/>
      <c r="O286" s="2579"/>
    </row>
    <row r="287" spans="1:15" s="2463" customFormat="1" ht="12.75">
      <c r="A287" s="2531"/>
      <c r="B287" s="2533"/>
      <c r="C287" s="4874"/>
      <c r="D287" s="4874"/>
      <c r="E287" s="4875"/>
      <c r="F287" s="4875"/>
      <c r="G287" s="4875"/>
      <c r="H287" s="4875"/>
      <c r="I287" s="2579"/>
      <c r="J287" s="2579"/>
      <c r="K287" s="2579"/>
      <c r="L287" s="2579"/>
      <c r="M287" s="2579"/>
      <c r="N287" s="2579"/>
      <c r="O287" s="2579"/>
    </row>
    <row r="288" spans="1:15" s="2463" customFormat="1" ht="12.75">
      <c r="A288" s="2531"/>
      <c r="B288" s="2533"/>
      <c r="C288" s="2531"/>
      <c r="D288" s="2566"/>
      <c r="E288" s="2566"/>
      <c r="F288" s="2566"/>
      <c r="G288" s="2566"/>
      <c r="H288" s="2566"/>
      <c r="I288" s="2579"/>
      <c r="J288" s="2579"/>
      <c r="K288" s="2579"/>
      <c r="L288" s="2579"/>
      <c r="M288" s="2579"/>
      <c r="N288" s="2579"/>
      <c r="O288" s="2579"/>
    </row>
    <row r="289" spans="1:15" s="2463" customFormat="1" ht="12.75">
      <c r="A289" s="2531"/>
      <c r="B289" s="2533"/>
      <c r="C289" s="2531"/>
      <c r="D289" s="2566"/>
      <c r="E289" s="2566"/>
      <c r="F289" s="2566"/>
      <c r="G289" s="2566"/>
      <c r="H289" s="2566"/>
      <c r="I289" s="2579"/>
      <c r="J289" s="2579"/>
      <c r="K289" s="2579"/>
      <c r="L289" s="2579"/>
      <c r="M289" s="2579"/>
      <c r="N289" s="2579"/>
      <c r="O289" s="2579"/>
    </row>
    <row r="290" spans="1:15" s="2463" customFormat="1" ht="12.75">
      <c r="A290" s="2531"/>
      <c r="B290" s="2533"/>
      <c r="C290" s="2531"/>
      <c r="D290" s="2566"/>
      <c r="E290" s="2566"/>
      <c r="F290" s="2566"/>
      <c r="G290" s="2566"/>
      <c r="H290" s="2566"/>
      <c r="I290" s="2579"/>
      <c r="J290" s="2579"/>
      <c r="K290" s="2579"/>
      <c r="L290" s="2579"/>
      <c r="M290" s="2579"/>
      <c r="N290" s="2579"/>
      <c r="O290" s="2579"/>
    </row>
    <row r="291" spans="1:15" s="2463" customFormat="1" ht="12.75">
      <c r="A291" s="2531"/>
      <c r="B291" s="2533"/>
      <c r="C291" s="2531"/>
      <c r="D291" s="2566"/>
      <c r="E291" s="2566"/>
      <c r="F291" s="2566"/>
      <c r="G291" s="2566"/>
      <c r="H291" s="2566"/>
      <c r="I291" s="2579"/>
      <c r="J291" s="2579"/>
      <c r="K291" s="2579"/>
      <c r="L291" s="2579"/>
      <c r="M291" s="2579"/>
      <c r="N291" s="2579"/>
      <c r="O291" s="2579"/>
    </row>
    <row r="292" spans="1:15" s="2463" customFormat="1" ht="12.75">
      <c r="A292" s="2531"/>
      <c r="B292" s="2533"/>
      <c r="C292" s="2531"/>
      <c r="D292" s="2566"/>
      <c r="E292" s="2566"/>
      <c r="F292" s="2566"/>
      <c r="G292" s="2566"/>
      <c r="H292" s="2566"/>
      <c r="I292" s="2579"/>
      <c r="J292" s="2579"/>
      <c r="K292" s="2579"/>
      <c r="L292" s="2579"/>
      <c r="M292" s="2579"/>
      <c r="N292" s="2579"/>
      <c r="O292" s="2579"/>
    </row>
    <row r="293" spans="1:15" s="2463" customFormat="1" ht="12.75">
      <c r="A293" s="2531"/>
      <c r="B293" s="2533"/>
      <c r="C293" s="2531"/>
      <c r="D293" s="2566"/>
      <c r="E293" s="2566"/>
      <c r="F293" s="2566"/>
      <c r="G293" s="2566"/>
      <c r="H293" s="2566"/>
      <c r="I293" s="2579"/>
      <c r="J293" s="2579"/>
      <c r="K293" s="2579"/>
      <c r="L293" s="2579"/>
      <c r="M293" s="2579"/>
      <c r="N293" s="2579"/>
      <c r="O293" s="2579"/>
    </row>
    <row r="294" spans="1:15" s="2463" customFormat="1" ht="12.75">
      <c r="A294" s="2531"/>
      <c r="B294" s="2533"/>
      <c r="C294" s="2531"/>
      <c r="D294" s="2566"/>
      <c r="E294" s="2566"/>
      <c r="F294" s="2566"/>
      <c r="G294" s="2566"/>
      <c r="H294" s="2566"/>
      <c r="I294" s="2579"/>
      <c r="J294" s="2579"/>
      <c r="K294" s="2579"/>
      <c r="L294" s="2579"/>
      <c r="M294" s="2579"/>
      <c r="N294" s="2579"/>
      <c r="O294" s="2579"/>
    </row>
    <row r="295" spans="1:15" s="2463" customFormat="1" ht="12.75">
      <c r="A295" s="2531"/>
      <c r="B295" s="2533"/>
      <c r="C295" s="2531"/>
      <c r="D295" s="2566"/>
      <c r="E295" s="2566"/>
      <c r="F295" s="2566"/>
      <c r="G295" s="2566"/>
      <c r="H295" s="2566"/>
      <c r="I295" s="2579"/>
      <c r="J295" s="2579"/>
      <c r="K295" s="2579"/>
      <c r="L295" s="2579"/>
      <c r="M295" s="2579"/>
      <c r="N295" s="2579"/>
      <c r="O295" s="2579"/>
    </row>
    <row r="296" spans="1:15" s="2463" customFormat="1" ht="12.75">
      <c r="A296" s="2531"/>
      <c r="B296" s="2533"/>
      <c r="C296" s="2531"/>
      <c r="D296" s="2566"/>
      <c r="E296" s="2566"/>
      <c r="F296" s="2566"/>
      <c r="G296" s="2566"/>
      <c r="H296" s="2566"/>
      <c r="I296" s="2579"/>
      <c r="J296" s="2579"/>
      <c r="K296" s="2579"/>
      <c r="L296" s="2579"/>
      <c r="M296" s="2579"/>
      <c r="N296" s="2579"/>
      <c r="O296" s="2579"/>
    </row>
    <row r="297" spans="1:15" s="2463" customFormat="1" ht="12.75">
      <c r="A297" s="2531"/>
      <c r="B297" s="2533"/>
      <c r="C297" s="2531"/>
      <c r="D297" s="2566"/>
      <c r="E297" s="2566"/>
      <c r="F297" s="2566"/>
      <c r="G297" s="2566"/>
      <c r="H297" s="2566"/>
      <c r="I297" s="2579"/>
      <c r="J297" s="2579"/>
      <c r="K297" s="2579"/>
      <c r="L297" s="2579"/>
      <c r="M297" s="2579"/>
      <c r="N297" s="2579"/>
      <c r="O297" s="2579"/>
    </row>
    <row r="298" spans="1:15" s="2463" customFormat="1" ht="12.75">
      <c r="A298" s="2531"/>
      <c r="B298" s="2533"/>
      <c r="C298" s="2531"/>
      <c r="D298" s="2566"/>
      <c r="E298" s="2566"/>
      <c r="F298" s="2566"/>
      <c r="G298" s="2566"/>
      <c r="H298" s="2566"/>
      <c r="I298" s="2579"/>
      <c r="J298" s="2579"/>
      <c r="K298" s="2579"/>
      <c r="L298" s="2579"/>
      <c r="M298" s="2579"/>
      <c r="N298" s="2579"/>
      <c r="O298" s="2579"/>
    </row>
    <row r="299" spans="1:15" s="2463" customFormat="1" ht="12.75">
      <c r="A299" s="2531"/>
      <c r="B299" s="2533"/>
      <c r="C299" s="2531"/>
      <c r="D299" s="2566"/>
      <c r="E299" s="2566"/>
      <c r="F299" s="2566"/>
      <c r="G299" s="2566"/>
      <c r="H299" s="2566"/>
      <c r="I299" s="2579"/>
      <c r="J299" s="2579"/>
      <c r="K299" s="2579"/>
      <c r="L299" s="2579"/>
      <c r="M299" s="2579"/>
      <c r="N299" s="2579"/>
      <c r="O299" s="2579"/>
    </row>
    <row r="300" spans="1:15" s="2463" customFormat="1" ht="12.75">
      <c r="A300" s="2531"/>
      <c r="B300" s="2533"/>
      <c r="C300" s="2531"/>
      <c r="D300" s="2566"/>
      <c r="E300" s="2566"/>
      <c r="F300" s="2566"/>
      <c r="G300" s="2566"/>
      <c r="H300" s="2566"/>
      <c r="I300" s="2579"/>
      <c r="J300" s="2579"/>
      <c r="K300" s="2579"/>
      <c r="L300" s="2579"/>
      <c r="M300" s="2579"/>
      <c r="N300" s="2579"/>
      <c r="O300" s="2579"/>
    </row>
    <row r="301" spans="1:15" s="2463" customFormat="1">
      <c r="A301" s="2529"/>
      <c r="B301" s="2529"/>
      <c r="C301" s="2529"/>
      <c r="D301" s="2529"/>
      <c r="E301" s="2529"/>
      <c r="F301" s="2529"/>
      <c r="G301" s="2529"/>
      <c r="H301" s="2529"/>
      <c r="I301" s="2579"/>
      <c r="J301" s="2579"/>
      <c r="K301" s="2579"/>
      <c r="L301" s="2579"/>
      <c r="M301" s="2579"/>
      <c r="N301" s="2579"/>
      <c r="O301" s="2579"/>
    </row>
    <row r="302" spans="1:15" s="2463" customFormat="1" ht="12.75">
      <c r="A302" s="4876"/>
      <c r="B302" s="4876"/>
      <c r="C302" s="4876"/>
      <c r="D302" s="4876"/>
      <c r="E302" s="4876"/>
      <c r="F302" s="4876"/>
      <c r="G302" s="4876"/>
      <c r="H302" s="4876"/>
      <c r="I302" s="2579"/>
      <c r="J302" s="2579"/>
      <c r="K302" s="2579"/>
      <c r="L302" s="2579"/>
      <c r="M302" s="2579"/>
      <c r="N302" s="2579"/>
      <c r="O302" s="2579"/>
    </row>
    <row r="303" spans="1:15" s="2463" customFormat="1" ht="12.75">
      <c r="A303" s="4877"/>
      <c r="B303" s="4877"/>
      <c r="C303" s="4877"/>
      <c r="D303" s="4877"/>
      <c r="E303" s="4877"/>
      <c r="F303" s="4877"/>
      <c r="G303" s="4877"/>
      <c r="H303" s="4877"/>
      <c r="I303" s="2579"/>
      <c r="J303" s="2579"/>
      <c r="K303" s="2579"/>
      <c r="L303" s="2579"/>
      <c r="M303" s="2579"/>
      <c r="N303" s="2579"/>
      <c r="O303" s="2579"/>
    </row>
    <row r="304" spans="1:15">
      <c r="A304" s="2529"/>
      <c r="B304" s="2529"/>
      <c r="C304" s="2529"/>
      <c r="D304" s="2529"/>
      <c r="E304" s="2529"/>
      <c r="F304" s="2529"/>
      <c r="G304" s="2529"/>
      <c r="H304" s="2529"/>
    </row>
    <row r="305" spans="1:15">
      <c r="A305" s="2529"/>
      <c r="B305" s="2529"/>
      <c r="C305" s="2529"/>
      <c r="D305" s="2529"/>
      <c r="E305" s="2529"/>
      <c r="F305" s="2529"/>
      <c r="G305" s="2529"/>
      <c r="H305" s="2529"/>
    </row>
    <row r="306" spans="1:15">
      <c r="A306" s="2568"/>
      <c r="B306" s="2567"/>
      <c r="C306" s="2529"/>
      <c r="D306" s="2566"/>
      <c r="E306" s="2566"/>
      <c r="F306" s="2566"/>
      <c r="G306" s="2566"/>
      <c r="H306" s="2566"/>
    </row>
    <row r="307" spans="1:15">
      <c r="A307" s="1269"/>
      <c r="B307" s="1269"/>
      <c r="C307" s="2542"/>
      <c r="D307" s="2541"/>
      <c r="E307" s="2561"/>
      <c r="F307" s="2540"/>
      <c r="G307" s="2565"/>
      <c r="H307" s="2561"/>
    </row>
    <row r="308" spans="1:15" ht="23.25">
      <c r="A308" s="2564"/>
      <c r="B308" s="2564"/>
      <c r="C308" s="2563"/>
      <c r="D308" s="2541"/>
      <c r="E308" s="2561"/>
      <c r="F308" s="2540"/>
      <c r="G308" s="2562"/>
      <c r="H308" s="2561"/>
    </row>
    <row r="309" spans="1:15" s="2463" customFormat="1" ht="12.75">
      <c r="A309" s="4879"/>
      <c r="B309" s="4879"/>
      <c r="C309" s="2559"/>
      <c r="D309" s="2560"/>
      <c r="E309" s="4880"/>
      <c r="F309" s="4880"/>
      <c r="G309" s="4880"/>
      <c r="H309" s="2557"/>
      <c r="I309" s="2579"/>
      <c r="J309" s="2579"/>
      <c r="K309" s="2579"/>
      <c r="L309" s="2579"/>
      <c r="M309" s="2579"/>
      <c r="N309" s="2579"/>
      <c r="O309" s="2579"/>
    </row>
    <row r="310" spans="1:15" s="2463" customFormat="1" ht="12.75">
      <c r="A310" s="4879"/>
      <c r="B310" s="4879"/>
      <c r="C310" s="2559"/>
      <c r="D310" s="2558"/>
      <c r="E310" s="2558"/>
      <c r="F310" s="2558"/>
      <c r="G310" s="2558"/>
      <c r="H310" s="2558"/>
      <c r="I310" s="2579"/>
      <c r="J310" s="2579"/>
      <c r="K310" s="2579"/>
      <c r="L310" s="2579"/>
      <c r="M310" s="2579"/>
      <c r="N310" s="2579"/>
      <c r="O310" s="2579"/>
    </row>
    <row r="311" spans="1:15" s="2463" customFormat="1" ht="12.75">
      <c r="A311" s="4879"/>
      <c r="B311" s="4879"/>
      <c r="C311" s="2557"/>
      <c r="D311" s="2555"/>
      <c r="E311" s="2555"/>
      <c r="F311" s="2555"/>
      <c r="G311" s="2556"/>
      <c r="H311" s="2555"/>
      <c r="I311" s="2579"/>
      <c r="J311" s="2579"/>
      <c r="K311" s="2579"/>
      <c r="L311" s="2579"/>
      <c r="M311" s="2579"/>
      <c r="N311" s="2579"/>
      <c r="O311" s="2579"/>
    </row>
    <row r="312" spans="1:15" s="2463" customFormat="1" ht="12.75">
      <c r="A312" s="2554"/>
      <c r="B312" s="2553"/>
      <c r="C312" s="2552"/>
      <c r="D312" s="2551"/>
      <c r="E312" s="2551"/>
      <c r="F312" s="2551"/>
      <c r="G312" s="2551"/>
      <c r="H312" s="2551"/>
      <c r="I312" s="2579"/>
      <c r="J312" s="2579"/>
      <c r="K312" s="2579"/>
      <c r="L312" s="2579"/>
      <c r="M312" s="2579"/>
      <c r="N312" s="2579"/>
      <c r="O312" s="2579"/>
    </row>
    <row r="313" spans="1:15" s="2463" customFormat="1" ht="12.75">
      <c r="A313" s="2549"/>
      <c r="B313" s="2549"/>
      <c r="C313" s="2545"/>
      <c r="D313" s="2548"/>
      <c r="E313" s="2548"/>
      <c r="F313" s="2540"/>
      <c r="G313" s="2548"/>
      <c r="H313" s="2548"/>
      <c r="I313" s="2579"/>
      <c r="J313" s="2579"/>
      <c r="K313" s="2579"/>
      <c r="L313" s="2579"/>
      <c r="M313" s="2579"/>
      <c r="N313" s="2579"/>
      <c r="O313" s="2579"/>
    </row>
    <row r="314" spans="1:15" s="2463" customFormat="1" ht="12.75">
      <c r="A314" s="2549"/>
      <c r="B314" s="2549"/>
      <c r="C314" s="2545"/>
      <c r="D314" s="2548"/>
      <c r="E314" s="2548"/>
      <c r="F314" s="2540"/>
      <c r="G314" s="2548"/>
      <c r="H314" s="2548"/>
      <c r="I314" s="2579"/>
      <c r="J314" s="2579"/>
      <c r="K314" s="2579"/>
      <c r="L314" s="2579"/>
      <c r="M314" s="2579"/>
      <c r="N314" s="2579"/>
      <c r="O314" s="2579"/>
    </row>
    <row r="315" spans="1:15" s="2463" customFormat="1" ht="12.75">
      <c r="A315" s="2546"/>
      <c r="B315" s="1269"/>
      <c r="C315" s="2545"/>
      <c r="D315" s="2541"/>
      <c r="E315" s="2544"/>
      <c r="F315" s="2540"/>
      <c r="G315" s="2544"/>
      <c r="H315" s="2544"/>
      <c r="I315" s="2579"/>
      <c r="J315" s="2579"/>
      <c r="K315" s="2579"/>
      <c r="L315" s="2579"/>
      <c r="M315" s="2579"/>
      <c r="N315" s="2579"/>
      <c r="O315" s="2579"/>
    </row>
    <row r="316" spans="1:15" s="2463" customFormat="1" ht="12.75">
      <c r="A316" s="2549"/>
      <c r="B316" s="2549"/>
      <c r="C316" s="2545"/>
      <c r="D316" s="2541"/>
      <c r="E316" s="2544"/>
      <c r="F316" s="2540"/>
      <c r="G316" s="2544"/>
      <c r="H316" s="2544"/>
      <c r="I316" s="2579"/>
      <c r="J316" s="2579"/>
      <c r="K316" s="2579"/>
      <c r="L316" s="2579"/>
      <c r="M316" s="2579"/>
      <c r="N316" s="2579"/>
      <c r="O316" s="2579"/>
    </row>
    <row r="317" spans="1:15" s="2463" customFormat="1" ht="12.75">
      <c r="A317" s="2546"/>
      <c r="B317" s="1269"/>
      <c r="C317" s="2542"/>
      <c r="D317" s="2541"/>
      <c r="E317" s="2544"/>
      <c r="F317" s="2540"/>
      <c r="G317" s="2544"/>
      <c r="H317" s="2544"/>
      <c r="I317" s="2579"/>
      <c r="J317" s="2579"/>
      <c r="K317" s="2579"/>
      <c r="L317" s="2579"/>
      <c r="M317" s="2579"/>
      <c r="N317" s="2579"/>
      <c r="O317" s="2579"/>
    </row>
    <row r="318" spans="1:15" s="2463" customFormat="1" ht="12.75">
      <c r="A318" s="2549"/>
      <c r="B318" s="2549"/>
      <c r="C318" s="2542"/>
      <c r="D318" s="2541"/>
      <c r="E318" s="2544"/>
      <c r="F318" s="2540"/>
      <c r="G318" s="2544"/>
      <c r="H318" s="2544"/>
      <c r="I318" s="2579"/>
      <c r="J318" s="2579"/>
      <c r="K318" s="2579"/>
      <c r="L318" s="2579"/>
      <c r="M318" s="2579"/>
      <c r="N318" s="2579"/>
      <c r="O318" s="2579"/>
    </row>
    <row r="319" spans="1:15" s="2463" customFormat="1" ht="12.75">
      <c r="A319" s="2547"/>
      <c r="B319" s="2546"/>
      <c r="C319" s="2545"/>
      <c r="D319" s="2541"/>
      <c r="E319" s="2544"/>
      <c r="F319" s="2540"/>
      <c r="G319" s="2544"/>
      <c r="H319" s="2544"/>
      <c r="I319" s="2579"/>
      <c r="J319" s="2579"/>
      <c r="K319" s="2579"/>
      <c r="L319" s="2579"/>
      <c r="M319" s="2579"/>
      <c r="N319" s="2579"/>
      <c r="O319" s="2579"/>
    </row>
    <row r="320" spans="1:15" s="2463" customFormat="1" ht="12.75">
      <c r="A320" s="2543"/>
      <c r="B320" s="2543"/>
      <c r="C320" s="2542"/>
      <c r="D320" s="2541"/>
      <c r="E320" s="2539"/>
      <c r="F320" s="2540"/>
      <c r="G320" s="2539"/>
      <c r="H320" s="2539"/>
      <c r="I320" s="2579"/>
      <c r="J320" s="2579"/>
      <c r="K320" s="2579"/>
      <c r="L320" s="2579"/>
      <c r="M320" s="2579"/>
      <c r="N320" s="2579"/>
      <c r="O320" s="2579"/>
    </row>
    <row r="321" spans="1:15" s="2463" customFormat="1" ht="12.75">
      <c r="A321" s="2538"/>
      <c r="B321" s="2538"/>
      <c r="C321" s="2537"/>
      <c r="D321" s="2536"/>
      <c r="E321" s="2536"/>
      <c r="F321" s="2536"/>
      <c r="G321" s="2536"/>
      <c r="H321" s="2536"/>
      <c r="I321" s="2579"/>
      <c r="J321" s="2579"/>
      <c r="K321" s="2579"/>
      <c r="L321" s="2579"/>
      <c r="M321" s="2579"/>
      <c r="N321" s="2579"/>
      <c r="O321" s="2579"/>
    </row>
    <row r="322" spans="1:15" s="2463" customFormat="1" ht="12.75">
      <c r="A322" s="2538"/>
      <c r="B322" s="2538"/>
      <c r="C322" s="2537"/>
      <c r="D322" s="2536"/>
      <c r="E322" s="2536"/>
      <c r="F322" s="2536"/>
      <c r="G322" s="2536"/>
      <c r="H322" s="2536"/>
      <c r="I322" s="2579"/>
      <c r="J322" s="2579"/>
      <c r="K322" s="2579"/>
      <c r="L322" s="2579"/>
      <c r="M322" s="2579"/>
      <c r="N322" s="2579"/>
      <c r="O322" s="2579"/>
    </row>
    <row r="323" spans="1:15" s="2463" customFormat="1">
      <c r="A323" s="1269"/>
      <c r="B323" s="2529"/>
      <c r="C323" s="2535"/>
      <c r="D323" s="2529"/>
      <c r="E323" s="4877"/>
      <c r="F323" s="4877"/>
      <c r="G323" s="1269"/>
      <c r="H323" s="2529"/>
      <c r="I323" s="2579"/>
      <c r="J323" s="2579"/>
      <c r="K323" s="2579"/>
      <c r="L323" s="2579"/>
      <c r="M323" s="2579"/>
      <c r="N323" s="2579"/>
      <c r="O323" s="2579"/>
    </row>
    <row r="324" spans="1:15" s="2463" customFormat="1">
      <c r="A324" s="2529"/>
      <c r="B324" s="1269"/>
      <c r="C324" s="2535"/>
      <c r="D324" s="1269"/>
      <c r="E324" s="1269"/>
      <c r="F324" s="1269"/>
      <c r="G324" s="1269"/>
      <c r="H324" s="2529"/>
      <c r="I324" s="2579"/>
      <c r="J324" s="2579"/>
      <c r="K324" s="2579"/>
      <c r="L324" s="2579"/>
      <c r="M324" s="2579"/>
      <c r="N324" s="2579"/>
      <c r="O324" s="2579"/>
    </row>
    <row r="325" spans="1:15" s="2463" customFormat="1" ht="12.75">
      <c r="A325" s="2534"/>
      <c r="B325" s="1269"/>
      <c r="C325" s="4881"/>
      <c r="D325" s="4881"/>
      <c r="E325" s="4876"/>
      <c r="F325" s="4876"/>
      <c r="G325" s="4876"/>
      <c r="H325" s="4876"/>
      <c r="I325" s="2579"/>
      <c r="J325" s="2579"/>
      <c r="K325" s="2579"/>
      <c r="L325" s="2579"/>
      <c r="M325" s="2579"/>
      <c r="N325" s="2579"/>
      <c r="O325" s="2579"/>
    </row>
    <row r="326" spans="1:15" s="2463" customFormat="1" ht="12.75">
      <c r="A326" s="2531"/>
      <c r="B326" s="2533"/>
      <c r="C326" s="4874"/>
      <c r="D326" s="4874"/>
      <c r="E326" s="4875"/>
      <c r="F326" s="4875"/>
      <c r="G326" s="4875"/>
      <c r="H326" s="4875"/>
      <c r="I326" s="2579"/>
      <c r="J326" s="2579"/>
      <c r="K326" s="2579"/>
      <c r="L326" s="2579"/>
      <c r="M326" s="2579"/>
      <c r="N326" s="2579"/>
      <c r="O326" s="2579"/>
    </row>
    <row r="327" spans="1:15" s="2463" customFormat="1" ht="12.75">
      <c r="A327" s="2531"/>
      <c r="B327" s="2533"/>
      <c r="C327" s="2531"/>
      <c r="D327" s="2566"/>
      <c r="E327" s="2566"/>
      <c r="F327" s="2566"/>
      <c r="G327" s="2566"/>
      <c r="H327" s="2566"/>
      <c r="I327" s="2579"/>
      <c r="J327" s="2579"/>
      <c r="K327" s="2579"/>
      <c r="L327" s="2579"/>
      <c r="M327" s="2579"/>
      <c r="N327" s="2579"/>
      <c r="O327" s="2579"/>
    </row>
    <row r="328" spans="1:15" s="2463" customFormat="1" ht="12.75">
      <c r="A328" s="2531"/>
      <c r="B328" s="2533"/>
      <c r="C328" s="2531"/>
      <c r="D328" s="2566"/>
      <c r="E328" s="2566"/>
      <c r="F328" s="2566"/>
      <c r="G328" s="2566"/>
      <c r="H328" s="2566"/>
      <c r="I328" s="2579"/>
      <c r="J328" s="2579"/>
      <c r="K328" s="2579"/>
      <c r="L328" s="2579"/>
      <c r="M328" s="2579"/>
      <c r="N328" s="2579"/>
      <c r="O328" s="2579"/>
    </row>
    <row r="329" spans="1:15" s="2463" customFormat="1" ht="12.75">
      <c r="A329" s="2531"/>
      <c r="B329" s="2533"/>
      <c r="C329" s="2531"/>
      <c r="D329" s="2566"/>
      <c r="E329" s="2566"/>
      <c r="F329" s="2566"/>
      <c r="G329" s="2566"/>
      <c r="H329" s="2566"/>
      <c r="I329" s="2579"/>
      <c r="J329" s="2579"/>
      <c r="K329" s="2579"/>
      <c r="L329" s="2579"/>
      <c r="M329" s="2579"/>
      <c r="N329" s="2579"/>
      <c r="O329" s="2579"/>
    </row>
    <row r="330" spans="1:15" s="2463" customFormat="1" ht="12.75">
      <c r="A330" s="2531"/>
      <c r="B330" s="2533"/>
      <c r="C330" s="2531"/>
      <c r="D330" s="2566"/>
      <c r="E330" s="2566"/>
      <c r="F330" s="2566"/>
      <c r="G330" s="2566"/>
      <c r="H330" s="2566"/>
      <c r="I330" s="2579"/>
      <c r="J330" s="2579"/>
      <c r="K330" s="2579"/>
      <c r="L330" s="2579"/>
      <c r="M330" s="2579"/>
      <c r="N330" s="2579"/>
      <c r="O330" s="2579"/>
    </row>
    <row r="331" spans="1:15" s="2463" customFormat="1" ht="12.75">
      <c r="A331" s="2531"/>
      <c r="B331" s="2533"/>
      <c r="C331" s="2531"/>
      <c r="D331" s="2566"/>
      <c r="E331" s="2566"/>
      <c r="F331" s="2566"/>
      <c r="G331" s="2566"/>
      <c r="H331" s="2566"/>
      <c r="I331" s="2579"/>
      <c r="J331" s="2579"/>
      <c r="K331" s="2579"/>
      <c r="L331" s="2579"/>
      <c r="M331" s="2579"/>
      <c r="N331" s="2579"/>
      <c r="O331" s="2579"/>
    </row>
    <row r="332" spans="1:15" s="2463" customFormat="1" ht="12.75">
      <c r="A332" s="2531"/>
      <c r="B332" s="2533"/>
      <c r="C332" s="2531"/>
      <c r="D332" s="2566"/>
      <c r="E332" s="2566"/>
      <c r="F332" s="2566"/>
      <c r="G332" s="2566"/>
      <c r="H332" s="2566"/>
      <c r="I332" s="2579"/>
      <c r="J332" s="2579"/>
      <c r="K332" s="2579"/>
      <c r="L332" s="2579"/>
      <c r="M332" s="2579"/>
      <c r="N332" s="2579"/>
      <c r="O332" s="2579"/>
    </row>
    <row r="333" spans="1:15" s="2463" customFormat="1" ht="12.75">
      <c r="A333" s="2531"/>
      <c r="B333" s="2533"/>
      <c r="C333" s="2531"/>
      <c r="D333" s="2566"/>
      <c r="E333" s="2566"/>
      <c r="F333" s="2566"/>
      <c r="G333" s="2566"/>
      <c r="H333" s="2566"/>
      <c r="I333" s="2579"/>
      <c r="J333" s="2579"/>
      <c r="K333" s="2579"/>
      <c r="L333" s="2579"/>
      <c r="M333" s="2579"/>
      <c r="N333" s="2579"/>
      <c r="O333" s="2579"/>
    </row>
    <row r="334" spans="1:15" s="2463" customFormat="1" ht="12.75">
      <c r="A334" s="2531"/>
      <c r="B334" s="2533"/>
      <c r="C334" s="2531"/>
      <c r="D334" s="2566"/>
      <c r="E334" s="2566"/>
      <c r="F334" s="2566"/>
      <c r="G334" s="2566"/>
      <c r="H334" s="2566"/>
      <c r="I334" s="2579"/>
      <c r="J334" s="2579"/>
      <c r="K334" s="2579"/>
      <c r="L334" s="2579"/>
      <c r="M334" s="2579"/>
      <c r="N334" s="2579"/>
      <c r="O334" s="2579"/>
    </row>
    <row r="335" spans="1:15" s="2463" customFormat="1" ht="12.75">
      <c r="A335" s="2531"/>
      <c r="B335" s="2533"/>
      <c r="C335" s="2531"/>
      <c r="D335" s="2566"/>
      <c r="E335" s="2566"/>
      <c r="F335" s="2566"/>
      <c r="G335" s="2566"/>
      <c r="H335" s="2566"/>
      <c r="I335" s="2579"/>
      <c r="J335" s="2579"/>
      <c r="K335" s="2579"/>
      <c r="L335" s="2579"/>
      <c r="M335" s="2579"/>
      <c r="N335" s="2579"/>
      <c r="O335" s="2579"/>
    </row>
    <row r="336" spans="1:15" s="2463" customFormat="1" ht="12.75">
      <c r="A336" s="2531"/>
      <c r="B336" s="2533"/>
      <c r="C336" s="2531"/>
      <c r="D336" s="2566"/>
      <c r="E336" s="2566"/>
      <c r="F336" s="2566"/>
      <c r="G336" s="2566"/>
      <c r="H336" s="2566"/>
      <c r="I336" s="2579"/>
      <c r="J336" s="2579"/>
      <c r="K336" s="2579"/>
      <c r="L336" s="2579"/>
      <c r="M336" s="2579"/>
      <c r="N336" s="2579"/>
      <c r="O336" s="2579"/>
    </row>
    <row r="337" spans="1:15" s="2463" customFormat="1" ht="12.75">
      <c r="A337" s="2531"/>
      <c r="B337" s="2533"/>
      <c r="C337" s="2531"/>
      <c r="D337" s="2566"/>
      <c r="E337" s="2566"/>
      <c r="F337" s="2566"/>
      <c r="G337" s="2566"/>
      <c r="H337" s="2566"/>
      <c r="I337" s="2579"/>
      <c r="J337" s="2579"/>
      <c r="K337" s="2579"/>
      <c r="L337" s="2579"/>
      <c r="M337" s="2579"/>
      <c r="N337" s="2579"/>
      <c r="O337" s="2579"/>
    </row>
    <row r="338" spans="1:15" s="2463" customFormat="1" ht="12.75">
      <c r="A338" s="2531"/>
      <c r="B338" s="2533"/>
      <c r="C338" s="2531"/>
      <c r="D338" s="2566"/>
      <c r="E338" s="2566"/>
      <c r="F338" s="2566"/>
      <c r="G338" s="2566"/>
      <c r="H338" s="2566"/>
      <c r="I338" s="2579"/>
      <c r="J338" s="2579"/>
      <c r="K338" s="2579"/>
      <c r="L338" s="2579"/>
      <c r="M338" s="2579"/>
      <c r="N338" s="2579"/>
      <c r="O338" s="2579"/>
    </row>
    <row r="339" spans="1:15" s="2463" customFormat="1" ht="12.75">
      <c r="A339" s="2531"/>
      <c r="B339" s="2533"/>
      <c r="C339" s="2531"/>
      <c r="D339" s="2566"/>
      <c r="E339" s="2566"/>
      <c r="F339" s="2566"/>
      <c r="G339" s="2566"/>
      <c r="H339" s="2566"/>
      <c r="I339" s="2579"/>
      <c r="J339" s="2579"/>
      <c r="K339" s="2579"/>
      <c r="L339" s="2579"/>
      <c r="M339" s="2579"/>
      <c r="N339" s="2579"/>
      <c r="O339" s="2579"/>
    </row>
    <row r="340" spans="1:15" s="2463" customFormat="1" ht="12.75">
      <c r="A340" s="2531"/>
      <c r="B340" s="2533"/>
      <c r="C340" s="2531"/>
      <c r="D340" s="2566"/>
      <c r="E340" s="2566"/>
      <c r="F340" s="2566"/>
      <c r="G340" s="2566"/>
      <c r="H340" s="2566"/>
      <c r="I340" s="2579"/>
      <c r="J340" s="2579"/>
      <c r="K340" s="2579"/>
      <c r="L340" s="2579"/>
      <c r="M340" s="2579"/>
      <c r="N340" s="2579"/>
      <c r="O340" s="2579"/>
    </row>
    <row r="341" spans="1:15" s="2463" customFormat="1" ht="12.75">
      <c r="A341" s="2531"/>
      <c r="B341" s="2533"/>
      <c r="C341" s="2531"/>
      <c r="D341" s="2566"/>
      <c r="E341" s="2566"/>
      <c r="F341" s="2566"/>
      <c r="G341" s="2566"/>
      <c r="H341" s="2566"/>
      <c r="I341" s="2579"/>
      <c r="J341" s="2579"/>
      <c r="K341" s="2579"/>
      <c r="L341" s="2579"/>
      <c r="M341" s="2579"/>
      <c r="N341" s="2579"/>
      <c r="O341" s="2579"/>
    </row>
    <row r="342" spans="1:15" s="2463" customFormat="1" ht="12.75">
      <c r="A342" s="2531"/>
      <c r="B342" s="2533"/>
      <c r="C342" s="2531"/>
      <c r="D342" s="2566"/>
      <c r="E342" s="2566"/>
      <c r="F342" s="2566"/>
      <c r="G342" s="2566"/>
      <c r="H342" s="2566"/>
      <c r="I342" s="2579"/>
      <c r="J342" s="2579"/>
      <c r="K342" s="2579"/>
      <c r="L342" s="2579"/>
      <c r="M342" s="2579"/>
      <c r="N342" s="2579"/>
      <c r="O342" s="2579"/>
    </row>
    <row r="343" spans="1:15" s="2463" customFormat="1" ht="12.75">
      <c r="A343" s="2531"/>
      <c r="B343" s="2533"/>
      <c r="C343" s="2531"/>
      <c r="D343" s="2566"/>
      <c r="E343" s="2566"/>
      <c r="F343" s="2566"/>
      <c r="G343" s="2566"/>
      <c r="H343" s="2566"/>
      <c r="I343" s="2579"/>
      <c r="J343" s="2579"/>
      <c r="K343" s="2579"/>
      <c r="L343" s="2579"/>
      <c r="M343" s="2579"/>
      <c r="N343" s="2579"/>
      <c r="O343" s="2579"/>
    </row>
    <row r="344" spans="1:15" s="2463" customFormat="1" ht="12.75">
      <c r="A344" s="4876"/>
      <c r="B344" s="4876"/>
      <c r="C344" s="4876"/>
      <c r="D344" s="4876"/>
      <c r="E344" s="4876"/>
      <c r="F344" s="4876"/>
      <c r="G344" s="4876"/>
      <c r="H344" s="4876"/>
      <c r="I344" s="2579"/>
      <c r="J344" s="2579"/>
      <c r="K344" s="2579"/>
      <c r="L344" s="2579"/>
      <c r="M344" s="2579"/>
      <c r="N344" s="2579"/>
      <c r="O344" s="2579"/>
    </row>
    <row r="345" spans="1:15" s="2463" customFormat="1" ht="12.75">
      <c r="A345" s="4877"/>
      <c r="B345" s="4877"/>
      <c r="C345" s="4877"/>
      <c r="D345" s="4877"/>
      <c r="E345" s="4877"/>
      <c r="F345" s="4877"/>
      <c r="G345" s="4877"/>
      <c r="H345" s="4877"/>
      <c r="I345" s="2579"/>
      <c r="J345" s="2579"/>
      <c r="K345" s="2579"/>
      <c r="L345" s="2579"/>
      <c r="M345" s="2579"/>
      <c r="N345" s="2579"/>
      <c r="O345" s="2579"/>
    </row>
    <row r="346" spans="1:15" s="2463" customFormat="1">
      <c r="A346" s="2529"/>
      <c r="B346" s="2529"/>
      <c r="C346" s="2529"/>
      <c r="D346" s="2529"/>
      <c r="E346" s="2529"/>
      <c r="F346" s="2529"/>
      <c r="G346" s="2529"/>
      <c r="H346" s="2529"/>
      <c r="I346" s="2579"/>
      <c r="J346" s="2579"/>
      <c r="K346" s="2579"/>
      <c r="L346" s="2579"/>
      <c r="M346" s="2579"/>
      <c r="N346" s="2579"/>
      <c r="O346" s="2579"/>
    </row>
    <row r="347" spans="1:15">
      <c r="A347" s="2529"/>
      <c r="B347" s="2529"/>
      <c r="C347" s="2529"/>
      <c r="D347" s="2529"/>
      <c r="E347" s="2529"/>
      <c r="F347" s="2529"/>
      <c r="G347" s="2529"/>
      <c r="H347" s="2529"/>
    </row>
    <row r="348" spans="1:15">
      <c r="A348" s="2568"/>
      <c r="B348" s="2567"/>
      <c r="C348" s="2529"/>
      <c r="D348" s="2566"/>
      <c r="E348" s="2566"/>
      <c r="F348" s="2566"/>
      <c r="G348" s="2566"/>
      <c r="H348" s="2566"/>
    </row>
    <row r="349" spans="1:15">
      <c r="A349" s="1269"/>
      <c r="B349" s="1269"/>
      <c r="C349" s="2542"/>
      <c r="D349" s="2541"/>
      <c r="E349" s="2561"/>
      <c r="F349" s="2540"/>
      <c r="G349" s="2565"/>
      <c r="H349" s="2561"/>
    </row>
    <row r="350" spans="1:15" ht="23.25">
      <c r="A350" s="2564"/>
      <c r="B350" s="2564"/>
      <c r="C350" s="2563"/>
      <c r="D350" s="2541"/>
      <c r="E350" s="2561"/>
      <c r="F350" s="2540"/>
      <c r="G350" s="2562"/>
      <c r="H350" s="2561"/>
    </row>
    <row r="351" spans="1:15" s="2463" customFormat="1" ht="12.75">
      <c r="A351" s="4879"/>
      <c r="B351" s="4879"/>
      <c r="C351" s="2559"/>
      <c r="D351" s="2560"/>
      <c r="E351" s="4880"/>
      <c r="F351" s="4880"/>
      <c r="G351" s="4880"/>
      <c r="H351" s="2557"/>
      <c r="I351" s="2579"/>
      <c r="J351" s="2579"/>
      <c r="K351" s="2579"/>
      <c r="L351" s="2579"/>
      <c r="M351" s="2579"/>
      <c r="N351" s="2579"/>
      <c r="O351" s="2579"/>
    </row>
    <row r="352" spans="1:15" s="2463" customFormat="1" ht="12.75">
      <c r="A352" s="4879"/>
      <c r="B352" s="4879"/>
      <c r="C352" s="2559"/>
      <c r="D352" s="2558"/>
      <c r="E352" s="2558"/>
      <c r="F352" s="2558"/>
      <c r="G352" s="2558"/>
      <c r="H352" s="2558"/>
      <c r="I352" s="2579"/>
      <c r="J352" s="2579"/>
      <c r="K352" s="2579"/>
      <c r="L352" s="2579"/>
      <c r="M352" s="2579"/>
      <c r="N352" s="2579"/>
      <c r="O352" s="2579"/>
    </row>
    <row r="353" spans="1:15" s="2463" customFormat="1" ht="12.75">
      <c r="A353" s="4879"/>
      <c r="B353" s="4879"/>
      <c r="C353" s="2557"/>
      <c r="D353" s="2555"/>
      <c r="E353" s="2555"/>
      <c r="F353" s="2555"/>
      <c r="G353" s="2556"/>
      <c r="H353" s="2555"/>
      <c r="I353" s="2579"/>
      <c r="J353" s="2579"/>
      <c r="K353" s="2579"/>
      <c r="L353" s="2579"/>
      <c r="M353" s="2579"/>
      <c r="N353" s="2579"/>
      <c r="O353" s="2579"/>
    </row>
    <row r="354" spans="1:15" s="2463" customFormat="1" ht="12.75">
      <c r="A354" s="2554"/>
      <c r="B354" s="2553"/>
      <c r="C354" s="2552"/>
      <c r="D354" s="2551"/>
      <c r="E354" s="2551"/>
      <c r="F354" s="2551"/>
      <c r="G354" s="2551"/>
      <c r="H354" s="2551"/>
      <c r="I354" s="2579"/>
      <c r="J354" s="2579"/>
      <c r="K354" s="2579"/>
      <c r="L354" s="2579"/>
      <c r="M354" s="2579"/>
      <c r="N354" s="2579"/>
      <c r="O354" s="2579"/>
    </row>
    <row r="355" spans="1:15" s="2463" customFormat="1" ht="12.75">
      <c r="A355" s="2549"/>
      <c r="B355" s="2549"/>
      <c r="C355" s="2545"/>
      <c r="D355" s="2548"/>
      <c r="E355" s="2548"/>
      <c r="F355" s="2540"/>
      <c r="G355" s="2548"/>
      <c r="H355" s="2548"/>
      <c r="I355" s="2579"/>
      <c r="J355" s="2579"/>
      <c r="K355" s="2579"/>
      <c r="L355" s="2579"/>
      <c r="M355" s="2579"/>
      <c r="N355" s="2579"/>
      <c r="O355" s="2579"/>
    </row>
    <row r="356" spans="1:15" s="2463" customFormat="1" ht="12.75">
      <c r="A356" s="2549"/>
      <c r="B356" s="2549"/>
      <c r="C356" s="2545"/>
      <c r="D356" s="2548"/>
      <c r="E356" s="2548"/>
      <c r="F356" s="2540"/>
      <c r="G356" s="2548"/>
      <c r="H356" s="2548"/>
      <c r="I356" s="2579"/>
      <c r="J356" s="2579"/>
      <c r="K356" s="2579"/>
      <c r="L356" s="2579"/>
      <c r="M356" s="2579"/>
      <c r="N356" s="2579"/>
      <c r="O356" s="2579"/>
    </row>
    <row r="357" spans="1:15" s="2463" customFormat="1" ht="12.75">
      <c r="A357" s="2546"/>
      <c r="B357" s="1269"/>
      <c r="C357" s="2545"/>
      <c r="D357" s="2541"/>
      <c r="E357" s="2544"/>
      <c r="F357" s="2540"/>
      <c r="G357" s="2544"/>
      <c r="H357" s="2544"/>
      <c r="I357" s="2579"/>
      <c r="J357" s="2579"/>
      <c r="K357" s="2579"/>
      <c r="L357" s="2579"/>
      <c r="M357" s="2579"/>
      <c r="N357" s="2579"/>
      <c r="O357" s="2579"/>
    </row>
    <row r="358" spans="1:15" s="2463" customFormat="1" ht="12.75">
      <c r="A358" s="2549"/>
      <c r="B358" s="2549"/>
      <c r="C358" s="2545"/>
      <c r="D358" s="2541"/>
      <c r="E358" s="2544"/>
      <c r="F358" s="2540"/>
      <c r="G358" s="2544"/>
      <c r="H358" s="2544"/>
      <c r="I358" s="2579"/>
      <c r="J358" s="2579"/>
      <c r="K358" s="2579"/>
      <c r="L358" s="2579"/>
      <c r="M358" s="2579"/>
      <c r="N358" s="2579"/>
      <c r="O358" s="2579"/>
    </row>
    <row r="359" spans="1:15" s="2463" customFormat="1" ht="12.75">
      <c r="A359" s="2546"/>
      <c r="B359" s="1269"/>
      <c r="C359" s="2542"/>
      <c r="D359" s="2541"/>
      <c r="E359" s="2544"/>
      <c r="F359" s="2540"/>
      <c r="G359" s="2544"/>
      <c r="H359" s="2544"/>
      <c r="I359" s="2579"/>
      <c r="J359" s="2579"/>
      <c r="K359" s="2579"/>
      <c r="L359" s="2579"/>
      <c r="M359" s="2579"/>
      <c r="N359" s="2579"/>
      <c r="O359" s="2579"/>
    </row>
    <row r="360" spans="1:15" s="2463" customFormat="1" ht="12.75">
      <c r="A360" s="2549"/>
      <c r="B360" s="2549"/>
      <c r="C360" s="2542"/>
      <c r="D360" s="2541"/>
      <c r="E360" s="2544"/>
      <c r="F360" s="2540"/>
      <c r="G360" s="2544"/>
      <c r="H360" s="2544"/>
      <c r="I360" s="2579"/>
      <c r="J360" s="2579"/>
      <c r="K360" s="2579"/>
      <c r="L360" s="2579"/>
      <c r="M360" s="2579"/>
      <c r="N360" s="2579"/>
      <c r="O360" s="2579"/>
    </row>
    <row r="361" spans="1:15" s="2463" customFormat="1" ht="12.75">
      <c r="A361" s="2547"/>
      <c r="B361" s="2546"/>
      <c r="C361" s="2545"/>
      <c r="D361" s="2541"/>
      <c r="E361" s="2544"/>
      <c r="F361" s="2540"/>
      <c r="G361" s="2544"/>
      <c r="H361" s="2544"/>
      <c r="I361" s="2579"/>
      <c r="J361" s="2579"/>
      <c r="K361" s="2579"/>
      <c r="L361" s="2579"/>
      <c r="M361" s="2579"/>
      <c r="N361" s="2579"/>
      <c r="O361" s="2579"/>
    </row>
    <row r="362" spans="1:15" s="2463" customFormat="1" ht="12.75">
      <c r="A362" s="2543"/>
      <c r="B362" s="2543"/>
      <c r="C362" s="2542"/>
      <c r="D362" s="2541"/>
      <c r="E362" s="2539"/>
      <c r="F362" s="2540"/>
      <c r="G362" s="2539"/>
      <c r="H362" s="2539"/>
      <c r="I362" s="2579"/>
      <c r="J362" s="2579"/>
      <c r="K362" s="2579"/>
      <c r="L362" s="2579"/>
      <c r="M362" s="2579"/>
      <c r="N362" s="2579"/>
      <c r="O362" s="2579"/>
    </row>
    <row r="363" spans="1:15" s="2463" customFormat="1" ht="12.75">
      <c r="A363" s="2538"/>
      <c r="B363" s="2538"/>
      <c r="C363" s="2537"/>
      <c r="D363" s="2536"/>
      <c r="E363" s="2536"/>
      <c r="F363" s="2536"/>
      <c r="G363" s="2536"/>
      <c r="H363" s="2536"/>
      <c r="I363" s="2579"/>
      <c r="J363" s="2579"/>
      <c r="K363" s="2579"/>
      <c r="L363" s="2579"/>
      <c r="M363" s="2579"/>
      <c r="N363" s="2579"/>
      <c r="O363" s="2579"/>
    </row>
    <row r="364" spans="1:15" s="2463" customFormat="1" ht="12.75">
      <c r="A364" s="2538"/>
      <c r="B364" s="2538"/>
      <c r="C364" s="2537"/>
      <c r="D364" s="2536"/>
      <c r="E364" s="2536"/>
      <c r="F364" s="2536"/>
      <c r="G364" s="2536"/>
      <c r="H364" s="2536"/>
      <c r="I364" s="2579"/>
      <c r="J364" s="2579"/>
      <c r="K364" s="2579"/>
      <c r="L364" s="2579"/>
      <c r="M364" s="2579"/>
      <c r="N364" s="2579"/>
      <c r="O364" s="2579"/>
    </row>
    <row r="365" spans="1:15" s="2463" customFormat="1">
      <c r="A365" s="1269"/>
      <c r="B365" s="2529"/>
      <c r="C365" s="2535"/>
      <c r="D365" s="2529"/>
      <c r="E365" s="4877"/>
      <c r="F365" s="4877"/>
      <c r="G365" s="1269"/>
      <c r="H365" s="2529"/>
      <c r="I365" s="2579"/>
      <c r="J365" s="2579"/>
      <c r="K365" s="2579"/>
      <c r="L365" s="2579"/>
      <c r="M365" s="2579"/>
      <c r="N365" s="2579"/>
      <c r="O365" s="2579"/>
    </row>
    <row r="366" spans="1:15" s="2463" customFormat="1">
      <c r="A366" s="2529"/>
      <c r="B366" s="1269"/>
      <c r="C366" s="2535"/>
      <c r="D366" s="1269"/>
      <c r="E366" s="1269"/>
      <c r="F366" s="1269"/>
      <c r="G366" s="1269"/>
      <c r="H366" s="2529"/>
      <c r="I366" s="2579"/>
      <c r="J366" s="2579"/>
      <c r="K366" s="2579"/>
      <c r="L366" s="2579"/>
      <c r="M366" s="2579"/>
      <c r="N366" s="2579"/>
      <c r="O366" s="2579"/>
    </row>
    <row r="367" spans="1:15" s="2463" customFormat="1" ht="12.75">
      <c r="A367" s="2534"/>
      <c r="B367" s="1269"/>
      <c r="C367" s="4881"/>
      <c r="D367" s="4881"/>
      <c r="E367" s="4876"/>
      <c r="F367" s="4876"/>
      <c r="G367" s="4876"/>
      <c r="H367" s="4876"/>
      <c r="I367" s="2579"/>
      <c r="J367" s="2579"/>
      <c r="K367" s="2579"/>
      <c r="L367" s="2579"/>
      <c r="M367" s="2579"/>
      <c r="N367" s="2579"/>
      <c r="O367" s="2579"/>
    </row>
    <row r="368" spans="1:15" s="2463" customFormat="1" ht="12.75">
      <c r="A368" s="2531"/>
      <c r="B368" s="2533"/>
      <c r="C368" s="4874"/>
      <c r="D368" s="4874"/>
      <c r="E368" s="4875"/>
      <c r="F368" s="4875"/>
      <c r="G368" s="4875"/>
      <c r="H368" s="4875"/>
      <c r="I368" s="2579"/>
      <c r="J368" s="2579"/>
      <c r="K368" s="2579"/>
      <c r="L368" s="2579"/>
      <c r="M368" s="2579"/>
      <c r="N368" s="2579"/>
      <c r="O368" s="2579"/>
    </row>
    <row r="369" spans="1:15" s="2463" customFormat="1" ht="12.75">
      <c r="A369" s="2531"/>
      <c r="B369" s="2533"/>
      <c r="C369" s="2531"/>
      <c r="D369" s="2566"/>
      <c r="E369" s="2566"/>
      <c r="F369" s="2566"/>
      <c r="G369" s="2566"/>
      <c r="H369" s="2566"/>
      <c r="I369" s="2579"/>
      <c r="J369" s="2579"/>
      <c r="K369" s="2579"/>
      <c r="L369" s="2579"/>
      <c r="M369" s="2579"/>
      <c r="N369" s="2579"/>
      <c r="O369" s="2579"/>
    </row>
    <row r="370" spans="1:15" s="2463" customFormat="1" ht="12.75">
      <c r="A370" s="2531"/>
      <c r="B370" s="2533"/>
      <c r="C370" s="2531"/>
      <c r="D370" s="2566"/>
      <c r="E370" s="2566"/>
      <c r="F370" s="2566"/>
      <c r="G370" s="2566"/>
      <c r="H370" s="2566"/>
      <c r="I370" s="2579"/>
      <c r="J370" s="2579"/>
      <c r="K370" s="2579"/>
      <c r="L370" s="2579"/>
      <c r="M370" s="2579"/>
      <c r="N370" s="2579"/>
      <c r="O370" s="2579"/>
    </row>
    <row r="371" spans="1:15" s="2463" customFormat="1" ht="12.75">
      <c r="A371" s="2531"/>
      <c r="B371" s="2533"/>
      <c r="C371" s="2531"/>
      <c r="D371" s="2566"/>
      <c r="E371" s="2566"/>
      <c r="F371" s="2566"/>
      <c r="G371" s="2566"/>
      <c r="H371" s="2566"/>
      <c r="I371" s="2579"/>
      <c r="J371" s="2579"/>
      <c r="K371" s="2579"/>
      <c r="L371" s="2579"/>
      <c r="M371" s="2579"/>
      <c r="N371" s="2579"/>
      <c r="O371" s="2579"/>
    </row>
    <row r="372" spans="1:15" s="2463" customFormat="1" ht="12.75">
      <c r="A372" s="2531"/>
      <c r="B372" s="2533"/>
      <c r="C372" s="2531"/>
      <c r="D372" s="2566"/>
      <c r="E372" s="2566"/>
      <c r="F372" s="2566"/>
      <c r="G372" s="2566"/>
      <c r="H372" s="2566"/>
      <c r="I372" s="2579"/>
      <c r="J372" s="2579"/>
      <c r="K372" s="2579"/>
      <c r="L372" s="2579"/>
      <c r="M372" s="2579"/>
      <c r="N372" s="2579"/>
      <c r="O372" s="2579"/>
    </row>
    <row r="373" spans="1:15" s="2463" customFormat="1" ht="12.75">
      <c r="A373" s="2531"/>
      <c r="B373" s="2533"/>
      <c r="C373" s="2531"/>
      <c r="D373" s="2566"/>
      <c r="E373" s="2566"/>
      <c r="F373" s="2566"/>
      <c r="G373" s="2566"/>
      <c r="H373" s="2566"/>
      <c r="I373" s="2579"/>
      <c r="J373" s="2579"/>
      <c r="K373" s="2579"/>
      <c r="L373" s="2579"/>
      <c r="M373" s="2579"/>
      <c r="N373" s="2579"/>
      <c r="O373" s="2579"/>
    </row>
    <row r="374" spans="1:15" s="2463" customFormat="1" ht="12.75">
      <c r="A374" s="2531"/>
      <c r="B374" s="2533"/>
      <c r="C374" s="2531"/>
      <c r="D374" s="2566"/>
      <c r="E374" s="2566"/>
      <c r="F374" s="2566"/>
      <c r="G374" s="2566"/>
      <c r="H374" s="2566"/>
      <c r="I374" s="2579"/>
      <c r="J374" s="2579"/>
      <c r="K374" s="2579"/>
      <c r="L374" s="2579"/>
      <c r="M374" s="2579"/>
      <c r="N374" s="2579"/>
      <c r="O374" s="2579"/>
    </row>
    <row r="375" spans="1:15" s="2463" customFormat="1" ht="12.75">
      <c r="A375" s="2531"/>
      <c r="B375" s="2533"/>
      <c r="C375" s="2531"/>
      <c r="D375" s="2566"/>
      <c r="E375" s="2566"/>
      <c r="F375" s="2566"/>
      <c r="G375" s="2566"/>
      <c r="H375" s="2566"/>
      <c r="I375" s="2579"/>
      <c r="J375" s="2579"/>
      <c r="K375" s="2579"/>
      <c r="L375" s="2579"/>
      <c r="M375" s="2579"/>
      <c r="N375" s="2579"/>
      <c r="O375" s="2579"/>
    </row>
    <row r="376" spans="1:15" s="2463" customFormat="1" ht="12.75">
      <c r="A376" s="2531"/>
      <c r="B376" s="2533"/>
      <c r="C376" s="2531"/>
      <c r="D376" s="2566"/>
      <c r="E376" s="2566"/>
      <c r="F376" s="2566"/>
      <c r="G376" s="2566"/>
      <c r="H376" s="2566"/>
      <c r="I376" s="2579"/>
      <c r="J376" s="2579"/>
      <c r="K376" s="2579"/>
      <c r="L376" s="2579"/>
      <c r="M376" s="2579"/>
      <c r="N376" s="2579"/>
      <c r="O376" s="2579"/>
    </row>
    <row r="377" spans="1:15" s="2463" customFormat="1" ht="12.75">
      <c r="A377" s="2531"/>
      <c r="B377" s="2533"/>
      <c r="C377" s="2531"/>
      <c r="D377" s="2566"/>
      <c r="E377" s="2566"/>
      <c r="F377" s="2566"/>
      <c r="G377" s="2566"/>
      <c r="H377" s="2566"/>
      <c r="I377" s="2579"/>
      <c r="J377" s="2579"/>
      <c r="K377" s="2579"/>
      <c r="L377" s="2579"/>
      <c r="M377" s="2579"/>
      <c r="N377" s="2579"/>
      <c r="O377" s="2579"/>
    </row>
    <row r="378" spans="1:15" s="2463" customFormat="1" ht="12.75">
      <c r="A378" s="2531"/>
      <c r="B378" s="2533"/>
      <c r="C378" s="2531"/>
      <c r="D378" s="2566"/>
      <c r="E378" s="2566"/>
      <c r="F378" s="2566"/>
      <c r="G378" s="2566"/>
      <c r="H378" s="2566"/>
      <c r="I378" s="2579"/>
      <c r="J378" s="2579"/>
      <c r="K378" s="2579"/>
      <c r="L378" s="2579"/>
      <c r="M378" s="2579"/>
      <c r="N378" s="2579"/>
      <c r="O378" s="2579"/>
    </row>
    <row r="379" spans="1:15" s="2463" customFormat="1" ht="12.75">
      <c r="A379" s="2531"/>
      <c r="B379" s="2533"/>
      <c r="C379" s="2531"/>
      <c r="D379" s="2566"/>
      <c r="E379" s="2566"/>
      <c r="F379" s="2566"/>
      <c r="G379" s="2566"/>
      <c r="H379" s="2566"/>
      <c r="I379" s="2579"/>
      <c r="J379" s="2579"/>
      <c r="K379" s="2579"/>
      <c r="L379" s="2579"/>
      <c r="M379" s="2579"/>
      <c r="N379" s="2579"/>
      <c r="O379" s="2579"/>
    </row>
    <row r="380" spans="1:15" s="2463" customFormat="1" ht="12.75">
      <c r="A380" s="2531"/>
      <c r="B380" s="2533"/>
      <c r="C380" s="2531"/>
      <c r="D380" s="2566"/>
      <c r="E380" s="2566"/>
      <c r="F380" s="2566"/>
      <c r="G380" s="2566"/>
      <c r="H380" s="2566"/>
      <c r="I380" s="2579"/>
      <c r="J380" s="2579"/>
      <c r="K380" s="2579"/>
      <c r="L380" s="2579"/>
      <c r="M380" s="2579"/>
      <c r="N380" s="2579"/>
      <c r="O380" s="2579"/>
    </row>
    <row r="381" spans="1:15" s="2463" customFormat="1" ht="12.75">
      <c r="A381" s="2531"/>
      <c r="B381" s="2533"/>
      <c r="C381" s="2531"/>
      <c r="D381" s="2566"/>
      <c r="E381" s="2566"/>
      <c r="F381" s="2566"/>
      <c r="G381" s="2566"/>
      <c r="H381" s="2566"/>
      <c r="I381" s="2579"/>
      <c r="J381" s="2579"/>
      <c r="K381" s="2579"/>
      <c r="L381" s="2579"/>
      <c r="M381" s="2579"/>
      <c r="N381" s="2579"/>
      <c r="O381" s="2579"/>
    </row>
    <row r="382" spans="1:15" s="2463" customFormat="1" ht="12.75">
      <c r="A382" s="2531"/>
      <c r="B382" s="2533"/>
      <c r="C382" s="2531"/>
      <c r="D382" s="2566"/>
      <c r="E382" s="2566"/>
      <c r="F382" s="2566"/>
      <c r="G382" s="2566"/>
      <c r="H382" s="2566"/>
      <c r="I382" s="2579"/>
      <c r="J382" s="2579"/>
      <c r="K382" s="2579"/>
      <c r="L382" s="2579"/>
      <c r="M382" s="2579"/>
      <c r="N382" s="2579"/>
      <c r="O382" s="2579"/>
    </row>
    <row r="383" spans="1:15" s="2463" customFormat="1" ht="12.75">
      <c r="A383" s="2531"/>
      <c r="B383" s="2533"/>
      <c r="C383" s="2531"/>
      <c r="D383" s="2566"/>
      <c r="E383" s="2566"/>
      <c r="F383" s="2566"/>
      <c r="G383" s="2566"/>
      <c r="H383" s="2566"/>
      <c r="I383" s="2579"/>
      <c r="J383" s="2579"/>
      <c r="K383" s="2579"/>
      <c r="L383" s="2579"/>
      <c r="M383" s="2579"/>
      <c r="N383" s="2579"/>
      <c r="O383" s="2579"/>
    </row>
    <row r="384" spans="1:15" s="2463" customFormat="1" ht="12.75">
      <c r="A384" s="2531"/>
      <c r="B384" s="2533"/>
      <c r="C384" s="2531"/>
      <c r="D384" s="2566"/>
      <c r="E384" s="2566"/>
      <c r="F384" s="2566"/>
      <c r="G384" s="2566"/>
      <c r="H384" s="2566"/>
      <c r="I384" s="2579"/>
      <c r="J384" s="2579"/>
      <c r="K384" s="2579"/>
      <c r="L384" s="2579"/>
      <c r="M384" s="2579"/>
      <c r="N384" s="2579"/>
      <c r="O384" s="2579"/>
    </row>
    <row r="385" spans="1:15" s="2463" customFormat="1" ht="12.75">
      <c r="A385" s="4876"/>
      <c r="B385" s="4876"/>
      <c r="C385" s="4876"/>
      <c r="D385" s="4876"/>
      <c r="E385" s="4876"/>
      <c r="F385" s="4876"/>
      <c r="G385" s="4876"/>
      <c r="H385" s="4876"/>
      <c r="I385" s="2579"/>
      <c r="J385" s="2579"/>
      <c r="K385" s="2579"/>
      <c r="L385" s="2579"/>
      <c r="M385" s="2579"/>
      <c r="N385" s="2579"/>
      <c r="O385" s="2579"/>
    </row>
    <row r="386" spans="1:15" s="2463" customFormat="1" ht="12.75">
      <c r="A386" s="4877"/>
      <c r="B386" s="4877"/>
      <c r="C386" s="4877"/>
      <c r="D386" s="4877"/>
      <c r="E386" s="4877"/>
      <c r="F386" s="4877"/>
      <c r="G386" s="4877"/>
      <c r="H386" s="4877"/>
      <c r="I386" s="2579"/>
      <c r="J386" s="2579"/>
      <c r="K386" s="2579"/>
      <c r="L386" s="2579"/>
      <c r="M386" s="2579"/>
      <c r="N386" s="2579"/>
      <c r="O386" s="2579"/>
    </row>
    <row r="387" spans="1:15" s="2463" customFormat="1">
      <c r="A387" s="2529"/>
      <c r="B387" s="2529"/>
      <c r="C387" s="2529"/>
      <c r="D387" s="2529"/>
      <c r="E387" s="2529"/>
      <c r="F387" s="2529"/>
      <c r="G387" s="2529"/>
      <c r="H387" s="2529"/>
      <c r="I387" s="2579"/>
      <c r="J387" s="2579"/>
      <c r="K387" s="2579"/>
      <c r="L387" s="2579"/>
      <c r="M387" s="2579"/>
      <c r="N387" s="2579"/>
      <c r="O387" s="2579"/>
    </row>
    <row r="388" spans="1:15">
      <c r="A388" s="2529"/>
      <c r="B388" s="2529"/>
      <c r="C388" s="2529"/>
      <c r="D388" s="2529"/>
      <c r="E388" s="2529"/>
      <c r="F388" s="2529"/>
      <c r="G388" s="2529"/>
      <c r="H388" s="2529"/>
    </row>
    <row r="389" spans="1:15">
      <c r="A389" s="2529"/>
      <c r="B389" s="2529"/>
      <c r="C389" s="2529"/>
      <c r="D389" s="2529"/>
      <c r="E389" s="2529"/>
      <c r="F389" s="2529"/>
      <c r="G389" s="2529"/>
      <c r="H389" s="2529"/>
    </row>
    <row r="390" spans="1:15">
      <c r="A390" s="2568"/>
      <c r="B390" s="2567"/>
      <c r="C390" s="2529"/>
      <c r="D390" s="2566"/>
      <c r="E390" s="2566"/>
      <c r="F390" s="2566"/>
      <c r="G390" s="2566"/>
      <c r="H390" s="2566"/>
    </row>
    <row r="391" spans="1:15">
      <c r="A391" s="1269"/>
      <c r="B391" s="1269"/>
      <c r="C391" s="2542"/>
      <c r="D391" s="2541"/>
      <c r="E391" s="2561"/>
      <c r="F391" s="2540"/>
      <c r="G391" s="2565"/>
      <c r="H391" s="2561"/>
    </row>
    <row r="392" spans="1:15" ht="23.25">
      <c r="A392" s="2564"/>
      <c r="B392" s="2564"/>
      <c r="C392" s="2563"/>
      <c r="D392" s="2570"/>
      <c r="E392" s="2569"/>
      <c r="F392" s="2540"/>
      <c r="G392" s="2562"/>
      <c r="H392" s="2561"/>
    </row>
    <row r="393" spans="1:15" s="2463" customFormat="1" ht="12.75">
      <c r="A393" s="4879"/>
      <c r="B393" s="4879"/>
      <c r="C393" s="2559"/>
      <c r="D393" s="2560"/>
      <c r="E393" s="4880"/>
      <c r="F393" s="4880"/>
      <c r="G393" s="4880"/>
      <c r="H393" s="2557"/>
      <c r="I393" s="2579"/>
      <c r="J393" s="2579"/>
      <c r="K393" s="2579"/>
      <c r="L393" s="2579"/>
      <c r="M393" s="2579"/>
      <c r="N393" s="2579"/>
      <c r="O393" s="2579"/>
    </row>
    <row r="394" spans="1:15" s="2463" customFormat="1" ht="12.75">
      <c r="A394" s="4879"/>
      <c r="B394" s="4879"/>
      <c r="C394" s="2559"/>
      <c r="D394" s="2558"/>
      <c r="E394" s="2558"/>
      <c r="F394" s="2558"/>
      <c r="G394" s="2558"/>
      <c r="H394" s="2558"/>
      <c r="I394" s="2579"/>
      <c r="J394" s="2579"/>
      <c r="K394" s="2579"/>
      <c r="L394" s="2579"/>
      <c r="M394" s="2579"/>
      <c r="N394" s="2579"/>
      <c r="O394" s="2579"/>
    </row>
    <row r="395" spans="1:15" s="2463" customFormat="1" ht="12.75">
      <c r="A395" s="4879"/>
      <c r="B395" s="4879"/>
      <c r="C395" s="2557"/>
      <c r="D395" s="2555"/>
      <c r="E395" s="2555"/>
      <c r="F395" s="2555"/>
      <c r="G395" s="2556"/>
      <c r="H395" s="2555"/>
      <c r="I395" s="2579"/>
      <c r="J395" s="2579"/>
      <c r="K395" s="2579"/>
      <c r="L395" s="2579"/>
      <c r="M395" s="2579"/>
      <c r="N395" s="2579"/>
      <c r="O395" s="2579"/>
    </row>
    <row r="396" spans="1:15" s="2463" customFormat="1" ht="12.75">
      <c r="A396" s="2554"/>
      <c r="B396" s="2553"/>
      <c r="C396" s="2552"/>
      <c r="D396" s="2551"/>
      <c r="E396" s="2551"/>
      <c r="F396" s="2551"/>
      <c r="G396" s="2551"/>
      <c r="H396" s="2551"/>
      <c r="I396" s="2579"/>
      <c r="J396" s="2579"/>
      <c r="K396" s="2579"/>
      <c r="L396" s="2579"/>
      <c r="M396" s="2579"/>
      <c r="N396" s="2579"/>
      <c r="O396" s="2579"/>
    </row>
    <row r="397" spans="1:15" s="2463" customFormat="1" ht="12.75">
      <c r="A397" s="2549"/>
      <c r="B397" s="2549"/>
      <c r="C397" s="2545"/>
      <c r="D397" s="2548"/>
      <c r="E397" s="2548"/>
      <c r="F397" s="2540"/>
      <c r="G397" s="2548"/>
      <c r="H397" s="2548"/>
      <c r="I397" s="2579"/>
      <c r="J397" s="2579"/>
      <c r="K397" s="2579"/>
      <c r="L397" s="2579"/>
      <c r="M397" s="2579"/>
      <c r="N397" s="2579"/>
      <c r="O397" s="2579"/>
    </row>
    <row r="398" spans="1:15" s="2463" customFormat="1" ht="12.75">
      <c r="A398" s="2549"/>
      <c r="B398" s="2549"/>
      <c r="C398" s="2545"/>
      <c r="D398" s="2548"/>
      <c r="E398" s="2548"/>
      <c r="F398" s="2540"/>
      <c r="G398" s="2548"/>
      <c r="H398" s="2548"/>
      <c r="I398" s="2579"/>
      <c r="J398" s="2579"/>
      <c r="K398" s="2579"/>
      <c r="L398" s="2579"/>
      <c r="M398" s="2579"/>
      <c r="N398" s="2579"/>
      <c r="O398" s="2579"/>
    </row>
    <row r="399" spans="1:15" s="2463" customFormat="1" ht="12.75">
      <c r="A399" s="2546"/>
      <c r="B399" s="1269"/>
      <c r="C399" s="2545"/>
      <c r="D399" s="2541"/>
      <c r="E399" s="2544"/>
      <c r="F399" s="2540"/>
      <c r="G399" s="2544"/>
      <c r="H399" s="2544"/>
      <c r="I399" s="2579"/>
      <c r="J399" s="2579"/>
      <c r="K399" s="2579"/>
      <c r="L399" s="2579"/>
      <c r="M399" s="2579"/>
      <c r="N399" s="2579"/>
      <c r="O399" s="2579"/>
    </row>
    <row r="400" spans="1:15" s="2463" customFormat="1" ht="12.75">
      <c r="A400" s="2549"/>
      <c r="B400" s="2549"/>
      <c r="C400" s="2545"/>
      <c r="D400" s="2541"/>
      <c r="E400" s="2544"/>
      <c r="F400" s="2540"/>
      <c r="G400" s="2544"/>
      <c r="H400" s="2544"/>
      <c r="I400" s="2579"/>
      <c r="J400" s="2579"/>
      <c r="K400" s="2579"/>
      <c r="L400" s="2579"/>
      <c r="M400" s="2579"/>
      <c r="N400" s="2579"/>
      <c r="O400" s="2579"/>
    </row>
    <row r="401" spans="1:15" s="2463" customFormat="1" ht="12.75">
      <c r="A401" s="2546"/>
      <c r="B401" s="1269"/>
      <c r="C401" s="2545"/>
      <c r="D401" s="2541"/>
      <c r="E401" s="2544"/>
      <c r="F401" s="2540"/>
      <c r="G401" s="2544"/>
      <c r="H401" s="2544"/>
      <c r="I401" s="2579"/>
      <c r="J401" s="2579"/>
      <c r="K401" s="2579"/>
      <c r="L401" s="2579"/>
      <c r="M401" s="2579"/>
      <c r="N401" s="2579"/>
      <c r="O401" s="2579"/>
    </row>
    <row r="402" spans="1:15" s="2463" customFormat="1" ht="12.75">
      <c r="A402" s="2547"/>
      <c r="B402" s="2546"/>
      <c r="C402" s="2545"/>
      <c r="D402" s="2541"/>
      <c r="E402" s="2544"/>
      <c r="F402" s="2540"/>
      <c r="G402" s="2544"/>
      <c r="H402" s="2544"/>
      <c r="I402" s="2579"/>
      <c r="J402" s="2579"/>
      <c r="K402" s="2579"/>
      <c r="L402" s="2579"/>
      <c r="M402" s="2579"/>
      <c r="N402" s="2579"/>
      <c r="O402" s="2579"/>
    </row>
    <row r="403" spans="1:15" s="2463" customFormat="1" ht="12.75">
      <c r="A403" s="2543"/>
      <c r="B403" s="2543"/>
      <c r="C403" s="2542"/>
      <c r="D403" s="2541"/>
      <c r="E403" s="2539"/>
      <c r="F403" s="2540"/>
      <c r="G403" s="2539"/>
      <c r="H403" s="2539"/>
      <c r="I403" s="2579"/>
      <c r="J403" s="2579"/>
      <c r="K403" s="2579"/>
      <c r="L403" s="2579"/>
      <c r="M403" s="2579"/>
      <c r="N403" s="2579"/>
      <c r="O403" s="2579"/>
    </row>
    <row r="404" spans="1:15" s="2463" customFormat="1" ht="12.75">
      <c r="A404" s="2538"/>
      <c r="B404" s="2538"/>
      <c r="C404" s="2537"/>
      <c r="D404" s="2536"/>
      <c r="E404" s="2536"/>
      <c r="F404" s="2536"/>
      <c r="G404" s="2536"/>
      <c r="H404" s="2536"/>
      <c r="I404" s="2579"/>
      <c r="J404" s="2579"/>
      <c r="K404" s="2579"/>
      <c r="L404" s="2579"/>
      <c r="M404" s="2579"/>
      <c r="N404" s="2579"/>
      <c r="O404" s="2579"/>
    </row>
    <row r="405" spans="1:15" s="2463" customFormat="1" ht="12.75">
      <c r="A405" s="2538"/>
      <c r="B405" s="2538"/>
      <c r="C405" s="2537"/>
      <c r="D405" s="2536"/>
      <c r="E405" s="2536"/>
      <c r="F405" s="2536"/>
      <c r="G405" s="2536"/>
      <c r="H405" s="2536"/>
      <c r="I405" s="2579"/>
      <c r="J405" s="2579"/>
      <c r="K405" s="2579"/>
      <c r="L405" s="2579"/>
      <c r="M405" s="2579"/>
      <c r="N405" s="2579"/>
      <c r="O405" s="2579"/>
    </row>
    <row r="406" spans="1:15" s="2463" customFormat="1">
      <c r="A406" s="1269"/>
      <c r="B406" s="2529"/>
      <c r="C406" s="2535"/>
      <c r="D406" s="2529"/>
      <c r="E406" s="4877"/>
      <c r="F406" s="4877"/>
      <c r="G406" s="1269"/>
      <c r="H406" s="2529"/>
      <c r="I406" s="2579"/>
      <c r="J406" s="2579"/>
      <c r="K406" s="2579"/>
      <c r="L406" s="2579"/>
      <c r="M406" s="2579"/>
      <c r="N406" s="2579"/>
      <c r="O406" s="2579"/>
    </row>
    <row r="407" spans="1:15" s="2463" customFormat="1">
      <c r="A407" s="2529"/>
      <c r="B407" s="1269"/>
      <c r="C407" s="2535"/>
      <c r="D407" s="1269"/>
      <c r="E407" s="1269"/>
      <c r="F407" s="1269"/>
      <c r="G407" s="1269"/>
      <c r="H407" s="2529"/>
      <c r="I407" s="2579"/>
      <c r="J407" s="2579"/>
      <c r="K407" s="2579"/>
      <c r="L407" s="2579"/>
      <c r="M407" s="2579"/>
      <c r="N407" s="2579"/>
      <c r="O407" s="2579"/>
    </row>
    <row r="408" spans="1:15" s="2463" customFormat="1" ht="12.75">
      <c r="A408" s="2534"/>
      <c r="B408" s="1269"/>
      <c r="C408" s="4881"/>
      <c r="D408" s="4881"/>
      <c r="E408" s="4876"/>
      <c r="F408" s="4876"/>
      <c r="G408" s="4876"/>
      <c r="H408" s="4876"/>
      <c r="I408" s="2579"/>
      <c r="J408" s="2579"/>
      <c r="K408" s="2579"/>
      <c r="L408" s="2579"/>
      <c r="M408" s="2579"/>
      <c r="N408" s="2579"/>
      <c r="O408" s="2579"/>
    </row>
    <row r="409" spans="1:15" s="2463" customFormat="1" ht="12.75">
      <c r="A409" s="2531"/>
      <c r="B409" s="2533"/>
      <c r="C409" s="4874"/>
      <c r="D409" s="4874"/>
      <c r="E409" s="4875"/>
      <c r="F409" s="4875"/>
      <c r="G409" s="4875"/>
      <c r="H409" s="4875"/>
      <c r="I409" s="2579"/>
      <c r="J409" s="2579"/>
      <c r="K409" s="2579"/>
      <c r="L409" s="2579"/>
      <c r="M409" s="2579"/>
      <c r="N409" s="2579"/>
      <c r="O409" s="2579"/>
    </row>
    <row r="410" spans="1:15" s="2463" customFormat="1" ht="12.75">
      <c r="A410" s="2531"/>
      <c r="B410" s="2533"/>
      <c r="C410" s="2531"/>
      <c r="D410" s="2566"/>
      <c r="E410" s="2566"/>
      <c r="F410" s="2566"/>
      <c r="G410" s="2566"/>
      <c r="H410" s="2566"/>
      <c r="I410" s="2579"/>
      <c r="J410" s="2579"/>
      <c r="K410" s="2579"/>
      <c r="L410" s="2579"/>
      <c r="M410" s="2579"/>
      <c r="N410" s="2579"/>
      <c r="O410" s="2579"/>
    </row>
    <row r="411" spans="1:15" s="2463" customFormat="1" ht="12.75">
      <c r="A411" s="2531"/>
      <c r="B411" s="2533"/>
      <c r="C411" s="2531"/>
      <c r="D411" s="2566"/>
      <c r="E411" s="2566"/>
      <c r="F411" s="2566"/>
      <c r="G411" s="2566"/>
      <c r="H411" s="2566"/>
      <c r="I411" s="2579"/>
      <c r="J411" s="2579"/>
      <c r="K411" s="2579"/>
      <c r="L411" s="2579"/>
      <c r="M411" s="2579"/>
      <c r="N411" s="2579"/>
      <c r="O411" s="2579"/>
    </row>
    <row r="412" spans="1:15" s="2463" customFormat="1" ht="12.75">
      <c r="A412" s="2531"/>
      <c r="B412" s="2533"/>
      <c r="C412" s="2531"/>
      <c r="D412" s="2566"/>
      <c r="E412" s="2566"/>
      <c r="F412" s="2566"/>
      <c r="G412" s="2566"/>
      <c r="H412" s="2566"/>
      <c r="I412" s="2579"/>
      <c r="J412" s="2579"/>
      <c r="K412" s="2579"/>
      <c r="L412" s="2579"/>
      <c r="M412" s="2579"/>
      <c r="N412" s="2579"/>
      <c r="O412" s="2579"/>
    </row>
    <row r="413" spans="1:15" s="2463" customFormat="1" ht="12.75">
      <c r="A413" s="2531"/>
      <c r="B413" s="2533"/>
      <c r="C413" s="2531"/>
      <c r="D413" s="2566"/>
      <c r="E413" s="2566"/>
      <c r="F413" s="2566"/>
      <c r="G413" s="2566"/>
      <c r="H413" s="2566"/>
      <c r="I413" s="2579"/>
      <c r="J413" s="2579"/>
      <c r="K413" s="2579"/>
      <c r="L413" s="2579"/>
      <c r="M413" s="2579"/>
      <c r="N413" s="2579"/>
      <c r="O413" s="2579"/>
    </row>
    <row r="414" spans="1:15" s="2463" customFormat="1" ht="12.75">
      <c r="A414" s="2531"/>
      <c r="B414" s="2533"/>
      <c r="C414" s="2531"/>
      <c r="D414" s="2566"/>
      <c r="E414" s="2566"/>
      <c r="F414" s="2566"/>
      <c r="G414" s="2566"/>
      <c r="H414" s="2566"/>
      <c r="I414" s="2579"/>
      <c r="J414" s="2579"/>
      <c r="K414" s="2579"/>
      <c r="L414" s="2579"/>
      <c r="M414" s="2579"/>
      <c r="N414" s="2579"/>
      <c r="O414" s="2579"/>
    </row>
    <row r="415" spans="1:15" s="2463" customFormat="1" ht="12.75">
      <c r="A415" s="2531"/>
      <c r="B415" s="2533"/>
      <c r="C415" s="2531"/>
      <c r="D415" s="2566"/>
      <c r="E415" s="2566"/>
      <c r="F415" s="2566"/>
      <c r="G415" s="2566"/>
      <c r="H415" s="2566"/>
      <c r="I415" s="2579"/>
      <c r="J415" s="2579"/>
      <c r="K415" s="2579"/>
      <c r="L415" s="2579"/>
      <c r="M415" s="2579"/>
      <c r="N415" s="2579"/>
      <c r="O415" s="2579"/>
    </row>
    <row r="416" spans="1:15" s="2463" customFormat="1" ht="12.75">
      <c r="A416" s="2531"/>
      <c r="B416" s="2533"/>
      <c r="C416" s="2531"/>
      <c r="D416" s="2566"/>
      <c r="E416" s="2566"/>
      <c r="F416" s="2566"/>
      <c r="G416" s="2566"/>
      <c r="H416" s="2566"/>
      <c r="I416" s="2579"/>
      <c r="J416" s="2579"/>
      <c r="K416" s="2579"/>
      <c r="L416" s="2579"/>
      <c r="M416" s="2579"/>
      <c r="N416" s="2579"/>
      <c r="O416" s="2579"/>
    </row>
    <row r="417" spans="1:15" s="2463" customFormat="1" ht="12.75">
      <c r="A417" s="2531"/>
      <c r="B417" s="2533"/>
      <c r="C417" s="2531"/>
      <c r="D417" s="2566"/>
      <c r="E417" s="2566"/>
      <c r="F417" s="2566"/>
      <c r="G417" s="2566"/>
      <c r="H417" s="2566"/>
      <c r="I417" s="2579"/>
      <c r="J417" s="2579"/>
      <c r="K417" s="2579"/>
      <c r="L417" s="2579"/>
      <c r="M417" s="2579"/>
      <c r="N417" s="2579"/>
      <c r="O417" s="2579"/>
    </row>
    <row r="418" spans="1:15" s="2463" customFormat="1" ht="12.75">
      <c r="A418" s="2531"/>
      <c r="B418" s="2533"/>
      <c r="C418" s="2531"/>
      <c r="D418" s="2566"/>
      <c r="E418" s="2566"/>
      <c r="F418" s="2566"/>
      <c r="G418" s="2566"/>
      <c r="H418" s="2566"/>
      <c r="I418" s="2579"/>
      <c r="J418" s="2579"/>
      <c r="K418" s="2579"/>
      <c r="L418" s="2579"/>
      <c r="M418" s="2579"/>
      <c r="N418" s="2579"/>
      <c r="O418" s="2579"/>
    </row>
    <row r="419" spans="1:15" s="2463" customFormat="1" ht="12.75">
      <c r="A419" s="2531"/>
      <c r="B419" s="2533"/>
      <c r="C419" s="2531"/>
      <c r="D419" s="2566"/>
      <c r="E419" s="2566"/>
      <c r="F419" s="2566"/>
      <c r="G419" s="2566"/>
      <c r="H419" s="2566"/>
      <c r="I419" s="2579"/>
      <c r="J419" s="2579"/>
      <c r="K419" s="2579"/>
      <c r="L419" s="2579"/>
      <c r="M419" s="2579"/>
      <c r="N419" s="2579"/>
      <c r="O419" s="2579"/>
    </row>
    <row r="420" spans="1:15" s="2463" customFormat="1" ht="12.75">
      <c r="A420" s="2531"/>
      <c r="B420" s="2533"/>
      <c r="C420" s="2531"/>
      <c r="D420" s="2566"/>
      <c r="E420" s="2566"/>
      <c r="F420" s="2566"/>
      <c r="G420" s="2566"/>
      <c r="H420" s="2566"/>
      <c r="I420" s="2579"/>
      <c r="J420" s="2579"/>
      <c r="K420" s="2579"/>
      <c r="L420" s="2579"/>
      <c r="M420" s="2579"/>
      <c r="N420" s="2579"/>
      <c r="O420" s="2579"/>
    </row>
    <row r="421" spans="1:15" s="2463" customFormat="1" ht="12.75">
      <c r="A421" s="2531"/>
      <c r="B421" s="2533"/>
      <c r="C421" s="2531"/>
      <c r="D421" s="2566"/>
      <c r="E421" s="2566"/>
      <c r="F421" s="2566"/>
      <c r="G421" s="2566"/>
      <c r="H421" s="2566"/>
      <c r="I421" s="2579"/>
      <c r="J421" s="2579"/>
      <c r="K421" s="2579"/>
      <c r="L421" s="2579"/>
      <c r="M421" s="2579"/>
      <c r="N421" s="2579"/>
      <c r="O421" s="2579"/>
    </row>
    <row r="422" spans="1:15" s="2463" customFormat="1" ht="12.75">
      <c r="A422" s="2531"/>
      <c r="B422" s="2533"/>
      <c r="C422" s="2531"/>
      <c r="D422" s="2566"/>
      <c r="E422" s="2566"/>
      <c r="F422" s="2566"/>
      <c r="G422" s="2566"/>
      <c r="H422" s="2566"/>
      <c r="I422" s="2579"/>
      <c r="J422" s="2579"/>
      <c r="K422" s="2579"/>
      <c r="L422" s="2579"/>
      <c r="M422" s="2579"/>
      <c r="N422" s="2579"/>
      <c r="O422" s="2579"/>
    </row>
    <row r="423" spans="1:15" s="2463" customFormat="1" ht="12.75">
      <c r="A423" s="2531"/>
      <c r="B423" s="2533"/>
      <c r="C423" s="2531"/>
      <c r="D423" s="2566"/>
      <c r="E423" s="2566"/>
      <c r="F423" s="2566"/>
      <c r="G423" s="2566"/>
      <c r="H423" s="2566"/>
      <c r="I423" s="2579"/>
      <c r="J423" s="2579"/>
      <c r="K423" s="2579"/>
      <c r="L423" s="2579"/>
      <c r="M423" s="2579"/>
      <c r="N423" s="2579"/>
      <c r="O423" s="2579"/>
    </row>
    <row r="424" spans="1:15" s="2463" customFormat="1" ht="12.75">
      <c r="A424" s="2531"/>
      <c r="B424" s="2533"/>
      <c r="C424" s="2531"/>
      <c r="D424" s="2566"/>
      <c r="E424" s="2566"/>
      <c r="F424" s="2566"/>
      <c r="G424" s="2566"/>
      <c r="H424" s="2566"/>
      <c r="I424" s="2579"/>
      <c r="J424" s="2579"/>
      <c r="K424" s="2579"/>
      <c r="L424" s="2579"/>
      <c r="M424" s="2579"/>
      <c r="N424" s="2579"/>
      <c r="O424" s="2579"/>
    </row>
    <row r="425" spans="1:15" s="2463" customFormat="1" ht="12.75">
      <c r="A425" s="2531"/>
      <c r="B425" s="2533"/>
      <c r="C425" s="2531"/>
      <c r="D425" s="2566"/>
      <c r="E425" s="2566"/>
      <c r="F425" s="2566"/>
      <c r="G425" s="2566"/>
      <c r="H425" s="2566"/>
      <c r="I425" s="2579"/>
      <c r="J425" s="2579"/>
      <c r="K425" s="2579"/>
      <c r="L425" s="2579"/>
      <c r="M425" s="2579"/>
      <c r="N425" s="2579"/>
      <c r="O425" s="2579"/>
    </row>
    <row r="426" spans="1:15" s="2463" customFormat="1" ht="12.75">
      <c r="A426" s="2531"/>
      <c r="B426" s="2533"/>
      <c r="C426" s="2531"/>
      <c r="D426" s="2566"/>
      <c r="E426" s="2566"/>
      <c r="F426" s="2566"/>
      <c r="G426" s="2566"/>
      <c r="H426" s="2566"/>
      <c r="I426" s="2579"/>
      <c r="J426" s="2579"/>
      <c r="K426" s="2579"/>
      <c r="L426" s="2579"/>
      <c r="M426" s="2579"/>
      <c r="N426" s="2579"/>
      <c r="O426" s="2579"/>
    </row>
    <row r="427" spans="1:15" s="2463" customFormat="1" ht="12.75">
      <c r="A427" s="2531"/>
      <c r="B427" s="2533"/>
      <c r="C427" s="2531"/>
      <c r="D427" s="2566"/>
      <c r="E427" s="2566"/>
      <c r="F427" s="2566"/>
      <c r="G427" s="2566"/>
      <c r="H427" s="2566"/>
      <c r="I427" s="2579"/>
      <c r="J427" s="2579"/>
      <c r="K427" s="2579"/>
      <c r="L427" s="2579"/>
      <c r="M427" s="2579"/>
      <c r="N427" s="2579"/>
      <c r="O427" s="2579"/>
    </row>
    <row r="428" spans="1:15" s="2463" customFormat="1" ht="12.75">
      <c r="A428" s="2531"/>
      <c r="B428" s="2533"/>
      <c r="C428" s="2531"/>
      <c r="D428" s="2566"/>
      <c r="E428" s="2566"/>
      <c r="F428" s="2566"/>
      <c r="G428" s="2566"/>
      <c r="H428" s="2566"/>
      <c r="I428" s="2579"/>
      <c r="J428" s="2579"/>
      <c r="K428" s="2579"/>
      <c r="L428" s="2579"/>
      <c r="M428" s="2579"/>
      <c r="N428" s="2579"/>
      <c r="O428" s="2579"/>
    </row>
    <row r="429" spans="1:15" s="2463" customFormat="1">
      <c r="A429" s="2529"/>
      <c r="B429" s="2529"/>
      <c r="C429" s="2529"/>
      <c r="D429" s="2529"/>
      <c r="E429" s="2529"/>
      <c r="F429" s="2529"/>
      <c r="G429" s="2529"/>
      <c r="H429" s="2529"/>
      <c r="I429" s="2579"/>
      <c r="J429" s="2579"/>
      <c r="K429" s="2579"/>
      <c r="L429" s="2579"/>
      <c r="M429" s="2579"/>
      <c r="N429" s="2579"/>
      <c r="O429" s="2579"/>
    </row>
    <row r="430" spans="1:15" s="2463" customFormat="1">
      <c r="A430" s="2529"/>
      <c r="B430" s="2529"/>
      <c r="C430" s="2529"/>
      <c r="D430" s="2529"/>
      <c r="E430" s="2529"/>
      <c r="F430" s="2529"/>
      <c r="G430" s="2529"/>
      <c r="H430" s="2529"/>
      <c r="I430" s="2579"/>
      <c r="J430" s="2579"/>
      <c r="K430" s="2579"/>
      <c r="L430" s="2579"/>
      <c r="M430" s="2579"/>
      <c r="N430" s="2579"/>
      <c r="O430" s="2579"/>
    </row>
    <row r="431" spans="1:15" s="2463" customFormat="1">
      <c r="A431" s="2529"/>
      <c r="B431" s="2529"/>
      <c r="C431" s="2529"/>
      <c r="D431" s="2529"/>
      <c r="E431" s="2529"/>
      <c r="F431" s="2529"/>
      <c r="G431" s="2529"/>
      <c r="H431" s="2529"/>
      <c r="I431" s="2579"/>
      <c r="J431" s="2579"/>
      <c r="K431" s="2579"/>
      <c r="L431" s="2579"/>
      <c r="M431" s="2579"/>
      <c r="N431" s="2579"/>
      <c r="O431" s="2579"/>
    </row>
    <row r="432" spans="1:15">
      <c r="A432" s="4876"/>
      <c r="B432" s="4876"/>
      <c r="C432" s="4876"/>
      <c r="D432" s="4876"/>
      <c r="E432" s="4876"/>
      <c r="F432" s="4876"/>
      <c r="G432" s="4876"/>
      <c r="H432" s="4876"/>
    </row>
    <row r="433" spans="1:15">
      <c r="A433" s="4877"/>
      <c r="B433" s="4877"/>
      <c r="C433" s="4877"/>
      <c r="D433" s="4877"/>
      <c r="E433" s="4877"/>
      <c r="F433" s="4877"/>
      <c r="G433" s="4877"/>
      <c r="H433" s="4877"/>
    </row>
    <row r="434" spans="1:15">
      <c r="A434" s="2529"/>
      <c r="B434" s="2529"/>
      <c r="C434" s="2529"/>
      <c r="D434" s="2529"/>
      <c r="E434" s="2529"/>
      <c r="F434" s="2529"/>
      <c r="G434" s="2529"/>
      <c r="H434" s="2529"/>
    </row>
    <row r="435" spans="1:15">
      <c r="A435" s="2568"/>
      <c r="B435" s="2567"/>
      <c r="C435" s="2529"/>
      <c r="D435" s="2566"/>
      <c r="E435" s="2566"/>
      <c r="F435" s="2566"/>
      <c r="G435" s="2566"/>
      <c r="H435" s="2566"/>
    </row>
    <row r="436" spans="1:15">
      <c r="A436" s="1269"/>
      <c r="B436" s="1269"/>
      <c r="C436" s="2542"/>
      <c r="D436" s="2541"/>
      <c r="E436" s="2561"/>
      <c r="F436" s="2540"/>
      <c r="G436" s="2565"/>
      <c r="H436" s="2561"/>
    </row>
    <row r="437" spans="1:15" ht="23.25">
      <c r="A437" s="2564"/>
      <c r="B437" s="2564"/>
      <c r="C437" s="2563"/>
      <c r="D437" s="2541"/>
      <c r="E437" s="2561"/>
      <c r="F437" s="2540"/>
      <c r="G437" s="2562"/>
      <c r="H437" s="2561"/>
    </row>
    <row r="438" spans="1:15" s="2463" customFormat="1" ht="12.75">
      <c r="A438" s="4879"/>
      <c r="B438" s="4879"/>
      <c r="C438" s="2559"/>
      <c r="D438" s="2560"/>
      <c r="E438" s="4880"/>
      <c r="F438" s="4880"/>
      <c r="G438" s="4880"/>
      <c r="H438" s="2557"/>
      <c r="I438" s="2579"/>
      <c r="J438" s="2579"/>
      <c r="K438" s="2579"/>
      <c r="L438" s="2579"/>
      <c r="M438" s="2579"/>
      <c r="N438" s="2579"/>
      <c r="O438" s="2579"/>
    </row>
    <row r="439" spans="1:15" s="2463" customFormat="1" ht="12.75">
      <c r="A439" s="4879"/>
      <c r="B439" s="4879"/>
      <c r="C439" s="2559"/>
      <c r="D439" s="2558"/>
      <c r="E439" s="2558"/>
      <c r="F439" s="2558"/>
      <c r="G439" s="2558"/>
      <c r="H439" s="2558"/>
      <c r="I439" s="2579"/>
      <c r="J439" s="2579"/>
      <c r="K439" s="2579"/>
      <c r="L439" s="2579"/>
      <c r="M439" s="2579"/>
      <c r="N439" s="2579"/>
      <c r="O439" s="2579"/>
    </row>
    <row r="440" spans="1:15" s="2463" customFormat="1" ht="12.75">
      <c r="A440" s="4879"/>
      <c r="B440" s="4879"/>
      <c r="C440" s="2557"/>
      <c r="D440" s="2555"/>
      <c r="E440" s="2555"/>
      <c r="F440" s="2555"/>
      <c r="G440" s="2556"/>
      <c r="H440" s="2555"/>
      <c r="I440" s="2579"/>
      <c r="J440" s="2579"/>
      <c r="K440" s="2579"/>
      <c r="L440" s="2579"/>
      <c r="M440" s="2579"/>
      <c r="N440" s="2579"/>
      <c r="O440" s="2579"/>
    </row>
    <row r="441" spans="1:15" s="2463" customFormat="1" ht="12.75">
      <c r="A441" s="2554"/>
      <c r="B441" s="2553"/>
      <c r="C441" s="2552"/>
      <c r="D441" s="2551"/>
      <c r="E441" s="2551"/>
      <c r="F441" s="2551"/>
      <c r="G441" s="2551"/>
      <c r="H441" s="2551"/>
      <c r="I441" s="2579"/>
      <c r="J441" s="2579"/>
      <c r="K441" s="2579"/>
      <c r="L441" s="2579"/>
      <c r="M441" s="2579"/>
      <c r="N441" s="2579"/>
      <c r="O441" s="2579"/>
    </row>
    <row r="442" spans="1:15" s="2463" customFormat="1" ht="12.75">
      <c r="A442" s="2549"/>
      <c r="B442" s="2549"/>
      <c r="C442" s="2542"/>
      <c r="D442" s="2548"/>
      <c r="E442" s="2548"/>
      <c r="F442" s="2540"/>
      <c r="G442" s="2548"/>
      <c r="H442" s="2548"/>
      <c r="I442" s="2579"/>
      <c r="J442" s="2579"/>
      <c r="K442" s="2579"/>
      <c r="L442" s="2579"/>
      <c r="M442" s="2579"/>
      <c r="N442" s="2579"/>
      <c r="O442" s="2579"/>
    </row>
    <row r="443" spans="1:15" s="2463" customFormat="1" ht="12.75">
      <c r="A443" s="2549"/>
      <c r="B443" s="2549"/>
      <c r="C443" s="2545"/>
      <c r="D443" s="2548"/>
      <c r="E443" s="2548"/>
      <c r="F443" s="2540"/>
      <c r="G443" s="2548"/>
      <c r="H443" s="2548"/>
      <c r="I443" s="2579"/>
      <c r="J443" s="2579"/>
      <c r="K443" s="2579"/>
      <c r="L443" s="2579"/>
      <c r="M443" s="2579"/>
      <c r="N443" s="2579"/>
      <c r="O443" s="2579"/>
    </row>
    <row r="444" spans="1:15" s="2463" customFormat="1" ht="12.75">
      <c r="A444" s="2547"/>
      <c r="B444" s="2546"/>
      <c r="C444" s="2545"/>
      <c r="D444" s="2541"/>
      <c r="E444" s="2544"/>
      <c r="F444" s="2540"/>
      <c r="G444" s="2544"/>
      <c r="H444" s="2544"/>
      <c r="I444" s="2579"/>
      <c r="J444" s="2579"/>
      <c r="K444" s="2579"/>
      <c r="L444" s="2579"/>
      <c r="M444" s="2579"/>
      <c r="N444" s="2579"/>
      <c r="O444" s="2579"/>
    </row>
    <row r="445" spans="1:15" s="2463" customFormat="1" ht="12.75">
      <c r="A445" s="2543"/>
      <c r="B445" s="2543"/>
      <c r="C445" s="2542"/>
      <c r="D445" s="2541"/>
      <c r="E445" s="2539"/>
      <c r="F445" s="2540"/>
      <c r="G445" s="2539"/>
      <c r="H445" s="2539"/>
      <c r="I445" s="2579"/>
      <c r="J445" s="2579"/>
      <c r="K445" s="2579"/>
      <c r="L445" s="2579"/>
      <c r="M445" s="2579"/>
      <c r="N445" s="2579"/>
      <c r="O445" s="2579"/>
    </row>
    <row r="446" spans="1:15" s="2463" customFormat="1" ht="12.75">
      <c r="A446" s="2538"/>
      <c r="B446" s="2538"/>
      <c r="C446" s="2537"/>
      <c r="D446" s="2536"/>
      <c r="E446" s="2536"/>
      <c r="F446" s="2536"/>
      <c r="G446" s="2536"/>
      <c r="H446" s="2536"/>
      <c r="I446" s="2579"/>
      <c r="J446" s="2579"/>
      <c r="K446" s="2579"/>
      <c r="L446" s="2579"/>
      <c r="M446" s="2579"/>
      <c r="N446" s="2579"/>
      <c r="O446" s="2579"/>
    </row>
    <row r="447" spans="1:15" s="2463" customFormat="1" ht="12.75">
      <c r="A447" s="2538"/>
      <c r="B447" s="2538"/>
      <c r="C447" s="2537"/>
      <c r="D447" s="2536"/>
      <c r="E447" s="2536"/>
      <c r="F447" s="2536"/>
      <c r="G447" s="2536"/>
      <c r="H447" s="2536"/>
      <c r="I447" s="2579"/>
      <c r="J447" s="2579"/>
      <c r="K447" s="2579"/>
      <c r="L447" s="2579"/>
      <c r="M447" s="2579"/>
      <c r="N447" s="2579"/>
      <c r="O447" s="2579"/>
    </row>
    <row r="448" spans="1:15" s="2463" customFormat="1">
      <c r="A448" s="1269"/>
      <c r="B448" s="2529"/>
      <c r="C448" s="2535"/>
      <c r="D448" s="2529"/>
      <c r="E448" s="4877"/>
      <c r="F448" s="4877"/>
      <c r="G448" s="1269"/>
      <c r="H448" s="2529"/>
      <c r="I448" s="2579"/>
      <c r="J448" s="2579"/>
      <c r="K448" s="2579"/>
      <c r="L448" s="2579"/>
      <c r="M448" s="2579"/>
      <c r="N448" s="2579"/>
      <c r="O448" s="2579"/>
    </row>
    <row r="449" spans="1:15" s="2463" customFormat="1">
      <c r="A449" s="2529"/>
      <c r="B449" s="1269"/>
      <c r="C449" s="2535"/>
      <c r="D449" s="1269"/>
      <c r="E449" s="1269"/>
      <c r="F449" s="1269"/>
      <c r="G449" s="1269"/>
      <c r="H449" s="2529"/>
      <c r="I449" s="2579"/>
      <c r="J449" s="2579"/>
      <c r="K449" s="2579"/>
      <c r="L449" s="2579"/>
      <c r="M449" s="2579"/>
      <c r="N449" s="2579"/>
      <c r="O449" s="2579"/>
    </row>
    <row r="450" spans="1:15" s="2463" customFormat="1" ht="12.75">
      <c r="A450" s="2534"/>
      <c r="B450" s="1269"/>
      <c r="C450" s="4881"/>
      <c r="D450" s="4881"/>
      <c r="E450" s="4876"/>
      <c r="F450" s="4876"/>
      <c r="G450" s="4876"/>
      <c r="H450" s="4876"/>
      <c r="I450" s="2579"/>
      <c r="J450" s="2579"/>
      <c r="K450" s="2579"/>
      <c r="L450" s="2579"/>
      <c r="M450" s="2579"/>
      <c r="N450" s="2579"/>
      <c r="O450" s="2579"/>
    </row>
    <row r="451" spans="1:15" s="2463" customFormat="1" ht="12.75">
      <c r="A451" s="2531"/>
      <c r="B451" s="2533"/>
      <c r="C451" s="4874"/>
      <c r="D451" s="4874"/>
      <c r="E451" s="4875"/>
      <c r="F451" s="4875"/>
      <c r="G451" s="4875"/>
      <c r="H451" s="4875"/>
      <c r="I451" s="2579"/>
      <c r="J451" s="2579"/>
      <c r="K451" s="2579"/>
      <c r="L451" s="2579"/>
      <c r="M451" s="2579"/>
      <c r="N451" s="2579"/>
      <c r="O451" s="2579"/>
    </row>
    <row r="452" spans="1:15" s="2463" customFormat="1" ht="12.75">
      <c r="A452" s="2531"/>
      <c r="B452" s="2533"/>
      <c r="C452" s="2531"/>
      <c r="D452" s="2566"/>
      <c r="E452" s="2566"/>
      <c r="F452" s="2566"/>
      <c r="G452" s="2566"/>
      <c r="H452" s="2566"/>
      <c r="I452" s="2579"/>
      <c r="J452" s="2579"/>
      <c r="K452" s="2579"/>
      <c r="L452" s="2579"/>
      <c r="M452" s="2579"/>
      <c r="N452" s="2579"/>
      <c r="O452" s="2579"/>
    </row>
    <row r="453" spans="1:15" s="2463" customFormat="1" ht="12.75">
      <c r="A453" s="2531"/>
      <c r="B453" s="2533"/>
      <c r="C453" s="2531"/>
      <c r="D453" s="2566"/>
      <c r="E453" s="2566"/>
      <c r="F453" s="2566"/>
      <c r="G453" s="2566"/>
      <c r="H453" s="2566"/>
      <c r="I453" s="2579"/>
      <c r="J453" s="2579"/>
      <c r="K453" s="2579"/>
      <c r="L453" s="2579"/>
      <c r="M453" s="2579"/>
      <c r="N453" s="2579"/>
      <c r="O453" s="2579"/>
    </row>
    <row r="454" spans="1:15" s="2463" customFormat="1" ht="12.75">
      <c r="A454" s="2531"/>
      <c r="B454" s="2533"/>
      <c r="C454" s="2531"/>
      <c r="D454" s="2566"/>
      <c r="E454" s="2566"/>
      <c r="F454" s="2566"/>
      <c r="G454" s="2566"/>
      <c r="H454" s="2566"/>
      <c r="I454" s="2579"/>
      <c r="J454" s="2579"/>
      <c r="K454" s="2579"/>
      <c r="L454" s="2579"/>
      <c r="M454" s="2579"/>
      <c r="N454" s="2579"/>
      <c r="O454" s="2579"/>
    </row>
    <row r="455" spans="1:15" s="2463" customFormat="1" ht="7.5" customHeight="1">
      <c r="B455" s="2464"/>
      <c r="D455" s="2465"/>
      <c r="E455" s="2465"/>
      <c r="F455" s="2465"/>
      <c r="G455" s="2465"/>
      <c r="H455" s="2465"/>
      <c r="I455" s="2579"/>
      <c r="J455" s="2579"/>
      <c r="K455" s="2579"/>
      <c r="L455" s="2579"/>
      <c r="M455" s="2579"/>
      <c r="N455" s="2579"/>
      <c r="O455" s="2579"/>
    </row>
    <row r="456" spans="1:15" s="2463" customFormat="1" ht="7.5" customHeight="1">
      <c r="B456" s="2464"/>
      <c r="D456" s="2465"/>
      <c r="E456" s="2465"/>
      <c r="F456" s="2465"/>
      <c r="G456" s="2465"/>
      <c r="H456" s="2465"/>
      <c r="I456" s="2579"/>
      <c r="J456" s="2579"/>
      <c r="K456" s="2579"/>
      <c r="L456" s="2579"/>
      <c r="M456" s="2579"/>
      <c r="N456" s="2579"/>
      <c r="O456" s="2579"/>
    </row>
    <row r="457" spans="1:15" s="2463" customFormat="1" ht="7.5" customHeight="1">
      <c r="B457" s="2464"/>
      <c r="D457" s="2465"/>
      <c r="E457" s="2465"/>
      <c r="F457" s="2465"/>
      <c r="G457" s="2465"/>
      <c r="H457" s="2465"/>
      <c r="I457" s="2579"/>
      <c r="J457" s="2579"/>
      <c r="K457" s="2579"/>
      <c r="L457" s="2579"/>
      <c r="M457" s="2579"/>
      <c r="N457" s="2579"/>
      <c r="O457" s="2579"/>
    </row>
    <row r="458" spans="1:15" s="2463" customFormat="1" ht="7.5" customHeight="1">
      <c r="B458" s="2464"/>
      <c r="D458" s="2465"/>
      <c r="E458" s="2465"/>
      <c r="F458" s="2465"/>
      <c r="G458" s="2465"/>
      <c r="H458" s="2465"/>
      <c r="I458" s="2579"/>
      <c r="J458" s="2579"/>
      <c r="K458" s="2579"/>
      <c r="L458" s="2579"/>
      <c r="M458" s="2579"/>
      <c r="N458" s="2579"/>
      <c r="O458" s="2579"/>
    </row>
    <row r="459" spans="1:15" s="2463" customFormat="1" ht="7.5" customHeight="1">
      <c r="B459" s="2464"/>
      <c r="D459" s="2465"/>
      <c r="E459" s="2465"/>
      <c r="F459" s="2465"/>
      <c r="G459" s="2465"/>
      <c r="H459" s="2465"/>
      <c r="I459" s="2579"/>
      <c r="J459" s="2579"/>
      <c r="K459" s="2579"/>
      <c r="L459" s="2579"/>
      <c r="M459" s="2579"/>
      <c r="N459" s="2579"/>
      <c r="O459" s="2579"/>
    </row>
    <row r="460" spans="1:15" s="2463" customFormat="1" ht="7.5" customHeight="1">
      <c r="B460" s="2464"/>
      <c r="D460" s="2465"/>
      <c r="E460" s="2465"/>
      <c r="F460" s="2465"/>
      <c r="G460" s="2465"/>
      <c r="H460" s="2465"/>
      <c r="I460" s="2579"/>
      <c r="J460" s="2579"/>
      <c r="K460" s="2579"/>
      <c r="L460" s="2579"/>
      <c r="M460" s="2579"/>
      <c r="N460" s="2579"/>
      <c r="O460" s="2579"/>
    </row>
    <row r="461" spans="1:15" s="2463" customFormat="1" ht="7.5" customHeight="1">
      <c r="B461" s="2464"/>
      <c r="D461" s="2465"/>
      <c r="E461" s="2465"/>
      <c r="F461" s="2465"/>
      <c r="G461" s="2465"/>
      <c r="H461" s="2465"/>
      <c r="I461" s="2579"/>
      <c r="J461" s="2579"/>
      <c r="K461" s="2579"/>
      <c r="L461" s="2579"/>
      <c r="M461" s="2579"/>
      <c r="N461" s="2579"/>
      <c r="O461" s="2579"/>
    </row>
    <row r="462" spans="1:15" s="2463" customFormat="1" ht="7.5" customHeight="1">
      <c r="B462" s="2464"/>
      <c r="D462" s="2465"/>
      <c r="E462" s="2465"/>
      <c r="F462" s="2465"/>
      <c r="G462" s="2465"/>
      <c r="H462" s="2465"/>
      <c r="I462" s="2579"/>
      <c r="J462" s="2579"/>
      <c r="K462" s="2579"/>
      <c r="L462" s="2579"/>
      <c r="M462" s="2579"/>
      <c r="N462" s="2579"/>
      <c r="O462" s="2579"/>
    </row>
    <row r="463" spans="1:15" s="2463" customFormat="1" ht="7.5" customHeight="1">
      <c r="B463" s="2464"/>
      <c r="D463" s="2465"/>
      <c r="E463" s="2465"/>
      <c r="F463" s="2465"/>
      <c r="G463" s="2465"/>
      <c r="H463" s="2465"/>
      <c r="I463" s="2579"/>
      <c r="J463" s="2579"/>
      <c r="K463" s="2579"/>
      <c r="L463" s="2579"/>
      <c r="M463" s="2579"/>
      <c r="N463" s="2579"/>
      <c r="O463" s="2579"/>
    </row>
    <row r="464" spans="1:15" s="2463" customFormat="1" ht="7.5" customHeight="1">
      <c r="B464" s="2464"/>
      <c r="D464" s="2465"/>
      <c r="E464" s="2465"/>
      <c r="F464" s="2465"/>
      <c r="G464" s="2465"/>
      <c r="H464" s="2465"/>
      <c r="I464" s="2579"/>
      <c r="J464" s="2579"/>
      <c r="K464" s="2579"/>
      <c r="L464" s="2579"/>
      <c r="M464" s="2579"/>
      <c r="N464" s="2579"/>
      <c r="O464" s="2579"/>
    </row>
    <row r="465" spans="2:15" s="2463" customFormat="1" ht="7.5" customHeight="1">
      <c r="B465" s="2464"/>
      <c r="D465" s="2465"/>
      <c r="E465" s="2465"/>
      <c r="F465" s="2465"/>
      <c r="G465" s="2465"/>
      <c r="H465" s="2465"/>
      <c r="I465" s="2579"/>
      <c r="J465" s="2579"/>
      <c r="K465" s="2579"/>
      <c r="L465" s="2579"/>
      <c r="M465" s="2579"/>
      <c r="N465" s="2579"/>
      <c r="O465" s="2579"/>
    </row>
    <row r="466" spans="2:15" s="2463" customFormat="1" ht="7.5" customHeight="1">
      <c r="B466" s="2464"/>
      <c r="D466" s="2465"/>
      <c r="E466" s="2465"/>
      <c r="F466" s="2465"/>
      <c r="G466" s="2465"/>
      <c r="H466" s="2465"/>
      <c r="I466" s="2579"/>
      <c r="J466" s="2579"/>
      <c r="K466" s="2579"/>
      <c r="L466" s="2579"/>
      <c r="M466" s="2579"/>
      <c r="N466" s="2579"/>
      <c r="O466" s="2579"/>
    </row>
    <row r="467" spans="2:15" s="2463" customFormat="1" ht="7.5" customHeight="1">
      <c r="B467" s="2464"/>
      <c r="D467" s="2465"/>
      <c r="E467" s="2465"/>
      <c r="F467" s="2465"/>
      <c r="G467" s="2465"/>
      <c r="H467" s="2465"/>
      <c r="I467" s="2579"/>
      <c r="J467" s="2579"/>
      <c r="K467" s="2579"/>
      <c r="L467" s="2579"/>
      <c r="M467" s="2579"/>
      <c r="N467" s="2579"/>
      <c r="O467" s="2579"/>
    </row>
    <row r="468" spans="2:15" s="2463" customFormat="1" ht="7.5" customHeight="1">
      <c r="B468" s="2464"/>
      <c r="D468" s="2465"/>
      <c r="E468" s="2465"/>
      <c r="F468" s="2465"/>
      <c r="G468" s="2465"/>
      <c r="H468" s="2465"/>
      <c r="I468" s="2579"/>
      <c r="J468" s="2579"/>
      <c r="K468" s="2579"/>
      <c r="L468" s="2579"/>
      <c r="M468" s="2579"/>
      <c r="N468" s="2579"/>
      <c r="O468" s="2579"/>
    </row>
    <row r="469" spans="2:15" s="2463" customFormat="1" ht="7.5" customHeight="1">
      <c r="B469" s="2464"/>
      <c r="D469" s="2465"/>
      <c r="E469" s="2465"/>
      <c r="F469" s="2465"/>
      <c r="G469" s="2465"/>
      <c r="H469" s="2465"/>
      <c r="I469" s="2579"/>
      <c r="J469" s="2579"/>
      <c r="K469" s="2579"/>
      <c r="L469" s="2579"/>
      <c r="M469" s="2579"/>
      <c r="N469" s="2579"/>
      <c r="O469" s="2579"/>
    </row>
    <row r="470" spans="2:15" s="2463" customFormat="1" ht="7.5" customHeight="1">
      <c r="B470" s="2464"/>
      <c r="D470" s="2465"/>
      <c r="E470" s="2465"/>
      <c r="F470" s="2465"/>
      <c r="G470" s="2465"/>
      <c r="H470" s="2465"/>
      <c r="I470" s="2579"/>
      <c r="J470" s="2579"/>
      <c r="K470" s="2579"/>
      <c r="L470" s="2579"/>
      <c r="M470" s="2579"/>
      <c r="N470" s="2579"/>
      <c r="O470" s="2579"/>
    </row>
    <row r="471" spans="2:15" s="2463" customFormat="1" ht="7.5" customHeight="1">
      <c r="B471" s="2464"/>
      <c r="D471" s="2465"/>
      <c r="E471" s="2465"/>
      <c r="F471" s="2465"/>
      <c r="G471" s="2465"/>
      <c r="H471" s="2465"/>
      <c r="I471" s="2579"/>
      <c r="J471" s="2579"/>
      <c r="K471" s="2579"/>
      <c r="L471" s="2579"/>
      <c r="M471" s="2579"/>
      <c r="N471" s="2579"/>
      <c r="O471" s="2579"/>
    </row>
    <row r="472" spans="2:15" s="2463" customFormat="1" ht="7.5" customHeight="1">
      <c r="B472" s="2464"/>
      <c r="D472" s="2465"/>
      <c r="E472" s="2465"/>
      <c r="F472" s="2465"/>
      <c r="G472" s="2465"/>
      <c r="H472" s="2465"/>
      <c r="I472" s="2579"/>
      <c r="J472" s="2579"/>
      <c r="K472" s="2579"/>
      <c r="L472" s="2579"/>
      <c r="M472" s="2579"/>
      <c r="N472" s="2579"/>
      <c r="O472" s="2579"/>
    </row>
    <row r="473" spans="2:15" s="2463" customFormat="1" ht="7.5" customHeight="1">
      <c r="B473" s="2464"/>
      <c r="D473" s="2465"/>
      <c r="E473" s="2465"/>
      <c r="F473" s="2465"/>
      <c r="G473" s="2465"/>
      <c r="H473" s="2465"/>
      <c r="I473" s="2579"/>
      <c r="J473" s="2579"/>
      <c r="K473" s="2579"/>
      <c r="L473" s="2579"/>
      <c r="M473" s="2579"/>
      <c r="N473" s="2579"/>
      <c r="O473" s="2579"/>
    </row>
    <row r="474" spans="2:15" s="2463" customFormat="1" ht="7.5" customHeight="1">
      <c r="B474" s="2464"/>
      <c r="D474" s="2465"/>
      <c r="E474" s="2465"/>
      <c r="F474" s="2465"/>
      <c r="G474" s="2465"/>
      <c r="H474" s="2465"/>
      <c r="I474" s="2579"/>
      <c r="J474" s="2579"/>
      <c r="K474" s="2579"/>
      <c r="L474" s="2579"/>
      <c r="M474" s="2579"/>
      <c r="N474" s="2579"/>
      <c r="O474" s="2579"/>
    </row>
    <row r="475" spans="2:15" s="2463" customFormat="1" ht="7.5" customHeight="1">
      <c r="B475" s="2464"/>
      <c r="D475" s="2465"/>
      <c r="E475" s="2465"/>
      <c r="F475" s="2465"/>
      <c r="G475" s="2465"/>
      <c r="H475" s="2465"/>
      <c r="I475" s="2579"/>
      <c r="J475" s="2579"/>
      <c r="K475" s="2579"/>
      <c r="L475" s="2579"/>
      <c r="M475" s="2579"/>
      <c r="N475" s="2579"/>
      <c r="O475" s="2579"/>
    </row>
    <row r="476" spans="2:15" s="2463" customFormat="1" ht="7.5" customHeight="1">
      <c r="B476" s="2464"/>
      <c r="D476" s="2465"/>
      <c r="E476" s="2465"/>
      <c r="F476" s="2465"/>
      <c r="G476" s="2465"/>
      <c r="H476" s="2465"/>
      <c r="I476" s="2579"/>
      <c r="J476" s="2579"/>
      <c r="K476" s="2579"/>
      <c r="L476" s="2579"/>
      <c r="M476" s="2579"/>
      <c r="N476" s="2579"/>
      <c r="O476" s="2579"/>
    </row>
    <row r="477" spans="2:15" s="2463" customFormat="1" ht="7.5" customHeight="1">
      <c r="B477" s="2464"/>
      <c r="D477" s="2465"/>
      <c r="E477" s="2465"/>
      <c r="F477" s="2465"/>
      <c r="G477" s="2465"/>
      <c r="H477" s="2465"/>
      <c r="I477" s="2579"/>
      <c r="J477" s="2579"/>
      <c r="K477" s="2579"/>
      <c r="L477" s="2579"/>
      <c r="M477" s="2579"/>
      <c r="N477" s="2579"/>
      <c r="O477" s="2579"/>
    </row>
    <row r="478" spans="2:15" s="2463" customFormat="1" ht="7.5" customHeight="1">
      <c r="B478" s="2464"/>
      <c r="D478" s="2465"/>
      <c r="E478" s="2465"/>
      <c r="F478" s="2465"/>
      <c r="G478" s="2465"/>
      <c r="H478" s="2465"/>
      <c r="I478" s="2579"/>
      <c r="J478" s="2579"/>
      <c r="K478" s="2579"/>
      <c r="L478" s="2579"/>
      <c r="M478" s="2579"/>
      <c r="N478" s="2579"/>
      <c r="O478" s="2579"/>
    </row>
    <row r="479" spans="2:15" s="2463" customFormat="1" ht="7.5" customHeight="1">
      <c r="B479" s="2464"/>
      <c r="D479" s="2465"/>
      <c r="E479" s="2465"/>
      <c r="F479" s="2465"/>
      <c r="G479" s="2465"/>
      <c r="H479" s="2465"/>
      <c r="I479" s="2579"/>
      <c r="J479" s="2579"/>
      <c r="K479" s="2579"/>
      <c r="L479" s="2579"/>
      <c r="M479" s="2579"/>
      <c r="N479" s="2579"/>
      <c r="O479" s="2579"/>
    </row>
    <row r="480" spans="2:15" s="2463" customFormat="1" ht="7.5" customHeight="1">
      <c r="B480" s="2464"/>
      <c r="D480" s="2465"/>
      <c r="E480" s="2465"/>
      <c r="F480" s="2465"/>
      <c r="G480" s="2465"/>
      <c r="H480" s="2465"/>
      <c r="I480" s="2579"/>
      <c r="J480" s="2579"/>
      <c r="K480" s="2579"/>
      <c r="L480" s="2579"/>
      <c r="M480" s="2579"/>
      <c r="N480" s="2579"/>
      <c r="O480" s="2579"/>
    </row>
    <row r="481" spans="1:15" s="2463" customFormat="1" ht="7.5" customHeight="1">
      <c r="B481" s="2464"/>
      <c r="D481" s="2465"/>
      <c r="E481" s="2465"/>
      <c r="F481" s="2465"/>
      <c r="G481" s="2465"/>
      <c r="H481" s="2465"/>
      <c r="I481" s="2579"/>
      <c r="J481" s="2579"/>
      <c r="K481" s="2579"/>
      <c r="L481" s="2579"/>
      <c r="M481" s="2579"/>
      <c r="N481" s="2579"/>
      <c r="O481" s="2579"/>
    </row>
    <row r="482" spans="1:15" s="2463" customFormat="1" ht="7.5" customHeight="1">
      <c r="B482" s="2464"/>
      <c r="D482" s="2465"/>
      <c r="E482" s="2465"/>
      <c r="F482" s="2465"/>
      <c r="G482" s="2465"/>
      <c r="H482" s="2465"/>
      <c r="I482" s="2579"/>
      <c r="J482" s="2579"/>
      <c r="K482" s="2579"/>
      <c r="L482" s="2579"/>
      <c r="M482" s="2579"/>
      <c r="N482" s="2579"/>
      <c r="O482" s="2579"/>
    </row>
    <row r="483" spans="1:15" s="2463" customFormat="1" ht="7.5" customHeight="1">
      <c r="B483" s="2464"/>
      <c r="D483" s="2465"/>
      <c r="E483" s="2465"/>
      <c r="F483" s="2465"/>
      <c r="G483" s="2465"/>
      <c r="H483" s="2465"/>
      <c r="I483" s="2579"/>
      <c r="J483" s="2579"/>
      <c r="K483" s="2579"/>
      <c r="L483" s="2579"/>
      <c r="M483" s="2579"/>
      <c r="N483" s="2579"/>
      <c r="O483" s="2579"/>
    </row>
    <row r="484" spans="1:15" s="2463" customFormat="1" ht="7.5" customHeight="1">
      <c r="B484" s="2464"/>
      <c r="D484" s="2465"/>
      <c r="E484" s="2465"/>
      <c r="F484" s="2465"/>
      <c r="G484" s="2465"/>
      <c r="H484" s="2465"/>
      <c r="I484" s="2579"/>
      <c r="J484" s="2579"/>
      <c r="K484" s="2579"/>
      <c r="L484" s="2579"/>
      <c r="M484" s="2579"/>
      <c r="N484" s="2579"/>
      <c r="O484" s="2579"/>
    </row>
    <row r="485" spans="1:15" s="2463" customFormat="1" ht="7.5" customHeight="1">
      <c r="B485" s="2464"/>
      <c r="D485" s="2465"/>
      <c r="E485" s="2465"/>
      <c r="F485" s="2465"/>
      <c r="G485" s="2465"/>
      <c r="H485" s="2465"/>
      <c r="I485" s="2579"/>
      <c r="J485" s="2579"/>
      <c r="K485" s="2579"/>
      <c r="L485" s="2579"/>
      <c r="M485" s="2579"/>
      <c r="N485" s="2579"/>
      <c r="O485" s="2579"/>
    </row>
    <row r="486" spans="1:15" s="2463" customFormat="1" ht="7.5" customHeight="1">
      <c r="B486" s="2464"/>
      <c r="D486" s="2465"/>
      <c r="E486" s="2465"/>
      <c r="F486" s="2465"/>
      <c r="G486" s="2465"/>
      <c r="H486" s="2465"/>
      <c r="I486" s="2579"/>
      <c r="J486" s="2579"/>
      <c r="K486" s="2579"/>
      <c r="L486" s="2579"/>
      <c r="M486" s="2579"/>
      <c r="N486" s="2579"/>
      <c r="O486" s="2579"/>
    </row>
    <row r="487" spans="1:15" s="2463" customFormat="1" ht="7.5" customHeight="1">
      <c r="A487" s="2531"/>
      <c r="B487" s="2533"/>
      <c r="C487" s="2531"/>
      <c r="D487" s="2566"/>
      <c r="E487" s="2566"/>
      <c r="F487" s="2566"/>
      <c r="G487" s="2566"/>
      <c r="H487" s="2566"/>
      <c r="I487" s="2579"/>
      <c r="J487" s="2579"/>
      <c r="K487" s="2579"/>
      <c r="L487" s="2579"/>
      <c r="M487" s="2579"/>
      <c r="N487" s="2579"/>
      <c r="O487" s="2579"/>
    </row>
    <row r="488" spans="1:15" s="2463" customFormat="1" ht="7.5" customHeight="1">
      <c r="A488" s="4876"/>
      <c r="B488" s="4876"/>
      <c r="C488" s="4876"/>
      <c r="D488" s="4876"/>
      <c r="E488" s="4876"/>
      <c r="F488" s="4876"/>
      <c r="G488" s="4876"/>
      <c r="H488" s="4876"/>
      <c r="I488" s="2579"/>
      <c r="J488" s="2579"/>
      <c r="K488" s="2579"/>
      <c r="L488" s="2579"/>
      <c r="M488" s="2579"/>
      <c r="N488" s="2579"/>
      <c r="O488" s="2579"/>
    </row>
    <row r="489" spans="1:15" s="2463" customFormat="1" ht="7.5" customHeight="1">
      <c r="A489" s="4877"/>
      <c r="B489" s="4877"/>
      <c r="C489" s="4877"/>
      <c r="D489" s="4877"/>
      <c r="E489" s="4877"/>
      <c r="F489" s="4877"/>
      <c r="G489" s="4877"/>
      <c r="H489" s="4877"/>
      <c r="I489" s="2579"/>
      <c r="J489" s="2579"/>
      <c r="K489" s="2579"/>
      <c r="L489" s="2579"/>
      <c r="M489" s="2579"/>
      <c r="N489" s="2579"/>
      <c r="O489" s="2579"/>
    </row>
    <row r="490" spans="1:15" s="2463" customFormat="1" ht="7.5" customHeight="1">
      <c r="A490" s="2529"/>
      <c r="B490" s="2529"/>
      <c r="C490" s="2529"/>
      <c r="D490" s="2529"/>
      <c r="E490" s="2529"/>
      <c r="F490" s="2529"/>
      <c r="G490" s="2529"/>
      <c r="H490" s="2529"/>
      <c r="I490" s="2579"/>
      <c r="J490" s="2579"/>
      <c r="K490" s="2579"/>
      <c r="L490" s="2579"/>
      <c r="M490" s="2579"/>
      <c r="N490" s="2579"/>
      <c r="O490" s="2579"/>
    </row>
    <row r="491" spans="1:15">
      <c r="A491" s="2568"/>
      <c r="B491" s="2567"/>
      <c r="C491" s="2529"/>
      <c r="D491" s="2566"/>
      <c r="E491" s="2566"/>
      <c r="F491" s="2566"/>
      <c r="G491" s="2566"/>
      <c r="H491" s="2566"/>
    </row>
    <row r="492" spans="1:15">
      <c r="A492" s="1269"/>
      <c r="B492" s="1269"/>
      <c r="C492" s="2542"/>
      <c r="D492" s="2541"/>
      <c r="E492" s="2561"/>
      <c r="F492" s="2540"/>
      <c r="G492" s="2565"/>
      <c r="H492" s="2561"/>
    </row>
    <row r="493" spans="1:15" ht="23.25">
      <c r="A493" s="2564"/>
      <c r="B493" s="2564"/>
      <c r="C493" s="2563"/>
      <c r="D493" s="2541"/>
      <c r="E493" s="2561"/>
      <c r="F493" s="2540"/>
      <c r="G493" s="2562"/>
      <c r="H493" s="2561"/>
    </row>
    <row r="494" spans="1:15" s="2463" customFormat="1" ht="12.75">
      <c r="A494" s="4879"/>
      <c r="B494" s="4879"/>
      <c r="C494" s="2559"/>
      <c r="D494" s="2560"/>
      <c r="E494" s="4880"/>
      <c r="F494" s="4880"/>
      <c r="G494" s="4880"/>
      <c r="H494" s="2557"/>
      <c r="I494" s="2579"/>
      <c r="J494" s="2579"/>
      <c r="K494" s="2579"/>
      <c r="L494" s="2579"/>
      <c r="M494" s="2579"/>
      <c r="N494" s="2579"/>
      <c r="O494" s="2579"/>
    </row>
    <row r="495" spans="1:15" s="2463" customFormat="1" ht="12.75">
      <c r="A495" s="4879"/>
      <c r="B495" s="4879"/>
      <c r="C495" s="2559"/>
      <c r="D495" s="2558"/>
      <c r="E495" s="2558"/>
      <c r="F495" s="2558"/>
      <c r="G495" s="2558"/>
      <c r="H495" s="2558"/>
      <c r="I495" s="2579"/>
      <c r="J495" s="2579"/>
      <c r="K495" s="2579"/>
      <c r="L495" s="2579"/>
      <c r="M495" s="2579"/>
      <c r="N495" s="2579"/>
      <c r="O495" s="2579"/>
    </row>
    <row r="496" spans="1:15" s="2463" customFormat="1" ht="12.75">
      <c r="A496" s="4879"/>
      <c r="B496" s="4879"/>
      <c r="C496" s="2557"/>
      <c r="D496" s="2555"/>
      <c r="E496" s="2555"/>
      <c r="F496" s="2555"/>
      <c r="G496" s="2556"/>
      <c r="H496" s="2555"/>
      <c r="I496" s="2579"/>
      <c r="J496" s="2579"/>
      <c r="K496" s="2579"/>
      <c r="L496" s="2579"/>
      <c r="M496" s="2579"/>
      <c r="N496" s="2579"/>
      <c r="O496" s="2579"/>
    </row>
    <row r="497" spans="1:15" s="2463" customFormat="1" ht="12.75">
      <c r="A497" s="2554"/>
      <c r="B497" s="2553"/>
      <c r="C497" s="2552"/>
      <c r="D497" s="2551"/>
      <c r="E497" s="2551"/>
      <c r="F497" s="2551"/>
      <c r="G497" s="2551"/>
      <c r="H497" s="2551"/>
      <c r="I497" s="2579"/>
      <c r="J497" s="2579"/>
      <c r="K497" s="2579"/>
      <c r="L497" s="2579"/>
      <c r="M497" s="2579"/>
      <c r="N497" s="2579"/>
      <c r="O497" s="2579"/>
    </row>
    <row r="498" spans="1:15" s="2463" customFormat="1" ht="12.75">
      <c r="A498" s="2549"/>
      <c r="B498" s="2549"/>
      <c r="C498" s="2550"/>
      <c r="D498" s="2548"/>
      <c r="E498" s="2548"/>
      <c r="F498" s="2540"/>
      <c r="G498" s="2548"/>
      <c r="H498" s="2548"/>
      <c r="I498" s="2579"/>
      <c r="J498" s="2579"/>
      <c r="K498" s="2579"/>
      <c r="L498" s="2579"/>
      <c r="M498" s="2579"/>
      <c r="N498" s="2579"/>
      <c r="O498" s="2579"/>
    </row>
    <row r="499" spans="1:15" s="2463" customFormat="1" ht="12.75">
      <c r="A499" s="2549"/>
      <c r="B499" s="2549"/>
      <c r="C499" s="2545"/>
      <c r="D499" s="2548"/>
      <c r="E499" s="2548"/>
      <c r="F499" s="2540"/>
      <c r="G499" s="2548"/>
      <c r="H499" s="2548"/>
      <c r="I499" s="2579"/>
      <c r="J499" s="2579"/>
      <c r="K499" s="2579"/>
      <c r="L499" s="2579"/>
      <c r="M499" s="2579"/>
      <c r="N499" s="2579"/>
      <c r="O499" s="2579"/>
    </row>
    <row r="500" spans="1:15" s="2463" customFormat="1" ht="12.75">
      <c r="A500" s="2547"/>
      <c r="B500" s="2546"/>
      <c r="C500" s="2545"/>
      <c r="D500" s="2541"/>
      <c r="E500" s="2544"/>
      <c r="F500" s="2540"/>
      <c r="G500" s="2544"/>
      <c r="H500" s="2544"/>
      <c r="I500" s="2579"/>
      <c r="J500" s="2579"/>
      <c r="K500" s="2579"/>
      <c r="L500" s="2579"/>
      <c r="M500" s="2579"/>
      <c r="N500" s="2579"/>
      <c r="O500" s="2579"/>
    </row>
    <row r="501" spans="1:15" s="2463" customFormat="1" ht="12.75">
      <c r="A501" s="2543"/>
      <c r="B501" s="2543"/>
      <c r="C501" s="2542"/>
      <c r="D501" s="2541"/>
      <c r="E501" s="2539"/>
      <c r="F501" s="2540"/>
      <c r="G501" s="2539"/>
      <c r="H501" s="2539"/>
      <c r="I501" s="2579"/>
      <c r="J501" s="2579"/>
      <c r="K501" s="2579"/>
      <c r="L501" s="2579"/>
      <c r="M501" s="2579"/>
      <c r="N501" s="2579"/>
      <c r="O501" s="2579"/>
    </row>
    <row r="502" spans="1:15" s="2463" customFormat="1" ht="12.75">
      <c r="A502" s="2538"/>
      <c r="B502" s="2538"/>
      <c r="C502" s="2537"/>
      <c r="D502" s="2536"/>
      <c r="E502" s="2536"/>
      <c r="F502" s="2536"/>
      <c r="G502" s="2536"/>
      <c r="H502" s="2536"/>
      <c r="I502" s="2579"/>
      <c r="J502" s="2579"/>
      <c r="K502" s="2579"/>
      <c r="L502" s="2579"/>
      <c r="M502" s="2579"/>
      <c r="N502" s="2579"/>
      <c r="O502" s="2579"/>
    </row>
    <row r="503" spans="1:15" s="2463" customFormat="1" ht="12.75">
      <c r="A503" s="2538"/>
      <c r="B503" s="2538"/>
      <c r="C503" s="2537"/>
      <c r="D503" s="2536"/>
      <c r="E503" s="2536"/>
      <c r="F503" s="2536"/>
      <c r="G503" s="2536"/>
      <c r="H503" s="2536"/>
      <c r="I503" s="2579"/>
      <c r="J503" s="2579"/>
      <c r="K503" s="2579"/>
      <c r="L503" s="2579"/>
      <c r="M503" s="2579"/>
      <c r="N503" s="2579"/>
      <c r="O503" s="2579"/>
    </row>
    <row r="504" spans="1:15" s="2463" customFormat="1">
      <c r="A504" s="1269"/>
      <c r="B504" s="2529"/>
      <c r="C504" s="2535"/>
      <c r="D504" s="2529"/>
      <c r="E504" s="4877"/>
      <c r="F504" s="4877"/>
      <c r="G504" s="1269"/>
      <c r="H504" s="2529"/>
      <c r="I504" s="2579"/>
      <c r="J504" s="2579"/>
      <c r="K504" s="2579"/>
      <c r="L504" s="2579"/>
      <c r="M504" s="2579"/>
      <c r="N504" s="2579"/>
      <c r="O504" s="2579"/>
    </row>
    <row r="505" spans="1:15" s="2463" customFormat="1">
      <c r="A505" s="2529"/>
      <c r="B505" s="1269"/>
      <c r="C505" s="2535"/>
      <c r="D505" s="1269"/>
      <c r="E505" s="1269"/>
      <c r="F505" s="1269"/>
      <c r="G505" s="1269"/>
      <c r="H505" s="2529"/>
      <c r="I505" s="2579"/>
      <c r="J505" s="2579"/>
      <c r="K505" s="2579"/>
      <c r="L505" s="2579"/>
      <c r="M505" s="2579"/>
      <c r="N505" s="2579"/>
      <c r="O505" s="2579"/>
    </row>
    <row r="506" spans="1:15" s="2463" customFormat="1" ht="12.75">
      <c r="A506" s="2534"/>
      <c r="B506" s="1269"/>
      <c r="C506" s="4881"/>
      <c r="D506" s="4881"/>
      <c r="E506" s="4876"/>
      <c r="F506" s="4876"/>
      <c r="G506" s="4876"/>
      <c r="H506" s="4876"/>
      <c r="I506" s="2579"/>
      <c r="J506" s="2579"/>
      <c r="K506" s="2579"/>
      <c r="L506" s="2579"/>
      <c r="M506" s="2579"/>
      <c r="N506" s="2579"/>
      <c r="O506" s="2579"/>
    </row>
    <row r="507" spans="1:15" s="2463" customFormat="1" ht="12.75">
      <c r="A507" s="2531"/>
      <c r="B507" s="2533"/>
      <c r="C507" s="4874"/>
      <c r="D507" s="4874"/>
      <c r="E507" s="4875"/>
      <c r="F507" s="4875"/>
      <c r="G507" s="4875"/>
      <c r="H507" s="4875"/>
      <c r="I507" s="2579"/>
      <c r="J507" s="2579"/>
      <c r="K507" s="2579"/>
      <c r="L507" s="2579"/>
      <c r="M507" s="2579"/>
      <c r="N507" s="2579"/>
      <c r="O507" s="2579"/>
    </row>
    <row r="508" spans="1:15" s="2463" customFormat="1">
      <c r="A508" s="2529"/>
      <c r="B508" s="2529"/>
      <c r="C508" s="2529"/>
      <c r="D508" s="2529"/>
      <c r="E508" s="2529"/>
      <c r="F508" s="2529"/>
      <c r="G508" s="2529"/>
      <c r="H508" s="2529"/>
      <c r="I508" s="2579"/>
      <c r="J508" s="2579"/>
      <c r="K508" s="2579"/>
      <c r="L508" s="2579"/>
      <c r="M508" s="2579"/>
      <c r="N508" s="2579"/>
      <c r="O508" s="2579"/>
    </row>
    <row r="509" spans="1:15" s="2463" customFormat="1">
      <c r="A509" s="2462"/>
      <c r="B509" s="2462"/>
      <c r="C509" s="2462"/>
      <c r="D509" s="2462"/>
      <c r="E509" s="2462"/>
      <c r="F509" s="2462"/>
      <c r="G509" s="2462"/>
      <c r="H509" s="2462"/>
      <c r="I509" s="2579"/>
      <c r="J509" s="2579"/>
      <c r="K509" s="2579"/>
      <c r="L509" s="2579"/>
      <c r="M509" s="2579"/>
      <c r="N509" s="2579"/>
      <c r="O509" s="2579"/>
    </row>
    <row r="510" spans="1:15" s="2463" customFormat="1">
      <c r="A510" s="2462"/>
      <c r="B510" s="2462"/>
      <c r="C510" s="2462"/>
      <c r="D510" s="2462"/>
      <c r="E510" s="2462"/>
      <c r="F510" s="2462"/>
      <c r="G510" s="2462"/>
      <c r="H510" s="2462"/>
      <c r="I510" s="2579"/>
      <c r="J510" s="2579"/>
      <c r="K510" s="2579"/>
      <c r="L510" s="2579"/>
      <c r="M510" s="2579"/>
      <c r="N510" s="2579"/>
      <c r="O510" s="2579"/>
    </row>
  </sheetData>
  <mergeCells count="119">
    <mergeCell ref="C506:D506"/>
    <mergeCell ref="E506:H506"/>
    <mergeCell ref="C507:D507"/>
    <mergeCell ref="E507:H507"/>
    <mergeCell ref="C451:D451"/>
    <mergeCell ref="E451:H451"/>
    <mergeCell ref="A488:H488"/>
    <mergeCell ref="A489:H489"/>
    <mergeCell ref="A494:B496"/>
    <mergeCell ref="A432:H432"/>
    <mergeCell ref="E494:G494"/>
    <mergeCell ref="A433:H433"/>
    <mergeCell ref="A438:B440"/>
    <mergeCell ref="E438:G438"/>
    <mergeCell ref="E448:F448"/>
    <mergeCell ref="C450:D450"/>
    <mergeCell ref="E450:H450"/>
    <mergeCell ref="E504:F504"/>
    <mergeCell ref="A385:H385"/>
    <mergeCell ref="A386:H386"/>
    <mergeCell ref="A393:B395"/>
    <mergeCell ref="E393:G393"/>
    <mergeCell ref="E406:F406"/>
    <mergeCell ref="C408:D408"/>
    <mergeCell ref="E408:H408"/>
    <mergeCell ref="C409:D409"/>
    <mergeCell ref="E409:H409"/>
    <mergeCell ref="A344:H344"/>
    <mergeCell ref="A345:H345"/>
    <mergeCell ref="A351:B353"/>
    <mergeCell ref="E351:G351"/>
    <mergeCell ref="E365:F365"/>
    <mergeCell ref="C367:D367"/>
    <mergeCell ref="E367:H367"/>
    <mergeCell ref="C368:D368"/>
    <mergeCell ref="E368:H368"/>
    <mergeCell ref="A302:H302"/>
    <mergeCell ref="A303:H303"/>
    <mergeCell ref="A309:B311"/>
    <mergeCell ref="E309:G309"/>
    <mergeCell ref="E323:F323"/>
    <mergeCell ref="C325:D325"/>
    <mergeCell ref="E325:H325"/>
    <mergeCell ref="C326:D326"/>
    <mergeCell ref="E326:H326"/>
    <mergeCell ref="A261:H261"/>
    <mergeCell ref="A262:H262"/>
    <mergeCell ref="A268:B270"/>
    <mergeCell ref="E268:G268"/>
    <mergeCell ref="E284:F284"/>
    <mergeCell ref="C286:D286"/>
    <mergeCell ref="E286:H286"/>
    <mergeCell ref="C287:D287"/>
    <mergeCell ref="E287:H287"/>
    <mergeCell ref="A221:H221"/>
    <mergeCell ref="A222:H222"/>
    <mergeCell ref="A227:B229"/>
    <mergeCell ref="E227:G227"/>
    <mergeCell ref="E238:F238"/>
    <mergeCell ref="C240:D240"/>
    <mergeCell ref="E240:H240"/>
    <mergeCell ref="C241:D241"/>
    <mergeCell ref="E241:H241"/>
    <mergeCell ref="A177:H177"/>
    <mergeCell ref="A178:H178"/>
    <mergeCell ref="A183:B185"/>
    <mergeCell ref="E183:G183"/>
    <mergeCell ref="E199:F199"/>
    <mergeCell ref="C201:D201"/>
    <mergeCell ref="E201:H201"/>
    <mergeCell ref="C202:D202"/>
    <mergeCell ref="E202:H202"/>
    <mergeCell ref="A140:B142"/>
    <mergeCell ref="E140:G140"/>
    <mergeCell ref="E155:F155"/>
    <mergeCell ref="C157:D157"/>
    <mergeCell ref="E157:H157"/>
    <mergeCell ref="C158:D158"/>
    <mergeCell ref="E158:H158"/>
    <mergeCell ref="A175:H175"/>
    <mergeCell ref="A176:H176"/>
    <mergeCell ref="E115:F115"/>
    <mergeCell ref="C117:D117"/>
    <mergeCell ref="E117:H117"/>
    <mergeCell ref="C118:D118"/>
    <mergeCell ref="E118:H118"/>
    <mergeCell ref="A132:H132"/>
    <mergeCell ref="A133:H133"/>
    <mergeCell ref="A134:H134"/>
    <mergeCell ref="A135:H135"/>
    <mergeCell ref="E70:F70"/>
    <mergeCell ref="C72:D72"/>
    <mergeCell ref="E72:H72"/>
    <mergeCell ref="C73:D73"/>
    <mergeCell ref="E73:H73"/>
    <mergeCell ref="A90:H90"/>
    <mergeCell ref="A91:H91"/>
    <mergeCell ref="A97:B99"/>
    <mergeCell ref="E97:G97"/>
    <mergeCell ref="A41:H41"/>
    <mergeCell ref="A42:H42"/>
    <mergeCell ref="E43:F43"/>
    <mergeCell ref="A45:H45"/>
    <mergeCell ref="A46:H46"/>
    <mergeCell ref="A47:H47"/>
    <mergeCell ref="A48:H48"/>
    <mergeCell ref="A53:B55"/>
    <mergeCell ref="E53:G53"/>
    <mergeCell ref="A32:B32"/>
    <mergeCell ref="C32:E32"/>
    <mergeCell ref="A11:B13"/>
    <mergeCell ref="E11:G11"/>
    <mergeCell ref="A5:H5"/>
    <mergeCell ref="A6:H6"/>
    <mergeCell ref="A30:B30"/>
    <mergeCell ref="C30:E30"/>
    <mergeCell ref="F30:H30"/>
    <mergeCell ref="C31:E31"/>
    <mergeCell ref="F31:H31"/>
  </mergeCells>
  <pageMargins left="0.5" right="0" top="0.25" bottom="0" header="0.5" footer="0"/>
  <pageSetup paperSize="5" orientation="portrait"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467"/>
  <sheetViews>
    <sheetView showGridLines="0" showOutlineSymbols="0" topLeftCell="A19" workbookViewId="0">
      <pane xSplit="18525" topLeftCell="ET1"/>
      <selection activeCell="J6" sqref="J6"/>
      <selection pane="topRight" activeCell="ET1" sqref="ET1"/>
    </sheetView>
  </sheetViews>
  <sheetFormatPr defaultColWidth="12.5703125" defaultRowHeight="15.75" outlineLevelRow="1" outlineLevelCol="2"/>
  <cols>
    <col min="1" max="1" width="1.85546875" style="2462" customWidth="1"/>
    <col min="2" max="2" width="28.7109375" style="2462" customWidth="1"/>
    <col min="3" max="3" width="12.7109375" style="2462" customWidth="1"/>
    <col min="4" max="4" width="11.42578125" style="2462" customWidth="1"/>
    <col min="5" max="5" width="10.5703125" style="2462" customWidth="1"/>
    <col min="6" max="6" width="12.5703125" style="2462" customWidth="1"/>
    <col min="7" max="7" width="10.85546875" style="2462" customWidth="1"/>
    <col min="8" max="8" width="11.5703125" style="2462" customWidth="1"/>
    <col min="9"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7" spans="1:15" s="2532" customFormat="1" ht="12.75">
      <c r="B7" s="2577"/>
      <c r="D7" s="2576"/>
      <c r="E7" s="2576"/>
      <c r="F7" s="2576"/>
      <c r="G7" s="2576"/>
      <c r="H7" s="2576"/>
    </row>
    <row r="8" spans="1:15" s="1390" customFormat="1" ht="14.25" customHeight="1">
      <c r="A8" s="1577" t="s">
        <v>2120</v>
      </c>
      <c r="C8" s="2525"/>
      <c r="D8" s="1403"/>
      <c r="E8" s="1403"/>
      <c r="F8" s="1403"/>
      <c r="G8" s="1403"/>
      <c r="H8" s="1403"/>
    </row>
    <row r="9" spans="1:15" s="1390" customFormat="1" ht="14.25" customHeight="1">
      <c r="B9" s="2612" t="s">
        <v>2127</v>
      </c>
      <c r="C9" s="2525"/>
      <c r="D9" s="1403"/>
      <c r="E9" s="1403"/>
      <c r="F9" s="1403"/>
      <c r="G9" s="1403"/>
      <c r="H9" s="1403"/>
    </row>
    <row r="10" spans="1:15" s="2463" customFormat="1" ht="12" customHeight="1">
      <c r="A10" s="2571"/>
      <c r="B10" s="2571"/>
      <c r="C10" s="2542"/>
      <c r="D10" s="2541"/>
      <c r="E10" s="2561"/>
      <c r="F10" s="2540"/>
      <c r="G10" s="1388"/>
      <c r="H10" s="2561"/>
      <c r="I10" s="2579"/>
      <c r="J10" s="2579"/>
      <c r="K10" s="2579"/>
      <c r="L10" s="2579"/>
      <c r="M10" s="2579"/>
      <c r="N10" s="2579"/>
      <c r="O10" s="2579"/>
    </row>
    <row r="11" spans="1:15" s="2463" customFormat="1" ht="12.75">
      <c r="A11" s="4890" t="s">
        <v>468</v>
      </c>
      <c r="B11" s="4891"/>
      <c r="C11" s="2639" t="s">
        <v>467</v>
      </c>
      <c r="D11" s="2638" t="s">
        <v>466</v>
      </c>
      <c r="E11" s="4896" t="s">
        <v>465</v>
      </c>
      <c r="F11" s="4897"/>
      <c r="G11" s="4898"/>
      <c r="H11" s="2637" t="s">
        <v>464</v>
      </c>
      <c r="I11" s="2579"/>
      <c r="J11" s="2579"/>
      <c r="K11" s="2579"/>
      <c r="L11" s="2579"/>
      <c r="M11" s="2579"/>
      <c r="N11" s="2579"/>
      <c r="O11" s="2579"/>
    </row>
    <row r="12" spans="1:15" s="2463" customFormat="1" ht="13.5">
      <c r="A12" s="4892"/>
      <c r="B12" s="4893"/>
      <c r="C12" s="2636" t="s">
        <v>463</v>
      </c>
      <c r="D12" s="2635" t="s">
        <v>573</v>
      </c>
      <c r="E12" s="2517" t="s">
        <v>2118</v>
      </c>
      <c r="F12" s="2635" t="s">
        <v>2117</v>
      </c>
      <c r="G12" s="2635" t="s">
        <v>244</v>
      </c>
      <c r="H12" s="2635">
        <v>2022</v>
      </c>
      <c r="I12" s="2579"/>
      <c r="J12" s="2579"/>
      <c r="K12" s="2579"/>
      <c r="L12" s="2579"/>
      <c r="M12" s="2579"/>
      <c r="N12" s="2579"/>
      <c r="O12" s="2579"/>
    </row>
    <row r="13" spans="1:15" s="2463" customFormat="1" ht="12.75">
      <c r="A13" s="4894"/>
      <c r="B13" s="4895"/>
      <c r="C13" s="2633"/>
      <c r="D13" s="2631" t="s">
        <v>460</v>
      </c>
      <c r="E13" s="2513" t="s">
        <v>460</v>
      </c>
      <c r="F13" s="2631" t="s">
        <v>459</v>
      </c>
      <c r="G13" s="2632"/>
      <c r="H13" s="2631" t="s">
        <v>458</v>
      </c>
      <c r="I13" s="2579"/>
      <c r="J13" s="2579"/>
      <c r="K13" s="2579"/>
      <c r="L13" s="2579"/>
      <c r="M13" s="2579"/>
      <c r="N13" s="2579"/>
      <c r="O13" s="2579"/>
    </row>
    <row r="14" spans="1:15" s="2463" customFormat="1" ht="15" customHeight="1">
      <c r="A14" s="2601" t="s">
        <v>2011</v>
      </c>
      <c r="B14" s="2634"/>
      <c r="C14" s="2633"/>
      <c r="D14" s="2631"/>
      <c r="E14" s="2631"/>
      <c r="F14" s="2631"/>
      <c r="G14" s="2632"/>
      <c r="H14" s="2631"/>
      <c r="I14" s="2579"/>
      <c r="J14" s="2579"/>
      <c r="K14" s="2579"/>
      <c r="L14" s="2579"/>
      <c r="M14" s="2579"/>
      <c r="N14" s="2579"/>
      <c r="O14" s="2579"/>
    </row>
    <row r="15" spans="1:15" s="2463" customFormat="1" ht="15" customHeight="1">
      <c r="A15" s="2601" t="s">
        <v>407</v>
      </c>
      <c r="B15" s="2630"/>
      <c r="C15" s="2629"/>
      <c r="D15" s="2598">
        <f>SUM(D16:D28)</f>
        <v>3662696.9299999997</v>
      </c>
      <c r="E15" s="2598">
        <f>SUM(E16:E28)</f>
        <v>1702358.05</v>
      </c>
      <c r="F15" s="2598">
        <f>SUM(F16:F28)</f>
        <v>2147641.9500000002</v>
      </c>
      <c r="G15" s="2598">
        <f>SUM(G16:G28)</f>
        <v>3850000</v>
      </c>
      <c r="H15" s="2598">
        <f>SUM(H16:H28)</f>
        <v>4093100</v>
      </c>
      <c r="I15" s="2579"/>
      <c r="J15" s="2579"/>
      <c r="K15" s="2579"/>
      <c r="L15" s="2579"/>
      <c r="M15" s="2579"/>
      <c r="N15" s="2579"/>
      <c r="O15" s="2579"/>
    </row>
    <row r="16" spans="1:15" s="1404" customFormat="1" ht="20.100000000000001" customHeight="1">
      <c r="A16" s="2591" t="s">
        <v>674</v>
      </c>
      <c r="B16" s="1519"/>
      <c r="C16" s="978" t="s">
        <v>396</v>
      </c>
      <c r="D16" s="1428">
        <v>348079.35999999999</v>
      </c>
      <c r="E16" s="1427">
        <v>163673.04999999999</v>
      </c>
      <c r="F16" s="1454">
        <f>SUM(G16-E16)</f>
        <v>200596.95</v>
      </c>
      <c r="G16" s="1427">
        <v>364270</v>
      </c>
      <c r="H16" s="1427">
        <v>617500</v>
      </c>
      <c r="I16" s="2616"/>
      <c r="J16" s="2616"/>
      <c r="K16" s="2616"/>
      <c r="L16" s="2616"/>
      <c r="M16" s="2616"/>
      <c r="N16" s="2616"/>
      <c r="O16" s="2616"/>
    </row>
    <row r="17" spans="1:15" s="1404" customFormat="1" ht="20.100000000000001" customHeight="1">
      <c r="A17" s="2591" t="s">
        <v>1950</v>
      </c>
      <c r="B17" s="1519"/>
      <c r="C17" s="978" t="s">
        <v>1949</v>
      </c>
      <c r="D17" s="1428">
        <v>3267537.52</v>
      </c>
      <c r="E17" s="1427">
        <v>1538685</v>
      </c>
      <c r="F17" s="1454">
        <f>SUM(G17-E17)</f>
        <v>1731915</v>
      </c>
      <c r="G17" s="1427">
        <f>H17</f>
        <v>3270600</v>
      </c>
      <c r="H17" s="1427">
        <v>3270600</v>
      </c>
      <c r="I17" s="2616"/>
      <c r="J17" s="2616"/>
      <c r="K17" s="2616"/>
      <c r="L17" s="2616"/>
      <c r="M17" s="2616"/>
      <c r="N17" s="2616"/>
      <c r="O17" s="2616"/>
    </row>
    <row r="18" spans="1:15" s="1404" customFormat="1" ht="20.100000000000001" customHeight="1">
      <c r="A18" s="2591" t="s">
        <v>2126</v>
      </c>
      <c r="B18" s="1519"/>
      <c r="C18" s="978"/>
      <c r="D18" s="1428"/>
      <c r="E18" s="1427"/>
      <c r="F18" s="1454"/>
      <c r="G18" s="1427"/>
      <c r="H18" s="1427"/>
      <c r="I18" s="2616"/>
      <c r="J18" s="2616"/>
      <c r="K18" s="2616"/>
      <c r="L18" s="2616"/>
      <c r="M18" s="2616"/>
      <c r="N18" s="2616"/>
      <c r="O18" s="2616"/>
    </row>
    <row r="19" spans="1:15" s="1404" customFormat="1" ht="20.100000000000001" customHeight="1">
      <c r="A19" s="2591" t="s">
        <v>2125</v>
      </c>
      <c r="B19" s="1519"/>
      <c r="C19" s="978" t="s">
        <v>1917</v>
      </c>
      <c r="D19" s="1428">
        <v>47080.05</v>
      </c>
      <c r="E19" s="1427">
        <v>0</v>
      </c>
      <c r="F19" s="1454">
        <f>G19-E19</f>
        <v>160130</v>
      </c>
      <c r="G19" s="1427">
        <v>160130</v>
      </c>
      <c r="H19" s="1427">
        <v>150000</v>
      </c>
      <c r="I19" s="2616"/>
      <c r="J19" s="2616"/>
      <c r="K19" s="2616"/>
      <c r="L19" s="2616"/>
      <c r="M19" s="2616"/>
      <c r="N19" s="2616"/>
      <c r="O19" s="2616"/>
    </row>
    <row r="20" spans="1:15" s="1404" customFormat="1" ht="20.100000000000001" customHeight="1">
      <c r="A20" s="1536" t="s">
        <v>1888</v>
      </c>
      <c r="B20" s="1552"/>
      <c r="C20" s="978" t="s">
        <v>1887</v>
      </c>
      <c r="D20" s="1428">
        <v>0</v>
      </c>
      <c r="E20" s="1427">
        <v>0</v>
      </c>
      <c r="F20" s="1454">
        <f>G20-E20</f>
        <v>50000</v>
      </c>
      <c r="G20" s="1427">
        <v>50000</v>
      </c>
      <c r="H20" s="1427">
        <v>50000</v>
      </c>
      <c r="I20" s="2616"/>
      <c r="J20" s="2616"/>
      <c r="K20" s="2616"/>
      <c r="L20" s="2616"/>
      <c r="M20" s="2616"/>
      <c r="N20" s="2616"/>
      <c r="O20" s="2616"/>
    </row>
    <row r="21" spans="1:15" s="1404" customFormat="1" ht="20.100000000000001" customHeight="1">
      <c r="A21" s="2591" t="s">
        <v>368</v>
      </c>
      <c r="B21" s="1519"/>
      <c r="C21" s="2620" t="s">
        <v>367</v>
      </c>
      <c r="D21" s="1428">
        <v>0</v>
      </c>
      <c r="E21" s="1427">
        <v>0</v>
      </c>
      <c r="F21" s="1454">
        <f>SUM(G21-E21)</f>
        <v>5000</v>
      </c>
      <c r="G21" s="1427">
        <v>5000</v>
      </c>
      <c r="H21" s="1427">
        <v>5000</v>
      </c>
      <c r="I21" s="2616"/>
      <c r="J21" s="2616"/>
      <c r="K21" s="2616"/>
      <c r="L21" s="2616"/>
      <c r="M21" s="2616"/>
      <c r="N21" s="2616"/>
      <c r="O21" s="2616"/>
    </row>
    <row r="22" spans="1:15" s="1404" customFormat="1" ht="20.100000000000001" customHeight="1">
      <c r="A22" s="2591"/>
      <c r="B22" s="1519"/>
      <c r="C22" s="978"/>
      <c r="D22" s="1428"/>
      <c r="E22" s="1427"/>
      <c r="F22" s="1454"/>
      <c r="G22" s="1427"/>
      <c r="H22" s="1427"/>
      <c r="I22" s="2616"/>
      <c r="J22" s="2616"/>
      <c r="K22" s="2616"/>
      <c r="L22" s="2616"/>
      <c r="M22" s="2616"/>
      <c r="N22" s="2616"/>
      <c r="O22" s="2616"/>
    </row>
    <row r="23" spans="1:15" s="1404" customFormat="1" ht="20.100000000000001" customHeight="1">
      <c r="A23" s="2591"/>
      <c r="B23" s="1519"/>
      <c r="C23" s="978"/>
      <c r="D23" s="1428"/>
      <c r="E23" s="1427"/>
      <c r="F23" s="1454"/>
      <c r="G23" s="1427"/>
      <c r="H23" s="1427"/>
      <c r="I23" s="2616"/>
      <c r="J23" s="2616"/>
      <c r="K23" s="2616"/>
      <c r="L23" s="2616"/>
      <c r="M23" s="2616"/>
      <c r="N23" s="2616"/>
      <c r="O23" s="2616"/>
    </row>
    <row r="24" spans="1:15" s="1404" customFormat="1" ht="20.100000000000001" customHeight="1">
      <c r="A24" s="2591"/>
      <c r="B24" s="1519"/>
      <c r="C24" s="978"/>
      <c r="D24" s="1428"/>
      <c r="E24" s="1427"/>
      <c r="F24" s="1454"/>
      <c r="G24" s="1427"/>
      <c r="H24" s="1427"/>
      <c r="I24" s="2616"/>
      <c r="J24" s="2616"/>
      <c r="K24" s="2616"/>
      <c r="L24" s="2616"/>
      <c r="M24" s="2616"/>
      <c r="N24" s="2616"/>
      <c r="O24" s="2616"/>
    </row>
    <row r="25" spans="1:15" s="1404" customFormat="1" ht="20.100000000000001" customHeight="1">
      <c r="A25" s="2591"/>
      <c r="B25" s="1519"/>
      <c r="C25" s="978"/>
      <c r="D25" s="1428"/>
      <c r="E25" s="1427"/>
      <c r="F25" s="1454"/>
      <c r="G25" s="1427"/>
      <c r="H25" s="1427"/>
      <c r="I25" s="2616"/>
      <c r="J25" s="2616"/>
      <c r="K25" s="2616"/>
      <c r="L25" s="2616"/>
      <c r="M25" s="2616"/>
      <c r="N25" s="2616"/>
      <c r="O25" s="2616"/>
    </row>
    <row r="26" spans="1:15" s="1404" customFormat="1" ht="20.100000000000001" customHeight="1">
      <c r="A26" s="2591"/>
      <c r="B26" s="1519"/>
      <c r="C26" s="978"/>
      <c r="D26" s="1428"/>
      <c r="E26" s="1427"/>
      <c r="F26" s="1454"/>
      <c r="G26" s="1427"/>
      <c r="H26" s="1427"/>
      <c r="I26" s="2616"/>
      <c r="J26" s="2616"/>
      <c r="K26" s="2616"/>
      <c r="L26" s="2616"/>
      <c r="M26" s="2616"/>
      <c r="N26" s="2616"/>
      <c r="O26" s="2616"/>
    </row>
    <row r="27" spans="1:15" s="1404" customFormat="1" ht="20.100000000000001" customHeight="1">
      <c r="A27" s="1553"/>
      <c r="B27" s="2628"/>
      <c r="C27" s="978"/>
      <c r="D27" s="1428"/>
      <c r="E27" s="1427"/>
      <c r="F27" s="1454"/>
      <c r="G27" s="1427"/>
      <c r="H27" s="1427"/>
      <c r="I27" s="2616"/>
      <c r="J27" s="2616"/>
      <c r="K27" s="2616"/>
      <c r="L27" s="2616"/>
      <c r="M27" s="2616"/>
      <c r="N27" s="2616"/>
      <c r="O27" s="2616"/>
    </row>
    <row r="28" spans="1:15" s="1404" customFormat="1" ht="20.100000000000001" customHeight="1">
      <c r="A28" s="2587"/>
      <c r="B28" s="2586"/>
      <c r="C28" s="2585"/>
      <c r="D28" s="1428"/>
      <c r="E28" s="1424"/>
      <c r="F28" s="1454"/>
      <c r="G28" s="1424"/>
      <c r="H28" s="1424"/>
      <c r="I28" s="2616"/>
      <c r="J28" s="2616"/>
      <c r="K28" s="2616"/>
      <c r="L28" s="2616"/>
      <c r="M28" s="2616"/>
      <c r="N28" s="2616"/>
      <c r="O28" s="2616"/>
    </row>
    <row r="29" spans="1:15" s="1404" customFormat="1" ht="20.100000000000001" customHeight="1" thickBot="1">
      <c r="A29" s="2480" t="s">
        <v>366</v>
      </c>
      <c r="B29" s="2584"/>
      <c r="C29" s="2583"/>
      <c r="D29" s="2480">
        <f>SUM(D16:D22)</f>
        <v>3662696.9299999997</v>
      </c>
      <c r="E29" s="2480">
        <f>SUM(E16:E22)</f>
        <v>1702358.05</v>
      </c>
      <c r="F29" s="2480">
        <f>SUM(F16:F22)</f>
        <v>2147641.9500000002</v>
      </c>
      <c r="G29" s="2480">
        <f>SUM(G16:G22)</f>
        <v>3850000</v>
      </c>
      <c r="H29" s="2480">
        <f>SUM(H16:H22)</f>
        <v>4093100</v>
      </c>
      <c r="I29" s="2616"/>
      <c r="J29" s="2616"/>
      <c r="K29" s="2616"/>
      <c r="L29" s="2616"/>
      <c r="M29" s="2616"/>
      <c r="N29" s="2616"/>
      <c r="O29" s="2616"/>
    </row>
    <row r="30" spans="1:15" s="2288" customFormat="1" ht="19.5" customHeight="1" outlineLevel="1" thickTop="1">
      <c r="A30" s="1403" t="s">
        <v>2112</v>
      </c>
      <c r="B30" s="1390"/>
      <c r="C30" s="1403" t="s">
        <v>2111</v>
      </c>
      <c r="D30" s="1390"/>
      <c r="F30" s="2582" t="s">
        <v>2110</v>
      </c>
      <c r="G30" s="1403"/>
      <c r="H30" s="1390"/>
    </row>
    <row r="31" spans="1:15" s="2288" customFormat="1" ht="15.95" customHeight="1" outlineLevel="1">
      <c r="A31" s="1403"/>
      <c r="B31" s="1390"/>
      <c r="C31" s="1403"/>
      <c r="D31" s="1390"/>
      <c r="E31" s="2471"/>
      <c r="F31" s="2471"/>
      <c r="G31" s="1403"/>
      <c r="H31" s="1390"/>
    </row>
    <row r="32" spans="1:15" s="2288" customFormat="1" ht="10.5" customHeight="1" outlineLevel="1">
      <c r="A32" s="1390"/>
      <c r="B32" s="1403"/>
      <c r="C32" s="2581"/>
      <c r="D32" s="1403"/>
      <c r="E32" s="1403"/>
      <c r="F32" s="1403"/>
      <c r="G32" s="1403"/>
      <c r="H32" s="1390"/>
    </row>
    <row r="33" spans="1:15" s="2288" customFormat="1" ht="15.95" customHeight="1" outlineLevel="1">
      <c r="A33" s="4873" t="s">
        <v>2109</v>
      </c>
      <c r="B33" s="4873"/>
      <c r="C33" s="4760" t="s">
        <v>360</v>
      </c>
      <c r="D33" s="4760"/>
      <c r="E33" s="4760"/>
      <c r="F33" s="4741" t="s">
        <v>359</v>
      </c>
      <c r="G33" s="4741"/>
      <c r="H33" s="4741"/>
    </row>
    <row r="34" spans="1:15" s="2288" customFormat="1" ht="15.75" customHeight="1" outlineLevel="1">
      <c r="A34" s="2580"/>
      <c r="B34" s="2464" t="s">
        <v>2108</v>
      </c>
      <c r="C34" s="4754" t="s">
        <v>357</v>
      </c>
      <c r="D34" s="4754"/>
      <c r="E34" s="4754"/>
      <c r="F34" s="4868" t="s">
        <v>356</v>
      </c>
      <c r="G34" s="4868"/>
      <c r="H34" s="4868"/>
    </row>
    <row r="35" spans="1:15" s="2288" customFormat="1" ht="12" customHeight="1" outlineLevel="1">
      <c r="A35" s="4878"/>
      <c r="B35" s="4878"/>
      <c r="C35" s="4754"/>
      <c r="D35" s="4754"/>
      <c r="E35" s="4754"/>
      <c r="F35" s="1406"/>
      <c r="G35" s="1406"/>
      <c r="H35" s="1406"/>
    </row>
    <row r="36" spans="1:15" s="2463" customFormat="1">
      <c r="A36" s="2462"/>
      <c r="B36" s="1256"/>
      <c r="C36" s="2627"/>
      <c r="D36" s="1256"/>
      <c r="E36" s="1256"/>
      <c r="F36" s="1256"/>
      <c r="G36" s="1256"/>
      <c r="H36" s="2462"/>
      <c r="I36" s="2579"/>
      <c r="J36" s="2579"/>
      <c r="K36" s="2579"/>
      <c r="L36" s="2579"/>
      <c r="M36" s="2579"/>
      <c r="N36" s="2579"/>
      <c r="O36" s="2579"/>
    </row>
    <row r="37" spans="1:15" s="2463" customFormat="1" ht="12.75">
      <c r="B37" s="2464"/>
      <c r="D37" s="2465"/>
      <c r="E37" s="2465"/>
      <c r="F37" s="2465"/>
      <c r="G37" s="2465"/>
      <c r="H37" s="2465"/>
      <c r="I37" s="2579"/>
      <c r="J37" s="2579"/>
      <c r="K37" s="2579"/>
      <c r="L37" s="2579"/>
      <c r="M37" s="2579"/>
      <c r="N37" s="2579"/>
      <c r="O37" s="2579"/>
    </row>
    <row r="38" spans="1:15" s="2463" customFormat="1" ht="12.75">
      <c r="B38" s="2464"/>
      <c r="D38" s="2465"/>
      <c r="E38" s="2465"/>
      <c r="F38" s="2465"/>
      <c r="G38" s="2465"/>
      <c r="H38" s="2465"/>
      <c r="I38" s="2579"/>
      <c r="J38" s="2579"/>
      <c r="K38" s="2579"/>
      <c r="L38" s="2579"/>
      <c r="M38" s="2579"/>
      <c r="N38" s="2579"/>
      <c r="O38" s="2579"/>
    </row>
    <row r="39" spans="1:15" s="2463" customFormat="1" ht="12.75">
      <c r="B39" s="2464"/>
      <c r="D39" s="2465"/>
      <c r="E39" s="2465"/>
      <c r="F39" s="2465"/>
      <c r="G39" s="2465"/>
      <c r="H39" s="2465"/>
      <c r="I39" s="2579"/>
      <c r="J39" s="2579"/>
      <c r="K39" s="2579"/>
      <c r="L39" s="2579"/>
      <c r="M39" s="2579"/>
      <c r="N39" s="2579"/>
      <c r="O39" s="2579"/>
    </row>
    <row r="40" spans="1:15" s="2463" customFormat="1" ht="12.75">
      <c r="B40" s="2464"/>
      <c r="D40" s="2465"/>
      <c r="E40" s="2465"/>
      <c r="F40" s="2465"/>
      <c r="G40" s="2465"/>
      <c r="H40" s="2465"/>
      <c r="I40" s="2579"/>
      <c r="J40" s="2579"/>
      <c r="K40" s="2579"/>
      <c r="L40" s="2579"/>
      <c r="M40" s="2579"/>
      <c r="N40" s="2579"/>
      <c r="O40" s="2579"/>
    </row>
    <row r="41" spans="1:15" s="2463" customFormat="1" ht="12.75">
      <c r="B41" s="2464"/>
      <c r="D41" s="2465"/>
      <c r="E41" s="2465"/>
      <c r="F41" s="2465"/>
      <c r="G41" s="2465"/>
      <c r="H41" s="2465"/>
      <c r="I41" s="2579"/>
      <c r="J41" s="2579"/>
      <c r="K41" s="2579"/>
      <c r="L41" s="2579"/>
      <c r="M41" s="2579"/>
      <c r="N41" s="2579"/>
      <c r="O41" s="2579"/>
    </row>
    <row r="42" spans="1:15" s="2463" customFormat="1" ht="12.75">
      <c r="B42" s="2464"/>
      <c r="D42" s="2465"/>
      <c r="E42" s="2465"/>
      <c r="F42" s="2465"/>
      <c r="G42" s="2465"/>
      <c r="H42" s="2465"/>
      <c r="I42" s="2579"/>
      <c r="J42" s="2579"/>
      <c r="K42" s="2579"/>
      <c r="L42" s="2579"/>
      <c r="M42" s="2579"/>
      <c r="N42" s="2579"/>
      <c r="O42" s="2579"/>
    </row>
    <row r="43" spans="1:15" s="2463" customFormat="1" ht="12.75">
      <c r="B43" s="2464"/>
      <c r="D43" s="2465"/>
      <c r="E43" s="2465"/>
      <c r="F43" s="2465"/>
      <c r="G43" s="2465"/>
      <c r="H43" s="2465"/>
      <c r="I43" s="2579"/>
      <c r="J43" s="2579"/>
      <c r="K43" s="2579"/>
      <c r="L43" s="2579"/>
      <c r="M43" s="2579"/>
      <c r="N43" s="2579"/>
      <c r="O43" s="2579"/>
    </row>
    <row r="44" spans="1:15" s="2463" customFormat="1" ht="12.75">
      <c r="B44" s="2464"/>
      <c r="D44" s="2465"/>
      <c r="E44" s="2465"/>
      <c r="F44" s="2465"/>
      <c r="G44" s="2465"/>
      <c r="H44" s="2465"/>
      <c r="I44" s="2579"/>
      <c r="J44" s="2579"/>
      <c r="K44" s="2579"/>
      <c r="L44" s="2579"/>
      <c r="M44" s="2579"/>
      <c r="N44" s="2579"/>
      <c r="O44" s="2579"/>
    </row>
    <row r="45" spans="1:15" s="2463" customFormat="1" ht="12.75">
      <c r="B45" s="2464"/>
      <c r="D45" s="2465"/>
      <c r="E45" s="2465"/>
      <c r="F45" s="2465"/>
      <c r="G45" s="2465"/>
      <c r="H45" s="2465"/>
      <c r="I45" s="2579"/>
      <c r="J45" s="2579"/>
      <c r="K45" s="2579"/>
      <c r="L45" s="2579"/>
      <c r="M45" s="2579"/>
      <c r="N45" s="2579"/>
      <c r="O45" s="2579"/>
    </row>
    <row r="46" spans="1:15" s="2463" customFormat="1" ht="12.75">
      <c r="B46" s="2464"/>
      <c r="D46" s="2465"/>
      <c r="E46" s="2465"/>
      <c r="F46" s="2465"/>
      <c r="G46" s="2465"/>
      <c r="H46" s="2465"/>
      <c r="I46" s="2579"/>
      <c r="J46" s="2579"/>
      <c r="K46" s="2579"/>
      <c r="L46" s="2579"/>
      <c r="M46" s="2579"/>
      <c r="N46" s="2579"/>
      <c r="O46" s="2579"/>
    </row>
    <row r="47" spans="1:15" s="2463" customFormat="1" ht="12.75">
      <c r="B47" s="2464"/>
      <c r="D47" s="2465"/>
      <c r="E47" s="2465"/>
      <c r="F47" s="2465"/>
      <c r="G47" s="2465"/>
      <c r="H47" s="2465"/>
      <c r="I47" s="2579"/>
      <c r="J47" s="2579"/>
      <c r="K47" s="2579"/>
      <c r="L47" s="2579"/>
      <c r="M47" s="2579"/>
      <c r="N47" s="2579"/>
      <c r="O47" s="2579"/>
    </row>
    <row r="48" spans="1:15" s="2463" customFormat="1" ht="12.75">
      <c r="B48" s="2464"/>
      <c r="D48" s="2465"/>
      <c r="E48" s="2465"/>
      <c r="F48" s="2465"/>
      <c r="G48" s="2465"/>
      <c r="H48" s="2465"/>
      <c r="I48" s="2579"/>
      <c r="J48" s="2579"/>
      <c r="K48" s="2579"/>
      <c r="L48" s="2579"/>
      <c r="M48" s="2579"/>
      <c r="N48" s="2579"/>
      <c r="O48" s="2579"/>
    </row>
    <row r="49" spans="1:15" s="2463" customFormat="1" ht="12.75">
      <c r="A49" s="2531"/>
      <c r="B49" s="2533"/>
      <c r="C49" s="2531"/>
      <c r="D49" s="2566"/>
      <c r="E49" s="2566"/>
      <c r="F49" s="2566"/>
      <c r="G49" s="2566"/>
      <c r="H49" s="2566"/>
      <c r="I49" s="2532"/>
      <c r="J49" s="2579"/>
      <c r="K49" s="2579"/>
      <c r="L49" s="2579"/>
      <c r="M49" s="2579"/>
      <c r="N49" s="2579"/>
      <c r="O49" s="2579"/>
    </row>
    <row r="50" spans="1:15" s="2463" customFormat="1" ht="12.75">
      <c r="A50" s="4876"/>
      <c r="B50" s="4876"/>
      <c r="C50" s="4876"/>
      <c r="D50" s="4876"/>
      <c r="E50" s="4876"/>
      <c r="F50" s="4876"/>
      <c r="G50" s="4876"/>
      <c r="H50" s="4876"/>
      <c r="I50" s="2532"/>
      <c r="J50" s="2579"/>
      <c r="K50" s="2579"/>
      <c r="L50" s="2579"/>
      <c r="M50" s="2579"/>
      <c r="N50" s="2579"/>
      <c r="O50" s="2579"/>
    </row>
    <row r="51" spans="1:15">
      <c r="A51" s="4877"/>
      <c r="B51" s="4877"/>
      <c r="C51" s="4877"/>
      <c r="D51" s="4877"/>
      <c r="E51" s="4877"/>
      <c r="F51" s="4877"/>
      <c r="G51" s="4877"/>
      <c r="H51" s="4877"/>
      <c r="I51" s="2530"/>
    </row>
    <row r="52" spans="1:15">
      <c r="A52" s="2529"/>
      <c r="B52" s="2529"/>
      <c r="C52" s="2529"/>
      <c r="D52" s="2529"/>
      <c r="E52" s="2529"/>
      <c r="F52" s="2529"/>
      <c r="G52" s="2529"/>
      <c r="H52" s="2529"/>
      <c r="I52" s="2530"/>
    </row>
    <row r="53" spans="1:15">
      <c r="A53" s="2529"/>
      <c r="B53" s="2529"/>
      <c r="C53" s="2529"/>
      <c r="D53" s="2529"/>
      <c r="E53" s="2529"/>
      <c r="F53" s="2529"/>
      <c r="G53" s="2529"/>
      <c r="H53" s="2529"/>
      <c r="I53" s="2530"/>
    </row>
    <row r="54" spans="1:15" s="2463" customFormat="1">
      <c r="A54" s="2568"/>
      <c r="B54" s="2567"/>
      <c r="C54" s="2529"/>
      <c r="D54" s="2566"/>
      <c r="E54" s="2566"/>
      <c r="F54" s="2566"/>
      <c r="G54" s="2566"/>
      <c r="H54" s="2566"/>
      <c r="I54" s="2532"/>
      <c r="J54" s="2579"/>
      <c r="K54" s="2579"/>
      <c r="L54" s="2579"/>
      <c r="M54" s="2579"/>
      <c r="N54" s="2579"/>
      <c r="O54" s="2579"/>
    </row>
    <row r="55" spans="1:15" s="2463" customFormat="1" ht="12.75">
      <c r="A55" s="1269"/>
      <c r="B55" s="1269"/>
      <c r="C55" s="2542"/>
      <c r="D55" s="2541"/>
      <c r="E55" s="2561"/>
      <c r="F55" s="2540"/>
      <c r="G55" s="2565"/>
      <c r="H55" s="2561"/>
      <c r="I55" s="2532"/>
      <c r="J55" s="2579"/>
      <c r="K55" s="2579"/>
      <c r="L55" s="2579"/>
      <c r="M55" s="2579"/>
      <c r="N55" s="2579"/>
      <c r="O55" s="2579"/>
    </row>
    <row r="56" spans="1:15" s="2463" customFormat="1" ht="23.25">
      <c r="A56" s="2575"/>
      <c r="B56" s="2571"/>
      <c r="C56" s="2542"/>
      <c r="D56" s="2541"/>
      <c r="E56" s="2561"/>
      <c r="F56" s="2540"/>
      <c r="G56" s="2562"/>
      <c r="H56" s="2561"/>
      <c r="I56" s="2532"/>
      <c r="J56" s="2579"/>
      <c r="K56" s="2579"/>
      <c r="L56" s="2579"/>
      <c r="M56" s="2579"/>
      <c r="N56" s="2579"/>
      <c r="O56" s="2579"/>
    </row>
    <row r="57" spans="1:15" s="2463" customFormat="1" ht="12.75">
      <c r="A57" s="4879"/>
      <c r="B57" s="4879"/>
      <c r="C57" s="2559"/>
      <c r="D57" s="2560"/>
      <c r="E57" s="4880"/>
      <c r="F57" s="4880"/>
      <c r="G57" s="4880"/>
      <c r="H57" s="2557"/>
      <c r="I57" s="2532"/>
      <c r="J57" s="2579"/>
      <c r="K57" s="2579"/>
      <c r="L57" s="2579"/>
      <c r="M57" s="2579"/>
      <c r="N57" s="2579"/>
      <c r="O57" s="2579"/>
    </row>
    <row r="58" spans="1:15" s="2463" customFormat="1" ht="12.75">
      <c r="A58" s="4879"/>
      <c r="B58" s="4879"/>
      <c r="C58" s="2559"/>
      <c r="D58" s="2558"/>
      <c r="E58" s="2558"/>
      <c r="F58" s="2558"/>
      <c r="G58" s="2558"/>
      <c r="H58" s="2558"/>
      <c r="I58" s="2532"/>
      <c r="J58" s="2579"/>
      <c r="K58" s="2579"/>
      <c r="L58" s="2579"/>
      <c r="M58" s="2579"/>
      <c r="N58" s="2579"/>
      <c r="O58" s="2579"/>
    </row>
    <row r="59" spans="1:15" s="2463" customFormat="1" ht="12.75">
      <c r="A59" s="4879"/>
      <c r="B59" s="4879"/>
      <c r="C59" s="2557"/>
      <c r="D59" s="2555"/>
      <c r="E59" s="2555"/>
      <c r="F59" s="2555"/>
      <c r="G59" s="2556"/>
      <c r="H59" s="2555"/>
      <c r="I59" s="2532"/>
      <c r="J59" s="2579"/>
      <c r="K59" s="2579"/>
      <c r="L59" s="2579"/>
      <c r="M59" s="2579"/>
      <c r="N59" s="2579"/>
      <c r="O59" s="2579"/>
    </row>
    <row r="60" spans="1:15" s="2463" customFormat="1" ht="12.75">
      <c r="A60" s="2554"/>
      <c r="B60" s="2553"/>
      <c r="C60" s="2552"/>
      <c r="D60" s="2551"/>
      <c r="E60" s="2551"/>
      <c r="F60" s="2551"/>
      <c r="G60" s="2551"/>
      <c r="H60" s="2551"/>
      <c r="I60" s="2532"/>
      <c r="J60" s="2579"/>
      <c r="K60" s="2579"/>
      <c r="L60" s="2579"/>
      <c r="M60" s="2579"/>
      <c r="N60" s="2579"/>
      <c r="O60" s="2579"/>
    </row>
    <row r="61" spans="1:15" s="2463" customFormat="1" ht="12.75">
      <c r="A61" s="2549"/>
      <c r="B61" s="2549"/>
      <c r="C61" s="2545"/>
      <c r="D61" s="2548"/>
      <c r="E61" s="2548"/>
      <c r="F61" s="2540"/>
      <c r="G61" s="2548"/>
      <c r="H61" s="2548"/>
      <c r="I61" s="2532"/>
      <c r="J61" s="2579"/>
      <c r="K61" s="2579"/>
      <c r="L61" s="2579"/>
      <c r="M61" s="2579"/>
      <c r="N61" s="2579"/>
      <c r="O61" s="2579"/>
    </row>
    <row r="62" spans="1:15" s="2463" customFormat="1" ht="12.75">
      <c r="A62" s="2549"/>
      <c r="B62" s="2549"/>
      <c r="C62" s="2545"/>
      <c r="D62" s="2548"/>
      <c r="E62" s="2548"/>
      <c r="F62" s="2540"/>
      <c r="G62" s="2548"/>
      <c r="H62" s="2548"/>
      <c r="I62" s="2532"/>
      <c r="J62" s="2579"/>
      <c r="K62" s="2579"/>
      <c r="L62" s="2579"/>
      <c r="M62" s="2579"/>
      <c r="N62" s="2579"/>
      <c r="O62" s="2579"/>
    </row>
    <row r="63" spans="1:15" s="2463" customFormat="1" ht="12.75">
      <c r="A63" s="2546"/>
      <c r="B63" s="1269"/>
      <c r="C63" s="2545"/>
      <c r="D63" s="2541"/>
      <c r="E63" s="2544"/>
      <c r="F63" s="2540"/>
      <c r="G63" s="2544"/>
      <c r="H63" s="2544"/>
      <c r="I63" s="2532"/>
      <c r="J63" s="2579"/>
      <c r="K63" s="2579"/>
      <c r="L63" s="2579"/>
      <c r="M63" s="2579"/>
      <c r="N63" s="2579"/>
      <c r="O63" s="2579"/>
    </row>
    <row r="64" spans="1:15" s="2463" customFormat="1" ht="12.75">
      <c r="A64" s="2549"/>
      <c r="B64" s="2549"/>
      <c r="C64" s="2545"/>
      <c r="D64" s="2541"/>
      <c r="E64" s="2544"/>
      <c r="F64" s="2540"/>
      <c r="G64" s="2544"/>
      <c r="H64" s="2544"/>
      <c r="I64" s="2532"/>
      <c r="J64" s="2579"/>
      <c r="K64" s="2579"/>
      <c r="L64" s="2579"/>
      <c r="M64" s="2579"/>
      <c r="N64" s="2579"/>
      <c r="O64" s="2579"/>
    </row>
    <row r="65" spans="1:15" s="2463" customFormat="1" ht="12.75">
      <c r="A65" s="2573"/>
      <c r="B65" s="2574"/>
      <c r="C65" s="2545"/>
      <c r="D65" s="2541"/>
      <c r="E65" s="2544"/>
      <c r="F65" s="2540"/>
      <c r="G65" s="2544"/>
      <c r="H65" s="2544"/>
      <c r="I65" s="2532"/>
      <c r="J65" s="2579"/>
      <c r="K65" s="2579"/>
      <c r="L65" s="2579"/>
      <c r="M65" s="2579"/>
      <c r="N65" s="2579"/>
      <c r="O65" s="2579"/>
    </row>
    <row r="66" spans="1:15" s="2463" customFormat="1" ht="12.75">
      <c r="A66" s="2549"/>
      <c r="B66" s="2549"/>
      <c r="C66" s="2542"/>
      <c r="D66" s="2541"/>
      <c r="E66" s="2544"/>
      <c r="F66" s="2540"/>
      <c r="G66" s="2544"/>
      <c r="H66" s="2544"/>
      <c r="I66" s="2532"/>
      <c r="J66" s="2579"/>
      <c r="K66" s="2579"/>
      <c r="L66" s="2579"/>
      <c r="M66" s="2579"/>
      <c r="N66" s="2579"/>
      <c r="O66" s="2579"/>
    </row>
    <row r="67" spans="1:15" s="2463" customFormat="1" ht="12.75">
      <c r="A67" s="2573"/>
      <c r="B67" s="2572"/>
      <c r="C67" s="2545"/>
      <c r="D67" s="2541"/>
      <c r="E67" s="2544"/>
      <c r="F67" s="2540"/>
      <c r="G67" s="2544"/>
      <c r="H67" s="2544"/>
      <c r="I67" s="2532"/>
      <c r="J67" s="2579"/>
      <c r="K67" s="2579"/>
      <c r="L67" s="2579"/>
      <c r="M67" s="2579"/>
      <c r="N67" s="2579"/>
      <c r="O67" s="2579"/>
    </row>
    <row r="68" spans="1:15" s="2463" customFormat="1" ht="12.75">
      <c r="A68" s="2546"/>
      <c r="B68" s="1269"/>
      <c r="C68" s="2545"/>
      <c r="D68" s="2541"/>
      <c r="E68" s="2544"/>
      <c r="F68" s="2540"/>
      <c r="G68" s="2544"/>
      <c r="H68" s="2544"/>
      <c r="I68" s="2532"/>
      <c r="J68" s="2579"/>
      <c r="K68" s="2579"/>
      <c r="L68" s="2579"/>
      <c r="M68" s="2579"/>
      <c r="N68" s="2579"/>
      <c r="O68" s="2579"/>
    </row>
    <row r="69" spans="1:15" s="2463" customFormat="1" ht="12.75">
      <c r="A69" s="2546"/>
      <c r="B69" s="1269"/>
      <c r="C69" s="2542"/>
      <c r="D69" s="2541"/>
      <c r="E69" s="2544"/>
      <c r="F69" s="2540"/>
      <c r="G69" s="2544"/>
      <c r="H69" s="2544"/>
      <c r="I69" s="2532"/>
      <c r="J69" s="2579"/>
      <c r="K69" s="2579"/>
      <c r="L69" s="2579"/>
      <c r="M69" s="2579"/>
      <c r="N69" s="2579"/>
      <c r="O69" s="2579"/>
    </row>
    <row r="70" spans="1:15" s="2463" customFormat="1" ht="12.75">
      <c r="A70" s="2546"/>
      <c r="B70" s="1269"/>
      <c r="C70" s="2545"/>
      <c r="D70" s="2541"/>
      <c r="E70" s="2544"/>
      <c r="F70" s="2540"/>
      <c r="G70" s="2544"/>
      <c r="H70" s="2544"/>
      <c r="I70" s="2532"/>
      <c r="J70" s="2579"/>
      <c r="K70" s="2579"/>
      <c r="L70" s="2579"/>
      <c r="M70" s="2579"/>
      <c r="N70" s="2579"/>
      <c r="O70" s="2579"/>
    </row>
    <row r="71" spans="1:15" s="2463" customFormat="1" ht="12.75">
      <c r="A71" s="2546"/>
      <c r="B71" s="1269"/>
      <c r="C71" s="2550"/>
      <c r="D71" s="2541"/>
      <c r="E71" s="2544"/>
      <c r="F71" s="2540"/>
      <c r="G71" s="2544"/>
      <c r="H71" s="2544"/>
      <c r="I71" s="2532"/>
      <c r="J71" s="2579"/>
      <c r="K71" s="2579"/>
      <c r="L71" s="2579"/>
      <c r="M71" s="2579"/>
      <c r="N71" s="2579"/>
      <c r="O71" s="2579"/>
    </row>
    <row r="72" spans="1:15" s="2463" customFormat="1" ht="12.75">
      <c r="A72" s="2546"/>
      <c r="B72" s="1269"/>
      <c r="C72" s="2550"/>
      <c r="D72" s="2541"/>
      <c r="E72" s="2544"/>
      <c r="F72" s="2540"/>
      <c r="G72" s="2544"/>
      <c r="H72" s="2544"/>
      <c r="I72" s="2532"/>
      <c r="J72" s="2579"/>
      <c r="K72" s="2579"/>
      <c r="L72" s="2579"/>
      <c r="M72" s="2579"/>
      <c r="N72" s="2579"/>
      <c r="O72" s="2579"/>
    </row>
    <row r="73" spans="1:15" s="2463" customFormat="1" ht="12.75">
      <c r="A73" s="2538"/>
      <c r="B73" s="2538"/>
      <c r="C73" s="2537"/>
      <c r="D73" s="2536"/>
      <c r="E73" s="2536"/>
      <c r="F73" s="2536"/>
      <c r="G73" s="2536"/>
      <c r="H73" s="2536"/>
      <c r="I73" s="2532"/>
      <c r="J73" s="2579"/>
      <c r="K73" s="2579"/>
      <c r="L73" s="2579"/>
      <c r="M73" s="2579"/>
      <c r="N73" s="2579"/>
      <c r="O73" s="2579"/>
    </row>
    <row r="74" spans="1:15" s="2463" customFormat="1" ht="12.75">
      <c r="A74" s="2538"/>
      <c r="B74" s="2538"/>
      <c r="C74" s="2537"/>
      <c r="D74" s="2536"/>
      <c r="E74" s="2536"/>
      <c r="F74" s="2536"/>
      <c r="G74" s="2536"/>
      <c r="H74" s="2536"/>
      <c r="I74" s="2532"/>
      <c r="J74" s="2579"/>
      <c r="K74" s="2579"/>
      <c r="L74" s="2579"/>
      <c r="M74" s="2579"/>
      <c r="N74" s="2579"/>
      <c r="O74" s="2579"/>
    </row>
    <row r="75" spans="1:15" s="2463" customFormat="1">
      <c r="A75" s="1269"/>
      <c r="B75" s="2529"/>
      <c r="C75" s="2535"/>
      <c r="D75" s="2529"/>
      <c r="E75" s="4877"/>
      <c r="F75" s="4877"/>
      <c r="G75" s="1269"/>
      <c r="H75" s="2529"/>
      <c r="I75" s="2532"/>
      <c r="J75" s="2579"/>
      <c r="K75" s="2579"/>
      <c r="L75" s="2579"/>
      <c r="M75" s="2579"/>
      <c r="N75" s="2579"/>
      <c r="O75" s="2579"/>
    </row>
    <row r="76" spans="1:15" s="2463" customFormat="1">
      <c r="A76" s="2529"/>
      <c r="B76" s="1269"/>
      <c r="C76" s="2535"/>
      <c r="D76" s="1269"/>
      <c r="E76" s="1269"/>
      <c r="F76" s="1269"/>
      <c r="G76" s="1269"/>
      <c r="H76" s="2529"/>
      <c r="I76" s="2532"/>
      <c r="J76" s="2579"/>
      <c r="K76" s="2579"/>
      <c r="L76" s="2579"/>
      <c r="M76" s="2579"/>
      <c r="N76" s="2579"/>
      <c r="O76" s="2579"/>
    </row>
    <row r="77" spans="1:15" s="2463" customFormat="1" ht="12.75">
      <c r="A77" s="2534"/>
      <c r="B77" s="1269"/>
      <c r="C77" s="4881"/>
      <c r="D77" s="4881"/>
      <c r="E77" s="4876"/>
      <c r="F77" s="4876"/>
      <c r="G77" s="4876"/>
      <c r="H77" s="4876"/>
      <c r="I77" s="2532"/>
      <c r="J77" s="2579"/>
      <c r="K77" s="2579"/>
      <c r="L77" s="2579"/>
      <c r="M77" s="2579"/>
      <c r="N77" s="2579"/>
      <c r="O77" s="2579"/>
    </row>
    <row r="78" spans="1:15" s="2463" customFormat="1" ht="12.75">
      <c r="A78" s="2531"/>
      <c r="B78" s="2533"/>
      <c r="C78" s="4874"/>
      <c r="D78" s="4874"/>
      <c r="E78" s="4875"/>
      <c r="F78" s="4875"/>
      <c r="G78" s="4875"/>
      <c r="H78" s="4875"/>
      <c r="I78" s="2532"/>
      <c r="J78" s="2579"/>
      <c r="K78" s="2579"/>
      <c r="L78" s="2579"/>
      <c r="M78" s="2579"/>
      <c r="N78" s="2579"/>
      <c r="O78" s="2579"/>
    </row>
    <row r="79" spans="1:15" s="2463" customFormat="1" ht="12.75">
      <c r="A79" s="2531"/>
      <c r="B79" s="2533"/>
      <c r="C79" s="2531"/>
      <c r="D79" s="2566"/>
      <c r="E79" s="2566"/>
      <c r="F79" s="2566"/>
      <c r="G79" s="2566"/>
      <c r="H79" s="2566"/>
      <c r="I79" s="2532"/>
      <c r="J79" s="2579"/>
      <c r="K79" s="2579"/>
      <c r="L79" s="2579"/>
      <c r="M79" s="2579"/>
      <c r="N79" s="2579"/>
      <c r="O79" s="2579"/>
    </row>
    <row r="80" spans="1:15" s="2463" customFormat="1" ht="12.75">
      <c r="A80" s="2531"/>
      <c r="B80" s="2533"/>
      <c r="C80" s="2531"/>
      <c r="D80" s="2566"/>
      <c r="E80" s="2566"/>
      <c r="F80" s="2566"/>
      <c r="G80" s="2566"/>
      <c r="H80" s="2566"/>
      <c r="I80" s="2532"/>
      <c r="J80" s="2579"/>
      <c r="K80" s="2579"/>
      <c r="L80" s="2579"/>
      <c r="M80" s="2579"/>
      <c r="N80" s="2579"/>
      <c r="O80" s="2579"/>
    </row>
    <row r="81" spans="1:15" s="2463" customFormat="1" ht="12.75">
      <c r="A81" s="2531"/>
      <c r="B81" s="2533"/>
      <c r="C81" s="2531"/>
      <c r="D81" s="2566"/>
      <c r="E81" s="2566"/>
      <c r="F81" s="2566"/>
      <c r="G81" s="2566"/>
      <c r="H81" s="2566"/>
      <c r="I81" s="2532"/>
      <c r="J81" s="2579"/>
      <c r="K81" s="2579"/>
      <c r="L81" s="2579"/>
      <c r="M81" s="2579"/>
      <c r="N81" s="2579"/>
      <c r="O81" s="2579"/>
    </row>
    <row r="82" spans="1:15" s="2463" customFormat="1" ht="12.75">
      <c r="A82" s="2531"/>
      <c r="B82" s="2533"/>
      <c r="C82" s="2531"/>
      <c r="D82" s="2566"/>
      <c r="E82" s="2566"/>
      <c r="F82" s="2566"/>
      <c r="G82" s="2566"/>
      <c r="H82" s="2566"/>
      <c r="I82" s="2532"/>
      <c r="J82" s="2579"/>
      <c r="K82" s="2579"/>
      <c r="L82" s="2579"/>
      <c r="M82" s="2579"/>
      <c r="N82" s="2579"/>
      <c r="O82" s="2579"/>
    </row>
    <row r="83" spans="1:15" s="2463" customFormat="1" ht="12.75">
      <c r="A83" s="2531"/>
      <c r="B83" s="2533"/>
      <c r="C83" s="2531"/>
      <c r="D83" s="2566"/>
      <c r="E83" s="2566"/>
      <c r="F83" s="2566"/>
      <c r="G83" s="2566"/>
      <c r="H83" s="2566"/>
      <c r="I83" s="2532"/>
      <c r="J83" s="2579"/>
      <c r="K83" s="2579"/>
      <c r="L83" s="2579"/>
      <c r="M83" s="2579"/>
      <c r="N83" s="2579"/>
      <c r="O83" s="2579"/>
    </row>
    <row r="84" spans="1:15" s="2463" customFormat="1" ht="12.75">
      <c r="A84" s="2531"/>
      <c r="B84" s="2533"/>
      <c r="C84" s="2531"/>
      <c r="D84" s="2566"/>
      <c r="E84" s="2566"/>
      <c r="F84" s="2566"/>
      <c r="G84" s="2566"/>
      <c r="H84" s="2566"/>
      <c r="I84" s="2532"/>
      <c r="J84" s="2579"/>
      <c r="K84" s="2579"/>
      <c r="L84" s="2579"/>
      <c r="M84" s="2579"/>
      <c r="N84" s="2579"/>
      <c r="O84" s="2579"/>
    </row>
    <row r="85" spans="1:15" s="2463" customFormat="1" ht="12.75">
      <c r="A85" s="2531"/>
      <c r="B85" s="2533"/>
      <c r="C85" s="2531"/>
      <c r="D85" s="2566"/>
      <c r="E85" s="2566"/>
      <c r="F85" s="2566"/>
      <c r="G85" s="2566"/>
      <c r="H85" s="2566"/>
      <c r="I85" s="2532"/>
      <c r="J85" s="2579"/>
      <c r="K85" s="2579"/>
      <c r="L85" s="2579"/>
      <c r="M85" s="2579"/>
      <c r="N85" s="2579"/>
      <c r="O85" s="2579"/>
    </row>
    <row r="86" spans="1:15" s="2463" customFormat="1" ht="12.75">
      <c r="A86" s="2531"/>
      <c r="B86" s="2533"/>
      <c r="C86" s="2531"/>
      <c r="D86" s="2566"/>
      <c r="E86" s="2566"/>
      <c r="F86" s="2566"/>
      <c r="G86" s="2566"/>
      <c r="H86" s="2566"/>
      <c r="I86" s="2532"/>
      <c r="J86" s="2579"/>
      <c r="K86" s="2579"/>
      <c r="L86" s="2579"/>
      <c r="M86" s="2579"/>
      <c r="N86" s="2579"/>
      <c r="O86" s="2579"/>
    </row>
    <row r="87" spans="1:15" s="2463" customFormat="1" ht="12.75">
      <c r="A87" s="2531"/>
      <c r="B87" s="2533"/>
      <c r="C87" s="2531"/>
      <c r="D87" s="2566"/>
      <c r="E87" s="2566"/>
      <c r="F87" s="2566"/>
      <c r="G87" s="2566"/>
      <c r="H87" s="2566"/>
      <c r="I87" s="2532"/>
      <c r="J87" s="2579"/>
      <c r="K87" s="2579"/>
      <c r="L87" s="2579"/>
      <c r="M87" s="2579"/>
      <c r="N87" s="2579"/>
      <c r="O87" s="2579"/>
    </row>
    <row r="88" spans="1:15" s="2463" customFormat="1" ht="12.75">
      <c r="A88" s="2531"/>
      <c r="B88" s="2533"/>
      <c r="C88" s="2531"/>
      <c r="D88" s="2566"/>
      <c r="E88" s="2566"/>
      <c r="F88" s="2566"/>
      <c r="G88" s="2566"/>
      <c r="H88" s="2566"/>
      <c r="I88" s="2532"/>
      <c r="J88" s="2579"/>
      <c r="K88" s="2579"/>
      <c r="L88" s="2579"/>
      <c r="M88" s="2579"/>
      <c r="N88" s="2579"/>
      <c r="O88" s="2579"/>
    </row>
    <row r="89" spans="1:15" s="2463" customFormat="1" ht="12.75">
      <c r="A89" s="2531"/>
      <c r="B89" s="2533"/>
      <c r="C89" s="2531"/>
      <c r="D89" s="2566"/>
      <c r="E89" s="2566"/>
      <c r="F89" s="2566"/>
      <c r="G89" s="2566"/>
      <c r="H89" s="2566"/>
      <c r="I89" s="2532"/>
      <c r="J89" s="2579"/>
      <c r="K89" s="2579"/>
      <c r="L89" s="2579"/>
      <c r="M89" s="2579"/>
      <c r="N89" s="2579"/>
      <c r="O89" s="2579"/>
    </row>
    <row r="90" spans="1:15" s="2463" customFormat="1" ht="12.75">
      <c r="A90" s="2531"/>
      <c r="B90" s="2533"/>
      <c r="C90" s="2531"/>
      <c r="D90" s="2566"/>
      <c r="E90" s="2566"/>
      <c r="F90" s="2566"/>
      <c r="G90" s="2566"/>
      <c r="H90" s="2566"/>
      <c r="I90" s="2532"/>
      <c r="J90" s="2579"/>
      <c r="K90" s="2579"/>
      <c r="L90" s="2579"/>
      <c r="M90" s="2579"/>
      <c r="N90" s="2579"/>
      <c r="O90" s="2579"/>
    </row>
    <row r="91" spans="1:15" s="2463" customFormat="1" ht="12.75">
      <c r="A91" s="2531"/>
      <c r="B91" s="2533"/>
      <c r="C91" s="2531"/>
      <c r="D91" s="2566"/>
      <c r="E91" s="2566"/>
      <c r="F91" s="2566"/>
      <c r="G91" s="2566"/>
      <c r="H91" s="2566"/>
      <c r="I91" s="2532"/>
      <c r="J91" s="2579"/>
      <c r="K91" s="2579"/>
      <c r="L91" s="2579"/>
      <c r="M91" s="2579"/>
      <c r="N91" s="2579"/>
      <c r="O91" s="2579"/>
    </row>
    <row r="92" spans="1:15">
      <c r="A92" s="4876"/>
      <c r="B92" s="4876"/>
      <c r="C92" s="4876"/>
      <c r="D92" s="4876"/>
      <c r="E92" s="4876"/>
      <c r="F92" s="4876"/>
      <c r="G92" s="4876"/>
      <c r="H92" s="4876"/>
      <c r="I92" s="2530"/>
    </row>
    <row r="93" spans="1:15">
      <c r="A93" s="4877"/>
      <c r="B93" s="4877"/>
      <c r="C93" s="4877"/>
      <c r="D93" s="4877"/>
      <c r="E93" s="4877"/>
      <c r="F93" s="4877"/>
      <c r="G93" s="4877"/>
      <c r="H93" s="4877"/>
      <c r="I93" s="2530"/>
    </row>
    <row r="94" spans="1:15">
      <c r="A94" s="4876"/>
      <c r="B94" s="4876"/>
      <c r="C94" s="4876"/>
      <c r="D94" s="4876"/>
      <c r="E94" s="4876"/>
      <c r="F94" s="4876"/>
      <c r="G94" s="4876"/>
      <c r="H94" s="4876"/>
      <c r="I94" s="2530"/>
    </row>
    <row r="95" spans="1:15">
      <c r="A95" s="4877"/>
      <c r="B95" s="4877"/>
      <c r="C95" s="4877"/>
      <c r="D95" s="4877"/>
      <c r="E95" s="4877"/>
      <c r="F95" s="4877"/>
      <c r="G95" s="4877"/>
      <c r="H95" s="4877"/>
      <c r="I95" s="2530"/>
    </row>
    <row r="96" spans="1:15">
      <c r="A96" s="2529"/>
      <c r="B96" s="2529"/>
      <c r="C96" s="2529"/>
      <c r="D96" s="2529"/>
      <c r="E96" s="2529"/>
      <c r="F96" s="2529"/>
      <c r="G96" s="2529"/>
      <c r="H96" s="2529"/>
      <c r="I96" s="2530"/>
    </row>
    <row r="97" spans="1:15" s="2463" customFormat="1">
      <c r="A97" s="2568"/>
      <c r="B97" s="2567"/>
      <c r="C97" s="2529"/>
      <c r="D97" s="2566"/>
      <c r="E97" s="2566"/>
      <c r="F97" s="2566"/>
      <c r="G97" s="2566"/>
      <c r="H97" s="2566"/>
      <c r="I97" s="2532"/>
      <c r="J97" s="2579"/>
      <c r="K97" s="2579"/>
      <c r="L97" s="2579"/>
      <c r="M97" s="2579"/>
      <c r="N97" s="2579"/>
      <c r="O97" s="2579"/>
    </row>
    <row r="98" spans="1:15" s="2463" customFormat="1" ht="12.75">
      <c r="A98" s="1269"/>
      <c r="B98" s="1269"/>
      <c r="C98" s="2542"/>
      <c r="D98" s="2541"/>
      <c r="E98" s="2561"/>
      <c r="F98" s="2540"/>
      <c r="G98" s="2565"/>
      <c r="H98" s="2561"/>
      <c r="I98" s="2532"/>
      <c r="J98" s="2579"/>
      <c r="K98" s="2579"/>
      <c r="L98" s="2579"/>
      <c r="M98" s="2579"/>
      <c r="N98" s="2579"/>
      <c r="O98" s="2579"/>
    </row>
    <row r="99" spans="1:15" s="2463" customFormat="1" ht="23.25">
      <c r="A99" s="2571"/>
      <c r="B99" s="2571"/>
      <c r="C99" s="2542"/>
      <c r="D99" s="2541"/>
      <c r="E99" s="2561"/>
      <c r="F99" s="2540"/>
      <c r="G99" s="2562"/>
      <c r="H99" s="2561"/>
      <c r="I99" s="2532"/>
      <c r="J99" s="2579"/>
      <c r="K99" s="2579"/>
      <c r="L99" s="2579"/>
      <c r="M99" s="2579"/>
      <c r="N99" s="2579"/>
      <c r="O99" s="2579"/>
    </row>
    <row r="100" spans="1:15" s="2463" customFormat="1" ht="12.75">
      <c r="A100" s="4879"/>
      <c r="B100" s="4879"/>
      <c r="C100" s="2559"/>
      <c r="D100" s="2560"/>
      <c r="E100" s="4880"/>
      <c r="F100" s="4880"/>
      <c r="G100" s="4880"/>
      <c r="H100" s="2557"/>
      <c r="I100" s="2532"/>
      <c r="J100" s="2579"/>
      <c r="K100" s="2579"/>
      <c r="L100" s="2579"/>
      <c r="M100" s="2579"/>
      <c r="N100" s="2579"/>
      <c r="O100" s="2579"/>
    </row>
    <row r="101" spans="1:15" s="2463" customFormat="1" ht="12.75">
      <c r="A101" s="4879"/>
      <c r="B101" s="4879"/>
      <c r="C101" s="2559"/>
      <c r="D101" s="2558"/>
      <c r="E101" s="2558"/>
      <c r="F101" s="2558"/>
      <c r="G101" s="2558"/>
      <c r="H101" s="2558"/>
      <c r="I101" s="2532"/>
      <c r="J101" s="2579"/>
      <c r="K101" s="2579"/>
      <c r="L101" s="2579"/>
      <c r="M101" s="2579"/>
      <c r="N101" s="2579"/>
      <c r="O101" s="2579"/>
    </row>
    <row r="102" spans="1:15" s="2463" customFormat="1" ht="12.75">
      <c r="A102" s="4879"/>
      <c r="B102" s="4879"/>
      <c r="C102" s="2557"/>
      <c r="D102" s="2555"/>
      <c r="E102" s="2555"/>
      <c r="F102" s="2555"/>
      <c r="G102" s="2556"/>
      <c r="H102" s="2555"/>
      <c r="I102" s="2532"/>
      <c r="J102" s="2579"/>
      <c r="K102" s="2579"/>
      <c r="L102" s="2579"/>
      <c r="M102" s="2579"/>
      <c r="N102" s="2579"/>
      <c r="O102" s="2579"/>
    </row>
    <row r="103" spans="1:15" s="2463" customFormat="1" ht="12.75">
      <c r="A103" s="2554"/>
      <c r="B103" s="2553"/>
      <c r="C103" s="2552"/>
      <c r="D103" s="2551"/>
      <c r="E103" s="2551"/>
      <c r="F103" s="2551"/>
      <c r="G103" s="2551"/>
      <c r="H103" s="2551"/>
      <c r="I103" s="2532"/>
      <c r="J103" s="2579"/>
      <c r="K103" s="2579"/>
      <c r="L103" s="2579"/>
      <c r="M103" s="2579"/>
      <c r="N103" s="2579"/>
      <c r="O103" s="2579"/>
    </row>
    <row r="104" spans="1:15" s="2463" customFormat="1" ht="12.75">
      <c r="A104" s="2549"/>
      <c r="B104" s="2549"/>
      <c r="C104" s="2545"/>
      <c r="D104" s="2548"/>
      <c r="E104" s="2548"/>
      <c r="F104" s="2540"/>
      <c r="G104" s="2548"/>
      <c r="H104" s="2548"/>
      <c r="I104" s="2532"/>
      <c r="J104" s="2579"/>
      <c r="K104" s="2579"/>
      <c r="L104" s="2579"/>
      <c r="M104" s="2579"/>
      <c r="N104" s="2579"/>
      <c r="O104" s="2579"/>
    </row>
    <row r="105" spans="1:15" s="2463" customFormat="1" ht="12.75">
      <c r="A105" s="2549"/>
      <c r="B105" s="2549"/>
      <c r="C105" s="2545"/>
      <c r="D105" s="2548"/>
      <c r="E105" s="2548"/>
      <c r="F105" s="2540"/>
      <c r="G105" s="2548"/>
      <c r="H105" s="2548"/>
      <c r="I105" s="2532"/>
      <c r="J105" s="2579"/>
      <c r="K105" s="2579"/>
      <c r="L105" s="2579"/>
      <c r="M105" s="2579"/>
      <c r="N105" s="2579"/>
      <c r="O105" s="2579"/>
    </row>
    <row r="106" spans="1:15" s="2463" customFormat="1" ht="12.75">
      <c r="A106" s="2546"/>
      <c r="B106" s="1269"/>
      <c r="C106" s="2545"/>
      <c r="D106" s="2541"/>
      <c r="E106" s="2544"/>
      <c r="F106" s="2540"/>
      <c r="G106" s="2544"/>
      <c r="H106" s="2544"/>
      <c r="I106" s="2532"/>
      <c r="J106" s="2579"/>
      <c r="K106" s="2579"/>
      <c r="L106" s="2579"/>
      <c r="M106" s="2579"/>
      <c r="N106" s="2579"/>
      <c r="O106" s="2579"/>
    </row>
    <row r="107" spans="1:15" s="2463" customFormat="1" ht="12.75">
      <c r="A107" s="2549"/>
      <c r="B107" s="2549"/>
      <c r="C107" s="2545"/>
      <c r="D107" s="2541"/>
      <c r="E107" s="2544"/>
      <c r="F107" s="2540"/>
      <c r="G107" s="2544"/>
      <c r="H107" s="2544"/>
      <c r="I107" s="2532"/>
      <c r="J107" s="2579"/>
      <c r="K107" s="2579"/>
      <c r="L107" s="2579"/>
      <c r="M107" s="2579"/>
      <c r="N107" s="2579"/>
      <c r="O107" s="2579"/>
    </row>
    <row r="108" spans="1:15" s="2463" customFormat="1" ht="12.75">
      <c r="A108" s="2546"/>
      <c r="B108" s="1269"/>
      <c r="C108" s="2542"/>
      <c r="D108" s="2541"/>
      <c r="E108" s="2544"/>
      <c r="F108" s="2540"/>
      <c r="G108" s="2544"/>
      <c r="H108" s="2544"/>
      <c r="I108" s="2532"/>
      <c r="J108" s="2579"/>
      <c r="K108" s="2579"/>
      <c r="L108" s="2579"/>
      <c r="M108" s="2579"/>
      <c r="N108" s="2579"/>
      <c r="O108" s="2579"/>
    </row>
    <row r="109" spans="1:15" s="2463" customFormat="1" ht="12.75">
      <c r="A109" s="2549"/>
      <c r="B109" s="2549"/>
      <c r="C109" s="2542"/>
      <c r="D109" s="2541"/>
      <c r="E109" s="2544"/>
      <c r="F109" s="2540"/>
      <c r="G109" s="2544"/>
      <c r="H109" s="2544"/>
      <c r="I109" s="2532"/>
      <c r="J109" s="2579"/>
      <c r="K109" s="2579"/>
      <c r="L109" s="2579"/>
      <c r="M109" s="2579"/>
      <c r="N109" s="2579"/>
      <c r="O109" s="2579"/>
    </row>
    <row r="110" spans="1:15" s="2463" customFormat="1" ht="12.75">
      <c r="A110" s="2546"/>
      <c r="B110" s="1269"/>
      <c r="C110" s="2545"/>
      <c r="D110" s="2541"/>
      <c r="E110" s="2544"/>
      <c r="F110" s="2540"/>
      <c r="G110" s="2544"/>
      <c r="H110" s="2544"/>
      <c r="I110" s="2532"/>
      <c r="J110" s="2579"/>
      <c r="K110" s="2579"/>
      <c r="L110" s="2579"/>
      <c r="M110" s="2579"/>
      <c r="N110" s="2579"/>
      <c r="O110" s="2579"/>
    </row>
    <row r="111" spans="1:15" s="2463" customFormat="1" ht="12.75">
      <c r="A111" s="2547"/>
      <c r="B111" s="2546"/>
      <c r="C111" s="2545"/>
      <c r="D111" s="2541"/>
      <c r="E111" s="2544"/>
      <c r="F111" s="2540"/>
      <c r="G111" s="2544"/>
      <c r="H111" s="2544"/>
      <c r="I111" s="2532"/>
      <c r="J111" s="2579"/>
      <c r="K111" s="2579"/>
      <c r="L111" s="2579"/>
      <c r="M111" s="2579"/>
      <c r="N111" s="2579"/>
      <c r="O111" s="2579"/>
    </row>
    <row r="112" spans="1:15" s="2463" customFormat="1" ht="12.75">
      <c r="A112" s="2543"/>
      <c r="B112" s="2543"/>
      <c r="C112" s="2542"/>
      <c r="D112" s="2541"/>
      <c r="E112" s="2539"/>
      <c r="F112" s="2540"/>
      <c r="G112" s="2539"/>
      <c r="H112" s="2539"/>
      <c r="I112" s="2532"/>
      <c r="J112" s="2579"/>
      <c r="K112" s="2579"/>
      <c r="L112" s="2579"/>
      <c r="M112" s="2579"/>
      <c r="N112" s="2579"/>
      <c r="O112" s="2579"/>
    </row>
    <row r="113" spans="1:15" s="2463" customFormat="1" ht="12.75">
      <c r="A113" s="2538"/>
      <c r="B113" s="2538"/>
      <c r="C113" s="2537"/>
      <c r="D113" s="2536"/>
      <c r="E113" s="2536"/>
      <c r="F113" s="2536"/>
      <c r="G113" s="2536"/>
      <c r="H113" s="2536"/>
      <c r="I113" s="2532"/>
      <c r="J113" s="2579"/>
      <c r="K113" s="2579"/>
      <c r="L113" s="2579"/>
      <c r="M113" s="2579"/>
      <c r="N113" s="2579"/>
      <c r="O113" s="2579"/>
    </row>
    <row r="114" spans="1:15" s="2463" customFormat="1" ht="12.75">
      <c r="A114" s="2538"/>
      <c r="B114" s="2538"/>
      <c r="C114" s="2537"/>
      <c r="D114" s="2536"/>
      <c r="E114" s="2536"/>
      <c r="F114" s="2536"/>
      <c r="G114" s="2536"/>
      <c r="H114" s="2536"/>
      <c r="I114" s="2532"/>
      <c r="J114" s="2579"/>
      <c r="K114" s="2579"/>
      <c r="L114" s="2579"/>
      <c r="M114" s="2579"/>
      <c r="N114" s="2579"/>
      <c r="O114" s="2579"/>
    </row>
    <row r="115" spans="1:15" s="2463" customFormat="1">
      <c r="A115" s="1269"/>
      <c r="B115" s="2529"/>
      <c r="C115" s="2535"/>
      <c r="D115" s="2529"/>
      <c r="E115" s="4877"/>
      <c r="F115" s="4877"/>
      <c r="G115" s="1269"/>
      <c r="H115" s="2529"/>
      <c r="I115" s="2532"/>
      <c r="J115" s="2579"/>
      <c r="K115" s="2579"/>
      <c r="L115" s="2579"/>
      <c r="M115" s="2579"/>
      <c r="N115" s="2579"/>
      <c r="O115" s="2579"/>
    </row>
    <row r="116" spans="1:15" s="2463" customFormat="1">
      <c r="A116" s="2529"/>
      <c r="B116" s="1269"/>
      <c r="C116" s="2535"/>
      <c r="D116" s="1269"/>
      <c r="E116" s="1269"/>
      <c r="F116" s="1269"/>
      <c r="G116" s="1269"/>
      <c r="H116" s="2529"/>
      <c r="I116" s="2532"/>
      <c r="J116" s="2579"/>
      <c r="K116" s="2579"/>
      <c r="L116" s="2579"/>
      <c r="M116" s="2579"/>
      <c r="N116" s="2579"/>
      <c r="O116" s="2579"/>
    </row>
    <row r="117" spans="1:15" s="2463" customFormat="1" ht="12.75">
      <c r="A117" s="2534"/>
      <c r="B117" s="1269"/>
      <c r="C117" s="4881"/>
      <c r="D117" s="4881"/>
      <c r="E117" s="4876"/>
      <c r="F117" s="4876"/>
      <c r="G117" s="4876"/>
      <c r="H117" s="4876"/>
      <c r="I117" s="2532"/>
      <c r="J117" s="2579"/>
      <c r="K117" s="2579"/>
      <c r="L117" s="2579"/>
      <c r="M117" s="2579"/>
      <c r="N117" s="2579"/>
      <c r="O117" s="2579"/>
    </row>
    <row r="118" spans="1:15" s="2463" customFormat="1" ht="12.75">
      <c r="A118" s="2531"/>
      <c r="B118" s="2533"/>
      <c r="C118" s="4874"/>
      <c r="D118" s="4874"/>
      <c r="E118" s="4875"/>
      <c r="F118" s="4875"/>
      <c r="G118" s="4875"/>
      <c r="H118" s="4875"/>
      <c r="I118" s="2532"/>
      <c r="J118" s="2579"/>
      <c r="K118" s="2579"/>
      <c r="L118" s="2579"/>
      <c r="M118" s="2579"/>
      <c r="N118" s="2579"/>
      <c r="O118" s="2579"/>
    </row>
    <row r="119" spans="1:15" s="2463" customFormat="1" ht="12.75">
      <c r="A119" s="2531"/>
      <c r="B119" s="2533"/>
      <c r="C119" s="2531"/>
      <c r="D119" s="2566"/>
      <c r="E119" s="2566"/>
      <c r="F119" s="2566"/>
      <c r="G119" s="2566"/>
      <c r="H119" s="2566"/>
      <c r="I119" s="2532"/>
      <c r="J119" s="2579"/>
      <c r="K119" s="2579"/>
      <c r="L119" s="2579"/>
      <c r="M119" s="2579"/>
      <c r="N119" s="2579"/>
      <c r="O119" s="2579"/>
    </row>
    <row r="120" spans="1:15" s="2463" customFormat="1" ht="12.75">
      <c r="A120" s="2531"/>
      <c r="B120" s="2533"/>
      <c r="C120" s="2531"/>
      <c r="D120" s="2566"/>
      <c r="E120" s="2566"/>
      <c r="F120" s="2566"/>
      <c r="G120" s="2566"/>
      <c r="H120" s="2566"/>
      <c r="I120" s="2532"/>
      <c r="J120" s="2579"/>
      <c r="K120" s="2579"/>
      <c r="L120" s="2579"/>
      <c r="M120" s="2579"/>
      <c r="N120" s="2579"/>
      <c r="O120" s="2579"/>
    </row>
    <row r="121" spans="1:15" s="2463" customFormat="1" ht="12.75">
      <c r="A121" s="2531"/>
      <c r="B121" s="2533"/>
      <c r="C121" s="2531"/>
      <c r="D121" s="2566"/>
      <c r="E121" s="2566"/>
      <c r="F121" s="2566"/>
      <c r="G121" s="2566"/>
      <c r="H121" s="2566"/>
      <c r="I121" s="2532"/>
      <c r="J121" s="2579"/>
      <c r="K121" s="2579"/>
      <c r="L121" s="2579"/>
      <c r="M121" s="2579"/>
      <c r="N121" s="2579"/>
      <c r="O121" s="2579"/>
    </row>
    <row r="122" spans="1:15" s="2463" customFormat="1" ht="12.75">
      <c r="A122" s="2531"/>
      <c r="B122" s="2533"/>
      <c r="C122" s="2531"/>
      <c r="D122" s="2566"/>
      <c r="E122" s="2566"/>
      <c r="F122" s="2566"/>
      <c r="G122" s="2566"/>
      <c r="H122" s="2566"/>
      <c r="I122" s="2532"/>
      <c r="J122" s="2579"/>
      <c r="K122" s="2579"/>
      <c r="L122" s="2579"/>
      <c r="M122" s="2579"/>
      <c r="N122" s="2579"/>
      <c r="O122" s="2579"/>
    </row>
    <row r="123" spans="1:15" s="2463" customFormat="1" ht="12.75">
      <c r="A123" s="2531"/>
      <c r="B123" s="2533"/>
      <c r="C123" s="2531"/>
      <c r="D123" s="2566"/>
      <c r="E123" s="2566"/>
      <c r="F123" s="2566"/>
      <c r="G123" s="2566"/>
      <c r="H123" s="2566"/>
      <c r="I123" s="2532"/>
      <c r="J123" s="2579"/>
      <c r="K123" s="2579"/>
      <c r="L123" s="2579"/>
      <c r="M123" s="2579"/>
      <c r="N123" s="2579"/>
      <c r="O123" s="2579"/>
    </row>
    <row r="124" spans="1:15" s="2463" customFormat="1" ht="12.75">
      <c r="A124" s="2531"/>
      <c r="B124" s="2533"/>
      <c r="C124" s="2531"/>
      <c r="D124" s="2566"/>
      <c r="E124" s="2566"/>
      <c r="F124" s="2566"/>
      <c r="G124" s="2566"/>
      <c r="H124" s="2566"/>
      <c r="I124" s="2532"/>
      <c r="J124" s="2579"/>
      <c r="K124" s="2579"/>
      <c r="L124" s="2579"/>
      <c r="M124" s="2579"/>
      <c r="N124" s="2579"/>
      <c r="O124" s="2579"/>
    </row>
    <row r="125" spans="1:15" s="2463" customFormat="1" ht="12.75">
      <c r="A125" s="2531"/>
      <c r="B125" s="2533"/>
      <c r="C125" s="2531"/>
      <c r="D125" s="2566"/>
      <c r="E125" s="2566"/>
      <c r="F125" s="2566"/>
      <c r="G125" s="2566"/>
      <c r="H125" s="2566"/>
      <c r="I125" s="2532"/>
      <c r="J125" s="2579"/>
      <c r="K125" s="2579"/>
      <c r="L125" s="2579"/>
      <c r="M125" s="2579"/>
      <c r="N125" s="2579"/>
      <c r="O125" s="2579"/>
    </row>
    <row r="126" spans="1:15" s="2463" customFormat="1" ht="12.75">
      <c r="A126" s="2531"/>
      <c r="B126" s="2533"/>
      <c r="C126" s="2531"/>
      <c r="D126" s="2566"/>
      <c r="E126" s="2566"/>
      <c r="F126" s="2566"/>
      <c r="G126" s="2566"/>
      <c r="H126" s="2566"/>
      <c r="I126" s="2532"/>
      <c r="J126" s="2579"/>
      <c r="K126" s="2579"/>
      <c r="L126" s="2579"/>
      <c r="M126" s="2579"/>
      <c r="N126" s="2579"/>
      <c r="O126" s="2579"/>
    </row>
    <row r="127" spans="1:15" s="2463" customFormat="1" ht="12.75">
      <c r="A127" s="2531"/>
      <c r="B127" s="2533"/>
      <c r="C127" s="2531"/>
      <c r="D127" s="2566"/>
      <c r="E127" s="2566"/>
      <c r="F127" s="2566"/>
      <c r="G127" s="2566"/>
      <c r="H127" s="2566"/>
      <c r="I127" s="2532"/>
      <c r="J127" s="2579"/>
      <c r="K127" s="2579"/>
      <c r="L127" s="2579"/>
      <c r="M127" s="2579"/>
      <c r="N127" s="2579"/>
      <c r="O127" s="2579"/>
    </row>
    <row r="128" spans="1:15" s="2463" customFormat="1" ht="12.75">
      <c r="A128" s="2531"/>
      <c r="B128" s="2533"/>
      <c r="C128" s="2531"/>
      <c r="D128" s="2566"/>
      <c r="E128" s="2566"/>
      <c r="F128" s="2566"/>
      <c r="G128" s="2566"/>
      <c r="H128" s="2566"/>
      <c r="I128" s="2532"/>
      <c r="J128" s="2579"/>
      <c r="K128" s="2579"/>
      <c r="L128" s="2579"/>
      <c r="M128" s="2579"/>
      <c r="N128" s="2579"/>
      <c r="O128" s="2579"/>
    </row>
    <row r="129" spans="1:15" s="2463" customFormat="1" ht="12.75">
      <c r="A129" s="2531"/>
      <c r="B129" s="2533"/>
      <c r="C129" s="2531"/>
      <c r="D129" s="2566"/>
      <c r="E129" s="2566"/>
      <c r="F129" s="2566"/>
      <c r="G129" s="2566"/>
      <c r="H129" s="2566"/>
      <c r="I129" s="2532"/>
      <c r="J129" s="2579"/>
      <c r="K129" s="2579"/>
      <c r="L129" s="2579"/>
      <c r="M129" s="2579"/>
      <c r="N129" s="2579"/>
      <c r="O129" s="2579"/>
    </row>
    <row r="130" spans="1:15" s="2463" customFormat="1" ht="12.75">
      <c r="A130" s="2531"/>
      <c r="B130" s="2533"/>
      <c r="C130" s="2531"/>
      <c r="D130" s="2566"/>
      <c r="E130" s="2566"/>
      <c r="F130" s="2566"/>
      <c r="G130" s="2566"/>
      <c r="H130" s="2566"/>
      <c r="I130" s="2532"/>
      <c r="J130" s="2579"/>
      <c r="K130" s="2579"/>
      <c r="L130" s="2579"/>
      <c r="M130" s="2579"/>
      <c r="N130" s="2579"/>
      <c r="O130" s="2579"/>
    </row>
    <row r="131" spans="1:15" s="2463" customFormat="1" ht="12.75">
      <c r="A131" s="2531"/>
      <c r="B131" s="2533"/>
      <c r="C131" s="2531"/>
      <c r="D131" s="2566"/>
      <c r="E131" s="2566"/>
      <c r="F131" s="2566"/>
      <c r="G131" s="2566"/>
      <c r="H131" s="2566"/>
      <c r="I131" s="2532"/>
      <c r="J131" s="2579"/>
      <c r="K131" s="2579"/>
      <c r="L131" s="2579"/>
      <c r="M131" s="2579"/>
      <c r="N131" s="2579"/>
      <c r="O131" s="2579"/>
    </row>
    <row r="132" spans="1:15" s="2463" customFormat="1" ht="12.75">
      <c r="A132" s="2531"/>
      <c r="B132" s="2533"/>
      <c r="C132" s="2531"/>
      <c r="D132" s="2566"/>
      <c r="E132" s="2566"/>
      <c r="F132" s="2566"/>
      <c r="G132" s="2566"/>
      <c r="H132" s="2566"/>
      <c r="I132" s="2532"/>
      <c r="J132" s="2579"/>
      <c r="K132" s="2579"/>
      <c r="L132" s="2579"/>
      <c r="M132" s="2579"/>
      <c r="N132" s="2579"/>
      <c r="O132" s="2579"/>
    </row>
    <row r="133" spans="1:15" s="2463" customFormat="1" ht="12.75">
      <c r="A133" s="2531"/>
      <c r="B133" s="2533"/>
      <c r="C133" s="2531"/>
      <c r="D133" s="2566"/>
      <c r="E133" s="2566"/>
      <c r="F133" s="2566"/>
      <c r="G133" s="2566"/>
      <c r="H133" s="2566"/>
      <c r="I133" s="2532"/>
      <c r="J133" s="2579"/>
      <c r="K133" s="2579"/>
      <c r="L133" s="2579"/>
      <c r="M133" s="2579"/>
      <c r="N133" s="2579"/>
      <c r="O133" s="2579"/>
    </row>
    <row r="134" spans="1:15" s="2463" customFormat="1" ht="12.75">
      <c r="A134" s="2531"/>
      <c r="B134" s="2533"/>
      <c r="C134" s="2531"/>
      <c r="D134" s="2566"/>
      <c r="E134" s="2566"/>
      <c r="F134" s="2566"/>
      <c r="G134" s="2566"/>
      <c r="H134" s="2566"/>
      <c r="I134" s="2532"/>
      <c r="J134" s="2579"/>
      <c r="K134" s="2579"/>
      <c r="L134" s="2579"/>
      <c r="M134" s="2579"/>
      <c r="N134" s="2579"/>
      <c r="O134" s="2579"/>
    </row>
    <row r="135" spans="1:15" s="2463" customFormat="1" ht="12.75">
      <c r="A135" s="4876"/>
      <c r="B135" s="4876"/>
      <c r="C135" s="4876"/>
      <c r="D135" s="4876"/>
      <c r="E135" s="4876"/>
      <c r="F135" s="4876"/>
      <c r="G135" s="4876"/>
      <c r="H135" s="4876"/>
      <c r="I135" s="2532"/>
      <c r="J135" s="2579"/>
      <c r="K135" s="2579"/>
      <c r="L135" s="2579"/>
      <c r="M135" s="2579"/>
      <c r="N135" s="2579"/>
      <c r="O135" s="2579"/>
    </row>
    <row r="136" spans="1:15">
      <c r="A136" s="4877"/>
      <c r="B136" s="4877"/>
      <c r="C136" s="4877"/>
      <c r="D136" s="4877"/>
      <c r="E136" s="4877"/>
      <c r="F136" s="4877"/>
      <c r="G136" s="4877"/>
      <c r="H136" s="4877"/>
      <c r="I136" s="2530"/>
    </row>
    <row r="137" spans="1:15">
      <c r="A137" s="4876"/>
      <c r="B137" s="4876"/>
      <c r="C137" s="4876"/>
      <c r="D137" s="4876"/>
      <c r="E137" s="4876"/>
      <c r="F137" s="4876"/>
      <c r="G137" s="4876"/>
      <c r="H137" s="4876"/>
      <c r="I137" s="2530"/>
    </row>
    <row r="138" spans="1:15">
      <c r="A138" s="4877"/>
      <c r="B138" s="4877"/>
      <c r="C138" s="4877"/>
      <c r="D138" s="4877"/>
      <c r="E138" s="4877"/>
      <c r="F138" s="4877"/>
      <c r="G138" s="4877"/>
      <c r="H138" s="4877"/>
      <c r="I138" s="2530"/>
    </row>
    <row r="139" spans="1:15">
      <c r="A139" s="2529"/>
      <c r="B139" s="2529"/>
      <c r="C139" s="2529"/>
      <c r="D139" s="2529"/>
      <c r="E139" s="2529"/>
      <c r="F139" s="2529"/>
      <c r="G139" s="2529"/>
      <c r="H139" s="2529"/>
      <c r="I139" s="2530"/>
    </row>
    <row r="140" spans="1:15" s="2463" customFormat="1">
      <c r="A140" s="2568"/>
      <c r="B140" s="2567"/>
      <c r="C140" s="2529"/>
      <c r="D140" s="2566"/>
      <c r="E140" s="2566"/>
      <c r="F140" s="2566"/>
      <c r="G140" s="2566"/>
      <c r="H140" s="2566"/>
      <c r="I140" s="2532"/>
      <c r="J140" s="2579"/>
      <c r="K140" s="2579"/>
      <c r="L140" s="2579"/>
      <c r="M140" s="2579"/>
      <c r="N140" s="2579"/>
      <c r="O140" s="2579"/>
    </row>
    <row r="141" spans="1:15" s="2463" customFormat="1" ht="12.75">
      <c r="A141" s="1269"/>
      <c r="B141" s="1269"/>
      <c r="C141" s="2542"/>
      <c r="D141" s="2541"/>
      <c r="E141" s="2561"/>
      <c r="F141" s="2540"/>
      <c r="G141" s="2565"/>
      <c r="H141" s="2561"/>
      <c r="I141" s="2532"/>
      <c r="J141" s="2579"/>
      <c r="K141" s="2579"/>
      <c r="L141" s="2579"/>
      <c r="M141" s="2579"/>
      <c r="N141" s="2579"/>
      <c r="O141" s="2579"/>
    </row>
    <row r="142" spans="1:15" s="2463" customFormat="1" ht="23.25">
      <c r="A142" s="2564"/>
      <c r="B142" s="2564"/>
      <c r="C142" s="2542"/>
      <c r="D142" s="2541"/>
      <c r="E142" s="2561"/>
      <c r="F142" s="2540"/>
      <c r="G142" s="2562"/>
      <c r="H142" s="2561"/>
      <c r="I142" s="2532"/>
      <c r="J142" s="2579"/>
      <c r="K142" s="2579"/>
      <c r="L142" s="2579"/>
      <c r="M142" s="2579"/>
      <c r="N142" s="2579"/>
      <c r="O142" s="2579"/>
    </row>
    <row r="143" spans="1:15" s="2463" customFormat="1" ht="12.75">
      <c r="A143" s="4879"/>
      <c r="B143" s="4879"/>
      <c r="C143" s="2559"/>
      <c r="D143" s="2560"/>
      <c r="E143" s="4880"/>
      <c r="F143" s="4880"/>
      <c r="G143" s="4880"/>
      <c r="H143" s="2557"/>
      <c r="I143" s="2532"/>
      <c r="J143" s="2579"/>
      <c r="K143" s="2579"/>
      <c r="L143" s="2579"/>
      <c r="M143" s="2579"/>
      <c r="N143" s="2579"/>
      <c r="O143" s="2579"/>
    </row>
    <row r="144" spans="1:15" s="2463" customFormat="1" ht="12.75">
      <c r="A144" s="4879"/>
      <c r="B144" s="4879"/>
      <c r="C144" s="2559"/>
      <c r="D144" s="2558"/>
      <c r="E144" s="2558"/>
      <c r="F144" s="2558"/>
      <c r="G144" s="2558"/>
      <c r="H144" s="2558"/>
      <c r="I144" s="2532"/>
      <c r="J144" s="2579"/>
      <c r="K144" s="2579"/>
      <c r="L144" s="2579"/>
      <c r="M144" s="2579"/>
      <c r="N144" s="2579"/>
      <c r="O144" s="2579"/>
    </row>
    <row r="145" spans="1:15" s="2463" customFormat="1" ht="12.75">
      <c r="A145" s="4879"/>
      <c r="B145" s="4879"/>
      <c r="C145" s="2557"/>
      <c r="D145" s="2555"/>
      <c r="E145" s="2555"/>
      <c r="F145" s="2555"/>
      <c r="G145" s="2556"/>
      <c r="H145" s="2555"/>
      <c r="I145" s="2532"/>
      <c r="J145" s="2579"/>
      <c r="K145" s="2579"/>
      <c r="L145" s="2579"/>
      <c r="M145" s="2579"/>
      <c r="N145" s="2579"/>
      <c r="O145" s="2579"/>
    </row>
    <row r="146" spans="1:15" s="2463" customFormat="1" ht="12.75">
      <c r="A146" s="2554"/>
      <c r="B146" s="2553"/>
      <c r="C146" s="2552"/>
      <c r="D146" s="2551"/>
      <c r="E146" s="2551"/>
      <c r="F146" s="2551"/>
      <c r="G146" s="2551"/>
      <c r="H146" s="2551"/>
      <c r="I146" s="2532"/>
      <c r="J146" s="2579"/>
      <c r="K146" s="2579"/>
      <c r="L146" s="2579"/>
      <c r="M146" s="2579"/>
      <c r="N146" s="2579"/>
      <c r="O146" s="2579"/>
    </row>
    <row r="147" spans="1:15" s="2463" customFormat="1" ht="12.75">
      <c r="A147" s="2546"/>
      <c r="B147" s="1269"/>
      <c r="C147" s="2545"/>
      <c r="D147" s="2548"/>
      <c r="E147" s="2548"/>
      <c r="F147" s="2540"/>
      <c r="G147" s="2548"/>
      <c r="H147" s="2548"/>
      <c r="I147" s="2532"/>
      <c r="J147" s="2579"/>
      <c r="K147" s="2579"/>
      <c r="L147" s="2579"/>
      <c r="M147" s="2579"/>
      <c r="N147" s="2579"/>
      <c r="O147" s="2579"/>
    </row>
    <row r="148" spans="1:15" s="2463" customFormat="1" ht="12.75">
      <c r="A148" s="2549"/>
      <c r="B148" s="2549"/>
      <c r="C148" s="2545"/>
      <c r="D148" s="2548"/>
      <c r="E148" s="2548"/>
      <c r="F148" s="2540"/>
      <c r="G148" s="2548"/>
      <c r="H148" s="2548"/>
      <c r="I148" s="2532"/>
      <c r="J148" s="2579"/>
      <c r="K148" s="2579"/>
      <c r="L148" s="2579"/>
      <c r="M148" s="2579"/>
      <c r="N148" s="2579"/>
      <c r="O148" s="2579"/>
    </row>
    <row r="149" spans="1:15" s="2463" customFormat="1" ht="12.75">
      <c r="A149" s="2546"/>
      <c r="B149" s="1269"/>
      <c r="C149" s="2542"/>
      <c r="D149" s="2541"/>
      <c r="E149" s="2544"/>
      <c r="F149" s="2540"/>
      <c r="G149" s="2544"/>
      <c r="H149" s="2544"/>
      <c r="I149" s="2532"/>
      <c r="J149" s="2579"/>
      <c r="K149" s="2579"/>
      <c r="L149" s="2579"/>
      <c r="M149" s="2579"/>
      <c r="N149" s="2579"/>
      <c r="O149" s="2579"/>
    </row>
    <row r="150" spans="1:15" s="2463" customFormat="1" ht="12.75">
      <c r="A150" s="2549"/>
      <c r="B150" s="2549"/>
      <c r="C150" s="2545"/>
      <c r="D150" s="2541"/>
      <c r="E150" s="2544"/>
      <c r="F150" s="2540"/>
      <c r="G150" s="2544"/>
      <c r="H150" s="2544"/>
      <c r="I150" s="2532"/>
      <c r="J150" s="2579"/>
      <c r="K150" s="2579"/>
      <c r="L150" s="2579"/>
      <c r="M150" s="2579"/>
      <c r="N150" s="2579"/>
      <c r="O150" s="2579"/>
    </row>
    <row r="151" spans="1:15" s="2463" customFormat="1" ht="12.75">
      <c r="A151" s="2549"/>
      <c r="B151" s="2549"/>
      <c r="C151" s="2542"/>
      <c r="D151" s="2541"/>
      <c r="E151" s="2544"/>
      <c r="F151" s="2540"/>
      <c r="G151" s="2544"/>
      <c r="H151" s="2544"/>
      <c r="I151" s="2532"/>
      <c r="J151" s="2579"/>
      <c r="K151" s="2579"/>
      <c r="L151" s="2579"/>
      <c r="M151" s="2579"/>
      <c r="N151" s="2579"/>
      <c r="O151" s="2579"/>
    </row>
    <row r="152" spans="1:15" s="2463" customFormat="1" ht="12.75">
      <c r="A152" s="2549"/>
      <c r="B152" s="2549"/>
      <c r="C152" s="2542"/>
      <c r="D152" s="2541"/>
      <c r="E152" s="2544"/>
      <c r="F152" s="2540"/>
      <c r="G152" s="2544"/>
      <c r="H152" s="2544"/>
      <c r="I152" s="2532"/>
      <c r="J152" s="2579"/>
      <c r="K152" s="2579"/>
      <c r="L152" s="2579"/>
      <c r="M152" s="2579"/>
      <c r="N152" s="2579"/>
      <c r="O152" s="2579"/>
    </row>
    <row r="153" spans="1:15" s="2463" customFormat="1" ht="12.75">
      <c r="A153" s="2546"/>
      <c r="B153" s="1269"/>
      <c r="C153" s="2545"/>
      <c r="D153" s="2541"/>
      <c r="E153" s="2544"/>
      <c r="F153" s="2540"/>
      <c r="G153" s="2544"/>
      <c r="H153" s="2544"/>
      <c r="I153" s="2532"/>
      <c r="J153" s="2579"/>
      <c r="K153" s="2579"/>
      <c r="L153" s="2579"/>
      <c r="M153" s="2579"/>
      <c r="N153" s="2579"/>
      <c r="O153" s="2579"/>
    </row>
    <row r="154" spans="1:15" s="2463" customFormat="1" ht="12.75">
      <c r="A154" s="2546"/>
      <c r="B154" s="1269"/>
      <c r="C154" s="2545"/>
      <c r="D154" s="2541"/>
      <c r="E154" s="2544"/>
      <c r="F154" s="2540"/>
      <c r="G154" s="2544"/>
      <c r="H154" s="2544"/>
      <c r="I154" s="2532"/>
      <c r="J154" s="2579"/>
      <c r="K154" s="2579"/>
      <c r="L154" s="2579"/>
      <c r="M154" s="2579"/>
      <c r="N154" s="2579"/>
      <c r="O154" s="2579"/>
    </row>
    <row r="155" spans="1:15" s="2463" customFormat="1" ht="12.75">
      <c r="A155" s="2547"/>
      <c r="B155" s="2546"/>
      <c r="C155" s="2545"/>
      <c r="D155" s="2541"/>
      <c r="E155" s="2544"/>
      <c r="F155" s="2540"/>
      <c r="G155" s="2544"/>
      <c r="H155" s="2544"/>
      <c r="I155" s="2532"/>
      <c r="J155" s="2579"/>
      <c r="K155" s="2579"/>
      <c r="L155" s="2579"/>
      <c r="M155" s="2579"/>
      <c r="N155" s="2579"/>
      <c r="O155" s="2579"/>
    </row>
    <row r="156" spans="1:15" s="2463" customFormat="1" ht="12.75">
      <c r="A156" s="2543"/>
      <c r="B156" s="2543"/>
      <c r="C156" s="2542"/>
      <c r="D156" s="2541"/>
      <c r="E156" s="2539"/>
      <c r="F156" s="2540"/>
      <c r="G156" s="2539"/>
      <c r="H156" s="2539"/>
      <c r="I156" s="2532"/>
      <c r="J156" s="2579"/>
      <c r="K156" s="2579"/>
      <c r="L156" s="2579"/>
      <c r="M156" s="2579"/>
      <c r="N156" s="2579"/>
      <c r="O156" s="2579"/>
    </row>
    <row r="157" spans="1:15" s="2463" customFormat="1" ht="12.75">
      <c r="A157" s="2538"/>
      <c r="B157" s="2538"/>
      <c r="C157" s="2537"/>
      <c r="D157" s="2536"/>
      <c r="E157" s="2536"/>
      <c r="F157" s="2536"/>
      <c r="G157" s="2536"/>
      <c r="H157" s="2536"/>
      <c r="I157" s="2532"/>
      <c r="J157" s="2579"/>
      <c r="K157" s="2579"/>
      <c r="L157" s="2579"/>
      <c r="M157" s="2579"/>
      <c r="N157" s="2579"/>
      <c r="O157" s="2579"/>
    </row>
    <row r="158" spans="1:15" s="2463" customFormat="1" ht="12.75">
      <c r="A158" s="2538"/>
      <c r="B158" s="2538"/>
      <c r="C158" s="2537"/>
      <c r="D158" s="2536"/>
      <c r="E158" s="2536"/>
      <c r="F158" s="2536"/>
      <c r="G158" s="2536"/>
      <c r="H158" s="2536"/>
      <c r="I158" s="2532"/>
      <c r="J158" s="2579"/>
      <c r="K158" s="2579"/>
      <c r="L158" s="2579"/>
      <c r="M158" s="2579"/>
      <c r="N158" s="2579"/>
      <c r="O158" s="2579"/>
    </row>
    <row r="159" spans="1:15" s="2463" customFormat="1">
      <c r="A159" s="1269"/>
      <c r="B159" s="2529"/>
      <c r="C159" s="2535"/>
      <c r="D159" s="2529"/>
      <c r="E159" s="4877"/>
      <c r="F159" s="4877"/>
      <c r="G159" s="1269"/>
      <c r="H159" s="2529"/>
      <c r="I159" s="2532"/>
      <c r="J159" s="2579"/>
      <c r="K159" s="2579"/>
      <c r="L159" s="2579"/>
      <c r="M159" s="2579"/>
      <c r="N159" s="2579"/>
      <c r="O159" s="2579"/>
    </row>
    <row r="160" spans="1:15" s="2463" customFormat="1">
      <c r="A160" s="2529"/>
      <c r="B160" s="1269"/>
      <c r="C160" s="2535"/>
      <c r="D160" s="1269"/>
      <c r="E160" s="1269"/>
      <c r="F160" s="1269"/>
      <c r="G160" s="1269"/>
      <c r="H160" s="2529"/>
      <c r="I160" s="2532"/>
      <c r="J160" s="2579"/>
      <c r="K160" s="2579"/>
      <c r="L160" s="2579"/>
      <c r="M160" s="2579"/>
      <c r="N160" s="2579"/>
      <c r="O160" s="2579"/>
    </row>
    <row r="161" spans="1:15" s="2463" customFormat="1" ht="12.75">
      <c r="A161" s="2534"/>
      <c r="B161" s="1269"/>
      <c r="C161" s="4881"/>
      <c r="D161" s="4881"/>
      <c r="E161" s="4876"/>
      <c r="F161" s="4876"/>
      <c r="G161" s="4876"/>
      <c r="H161" s="4876"/>
      <c r="I161" s="2532"/>
      <c r="J161" s="2579"/>
      <c r="K161" s="2579"/>
      <c r="L161" s="2579"/>
      <c r="M161" s="2579"/>
      <c r="N161" s="2579"/>
      <c r="O161" s="2579"/>
    </row>
    <row r="162" spans="1:15" s="2463" customFormat="1" ht="12.75">
      <c r="A162" s="2531"/>
      <c r="B162" s="2533"/>
      <c r="C162" s="4874"/>
      <c r="D162" s="4874"/>
      <c r="E162" s="4875"/>
      <c r="F162" s="4875"/>
      <c r="G162" s="4875"/>
      <c r="H162" s="4875"/>
      <c r="I162" s="2532"/>
      <c r="J162" s="2579"/>
      <c r="K162" s="2579"/>
      <c r="L162" s="2579"/>
      <c r="M162" s="2579"/>
      <c r="N162" s="2579"/>
      <c r="O162" s="2579"/>
    </row>
    <row r="163" spans="1:15" s="2463" customFormat="1" ht="12.75">
      <c r="A163" s="2531"/>
      <c r="B163" s="2533"/>
      <c r="C163" s="2531"/>
      <c r="D163" s="2566"/>
      <c r="E163" s="2566"/>
      <c r="F163" s="2566"/>
      <c r="G163" s="2566"/>
      <c r="H163" s="2566"/>
      <c r="I163" s="2532"/>
      <c r="J163" s="2579"/>
      <c r="K163" s="2579"/>
      <c r="L163" s="2579"/>
      <c r="M163" s="2579"/>
      <c r="N163" s="2579"/>
      <c r="O163" s="2579"/>
    </row>
    <row r="164" spans="1:15" s="2463" customFormat="1" ht="12.75">
      <c r="A164" s="2531"/>
      <c r="B164" s="2533"/>
      <c r="C164" s="2531"/>
      <c r="D164" s="2566"/>
      <c r="E164" s="2566"/>
      <c r="F164" s="2566"/>
      <c r="G164" s="2566"/>
      <c r="H164" s="2566"/>
      <c r="I164" s="2532"/>
      <c r="J164" s="2579"/>
      <c r="K164" s="2579"/>
      <c r="L164" s="2579"/>
      <c r="M164" s="2579"/>
      <c r="N164" s="2579"/>
      <c r="O164" s="2579"/>
    </row>
    <row r="165" spans="1:15" s="2463" customFormat="1" ht="12.75">
      <c r="A165" s="2531"/>
      <c r="B165" s="2533"/>
      <c r="C165" s="2531"/>
      <c r="D165" s="2566"/>
      <c r="E165" s="2566"/>
      <c r="F165" s="2566"/>
      <c r="G165" s="2566"/>
      <c r="H165" s="2566"/>
      <c r="I165" s="2532"/>
      <c r="J165" s="2579"/>
      <c r="K165" s="2579"/>
      <c r="L165" s="2579"/>
      <c r="M165" s="2579"/>
      <c r="N165" s="2579"/>
      <c r="O165" s="2579"/>
    </row>
    <row r="166" spans="1:15" s="2463" customFormat="1" ht="12.75">
      <c r="A166" s="2531"/>
      <c r="B166" s="2533"/>
      <c r="C166" s="2531"/>
      <c r="D166" s="2566"/>
      <c r="E166" s="2566"/>
      <c r="F166" s="2566"/>
      <c r="G166" s="2566"/>
      <c r="H166" s="2566"/>
      <c r="I166" s="2532"/>
      <c r="J166" s="2579"/>
      <c r="K166" s="2579"/>
      <c r="L166" s="2579"/>
      <c r="M166" s="2579"/>
      <c r="N166" s="2579"/>
      <c r="O166" s="2579"/>
    </row>
    <row r="167" spans="1:15" s="2463" customFormat="1" ht="12.75">
      <c r="A167" s="2531"/>
      <c r="B167" s="2533"/>
      <c r="C167" s="2531"/>
      <c r="D167" s="2566"/>
      <c r="E167" s="2566"/>
      <c r="F167" s="2566"/>
      <c r="G167" s="2566"/>
      <c r="H167" s="2566"/>
      <c r="I167" s="2532"/>
      <c r="J167" s="2579"/>
      <c r="K167" s="2579"/>
      <c r="L167" s="2579"/>
      <c r="M167" s="2579"/>
      <c r="N167" s="2579"/>
      <c r="O167" s="2579"/>
    </row>
    <row r="168" spans="1:15" s="2463" customFormat="1" ht="12.75">
      <c r="A168" s="2531"/>
      <c r="B168" s="2533"/>
      <c r="C168" s="2531"/>
      <c r="D168" s="2566"/>
      <c r="E168" s="2566"/>
      <c r="F168" s="2566"/>
      <c r="G168" s="2566"/>
      <c r="H168" s="2566"/>
      <c r="I168" s="2532"/>
      <c r="J168" s="2579"/>
      <c r="K168" s="2579"/>
      <c r="L168" s="2579"/>
      <c r="M168" s="2579"/>
      <c r="N168" s="2579"/>
      <c r="O168" s="2579"/>
    </row>
    <row r="169" spans="1:15" s="2463" customFormat="1" ht="12.75">
      <c r="A169" s="2531"/>
      <c r="B169" s="2533"/>
      <c r="C169" s="2531"/>
      <c r="D169" s="2566"/>
      <c r="E169" s="2566"/>
      <c r="F169" s="2566"/>
      <c r="G169" s="2566"/>
      <c r="H169" s="2566"/>
      <c r="I169" s="2532"/>
      <c r="J169" s="2579"/>
      <c r="K169" s="2579"/>
      <c r="L169" s="2579"/>
      <c r="M169" s="2579"/>
      <c r="N169" s="2579"/>
      <c r="O169" s="2579"/>
    </row>
    <row r="170" spans="1:15" s="2463" customFormat="1" ht="12.75">
      <c r="A170" s="2531"/>
      <c r="B170" s="2533"/>
      <c r="C170" s="2531"/>
      <c r="D170" s="2566"/>
      <c r="E170" s="2566"/>
      <c r="F170" s="2566"/>
      <c r="G170" s="2566"/>
      <c r="H170" s="2566"/>
      <c r="I170" s="2532"/>
      <c r="J170" s="2579"/>
      <c r="K170" s="2579"/>
      <c r="L170" s="2579"/>
      <c r="M170" s="2579"/>
      <c r="N170" s="2579"/>
      <c r="O170" s="2579"/>
    </row>
    <row r="171" spans="1:15" s="2463" customFormat="1" ht="12.75">
      <c r="A171" s="2531"/>
      <c r="B171" s="2533"/>
      <c r="C171" s="2531"/>
      <c r="D171" s="2566"/>
      <c r="E171" s="2566"/>
      <c r="F171" s="2566"/>
      <c r="G171" s="2566"/>
      <c r="H171" s="2566"/>
      <c r="I171" s="2532"/>
      <c r="J171" s="2579"/>
      <c r="K171" s="2579"/>
      <c r="L171" s="2579"/>
      <c r="M171" s="2579"/>
      <c r="N171" s="2579"/>
      <c r="O171" s="2579"/>
    </row>
    <row r="172" spans="1:15" s="2463" customFormat="1" ht="12.75">
      <c r="A172" s="2531"/>
      <c r="B172" s="2533"/>
      <c r="C172" s="2531"/>
      <c r="D172" s="2566"/>
      <c r="E172" s="2566"/>
      <c r="F172" s="2566"/>
      <c r="G172" s="2566"/>
      <c r="H172" s="2566"/>
      <c r="I172" s="2532"/>
      <c r="J172" s="2579"/>
      <c r="K172" s="2579"/>
      <c r="L172" s="2579"/>
      <c r="M172" s="2579"/>
      <c r="N172" s="2579"/>
      <c r="O172" s="2579"/>
    </row>
    <row r="173" spans="1:15" s="2463" customFormat="1" ht="12.75">
      <c r="A173" s="2531"/>
      <c r="B173" s="2533"/>
      <c r="C173" s="2531"/>
      <c r="D173" s="2566"/>
      <c r="E173" s="2566"/>
      <c r="F173" s="2566"/>
      <c r="G173" s="2566"/>
      <c r="H173" s="2566"/>
      <c r="I173" s="2532"/>
      <c r="J173" s="2579"/>
      <c r="K173" s="2579"/>
      <c r="L173" s="2579"/>
      <c r="M173" s="2579"/>
      <c r="N173" s="2579"/>
      <c r="O173" s="2579"/>
    </row>
    <row r="174" spans="1:15" s="2463" customFormat="1" ht="12.75">
      <c r="A174" s="2531"/>
      <c r="B174" s="2533"/>
      <c r="C174" s="2531"/>
      <c r="D174" s="2566"/>
      <c r="E174" s="2566"/>
      <c r="F174" s="2566"/>
      <c r="G174" s="2566"/>
      <c r="H174" s="2566"/>
      <c r="I174" s="2532"/>
      <c r="J174" s="2579"/>
      <c r="K174" s="2579"/>
      <c r="L174" s="2579"/>
      <c r="M174" s="2579"/>
      <c r="N174" s="2579"/>
      <c r="O174" s="2579"/>
    </row>
    <row r="175" spans="1:15" s="2463" customFormat="1" ht="12.75">
      <c r="A175" s="2531"/>
      <c r="B175" s="2533"/>
      <c r="C175" s="2531"/>
      <c r="D175" s="2566"/>
      <c r="E175" s="2566"/>
      <c r="F175" s="2566"/>
      <c r="G175" s="2566"/>
      <c r="H175" s="2566"/>
      <c r="I175" s="2532"/>
      <c r="J175" s="2579"/>
      <c r="K175" s="2579"/>
      <c r="L175" s="2579"/>
      <c r="M175" s="2579"/>
      <c r="N175" s="2579"/>
      <c r="O175" s="2579"/>
    </row>
    <row r="176" spans="1:15" s="2463" customFormat="1" ht="12.75">
      <c r="A176" s="2531"/>
      <c r="B176" s="2533"/>
      <c r="C176" s="2531"/>
      <c r="D176" s="2566"/>
      <c r="E176" s="2566"/>
      <c r="F176" s="2566"/>
      <c r="G176" s="2566"/>
      <c r="H176" s="2566"/>
      <c r="I176" s="2532"/>
      <c r="J176" s="2579"/>
      <c r="K176" s="2579"/>
      <c r="L176" s="2579"/>
      <c r="M176" s="2579"/>
      <c r="N176" s="2579"/>
      <c r="O176" s="2579"/>
    </row>
    <row r="177" spans="1:15" s="2463" customFormat="1" ht="12.75">
      <c r="A177" s="2531"/>
      <c r="B177" s="2533"/>
      <c r="C177" s="2531"/>
      <c r="D177" s="2566"/>
      <c r="E177" s="2566"/>
      <c r="F177" s="2566"/>
      <c r="G177" s="2566"/>
      <c r="H177" s="2566"/>
      <c r="I177" s="2532"/>
      <c r="J177" s="2579"/>
      <c r="K177" s="2579"/>
      <c r="L177" s="2579"/>
      <c r="M177" s="2579"/>
      <c r="N177" s="2579"/>
      <c r="O177" s="2579"/>
    </row>
    <row r="178" spans="1:15" s="2463" customFormat="1" ht="12.75">
      <c r="A178" s="2531"/>
      <c r="B178" s="2533"/>
      <c r="C178" s="2531"/>
      <c r="D178" s="2566"/>
      <c r="E178" s="2566"/>
      <c r="F178" s="2566"/>
      <c r="G178" s="2566"/>
      <c r="H178" s="2566"/>
      <c r="I178" s="2532"/>
      <c r="J178" s="2579"/>
      <c r="K178" s="2579"/>
      <c r="L178" s="2579"/>
      <c r="M178" s="2579"/>
      <c r="N178" s="2579"/>
      <c r="O178" s="2579"/>
    </row>
    <row r="179" spans="1:15" s="2463" customFormat="1" ht="12.75">
      <c r="A179" s="2531"/>
      <c r="B179" s="2533"/>
      <c r="C179" s="2531"/>
      <c r="D179" s="2566"/>
      <c r="E179" s="2566"/>
      <c r="F179" s="2566"/>
      <c r="G179" s="2566"/>
      <c r="H179" s="2566"/>
      <c r="I179" s="2532"/>
      <c r="J179" s="2579"/>
      <c r="K179" s="2579"/>
      <c r="L179" s="2579"/>
      <c r="M179" s="2579"/>
      <c r="N179" s="2579"/>
      <c r="O179" s="2579"/>
    </row>
    <row r="180" spans="1:15">
      <c r="A180" s="2529"/>
      <c r="B180" s="2529"/>
      <c r="C180" s="2529"/>
      <c r="D180" s="2529"/>
      <c r="E180" s="2529"/>
      <c r="F180" s="2529"/>
      <c r="G180" s="2529"/>
      <c r="H180" s="2529"/>
      <c r="I180" s="2530"/>
    </row>
    <row r="181" spans="1:15">
      <c r="A181" s="4876"/>
      <c r="B181" s="4876"/>
      <c r="C181" s="4876"/>
      <c r="D181" s="4876"/>
      <c r="E181" s="4876"/>
      <c r="F181" s="4876"/>
      <c r="G181" s="4876"/>
      <c r="H181" s="4876"/>
      <c r="I181" s="2530"/>
    </row>
    <row r="182" spans="1:15">
      <c r="A182" s="4877"/>
      <c r="B182" s="4877"/>
      <c r="C182" s="4877"/>
      <c r="D182" s="4877"/>
      <c r="E182" s="4877"/>
      <c r="F182" s="4877"/>
      <c r="G182" s="4877"/>
      <c r="H182" s="4877"/>
      <c r="I182" s="2530"/>
    </row>
    <row r="183" spans="1:15">
      <c r="A183" s="2529"/>
      <c r="B183" s="2529"/>
      <c r="C183" s="2529"/>
      <c r="D183" s="2529"/>
      <c r="E183" s="2529"/>
      <c r="F183" s="2529"/>
      <c r="G183" s="2529"/>
      <c r="H183" s="2529"/>
      <c r="I183" s="2530"/>
    </row>
    <row r="184" spans="1:15" s="2463" customFormat="1">
      <c r="A184" s="2568"/>
      <c r="B184" s="2567"/>
      <c r="C184" s="2529"/>
      <c r="D184" s="2566"/>
      <c r="E184" s="2566"/>
      <c r="F184" s="2566"/>
      <c r="G184" s="2566"/>
      <c r="H184" s="2566"/>
      <c r="I184" s="2532"/>
      <c r="J184" s="2579"/>
      <c r="K184" s="2579"/>
      <c r="L184" s="2579"/>
      <c r="M184" s="2579"/>
      <c r="N184" s="2579"/>
      <c r="O184" s="2579"/>
    </row>
    <row r="185" spans="1:15" s="2463" customFormat="1" ht="12.75">
      <c r="A185" s="1269"/>
      <c r="B185" s="1269"/>
      <c r="C185" s="2542"/>
      <c r="D185" s="2541"/>
      <c r="E185" s="2561"/>
      <c r="F185" s="2540"/>
      <c r="G185" s="2565"/>
      <c r="H185" s="2561"/>
      <c r="I185" s="2532"/>
      <c r="J185" s="2579"/>
      <c r="K185" s="2579"/>
      <c r="L185" s="2579"/>
      <c r="M185" s="2579"/>
      <c r="N185" s="2579"/>
      <c r="O185" s="2579"/>
    </row>
    <row r="186" spans="1:15" s="2463" customFormat="1" ht="23.25">
      <c r="A186" s="2564"/>
      <c r="B186" s="2564"/>
      <c r="C186" s="2563"/>
      <c r="D186" s="2570"/>
      <c r="E186" s="2561"/>
      <c r="F186" s="2540"/>
      <c r="G186" s="2562"/>
      <c r="H186" s="2561"/>
      <c r="I186" s="2532"/>
      <c r="J186" s="2579"/>
      <c r="K186" s="2579"/>
      <c r="L186" s="2579"/>
      <c r="M186" s="2579"/>
      <c r="N186" s="2579"/>
      <c r="O186" s="2579"/>
    </row>
    <row r="187" spans="1:15" s="2463" customFormat="1" ht="12.75">
      <c r="A187" s="4879"/>
      <c r="B187" s="4879"/>
      <c r="C187" s="2559"/>
      <c r="D187" s="2560"/>
      <c r="E187" s="4880"/>
      <c r="F187" s="4880"/>
      <c r="G187" s="4880"/>
      <c r="H187" s="2557"/>
      <c r="I187" s="2532"/>
      <c r="J187" s="2579"/>
      <c r="K187" s="2579"/>
      <c r="L187" s="2579"/>
      <c r="M187" s="2579"/>
      <c r="N187" s="2579"/>
      <c r="O187" s="2579"/>
    </row>
    <row r="188" spans="1:15" s="2463" customFormat="1" ht="12.75">
      <c r="A188" s="4879"/>
      <c r="B188" s="4879"/>
      <c r="C188" s="2559"/>
      <c r="D188" s="2558"/>
      <c r="E188" s="2558"/>
      <c r="F188" s="2558"/>
      <c r="G188" s="2558"/>
      <c r="H188" s="2558"/>
      <c r="I188" s="2532"/>
      <c r="J188" s="2579"/>
      <c r="K188" s="2579"/>
      <c r="L188" s="2579"/>
      <c r="M188" s="2579"/>
      <c r="N188" s="2579"/>
      <c r="O188" s="2579"/>
    </row>
    <row r="189" spans="1:15" s="2463" customFormat="1" ht="12.75">
      <c r="A189" s="4879"/>
      <c r="B189" s="4879"/>
      <c r="C189" s="2557"/>
      <c r="D189" s="2555"/>
      <c r="E189" s="2555"/>
      <c r="F189" s="2555"/>
      <c r="G189" s="2556"/>
      <c r="H189" s="2555"/>
      <c r="I189" s="2532"/>
      <c r="J189" s="2579"/>
      <c r="K189" s="2579"/>
      <c r="L189" s="2579"/>
      <c r="M189" s="2579"/>
      <c r="N189" s="2579"/>
      <c r="O189" s="2579"/>
    </row>
    <row r="190" spans="1:15" s="2463" customFormat="1" ht="12.75">
      <c r="A190" s="2554"/>
      <c r="B190" s="2553"/>
      <c r="C190" s="2552"/>
      <c r="D190" s="2551"/>
      <c r="E190" s="2551"/>
      <c r="F190" s="2551"/>
      <c r="G190" s="2551"/>
      <c r="H190" s="2551"/>
      <c r="I190" s="2532"/>
      <c r="J190" s="2579"/>
      <c r="K190" s="2579"/>
      <c r="L190" s="2579"/>
      <c r="M190" s="2579"/>
      <c r="N190" s="2579"/>
      <c r="O190" s="2579"/>
    </row>
    <row r="191" spans="1:15" s="2463" customFormat="1" ht="12.75">
      <c r="A191" s="2546"/>
      <c r="B191" s="1269"/>
      <c r="C191" s="2542"/>
      <c r="D191" s="2548"/>
      <c r="E191" s="2548"/>
      <c r="F191" s="2540"/>
      <c r="G191" s="2548"/>
      <c r="H191" s="2548"/>
      <c r="I191" s="2532"/>
      <c r="J191" s="2579"/>
      <c r="K191" s="2579"/>
      <c r="L191" s="2579"/>
      <c r="M191" s="2579"/>
      <c r="N191" s="2579"/>
      <c r="O191" s="2579"/>
    </row>
    <row r="192" spans="1:15" s="2463" customFormat="1" ht="12.75">
      <c r="A192" s="2549"/>
      <c r="B192" s="2549"/>
      <c r="C192" s="2545"/>
      <c r="D192" s="2548"/>
      <c r="E192" s="2548"/>
      <c r="F192" s="2540"/>
      <c r="G192" s="2548"/>
      <c r="H192" s="2548"/>
      <c r="I192" s="2532"/>
      <c r="J192" s="2579"/>
      <c r="K192" s="2579"/>
      <c r="L192" s="2579"/>
      <c r="M192" s="2579"/>
      <c r="N192" s="2579"/>
      <c r="O192" s="2579"/>
    </row>
    <row r="193" spans="1:15" s="2463" customFormat="1" ht="12.75">
      <c r="A193" s="2546"/>
      <c r="B193" s="1269"/>
      <c r="C193" s="2545"/>
      <c r="D193" s="2541"/>
      <c r="E193" s="2544"/>
      <c r="F193" s="2540"/>
      <c r="G193" s="2544"/>
      <c r="H193" s="2544"/>
      <c r="I193" s="2532"/>
      <c r="J193" s="2579"/>
      <c r="K193" s="2579"/>
      <c r="L193" s="2579"/>
      <c r="M193" s="2579"/>
      <c r="N193" s="2579"/>
      <c r="O193" s="2579"/>
    </row>
    <row r="194" spans="1:15" s="2463" customFormat="1" ht="12.75">
      <c r="A194" s="2549"/>
      <c r="B194" s="2549"/>
      <c r="C194" s="2545"/>
      <c r="D194" s="2541"/>
      <c r="E194" s="2544"/>
      <c r="F194" s="2540"/>
      <c r="G194" s="2544"/>
      <c r="H194" s="2544"/>
      <c r="I194" s="2532"/>
      <c r="J194" s="2579"/>
      <c r="K194" s="2579"/>
      <c r="L194" s="2579"/>
      <c r="M194" s="2579"/>
      <c r="N194" s="2579"/>
      <c r="O194" s="2579"/>
    </row>
    <row r="195" spans="1:15" s="2463" customFormat="1" ht="12.75">
      <c r="A195" s="2543"/>
      <c r="B195" s="2543"/>
      <c r="C195" s="2542"/>
      <c r="D195" s="2541"/>
      <c r="E195" s="2539"/>
      <c r="F195" s="2540"/>
      <c r="G195" s="2539"/>
      <c r="H195" s="2539"/>
      <c r="I195" s="2532"/>
      <c r="J195" s="2579"/>
      <c r="K195" s="2579"/>
      <c r="L195" s="2579"/>
      <c r="M195" s="2579"/>
      <c r="N195" s="2579"/>
      <c r="O195" s="2579"/>
    </row>
    <row r="196" spans="1:15" s="2463" customFormat="1" ht="12.75">
      <c r="A196" s="2538"/>
      <c r="B196" s="2538"/>
      <c r="C196" s="2537"/>
      <c r="D196" s="2536"/>
      <c r="E196" s="2536"/>
      <c r="F196" s="2536"/>
      <c r="G196" s="2536"/>
      <c r="H196" s="2536"/>
      <c r="I196" s="2532"/>
      <c r="J196" s="2579"/>
      <c r="K196" s="2579"/>
      <c r="L196" s="2579"/>
      <c r="M196" s="2579"/>
      <c r="N196" s="2579"/>
      <c r="O196" s="2579"/>
    </row>
    <row r="197" spans="1:15" s="2463" customFormat="1" ht="12.75">
      <c r="A197" s="2538"/>
      <c r="B197" s="2538"/>
      <c r="C197" s="2537"/>
      <c r="D197" s="2536"/>
      <c r="E197" s="2536"/>
      <c r="F197" s="2536"/>
      <c r="G197" s="2536"/>
      <c r="H197" s="2536"/>
      <c r="I197" s="2532"/>
      <c r="J197" s="2579"/>
      <c r="K197" s="2579"/>
      <c r="L197" s="2579"/>
      <c r="M197" s="2579"/>
      <c r="N197" s="2579"/>
      <c r="O197" s="2579"/>
    </row>
    <row r="198" spans="1:15" s="2463" customFormat="1">
      <c r="A198" s="1269"/>
      <c r="B198" s="2529"/>
      <c r="C198" s="2535"/>
      <c r="D198" s="2529"/>
      <c r="E198" s="4877"/>
      <c r="F198" s="4877"/>
      <c r="G198" s="1269"/>
      <c r="H198" s="2529"/>
      <c r="I198" s="2532"/>
      <c r="J198" s="2579"/>
      <c r="K198" s="2579"/>
      <c r="L198" s="2579"/>
      <c r="M198" s="2579"/>
      <c r="N198" s="2579"/>
      <c r="O198" s="2579"/>
    </row>
    <row r="199" spans="1:15" s="2463" customFormat="1">
      <c r="A199" s="2529"/>
      <c r="B199" s="1269"/>
      <c r="C199" s="2535"/>
      <c r="D199" s="1269"/>
      <c r="E199" s="1269"/>
      <c r="F199" s="1269"/>
      <c r="G199" s="1269"/>
      <c r="H199" s="2529"/>
      <c r="I199" s="2532"/>
      <c r="J199" s="2579"/>
      <c r="K199" s="2579"/>
      <c r="L199" s="2579"/>
      <c r="M199" s="2579"/>
      <c r="N199" s="2579"/>
      <c r="O199" s="2579"/>
    </row>
    <row r="200" spans="1:15" s="2463" customFormat="1" ht="12.75">
      <c r="A200" s="2534"/>
      <c r="B200" s="1269"/>
      <c r="C200" s="4881"/>
      <c r="D200" s="4881"/>
      <c r="E200" s="4876"/>
      <c r="F200" s="4876"/>
      <c r="G200" s="4876"/>
      <c r="H200" s="4876"/>
      <c r="I200" s="2532"/>
      <c r="J200" s="2579"/>
      <c r="K200" s="2579"/>
      <c r="L200" s="2579"/>
      <c r="M200" s="2579"/>
      <c r="N200" s="2579"/>
      <c r="O200" s="2579"/>
    </row>
    <row r="201" spans="1:15" s="2463" customFormat="1" ht="12.75">
      <c r="A201" s="2531"/>
      <c r="B201" s="2533"/>
      <c r="C201" s="4874"/>
      <c r="D201" s="4874"/>
      <c r="E201" s="4875"/>
      <c r="F201" s="4875"/>
      <c r="G201" s="4875"/>
      <c r="H201" s="4875"/>
      <c r="I201" s="2532"/>
      <c r="J201" s="2579"/>
      <c r="K201" s="2579"/>
      <c r="L201" s="2579"/>
      <c r="M201" s="2579"/>
      <c r="N201" s="2579"/>
      <c r="O201" s="2579"/>
    </row>
    <row r="202" spans="1:15" s="2463" customFormat="1" ht="12.75">
      <c r="A202" s="2531"/>
      <c r="B202" s="2533"/>
      <c r="C202" s="2531"/>
      <c r="D202" s="2566"/>
      <c r="E202" s="2566"/>
      <c r="F202" s="2566"/>
      <c r="G202" s="2566"/>
      <c r="H202" s="2566"/>
      <c r="I202" s="2532"/>
      <c r="J202" s="2579"/>
      <c r="K202" s="2579"/>
      <c r="L202" s="2579"/>
      <c r="M202" s="2579"/>
      <c r="N202" s="2579"/>
      <c r="O202" s="2579"/>
    </row>
    <row r="203" spans="1:15" s="2463" customFormat="1" ht="12.75">
      <c r="A203" s="2531"/>
      <c r="B203" s="2533"/>
      <c r="C203" s="2531"/>
      <c r="D203" s="2566"/>
      <c r="E203" s="2566"/>
      <c r="F203" s="2566"/>
      <c r="G203" s="2566"/>
      <c r="H203" s="2566"/>
      <c r="I203" s="2532"/>
      <c r="J203" s="2579"/>
      <c r="K203" s="2579"/>
      <c r="L203" s="2579"/>
      <c r="M203" s="2579"/>
      <c r="N203" s="2579"/>
      <c r="O203" s="2579"/>
    </row>
    <row r="204" spans="1:15" s="2463" customFormat="1" ht="12.75">
      <c r="A204" s="2531"/>
      <c r="B204" s="2533"/>
      <c r="C204" s="2531"/>
      <c r="D204" s="2566"/>
      <c r="E204" s="2566"/>
      <c r="F204" s="2566"/>
      <c r="G204" s="2566"/>
      <c r="H204" s="2566"/>
      <c r="I204" s="2532"/>
      <c r="J204" s="2579"/>
      <c r="K204" s="2579"/>
      <c r="L204" s="2579"/>
      <c r="M204" s="2579"/>
      <c r="N204" s="2579"/>
      <c r="O204" s="2579"/>
    </row>
    <row r="205" spans="1:15" s="2463" customFormat="1" ht="12.75">
      <c r="A205" s="2531"/>
      <c r="B205" s="2533"/>
      <c r="C205" s="2531"/>
      <c r="D205" s="2566"/>
      <c r="E205" s="2566"/>
      <c r="F205" s="2566"/>
      <c r="G205" s="2566"/>
      <c r="H205" s="2566"/>
      <c r="I205" s="2532"/>
      <c r="J205" s="2579"/>
      <c r="K205" s="2579"/>
      <c r="L205" s="2579"/>
      <c r="M205" s="2579"/>
      <c r="N205" s="2579"/>
      <c r="O205" s="2579"/>
    </row>
    <row r="206" spans="1:15" s="2463" customFormat="1" ht="12.75">
      <c r="A206" s="2531"/>
      <c r="B206" s="2533"/>
      <c r="C206" s="2531"/>
      <c r="D206" s="2566"/>
      <c r="E206" s="2566"/>
      <c r="F206" s="2566"/>
      <c r="G206" s="2566"/>
      <c r="H206" s="2566"/>
      <c r="I206" s="2532"/>
      <c r="J206" s="2579"/>
      <c r="K206" s="2579"/>
      <c r="L206" s="2579"/>
      <c r="M206" s="2579"/>
      <c r="N206" s="2579"/>
      <c r="O206" s="2579"/>
    </row>
    <row r="207" spans="1:15" s="2463" customFormat="1" ht="12.75">
      <c r="A207" s="2531"/>
      <c r="B207" s="2533"/>
      <c r="C207" s="2531"/>
      <c r="D207" s="2566"/>
      <c r="E207" s="2566"/>
      <c r="F207" s="2566"/>
      <c r="G207" s="2566"/>
      <c r="H207" s="2566"/>
      <c r="I207" s="2532"/>
      <c r="J207" s="2579"/>
      <c r="K207" s="2579"/>
      <c r="L207" s="2579"/>
      <c r="M207" s="2579"/>
      <c r="N207" s="2579"/>
      <c r="O207" s="2579"/>
    </row>
    <row r="208" spans="1:15" s="2463" customFormat="1" ht="12.75">
      <c r="A208" s="2531"/>
      <c r="B208" s="2533"/>
      <c r="C208" s="2531"/>
      <c r="D208" s="2566"/>
      <c r="E208" s="2566"/>
      <c r="F208" s="2566"/>
      <c r="G208" s="2566"/>
      <c r="H208" s="2566"/>
      <c r="I208" s="2532"/>
      <c r="J208" s="2579"/>
      <c r="K208" s="2579"/>
      <c r="L208" s="2579"/>
      <c r="M208" s="2579"/>
      <c r="N208" s="2579"/>
      <c r="O208" s="2579"/>
    </row>
    <row r="209" spans="1:15" s="2463" customFormat="1" ht="12.75">
      <c r="A209" s="2531"/>
      <c r="B209" s="2533"/>
      <c r="C209" s="2531"/>
      <c r="D209" s="2566"/>
      <c r="E209" s="2566"/>
      <c r="F209" s="2566"/>
      <c r="G209" s="2566"/>
      <c r="H209" s="2566"/>
      <c r="I209" s="2532"/>
      <c r="J209" s="2579"/>
      <c r="K209" s="2579"/>
      <c r="L209" s="2579"/>
      <c r="M209" s="2579"/>
      <c r="N209" s="2579"/>
      <c r="O209" s="2579"/>
    </row>
    <row r="210" spans="1:15" s="2463" customFormat="1" ht="12.75">
      <c r="A210" s="2531"/>
      <c r="B210" s="2533"/>
      <c r="C210" s="2531"/>
      <c r="D210" s="2566"/>
      <c r="E210" s="2566"/>
      <c r="F210" s="2566"/>
      <c r="G210" s="2566"/>
      <c r="H210" s="2566"/>
      <c r="I210" s="2532"/>
      <c r="J210" s="2579"/>
      <c r="K210" s="2579"/>
      <c r="L210" s="2579"/>
      <c r="M210" s="2579"/>
      <c r="N210" s="2579"/>
      <c r="O210" s="2579"/>
    </row>
    <row r="211" spans="1:15" s="2463" customFormat="1" ht="12.75">
      <c r="A211" s="2531"/>
      <c r="B211" s="2533"/>
      <c r="C211" s="2531"/>
      <c r="D211" s="2566"/>
      <c r="E211" s="2566"/>
      <c r="F211" s="2566"/>
      <c r="G211" s="2566"/>
      <c r="H211" s="2566"/>
      <c r="I211" s="2532"/>
      <c r="J211" s="2579"/>
      <c r="K211" s="2579"/>
      <c r="L211" s="2579"/>
      <c r="M211" s="2579"/>
      <c r="N211" s="2579"/>
      <c r="O211" s="2579"/>
    </row>
    <row r="212" spans="1:15" s="2463" customFormat="1" ht="12.75">
      <c r="A212" s="2531"/>
      <c r="B212" s="2533"/>
      <c r="C212" s="2531"/>
      <c r="D212" s="2566"/>
      <c r="E212" s="2566"/>
      <c r="F212" s="2566"/>
      <c r="G212" s="2566"/>
      <c r="H212" s="2566"/>
      <c r="I212" s="2532"/>
      <c r="J212" s="2579"/>
      <c r="K212" s="2579"/>
      <c r="L212" s="2579"/>
      <c r="M212" s="2579"/>
      <c r="N212" s="2579"/>
      <c r="O212" s="2579"/>
    </row>
    <row r="213" spans="1:15" s="2463" customFormat="1" ht="12.75">
      <c r="A213" s="2531"/>
      <c r="B213" s="2533"/>
      <c r="C213" s="2531"/>
      <c r="D213" s="2566"/>
      <c r="E213" s="2566"/>
      <c r="F213" s="2566"/>
      <c r="G213" s="2566"/>
      <c r="H213" s="2566"/>
      <c r="I213" s="2532"/>
      <c r="J213" s="2579"/>
      <c r="K213" s="2579"/>
      <c r="L213" s="2579"/>
      <c r="M213" s="2579"/>
      <c r="N213" s="2579"/>
      <c r="O213" s="2579"/>
    </row>
    <row r="214" spans="1:15" s="2463" customFormat="1" ht="12.75">
      <c r="A214" s="2531"/>
      <c r="B214" s="2533"/>
      <c r="C214" s="2531"/>
      <c r="D214" s="2566"/>
      <c r="E214" s="2566"/>
      <c r="F214" s="2566"/>
      <c r="G214" s="2566"/>
      <c r="H214" s="2566"/>
      <c r="I214" s="2532"/>
      <c r="J214" s="2579"/>
      <c r="K214" s="2579"/>
      <c r="L214" s="2579"/>
      <c r="M214" s="2579"/>
      <c r="N214" s="2579"/>
      <c r="O214" s="2579"/>
    </row>
    <row r="215" spans="1:15" s="2463" customFormat="1" ht="12.75">
      <c r="A215" s="2531"/>
      <c r="B215" s="2533"/>
      <c r="C215" s="2531"/>
      <c r="D215" s="2566"/>
      <c r="E215" s="2566"/>
      <c r="F215" s="2566"/>
      <c r="G215" s="2566"/>
      <c r="H215" s="2566"/>
      <c r="I215" s="2532"/>
      <c r="J215" s="2579"/>
      <c r="K215" s="2579"/>
      <c r="L215" s="2579"/>
      <c r="M215" s="2579"/>
      <c r="N215" s="2579"/>
      <c r="O215" s="2579"/>
    </row>
    <row r="216" spans="1:15" s="2463" customFormat="1" ht="12.75">
      <c r="A216" s="2531"/>
      <c r="B216" s="2533"/>
      <c r="C216" s="2531"/>
      <c r="D216" s="2566"/>
      <c r="E216" s="2566"/>
      <c r="F216" s="2566"/>
      <c r="G216" s="2566"/>
      <c r="H216" s="2566"/>
      <c r="I216" s="2532"/>
      <c r="J216" s="2579"/>
      <c r="K216" s="2579"/>
      <c r="L216" s="2579"/>
      <c r="M216" s="2579"/>
      <c r="N216" s="2579"/>
      <c r="O216" s="2579"/>
    </row>
    <row r="217" spans="1:15" s="2463" customFormat="1" ht="12.75">
      <c r="A217" s="2531"/>
      <c r="B217" s="2533"/>
      <c r="C217" s="2531"/>
      <c r="D217" s="2566"/>
      <c r="E217" s="2566"/>
      <c r="F217" s="2566"/>
      <c r="G217" s="2566"/>
      <c r="H217" s="2566"/>
      <c r="I217" s="2532"/>
      <c r="J217" s="2579"/>
      <c r="K217" s="2579"/>
      <c r="L217" s="2579"/>
      <c r="M217" s="2579"/>
      <c r="N217" s="2579"/>
      <c r="O217" s="2579"/>
    </row>
    <row r="218" spans="1:15" s="2463" customFormat="1" ht="12.75">
      <c r="A218" s="2531"/>
      <c r="B218" s="2533"/>
      <c r="C218" s="2531"/>
      <c r="D218" s="2566"/>
      <c r="E218" s="2566"/>
      <c r="F218" s="2566"/>
      <c r="G218" s="2566"/>
      <c r="H218" s="2566"/>
      <c r="I218" s="2532"/>
      <c r="J218" s="2579"/>
      <c r="K218" s="2579"/>
      <c r="L218" s="2579"/>
      <c r="M218" s="2579"/>
      <c r="N218" s="2579"/>
      <c r="O218" s="2579"/>
    </row>
    <row r="219" spans="1:15" s="2463" customFormat="1" ht="12.75">
      <c r="A219" s="2531"/>
      <c r="B219" s="2533"/>
      <c r="C219" s="2531"/>
      <c r="D219" s="2566"/>
      <c r="E219" s="2566"/>
      <c r="F219" s="2566"/>
      <c r="G219" s="2566"/>
      <c r="H219" s="2566"/>
      <c r="I219" s="2532"/>
      <c r="J219" s="2579"/>
      <c r="K219" s="2579"/>
      <c r="L219" s="2579"/>
      <c r="M219" s="2579"/>
      <c r="N219" s="2579"/>
      <c r="O219" s="2579"/>
    </row>
    <row r="220" spans="1:15" s="2463" customFormat="1" ht="12.75">
      <c r="A220" s="2531"/>
      <c r="B220" s="2533"/>
      <c r="C220" s="2531"/>
      <c r="D220" s="2566"/>
      <c r="E220" s="2566"/>
      <c r="F220" s="2566"/>
      <c r="G220" s="2566"/>
      <c r="H220" s="2566"/>
      <c r="I220" s="2532"/>
      <c r="J220" s="2579"/>
      <c r="K220" s="2579"/>
      <c r="L220" s="2579"/>
      <c r="M220" s="2579"/>
      <c r="N220" s="2579"/>
      <c r="O220" s="2579"/>
    </row>
    <row r="221" spans="1:15">
      <c r="A221" s="4876"/>
      <c r="B221" s="4876"/>
      <c r="C221" s="4876"/>
      <c r="D221" s="4876"/>
      <c r="E221" s="4876"/>
      <c r="F221" s="4876"/>
      <c r="G221" s="4876"/>
      <c r="H221" s="4876"/>
      <c r="I221" s="2530"/>
    </row>
    <row r="222" spans="1:15">
      <c r="A222" s="4877"/>
      <c r="B222" s="4877"/>
      <c r="C222" s="4877"/>
      <c r="D222" s="4877"/>
      <c r="E222" s="4877"/>
      <c r="F222" s="4877"/>
      <c r="G222" s="4877"/>
      <c r="H222" s="4877"/>
      <c r="I222" s="2530"/>
    </row>
    <row r="223" spans="1:15">
      <c r="A223" s="2529"/>
      <c r="B223" s="2529"/>
      <c r="C223" s="2529"/>
      <c r="D223" s="2529"/>
      <c r="E223" s="2529"/>
      <c r="F223" s="2529"/>
      <c r="G223" s="2529"/>
      <c r="H223" s="2529"/>
      <c r="I223" s="2530"/>
    </row>
    <row r="224" spans="1:15">
      <c r="A224" s="2529"/>
      <c r="B224" s="2529"/>
      <c r="C224" s="2529"/>
      <c r="D224" s="2529"/>
      <c r="E224" s="2529"/>
      <c r="F224" s="2529"/>
      <c r="G224" s="2529"/>
      <c r="H224" s="2529"/>
      <c r="I224" s="2530"/>
    </row>
    <row r="225" spans="1:15" s="2463" customFormat="1">
      <c r="A225" s="2568"/>
      <c r="B225" s="2567"/>
      <c r="C225" s="2529"/>
      <c r="D225" s="2566"/>
      <c r="E225" s="2566"/>
      <c r="F225" s="2566"/>
      <c r="G225" s="2566"/>
      <c r="H225" s="2566"/>
      <c r="I225" s="2532"/>
      <c r="J225" s="2579"/>
      <c r="K225" s="2579"/>
      <c r="L225" s="2579"/>
      <c r="M225" s="2579"/>
      <c r="N225" s="2579"/>
      <c r="O225" s="2579"/>
    </row>
    <row r="226" spans="1:15" s="2463" customFormat="1" ht="12.75">
      <c r="A226" s="1269"/>
      <c r="B226" s="1269"/>
      <c r="C226" s="2542"/>
      <c r="D226" s="2541"/>
      <c r="E226" s="2561"/>
      <c r="F226" s="2540"/>
      <c r="G226" s="2565"/>
      <c r="H226" s="2561"/>
      <c r="I226" s="2532"/>
      <c r="J226" s="2579"/>
      <c r="K226" s="2579"/>
      <c r="L226" s="2579"/>
      <c r="M226" s="2579"/>
      <c r="N226" s="2579"/>
      <c r="O226" s="2579"/>
    </row>
    <row r="227" spans="1:15" s="2463" customFormat="1" ht="23.25">
      <c r="A227" s="2564"/>
      <c r="B227" s="2564"/>
      <c r="C227" s="2563"/>
      <c r="D227" s="2541"/>
      <c r="E227" s="2561"/>
      <c r="F227" s="2540"/>
      <c r="G227" s="2562"/>
      <c r="H227" s="2561"/>
      <c r="I227" s="2532"/>
      <c r="J227" s="2579"/>
      <c r="K227" s="2579"/>
      <c r="L227" s="2579"/>
      <c r="M227" s="2579"/>
      <c r="N227" s="2579"/>
      <c r="O227" s="2579"/>
    </row>
    <row r="228" spans="1:15" s="2463" customFormat="1" ht="12.75">
      <c r="A228" s="4879"/>
      <c r="B228" s="4879"/>
      <c r="C228" s="2559"/>
      <c r="D228" s="2560"/>
      <c r="E228" s="4880"/>
      <c r="F228" s="4880"/>
      <c r="G228" s="4880"/>
      <c r="H228" s="2557"/>
      <c r="I228" s="2532"/>
      <c r="J228" s="2579"/>
      <c r="K228" s="2579"/>
      <c r="L228" s="2579"/>
      <c r="M228" s="2579"/>
      <c r="N228" s="2579"/>
      <c r="O228" s="2579"/>
    </row>
    <row r="229" spans="1:15" s="2463" customFormat="1" ht="12.75">
      <c r="A229" s="4879"/>
      <c r="B229" s="4879"/>
      <c r="C229" s="2559"/>
      <c r="D229" s="2558"/>
      <c r="E229" s="2558"/>
      <c r="F229" s="2558"/>
      <c r="G229" s="2558"/>
      <c r="H229" s="2558"/>
      <c r="I229" s="2532"/>
      <c r="J229" s="2579"/>
      <c r="K229" s="2579"/>
      <c r="L229" s="2579"/>
      <c r="M229" s="2579"/>
      <c r="N229" s="2579"/>
      <c r="O229" s="2579"/>
    </row>
    <row r="230" spans="1:15" s="2463" customFormat="1" ht="12.75">
      <c r="A230" s="4879"/>
      <c r="B230" s="4879"/>
      <c r="C230" s="2557"/>
      <c r="D230" s="2555"/>
      <c r="E230" s="2555"/>
      <c r="F230" s="2555"/>
      <c r="G230" s="2556"/>
      <c r="H230" s="2555"/>
      <c r="I230" s="2532"/>
      <c r="J230" s="2579"/>
      <c r="K230" s="2579"/>
      <c r="L230" s="2579"/>
      <c r="M230" s="2579"/>
      <c r="N230" s="2579"/>
      <c r="O230" s="2579"/>
    </row>
    <row r="231" spans="1:15" s="2463" customFormat="1" ht="12.75">
      <c r="A231" s="2554"/>
      <c r="B231" s="2553"/>
      <c r="C231" s="2552"/>
      <c r="D231" s="2551"/>
      <c r="E231" s="2551"/>
      <c r="F231" s="2551"/>
      <c r="G231" s="2551"/>
      <c r="H231" s="2551"/>
      <c r="I231" s="2532"/>
      <c r="J231" s="2579"/>
      <c r="K231" s="2579"/>
      <c r="L231" s="2579"/>
      <c r="M231" s="2579"/>
      <c r="N231" s="2579"/>
      <c r="O231" s="2579"/>
    </row>
    <row r="232" spans="1:15" s="2463" customFormat="1" ht="12.75">
      <c r="A232" s="2546"/>
      <c r="B232" s="1269"/>
      <c r="C232" s="2545"/>
      <c r="D232" s="2548"/>
      <c r="E232" s="2548"/>
      <c r="F232" s="2540"/>
      <c r="G232" s="2548"/>
      <c r="H232" s="2548"/>
      <c r="I232" s="2532"/>
      <c r="J232" s="2579"/>
      <c r="K232" s="2579"/>
      <c r="L232" s="2579"/>
      <c r="M232" s="2579"/>
      <c r="N232" s="2579"/>
      <c r="O232" s="2579"/>
    </row>
    <row r="233" spans="1:15" s="2463" customFormat="1" ht="12.75">
      <c r="A233" s="2549"/>
      <c r="B233" s="2549"/>
      <c r="C233" s="2545"/>
      <c r="D233" s="2548"/>
      <c r="E233" s="2548"/>
      <c r="F233" s="2540"/>
      <c r="G233" s="2548"/>
      <c r="H233" s="2548"/>
      <c r="I233" s="2532"/>
      <c r="J233" s="2579"/>
      <c r="K233" s="2579"/>
      <c r="L233" s="2579"/>
      <c r="M233" s="2579"/>
      <c r="N233" s="2579"/>
      <c r="O233" s="2579"/>
    </row>
    <row r="234" spans="1:15" s="2463" customFormat="1" ht="12.75">
      <c r="A234" s="2546"/>
      <c r="B234" s="1269"/>
      <c r="C234" s="2542"/>
      <c r="D234" s="2541"/>
      <c r="E234" s="2544"/>
      <c r="F234" s="2540"/>
      <c r="G234" s="2544"/>
      <c r="H234" s="2544"/>
      <c r="I234" s="2532"/>
      <c r="J234" s="2579"/>
      <c r="K234" s="2579"/>
      <c r="L234" s="2579"/>
      <c r="M234" s="2579"/>
      <c r="N234" s="2579"/>
      <c r="O234" s="2579"/>
    </row>
    <row r="235" spans="1:15" s="2463" customFormat="1" ht="12.75">
      <c r="A235" s="2549"/>
      <c r="B235" s="2549"/>
      <c r="C235" s="2545"/>
      <c r="D235" s="2541"/>
      <c r="E235" s="2544"/>
      <c r="F235" s="2540"/>
      <c r="G235" s="2544"/>
      <c r="H235" s="2544"/>
      <c r="I235" s="2532"/>
      <c r="J235" s="2579"/>
      <c r="K235" s="2579"/>
      <c r="L235" s="2579"/>
      <c r="M235" s="2579"/>
      <c r="N235" s="2579"/>
      <c r="O235" s="2579"/>
    </row>
    <row r="236" spans="1:15" s="2463" customFormat="1" ht="12.75">
      <c r="A236" s="2549"/>
      <c r="B236" s="2549"/>
      <c r="C236" s="2542"/>
      <c r="D236" s="2541"/>
      <c r="E236" s="2544"/>
      <c r="F236" s="2540"/>
      <c r="G236" s="2544"/>
      <c r="H236" s="2544"/>
      <c r="I236" s="2532"/>
      <c r="J236" s="2579"/>
      <c r="K236" s="2579"/>
      <c r="L236" s="2579"/>
      <c r="M236" s="2579"/>
      <c r="N236" s="2579"/>
      <c r="O236" s="2579"/>
    </row>
    <row r="237" spans="1:15" s="2463" customFormat="1" ht="12.75">
      <c r="A237" s="2549"/>
      <c r="B237" s="2549"/>
      <c r="C237" s="2542"/>
      <c r="D237" s="2541"/>
      <c r="E237" s="2544"/>
      <c r="F237" s="2540"/>
      <c r="G237" s="2544"/>
      <c r="H237" s="2544"/>
      <c r="I237" s="2532"/>
      <c r="J237" s="2579"/>
      <c r="K237" s="2579"/>
      <c r="L237" s="2579"/>
      <c r="M237" s="2579"/>
      <c r="N237" s="2579"/>
      <c r="O237" s="2579"/>
    </row>
    <row r="238" spans="1:15" s="2463" customFormat="1" ht="12.75">
      <c r="A238" s="2546"/>
      <c r="B238" s="1269"/>
      <c r="C238" s="2545"/>
      <c r="D238" s="2541"/>
      <c r="E238" s="2544"/>
      <c r="F238" s="2540"/>
      <c r="G238" s="2544"/>
      <c r="H238" s="2544"/>
      <c r="I238" s="2532"/>
      <c r="J238" s="2579"/>
      <c r="K238" s="2579"/>
      <c r="L238" s="2579"/>
      <c r="M238" s="2579"/>
      <c r="N238" s="2579"/>
      <c r="O238" s="2579"/>
    </row>
    <row r="239" spans="1:15" s="2463" customFormat="1" ht="12.75">
      <c r="A239" s="2546"/>
      <c r="B239" s="1269"/>
      <c r="C239" s="2545"/>
      <c r="D239" s="2541"/>
      <c r="E239" s="2544"/>
      <c r="F239" s="2540"/>
      <c r="G239" s="2544"/>
      <c r="H239" s="2544"/>
      <c r="I239" s="2532"/>
      <c r="J239" s="2579"/>
      <c r="K239" s="2579"/>
      <c r="L239" s="2579"/>
      <c r="M239" s="2579"/>
      <c r="N239" s="2579"/>
      <c r="O239" s="2579"/>
    </row>
    <row r="240" spans="1:15" s="2463" customFormat="1" ht="12.75">
      <c r="A240" s="2547"/>
      <c r="B240" s="2546"/>
      <c r="C240" s="2545"/>
      <c r="D240" s="2541"/>
      <c r="E240" s="2544"/>
      <c r="F240" s="2540"/>
      <c r="G240" s="2544"/>
      <c r="H240" s="2544"/>
      <c r="I240" s="2532"/>
      <c r="J240" s="2579"/>
      <c r="K240" s="2579"/>
      <c r="L240" s="2579"/>
      <c r="M240" s="2579"/>
      <c r="N240" s="2579"/>
      <c r="O240" s="2579"/>
    </row>
    <row r="241" spans="1:15" s="2463" customFormat="1" ht="12.75">
      <c r="A241" s="2543"/>
      <c r="B241" s="2543"/>
      <c r="C241" s="2542"/>
      <c r="D241" s="2541"/>
      <c r="E241" s="2539"/>
      <c r="F241" s="2540"/>
      <c r="G241" s="2539"/>
      <c r="H241" s="2539"/>
      <c r="I241" s="2532"/>
      <c r="J241" s="2579"/>
      <c r="K241" s="2579"/>
      <c r="L241" s="2579"/>
      <c r="M241" s="2579"/>
      <c r="N241" s="2579"/>
      <c r="O241" s="2579"/>
    </row>
    <row r="242" spans="1:15" s="2463" customFormat="1" ht="12.75">
      <c r="A242" s="2538"/>
      <c r="B242" s="2538"/>
      <c r="C242" s="2537"/>
      <c r="D242" s="2536"/>
      <c r="E242" s="2536"/>
      <c r="F242" s="2536"/>
      <c r="G242" s="2536"/>
      <c r="H242" s="2536"/>
      <c r="I242" s="2532"/>
      <c r="J242" s="2579"/>
      <c r="K242" s="2579"/>
      <c r="L242" s="2579"/>
      <c r="M242" s="2579"/>
      <c r="N242" s="2579"/>
      <c r="O242" s="2579"/>
    </row>
    <row r="243" spans="1:15" s="2463" customFormat="1" ht="12.75">
      <c r="A243" s="2538"/>
      <c r="B243" s="2538"/>
      <c r="C243" s="2537"/>
      <c r="D243" s="2536"/>
      <c r="E243" s="2536"/>
      <c r="F243" s="2536"/>
      <c r="G243" s="2536"/>
      <c r="H243" s="2536"/>
      <c r="I243" s="2532"/>
      <c r="J243" s="2579"/>
      <c r="K243" s="2579"/>
      <c r="L243" s="2579"/>
      <c r="M243" s="2579"/>
      <c r="N243" s="2579"/>
      <c r="O243" s="2579"/>
    </row>
    <row r="244" spans="1:15" s="2463" customFormat="1">
      <c r="A244" s="1269"/>
      <c r="B244" s="2529"/>
      <c r="C244" s="2535"/>
      <c r="D244" s="2529"/>
      <c r="E244" s="4877"/>
      <c r="F244" s="4877"/>
      <c r="G244" s="1269"/>
      <c r="H244" s="2529"/>
      <c r="I244" s="2532"/>
      <c r="J244" s="2579"/>
      <c r="K244" s="2579"/>
      <c r="L244" s="2579"/>
      <c r="M244" s="2579"/>
      <c r="N244" s="2579"/>
      <c r="O244" s="2579"/>
    </row>
    <row r="245" spans="1:15" s="2463" customFormat="1">
      <c r="A245" s="2529"/>
      <c r="B245" s="1269"/>
      <c r="C245" s="2535"/>
      <c r="D245" s="1269"/>
      <c r="E245" s="1269"/>
      <c r="F245" s="1269"/>
      <c r="G245" s="1269"/>
      <c r="H245" s="2529"/>
      <c r="I245" s="2532"/>
      <c r="J245" s="2579"/>
      <c r="K245" s="2579"/>
      <c r="L245" s="2579"/>
      <c r="M245" s="2579"/>
      <c r="N245" s="2579"/>
      <c r="O245" s="2579"/>
    </row>
    <row r="246" spans="1:15" s="2463" customFormat="1" ht="12.75">
      <c r="A246" s="2534"/>
      <c r="B246" s="1269"/>
      <c r="C246" s="4881"/>
      <c r="D246" s="4881"/>
      <c r="E246" s="4876"/>
      <c r="F246" s="4876"/>
      <c r="G246" s="4876"/>
      <c r="H246" s="4876"/>
      <c r="I246" s="2532"/>
      <c r="J246" s="2579"/>
      <c r="K246" s="2579"/>
      <c r="L246" s="2579"/>
      <c r="M246" s="2579"/>
      <c r="N246" s="2579"/>
      <c r="O246" s="2579"/>
    </row>
    <row r="247" spans="1:15" s="2463" customFormat="1" ht="12.75">
      <c r="A247" s="2531"/>
      <c r="B247" s="2533"/>
      <c r="C247" s="4874"/>
      <c r="D247" s="4874"/>
      <c r="E247" s="4875"/>
      <c r="F247" s="4875"/>
      <c r="G247" s="4875"/>
      <c r="H247" s="4875"/>
      <c r="I247" s="2532"/>
      <c r="J247" s="2579"/>
      <c r="K247" s="2579"/>
      <c r="L247" s="2579"/>
      <c r="M247" s="2579"/>
      <c r="N247" s="2579"/>
      <c r="O247" s="2579"/>
    </row>
    <row r="248" spans="1:15" s="2463" customFormat="1" ht="12.75">
      <c r="A248" s="2531"/>
      <c r="B248" s="2533"/>
      <c r="C248" s="2531"/>
      <c r="D248" s="2566"/>
      <c r="E248" s="2566"/>
      <c r="F248" s="2566"/>
      <c r="G248" s="2566"/>
      <c r="H248" s="2566"/>
      <c r="I248" s="2532"/>
      <c r="J248" s="2579"/>
      <c r="K248" s="2579"/>
      <c r="L248" s="2579"/>
      <c r="M248" s="2579"/>
      <c r="N248" s="2579"/>
      <c r="O248" s="2579"/>
    </row>
    <row r="249" spans="1:15" s="2463" customFormat="1" ht="12.75">
      <c r="A249" s="2531"/>
      <c r="B249" s="2533"/>
      <c r="C249" s="2531"/>
      <c r="D249" s="2566"/>
      <c r="E249" s="2566"/>
      <c r="F249" s="2566"/>
      <c r="G249" s="2566"/>
      <c r="H249" s="2566"/>
      <c r="I249" s="2532"/>
      <c r="J249" s="2579"/>
      <c r="K249" s="2579"/>
      <c r="L249" s="2579"/>
      <c r="M249" s="2579"/>
      <c r="N249" s="2579"/>
      <c r="O249" s="2579"/>
    </row>
    <row r="250" spans="1:15" s="2463" customFormat="1" ht="12.75">
      <c r="A250" s="2531"/>
      <c r="B250" s="2533"/>
      <c r="C250" s="2531"/>
      <c r="D250" s="2566"/>
      <c r="E250" s="2566"/>
      <c r="F250" s="2566"/>
      <c r="G250" s="2566"/>
      <c r="H250" s="2566"/>
      <c r="I250" s="2532"/>
      <c r="J250" s="2579"/>
      <c r="K250" s="2579"/>
      <c r="L250" s="2579"/>
      <c r="M250" s="2579"/>
      <c r="N250" s="2579"/>
      <c r="O250" s="2579"/>
    </row>
    <row r="251" spans="1:15" s="2463" customFormat="1" ht="12.75">
      <c r="A251" s="2531"/>
      <c r="B251" s="2533"/>
      <c r="C251" s="2531"/>
      <c r="D251" s="2566"/>
      <c r="E251" s="2566"/>
      <c r="F251" s="2566"/>
      <c r="G251" s="2566"/>
      <c r="H251" s="2566"/>
      <c r="I251" s="2532"/>
      <c r="J251" s="2579"/>
      <c r="K251" s="2579"/>
      <c r="L251" s="2579"/>
      <c r="M251" s="2579"/>
      <c r="N251" s="2579"/>
      <c r="O251" s="2579"/>
    </row>
    <row r="252" spans="1:15" s="2463" customFormat="1" ht="12.75">
      <c r="A252" s="2531"/>
      <c r="B252" s="2533"/>
      <c r="C252" s="2531"/>
      <c r="D252" s="2566"/>
      <c r="E252" s="2566"/>
      <c r="F252" s="2566"/>
      <c r="G252" s="2566"/>
      <c r="H252" s="2566"/>
      <c r="I252" s="2532"/>
      <c r="J252" s="2579"/>
      <c r="K252" s="2579"/>
      <c r="L252" s="2579"/>
      <c r="M252" s="2579"/>
      <c r="N252" s="2579"/>
      <c r="O252" s="2579"/>
    </row>
    <row r="253" spans="1:15" s="2463" customFormat="1" ht="12.75">
      <c r="A253" s="2531"/>
      <c r="B253" s="2533"/>
      <c r="C253" s="2531"/>
      <c r="D253" s="2566"/>
      <c r="E253" s="2566"/>
      <c r="F253" s="2566"/>
      <c r="G253" s="2566"/>
      <c r="H253" s="2566"/>
      <c r="I253" s="2532"/>
      <c r="J253" s="2579"/>
      <c r="K253" s="2579"/>
      <c r="L253" s="2579"/>
      <c r="M253" s="2579"/>
      <c r="N253" s="2579"/>
      <c r="O253" s="2579"/>
    </row>
    <row r="254" spans="1:15" s="2463" customFormat="1" ht="12.75">
      <c r="A254" s="2531"/>
      <c r="B254" s="2533"/>
      <c r="C254" s="2531"/>
      <c r="D254" s="2566"/>
      <c r="E254" s="2566"/>
      <c r="F254" s="2566"/>
      <c r="G254" s="2566"/>
      <c r="H254" s="2566"/>
      <c r="I254" s="2532"/>
      <c r="J254" s="2579"/>
      <c r="K254" s="2579"/>
      <c r="L254" s="2579"/>
      <c r="M254" s="2579"/>
      <c r="N254" s="2579"/>
      <c r="O254" s="2579"/>
    </row>
    <row r="255" spans="1:15" s="2463" customFormat="1" ht="12.75">
      <c r="A255" s="2531"/>
      <c r="B255" s="2533"/>
      <c r="C255" s="2531"/>
      <c r="D255" s="2566"/>
      <c r="E255" s="2566"/>
      <c r="F255" s="2566"/>
      <c r="G255" s="2566"/>
      <c r="H255" s="2566"/>
      <c r="I255" s="2532"/>
      <c r="J255" s="2579"/>
      <c r="K255" s="2579"/>
      <c r="L255" s="2579"/>
      <c r="M255" s="2579"/>
      <c r="N255" s="2579"/>
      <c r="O255" s="2579"/>
    </row>
    <row r="256" spans="1:15" s="2463" customFormat="1" ht="12.75">
      <c r="A256" s="2531"/>
      <c r="B256" s="2533"/>
      <c r="C256" s="2531"/>
      <c r="D256" s="2566"/>
      <c r="E256" s="2566"/>
      <c r="F256" s="2566"/>
      <c r="G256" s="2566"/>
      <c r="H256" s="2566"/>
      <c r="I256" s="2532"/>
      <c r="J256" s="2579"/>
      <c r="K256" s="2579"/>
      <c r="L256" s="2579"/>
      <c r="M256" s="2579"/>
      <c r="N256" s="2579"/>
      <c r="O256" s="2579"/>
    </row>
    <row r="257" spans="1:15" s="2463" customFormat="1" ht="12.75">
      <c r="A257" s="2531"/>
      <c r="B257" s="2533"/>
      <c r="C257" s="2531"/>
      <c r="D257" s="2566"/>
      <c r="E257" s="2566"/>
      <c r="F257" s="2566"/>
      <c r="G257" s="2566"/>
      <c r="H257" s="2566"/>
      <c r="I257" s="2532"/>
      <c r="J257" s="2579"/>
      <c r="K257" s="2579"/>
      <c r="L257" s="2579"/>
      <c r="M257" s="2579"/>
      <c r="N257" s="2579"/>
      <c r="O257" s="2579"/>
    </row>
    <row r="258" spans="1:15" s="2463" customFormat="1" ht="12.75">
      <c r="A258" s="2531"/>
      <c r="B258" s="2533"/>
      <c r="C258" s="2531"/>
      <c r="D258" s="2566"/>
      <c r="E258" s="2566"/>
      <c r="F258" s="2566"/>
      <c r="G258" s="2566"/>
      <c r="H258" s="2566"/>
      <c r="I258" s="2532"/>
      <c r="J258" s="2579"/>
      <c r="K258" s="2579"/>
      <c r="L258" s="2579"/>
      <c r="M258" s="2579"/>
      <c r="N258" s="2579"/>
      <c r="O258" s="2579"/>
    </row>
    <row r="259" spans="1:15" s="2463" customFormat="1" ht="12.75">
      <c r="A259" s="2531"/>
      <c r="B259" s="2533"/>
      <c r="C259" s="2531"/>
      <c r="D259" s="2566"/>
      <c r="E259" s="2566"/>
      <c r="F259" s="2566"/>
      <c r="G259" s="2566"/>
      <c r="H259" s="2566"/>
      <c r="I259" s="2532"/>
      <c r="J259" s="2579"/>
      <c r="K259" s="2579"/>
      <c r="L259" s="2579"/>
      <c r="M259" s="2579"/>
      <c r="N259" s="2579"/>
      <c r="O259" s="2579"/>
    </row>
    <row r="260" spans="1:15" s="2463" customFormat="1" ht="12.75">
      <c r="A260" s="2531"/>
      <c r="B260" s="2533"/>
      <c r="C260" s="2531"/>
      <c r="D260" s="2566"/>
      <c r="E260" s="2566"/>
      <c r="F260" s="2566"/>
      <c r="G260" s="2566"/>
      <c r="H260" s="2566"/>
      <c r="I260" s="2532"/>
      <c r="J260" s="2579"/>
      <c r="K260" s="2579"/>
      <c r="L260" s="2579"/>
      <c r="M260" s="2579"/>
      <c r="N260" s="2579"/>
      <c r="O260" s="2579"/>
    </row>
    <row r="261" spans="1:15">
      <c r="A261" s="2529"/>
      <c r="B261" s="2529"/>
      <c r="C261" s="2529"/>
      <c r="D261" s="2529"/>
      <c r="E261" s="2529"/>
      <c r="F261" s="2529"/>
      <c r="G261" s="2529"/>
      <c r="H261" s="2529"/>
      <c r="I261" s="2530"/>
    </row>
    <row r="262" spans="1:15">
      <c r="A262" s="4876"/>
      <c r="B262" s="4876"/>
      <c r="C262" s="4876"/>
      <c r="D262" s="4876"/>
      <c r="E262" s="4876"/>
      <c r="F262" s="4876"/>
      <c r="G262" s="4876"/>
      <c r="H262" s="4876"/>
      <c r="I262" s="2530"/>
    </row>
    <row r="263" spans="1:15">
      <c r="A263" s="4877"/>
      <c r="B263" s="4877"/>
      <c r="C263" s="4877"/>
      <c r="D263" s="4877"/>
      <c r="E263" s="4877"/>
      <c r="F263" s="4877"/>
      <c r="G263" s="4877"/>
      <c r="H263" s="4877"/>
      <c r="I263" s="2530"/>
    </row>
    <row r="264" spans="1:15">
      <c r="A264" s="2529"/>
      <c r="B264" s="2529"/>
      <c r="C264" s="2529"/>
      <c r="D264" s="2529"/>
      <c r="E264" s="2529"/>
      <c r="F264" s="2529"/>
      <c r="G264" s="2529"/>
      <c r="H264" s="2529"/>
      <c r="I264" s="2530"/>
    </row>
    <row r="265" spans="1:15">
      <c r="A265" s="2529"/>
      <c r="B265" s="2529"/>
      <c r="C265" s="2529"/>
      <c r="D265" s="2529"/>
      <c r="E265" s="2529"/>
      <c r="F265" s="2529"/>
      <c r="G265" s="2529"/>
      <c r="H265" s="2529"/>
      <c r="I265" s="2530"/>
    </row>
    <row r="266" spans="1:15" s="2463" customFormat="1">
      <c r="A266" s="2568"/>
      <c r="B266" s="2567"/>
      <c r="C266" s="2529"/>
      <c r="D266" s="2566"/>
      <c r="E266" s="2566"/>
      <c r="F266" s="2566"/>
      <c r="G266" s="2566"/>
      <c r="H266" s="2566"/>
      <c r="I266" s="2532"/>
      <c r="J266" s="2579"/>
      <c r="K266" s="2579"/>
      <c r="L266" s="2579"/>
      <c r="M266" s="2579"/>
      <c r="N266" s="2579"/>
      <c r="O266" s="2579"/>
    </row>
    <row r="267" spans="1:15" s="2463" customFormat="1" ht="12.75">
      <c r="A267" s="1269"/>
      <c r="B267" s="1269"/>
      <c r="C267" s="2542"/>
      <c r="D267" s="2541"/>
      <c r="E267" s="2561"/>
      <c r="F267" s="2540"/>
      <c r="G267" s="2565"/>
      <c r="H267" s="2561"/>
      <c r="I267" s="2532"/>
      <c r="J267" s="2579"/>
      <c r="K267" s="2579"/>
      <c r="L267" s="2579"/>
      <c r="M267" s="2579"/>
      <c r="N267" s="2579"/>
      <c r="O267" s="2579"/>
    </row>
    <row r="268" spans="1:15" s="2463" customFormat="1" ht="23.25">
      <c r="A268" s="2564"/>
      <c r="B268" s="2564"/>
      <c r="C268" s="2563"/>
      <c r="D268" s="2541"/>
      <c r="E268" s="2561"/>
      <c r="F268" s="2540"/>
      <c r="G268" s="2562"/>
      <c r="H268" s="2561"/>
      <c r="I268" s="2532"/>
      <c r="J268" s="2579"/>
      <c r="K268" s="2579"/>
      <c r="L268" s="2579"/>
      <c r="M268" s="2579"/>
      <c r="N268" s="2579"/>
      <c r="O268" s="2579"/>
    </row>
    <row r="269" spans="1:15" s="2463" customFormat="1" ht="12.75">
      <c r="A269" s="4879"/>
      <c r="B269" s="4879"/>
      <c r="C269" s="2559"/>
      <c r="D269" s="2560"/>
      <c r="E269" s="4880"/>
      <c r="F269" s="4880"/>
      <c r="G269" s="4880"/>
      <c r="H269" s="2557"/>
      <c r="I269" s="2532"/>
      <c r="J269" s="2579"/>
      <c r="K269" s="2579"/>
      <c r="L269" s="2579"/>
      <c r="M269" s="2579"/>
      <c r="N269" s="2579"/>
      <c r="O269" s="2579"/>
    </row>
    <row r="270" spans="1:15" s="2463" customFormat="1" ht="12.75">
      <c r="A270" s="4879"/>
      <c r="B270" s="4879"/>
      <c r="C270" s="2559"/>
      <c r="D270" s="2558"/>
      <c r="E270" s="2558"/>
      <c r="F270" s="2558"/>
      <c r="G270" s="2558"/>
      <c r="H270" s="2558"/>
      <c r="I270" s="2532"/>
      <c r="J270" s="2579"/>
      <c r="K270" s="2579"/>
      <c r="L270" s="2579"/>
      <c r="M270" s="2579"/>
      <c r="N270" s="2579"/>
      <c r="O270" s="2579"/>
    </row>
    <row r="271" spans="1:15" s="2463" customFormat="1" ht="12.75">
      <c r="A271" s="4879"/>
      <c r="B271" s="4879"/>
      <c r="C271" s="2557"/>
      <c r="D271" s="2555"/>
      <c r="E271" s="2555"/>
      <c r="F271" s="2555"/>
      <c r="G271" s="2556"/>
      <c r="H271" s="2555"/>
      <c r="I271" s="2532"/>
      <c r="J271" s="2579"/>
      <c r="K271" s="2579"/>
      <c r="L271" s="2579"/>
      <c r="M271" s="2579"/>
      <c r="N271" s="2579"/>
      <c r="O271" s="2579"/>
    </row>
    <row r="272" spans="1:15" s="2463" customFormat="1" ht="12.75">
      <c r="A272" s="2554"/>
      <c r="B272" s="2553"/>
      <c r="C272" s="2552"/>
      <c r="D272" s="2551"/>
      <c r="E272" s="2551"/>
      <c r="F272" s="2551"/>
      <c r="G272" s="2551"/>
      <c r="H272" s="2551"/>
      <c r="I272" s="2532"/>
      <c r="J272" s="2579"/>
      <c r="K272" s="2579"/>
      <c r="L272" s="2579"/>
      <c r="M272" s="2579"/>
      <c r="N272" s="2579"/>
      <c r="O272" s="2579"/>
    </row>
    <row r="273" spans="1:15" s="2463" customFormat="1" ht="12.75">
      <c r="A273" s="2549"/>
      <c r="B273" s="2549"/>
      <c r="C273" s="2545"/>
      <c r="D273" s="2548"/>
      <c r="E273" s="2548"/>
      <c r="F273" s="2540"/>
      <c r="G273" s="2548"/>
      <c r="H273" s="2548"/>
      <c r="I273" s="2532"/>
      <c r="J273" s="2579"/>
      <c r="K273" s="2579"/>
      <c r="L273" s="2579"/>
      <c r="M273" s="2579"/>
      <c r="N273" s="2579"/>
      <c r="O273" s="2579"/>
    </row>
    <row r="274" spans="1:15" s="2463" customFormat="1" ht="12.75">
      <c r="A274" s="2549"/>
      <c r="B274" s="2549"/>
      <c r="C274" s="2545"/>
      <c r="D274" s="2548"/>
      <c r="E274" s="2548"/>
      <c r="F274" s="2540"/>
      <c r="G274" s="2548"/>
      <c r="H274" s="2548"/>
      <c r="I274" s="2532"/>
      <c r="J274" s="2579"/>
      <c r="K274" s="2579"/>
      <c r="L274" s="2579"/>
      <c r="M274" s="2579"/>
      <c r="N274" s="2579"/>
      <c r="O274" s="2579"/>
    </row>
    <row r="275" spans="1:15" s="2463" customFormat="1" ht="12.75">
      <c r="A275" s="2546"/>
      <c r="B275" s="1269"/>
      <c r="C275" s="2545"/>
      <c r="D275" s="2541"/>
      <c r="E275" s="2544"/>
      <c r="F275" s="2540"/>
      <c r="G275" s="2544"/>
      <c r="H275" s="2544"/>
      <c r="I275" s="2532"/>
      <c r="J275" s="2579"/>
      <c r="K275" s="2579"/>
      <c r="L275" s="2579"/>
      <c r="M275" s="2579"/>
      <c r="N275" s="2579"/>
      <c r="O275" s="2579"/>
    </row>
    <row r="276" spans="1:15" s="2463" customFormat="1" ht="12.75">
      <c r="A276" s="2549"/>
      <c r="B276" s="2549"/>
      <c r="C276" s="2545"/>
      <c r="D276" s="2541"/>
      <c r="E276" s="2544"/>
      <c r="F276" s="2540"/>
      <c r="G276" s="2544"/>
      <c r="H276" s="2544"/>
      <c r="I276" s="2532"/>
      <c r="J276" s="2579"/>
      <c r="K276" s="2579"/>
      <c r="L276" s="2579"/>
      <c r="M276" s="2579"/>
      <c r="N276" s="2579"/>
      <c r="O276" s="2579"/>
    </row>
    <row r="277" spans="1:15" s="2463" customFormat="1" ht="12.75">
      <c r="A277" s="2546"/>
      <c r="B277" s="1269"/>
      <c r="C277" s="2542"/>
      <c r="D277" s="2541"/>
      <c r="E277" s="2544"/>
      <c r="F277" s="2540"/>
      <c r="G277" s="2544"/>
      <c r="H277" s="2544"/>
      <c r="I277" s="2532"/>
      <c r="J277" s="2579"/>
      <c r="K277" s="2579"/>
      <c r="L277" s="2579"/>
      <c r="M277" s="2579"/>
      <c r="N277" s="2579"/>
      <c r="O277" s="2579"/>
    </row>
    <row r="278" spans="1:15" s="2463" customFormat="1" ht="12.75">
      <c r="A278" s="2549"/>
      <c r="B278" s="2549"/>
      <c r="C278" s="2542"/>
      <c r="D278" s="2541"/>
      <c r="E278" s="2544"/>
      <c r="F278" s="2540"/>
      <c r="G278" s="2544"/>
      <c r="H278" s="2544"/>
      <c r="I278" s="2532"/>
      <c r="J278" s="2579"/>
      <c r="K278" s="2579"/>
      <c r="L278" s="2579"/>
      <c r="M278" s="2579"/>
      <c r="N278" s="2579"/>
      <c r="O278" s="2579"/>
    </row>
    <row r="279" spans="1:15" s="2463" customFormat="1" ht="12.75">
      <c r="A279" s="2547"/>
      <c r="B279" s="2546"/>
      <c r="C279" s="2545"/>
      <c r="D279" s="2541"/>
      <c r="E279" s="2544"/>
      <c r="F279" s="2540"/>
      <c r="G279" s="2544"/>
      <c r="H279" s="2544"/>
      <c r="I279" s="2532"/>
      <c r="J279" s="2579"/>
      <c r="K279" s="2579"/>
      <c r="L279" s="2579"/>
      <c r="M279" s="2579"/>
      <c r="N279" s="2579"/>
      <c r="O279" s="2579"/>
    </row>
    <row r="280" spans="1:15" s="2463" customFormat="1" ht="12.75">
      <c r="A280" s="2543"/>
      <c r="B280" s="2543"/>
      <c r="C280" s="2542"/>
      <c r="D280" s="2541"/>
      <c r="E280" s="2539"/>
      <c r="F280" s="2540"/>
      <c r="G280" s="2539"/>
      <c r="H280" s="2539"/>
      <c r="I280" s="2532"/>
      <c r="J280" s="2579"/>
      <c r="K280" s="2579"/>
      <c r="L280" s="2579"/>
      <c r="M280" s="2579"/>
      <c r="N280" s="2579"/>
      <c r="O280" s="2579"/>
    </row>
    <row r="281" spans="1:15" s="2463" customFormat="1" ht="12.75">
      <c r="A281" s="2538"/>
      <c r="B281" s="2538"/>
      <c r="C281" s="2537"/>
      <c r="D281" s="2536"/>
      <c r="E281" s="2536"/>
      <c r="F281" s="2536"/>
      <c r="G281" s="2536"/>
      <c r="H281" s="2536"/>
      <c r="I281" s="2532"/>
      <c r="J281" s="2579"/>
      <c r="K281" s="2579"/>
      <c r="L281" s="2579"/>
      <c r="M281" s="2579"/>
      <c r="N281" s="2579"/>
      <c r="O281" s="2579"/>
    </row>
    <row r="282" spans="1:15" s="2463" customFormat="1" ht="12.75">
      <c r="A282" s="2538"/>
      <c r="B282" s="2538"/>
      <c r="C282" s="2537"/>
      <c r="D282" s="2536"/>
      <c r="E282" s="2536"/>
      <c r="F282" s="2536"/>
      <c r="G282" s="2536"/>
      <c r="H282" s="2536"/>
      <c r="I282" s="2532"/>
      <c r="J282" s="2579"/>
      <c r="K282" s="2579"/>
      <c r="L282" s="2579"/>
      <c r="M282" s="2579"/>
      <c r="N282" s="2579"/>
      <c r="O282" s="2579"/>
    </row>
    <row r="283" spans="1:15" s="2463" customFormat="1">
      <c r="A283" s="1269"/>
      <c r="B283" s="2529"/>
      <c r="C283" s="2535"/>
      <c r="D283" s="2529"/>
      <c r="E283" s="4877"/>
      <c r="F283" s="4877"/>
      <c r="G283" s="1269"/>
      <c r="H283" s="2529"/>
      <c r="I283" s="2532"/>
      <c r="J283" s="2579"/>
      <c r="K283" s="2579"/>
      <c r="L283" s="2579"/>
      <c r="M283" s="2579"/>
      <c r="N283" s="2579"/>
      <c r="O283" s="2579"/>
    </row>
    <row r="284" spans="1:15" s="2463" customFormat="1">
      <c r="A284" s="2529"/>
      <c r="B284" s="1269"/>
      <c r="C284" s="2535"/>
      <c r="D284" s="1269"/>
      <c r="E284" s="1269"/>
      <c r="F284" s="1269"/>
      <c r="G284" s="1269"/>
      <c r="H284" s="2529"/>
      <c r="I284" s="2532"/>
      <c r="J284" s="2579"/>
      <c r="K284" s="2579"/>
      <c r="L284" s="2579"/>
      <c r="M284" s="2579"/>
      <c r="N284" s="2579"/>
      <c r="O284" s="2579"/>
    </row>
    <row r="285" spans="1:15" s="2463" customFormat="1" ht="12.75">
      <c r="A285" s="2534"/>
      <c r="B285" s="1269"/>
      <c r="C285" s="4881"/>
      <c r="D285" s="4881"/>
      <c r="E285" s="4876"/>
      <c r="F285" s="4876"/>
      <c r="G285" s="4876"/>
      <c r="H285" s="4876"/>
      <c r="I285" s="2532"/>
      <c r="J285" s="2579"/>
      <c r="K285" s="2579"/>
      <c r="L285" s="2579"/>
      <c r="M285" s="2579"/>
      <c r="N285" s="2579"/>
      <c r="O285" s="2579"/>
    </row>
    <row r="286" spans="1:15" s="2463" customFormat="1" ht="12.75">
      <c r="A286" s="2531"/>
      <c r="B286" s="2533"/>
      <c r="C286" s="4874"/>
      <c r="D286" s="4874"/>
      <c r="E286" s="4875"/>
      <c r="F286" s="4875"/>
      <c r="G286" s="4875"/>
      <c r="H286" s="4875"/>
      <c r="I286" s="2532"/>
      <c r="J286" s="2579"/>
      <c r="K286" s="2579"/>
      <c r="L286" s="2579"/>
      <c r="M286" s="2579"/>
      <c r="N286" s="2579"/>
      <c r="O286" s="2579"/>
    </row>
    <row r="287" spans="1:15" s="2463" customFormat="1" ht="12.75">
      <c r="A287" s="2531"/>
      <c r="B287" s="2533"/>
      <c r="C287" s="2531"/>
      <c r="D287" s="2566"/>
      <c r="E287" s="2566"/>
      <c r="F287" s="2566"/>
      <c r="G287" s="2566"/>
      <c r="H287" s="2566"/>
      <c r="I287" s="2532"/>
      <c r="J287" s="2579"/>
      <c r="K287" s="2579"/>
      <c r="L287" s="2579"/>
      <c r="M287" s="2579"/>
      <c r="N287" s="2579"/>
      <c r="O287" s="2579"/>
    </row>
    <row r="288" spans="1:15" s="2463" customFormat="1" ht="12.75">
      <c r="A288" s="2531"/>
      <c r="B288" s="2533"/>
      <c r="C288" s="2531"/>
      <c r="D288" s="2566"/>
      <c r="E288" s="2566"/>
      <c r="F288" s="2566"/>
      <c r="G288" s="2566"/>
      <c r="H288" s="2566"/>
      <c r="I288" s="2532"/>
      <c r="J288" s="2579"/>
      <c r="K288" s="2579"/>
      <c r="L288" s="2579"/>
      <c r="M288" s="2579"/>
      <c r="N288" s="2579"/>
      <c r="O288" s="2579"/>
    </row>
    <row r="289" spans="1:15" s="2463" customFormat="1" ht="12.75">
      <c r="A289" s="2531"/>
      <c r="B289" s="2533"/>
      <c r="C289" s="2531"/>
      <c r="D289" s="2566"/>
      <c r="E289" s="2566"/>
      <c r="F289" s="2566"/>
      <c r="G289" s="2566"/>
      <c r="H289" s="2566"/>
      <c r="I289" s="2532"/>
      <c r="J289" s="2579"/>
      <c r="K289" s="2579"/>
      <c r="L289" s="2579"/>
      <c r="M289" s="2579"/>
      <c r="N289" s="2579"/>
      <c r="O289" s="2579"/>
    </row>
    <row r="290" spans="1:15" s="2463" customFormat="1" ht="12.75">
      <c r="A290" s="2531"/>
      <c r="B290" s="2533"/>
      <c r="C290" s="2531"/>
      <c r="D290" s="2566"/>
      <c r="E290" s="2566"/>
      <c r="F290" s="2566"/>
      <c r="G290" s="2566"/>
      <c r="H290" s="2566"/>
      <c r="I290" s="2532"/>
      <c r="J290" s="2579"/>
      <c r="K290" s="2579"/>
      <c r="L290" s="2579"/>
      <c r="M290" s="2579"/>
      <c r="N290" s="2579"/>
      <c r="O290" s="2579"/>
    </row>
    <row r="291" spans="1:15" s="2463" customFormat="1" ht="12.75">
      <c r="A291" s="2531"/>
      <c r="B291" s="2533"/>
      <c r="C291" s="2531"/>
      <c r="D291" s="2566"/>
      <c r="E291" s="2566"/>
      <c r="F291" s="2566"/>
      <c r="G291" s="2566"/>
      <c r="H291" s="2566"/>
      <c r="I291" s="2532"/>
      <c r="J291" s="2579"/>
      <c r="K291" s="2579"/>
      <c r="L291" s="2579"/>
      <c r="M291" s="2579"/>
      <c r="N291" s="2579"/>
      <c r="O291" s="2579"/>
    </row>
    <row r="292" spans="1:15" s="2463" customFormat="1" ht="12.75">
      <c r="A292" s="2531"/>
      <c r="B292" s="2533"/>
      <c r="C292" s="2531"/>
      <c r="D292" s="2566"/>
      <c r="E292" s="2566"/>
      <c r="F292" s="2566"/>
      <c r="G292" s="2566"/>
      <c r="H292" s="2566"/>
      <c r="I292" s="2532"/>
      <c r="J292" s="2579"/>
      <c r="K292" s="2579"/>
      <c r="L292" s="2579"/>
      <c r="M292" s="2579"/>
      <c r="N292" s="2579"/>
      <c r="O292" s="2579"/>
    </row>
    <row r="293" spans="1:15" s="2463" customFormat="1" ht="12.75">
      <c r="A293" s="2531"/>
      <c r="B293" s="2533"/>
      <c r="C293" s="2531"/>
      <c r="D293" s="2566"/>
      <c r="E293" s="2566"/>
      <c r="F293" s="2566"/>
      <c r="G293" s="2566"/>
      <c r="H293" s="2566"/>
      <c r="I293" s="2532"/>
      <c r="J293" s="2579"/>
      <c r="K293" s="2579"/>
      <c r="L293" s="2579"/>
      <c r="M293" s="2579"/>
      <c r="N293" s="2579"/>
      <c r="O293" s="2579"/>
    </row>
    <row r="294" spans="1:15" s="2463" customFormat="1" ht="12.75">
      <c r="A294" s="2531"/>
      <c r="B294" s="2533"/>
      <c r="C294" s="2531"/>
      <c r="D294" s="2566"/>
      <c r="E294" s="2566"/>
      <c r="F294" s="2566"/>
      <c r="G294" s="2566"/>
      <c r="H294" s="2566"/>
      <c r="I294" s="2532"/>
      <c r="J294" s="2579"/>
      <c r="K294" s="2579"/>
      <c r="L294" s="2579"/>
      <c r="M294" s="2579"/>
      <c r="N294" s="2579"/>
      <c r="O294" s="2579"/>
    </row>
    <row r="295" spans="1:15" s="2463" customFormat="1" ht="12.75">
      <c r="A295" s="2531"/>
      <c r="B295" s="2533"/>
      <c r="C295" s="2531"/>
      <c r="D295" s="2566"/>
      <c r="E295" s="2566"/>
      <c r="F295" s="2566"/>
      <c r="G295" s="2566"/>
      <c r="H295" s="2566"/>
      <c r="I295" s="2532"/>
      <c r="J295" s="2579"/>
      <c r="K295" s="2579"/>
      <c r="L295" s="2579"/>
      <c r="M295" s="2579"/>
      <c r="N295" s="2579"/>
      <c r="O295" s="2579"/>
    </row>
    <row r="296" spans="1:15" s="2463" customFormat="1" ht="12.75">
      <c r="A296" s="2531"/>
      <c r="B296" s="2533"/>
      <c r="C296" s="2531"/>
      <c r="D296" s="2566"/>
      <c r="E296" s="2566"/>
      <c r="F296" s="2566"/>
      <c r="G296" s="2566"/>
      <c r="H296" s="2566"/>
      <c r="I296" s="2532"/>
      <c r="J296" s="2579"/>
      <c r="K296" s="2579"/>
      <c r="L296" s="2579"/>
      <c r="M296" s="2579"/>
      <c r="N296" s="2579"/>
      <c r="O296" s="2579"/>
    </row>
    <row r="297" spans="1:15" s="2463" customFormat="1" ht="12.75">
      <c r="A297" s="2531"/>
      <c r="B297" s="2533"/>
      <c r="C297" s="2531"/>
      <c r="D297" s="2566"/>
      <c r="E297" s="2566"/>
      <c r="F297" s="2566"/>
      <c r="G297" s="2566"/>
      <c r="H297" s="2566"/>
      <c r="I297" s="2532"/>
      <c r="J297" s="2579"/>
      <c r="K297" s="2579"/>
      <c r="L297" s="2579"/>
      <c r="M297" s="2579"/>
      <c r="N297" s="2579"/>
      <c r="O297" s="2579"/>
    </row>
    <row r="298" spans="1:15" s="2463" customFormat="1" ht="12.75">
      <c r="A298" s="2531"/>
      <c r="B298" s="2533"/>
      <c r="C298" s="2531"/>
      <c r="D298" s="2566"/>
      <c r="E298" s="2566"/>
      <c r="F298" s="2566"/>
      <c r="G298" s="2566"/>
      <c r="H298" s="2566"/>
      <c r="I298" s="2532"/>
      <c r="J298" s="2579"/>
      <c r="K298" s="2579"/>
      <c r="L298" s="2579"/>
      <c r="M298" s="2579"/>
      <c r="N298" s="2579"/>
      <c r="O298" s="2579"/>
    </row>
    <row r="299" spans="1:15" s="2463" customFormat="1" ht="12.75">
      <c r="A299" s="2531"/>
      <c r="B299" s="2533"/>
      <c r="C299" s="2531"/>
      <c r="D299" s="2566"/>
      <c r="E299" s="2566"/>
      <c r="F299" s="2566"/>
      <c r="G299" s="2566"/>
      <c r="H299" s="2566"/>
      <c r="I299" s="2532"/>
      <c r="J299" s="2579"/>
      <c r="K299" s="2579"/>
      <c r="L299" s="2579"/>
      <c r="M299" s="2579"/>
      <c r="N299" s="2579"/>
      <c r="O299" s="2579"/>
    </row>
    <row r="300" spans="1:15" s="2463" customFormat="1" ht="12.75">
      <c r="A300" s="2531"/>
      <c r="B300" s="2533"/>
      <c r="C300" s="2531"/>
      <c r="D300" s="2566"/>
      <c r="E300" s="2566"/>
      <c r="F300" s="2566"/>
      <c r="G300" s="2566"/>
      <c r="H300" s="2566"/>
      <c r="I300" s="2532"/>
      <c r="J300" s="2579"/>
      <c r="K300" s="2579"/>
      <c r="L300" s="2579"/>
      <c r="M300" s="2579"/>
      <c r="N300" s="2579"/>
      <c r="O300" s="2579"/>
    </row>
    <row r="301" spans="1:15" s="2463" customFormat="1" ht="12.75">
      <c r="A301" s="2531"/>
      <c r="B301" s="2533"/>
      <c r="C301" s="2531"/>
      <c r="D301" s="2566"/>
      <c r="E301" s="2566"/>
      <c r="F301" s="2566"/>
      <c r="G301" s="2566"/>
      <c r="H301" s="2566"/>
      <c r="I301" s="2532"/>
      <c r="J301" s="2579"/>
      <c r="K301" s="2579"/>
      <c r="L301" s="2579"/>
      <c r="M301" s="2579"/>
      <c r="N301" s="2579"/>
      <c r="O301" s="2579"/>
    </row>
    <row r="302" spans="1:15" s="2463" customFormat="1" ht="12.75">
      <c r="A302" s="2531"/>
      <c r="B302" s="2533"/>
      <c r="C302" s="2531"/>
      <c r="D302" s="2566"/>
      <c r="E302" s="2566"/>
      <c r="F302" s="2566"/>
      <c r="G302" s="2566"/>
      <c r="H302" s="2566"/>
      <c r="I302" s="2532"/>
      <c r="J302" s="2579"/>
      <c r="K302" s="2579"/>
      <c r="L302" s="2579"/>
      <c r="M302" s="2579"/>
      <c r="N302" s="2579"/>
      <c r="O302" s="2579"/>
    </row>
    <row r="303" spans="1:15" s="2463" customFormat="1" ht="12.75">
      <c r="A303" s="2531"/>
      <c r="B303" s="2533"/>
      <c r="C303" s="2531"/>
      <c r="D303" s="2566"/>
      <c r="E303" s="2566"/>
      <c r="F303" s="2566"/>
      <c r="G303" s="2566"/>
      <c r="H303" s="2566"/>
      <c r="I303" s="2532"/>
      <c r="J303" s="2579"/>
      <c r="K303" s="2579"/>
      <c r="L303" s="2579"/>
      <c r="M303" s="2579"/>
      <c r="N303" s="2579"/>
      <c r="O303" s="2579"/>
    </row>
    <row r="304" spans="1:15">
      <c r="A304" s="4876"/>
      <c r="B304" s="4876"/>
      <c r="C304" s="4876"/>
      <c r="D304" s="4876"/>
      <c r="E304" s="4876"/>
      <c r="F304" s="4876"/>
      <c r="G304" s="4876"/>
      <c r="H304" s="4876"/>
      <c r="I304" s="2530"/>
    </row>
    <row r="305" spans="1:15">
      <c r="A305" s="4877"/>
      <c r="B305" s="4877"/>
      <c r="C305" s="4877"/>
      <c r="D305" s="4877"/>
      <c r="E305" s="4877"/>
      <c r="F305" s="4877"/>
      <c r="G305" s="4877"/>
      <c r="H305" s="4877"/>
      <c r="I305" s="2530"/>
    </row>
    <row r="306" spans="1:15">
      <c r="A306" s="2529"/>
      <c r="B306" s="2529"/>
      <c r="C306" s="2529"/>
      <c r="D306" s="2529"/>
      <c r="E306" s="2529"/>
      <c r="F306" s="2529"/>
      <c r="G306" s="2529"/>
      <c r="H306" s="2529"/>
      <c r="I306" s="2530"/>
    </row>
    <row r="307" spans="1:15">
      <c r="A307" s="2529"/>
      <c r="B307" s="2529"/>
      <c r="C307" s="2529"/>
      <c r="D307" s="2529"/>
      <c r="E307" s="2529"/>
      <c r="F307" s="2529"/>
      <c r="G307" s="2529"/>
      <c r="H307" s="2529"/>
      <c r="I307" s="2530"/>
    </row>
    <row r="308" spans="1:15" s="2463" customFormat="1">
      <c r="A308" s="2568"/>
      <c r="B308" s="2567"/>
      <c r="C308" s="2529"/>
      <c r="D308" s="2566"/>
      <c r="E308" s="2566"/>
      <c r="F308" s="2566"/>
      <c r="G308" s="2566"/>
      <c r="H308" s="2566"/>
      <c r="I308" s="2532"/>
      <c r="J308" s="2579"/>
      <c r="K308" s="2579"/>
      <c r="L308" s="2579"/>
      <c r="M308" s="2579"/>
      <c r="N308" s="2579"/>
      <c r="O308" s="2579"/>
    </row>
    <row r="309" spans="1:15" s="2463" customFormat="1" ht="12.75">
      <c r="A309" s="1269"/>
      <c r="B309" s="1269"/>
      <c r="C309" s="2542"/>
      <c r="D309" s="2541"/>
      <c r="E309" s="2561"/>
      <c r="F309" s="2540"/>
      <c r="G309" s="2565"/>
      <c r="H309" s="2561"/>
      <c r="I309" s="2532"/>
      <c r="J309" s="2579"/>
      <c r="K309" s="2579"/>
      <c r="L309" s="2579"/>
      <c r="M309" s="2579"/>
      <c r="N309" s="2579"/>
      <c r="O309" s="2579"/>
    </row>
    <row r="310" spans="1:15" s="2463" customFormat="1" ht="23.25">
      <c r="A310" s="2564"/>
      <c r="B310" s="2564"/>
      <c r="C310" s="2563"/>
      <c r="D310" s="2541"/>
      <c r="E310" s="2561"/>
      <c r="F310" s="2540"/>
      <c r="G310" s="2562"/>
      <c r="H310" s="2561"/>
      <c r="I310" s="2532"/>
      <c r="J310" s="2579"/>
      <c r="K310" s="2579"/>
      <c r="L310" s="2579"/>
      <c r="M310" s="2579"/>
      <c r="N310" s="2579"/>
      <c r="O310" s="2579"/>
    </row>
    <row r="311" spans="1:15" s="2463" customFormat="1" ht="12.75">
      <c r="A311" s="4879"/>
      <c r="B311" s="4879"/>
      <c r="C311" s="2559"/>
      <c r="D311" s="2560"/>
      <c r="E311" s="4880"/>
      <c r="F311" s="4880"/>
      <c r="G311" s="4880"/>
      <c r="H311" s="2557"/>
      <c r="I311" s="2532"/>
      <c r="J311" s="2579"/>
      <c r="K311" s="2579"/>
      <c r="L311" s="2579"/>
      <c r="M311" s="2579"/>
      <c r="N311" s="2579"/>
      <c r="O311" s="2579"/>
    </row>
    <row r="312" spans="1:15" s="2463" customFormat="1" ht="12.75">
      <c r="A312" s="4879"/>
      <c r="B312" s="4879"/>
      <c r="C312" s="2559"/>
      <c r="D312" s="2558"/>
      <c r="E312" s="2558"/>
      <c r="F312" s="2558"/>
      <c r="G312" s="2558"/>
      <c r="H312" s="2558"/>
      <c r="I312" s="2532"/>
      <c r="J312" s="2579"/>
      <c r="K312" s="2579"/>
      <c r="L312" s="2579"/>
      <c r="M312" s="2579"/>
      <c r="N312" s="2579"/>
      <c r="O312" s="2579"/>
    </row>
    <row r="313" spans="1:15" s="2463" customFormat="1" ht="12.75">
      <c r="A313" s="4879"/>
      <c r="B313" s="4879"/>
      <c r="C313" s="2557"/>
      <c r="D313" s="2555"/>
      <c r="E313" s="2555"/>
      <c r="F313" s="2555"/>
      <c r="G313" s="2556"/>
      <c r="H313" s="2555"/>
      <c r="I313" s="2532"/>
      <c r="J313" s="2579"/>
      <c r="K313" s="2579"/>
      <c r="L313" s="2579"/>
      <c r="M313" s="2579"/>
      <c r="N313" s="2579"/>
      <c r="O313" s="2579"/>
    </row>
    <row r="314" spans="1:15" s="2463" customFormat="1" ht="12.75">
      <c r="A314" s="2554"/>
      <c r="B314" s="2553"/>
      <c r="C314" s="2552"/>
      <c r="D314" s="2551"/>
      <c r="E314" s="2551"/>
      <c r="F314" s="2551"/>
      <c r="G314" s="2551"/>
      <c r="H314" s="2551"/>
      <c r="I314" s="2532"/>
      <c r="J314" s="2579"/>
      <c r="K314" s="2579"/>
      <c r="L314" s="2579"/>
      <c r="M314" s="2579"/>
      <c r="N314" s="2579"/>
      <c r="O314" s="2579"/>
    </row>
    <row r="315" spans="1:15" s="2463" customFormat="1" ht="12.75">
      <c r="A315" s="2549"/>
      <c r="B315" s="2549"/>
      <c r="C315" s="2545"/>
      <c r="D315" s="2548"/>
      <c r="E315" s="2548"/>
      <c r="F315" s="2540"/>
      <c r="G315" s="2548"/>
      <c r="H315" s="2548"/>
      <c r="I315" s="2532"/>
      <c r="J315" s="2579"/>
      <c r="K315" s="2579"/>
      <c r="L315" s="2579"/>
      <c r="M315" s="2579"/>
      <c r="N315" s="2579"/>
      <c r="O315" s="2579"/>
    </row>
    <row r="316" spans="1:15" s="2463" customFormat="1" ht="12.75">
      <c r="A316" s="2549"/>
      <c r="B316" s="2549"/>
      <c r="C316" s="2545"/>
      <c r="D316" s="2548"/>
      <c r="E316" s="2548"/>
      <c r="F316" s="2540"/>
      <c r="G316" s="2548"/>
      <c r="H316" s="2548"/>
      <c r="I316" s="2532"/>
      <c r="J316" s="2579"/>
      <c r="K316" s="2579"/>
      <c r="L316" s="2579"/>
      <c r="M316" s="2579"/>
      <c r="N316" s="2579"/>
      <c r="O316" s="2579"/>
    </row>
    <row r="317" spans="1:15" s="2463" customFormat="1" ht="12.75">
      <c r="A317" s="2546"/>
      <c r="B317" s="1269"/>
      <c r="C317" s="2545"/>
      <c r="D317" s="2541"/>
      <c r="E317" s="2544"/>
      <c r="F317" s="2540"/>
      <c r="G317" s="2544"/>
      <c r="H317" s="2544"/>
      <c r="I317" s="2532"/>
      <c r="J317" s="2579"/>
      <c r="K317" s="2579"/>
      <c r="L317" s="2579"/>
      <c r="M317" s="2579"/>
      <c r="N317" s="2579"/>
      <c r="O317" s="2579"/>
    </row>
    <row r="318" spans="1:15" s="2463" customFormat="1" ht="12.75">
      <c r="A318" s="2549"/>
      <c r="B318" s="2549"/>
      <c r="C318" s="2545"/>
      <c r="D318" s="2541"/>
      <c r="E318" s="2544"/>
      <c r="F318" s="2540"/>
      <c r="G318" s="2544"/>
      <c r="H318" s="2544"/>
      <c r="I318" s="2532"/>
      <c r="J318" s="2579"/>
      <c r="K318" s="2579"/>
      <c r="L318" s="2579"/>
      <c r="M318" s="2579"/>
      <c r="N318" s="2579"/>
      <c r="O318" s="2579"/>
    </row>
    <row r="319" spans="1:15" s="2463" customFormat="1" ht="12.75">
      <c r="A319" s="2546"/>
      <c r="B319" s="1269"/>
      <c r="C319" s="2542"/>
      <c r="D319" s="2541"/>
      <c r="E319" s="2544"/>
      <c r="F319" s="2540"/>
      <c r="G319" s="2544"/>
      <c r="H319" s="2544"/>
      <c r="I319" s="2532"/>
      <c r="J319" s="2579"/>
      <c r="K319" s="2579"/>
      <c r="L319" s="2579"/>
      <c r="M319" s="2579"/>
      <c r="N319" s="2579"/>
      <c r="O319" s="2579"/>
    </row>
    <row r="320" spans="1:15" s="2463" customFormat="1" ht="12.75">
      <c r="A320" s="2549"/>
      <c r="B320" s="2549"/>
      <c r="C320" s="2542"/>
      <c r="D320" s="2541"/>
      <c r="E320" s="2544"/>
      <c r="F320" s="2540"/>
      <c r="G320" s="2544"/>
      <c r="H320" s="2544"/>
      <c r="I320" s="2532"/>
      <c r="J320" s="2579"/>
      <c r="K320" s="2579"/>
      <c r="L320" s="2579"/>
      <c r="M320" s="2579"/>
      <c r="N320" s="2579"/>
      <c r="O320" s="2579"/>
    </row>
    <row r="321" spans="1:15" s="2463" customFormat="1" ht="12.75">
      <c r="A321" s="2547"/>
      <c r="B321" s="2546"/>
      <c r="C321" s="2545"/>
      <c r="D321" s="2541"/>
      <c r="E321" s="2544"/>
      <c r="F321" s="2540"/>
      <c r="G321" s="2544"/>
      <c r="H321" s="2544"/>
      <c r="I321" s="2532"/>
      <c r="J321" s="2579"/>
      <c r="K321" s="2579"/>
      <c r="L321" s="2579"/>
      <c r="M321" s="2579"/>
      <c r="N321" s="2579"/>
      <c r="O321" s="2579"/>
    </row>
    <row r="322" spans="1:15" s="2463" customFormat="1" ht="12.75">
      <c r="A322" s="2543"/>
      <c r="B322" s="2543"/>
      <c r="C322" s="2542"/>
      <c r="D322" s="2541"/>
      <c r="E322" s="2539"/>
      <c r="F322" s="2540"/>
      <c r="G322" s="2539"/>
      <c r="H322" s="2539"/>
      <c r="I322" s="2532"/>
      <c r="J322" s="2579"/>
      <c r="K322" s="2579"/>
      <c r="L322" s="2579"/>
      <c r="M322" s="2579"/>
      <c r="N322" s="2579"/>
      <c r="O322" s="2579"/>
    </row>
    <row r="323" spans="1:15" s="2463" customFormat="1" ht="12.75">
      <c r="A323" s="2538"/>
      <c r="B323" s="2538"/>
      <c r="C323" s="2537"/>
      <c r="D323" s="2536"/>
      <c r="E323" s="2536"/>
      <c r="F323" s="2536"/>
      <c r="G323" s="2536"/>
      <c r="H323" s="2536"/>
      <c r="I323" s="2532"/>
      <c r="J323" s="2579"/>
      <c r="K323" s="2579"/>
      <c r="L323" s="2579"/>
      <c r="M323" s="2579"/>
      <c r="N323" s="2579"/>
      <c r="O323" s="2579"/>
    </row>
    <row r="324" spans="1:15" s="2463" customFormat="1" ht="12.75">
      <c r="A324" s="2538"/>
      <c r="B324" s="2538"/>
      <c r="C324" s="2537"/>
      <c r="D324" s="2536"/>
      <c r="E324" s="2536"/>
      <c r="F324" s="2536"/>
      <c r="G324" s="2536"/>
      <c r="H324" s="2536"/>
      <c r="I324" s="2532"/>
      <c r="J324" s="2579"/>
      <c r="K324" s="2579"/>
      <c r="L324" s="2579"/>
      <c r="M324" s="2579"/>
      <c r="N324" s="2579"/>
      <c r="O324" s="2579"/>
    </row>
    <row r="325" spans="1:15" s="2463" customFormat="1">
      <c r="A325" s="1269"/>
      <c r="B325" s="2529"/>
      <c r="C325" s="2535"/>
      <c r="D325" s="2529"/>
      <c r="E325" s="4877"/>
      <c r="F325" s="4877"/>
      <c r="G325" s="1269"/>
      <c r="H325" s="2529"/>
      <c r="I325" s="2532"/>
      <c r="J325" s="2579"/>
      <c r="K325" s="2579"/>
      <c r="L325" s="2579"/>
      <c r="M325" s="2579"/>
      <c r="N325" s="2579"/>
      <c r="O325" s="2579"/>
    </row>
    <row r="326" spans="1:15" s="2463" customFormat="1">
      <c r="A326" s="2529"/>
      <c r="B326" s="1269"/>
      <c r="C326" s="2535"/>
      <c r="D326" s="1269"/>
      <c r="E326" s="1269"/>
      <c r="F326" s="1269"/>
      <c r="G326" s="1269"/>
      <c r="H326" s="2529"/>
      <c r="I326" s="2532"/>
      <c r="J326" s="2579"/>
      <c r="K326" s="2579"/>
      <c r="L326" s="2579"/>
      <c r="M326" s="2579"/>
      <c r="N326" s="2579"/>
      <c r="O326" s="2579"/>
    </row>
    <row r="327" spans="1:15" s="2463" customFormat="1" ht="12.75">
      <c r="A327" s="2534"/>
      <c r="B327" s="1269"/>
      <c r="C327" s="4881"/>
      <c r="D327" s="4881"/>
      <c r="E327" s="4876"/>
      <c r="F327" s="4876"/>
      <c r="G327" s="4876"/>
      <c r="H327" s="4876"/>
      <c r="I327" s="2532"/>
      <c r="J327" s="2579"/>
      <c r="K327" s="2579"/>
      <c r="L327" s="2579"/>
      <c r="M327" s="2579"/>
      <c r="N327" s="2579"/>
      <c r="O327" s="2579"/>
    </row>
    <row r="328" spans="1:15" s="2463" customFormat="1" ht="12.75">
      <c r="A328" s="2531"/>
      <c r="B328" s="2533"/>
      <c r="C328" s="4874"/>
      <c r="D328" s="4874"/>
      <c r="E328" s="4875"/>
      <c r="F328" s="4875"/>
      <c r="G328" s="4875"/>
      <c r="H328" s="4875"/>
      <c r="I328" s="2532"/>
      <c r="J328" s="2579"/>
      <c r="K328" s="2579"/>
      <c r="L328" s="2579"/>
      <c r="M328" s="2579"/>
      <c r="N328" s="2579"/>
      <c r="O328" s="2579"/>
    </row>
    <row r="329" spans="1:15" s="2463" customFormat="1" ht="12.75">
      <c r="A329" s="2531"/>
      <c r="B329" s="2533"/>
      <c r="C329" s="2531"/>
      <c r="D329" s="2566"/>
      <c r="E329" s="2566"/>
      <c r="F329" s="2566"/>
      <c r="G329" s="2566"/>
      <c r="H329" s="2566"/>
      <c r="I329" s="2532"/>
      <c r="J329" s="2579"/>
      <c r="K329" s="2579"/>
      <c r="L329" s="2579"/>
      <c r="M329" s="2579"/>
      <c r="N329" s="2579"/>
      <c r="O329" s="2579"/>
    </row>
    <row r="330" spans="1:15" s="2463" customFormat="1" ht="12.75">
      <c r="A330" s="2531"/>
      <c r="B330" s="2533"/>
      <c r="C330" s="2531"/>
      <c r="D330" s="2566"/>
      <c r="E330" s="2566"/>
      <c r="F330" s="2566"/>
      <c r="G330" s="2566"/>
      <c r="H330" s="2566"/>
      <c r="I330" s="2532"/>
      <c r="J330" s="2579"/>
      <c r="K330" s="2579"/>
      <c r="L330" s="2579"/>
      <c r="M330" s="2579"/>
      <c r="N330" s="2579"/>
      <c r="O330" s="2579"/>
    </row>
    <row r="331" spans="1:15" s="2463" customFormat="1" ht="12.75">
      <c r="A331" s="2531"/>
      <c r="B331" s="2533"/>
      <c r="C331" s="2531"/>
      <c r="D331" s="2566"/>
      <c r="E331" s="2566"/>
      <c r="F331" s="2566"/>
      <c r="G331" s="2566"/>
      <c r="H331" s="2566"/>
      <c r="I331" s="2532"/>
      <c r="J331" s="2579"/>
      <c r="K331" s="2579"/>
      <c r="L331" s="2579"/>
      <c r="M331" s="2579"/>
      <c r="N331" s="2579"/>
      <c r="O331" s="2579"/>
    </row>
    <row r="332" spans="1:15" s="2463" customFormat="1" ht="12.75">
      <c r="A332" s="2531"/>
      <c r="B332" s="2533"/>
      <c r="C332" s="2531"/>
      <c r="D332" s="2566"/>
      <c r="E332" s="2566"/>
      <c r="F332" s="2566"/>
      <c r="G332" s="2566"/>
      <c r="H332" s="2566"/>
      <c r="I332" s="2532"/>
      <c r="J332" s="2579"/>
      <c r="K332" s="2579"/>
      <c r="L332" s="2579"/>
      <c r="M332" s="2579"/>
      <c r="N332" s="2579"/>
      <c r="O332" s="2579"/>
    </row>
    <row r="333" spans="1:15" s="2463" customFormat="1" ht="12.75">
      <c r="A333" s="2531"/>
      <c r="B333" s="2533"/>
      <c r="C333" s="2531"/>
      <c r="D333" s="2566"/>
      <c r="E333" s="2566"/>
      <c r="F333" s="2566"/>
      <c r="G333" s="2566"/>
      <c r="H333" s="2566"/>
      <c r="I333" s="2532"/>
      <c r="J333" s="2579"/>
      <c r="K333" s="2579"/>
      <c r="L333" s="2579"/>
      <c r="M333" s="2579"/>
      <c r="N333" s="2579"/>
      <c r="O333" s="2579"/>
    </row>
    <row r="334" spans="1:15" s="2463" customFormat="1" ht="12.75">
      <c r="A334" s="2531"/>
      <c r="B334" s="2533"/>
      <c r="C334" s="2531"/>
      <c r="D334" s="2566"/>
      <c r="E334" s="2566"/>
      <c r="F334" s="2566"/>
      <c r="G334" s="2566"/>
      <c r="H334" s="2566"/>
      <c r="I334" s="2532"/>
      <c r="J334" s="2579"/>
      <c r="K334" s="2579"/>
      <c r="L334" s="2579"/>
      <c r="M334" s="2579"/>
      <c r="N334" s="2579"/>
      <c r="O334" s="2579"/>
    </row>
    <row r="335" spans="1:15" s="2463" customFormat="1" ht="12.75">
      <c r="A335" s="2531"/>
      <c r="B335" s="2533"/>
      <c r="C335" s="2531"/>
      <c r="D335" s="2566"/>
      <c r="E335" s="2566"/>
      <c r="F335" s="2566"/>
      <c r="G335" s="2566"/>
      <c r="H335" s="2566"/>
      <c r="I335" s="2532"/>
      <c r="J335" s="2579"/>
      <c r="K335" s="2579"/>
      <c r="L335" s="2579"/>
      <c r="M335" s="2579"/>
      <c r="N335" s="2579"/>
      <c r="O335" s="2579"/>
    </row>
    <row r="336" spans="1:15" s="2463" customFormat="1" ht="12.75">
      <c r="A336" s="2531"/>
      <c r="B336" s="2533"/>
      <c r="C336" s="2531"/>
      <c r="D336" s="2566"/>
      <c r="E336" s="2566"/>
      <c r="F336" s="2566"/>
      <c r="G336" s="2566"/>
      <c r="H336" s="2566"/>
      <c r="I336" s="2532"/>
      <c r="J336" s="2579"/>
      <c r="K336" s="2579"/>
      <c r="L336" s="2579"/>
      <c r="M336" s="2579"/>
      <c r="N336" s="2579"/>
      <c r="O336" s="2579"/>
    </row>
    <row r="337" spans="1:15" s="2463" customFormat="1" ht="12.75">
      <c r="A337" s="2531"/>
      <c r="B337" s="2533"/>
      <c r="C337" s="2531"/>
      <c r="D337" s="2566"/>
      <c r="E337" s="2566"/>
      <c r="F337" s="2566"/>
      <c r="G337" s="2566"/>
      <c r="H337" s="2566"/>
      <c r="I337" s="2532"/>
      <c r="J337" s="2579"/>
      <c r="K337" s="2579"/>
      <c r="L337" s="2579"/>
      <c r="M337" s="2579"/>
      <c r="N337" s="2579"/>
      <c r="O337" s="2579"/>
    </row>
    <row r="338" spans="1:15" s="2463" customFormat="1" ht="12.75">
      <c r="A338" s="2531"/>
      <c r="B338" s="2533"/>
      <c r="C338" s="2531"/>
      <c r="D338" s="2566"/>
      <c r="E338" s="2566"/>
      <c r="F338" s="2566"/>
      <c r="G338" s="2566"/>
      <c r="H338" s="2566"/>
      <c r="I338" s="2532"/>
      <c r="J338" s="2579"/>
      <c r="K338" s="2579"/>
      <c r="L338" s="2579"/>
      <c r="M338" s="2579"/>
      <c r="N338" s="2579"/>
      <c r="O338" s="2579"/>
    </row>
    <row r="339" spans="1:15" s="2463" customFormat="1" ht="12.75">
      <c r="A339" s="2531"/>
      <c r="B339" s="2533"/>
      <c r="C339" s="2531"/>
      <c r="D339" s="2566"/>
      <c r="E339" s="2566"/>
      <c r="F339" s="2566"/>
      <c r="G339" s="2566"/>
      <c r="H339" s="2566"/>
      <c r="I339" s="2532"/>
      <c r="J339" s="2579"/>
      <c r="K339" s="2579"/>
      <c r="L339" s="2579"/>
      <c r="M339" s="2579"/>
      <c r="N339" s="2579"/>
      <c r="O339" s="2579"/>
    </row>
    <row r="340" spans="1:15" s="2463" customFormat="1" ht="12.75">
      <c r="A340" s="2531"/>
      <c r="B340" s="2533"/>
      <c r="C340" s="2531"/>
      <c r="D340" s="2566"/>
      <c r="E340" s="2566"/>
      <c r="F340" s="2566"/>
      <c r="G340" s="2566"/>
      <c r="H340" s="2566"/>
      <c r="I340" s="2532"/>
      <c r="J340" s="2579"/>
      <c r="K340" s="2579"/>
      <c r="L340" s="2579"/>
      <c r="M340" s="2579"/>
      <c r="N340" s="2579"/>
      <c r="O340" s="2579"/>
    </row>
    <row r="341" spans="1:15" s="2463" customFormat="1" ht="12.75">
      <c r="A341" s="2531"/>
      <c r="B341" s="2533"/>
      <c r="C341" s="2531"/>
      <c r="D341" s="2566"/>
      <c r="E341" s="2566"/>
      <c r="F341" s="2566"/>
      <c r="G341" s="2566"/>
      <c r="H341" s="2566"/>
      <c r="I341" s="2532"/>
      <c r="J341" s="2579"/>
      <c r="K341" s="2579"/>
      <c r="L341" s="2579"/>
      <c r="M341" s="2579"/>
      <c r="N341" s="2579"/>
      <c r="O341" s="2579"/>
    </row>
    <row r="342" spans="1:15" s="2463" customFormat="1" ht="12.75">
      <c r="A342" s="2531"/>
      <c r="B342" s="2533"/>
      <c r="C342" s="2531"/>
      <c r="D342" s="2566"/>
      <c r="E342" s="2566"/>
      <c r="F342" s="2566"/>
      <c r="G342" s="2566"/>
      <c r="H342" s="2566"/>
      <c r="I342" s="2532"/>
      <c r="J342" s="2579"/>
      <c r="K342" s="2579"/>
      <c r="L342" s="2579"/>
      <c r="M342" s="2579"/>
      <c r="N342" s="2579"/>
      <c r="O342" s="2579"/>
    </row>
    <row r="343" spans="1:15" s="2463" customFormat="1" ht="12.75">
      <c r="A343" s="2531"/>
      <c r="B343" s="2533"/>
      <c r="C343" s="2531"/>
      <c r="D343" s="2566"/>
      <c r="E343" s="2566"/>
      <c r="F343" s="2566"/>
      <c r="G343" s="2566"/>
      <c r="H343" s="2566"/>
      <c r="I343" s="2532"/>
      <c r="J343" s="2579"/>
      <c r="K343" s="2579"/>
      <c r="L343" s="2579"/>
      <c r="M343" s="2579"/>
      <c r="N343" s="2579"/>
      <c r="O343" s="2579"/>
    </row>
    <row r="344" spans="1:15" s="2463" customFormat="1" ht="12.75">
      <c r="A344" s="2531"/>
      <c r="B344" s="2533"/>
      <c r="C344" s="2531"/>
      <c r="D344" s="2566"/>
      <c r="E344" s="2566"/>
      <c r="F344" s="2566"/>
      <c r="G344" s="2566"/>
      <c r="H344" s="2566"/>
      <c r="I344" s="2532"/>
      <c r="J344" s="2579"/>
      <c r="K344" s="2579"/>
      <c r="L344" s="2579"/>
      <c r="M344" s="2579"/>
      <c r="N344" s="2579"/>
      <c r="O344" s="2579"/>
    </row>
    <row r="345" spans="1:15">
      <c r="A345" s="4876"/>
      <c r="B345" s="4876"/>
      <c r="C345" s="4876"/>
      <c r="D345" s="4876"/>
      <c r="E345" s="4876"/>
      <c r="F345" s="4876"/>
      <c r="G345" s="4876"/>
      <c r="H345" s="4876"/>
      <c r="I345" s="2530"/>
    </row>
    <row r="346" spans="1:15">
      <c r="A346" s="4877"/>
      <c r="B346" s="4877"/>
      <c r="C346" s="4877"/>
      <c r="D346" s="4877"/>
      <c r="E346" s="4877"/>
      <c r="F346" s="4877"/>
      <c r="G346" s="4877"/>
      <c r="H346" s="4877"/>
      <c r="I346" s="2530"/>
    </row>
    <row r="347" spans="1:15">
      <c r="A347" s="2529"/>
      <c r="B347" s="2529"/>
      <c r="C347" s="2529"/>
      <c r="D347" s="2529"/>
      <c r="E347" s="2529"/>
      <c r="F347" s="2529"/>
      <c r="G347" s="2529"/>
      <c r="H347" s="2529"/>
      <c r="I347" s="2530"/>
    </row>
    <row r="348" spans="1:15">
      <c r="A348" s="2529"/>
      <c r="B348" s="2529"/>
      <c r="C348" s="2529"/>
      <c r="D348" s="2529"/>
      <c r="E348" s="2529"/>
      <c r="F348" s="2529"/>
      <c r="G348" s="2529"/>
      <c r="H348" s="2529"/>
      <c r="I348" s="2530"/>
    </row>
    <row r="349" spans="1:15">
      <c r="A349" s="2529"/>
      <c r="B349" s="2529"/>
      <c r="C349" s="2529"/>
      <c r="D349" s="2529"/>
      <c r="E349" s="2529"/>
      <c r="F349" s="2529"/>
      <c r="G349" s="2529"/>
      <c r="H349" s="2529"/>
      <c r="I349" s="2530"/>
    </row>
    <row r="350" spans="1:15" s="2463" customFormat="1">
      <c r="A350" s="2568"/>
      <c r="B350" s="2567"/>
      <c r="C350" s="2529"/>
      <c r="D350" s="2566"/>
      <c r="E350" s="2566"/>
      <c r="F350" s="2566"/>
      <c r="G350" s="2566"/>
      <c r="H350" s="2566"/>
      <c r="I350" s="2532"/>
      <c r="J350" s="2579"/>
      <c r="K350" s="2579"/>
      <c r="L350" s="2579"/>
      <c r="M350" s="2579"/>
      <c r="N350" s="2579"/>
      <c r="O350" s="2579"/>
    </row>
    <row r="351" spans="1:15" s="2463" customFormat="1" ht="12.75">
      <c r="A351" s="1269"/>
      <c r="B351" s="1269"/>
      <c r="C351" s="2542"/>
      <c r="D351" s="2541"/>
      <c r="E351" s="2561"/>
      <c r="F351" s="2540"/>
      <c r="G351" s="2565"/>
      <c r="H351" s="2561"/>
      <c r="I351" s="2532"/>
      <c r="J351" s="2579"/>
      <c r="K351" s="2579"/>
      <c r="L351" s="2579"/>
      <c r="M351" s="2579"/>
      <c r="N351" s="2579"/>
      <c r="O351" s="2579"/>
    </row>
    <row r="352" spans="1:15" s="2463" customFormat="1" ht="23.25">
      <c r="A352" s="2564"/>
      <c r="B352" s="2564"/>
      <c r="C352" s="2563"/>
      <c r="D352" s="2570"/>
      <c r="E352" s="2569"/>
      <c r="F352" s="2540"/>
      <c r="G352" s="2562"/>
      <c r="H352" s="2561"/>
      <c r="I352" s="2532"/>
      <c r="J352" s="2579"/>
      <c r="K352" s="2579"/>
      <c r="L352" s="2579"/>
      <c r="M352" s="2579"/>
      <c r="N352" s="2579"/>
      <c r="O352" s="2579"/>
    </row>
    <row r="353" spans="1:15" s="2463" customFormat="1" ht="12.75">
      <c r="A353" s="4879"/>
      <c r="B353" s="4879"/>
      <c r="C353" s="2559"/>
      <c r="D353" s="2560"/>
      <c r="E353" s="4880"/>
      <c r="F353" s="4880"/>
      <c r="G353" s="4880"/>
      <c r="H353" s="2557"/>
      <c r="I353" s="2532"/>
      <c r="J353" s="2579"/>
      <c r="K353" s="2579"/>
      <c r="L353" s="2579"/>
      <c r="M353" s="2579"/>
      <c r="N353" s="2579"/>
      <c r="O353" s="2579"/>
    </row>
    <row r="354" spans="1:15" s="2463" customFormat="1" ht="12.75">
      <c r="A354" s="4879"/>
      <c r="B354" s="4879"/>
      <c r="C354" s="2559"/>
      <c r="D354" s="2558"/>
      <c r="E354" s="2558"/>
      <c r="F354" s="2558"/>
      <c r="G354" s="2558"/>
      <c r="H354" s="2558"/>
      <c r="I354" s="2532"/>
      <c r="J354" s="2579"/>
      <c r="K354" s="2579"/>
      <c r="L354" s="2579"/>
      <c r="M354" s="2579"/>
      <c r="N354" s="2579"/>
      <c r="O354" s="2579"/>
    </row>
    <row r="355" spans="1:15" s="2463" customFormat="1" ht="12.75">
      <c r="A355" s="4879"/>
      <c r="B355" s="4879"/>
      <c r="C355" s="2557"/>
      <c r="D355" s="2555"/>
      <c r="E355" s="2555"/>
      <c r="F355" s="2555"/>
      <c r="G355" s="2556"/>
      <c r="H355" s="2555"/>
      <c r="I355" s="2532"/>
      <c r="J355" s="2579"/>
      <c r="K355" s="2579"/>
      <c r="L355" s="2579"/>
      <c r="M355" s="2579"/>
      <c r="N355" s="2579"/>
      <c r="O355" s="2579"/>
    </row>
    <row r="356" spans="1:15" s="2463" customFormat="1" ht="12.75">
      <c r="A356" s="2554"/>
      <c r="B356" s="2553"/>
      <c r="C356" s="2552"/>
      <c r="D356" s="2551"/>
      <c r="E356" s="2551"/>
      <c r="F356" s="2551"/>
      <c r="G356" s="2551"/>
      <c r="H356" s="2551"/>
      <c r="I356" s="2532"/>
      <c r="J356" s="2579"/>
      <c r="K356" s="2579"/>
      <c r="L356" s="2579"/>
      <c r="M356" s="2579"/>
      <c r="N356" s="2579"/>
      <c r="O356" s="2579"/>
    </row>
    <row r="357" spans="1:15" s="2463" customFormat="1" ht="12.75">
      <c r="A357" s="2549"/>
      <c r="B357" s="2549"/>
      <c r="C357" s="2545"/>
      <c r="D357" s="2548"/>
      <c r="E357" s="2548"/>
      <c r="F357" s="2540"/>
      <c r="G357" s="2548"/>
      <c r="H357" s="2548"/>
      <c r="I357" s="2532"/>
      <c r="J357" s="2579"/>
      <c r="K357" s="2579"/>
      <c r="L357" s="2579"/>
      <c r="M357" s="2579"/>
      <c r="N357" s="2579"/>
      <c r="O357" s="2579"/>
    </row>
    <row r="358" spans="1:15" s="2463" customFormat="1" ht="12.75">
      <c r="A358" s="2549"/>
      <c r="B358" s="2549"/>
      <c r="C358" s="2545"/>
      <c r="D358" s="2548"/>
      <c r="E358" s="2548"/>
      <c r="F358" s="2540"/>
      <c r="G358" s="2548"/>
      <c r="H358" s="2548"/>
      <c r="I358" s="2532"/>
      <c r="J358" s="2579"/>
      <c r="K358" s="2579"/>
      <c r="L358" s="2579"/>
      <c r="M358" s="2579"/>
      <c r="N358" s="2579"/>
      <c r="O358" s="2579"/>
    </row>
    <row r="359" spans="1:15" s="2463" customFormat="1" ht="12.75">
      <c r="A359" s="2546"/>
      <c r="B359" s="1269"/>
      <c r="C359" s="2545"/>
      <c r="D359" s="2541"/>
      <c r="E359" s="2544"/>
      <c r="F359" s="2540"/>
      <c r="G359" s="2544"/>
      <c r="H359" s="2544"/>
      <c r="I359" s="2532"/>
      <c r="J359" s="2579"/>
      <c r="K359" s="2579"/>
      <c r="L359" s="2579"/>
      <c r="M359" s="2579"/>
      <c r="N359" s="2579"/>
      <c r="O359" s="2579"/>
    </row>
    <row r="360" spans="1:15" s="2463" customFormat="1" ht="12.75">
      <c r="A360" s="2549"/>
      <c r="B360" s="2549"/>
      <c r="C360" s="2545"/>
      <c r="D360" s="2541"/>
      <c r="E360" s="2544"/>
      <c r="F360" s="2540"/>
      <c r="G360" s="2544"/>
      <c r="H360" s="2544"/>
      <c r="I360" s="2532"/>
      <c r="J360" s="2579"/>
      <c r="K360" s="2579"/>
      <c r="L360" s="2579"/>
      <c r="M360" s="2579"/>
      <c r="N360" s="2579"/>
      <c r="O360" s="2579"/>
    </row>
    <row r="361" spans="1:15" s="2463" customFormat="1" ht="12.75">
      <c r="A361" s="2546"/>
      <c r="B361" s="1269"/>
      <c r="C361" s="2545"/>
      <c r="D361" s="2541"/>
      <c r="E361" s="2544"/>
      <c r="F361" s="2540"/>
      <c r="G361" s="2544"/>
      <c r="H361" s="2544"/>
      <c r="I361" s="2532"/>
      <c r="J361" s="2579"/>
      <c r="K361" s="2579"/>
      <c r="L361" s="2579"/>
      <c r="M361" s="2579"/>
      <c r="N361" s="2579"/>
      <c r="O361" s="2579"/>
    </row>
    <row r="362" spans="1:15" s="2463" customFormat="1" ht="12.75">
      <c r="A362" s="2547"/>
      <c r="B362" s="2546"/>
      <c r="C362" s="2545"/>
      <c r="D362" s="2541"/>
      <c r="E362" s="2544"/>
      <c r="F362" s="2540"/>
      <c r="G362" s="2544"/>
      <c r="H362" s="2544"/>
      <c r="I362" s="2532"/>
      <c r="J362" s="2579"/>
      <c r="K362" s="2579"/>
      <c r="L362" s="2579"/>
      <c r="M362" s="2579"/>
      <c r="N362" s="2579"/>
      <c r="O362" s="2579"/>
    </row>
    <row r="363" spans="1:15" s="2463" customFormat="1" ht="12.75">
      <c r="A363" s="2543"/>
      <c r="B363" s="2543"/>
      <c r="C363" s="2542"/>
      <c r="D363" s="2541"/>
      <c r="E363" s="2539"/>
      <c r="F363" s="2540"/>
      <c r="G363" s="2539"/>
      <c r="H363" s="2539"/>
      <c r="I363" s="2532"/>
      <c r="J363" s="2579"/>
      <c r="K363" s="2579"/>
      <c r="L363" s="2579"/>
      <c r="M363" s="2579"/>
      <c r="N363" s="2579"/>
      <c r="O363" s="2579"/>
    </row>
    <row r="364" spans="1:15" s="2463" customFormat="1" ht="12.75">
      <c r="A364" s="2538"/>
      <c r="B364" s="2538"/>
      <c r="C364" s="2537"/>
      <c r="D364" s="2536"/>
      <c r="E364" s="2536"/>
      <c r="F364" s="2536"/>
      <c r="G364" s="2536"/>
      <c r="H364" s="2536"/>
      <c r="I364" s="2532"/>
      <c r="J364" s="2579"/>
      <c r="K364" s="2579"/>
      <c r="L364" s="2579"/>
      <c r="M364" s="2579"/>
      <c r="N364" s="2579"/>
      <c r="O364" s="2579"/>
    </row>
    <row r="365" spans="1:15" s="2463" customFormat="1" ht="12.75">
      <c r="A365" s="2538"/>
      <c r="B365" s="2538"/>
      <c r="C365" s="2537"/>
      <c r="D365" s="2536"/>
      <c r="E365" s="2536"/>
      <c r="F365" s="2536"/>
      <c r="G365" s="2536"/>
      <c r="H365" s="2536"/>
      <c r="I365" s="2532"/>
      <c r="J365" s="2579"/>
      <c r="K365" s="2579"/>
      <c r="L365" s="2579"/>
      <c r="M365" s="2579"/>
      <c r="N365" s="2579"/>
      <c r="O365" s="2579"/>
    </row>
    <row r="366" spans="1:15" s="2463" customFormat="1">
      <c r="A366" s="1269"/>
      <c r="B366" s="2529"/>
      <c r="C366" s="2535"/>
      <c r="D366" s="2529"/>
      <c r="E366" s="4877"/>
      <c r="F366" s="4877"/>
      <c r="G366" s="1269"/>
      <c r="H366" s="2529"/>
      <c r="I366" s="2532"/>
      <c r="J366" s="2579"/>
      <c r="K366" s="2579"/>
      <c r="L366" s="2579"/>
      <c r="M366" s="2579"/>
      <c r="N366" s="2579"/>
      <c r="O366" s="2579"/>
    </row>
    <row r="367" spans="1:15" s="2463" customFormat="1">
      <c r="A367" s="2529"/>
      <c r="B367" s="1269"/>
      <c r="C367" s="2535"/>
      <c r="D367" s="1269"/>
      <c r="E367" s="1269"/>
      <c r="F367" s="1269"/>
      <c r="G367" s="1269"/>
      <c r="H367" s="2529"/>
      <c r="I367" s="2532"/>
      <c r="J367" s="2579"/>
      <c r="K367" s="2579"/>
      <c r="L367" s="2579"/>
      <c r="M367" s="2579"/>
      <c r="N367" s="2579"/>
      <c r="O367" s="2579"/>
    </row>
    <row r="368" spans="1:15" s="2463" customFormat="1" ht="12.75">
      <c r="A368" s="2534"/>
      <c r="B368" s="1269"/>
      <c r="C368" s="4881"/>
      <c r="D368" s="4881"/>
      <c r="E368" s="4876"/>
      <c r="F368" s="4876"/>
      <c r="G368" s="4876"/>
      <c r="H368" s="4876"/>
      <c r="I368" s="2532"/>
      <c r="J368" s="2579"/>
      <c r="K368" s="2579"/>
      <c r="L368" s="2579"/>
      <c r="M368" s="2579"/>
      <c r="N368" s="2579"/>
      <c r="O368" s="2579"/>
    </row>
    <row r="369" spans="1:15" s="2463" customFormat="1" ht="12.75">
      <c r="A369" s="2531"/>
      <c r="B369" s="2533"/>
      <c r="C369" s="4874"/>
      <c r="D369" s="4874"/>
      <c r="E369" s="4875"/>
      <c r="F369" s="4875"/>
      <c r="G369" s="4875"/>
      <c r="H369" s="4875"/>
      <c r="I369" s="2532"/>
      <c r="J369" s="2579"/>
      <c r="K369" s="2579"/>
      <c r="L369" s="2579"/>
      <c r="M369" s="2579"/>
      <c r="N369" s="2579"/>
      <c r="O369" s="2579"/>
    </row>
    <row r="370" spans="1:15" s="2463" customFormat="1" ht="12.75">
      <c r="A370" s="2531"/>
      <c r="B370" s="2533"/>
      <c r="C370" s="2531"/>
      <c r="D370" s="2566"/>
      <c r="E370" s="2566"/>
      <c r="F370" s="2566"/>
      <c r="G370" s="2566"/>
      <c r="H370" s="2566"/>
      <c r="I370" s="2532"/>
      <c r="J370" s="2579"/>
      <c r="K370" s="2579"/>
      <c r="L370" s="2579"/>
      <c r="M370" s="2579"/>
      <c r="N370" s="2579"/>
      <c r="O370" s="2579"/>
    </row>
    <row r="371" spans="1:15" s="2463" customFormat="1" ht="12.75">
      <c r="A371" s="2531"/>
      <c r="B371" s="2533"/>
      <c r="C371" s="2531"/>
      <c r="D371" s="2566"/>
      <c r="E371" s="2566"/>
      <c r="F371" s="2566"/>
      <c r="G371" s="2566"/>
      <c r="H371" s="2566"/>
      <c r="I371" s="2532"/>
      <c r="J371" s="2579"/>
      <c r="K371" s="2579"/>
      <c r="L371" s="2579"/>
      <c r="M371" s="2579"/>
      <c r="N371" s="2579"/>
      <c r="O371" s="2579"/>
    </row>
    <row r="372" spans="1:15" s="2463" customFormat="1" ht="12.75">
      <c r="A372" s="2531"/>
      <c r="B372" s="2533"/>
      <c r="C372" s="2531"/>
      <c r="D372" s="2566"/>
      <c r="E372" s="2566"/>
      <c r="F372" s="2566"/>
      <c r="G372" s="2566"/>
      <c r="H372" s="2566"/>
      <c r="I372" s="2532"/>
      <c r="J372" s="2579"/>
      <c r="K372" s="2579"/>
      <c r="L372" s="2579"/>
      <c r="M372" s="2579"/>
      <c r="N372" s="2579"/>
      <c r="O372" s="2579"/>
    </row>
    <row r="373" spans="1:15" s="2463" customFormat="1" ht="12.75">
      <c r="A373" s="2531"/>
      <c r="B373" s="2533"/>
      <c r="C373" s="2531"/>
      <c r="D373" s="2566"/>
      <c r="E373" s="2566"/>
      <c r="F373" s="2566"/>
      <c r="G373" s="2566"/>
      <c r="H373" s="2566"/>
      <c r="I373" s="2532"/>
      <c r="J373" s="2579"/>
      <c r="K373" s="2579"/>
      <c r="L373" s="2579"/>
      <c r="M373" s="2579"/>
      <c r="N373" s="2579"/>
      <c r="O373" s="2579"/>
    </row>
    <row r="374" spans="1:15" s="2463" customFormat="1" ht="12.75">
      <c r="A374" s="2531"/>
      <c r="B374" s="2533"/>
      <c r="C374" s="2531"/>
      <c r="D374" s="2566"/>
      <c r="E374" s="2566"/>
      <c r="F374" s="2566"/>
      <c r="G374" s="2566"/>
      <c r="H374" s="2566"/>
      <c r="I374" s="2532"/>
      <c r="J374" s="2579"/>
      <c r="K374" s="2579"/>
      <c r="L374" s="2579"/>
      <c r="M374" s="2579"/>
      <c r="N374" s="2579"/>
      <c r="O374" s="2579"/>
    </row>
    <row r="375" spans="1:15" s="2463" customFormat="1" ht="12.75">
      <c r="A375" s="2531"/>
      <c r="B375" s="2533"/>
      <c r="C375" s="2531"/>
      <c r="D375" s="2566"/>
      <c r="E375" s="2566"/>
      <c r="F375" s="2566"/>
      <c r="G375" s="2566"/>
      <c r="H375" s="2566"/>
      <c r="I375" s="2532"/>
      <c r="J375" s="2579"/>
      <c r="K375" s="2579"/>
      <c r="L375" s="2579"/>
      <c r="M375" s="2579"/>
      <c r="N375" s="2579"/>
      <c r="O375" s="2579"/>
    </row>
    <row r="376" spans="1:15" s="2463" customFormat="1" ht="12.75">
      <c r="A376" s="2531"/>
      <c r="B376" s="2533"/>
      <c r="C376" s="2531"/>
      <c r="D376" s="2566"/>
      <c r="E376" s="2566"/>
      <c r="F376" s="2566"/>
      <c r="G376" s="2566"/>
      <c r="H376" s="2566"/>
      <c r="I376" s="2532"/>
      <c r="J376" s="2579"/>
      <c r="K376" s="2579"/>
      <c r="L376" s="2579"/>
      <c r="M376" s="2579"/>
      <c r="N376" s="2579"/>
      <c r="O376" s="2579"/>
    </row>
    <row r="377" spans="1:15" s="2463" customFormat="1" ht="12.75">
      <c r="A377" s="2531"/>
      <c r="B377" s="2533"/>
      <c r="C377" s="2531"/>
      <c r="D377" s="2566"/>
      <c r="E377" s="2566"/>
      <c r="F377" s="2566"/>
      <c r="G377" s="2566"/>
      <c r="H377" s="2566"/>
      <c r="I377" s="2532"/>
      <c r="J377" s="2579"/>
      <c r="K377" s="2579"/>
      <c r="L377" s="2579"/>
      <c r="M377" s="2579"/>
      <c r="N377" s="2579"/>
      <c r="O377" s="2579"/>
    </row>
    <row r="378" spans="1:15" s="2463" customFormat="1" ht="12.75">
      <c r="A378" s="2531"/>
      <c r="B378" s="2533"/>
      <c r="C378" s="2531"/>
      <c r="D378" s="2566"/>
      <c r="E378" s="2566"/>
      <c r="F378" s="2566"/>
      <c r="G378" s="2566"/>
      <c r="H378" s="2566"/>
      <c r="I378" s="2532"/>
      <c r="J378" s="2579"/>
      <c r="K378" s="2579"/>
      <c r="L378" s="2579"/>
      <c r="M378" s="2579"/>
      <c r="N378" s="2579"/>
      <c r="O378" s="2579"/>
    </row>
    <row r="379" spans="1:15" s="2463" customFormat="1" ht="12.75">
      <c r="A379" s="2531"/>
      <c r="B379" s="2533"/>
      <c r="C379" s="2531"/>
      <c r="D379" s="2566"/>
      <c r="E379" s="2566"/>
      <c r="F379" s="2566"/>
      <c r="G379" s="2566"/>
      <c r="H379" s="2566"/>
      <c r="I379" s="2532"/>
      <c r="J379" s="2579"/>
      <c r="K379" s="2579"/>
      <c r="L379" s="2579"/>
      <c r="M379" s="2579"/>
      <c r="N379" s="2579"/>
      <c r="O379" s="2579"/>
    </row>
    <row r="380" spans="1:15" s="2463" customFormat="1" ht="12.75">
      <c r="A380" s="2531"/>
      <c r="B380" s="2533"/>
      <c r="C380" s="2531"/>
      <c r="D380" s="2566"/>
      <c r="E380" s="2566"/>
      <c r="F380" s="2566"/>
      <c r="G380" s="2566"/>
      <c r="H380" s="2566"/>
      <c r="I380" s="2532"/>
      <c r="J380" s="2579"/>
      <c r="K380" s="2579"/>
      <c r="L380" s="2579"/>
      <c r="M380" s="2579"/>
      <c r="N380" s="2579"/>
      <c r="O380" s="2579"/>
    </row>
    <row r="381" spans="1:15" s="2463" customFormat="1" ht="12.75">
      <c r="A381" s="2531"/>
      <c r="B381" s="2533"/>
      <c r="C381" s="2531"/>
      <c r="D381" s="2566"/>
      <c r="E381" s="2566"/>
      <c r="F381" s="2566"/>
      <c r="G381" s="2566"/>
      <c r="H381" s="2566"/>
      <c r="I381" s="2532"/>
      <c r="J381" s="2579"/>
      <c r="K381" s="2579"/>
      <c r="L381" s="2579"/>
      <c r="M381" s="2579"/>
      <c r="N381" s="2579"/>
      <c r="O381" s="2579"/>
    </row>
    <row r="382" spans="1:15" s="2463" customFormat="1" ht="12.75">
      <c r="A382" s="2531"/>
      <c r="B382" s="2533"/>
      <c r="C382" s="2531"/>
      <c r="D382" s="2566"/>
      <c r="E382" s="2566"/>
      <c r="F382" s="2566"/>
      <c r="G382" s="2566"/>
      <c r="H382" s="2566"/>
      <c r="I382" s="2532"/>
      <c r="J382" s="2579"/>
      <c r="K382" s="2579"/>
      <c r="L382" s="2579"/>
      <c r="M382" s="2579"/>
      <c r="N382" s="2579"/>
      <c r="O382" s="2579"/>
    </row>
    <row r="383" spans="1:15" s="2463" customFormat="1" ht="12.75">
      <c r="A383" s="2531"/>
      <c r="B383" s="2533"/>
      <c r="C383" s="2531"/>
      <c r="D383" s="2566"/>
      <c r="E383" s="2566"/>
      <c r="F383" s="2566"/>
      <c r="G383" s="2566"/>
      <c r="H383" s="2566"/>
      <c r="I383" s="2532"/>
      <c r="J383" s="2579"/>
      <c r="K383" s="2579"/>
      <c r="L383" s="2579"/>
      <c r="M383" s="2579"/>
      <c r="N383" s="2579"/>
      <c r="O383" s="2579"/>
    </row>
    <row r="384" spans="1:15" s="2463" customFormat="1" ht="12.75">
      <c r="A384" s="2531"/>
      <c r="B384" s="2533"/>
      <c r="C384" s="2531"/>
      <c r="D384" s="2566"/>
      <c r="E384" s="2566"/>
      <c r="F384" s="2566"/>
      <c r="G384" s="2566"/>
      <c r="H384" s="2566"/>
      <c r="I384" s="2532"/>
      <c r="J384" s="2579"/>
      <c r="K384" s="2579"/>
      <c r="L384" s="2579"/>
      <c r="M384" s="2579"/>
      <c r="N384" s="2579"/>
      <c r="O384" s="2579"/>
    </row>
    <row r="385" spans="1:15" s="2463" customFormat="1" ht="12.75">
      <c r="A385" s="2531"/>
      <c r="B385" s="2533"/>
      <c r="C385" s="2531"/>
      <c r="D385" s="2566"/>
      <c r="E385" s="2566"/>
      <c r="F385" s="2566"/>
      <c r="G385" s="2566"/>
      <c r="H385" s="2566"/>
      <c r="I385" s="2532"/>
      <c r="J385" s="2579"/>
      <c r="K385" s="2579"/>
      <c r="L385" s="2579"/>
      <c r="M385" s="2579"/>
      <c r="N385" s="2579"/>
      <c r="O385" s="2579"/>
    </row>
    <row r="386" spans="1:15" s="2463" customFormat="1" ht="12.75">
      <c r="A386" s="2531"/>
      <c r="B386" s="2533"/>
      <c r="C386" s="2531"/>
      <c r="D386" s="2566"/>
      <c r="E386" s="2566"/>
      <c r="F386" s="2566"/>
      <c r="G386" s="2566"/>
      <c r="H386" s="2566"/>
      <c r="I386" s="2532"/>
      <c r="J386" s="2579"/>
      <c r="K386" s="2579"/>
      <c r="L386" s="2579"/>
      <c r="M386" s="2579"/>
      <c r="N386" s="2579"/>
      <c r="O386" s="2579"/>
    </row>
    <row r="387" spans="1:15" s="2463" customFormat="1" ht="12.75">
      <c r="A387" s="2531"/>
      <c r="B387" s="2533"/>
      <c r="C387" s="2531"/>
      <c r="D387" s="2566"/>
      <c r="E387" s="2566"/>
      <c r="F387" s="2566"/>
      <c r="G387" s="2566"/>
      <c r="H387" s="2566"/>
      <c r="I387" s="2532"/>
      <c r="J387" s="2579"/>
      <c r="K387" s="2579"/>
      <c r="L387" s="2579"/>
      <c r="M387" s="2579"/>
      <c r="N387" s="2579"/>
      <c r="O387" s="2579"/>
    </row>
    <row r="388" spans="1:15" s="2463" customFormat="1" ht="12.75">
      <c r="A388" s="2531"/>
      <c r="B388" s="2533"/>
      <c r="C388" s="2531"/>
      <c r="D388" s="2566"/>
      <c r="E388" s="2566"/>
      <c r="F388" s="2566"/>
      <c r="G388" s="2566"/>
      <c r="H388" s="2566"/>
      <c r="I388" s="2532"/>
      <c r="J388" s="2579"/>
      <c r="K388" s="2579"/>
      <c r="L388" s="2579"/>
      <c r="M388" s="2579"/>
      <c r="N388" s="2579"/>
      <c r="O388" s="2579"/>
    </row>
    <row r="389" spans="1:15">
      <c r="A389" s="2529"/>
      <c r="B389" s="2529"/>
      <c r="C389" s="2529"/>
      <c r="D389" s="2529"/>
      <c r="E389" s="2529"/>
      <c r="F389" s="2529"/>
      <c r="G389" s="2529"/>
      <c r="H389" s="2529"/>
      <c r="I389" s="2530"/>
    </row>
    <row r="390" spans="1:15">
      <c r="A390" s="2529"/>
      <c r="B390" s="2529"/>
      <c r="C390" s="2529"/>
      <c r="D390" s="2529"/>
      <c r="E390" s="2529"/>
      <c r="F390" s="2529"/>
      <c r="G390" s="2529"/>
      <c r="H390" s="2529"/>
      <c r="I390" s="2530"/>
    </row>
    <row r="391" spans="1:15">
      <c r="A391" s="2529"/>
      <c r="B391" s="2529"/>
      <c r="C391" s="2529"/>
      <c r="D391" s="2529"/>
      <c r="E391" s="2529"/>
      <c r="F391" s="2529"/>
      <c r="G391" s="2529"/>
      <c r="H391" s="2529"/>
      <c r="I391" s="2530"/>
    </row>
    <row r="392" spans="1:15">
      <c r="A392" s="4876"/>
      <c r="B392" s="4876"/>
      <c r="C392" s="4876"/>
      <c r="D392" s="4876"/>
      <c r="E392" s="4876"/>
      <c r="F392" s="4876"/>
      <c r="G392" s="4876"/>
      <c r="H392" s="4876"/>
      <c r="I392" s="2530"/>
    </row>
    <row r="393" spans="1:15">
      <c r="A393" s="4877"/>
      <c r="B393" s="4877"/>
      <c r="C393" s="4877"/>
      <c r="D393" s="4877"/>
      <c r="E393" s="4877"/>
      <c r="F393" s="4877"/>
      <c r="G393" s="4877"/>
      <c r="H393" s="4877"/>
      <c r="I393" s="2530"/>
    </row>
    <row r="394" spans="1:15">
      <c r="A394" s="2529"/>
      <c r="B394" s="2529"/>
      <c r="C394" s="2529"/>
      <c r="D394" s="2529"/>
      <c r="E394" s="2529"/>
      <c r="F394" s="2529"/>
      <c r="G394" s="2529"/>
      <c r="H394" s="2529"/>
      <c r="I394" s="2530"/>
    </row>
    <row r="395" spans="1:15" s="2463" customFormat="1">
      <c r="A395" s="2568"/>
      <c r="B395" s="2567"/>
      <c r="C395" s="2529"/>
      <c r="D395" s="2566"/>
      <c r="E395" s="2566"/>
      <c r="F395" s="2566"/>
      <c r="G395" s="2566"/>
      <c r="H395" s="2566"/>
      <c r="I395" s="2532"/>
      <c r="J395" s="2579"/>
      <c r="K395" s="2579"/>
      <c r="L395" s="2579"/>
      <c r="M395" s="2579"/>
      <c r="N395" s="2579"/>
      <c r="O395" s="2579"/>
    </row>
    <row r="396" spans="1:15" s="2463" customFormat="1" ht="12.75">
      <c r="A396" s="1269"/>
      <c r="B396" s="1269"/>
      <c r="C396" s="2542"/>
      <c r="D396" s="2541"/>
      <c r="E396" s="2561"/>
      <c r="F396" s="2540"/>
      <c r="G396" s="2565"/>
      <c r="H396" s="2561"/>
      <c r="I396" s="2532"/>
      <c r="J396" s="2579"/>
      <c r="K396" s="2579"/>
      <c r="L396" s="2579"/>
      <c r="M396" s="2579"/>
      <c r="N396" s="2579"/>
      <c r="O396" s="2579"/>
    </row>
    <row r="397" spans="1:15" s="2463" customFormat="1" ht="23.25">
      <c r="A397" s="2564"/>
      <c r="B397" s="2564"/>
      <c r="C397" s="2563"/>
      <c r="D397" s="2541"/>
      <c r="E397" s="2561"/>
      <c r="F397" s="2540"/>
      <c r="G397" s="2562"/>
      <c r="H397" s="2561"/>
      <c r="I397" s="2532"/>
      <c r="J397" s="2579"/>
      <c r="K397" s="2579"/>
      <c r="L397" s="2579"/>
      <c r="M397" s="2579"/>
      <c r="N397" s="2579"/>
      <c r="O397" s="2579"/>
    </row>
    <row r="398" spans="1:15" s="2463" customFormat="1" ht="12.75">
      <c r="A398" s="4879"/>
      <c r="B398" s="4879"/>
      <c r="C398" s="2559"/>
      <c r="D398" s="2560"/>
      <c r="E398" s="4880"/>
      <c r="F398" s="4880"/>
      <c r="G398" s="4880"/>
      <c r="H398" s="2557"/>
      <c r="I398" s="2532"/>
      <c r="J398" s="2579"/>
      <c r="K398" s="2579"/>
      <c r="L398" s="2579"/>
      <c r="M398" s="2579"/>
      <c r="N398" s="2579"/>
      <c r="O398" s="2579"/>
    </row>
    <row r="399" spans="1:15" s="2463" customFormat="1" ht="12.75">
      <c r="A399" s="4879"/>
      <c r="B399" s="4879"/>
      <c r="C399" s="2559"/>
      <c r="D399" s="2558"/>
      <c r="E399" s="2558"/>
      <c r="F399" s="2558"/>
      <c r="G399" s="2558"/>
      <c r="H399" s="2558"/>
      <c r="I399" s="2532"/>
      <c r="J399" s="2579"/>
      <c r="K399" s="2579"/>
      <c r="L399" s="2579"/>
      <c r="M399" s="2579"/>
      <c r="N399" s="2579"/>
      <c r="O399" s="2579"/>
    </row>
    <row r="400" spans="1:15" s="2463" customFormat="1" ht="12.75">
      <c r="A400" s="4879"/>
      <c r="B400" s="4879"/>
      <c r="C400" s="2557"/>
      <c r="D400" s="2555"/>
      <c r="E400" s="2555"/>
      <c r="F400" s="2555"/>
      <c r="G400" s="2556"/>
      <c r="H400" s="2555"/>
      <c r="I400" s="2532"/>
      <c r="J400" s="2579"/>
      <c r="K400" s="2579"/>
      <c r="L400" s="2579"/>
      <c r="M400" s="2579"/>
      <c r="N400" s="2579"/>
      <c r="O400" s="2579"/>
    </row>
    <row r="401" spans="1:15" s="2463" customFormat="1" ht="12.75">
      <c r="A401" s="2554"/>
      <c r="B401" s="2553"/>
      <c r="C401" s="2552"/>
      <c r="D401" s="2551"/>
      <c r="E401" s="2551"/>
      <c r="F401" s="2551"/>
      <c r="G401" s="2551"/>
      <c r="H401" s="2551"/>
      <c r="I401" s="2532"/>
      <c r="J401" s="2579"/>
      <c r="K401" s="2579"/>
      <c r="L401" s="2579"/>
      <c r="M401" s="2579"/>
      <c r="N401" s="2579"/>
      <c r="O401" s="2579"/>
    </row>
    <row r="402" spans="1:15" s="2463" customFormat="1" ht="12.75">
      <c r="A402" s="2549"/>
      <c r="B402" s="2549"/>
      <c r="C402" s="2542"/>
      <c r="D402" s="2548"/>
      <c r="E402" s="2548"/>
      <c r="F402" s="2540"/>
      <c r="G402" s="2548"/>
      <c r="H402" s="2548"/>
      <c r="I402" s="2532"/>
      <c r="J402" s="2579"/>
      <c r="K402" s="2579"/>
      <c r="L402" s="2579"/>
      <c r="M402" s="2579"/>
      <c r="N402" s="2579"/>
      <c r="O402" s="2579"/>
    </row>
    <row r="403" spans="1:15" s="2463" customFormat="1" ht="12.75">
      <c r="A403" s="2549"/>
      <c r="B403" s="2549"/>
      <c r="C403" s="2545"/>
      <c r="D403" s="2548"/>
      <c r="E403" s="2548"/>
      <c r="F403" s="2540"/>
      <c r="G403" s="2548"/>
      <c r="H403" s="2548"/>
      <c r="I403" s="2532"/>
      <c r="J403" s="2579"/>
      <c r="K403" s="2579"/>
      <c r="L403" s="2579"/>
      <c r="M403" s="2579"/>
      <c r="N403" s="2579"/>
      <c r="O403" s="2579"/>
    </row>
    <row r="404" spans="1:15" s="2463" customFormat="1" ht="12.75">
      <c r="A404" s="2547"/>
      <c r="B404" s="2546"/>
      <c r="C404" s="2545"/>
      <c r="D404" s="2541"/>
      <c r="E404" s="2544"/>
      <c r="F404" s="2540"/>
      <c r="G404" s="2544"/>
      <c r="H404" s="2544"/>
      <c r="I404" s="2532"/>
      <c r="J404" s="2579"/>
      <c r="K404" s="2579"/>
      <c r="L404" s="2579"/>
      <c r="M404" s="2579"/>
      <c r="N404" s="2579"/>
      <c r="O404" s="2579"/>
    </row>
    <row r="405" spans="1:15" s="2463" customFormat="1" ht="12.75">
      <c r="A405" s="2543"/>
      <c r="B405" s="2543"/>
      <c r="C405" s="2542"/>
      <c r="D405" s="2541"/>
      <c r="E405" s="2539"/>
      <c r="F405" s="2540"/>
      <c r="G405" s="2539"/>
      <c r="H405" s="2539"/>
      <c r="I405" s="2532"/>
      <c r="J405" s="2579"/>
      <c r="K405" s="2579"/>
      <c r="L405" s="2579"/>
      <c r="M405" s="2579"/>
      <c r="N405" s="2579"/>
      <c r="O405" s="2579"/>
    </row>
    <row r="406" spans="1:15" s="2463" customFormat="1" ht="12.75">
      <c r="A406" s="2538"/>
      <c r="B406" s="2538"/>
      <c r="C406" s="2537"/>
      <c r="D406" s="2536"/>
      <c r="E406" s="2536"/>
      <c r="F406" s="2536"/>
      <c r="G406" s="2536"/>
      <c r="H406" s="2536"/>
      <c r="I406" s="2532"/>
      <c r="J406" s="2579"/>
      <c r="K406" s="2579"/>
      <c r="L406" s="2579"/>
      <c r="M406" s="2579"/>
      <c r="N406" s="2579"/>
      <c r="O406" s="2579"/>
    </row>
    <row r="407" spans="1:15" s="2463" customFormat="1" ht="12.75">
      <c r="A407" s="2538"/>
      <c r="B407" s="2538"/>
      <c r="C407" s="2537"/>
      <c r="D407" s="2536"/>
      <c r="E407" s="2536"/>
      <c r="F407" s="2536"/>
      <c r="G407" s="2536"/>
      <c r="H407" s="2536"/>
      <c r="I407" s="2532"/>
      <c r="J407" s="2579"/>
      <c r="K407" s="2579"/>
      <c r="L407" s="2579"/>
      <c r="M407" s="2579"/>
      <c r="N407" s="2579"/>
      <c r="O407" s="2579"/>
    </row>
    <row r="408" spans="1:15" s="2463" customFormat="1">
      <c r="A408" s="1269"/>
      <c r="B408" s="2529"/>
      <c r="C408" s="2535"/>
      <c r="D408" s="2529"/>
      <c r="E408" s="4877"/>
      <c r="F408" s="4877"/>
      <c r="G408" s="1269"/>
      <c r="H408" s="2529"/>
      <c r="I408" s="2532"/>
      <c r="J408" s="2579"/>
      <c r="K408" s="2579"/>
      <c r="L408" s="2579"/>
      <c r="M408" s="2579"/>
      <c r="N408" s="2579"/>
      <c r="O408" s="2579"/>
    </row>
    <row r="409" spans="1:15" s="2463" customFormat="1">
      <c r="A409" s="2529"/>
      <c r="B409" s="1269"/>
      <c r="C409" s="2535"/>
      <c r="D409" s="1269"/>
      <c r="E409" s="1269"/>
      <c r="F409" s="1269"/>
      <c r="G409" s="1269"/>
      <c r="H409" s="2529"/>
      <c r="I409" s="2532"/>
      <c r="J409" s="2579"/>
      <c r="K409" s="2579"/>
      <c r="L409" s="2579"/>
      <c r="M409" s="2579"/>
      <c r="N409" s="2579"/>
      <c r="O409" s="2579"/>
    </row>
    <row r="410" spans="1:15" s="2463" customFormat="1" ht="12.75">
      <c r="A410" s="2534"/>
      <c r="B410" s="1269"/>
      <c r="C410" s="4881"/>
      <c r="D410" s="4881"/>
      <c r="E410" s="4876"/>
      <c r="F410" s="4876"/>
      <c r="G410" s="4876"/>
      <c r="H410" s="4876"/>
      <c r="I410" s="2532"/>
      <c r="J410" s="2579"/>
      <c r="K410" s="2579"/>
      <c r="L410" s="2579"/>
      <c r="M410" s="2579"/>
      <c r="N410" s="2579"/>
      <c r="O410" s="2579"/>
    </row>
    <row r="411" spans="1:15" s="2463" customFormat="1" ht="12.75">
      <c r="A411" s="2531"/>
      <c r="B411" s="2533"/>
      <c r="C411" s="4874"/>
      <c r="D411" s="4874"/>
      <c r="E411" s="4875"/>
      <c r="F411" s="4875"/>
      <c r="G411" s="4875"/>
      <c r="H411" s="4875"/>
      <c r="I411" s="2532"/>
      <c r="J411" s="2579"/>
      <c r="K411" s="2579"/>
      <c r="L411" s="2579"/>
      <c r="M411" s="2579"/>
      <c r="N411" s="2579"/>
      <c r="O411" s="2579"/>
    </row>
    <row r="412" spans="1:15" s="2463" customFormat="1" ht="7.5" customHeight="1">
      <c r="A412" s="2531"/>
      <c r="B412" s="2533"/>
      <c r="C412" s="2531"/>
      <c r="D412" s="2566"/>
      <c r="E412" s="2566"/>
      <c r="F412" s="2566"/>
      <c r="G412" s="2566"/>
      <c r="H412" s="2566"/>
      <c r="I412" s="2532"/>
      <c r="J412" s="2579"/>
      <c r="K412" s="2579"/>
      <c r="L412" s="2579"/>
      <c r="M412" s="2579"/>
      <c r="N412" s="2579"/>
      <c r="O412" s="2579"/>
    </row>
    <row r="413" spans="1:15" s="2463" customFormat="1" ht="7.5" customHeight="1">
      <c r="A413" s="2531"/>
      <c r="B413" s="2533"/>
      <c r="C413" s="2531"/>
      <c r="D413" s="2566"/>
      <c r="E413" s="2566"/>
      <c r="F413" s="2566"/>
      <c r="G413" s="2566"/>
      <c r="H413" s="2566"/>
      <c r="I413" s="2532"/>
      <c r="J413" s="2579"/>
      <c r="K413" s="2579"/>
      <c r="L413" s="2579"/>
      <c r="M413" s="2579"/>
      <c r="N413" s="2579"/>
      <c r="O413" s="2579"/>
    </row>
    <row r="414" spans="1:15" s="2463" customFormat="1" ht="7.5" customHeight="1">
      <c r="A414" s="2531"/>
      <c r="B414" s="2533"/>
      <c r="C414" s="2531"/>
      <c r="D414" s="2566"/>
      <c r="E414" s="2566"/>
      <c r="F414" s="2566"/>
      <c r="G414" s="2566"/>
      <c r="H414" s="2566"/>
      <c r="I414" s="2532"/>
      <c r="J414" s="2579"/>
      <c r="K414" s="2579"/>
      <c r="L414" s="2579"/>
      <c r="M414" s="2579"/>
      <c r="N414" s="2579"/>
      <c r="O414" s="2579"/>
    </row>
    <row r="415" spans="1:15" s="2463" customFormat="1" ht="7.5" customHeight="1">
      <c r="B415" s="2464"/>
      <c r="D415" s="2465"/>
      <c r="E415" s="2465"/>
      <c r="F415" s="2465"/>
      <c r="G415" s="2465"/>
      <c r="H415" s="2465"/>
      <c r="I415" s="2579"/>
      <c r="J415" s="2579"/>
      <c r="K415" s="2579"/>
      <c r="L415" s="2579"/>
      <c r="M415" s="2579"/>
      <c r="N415" s="2579"/>
      <c r="O415" s="2579"/>
    </row>
    <row r="416" spans="1:15" s="2463" customFormat="1" ht="7.5" customHeight="1">
      <c r="B416" s="2464"/>
      <c r="D416" s="2465"/>
      <c r="E416" s="2465"/>
      <c r="F416" s="2465"/>
      <c r="G416" s="2465"/>
      <c r="H416" s="2465"/>
      <c r="I416" s="2579"/>
      <c r="J416" s="2579"/>
      <c r="K416" s="2579"/>
      <c r="L416" s="2579"/>
      <c r="M416" s="2579"/>
      <c r="N416" s="2579"/>
      <c r="O416" s="2579"/>
    </row>
    <row r="417" spans="2:15" s="2463" customFormat="1" ht="7.5" customHeight="1">
      <c r="B417" s="2464"/>
      <c r="D417" s="2465"/>
      <c r="E417" s="2465"/>
      <c r="F417" s="2465"/>
      <c r="G417" s="2465"/>
      <c r="H417" s="2465"/>
      <c r="I417" s="2579"/>
      <c r="J417" s="2579"/>
      <c r="K417" s="2579"/>
      <c r="L417" s="2579"/>
      <c r="M417" s="2579"/>
      <c r="N417" s="2579"/>
      <c r="O417" s="2579"/>
    </row>
    <row r="418" spans="2:15" s="2463" customFormat="1" ht="7.5" customHeight="1">
      <c r="B418" s="2464"/>
      <c r="D418" s="2465"/>
      <c r="E418" s="2465"/>
      <c r="F418" s="2465"/>
      <c r="G418" s="2465"/>
      <c r="H418" s="2465"/>
      <c r="I418" s="2579"/>
      <c r="J418" s="2579"/>
      <c r="K418" s="2579"/>
      <c r="L418" s="2579"/>
      <c r="M418" s="2579"/>
      <c r="N418" s="2579"/>
      <c r="O418" s="2579"/>
    </row>
    <row r="419" spans="2:15" s="2463" customFormat="1" ht="7.5" customHeight="1">
      <c r="B419" s="2464"/>
      <c r="D419" s="2465"/>
      <c r="E419" s="2465"/>
      <c r="F419" s="2465"/>
      <c r="G419" s="2465"/>
      <c r="H419" s="2465"/>
      <c r="I419" s="2579"/>
      <c r="J419" s="2579"/>
      <c r="K419" s="2579"/>
      <c r="L419" s="2579"/>
      <c r="M419" s="2579"/>
      <c r="N419" s="2579"/>
      <c r="O419" s="2579"/>
    </row>
    <row r="420" spans="2:15" s="2463" customFormat="1" ht="7.5" customHeight="1">
      <c r="B420" s="2464"/>
      <c r="D420" s="2465"/>
      <c r="E420" s="2465"/>
      <c r="F420" s="2465"/>
      <c r="G420" s="2465"/>
      <c r="H420" s="2465"/>
      <c r="I420" s="2579"/>
      <c r="J420" s="2579"/>
      <c r="K420" s="2579"/>
      <c r="L420" s="2579"/>
      <c r="M420" s="2579"/>
      <c r="N420" s="2579"/>
      <c r="O420" s="2579"/>
    </row>
    <row r="421" spans="2:15" s="2463" customFormat="1" ht="7.5" customHeight="1">
      <c r="B421" s="2464"/>
      <c r="D421" s="2465"/>
      <c r="E421" s="2465"/>
      <c r="F421" s="2465"/>
      <c r="G421" s="2465"/>
      <c r="H421" s="2465"/>
      <c r="I421" s="2579"/>
      <c r="J421" s="2579"/>
      <c r="K421" s="2579"/>
      <c r="L421" s="2579"/>
      <c r="M421" s="2579"/>
      <c r="N421" s="2579"/>
      <c r="O421" s="2579"/>
    </row>
    <row r="422" spans="2:15" s="2463" customFormat="1" ht="7.5" customHeight="1">
      <c r="B422" s="2464"/>
      <c r="D422" s="2465"/>
      <c r="E422" s="2465"/>
      <c r="F422" s="2465"/>
      <c r="G422" s="2465"/>
      <c r="H422" s="2465"/>
      <c r="I422" s="2579"/>
      <c r="J422" s="2579"/>
      <c r="K422" s="2579"/>
      <c r="L422" s="2579"/>
      <c r="M422" s="2579"/>
      <c r="N422" s="2579"/>
      <c r="O422" s="2579"/>
    </row>
    <row r="423" spans="2:15" s="2463" customFormat="1" ht="7.5" customHeight="1">
      <c r="B423" s="2464"/>
      <c r="D423" s="2465"/>
      <c r="E423" s="2465"/>
      <c r="F423" s="2465"/>
      <c r="G423" s="2465"/>
      <c r="H423" s="2465"/>
      <c r="I423" s="2579"/>
      <c r="J423" s="2579"/>
      <c r="K423" s="2579"/>
      <c r="L423" s="2579"/>
      <c r="M423" s="2579"/>
      <c r="N423" s="2579"/>
      <c r="O423" s="2579"/>
    </row>
    <row r="424" spans="2:15" s="2463" customFormat="1" ht="7.5" customHeight="1">
      <c r="B424" s="2464"/>
      <c r="D424" s="2465"/>
      <c r="E424" s="2465"/>
      <c r="F424" s="2465"/>
      <c r="G424" s="2465"/>
      <c r="H424" s="2465"/>
      <c r="I424" s="2579"/>
      <c r="J424" s="2579"/>
      <c r="K424" s="2579"/>
      <c r="L424" s="2579"/>
      <c r="M424" s="2579"/>
      <c r="N424" s="2579"/>
      <c r="O424" s="2579"/>
    </row>
    <row r="425" spans="2:15" s="2463" customFormat="1" ht="7.5" customHeight="1">
      <c r="B425" s="2464"/>
      <c r="D425" s="2465"/>
      <c r="E425" s="2465"/>
      <c r="F425" s="2465"/>
      <c r="G425" s="2465"/>
      <c r="H425" s="2465"/>
      <c r="I425" s="2579"/>
      <c r="J425" s="2579"/>
      <c r="K425" s="2579"/>
      <c r="L425" s="2579"/>
      <c r="M425" s="2579"/>
      <c r="N425" s="2579"/>
      <c r="O425" s="2579"/>
    </row>
    <row r="426" spans="2:15" s="2463" customFormat="1" ht="7.5" customHeight="1">
      <c r="B426" s="2464"/>
      <c r="D426" s="2465"/>
      <c r="E426" s="2465"/>
      <c r="F426" s="2465"/>
      <c r="G426" s="2465"/>
      <c r="H426" s="2465"/>
      <c r="I426" s="2579"/>
      <c r="J426" s="2579"/>
      <c r="K426" s="2579"/>
      <c r="L426" s="2579"/>
      <c r="M426" s="2579"/>
      <c r="N426" s="2579"/>
      <c r="O426" s="2579"/>
    </row>
    <row r="427" spans="2:15" s="2463" customFormat="1" ht="7.5" customHeight="1">
      <c r="B427" s="2464"/>
      <c r="D427" s="2465"/>
      <c r="E427" s="2465"/>
      <c r="F427" s="2465"/>
      <c r="G427" s="2465"/>
      <c r="H427" s="2465"/>
      <c r="I427" s="2579"/>
      <c r="J427" s="2579"/>
      <c r="K427" s="2579"/>
      <c r="L427" s="2579"/>
      <c r="M427" s="2579"/>
      <c r="N427" s="2579"/>
      <c r="O427" s="2579"/>
    </row>
    <row r="428" spans="2:15" s="2463" customFormat="1" ht="7.5" customHeight="1">
      <c r="B428" s="2464"/>
      <c r="D428" s="2465"/>
      <c r="E428" s="2465"/>
      <c r="F428" s="2465"/>
      <c r="G428" s="2465"/>
      <c r="H428" s="2465"/>
      <c r="I428" s="2579"/>
      <c r="J428" s="2579"/>
      <c r="K428" s="2579"/>
      <c r="L428" s="2579"/>
      <c r="M428" s="2579"/>
      <c r="N428" s="2579"/>
      <c r="O428" s="2579"/>
    </row>
    <row r="429" spans="2:15" s="2463" customFormat="1" ht="7.5" customHeight="1">
      <c r="B429" s="2464"/>
      <c r="D429" s="2465"/>
      <c r="E429" s="2465"/>
      <c r="F429" s="2465"/>
      <c r="G429" s="2465"/>
      <c r="H429" s="2465"/>
      <c r="I429" s="2579"/>
      <c r="J429" s="2579"/>
      <c r="K429" s="2579"/>
      <c r="L429" s="2579"/>
      <c r="M429" s="2579"/>
      <c r="N429" s="2579"/>
      <c r="O429" s="2579"/>
    </row>
    <row r="430" spans="2:15" s="2463" customFormat="1" ht="7.5" customHeight="1">
      <c r="B430" s="2464"/>
      <c r="D430" s="2465"/>
      <c r="E430" s="2465"/>
      <c r="F430" s="2465"/>
      <c r="G430" s="2465"/>
      <c r="H430" s="2465"/>
      <c r="I430" s="2579"/>
      <c r="J430" s="2579"/>
      <c r="K430" s="2579"/>
      <c r="L430" s="2579"/>
      <c r="M430" s="2579"/>
      <c r="N430" s="2579"/>
      <c r="O430" s="2579"/>
    </row>
    <row r="431" spans="2:15" s="2463" customFormat="1" ht="7.5" customHeight="1">
      <c r="B431" s="2464"/>
      <c r="D431" s="2465"/>
      <c r="E431" s="2465"/>
      <c r="F431" s="2465"/>
      <c r="G431" s="2465"/>
      <c r="H431" s="2465"/>
      <c r="I431" s="2579"/>
      <c r="J431" s="2579"/>
      <c r="K431" s="2579"/>
      <c r="L431" s="2579"/>
      <c r="M431" s="2579"/>
      <c r="N431" s="2579"/>
      <c r="O431" s="2579"/>
    </row>
    <row r="432" spans="2:15" s="2463" customFormat="1" ht="7.5" customHeight="1">
      <c r="B432" s="2464"/>
      <c r="D432" s="2465"/>
      <c r="E432" s="2465"/>
      <c r="F432" s="2465"/>
      <c r="G432" s="2465"/>
      <c r="H432" s="2465"/>
      <c r="I432" s="2579"/>
      <c r="J432" s="2579"/>
      <c r="K432" s="2579"/>
      <c r="L432" s="2579"/>
      <c r="M432" s="2579"/>
      <c r="N432" s="2579"/>
      <c r="O432" s="2579"/>
    </row>
    <row r="433" spans="1:15" s="2463" customFormat="1" ht="7.5" customHeight="1">
      <c r="B433" s="2464"/>
      <c r="D433" s="2465"/>
      <c r="E433" s="2465"/>
      <c r="F433" s="2465"/>
      <c r="G433" s="2465"/>
      <c r="H433" s="2465"/>
      <c r="I433" s="2579"/>
      <c r="J433" s="2579"/>
      <c r="K433" s="2579"/>
      <c r="L433" s="2579"/>
      <c r="M433" s="2579"/>
      <c r="N433" s="2579"/>
      <c r="O433" s="2579"/>
    </row>
    <row r="434" spans="1:15" s="2463" customFormat="1" ht="7.5" customHeight="1">
      <c r="B434" s="2464"/>
      <c r="D434" s="2465"/>
      <c r="E434" s="2465"/>
      <c r="F434" s="2465"/>
      <c r="G434" s="2465"/>
      <c r="H434" s="2465"/>
      <c r="I434" s="2579"/>
      <c r="J434" s="2579"/>
      <c r="K434" s="2579"/>
      <c r="L434" s="2579"/>
      <c r="M434" s="2579"/>
      <c r="N434" s="2579"/>
      <c r="O434" s="2579"/>
    </row>
    <row r="435" spans="1:15" s="2463" customFormat="1" ht="7.5" customHeight="1">
      <c r="B435" s="2464"/>
      <c r="D435" s="2465"/>
      <c r="E435" s="2465"/>
      <c r="F435" s="2465"/>
      <c r="G435" s="2465"/>
      <c r="H435" s="2465"/>
      <c r="I435" s="2579"/>
      <c r="J435" s="2579"/>
      <c r="K435" s="2579"/>
      <c r="L435" s="2579"/>
      <c r="M435" s="2579"/>
      <c r="N435" s="2579"/>
      <c r="O435" s="2579"/>
    </row>
    <row r="436" spans="1:15" s="2463" customFormat="1" ht="7.5" customHeight="1">
      <c r="B436" s="2464"/>
      <c r="D436" s="2465"/>
      <c r="E436" s="2465"/>
      <c r="F436" s="2465"/>
      <c r="G436" s="2465"/>
      <c r="H436" s="2465"/>
      <c r="I436" s="2579"/>
      <c r="J436" s="2579"/>
      <c r="K436" s="2579"/>
      <c r="L436" s="2579"/>
      <c r="M436" s="2579"/>
      <c r="N436" s="2579"/>
      <c r="O436" s="2579"/>
    </row>
    <row r="437" spans="1:15" s="2463" customFormat="1" ht="7.5" customHeight="1">
      <c r="B437" s="2464"/>
      <c r="D437" s="2465"/>
      <c r="E437" s="2465"/>
      <c r="F437" s="2465"/>
      <c r="G437" s="2465"/>
      <c r="H437" s="2465"/>
      <c r="I437" s="2579"/>
      <c r="J437" s="2579"/>
      <c r="K437" s="2579"/>
      <c r="L437" s="2579"/>
      <c r="M437" s="2579"/>
      <c r="N437" s="2579"/>
      <c r="O437" s="2579"/>
    </row>
    <row r="438" spans="1:15" s="2463" customFormat="1" ht="7.5" customHeight="1">
      <c r="B438" s="2464"/>
      <c r="D438" s="2465"/>
      <c r="E438" s="2465"/>
      <c r="F438" s="2465"/>
      <c r="G438" s="2465"/>
      <c r="H438" s="2465"/>
      <c r="I438" s="2579"/>
      <c r="J438" s="2579"/>
      <c r="K438" s="2579"/>
      <c r="L438" s="2579"/>
      <c r="M438" s="2579"/>
      <c r="N438" s="2579"/>
      <c r="O438" s="2579"/>
    </row>
    <row r="439" spans="1:15" s="2463" customFormat="1" ht="7.5" customHeight="1">
      <c r="B439" s="2464"/>
      <c r="D439" s="2465"/>
      <c r="E439" s="2465"/>
      <c r="F439" s="2465"/>
      <c r="G439" s="2465"/>
      <c r="H439" s="2465"/>
      <c r="I439" s="2579"/>
      <c r="J439" s="2579"/>
      <c r="K439" s="2579"/>
      <c r="L439" s="2579"/>
      <c r="M439" s="2579"/>
      <c r="N439" s="2579"/>
      <c r="O439" s="2579"/>
    </row>
    <row r="440" spans="1:15" s="2463" customFormat="1" ht="7.5" customHeight="1">
      <c r="B440" s="2464"/>
      <c r="D440" s="2465"/>
      <c r="E440" s="2465"/>
      <c r="F440" s="2465"/>
      <c r="G440" s="2465"/>
      <c r="H440" s="2465"/>
      <c r="I440" s="2579"/>
      <c r="J440" s="2579"/>
      <c r="K440" s="2579"/>
      <c r="L440" s="2579"/>
      <c r="M440" s="2579"/>
      <c r="N440" s="2579"/>
      <c r="O440" s="2579"/>
    </row>
    <row r="441" spans="1:15" s="2463" customFormat="1" ht="7.5" customHeight="1">
      <c r="B441" s="2464"/>
      <c r="D441" s="2465"/>
      <c r="E441" s="2465"/>
      <c r="F441" s="2465"/>
      <c r="G441" s="2465"/>
      <c r="H441" s="2465"/>
      <c r="I441" s="2579"/>
      <c r="J441" s="2579"/>
      <c r="K441" s="2579"/>
      <c r="L441" s="2579"/>
      <c r="M441" s="2579"/>
      <c r="N441" s="2579"/>
      <c r="O441" s="2579"/>
    </row>
    <row r="442" spans="1:15" s="2463" customFormat="1" ht="7.5" customHeight="1">
      <c r="B442" s="2464"/>
      <c r="D442" s="2465"/>
      <c r="E442" s="2465"/>
      <c r="F442" s="2465"/>
      <c r="G442" s="2465"/>
      <c r="H442" s="2465"/>
      <c r="I442" s="2579"/>
      <c r="J442" s="2579"/>
      <c r="K442" s="2579"/>
      <c r="L442" s="2579"/>
      <c r="M442" s="2579"/>
      <c r="N442" s="2579"/>
      <c r="O442" s="2579"/>
    </row>
    <row r="443" spans="1:15" s="2463" customFormat="1" ht="7.5" customHeight="1">
      <c r="B443" s="2464"/>
      <c r="D443" s="2465"/>
      <c r="E443" s="2465"/>
      <c r="F443" s="2465"/>
      <c r="G443" s="2465"/>
      <c r="H443" s="2465"/>
      <c r="I443" s="2579"/>
      <c r="J443" s="2579"/>
      <c r="K443" s="2579"/>
      <c r="L443" s="2579"/>
      <c r="M443" s="2579"/>
      <c r="N443" s="2579"/>
      <c r="O443" s="2579"/>
    </row>
    <row r="444" spans="1:15" s="2463" customFormat="1" ht="7.5" customHeight="1">
      <c r="B444" s="2464"/>
      <c r="D444" s="2465"/>
      <c r="E444" s="2465"/>
      <c r="F444" s="2465"/>
      <c r="G444" s="2465"/>
      <c r="H444" s="2465"/>
      <c r="I444" s="2579"/>
      <c r="J444" s="2579"/>
      <c r="K444" s="2579"/>
      <c r="L444" s="2579"/>
      <c r="M444" s="2579"/>
      <c r="N444" s="2579"/>
      <c r="O444" s="2579"/>
    </row>
    <row r="445" spans="1:15" s="2463" customFormat="1" ht="7.5" customHeight="1">
      <c r="B445" s="2464"/>
      <c r="D445" s="2465"/>
      <c r="E445" s="2465"/>
      <c r="F445" s="2465"/>
      <c r="G445" s="2465"/>
      <c r="H445" s="2465"/>
      <c r="I445" s="2579"/>
      <c r="J445" s="2579"/>
      <c r="K445" s="2579"/>
      <c r="L445" s="2579"/>
      <c r="M445" s="2579"/>
      <c r="N445" s="2579"/>
      <c r="O445" s="2579"/>
    </row>
    <row r="446" spans="1:15" s="2463" customFormat="1" ht="7.5" customHeight="1">
      <c r="B446" s="2464"/>
      <c r="D446" s="2465"/>
      <c r="E446" s="2465"/>
      <c r="F446" s="2465"/>
      <c r="G446" s="2465"/>
      <c r="H446" s="2465"/>
      <c r="I446" s="2579"/>
      <c r="J446" s="2579"/>
      <c r="K446" s="2579"/>
      <c r="L446" s="2579"/>
      <c r="M446" s="2579"/>
      <c r="N446" s="2579"/>
      <c r="O446" s="2579"/>
    </row>
    <row r="447" spans="1:15" s="2463" customFormat="1" ht="7.5" customHeight="1">
      <c r="B447" s="2464"/>
      <c r="D447" s="2465"/>
      <c r="E447" s="2465"/>
      <c r="F447" s="2465"/>
      <c r="G447" s="2465"/>
      <c r="H447" s="2465"/>
      <c r="I447" s="2579"/>
      <c r="J447" s="2579"/>
      <c r="K447" s="2579"/>
      <c r="L447" s="2579"/>
      <c r="M447" s="2579"/>
      <c r="N447" s="2579"/>
      <c r="O447" s="2579"/>
    </row>
    <row r="448" spans="1:15">
      <c r="A448" s="4876"/>
      <c r="B448" s="4876"/>
      <c r="C448" s="4876"/>
      <c r="D448" s="4876"/>
      <c r="E448" s="4876"/>
      <c r="F448" s="4876"/>
      <c r="G448" s="4876"/>
      <c r="H448" s="4876"/>
    </row>
    <row r="449" spans="1:15">
      <c r="A449" s="4877"/>
      <c r="B449" s="4877"/>
      <c r="C449" s="4877"/>
      <c r="D449" s="4877"/>
      <c r="E449" s="4877"/>
      <c r="F449" s="4877"/>
      <c r="G449" s="4877"/>
      <c r="H449" s="4877"/>
    </row>
    <row r="450" spans="1:15">
      <c r="A450" s="2529"/>
      <c r="B450" s="2529"/>
      <c r="C450" s="2529"/>
      <c r="D450" s="2529"/>
      <c r="E450" s="2529"/>
      <c r="F450" s="2529"/>
      <c r="G450" s="2529"/>
      <c r="H450" s="2529"/>
    </row>
    <row r="451" spans="1:15" s="2463" customFormat="1">
      <c r="A451" s="2568"/>
      <c r="B451" s="2567"/>
      <c r="C451" s="2529"/>
      <c r="D451" s="2566"/>
      <c r="E451" s="2566"/>
      <c r="F451" s="2566"/>
      <c r="G451" s="2566"/>
      <c r="H451" s="2566"/>
      <c r="I451" s="2579"/>
      <c r="J451" s="2579"/>
      <c r="K451" s="2579"/>
      <c r="L451" s="2579"/>
      <c r="M451" s="2579"/>
      <c r="N451" s="2579"/>
      <c r="O451" s="2579"/>
    </row>
    <row r="452" spans="1:15" s="2463" customFormat="1" ht="12.75">
      <c r="A452" s="1269"/>
      <c r="B452" s="1269"/>
      <c r="C452" s="2542"/>
      <c r="D452" s="2541"/>
      <c r="E452" s="2561"/>
      <c r="F452" s="2540"/>
      <c r="G452" s="2565"/>
      <c r="H452" s="2561"/>
      <c r="I452" s="2579"/>
      <c r="J452" s="2579"/>
      <c r="K452" s="2579"/>
      <c r="L452" s="2579"/>
      <c r="M452" s="2579"/>
      <c r="N452" s="2579"/>
      <c r="O452" s="2579"/>
    </row>
    <row r="453" spans="1:15" s="2463" customFormat="1" ht="23.25">
      <c r="A453" s="2564"/>
      <c r="B453" s="2564"/>
      <c r="C453" s="2563"/>
      <c r="D453" s="2541"/>
      <c r="E453" s="2561"/>
      <c r="F453" s="2540"/>
      <c r="G453" s="2562"/>
      <c r="H453" s="2561"/>
      <c r="I453" s="2579"/>
      <c r="J453" s="2579"/>
      <c r="K453" s="2579"/>
      <c r="L453" s="2579"/>
      <c r="M453" s="2579"/>
      <c r="N453" s="2579"/>
      <c r="O453" s="2579"/>
    </row>
    <row r="454" spans="1:15" s="2463" customFormat="1" ht="12.75">
      <c r="A454" s="4879"/>
      <c r="B454" s="4879"/>
      <c r="C454" s="2559"/>
      <c r="D454" s="2560"/>
      <c r="E454" s="4880"/>
      <c r="F454" s="4880"/>
      <c r="G454" s="4880"/>
      <c r="H454" s="2557"/>
      <c r="I454" s="2579"/>
      <c r="J454" s="2579"/>
      <c r="K454" s="2579"/>
      <c r="L454" s="2579"/>
      <c r="M454" s="2579"/>
      <c r="N454" s="2579"/>
      <c r="O454" s="2579"/>
    </row>
    <row r="455" spans="1:15" s="2463" customFormat="1" ht="12.75">
      <c r="A455" s="4879"/>
      <c r="B455" s="4879"/>
      <c r="C455" s="2559"/>
      <c r="D455" s="2558"/>
      <c r="E455" s="2558"/>
      <c r="F455" s="2558"/>
      <c r="G455" s="2558"/>
      <c r="H455" s="2558"/>
      <c r="I455" s="2579"/>
      <c r="J455" s="2579"/>
      <c r="K455" s="2579"/>
      <c r="L455" s="2579"/>
      <c r="M455" s="2579"/>
      <c r="N455" s="2579"/>
      <c r="O455" s="2579"/>
    </row>
    <row r="456" spans="1:15" s="2463" customFormat="1" ht="12.75">
      <c r="A456" s="4879"/>
      <c r="B456" s="4879"/>
      <c r="C456" s="2557"/>
      <c r="D456" s="2555"/>
      <c r="E456" s="2555"/>
      <c r="F456" s="2555"/>
      <c r="G456" s="2556"/>
      <c r="H456" s="2555"/>
      <c r="I456" s="2579"/>
      <c r="J456" s="2579"/>
      <c r="K456" s="2579"/>
      <c r="L456" s="2579"/>
      <c r="M456" s="2579"/>
      <c r="N456" s="2579"/>
      <c r="O456" s="2579"/>
    </row>
    <row r="457" spans="1:15" s="2463" customFormat="1" ht="12.75">
      <c r="A457" s="2554"/>
      <c r="B457" s="2553"/>
      <c r="C457" s="2552"/>
      <c r="D457" s="2551"/>
      <c r="E457" s="2551"/>
      <c r="F457" s="2551"/>
      <c r="G457" s="2551"/>
      <c r="H457" s="2551"/>
      <c r="I457" s="2579"/>
      <c r="J457" s="2579"/>
      <c r="K457" s="2579"/>
      <c r="L457" s="2579"/>
      <c r="M457" s="2579"/>
      <c r="N457" s="2579"/>
      <c r="O457" s="2579"/>
    </row>
    <row r="458" spans="1:15" s="2463" customFormat="1" ht="12.75">
      <c r="A458" s="2549"/>
      <c r="B458" s="2549"/>
      <c r="C458" s="2550"/>
      <c r="D458" s="2548"/>
      <c r="E458" s="2548"/>
      <c r="F458" s="2540"/>
      <c r="G458" s="2548"/>
      <c r="H458" s="2548"/>
      <c r="I458" s="2579"/>
      <c r="J458" s="2579"/>
      <c r="K458" s="2579"/>
      <c r="L458" s="2579"/>
      <c r="M458" s="2579"/>
      <c r="N458" s="2579"/>
      <c r="O458" s="2579"/>
    </row>
    <row r="459" spans="1:15" s="2463" customFormat="1" ht="12.75">
      <c r="A459" s="2549"/>
      <c r="B459" s="2549"/>
      <c r="C459" s="2545"/>
      <c r="D459" s="2548"/>
      <c r="E459" s="2548"/>
      <c r="F459" s="2540"/>
      <c r="G459" s="2548"/>
      <c r="H459" s="2548"/>
      <c r="I459" s="2579"/>
      <c r="J459" s="2579"/>
      <c r="K459" s="2579"/>
      <c r="L459" s="2579"/>
      <c r="M459" s="2579"/>
      <c r="N459" s="2579"/>
      <c r="O459" s="2579"/>
    </row>
    <row r="460" spans="1:15" s="2463" customFormat="1" ht="12.75">
      <c r="A460" s="2547"/>
      <c r="B460" s="2546"/>
      <c r="C460" s="2545"/>
      <c r="D460" s="2541"/>
      <c r="E460" s="2544"/>
      <c r="F460" s="2540"/>
      <c r="G460" s="2544"/>
      <c r="H460" s="2544"/>
      <c r="I460" s="2579"/>
      <c r="J460" s="2579"/>
      <c r="K460" s="2579"/>
      <c r="L460" s="2579"/>
      <c r="M460" s="2579"/>
      <c r="N460" s="2579"/>
      <c r="O460" s="2579"/>
    </row>
    <row r="461" spans="1:15" s="2463" customFormat="1" ht="12.75">
      <c r="A461" s="2543"/>
      <c r="B461" s="2543"/>
      <c r="C461" s="2542"/>
      <c r="D461" s="2541"/>
      <c r="E461" s="2539"/>
      <c r="F461" s="2540"/>
      <c r="G461" s="2539"/>
      <c r="H461" s="2539"/>
      <c r="I461" s="2579"/>
      <c r="J461" s="2579"/>
      <c r="K461" s="2579"/>
      <c r="L461" s="2579"/>
      <c r="M461" s="2579"/>
      <c r="N461" s="2579"/>
      <c r="O461" s="2579"/>
    </row>
    <row r="462" spans="1:15" s="2463" customFormat="1" ht="12.75">
      <c r="A462" s="2538"/>
      <c r="B462" s="2538"/>
      <c r="C462" s="2537"/>
      <c r="D462" s="2536"/>
      <c r="E462" s="2536"/>
      <c r="F462" s="2536"/>
      <c r="G462" s="2536"/>
      <c r="H462" s="2536"/>
      <c r="I462" s="2579"/>
      <c r="J462" s="2579"/>
      <c r="K462" s="2579"/>
      <c r="L462" s="2579"/>
      <c r="M462" s="2579"/>
      <c r="N462" s="2579"/>
      <c r="O462" s="2579"/>
    </row>
    <row r="463" spans="1:15" s="2463" customFormat="1" ht="12.75">
      <c r="A463" s="2538"/>
      <c r="B463" s="2538"/>
      <c r="C463" s="2537"/>
      <c r="D463" s="2536"/>
      <c r="E463" s="2536"/>
      <c r="F463" s="2536"/>
      <c r="G463" s="2536"/>
      <c r="H463" s="2536"/>
      <c r="I463" s="2579"/>
      <c r="J463" s="2579"/>
      <c r="K463" s="2579"/>
      <c r="L463" s="2579"/>
      <c r="M463" s="2579"/>
      <c r="N463" s="2579"/>
      <c r="O463" s="2579"/>
    </row>
    <row r="464" spans="1:15" s="2463" customFormat="1">
      <c r="A464" s="1269"/>
      <c r="B464" s="2529"/>
      <c r="C464" s="2535"/>
      <c r="D464" s="2529"/>
      <c r="E464" s="4877"/>
      <c r="F464" s="4877"/>
      <c r="G464" s="1269"/>
      <c r="H464" s="2529"/>
      <c r="I464" s="2579"/>
      <c r="J464" s="2579"/>
      <c r="K464" s="2579"/>
      <c r="L464" s="2579"/>
      <c r="M464" s="2579"/>
      <c r="N464" s="2579"/>
      <c r="O464" s="2579"/>
    </row>
    <row r="465" spans="1:15" s="2463" customFormat="1">
      <c r="A465" s="2529"/>
      <c r="B465" s="1269"/>
      <c r="C465" s="2535"/>
      <c r="D465" s="1269"/>
      <c r="E465" s="1269"/>
      <c r="F465" s="1269"/>
      <c r="G465" s="1269"/>
      <c r="H465" s="2529"/>
      <c r="I465" s="2579"/>
      <c r="J465" s="2579"/>
      <c r="K465" s="2579"/>
      <c r="L465" s="2579"/>
      <c r="M465" s="2579"/>
      <c r="N465" s="2579"/>
      <c r="O465" s="2579"/>
    </row>
    <row r="466" spans="1:15" s="2463" customFormat="1" ht="12.75">
      <c r="A466" s="2534"/>
      <c r="B466" s="1269"/>
      <c r="C466" s="4881"/>
      <c r="D466" s="4881"/>
      <c r="E466" s="4876"/>
      <c r="F466" s="4876"/>
      <c r="G466" s="4876"/>
      <c r="H466" s="4876"/>
      <c r="I466" s="2579"/>
      <c r="J466" s="2579"/>
      <c r="K466" s="2579"/>
      <c r="L466" s="2579"/>
      <c r="M466" s="2579"/>
      <c r="N466" s="2579"/>
      <c r="O466" s="2579"/>
    </row>
    <row r="467" spans="1:15" s="2463" customFormat="1" ht="12.75">
      <c r="A467" s="2531"/>
      <c r="B467" s="2533"/>
      <c r="C467" s="4874"/>
      <c r="D467" s="4874"/>
      <c r="E467" s="4875"/>
      <c r="F467" s="4875"/>
      <c r="G467" s="4875"/>
      <c r="H467" s="4875"/>
      <c r="I467" s="2579"/>
      <c r="J467" s="2579"/>
      <c r="K467" s="2579"/>
      <c r="L467" s="2579"/>
      <c r="M467" s="2579"/>
      <c r="N467" s="2579"/>
      <c r="O467" s="2579"/>
    </row>
  </sheetData>
  <mergeCells count="105">
    <mergeCell ref="E464:F464"/>
    <mergeCell ref="C466:D466"/>
    <mergeCell ref="E466:H466"/>
    <mergeCell ref="C467:D467"/>
    <mergeCell ref="E467:H467"/>
    <mergeCell ref="C411:D411"/>
    <mergeCell ref="E411:H411"/>
    <mergeCell ref="A448:H448"/>
    <mergeCell ref="A449:H449"/>
    <mergeCell ref="A454:B456"/>
    <mergeCell ref="E366:F366"/>
    <mergeCell ref="C368:D368"/>
    <mergeCell ref="E368:H368"/>
    <mergeCell ref="C369:D369"/>
    <mergeCell ref="E369:H369"/>
    <mergeCell ref="A392:H392"/>
    <mergeCell ref="E454:G454"/>
    <mergeCell ref="A393:H393"/>
    <mergeCell ref="A398:B400"/>
    <mergeCell ref="E398:G398"/>
    <mergeCell ref="E408:F408"/>
    <mergeCell ref="C410:D410"/>
    <mergeCell ref="E410:H410"/>
    <mergeCell ref="E325:F325"/>
    <mergeCell ref="C327:D327"/>
    <mergeCell ref="E327:H327"/>
    <mergeCell ref="C328:D328"/>
    <mergeCell ref="E328:H328"/>
    <mergeCell ref="A345:H345"/>
    <mergeCell ref="A346:H346"/>
    <mergeCell ref="A353:B355"/>
    <mergeCell ref="E353:G353"/>
    <mergeCell ref="E283:F283"/>
    <mergeCell ref="C285:D285"/>
    <mergeCell ref="E285:H285"/>
    <mergeCell ref="C286:D286"/>
    <mergeCell ref="E286:H286"/>
    <mergeCell ref="A304:H304"/>
    <mergeCell ref="A305:H305"/>
    <mergeCell ref="A311:B313"/>
    <mergeCell ref="E311:G311"/>
    <mergeCell ref="E244:F244"/>
    <mergeCell ref="C246:D246"/>
    <mergeCell ref="E246:H246"/>
    <mergeCell ref="C247:D247"/>
    <mergeCell ref="E247:H247"/>
    <mergeCell ref="A262:H262"/>
    <mergeCell ref="A263:H263"/>
    <mergeCell ref="A269:B271"/>
    <mergeCell ref="E269:G269"/>
    <mergeCell ref="E198:F198"/>
    <mergeCell ref="C200:D200"/>
    <mergeCell ref="E200:H200"/>
    <mergeCell ref="C201:D201"/>
    <mergeCell ref="E201:H201"/>
    <mergeCell ref="A221:H221"/>
    <mergeCell ref="A222:H222"/>
    <mergeCell ref="A228:B230"/>
    <mergeCell ref="E228:G228"/>
    <mergeCell ref="E159:F159"/>
    <mergeCell ref="C161:D161"/>
    <mergeCell ref="E161:H161"/>
    <mergeCell ref="C162:D162"/>
    <mergeCell ref="E162:H162"/>
    <mergeCell ref="A181:H181"/>
    <mergeCell ref="A182:H182"/>
    <mergeCell ref="A187:B189"/>
    <mergeCell ref="E187:G187"/>
    <mergeCell ref="C117:D117"/>
    <mergeCell ref="E117:H117"/>
    <mergeCell ref="C118:D118"/>
    <mergeCell ref="E118:H118"/>
    <mergeCell ref="A135:H135"/>
    <mergeCell ref="A136:H136"/>
    <mergeCell ref="A137:H137"/>
    <mergeCell ref="A138:H138"/>
    <mergeCell ref="A143:B145"/>
    <mergeCell ref="E143:G143"/>
    <mergeCell ref="C78:D78"/>
    <mergeCell ref="E78:H78"/>
    <mergeCell ref="A92:H92"/>
    <mergeCell ref="A93:H93"/>
    <mergeCell ref="A94:H94"/>
    <mergeCell ref="A95:H95"/>
    <mergeCell ref="A100:B102"/>
    <mergeCell ref="E100:G100"/>
    <mergeCell ref="E115:F115"/>
    <mergeCell ref="A5:H5"/>
    <mergeCell ref="A6:H6"/>
    <mergeCell ref="A33:B33"/>
    <mergeCell ref="C33:E33"/>
    <mergeCell ref="F33:H33"/>
    <mergeCell ref="C34:E34"/>
    <mergeCell ref="E75:F75"/>
    <mergeCell ref="C77:D77"/>
    <mergeCell ref="E77:H77"/>
    <mergeCell ref="F34:H34"/>
    <mergeCell ref="A35:B35"/>
    <mergeCell ref="C35:E35"/>
    <mergeCell ref="A11:B13"/>
    <mergeCell ref="E11:G11"/>
    <mergeCell ref="A50:H50"/>
    <mergeCell ref="A51:H51"/>
    <mergeCell ref="A57:B59"/>
    <mergeCell ref="E57:G57"/>
  </mergeCells>
  <pageMargins left="0.5" right="0" top="0.25" bottom="0" header="0.5" footer="0"/>
  <pageSetup paperSize="5" orientation="portrait"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428"/>
  <sheetViews>
    <sheetView showGridLines="0" showOutlineSymbols="0" topLeftCell="A19" workbookViewId="0">
      <pane xSplit="18525" topLeftCell="ET1"/>
      <selection activeCell="L23" sqref="L23"/>
      <selection pane="topRight" activeCell="ET1" sqref="ET1"/>
    </sheetView>
  </sheetViews>
  <sheetFormatPr defaultColWidth="12.5703125" defaultRowHeight="15.75" outlineLevelRow="1" outlineLevelCol="2"/>
  <cols>
    <col min="1" max="1" width="1.85546875" style="2462" customWidth="1"/>
    <col min="2" max="2" width="32.5703125" style="2462" customWidth="1"/>
    <col min="3" max="3" width="11.140625" style="2462" customWidth="1"/>
    <col min="4" max="5" width="10.28515625" style="2462" customWidth="1"/>
    <col min="6" max="6" width="12.42578125" style="2462" customWidth="1"/>
    <col min="7" max="7" width="10.5703125" style="2462" customWidth="1"/>
    <col min="8" max="8" width="12" style="2462" customWidth="1"/>
    <col min="9"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8" spans="1:15" s="1390" customFormat="1" ht="14.25" customHeight="1">
      <c r="A8" s="1577" t="s">
        <v>2120</v>
      </c>
      <c r="C8" s="2525"/>
      <c r="D8" s="1403"/>
      <c r="E8" s="1403"/>
      <c r="F8" s="1403"/>
      <c r="G8" s="1403"/>
      <c r="H8" s="1403"/>
    </row>
    <row r="9" spans="1:15" s="1390" customFormat="1" ht="14.25" customHeight="1">
      <c r="B9" s="2612" t="s">
        <v>2131</v>
      </c>
      <c r="C9" s="2525"/>
      <c r="D9" s="1403"/>
      <c r="E9" s="1403"/>
      <c r="F9" s="1403"/>
      <c r="G9" s="1403"/>
      <c r="H9" s="1403"/>
    </row>
    <row r="10" spans="1:15" s="2463" customFormat="1" ht="16.5">
      <c r="A10" s="1501"/>
      <c r="B10" s="1501"/>
      <c r="C10" s="2651"/>
      <c r="D10" s="2650"/>
      <c r="E10" s="2647"/>
      <c r="F10" s="2649"/>
      <c r="G10" s="2648"/>
      <c r="H10" s="2647"/>
      <c r="I10" s="2579"/>
      <c r="J10" s="2579"/>
      <c r="K10" s="2579"/>
      <c r="L10" s="2579"/>
      <c r="M10" s="2579"/>
      <c r="N10" s="2579"/>
      <c r="O10" s="2579"/>
    </row>
    <row r="11" spans="1:15" s="2463" customFormat="1" ht="13.5">
      <c r="A11" s="4890" t="s">
        <v>468</v>
      </c>
      <c r="B11" s="4891"/>
      <c r="C11" s="2607" t="s">
        <v>467</v>
      </c>
      <c r="D11" s="2608" t="s">
        <v>466</v>
      </c>
      <c r="E11" s="4869" t="s">
        <v>465</v>
      </c>
      <c r="F11" s="4870"/>
      <c r="G11" s="4871"/>
      <c r="H11" s="2607" t="s">
        <v>464</v>
      </c>
      <c r="I11" s="2579"/>
      <c r="J11" s="2579"/>
      <c r="K11" s="2579"/>
      <c r="L11" s="2579"/>
      <c r="M11" s="2579"/>
      <c r="N11" s="2579"/>
      <c r="O11" s="2579"/>
    </row>
    <row r="12" spans="1:15" s="2463" customFormat="1" ht="13.5">
      <c r="A12" s="4892"/>
      <c r="B12" s="4893"/>
      <c r="C12" s="2606" t="s">
        <v>463</v>
      </c>
      <c r="D12" s="2517" t="s">
        <v>573</v>
      </c>
      <c r="E12" s="2517" t="s">
        <v>2118</v>
      </c>
      <c r="F12" s="2646" t="s">
        <v>2117</v>
      </c>
      <c r="G12" s="2517" t="s">
        <v>244</v>
      </c>
      <c r="H12" s="2517" t="s">
        <v>652</v>
      </c>
      <c r="I12" s="2579"/>
      <c r="J12" s="2579"/>
      <c r="K12" s="2579"/>
      <c r="L12" s="2579"/>
      <c r="M12" s="2579"/>
      <c r="N12" s="2579"/>
      <c r="O12" s="2579"/>
    </row>
    <row r="13" spans="1:15" s="2463" customFormat="1" ht="13.5">
      <c r="A13" s="4894"/>
      <c r="B13" s="4895"/>
      <c r="C13" s="2604"/>
      <c r="D13" s="2602" t="s">
        <v>460</v>
      </c>
      <c r="E13" s="2602" t="s">
        <v>460</v>
      </c>
      <c r="F13" s="2645" t="s">
        <v>459</v>
      </c>
      <c r="G13" s="2623"/>
      <c r="H13" s="2602" t="s">
        <v>458</v>
      </c>
      <c r="I13" s="2579"/>
      <c r="J13" s="2579"/>
      <c r="K13" s="2579"/>
      <c r="L13" s="2579"/>
      <c r="M13" s="2579"/>
      <c r="N13" s="2579"/>
      <c r="O13" s="2579"/>
    </row>
    <row r="14" spans="1:15" s="1404" customFormat="1" ht="15.6" customHeight="1">
      <c r="A14" s="2601" t="s">
        <v>2011</v>
      </c>
      <c r="B14" s="2605"/>
      <c r="C14" s="2515"/>
      <c r="D14" s="2513"/>
      <c r="E14" s="2513"/>
      <c r="F14" s="2513"/>
      <c r="G14" s="2603"/>
      <c r="H14" s="2513"/>
      <c r="I14" s="2616"/>
      <c r="J14" s="2616"/>
      <c r="K14" s="2616"/>
      <c r="L14" s="2616"/>
      <c r="M14" s="2616"/>
      <c r="N14" s="2616"/>
      <c r="O14" s="2616"/>
    </row>
    <row r="15" spans="1:15" s="1404" customFormat="1" ht="15.6" customHeight="1">
      <c r="A15" s="2601" t="s">
        <v>407</v>
      </c>
      <c r="B15" s="2644"/>
      <c r="C15" s="1434"/>
      <c r="D15" s="2598">
        <f>SUM(D16:D24)</f>
        <v>2778393.89</v>
      </c>
      <c r="E15" s="2598">
        <f>SUM(E16:E24)</f>
        <v>230360.04</v>
      </c>
      <c r="F15" s="2598">
        <f>SUM(F16:F24)</f>
        <v>1989639.96</v>
      </c>
      <c r="G15" s="2598">
        <f>SUM(G16:G24)</f>
        <v>2220000</v>
      </c>
      <c r="H15" s="2598">
        <f>SUM(H16:H24)</f>
        <v>2220000</v>
      </c>
      <c r="I15" s="2616"/>
      <c r="J15" s="2616"/>
      <c r="K15" s="2616"/>
      <c r="L15" s="2616"/>
      <c r="M15" s="2616"/>
      <c r="N15" s="2616"/>
      <c r="O15" s="2616"/>
    </row>
    <row r="16" spans="1:15" s="1404" customFormat="1" ht="20.100000000000001" customHeight="1">
      <c r="A16" s="2591" t="s">
        <v>674</v>
      </c>
      <c r="B16" s="1519"/>
      <c r="C16" s="735" t="s">
        <v>396</v>
      </c>
      <c r="D16" s="1428">
        <v>179934.93</v>
      </c>
      <c r="E16" s="1427">
        <f>[12]iec!$E$15</f>
        <v>39112.04</v>
      </c>
      <c r="F16" s="1454">
        <f>G16-E16</f>
        <v>160887.96</v>
      </c>
      <c r="G16" s="1427">
        <v>200000</v>
      </c>
      <c r="H16" s="1427">
        <v>200000</v>
      </c>
      <c r="I16" s="2616"/>
      <c r="J16" s="2616"/>
      <c r="K16" s="2616"/>
      <c r="L16" s="2616"/>
      <c r="M16" s="2616"/>
      <c r="N16" s="2616"/>
      <c r="O16" s="2616"/>
    </row>
    <row r="17" spans="1:15" s="1404" customFormat="1" ht="20.100000000000001" customHeight="1">
      <c r="A17" s="2591" t="s">
        <v>701</v>
      </c>
      <c r="B17" s="1519"/>
      <c r="C17" s="735" t="s">
        <v>394</v>
      </c>
      <c r="D17" s="1428">
        <v>0</v>
      </c>
      <c r="E17" s="1427">
        <v>0</v>
      </c>
      <c r="F17" s="1454">
        <v>9000</v>
      </c>
      <c r="G17" s="1427">
        <v>9000</v>
      </c>
      <c r="H17" s="1427">
        <v>9000</v>
      </c>
      <c r="I17" s="2616"/>
      <c r="J17" s="2616"/>
      <c r="K17" s="2616"/>
      <c r="L17" s="2616"/>
      <c r="M17" s="2616"/>
      <c r="N17" s="2616"/>
      <c r="O17" s="2616"/>
    </row>
    <row r="18" spans="1:15" s="1404" customFormat="1" ht="20.100000000000001" customHeight="1">
      <c r="A18" s="2591" t="s">
        <v>1950</v>
      </c>
      <c r="B18" s="1519"/>
      <c r="C18" s="735" t="s">
        <v>1949</v>
      </c>
      <c r="D18" s="1428">
        <f>[13]iec!$E$17</f>
        <v>502429.96</v>
      </c>
      <c r="E18" s="1427">
        <f>[12]iec!$E$17</f>
        <v>136350</v>
      </c>
      <c r="F18" s="1454">
        <f>G18-E18</f>
        <v>418050</v>
      </c>
      <c r="G18" s="1427">
        <v>554400</v>
      </c>
      <c r="H18" s="1427">
        <v>554400</v>
      </c>
      <c r="I18" s="2616"/>
      <c r="J18" s="2616"/>
      <c r="K18" s="2616"/>
      <c r="L18" s="2616"/>
      <c r="M18" s="2616"/>
      <c r="N18" s="2616"/>
      <c r="O18" s="2616"/>
    </row>
    <row r="19" spans="1:15" s="1404" customFormat="1" ht="20.100000000000001" customHeight="1">
      <c r="A19" s="2643" t="s">
        <v>373</v>
      </c>
      <c r="B19" s="2621"/>
      <c r="C19" s="350"/>
      <c r="D19" s="1428"/>
      <c r="E19" s="1427"/>
      <c r="F19" s="1454"/>
      <c r="G19" s="1427"/>
      <c r="H19" s="1427"/>
      <c r="I19" s="2616"/>
      <c r="J19" s="2616"/>
      <c r="K19" s="2616"/>
      <c r="L19" s="2616"/>
      <c r="M19" s="2616"/>
      <c r="N19" s="2616"/>
      <c r="O19" s="2616"/>
    </row>
    <row r="20" spans="1:15" s="1404" customFormat="1" ht="20.100000000000001" customHeight="1">
      <c r="A20" s="2591" t="s">
        <v>2130</v>
      </c>
      <c r="B20" s="2621"/>
      <c r="C20" s="735" t="s">
        <v>376</v>
      </c>
      <c r="D20" s="1428">
        <v>23785</v>
      </c>
      <c r="E20" s="1427">
        <v>6155</v>
      </c>
      <c r="F20" s="1454">
        <f>SUM(G20-E20)</f>
        <v>93845</v>
      </c>
      <c r="G20" s="1427">
        <v>100000</v>
      </c>
      <c r="H20" s="1427">
        <v>100000</v>
      </c>
      <c r="I20" s="2616"/>
      <c r="J20" s="2616"/>
      <c r="K20" s="2616"/>
      <c r="L20" s="2616"/>
      <c r="M20" s="2616"/>
      <c r="N20" s="2616"/>
      <c r="O20" s="2616"/>
    </row>
    <row r="21" spans="1:15" s="1404" customFormat="1" ht="20.100000000000001" customHeight="1">
      <c r="A21" s="1560" t="s">
        <v>2129</v>
      </c>
      <c r="B21" s="2621"/>
      <c r="C21" s="735"/>
      <c r="D21" s="1428"/>
      <c r="E21" s="1427"/>
      <c r="F21" s="1454"/>
      <c r="G21" s="1427"/>
      <c r="H21" s="1427"/>
      <c r="I21" s="2616"/>
      <c r="J21" s="2616"/>
      <c r="K21" s="2616"/>
      <c r="L21" s="2616"/>
      <c r="M21" s="2616"/>
      <c r="N21" s="2616"/>
      <c r="O21" s="2616"/>
    </row>
    <row r="22" spans="1:15" s="1404" customFormat="1" ht="20.100000000000001" customHeight="1">
      <c r="A22" s="2642"/>
      <c r="B22" s="2641" t="s">
        <v>2128</v>
      </c>
      <c r="C22" s="531" t="s">
        <v>371</v>
      </c>
      <c r="D22" s="1428">
        <v>86569</v>
      </c>
      <c r="E22" s="1427">
        <f>[12]iec!$E$20</f>
        <v>38493</v>
      </c>
      <c r="F22" s="1454">
        <f>G22-E22</f>
        <v>31507</v>
      </c>
      <c r="G22" s="1427">
        <v>70000</v>
      </c>
      <c r="H22" s="1427">
        <v>70000</v>
      </c>
      <c r="I22" s="2616"/>
      <c r="J22" s="2616"/>
      <c r="K22" s="2616"/>
      <c r="L22" s="2616"/>
      <c r="M22" s="2616"/>
      <c r="N22" s="2616"/>
      <c r="O22" s="2616"/>
    </row>
    <row r="23" spans="1:15" s="1404" customFormat="1" ht="20.100000000000001" customHeight="1">
      <c r="A23" s="2591" t="s">
        <v>368</v>
      </c>
      <c r="B23" s="1519"/>
      <c r="C23" s="2590" t="s">
        <v>367</v>
      </c>
      <c r="D23" s="1428">
        <v>1985675</v>
      </c>
      <c r="E23" s="1427">
        <v>10250</v>
      </c>
      <c r="F23" s="1454">
        <f>SUM(G23-E23)</f>
        <v>1276350</v>
      </c>
      <c r="G23" s="1427">
        <v>1286600</v>
      </c>
      <c r="H23" s="1424">
        <v>1286600</v>
      </c>
      <c r="I23" s="2616"/>
      <c r="J23" s="2616"/>
      <c r="K23" s="2616"/>
      <c r="L23" s="2616"/>
      <c r="M23" s="2616"/>
      <c r="N23" s="2616"/>
      <c r="O23" s="2616"/>
    </row>
    <row r="24" spans="1:15" s="1404" customFormat="1" ht="20.100000000000001" customHeight="1">
      <c r="A24" s="2591"/>
      <c r="B24" s="1519"/>
      <c r="C24" s="2590"/>
      <c r="D24" s="1428"/>
      <c r="E24" s="1427"/>
      <c r="F24" s="1454"/>
      <c r="G24" s="1427"/>
      <c r="H24" s="1427"/>
      <c r="I24" s="2616"/>
      <c r="J24" s="2616"/>
      <c r="K24" s="2616"/>
      <c r="L24" s="2616"/>
      <c r="M24" s="2616"/>
      <c r="N24" s="2616"/>
      <c r="O24" s="2616"/>
    </row>
    <row r="25" spans="1:15" s="1404" customFormat="1" ht="20.100000000000001" customHeight="1">
      <c r="A25" s="2591"/>
      <c r="B25" s="1519"/>
      <c r="C25" s="2590"/>
      <c r="D25" s="1428"/>
      <c r="E25" s="1427"/>
      <c r="F25" s="1454"/>
      <c r="G25" s="1427"/>
      <c r="H25" s="1427"/>
      <c r="I25" s="2616"/>
      <c r="J25" s="2616"/>
      <c r="K25" s="2616"/>
      <c r="L25" s="2616"/>
      <c r="M25" s="2616"/>
      <c r="N25" s="2616"/>
      <c r="O25" s="2616"/>
    </row>
    <row r="26" spans="1:15" s="1404" customFormat="1" ht="20.100000000000001" customHeight="1">
      <c r="A26" s="2591"/>
      <c r="B26" s="1519"/>
      <c r="C26" s="2590"/>
      <c r="D26" s="1428"/>
      <c r="E26" s="1427"/>
      <c r="F26" s="1454"/>
      <c r="G26" s="1427"/>
      <c r="H26" s="1427"/>
      <c r="I26" s="2616"/>
      <c r="J26" s="2616"/>
      <c r="K26" s="2616"/>
      <c r="L26" s="2616"/>
      <c r="M26" s="2616"/>
      <c r="N26" s="2616"/>
      <c r="O26" s="2616"/>
    </row>
    <row r="27" spans="1:15" s="1404" customFormat="1" ht="20.100000000000001" customHeight="1" thickBot="1">
      <c r="A27" s="2480" t="s">
        <v>366</v>
      </c>
      <c r="B27" s="2584"/>
      <c r="C27" s="2583"/>
      <c r="D27" s="2480">
        <f>SUM(D16:D26)</f>
        <v>2778393.89</v>
      </c>
      <c r="E27" s="2480">
        <f>SUM(E16:E26)</f>
        <v>230360.04</v>
      </c>
      <c r="F27" s="2480">
        <f>SUM(F16:F26)</f>
        <v>1989639.96</v>
      </c>
      <c r="G27" s="2480">
        <f>SUM(G16:G26)</f>
        <v>2220000</v>
      </c>
      <c r="H27" s="2480">
        <f>SUM(H16:H26)</f>
        <v>2220000</v>
      </c>
      <c r="I27" s="2640"/>
      <c r="J27" s="2616"/>
      <c r="K27" s="2616"/>
      <c r="L27" s="2616"/>
      <c r="M27" s="2616"/>
      <c r="N27" s="2616"/>
      <c r="O27" s="2616"/>
    </row>
    <row r="28" spans="1:15" s="2288" customFormat="1" ht="19.5" customHeight="1" outlineLevel="1" thickTop="1">
      <c r="A28" s="1403" t="s">
        <v>2112</v>
      </c>
      <c r="B28" s="1390"/>
      <c r="C28" s="1403" t="s">
        <v>2111</v>
      </c>
      <c r="D28" s="1390"/>
      <c r="F28" s="2582" t="s">
        <v>2110</v>
      </c>
      <c r="G28" s="1403"/>
      <c r="H28" s="1390"/>
    </row>
    <row r="29" spans="1:15" s="2288" customFormat="1" ht="15.95" customHeight="1" outlineLevel="1">
      <c r="A29" s="1403"/>
      <c r="B29" s="1390"/>
      <c r="C29" s="1403"/>
      <c r="D29" s="1390"/>
      <c r="E29" s="2471"/>
      <c r="F29" s="2471"/>
      <c r="G29" s="1403"/>
      <c r="H29" s="1390"/>
    </row>
    <row r="30" spans="1:15" s="2288" customFormat="1" ht="10.5" customHeight="1" outlineLevel="1">
      <c r="A30" s="1390"/>
      <c r="B30" s="1403"/>
      <c r="C30" s="2581"/>
      <c r="D30" s="1403"/>
      <c r="E30" s="1403"/>
      <c r="F30" s="1403"/>
      <c r="G30" s="1403"/>
      <c r="H30" s="1390"/>
    </row>
    <row r="31" spans="1:15" s="2288" customFormat="1" ht="15.95" customHeight="1" outlineLevel="1">
      <c r="A31" s="4873" t="s">
        <v>2109</v>
      </c>
      <c r="B31" s="4873"/>
      <c r="C31" s="4760" t="s">
        <v>360</v>
      </c>
      <c r="D31" s="4760"/>
      <c r="E31" s="4760"/>
      <c r="F31" s="4741" t="s">
        <v>359</v>
      </c>
      <c r="G31" s="4741"/>
      <c r="H31" s="4741"/>
    </row>
    <row r="32" spans="1:15" s="2288" customFormat="1" ht="15.75" customHeight="1" outlineLevel="1">
      <c r="A32" s="2580"/>
      <c r="B32" s="2464" t="s">
        <v>2108</v>
      </c>
      <c r="C32" s="4754" t="s">
        <v>357</v>
      </c>
      <c r="D32" s="4754"/>
      <c r="E32" s="4754"/>
      <c r="F32" s="4868" t="s">
        <v>356</v>
      </c>
      <c r="G32" s="4868"/>
      <c r="H32" s="4868"/>
    </row>
    <row r="33" spans="1:15" s="2288" customFormat="1" ht="12" customHeight="1" outlineLevel="1">
      <c r="A33" s="4878"/>
      <c r="B33" s="4878"/>
      <c r="C33" s="4754"/>
      <c r="D33" s="4754"/>
      <c r="E33" s="4754"/>
      <c r="F33" s="1406"/>
      <c r="G33" s="1406"/>
      <c r="H33" s="1406"/>
    </row>
    <row r="34" spans="1:15" s="2463" customFormat="1" ht="12.75">
      <c r="B34" s="2464"/>
      <c r="D34" s="2465"/>
      <c r="E34" s="2465"/>
      <c r="F34" s="2465"/>
      <c r="G34" s="2465"/>
      <c r="H34" s="2465"/>
      <c r="I34" s="2579"/>
      <c r="J34" s="2579"/>
      <c r="K34" s="2579"/>
      <c r="L34" s="2579"/>
      <c r="M34" s="2579"/>
      <c r="N34" s="2579"/>
      <c r="O34" s="2579"/>
    </row>
    <row r="35" spans="1:15" s="2463" customFormat="1" ht="12.75">
      <c r="B35" s="2464"/>
      <c r="D35" s="2465"/>
      <c r="E35" s="2465"/>
      <c r="F35" s="2465"/>
      <c r="G35" s="2465"/>
      <c r="H35" s="2465"/>
      <c r="I35" s="2579"/>
      <c r="J35" s="2579"/>
      <c r="K35" s="2579"/>
      <c r="L35" s="2579"/>
      <c r="M35" s="2579"/>
      <c r="N35" s="2579"/>
      <c r="O35" s="2579"/>
    </row>
    <row r="36" spans="1:15" s="2463" customFormat="1" ht="12.75">
      <c r="B36" s="2464"/>
      <c r="D36" s="2465"/>
      <c r="E36" s="2465"/>
      <c r="F36" s="2465"/>
      <c r="G36" s="2465"/>
      <c r="H36" s="2465"/>
      <c r="I36" s="2579"/>
      <c r="J36" s="2579"/>
      <c r="K36" s="2579"/>
      <c r="L36" s="2579"/>
      <c r="M36" s="2579"/>
      <c r="N36" s="2579"/>
      <c r="O36" s="2579"/>
    </row>
    <row r="37" spans="1:15" s="2463" customFormat="1" ht="12.75">
      <c r="B37" s="2464"/>
      <c r="D37" s="2465"/>
      <c r="E37" s="2465"/>
      <c r="F37" s="2465"/>
      <c r="G37" s="2465"/>
      <c r="H37" s="2465"/>
      <c r="I37" s="2579"/>
      <c r="J37" s="2579"/>
      <c r="K37" s="2579"/>
      <c r="L37" s="2579"/>
      <c r="M37" s="2579"/>
      <c r="N37" s="2579"/>
      <c r="O37" s="2579"/>
    </row>
    <row r="38" spans="1:15" s="2463" customFormat="1" ht="12.75">
      <c r="B38" s="2464"/>
      <c r="D38" s="2465"/>
      <c r="E38" s="2465"/>
      <c r="F38" s="2465"/>
      <c r="G38" s="2465"/>
      <c r="H38" s="2465"/>
      <c r="I38" s="2579"/>
      <c r="J38" s="2579"/>
      <c r="K38" s="2579"/>
      <c r="L38" s="2579"/>
      <c r="M38" s="2579"/>
      <c r="N38" s="2579"/>
      <c r="O38" s="2579"/>
    </row>
    <row r="39" spans="1:15" s="2463" customFormat="1" ht="12.75">
      <c r="B39" s="2464"/>
      <c r="D39" s="2465"/>
      <c r="E39" s="2465"/>
      <c r="F39" s="2465"/>
      <c r="G39" s="2465"/>
      <c r="H39" s="2465"/>
      <c r="I39" s="2579"/>
      <c r="J39" s="2579"/>
      <c r="K39" s="2579"/>
      <c r="L39" s="2579"/>
      <c r="M39" s="2579"/>
      <c r="N39" s="2579"/>
      <c r="O39" s="2579"/>
    </row>
    <row r="40" spans="1:15" s="2463" customFormat="1" ht="12.75">
      <c r="B40" s="2464"/>
      <c r="D40" s="2465"/>
      <c r="E40" s="2465"/>
      <c r="F40" s="2465"/>
      <c r="G40" s="2465"/>
      <c r="H40" s="2465"/>
      <c r="I40" s="2579"/>
      <c r="J40" s="2579"/>
      <c r="K40" s="2579"/>
      <c r="L40" s="2579"/>
      <c r="M40" s="2579"/>
      <c r="N40" s="2579"/>
      <c r="O40" s="2579"/>
    </row>
    <row r="41" spans="1:15" s="2463" customFormat="1" ht="12.75">
      <c r="B41" s="2464"/>
      <c r="D41" s="2465"/>
      <c r="E41" s="2465"/>
      <c r="F41" s="2465"/>
      <c r="G41" s="2465"/>
      <c r="H41" s="2465"/>
      <c r="I41" s="2579"/>
      <c r="J41" s="2579"/>
      <c r="K41" s="2579"/>
      <c r="L41" s="2579"/>
      <c r="M41" s="2579"/>
      <c r="N41" s="2579"/>
      <c r="O41" s="2579"/>
    </row>
    <row r="42" spans="1:15" s="2463" customFormat="1" ht="12.75">
      <c r="B42" s="2464"/>
      <c r="D42" s="2465"/>
      <c r="E42" s="2465"/>
      <c r="F42" s="2465"/>
      <c r="G42" s="2465"/>
      <c r="H42" s="2465"/>
      <c r="I42" s="2579"/>
      <c r="J42" s="2579"/>
      <c r="K42" s="2579"/>
      <c r="L42" s="2579"/>
      <c r="M42" s="2579"/>
      <c r="N42" s="2579"/>
      <c r="O42" s="2579"/>
    </row>
    <row r="43" spans="1:15" s="2463" customFormat="1" ht="12.75">
      <c r="B43" s="2464"/>
      <c r="D43" s="2465"/>
      <c r="E43" s="2465"/>
      <c r="F43" s="2465"/>
      <c r="G43" s="2465"/>
      <c r="H43" s="2465"/>
      <c r="I43" s="2579"/>
      <c r="J43" s="2579"/>
      <c r="K43" s="2579"/>
      <c r="L43" s="2579"/>
      <c r="M43" s="2579"/>
      <c r="N43" s="2579"/>
      <c r="O43" s="2579"/>
    </row>
    <row r="44" spans="1:15" s="2463" customFormat="1" ht="12.75">
      <c r="B44" s="2464"/>
      <c r="D44" s="2465"/>
      <c r="E44" s="2465"/>
      <c r="F44" s="2465"/>
      <c r="G44" s="2465"/>
      <c r="H44" s="2465"/>
      <c r="I44" s="2579"/>
      <c r="J44" s="2579"/>
      <c r="K44" s="2579"/>
      <c r="L44" s="2579"/>
      <c r="M44" s="2579"/>
      <c r="N44" s="2579"/>
      <c r="O44" s="2579"/>
    </row>
    <row r="45" spans="1:15" s="2463" customFormat="1" ht="12.75">
      <c r="A45" s="2531"/>
      <c r="B45" s="2533"/>
      <c r="C45" s="2531"/>
      <c r="D45" s="2566"/>
      <c r="E45" s="2566"/>
      <c r="F45" s="2566"/>
      <c r="G45" s="2566"/>
      <c r="H45" s="2566"/>
      <c r="I45" s="2579"/>
      <c r="J45" s="2579"/>
      <c r="K45" s="2579"/>
      <c r="L45" s="2579"/>
      <c r="M45" s="2579"/>
      <c r="N45" s="2579"/>
      <c r="O45" s="2579"/>
    </row>
    <row r="46" spans="1:15">
      <c r="A46" s="4876"/>
      <c r="B46" s="4876"/>
      <c r="C46" s="4876"/>
      <c r="D46" s="4876"/>
      <c r="E46" s="4876"/>
      <c r="F46" s="4876"/>
      <c r="G46" s="4876"/>
      <c r="H46" s="4876"/>
    </row>
    <row r="47" spans="1:15">
      <c r="A47" s="4877"/>
      <c r="B47" s="4877"/>
      <c r="C47" s="4877"/>
      <c r="D47" s="4877"/>
      <c r="E47" s="4877"/>
      <c r="F47" s="4877"/>
      <c r="G47" s="4877"/>
      <c r="H47" s="4877"/>
    </row>
    <row r="48" spans="1:15">
      <c r="A48" s="4876"/>
      <c r="B48" s="4876"/>
      <c r="C48" s="4876"/>
      <c r="D48" s="4876"/>
      <c r="E48" s="4876"/>
      <c r="F48" s="4876"/>
      <c r="G48" s="4876"/>
      <c r="H48" s="4876"/>
    </row>
    <row r="49" spans="1:15">
      <c r="A49" s="4877"/>
      <c r="B49" s="4877"/>
      <c r="C49" s="4877"/>
      <c r="D49" s="4877"/>
      <c r="E49" s="4877"/>
      <c r="F49" s="4877"/>
      <c r="G49" s="4877"/>
      <c r="H49" s="4877"/>
    </row>
    <row r="50" spans="1:15">
      <c r="A50" s="2529"/>
      <c r="B50" s="2529"/>
      <c r="C50" s="2529"/>
      <c r="D50" s="2529"/>
      <c r="E50" s="2529"/>
      <c r="F50" s="2529"/>
      <c r="G50" s="2529"/>
      <c r="H50" s="2529"/>
    </row>
    <row r="51" spans="1:15" s="2463" customFormat="1">
      <c r="A51" s="2568"/>
      <c r="B51" s="2567"/>
      <c r="C51" s="2529"/>
      <c r="D51" s="2566"/>
      <c r="E51" s="2566"/>
      <c r="F51" s="2566"/>
      <c r="G51" s="2566"/>
      <c r="H51" s="2566"/>
      <c r="I51" s="2579"/>
      <c r="J51" s="2579"/>
      <c r="K51" s="2579"/>
      <c r="L51" s="2579"/>
      <c r="M51" s="2579"/>
      <c r="N51" s="2579"/>
      <c r="O51" s="2579"/>
    </row>
    <row r="52" spans="1:15" s="2463" customFormat="1" ht="12.75">
      <c r="A52" s="1269"/>
      <c r="B52" s="1269"/>
      <c r="C52" s="2542"/>
      <c r="D52" s="2541"/>
      <c r="E52" s="2561"/>
      <c r="F52" s="2540"/>
      <c r="G52" s="2565"/>
      <c r="H52" s="2561"/>
      <c r="I52" s="2579"/>
      <c r="J52" s="2579"/>
      <c r="K52" s="2579"/>
      <c r="L52" s="2579"/>
      <c r="M52" s="2579"/>
      <c r="N52" s="2579"/>
      <c r="O52" s="2579"/>
    </row>
    <row r="53" spans="1:15" s="2463" customFormat="1" ht="23.25">
      <c r="A53" s="2571"/>
      <c r="B53" s="2571"/>
      <c r="C53" s="2542"/>
      <c r="D53" s="2541"/>
      <c r="E53" s="2561"/>
      <c r="F53" s="2540"/>
      <c r="G53" s="2562"/>
      <c r="H53" s="2561"/>
      <c r="I53" s="2579"/>
      <c r="J53" s="2579"/>
      <c r="K53" s="2579"/>
      <c r="L53" s="2579"/>
      <c r="M53" s="2579"/>
      <c r="N53" s="2579"/>
      <c r="O53" s="2579"/>
    </row>
    <row r="54" spans="1:15" s="2463" customFormat="1" ht="12.75">
      <c r="A54" s="4879"/>
      <c r="B54" s="4879"/>
      <c r="C54" s="2559"/>
      <c r="D54" s="2560"/>
      <c r="E54" s="4880"/>
      <c r="F54" s="4880"/>
      <c r="G54" s="4880"/>
      <c r="H54" s="2557"/>
      <c r="I54" s="2579"/>
      <c r="J54" s="2579"/>
      <c r="K54" s="2579"/>
      <c r="L54" s="2579"/>
      <c r="M54" s="2579"/>
      <c r="N54" s="2579"/>
      <c r="O54" s="2579"/>
    </row>
    <row r="55" spans="1:15" s="2463" customFormat="1" ht="12.75">
      <c r="A55" s="4879"/>
      <c r="B55" s="4879"/>
      <c r="C55" s="2559"/>
      <c r="D55" s="2558"/>
      <c r="E55" s="2558"/>
      <c r="F55" s="2558"/>
      <c r="G55" s="2558"/>
      <c r="H55" s="2558"/>
      <c r="I55" s="2579"/>
      <c r="J55" s="2579"/>
      <c r="K55" s="2579"/>
      <c r="L55" s="2579"/>
      <c r="M55" s="2579"/>
      <c r="N55" s="2579"/>
      <c r="O55" s="2579"/>
    </row>
    <row r="56" spans="1:15" s="2463" customFormat="1" ht="12.75">
      <c r="A56" s="4879"/>
      <c r="B56" s="4879"/>
      <c r="C56" s="2557"/>
      <c r="D56" s="2555"/>
      <c r="E56" s="2555"/>
      <c r="F56" s="2555"/>
      <c r="G56" s="2556"/>
      <c r="H56" s="2555"/>
      <c r="I56" s="2579"/>
      <c r="J56" s="2579"/>
      <c r="K56" s="2579"/>
      <c r="L56" s="2579"/>
      <c r="M56" s="2579"/>
      <c r="N56" s="2579"/>
      <c r="O56" s="2579"/>
    </row>
    <row r="57" spans="1:15" s="2463" customFormat="1" ht="12.75">
      <c r="A57" s="2554"/>
      <c r="B57" s="2553"/>
      <c r="C57" s="2552"/>
      <c r="D57" s="2551"/>
      <c r="E57" s="2551"/>
      <c r="F57" s="2551"/>
      <c r="G57" s="2551"/>
      <c r="H57" s="2551"/>
      <c r="I57" s="2579"/>
      <c r="J57" s="2579"/>
      <c r="K57" s="2579"/>
      <c r="L57" s="2579"/>
      <c r="M57" s="2579"/>
      <c r="N57" s="2579"/>
      <c r="O57" s="2579"/>
    </row>
    <row r="58" spans="1:15" s="2463" customFormat="1" ht="12.75">
      <c r="A58" s="2549"/>
      <c r="B58" s="2549"/>
      <c r="C58" s="2545"/>
      <c r="D58" s="2548"/>
      <c r="E58" s="2548"/>
      <c r="F58" s="2540"/>
      <c r="G58" s="2548"/>
      <c r="H58" s="2548"/>
      <c r="I58" s="2579"/>
      <c r="J58" s="2579"/>
      <c r="K58" s="2579"/>
      <c r="L58" s="2579"/>
      <c r="M58" s="2579"/>
      <c r="N58" s="2579"/>
      <c r="O58" s="2579"/>
    </row>
    <row r="59" spans="1:15" s="2463" customFormat="1" ht="12.75">
      <c r="A59" s="2549"/>
      <c r="B59" s="2549"/>
      <c r="C59" s="2545"/>
      <c r="D59" s="2548"/>
      <c r="E59" s="2548"/>
      <c r="F59" s="2540"/>
      <c r="G59" s="2548"/>
      <c r="H59" s="2548"/>
      <c r="I59" s="2579"/>
      <c r="J59" s="2579"/>
      <c r="K59" s="2579"/>
      <c r="L59" s="2579"/>
      <c r="M59" s="2579"/>
      <c r="N59" s="2579"/>
      <c r="O59" s="2579"/>
    </row>
    <row r="60" spans="1:15" s="2463" customFormat="1" ht="12.75">
      <c r="A60" s="2546"/>
      <c r="B60" s="1269"/>
      <c r="C60" s="2545"/>
      <c r="D60" s="2541"/>
      <c r="E60" s="2544"/>
      <c r="F60" s="2540"/>
      <c r="G60" s="2544"/>
      <c r="H60" s="2544"/>
      <c r="I60" s="2579"/>
      <c r="J60" s="2579"/>
      <c r="K60" s="2579"/>
      <c r="L60" s="2579"/>
      <c r="M60" s="2579"/>
      <c r="N60" s="2579"/>
      <c r="O60" s="2579"/>
    </row>
    <row r="61" spans="1:15" s="2463" customFormat="1" ht="12.75">
      <c r="A61" s="2549"/>
      <c r="B61" s="2549"/>
      <c r="C61" s="2545"/>
      <c r="D61" s="2541"/>
      <c r="E61" s="2544"/>
      <c r="F61" s="2540"/>
      <c r="G61" s="2544"/>
      <c r="H61" s="2544"/>
      <c r="I61" s="2579"/>
      <c r="J61" s="2579"/>
      <c r="K61" s="2579"/>
      <c r="L61" s="2579"/>
      <c r="M61" s="2579"/>
      <c r="N61" s="2579"/>
      <c r="O61" s="2579"/>
    </row>
    <row r="62" spans="1:15" s="2463" customFormat="1" ht="12.75">
      <c r="A62" s="2546"/>
      <c r="B62" s="1269"/>
      <c r="C62" s="2542"/>
      <c r="D62" s="2541"/>
      <c r="E62" s="2544"/>
      <c r="F62" s="2540"/>
      <c r="G62" s="2544"/>
      <c r="H62" s="2544"/>
      <c r="I62" s="2579"/>
      <c r="J62" s="2579"/>
      <c r="K62" s="2579"/>
      <c r="L62" s="2579"/>
      <c r="M62" s="2579"/>
      <c r="N62" s="2579"/>
      <c r="O62" s="2579"/>
    </row>
    <row r="63" spans="1:15" s="2463" customFormat="1" ht="12.75">
      <c r="A63" s="2549"/>
      <c r="B63" s="2549"/>
      <c r="C63" s="2542"/>
      <c r="D63" s="2541"/>
      <c r="E63" s="2544"/>
      <c r="F63" s="2540"/>
      <c r="G63" s="2544"/>
      <c r="H63" s="2544"/>
      <c r="I63" s="2579"/>
      <c r="J63" s="2579"/>
      <c r="K63" s="2579"/>
      <c r="L63" s="2579"/>
      <c r="M63" s="2579"/>
      <c r="N63" s="2579"/>
      <c r="O63" s="2579"/>
    </row>
    <row r="64" spans="1:15" s="2463" customFormat="1" ht="12.75">
      <c r="A64" s="2546"/>
      <c r="B64" s="1269"/>
      <c r="C64" s="2545"/>
      <c r="D64" s="2541"/>
      <c r="E64" s="2544"/>
      <c r="F64" s="2540"/>
      <c r="G64" s="2544"/>
      <c r="H64" s="2544"/>
      <c r="I64" s="2579"/>
      <c r="J64" s="2579"/>
      <c r="K64" s="2579"/>
      <c r="L64" s="2579"/>
      <c r="M64" s="2579"/>
      <c r="N64" s="2579"/>
      <c r="O64" s="2579"/>
    </row>
    <row r="65" spans="1:15" s="2463" customFormat="1" ht="12.75">
      <c r="A65" s="2547"/>
      <c r="B65" s="2546"/>
      <c r="C65" s="2545"/>
      <c r="D65" s="2541"/>
      <c r="E65" s="2544"/>
      <c r="F65" s="2540"/>
      <c r="G65" s="2544"/>
      <c r="H65" s="2544"/>
      <c r="I65" s="2579"/>
      <c r="J65" s="2579"/>
      <c r="K65" s="2579"/>
      <c r="L65" s="2579"/>
      <c r="M65" s="2579"/>
      <c r="N65" s="2579"/>
      <c r="O65" s="2579"/>
    </row>
    <row r="66" spans="1:15" s="2463" customFormat="1" ht="12.75">
      <c r="A66" s="2543"/>
      <c r="B66" s="2543"/>
      <c r="C66" s="2542"/>
      <c r="D66" s="2541"/>
      <c r="E66" s="2539"/>
      <c r="F66" s="2540"/>
      <c r="G66" s="2539"/>
      <c r="H66" s="2539"/>
      <c r="I66" s="2579"/>
      <c r="J66" s="2579"/>
      <c r="K66" s="2579"/>
      <c r="L66" s="2579"/>
      <c r="M66" s="2579"/>
      <c r="N66" s="2579"/>
      <c r="O66" s="2579"/>
    </row>
    <row r="67" spans="1:15" s="2463" customFormat="1" ht="12.75">
      <c r="A67" s="2538"/>
      <c r="B67" s="2538"/>
      <c r="C67" s="2537"/>
      <c r="D67" s="2536"/>
      <c r="E67" s="2536"/>
      <c r="F67" s="2536"/>
      <c r="G67" s="2536"/>
      <c r="H67" s="2536"/>
      <c r="I67" s="2579"/>
      <c r="J67" s="2579"/>
      <c r="K67" s="2579"/>
      <c r="L67" s="2579"/>
      <c r="M67" s="2579"/>
      <c r="N67" s="2579"/>
      <c r="O67" s="2579"/>
    </row>
    <row r="68" spans="1:15" s="2463" customFormat="1" ht="12.75">
      <c r="A68" s="2538"/>
      <c r="B68" s="2538"/>
      <c r="C68" s="2537"/>
      <c r="D68" s="2536"/>
      <c r="E68" s="2536"/>
      <c r="F68" s="2536"/>
      <c r="G68" s="2536"/>
      <c r="H68" s="2536"/>
      <c r="I68" s="2579"/>
      <c r="J68" s="2579"/>
      <c r="K68" s="2579"/>
      <c r="L68" s="2579"/>
      <c r="M68" s="2579"/>
      <c r="N68" s="2579"/>
      <c r="O68" s="2579"/>
    </row>
    <row r="69" spans="1:15" s="2463" customFormat="1">
      <c r="A69" s="1269"/>
      <c r="B69" s="2529"/>
      <c r="C69" s="2535"/>
      <c r="D69" s="2529"/>
      <c r="E69" s="4877"/>
      <c r="F69" s="4877"/>
      <c r="G69" s="1269"/>
      <c r="H69" s="2529"/>
      <c r="I69" s="2579"/>
      <c r="J69" s="2579"/>
      <c r="K69" s="2579"/>
      <c r="L69" s="2579"/>
      <c r="M69" s="2579"/>
      <c r="N69" s="2579"/>
      <c r="O69" s="2579"/>
    </row>
    <row r="70" spans="1:15" s="2463" customFormat="1">
      <c r="A70" s="2529"/>
      <c r="B70" s="1269"/>
      <c r="C70" s="2535"/>
      <c r="D70" s="1269"/>
      <c r="E70" s="1269"/>
      <c r="F70" s="1269"/>
      <c r="G70" s="1269"/>
      <c r="H70" s="2529"/>
      <c r="I70" s="2579"/>
      <c r="J70" s="2579"/>
      <c r="K70" s="2579"/>
      <c r="L70" s="2579"/>
      <c r="M70" s="2579"/>
      <c r="N70" s="2579"/>
      <c r="O70" s="2579"/>
    </row>
    <row r="71" spans="1:15" s="2463" customFormat="1" ht="12.75">
      <c r="A71" s="2534"/>
      <c r="B71" s="1269"/>
      <c r="C71" s="4881"/>
      <c r="D71" s="4881"/>
      <c r="E71" s="4876"/>
      <c r="F71" s="4876"/>
      <c r="G71" s="4876"/>
      <c r="H71" s="4876"/>
      <c r="I71" s="2579"/>
      <c r="J71" s="2579"/>
      <c r="K71" s="2579"/>
      <c r="L71" s="2579"/>
      <c r="M71" s="2579"/>
      <c r="N71" s="2579"/>
      <c r="O71" s="2579"/>
    </row>
    <row r="72" spans="1:15" s="2463" customFormat="1" ht="12.75">
      <c r="A72" s="2531"/>
      <c r="B72" s="2533"/>
      <c r="C72" s="4874"/>
      <c r="D72" s="4874"/>
      <c r="E72" s="4875"/>
      <c r="F72" s="4875"/>
      <c r="G72" s="4875"/>
      <c r="H72" s="4875"/>
      <c r="I72" s="2579"/>
      <c r="J72" s="2579"/>
      <c r="K72" s="2579"/>
      <c r="L72" s="2579"/>
      <c r="M72" s="2579"/>
      <c r="N72" s="2579"/>
      <c r="O72" s="2579"/>
    </row>
    <row r="73" spans="1:15" s="2463" customFormat="1" ht="12.75">
      <c r="A73" s="2531"/>
      <c r="B73" s="2533"/>
      <c r="C73" s="2531"/>
      <c r="D73" s="2566"/>
      <c r="E73" s="2566"/>
      <c r="F73" s="2566"/>
      <c r="G73" s="2566"/>
      <c r="H73" s="2566"/>
      <c r="I73" s="2579"/>
      <c r="J73" s="2579"/>
      <c r="K73" s="2579"/>
      <c r="L73" s="2579"/>
      <c r="M73" s="2579"/>
      <c r="N73" s="2579"/>
      <c r="O73" s="2579"/>
    </row>
    <row r="74" spans="1:15" s="2463" customFormat="1" ht="12.75">
      <c r="A74" s="2531"/>
      <c r="B74" s="2533"/>
      <c r="C74" s="2531"/>
      <c r="D74" s="2566"/>
      <c r="E74" s="2566"/>
      <c r="F74" s="2566"/>
      <c r="G74" s="2566"/>
      <c r="H74" s="2566"/>
      <c r="I74" s="2579"/>
      <c r="J74" s="2579"/>
      <c r="K74" s="2579"/>
      <c r="L74" s="2579"/>
      <c r="M74" s="2579"/>
      <c r="N74" s="2579"/>
      <c r="O74" s="2579"/>
    </row>
    <row r="75" spans="1:15" s="2463" customFormat="1" ht="12.75">
      <c r="A75" s="2531"/>
      <c r="B75" s="2533"/>
      <c r="C75" s="2531"/>
      <c r="D75" s="2566"/>
      <c r="E75" s="2566"/>
      <c r="F75" s="2566"/>
      <c r="G75" s="2566"/>
      <c r="H75" s="2566"/>
      <c r="I75" s="2579"/>
      <c r="J75" s="2579"/>
      <c r="K75" s="2579"/>
      <c r="L75" s="2579"/>
      <c r="M75" s="2579"/>
      <c r="N75" s="2579"/>
      <c r="O75" s="2579"/>
    </row>
    <row r="76" spans="1:15" s="2463" customFormat="1" ht="12.75">
      <c r="A76" s="2531"/>
      <c r="B76" s="2533"/>
      <c r="C76" s="2531"/>
      <c r="D76" s="2566"/>
      <c r="E76" s="2566"/>
      <c r="F76" s="2566"/>
      <c r="G76" s="2566"/>
      <c r="H76" s="2566"/>
      <c r="I76" s="2579"/>
      <c r="J76" s="2579"/>
      <c r="K76" s="2579"/>
      <c r="L76" s="2579"/>
      <c r="M76" s="2579"/>
      <c r="N76" s="2579"/>
      <c r="O76" s="2579"/>
    </row>
    <row r="77" spans="1:15" s="2463" customFormat="1" ht="12.75">
      <c r="A77" s="2531"/>
      <c r="B77" s="2533"/>
      <c r="C77" s="2531"/>
      <c r="D77" s="2566"/>
      <c r="E77" s="2566"/>
      <c r="F77" s="2566"/>
      <c r="G77" s="2566"/>
      <c r="H77" s="2566"/>
      <c r="I77" s="2579"/>
      <c r="J77" s="2579"/>
      <c r="K77" s="2579"/>
      <c r="L77" s="2579"/>
      <c r="M77" s="2579"/>
      <c r="N77" s="2579"/>
      <c r="O77" s="2579"/>
    </row>
    <row r="78" spans="1:15" s="2463" customFormat="1" ht="12.75">
      <c r="A78" s="2531"/>
      <c r="B78" s="2533"/>
      <c r="C78" s="2531"/>
      <c r="D78" s="2566"/>
      <c r="E78" s="2566"/>
      <c r="F78" s="2566"/>
      <c r="G78" s="2566"/>
      <c r="H78" s="2566"/>
      <c r="I78" s="2579"/>
      <c r="J78" s="2579"/>
      <c r="K78" s="2579"/>
      <c r="L78" s="2579"/>
      <c r="M78" s="2579"/>
      <c r="N78" s="2579"/>
      <c r="O78" s="2579"/>
    </row>
    <row r="79" spans="1:15" s="2463" customFormat="1" ht="12.75">
      <c r="A79" s="2531"/>
      <c r="B79" s="2533"/>
      <c r="C79" s="2531"/>
      <c r="D79" s="2566"/>
      <c r="E79" s="2566"/>
      <c r="F79" s="2566"/>
      <c r="G79" s="2566"/>
      <c r="H79" s="2566"/>
      <c r="I79" s="2579"/>
      <c r="J79" s="2579"/>
      <c r="K79" s="2579"/>
      <c r="L79" s="2579"/>
      <c r="M79" s="2579"/>
      <c r="N79" s="2579"/>
      <c r="O79" s="2579"/>
    </row>
    <row r="80" spans="1:15" s="2463" customFormat="1" ht="12.75">
      <c r="A80" s="2531"/>
      <c r="B80" s="2533"/>
      <c r="C80" s="2531"/>
      <c r="D80" s="2566"/>
      <c r="E80" s="2566"/>
      <c r="F80" s="2566"/>
      <c r="G80" s="2566"/>
      <c r="H80" s="2566"/>
      <c r="I80" s="2579"/>
      <c r="J80" s="2579"/>
      <c r="K80" s="2579"/>
      <c r="L80" s="2579"/>
      <c r="M80" s="2579"/>
      <c r="N80" s="2579"/>
      <c r="O80" s="2579"/>
    </row>
    <row r="81" spans="1:15" s="2463" customFormat="1" ht="12.75">
      <c r="A81" s="2531"/>
      <c r="B81" s="2533"/>
      <c r="C81" s="2531"/>
      <c r="D81" s="2566"/>
      <c r="E81" s="2566"/>
      <c r="F81" s="2566"/>
      <c r="G81" s="2566"/>
      <c r="H81" s="2566"/>
      <c r="I81" s="2579"/>
      <c r="J81" s="2579"/>
      <c r="K81" s="2579"/>
      <c r="L81" s="2579"/>
      <c r="M81" s="2579"/>
      <c r="N81" s="2579"/>
      <c r="O81" s="2579"/>
    </row>
    <row r="82" spans="1:15" s="2463" customFormat="1" ht="12.75">
      <c r="A82" s="2531"/>
      <c r="B82" s="2533"/>
      <c r="C82" s="2531"/>
      <c r="D82" s="2566"/>
      <c r="E82" s="2566"/>
      <c r="F82" s="2566"/>
      <c r="G82" s="2566"/>
      <c r="H82" s="2566"/>
      <c r="I82" s="2579"/>
      <c r="J82" s="2579"/>
      <c r="K82" s="2579"/>
      <c r="L82" s="2579"/>
      <c r="M82" s="2579"/>
      <c r="N82" s="2579"/>
      <c r="O82" s="2579"/>
    </row>
    <row r="83" spans="1:15" s="2463" customFormat="1" ht="12.75">
      <c r="A83" s="2531"/>
      <c r="B83" s="2533"/>
      <c r="C83" s="2531"/>
      <c r="D83" s="2566"/>
      <c r="E83" s="2566"/>
      <c r="F83" s="2566"/>
      <c r="G83" s="2566"/>
      <c r="H83" s="2566"/>
      <c r="I83" s="2579"/>
      <c r="J83" s="2579"/>
      <c r="K83" s="2579"/>
      <c r="L83" s="2579"/>
      <c r="M83" s="2579"/>
      <c r="N83" s="2579"/>
      <c r="O83" s="2579"/>
    </row>
    <row r="84" spans="1:15" s="2463" customFormat="1" ht="12.75">
      <c r="A84" s="2531"/>
      <c r="B84" s="2533"/>
      <c r="C84" s="2531"/>
      <c r="D84" s="2566"/>
      <c r="E84" s="2566"/>
      <c r="F84" s="2566"/>
      <c r="G84" s="2566"/>
      <c r="H84" s="2566"/>
      <c r="I84" s="2579"/>
      <c r="J84" s="2579"/>
      <c r="K84" s="2579"/>
      <c r="L84" s="2579"/>
      <c r="M84" s="2579"/>
      <c r="N84" s="2579"/>
      <c r="O84" s="2579"/>
    </row>
    <row r="85" spans="1:15" s="2463" customFormat="1" ht="12.75">
      <c r="A85" s="2531"/>
      <c r="B85" s="2533"/>
      <c r="C85" s="2531"/>
      <c r="D85" s="2566"/>
      <c r="E85" s="2566"/>
      <c r="F85" s="2566"/>
      <c r="G85" s="2566"/>
      <c r="H85" s="2566"/>
      <c r="I85" s="2579"/>
      <c r="J85" s="2579"/>
      <c r="K85" s="2579"/>
      <c r="L85" s="2579"/>
      <c r="M85" s="2579"/>
      <c r="N85" s="2579"/>
      <c r="O85" s="2579"/>
    </row>
    <row r="86" spans="1:15" s="2463" customFormat="1" ht="12.75">
      <c r="A86" s="2531"/>
      <c r="B86" s="2533"/>
      <c r="C86" s="2531"/>
      <c r="D86" s="2566"/>
      <c r="E86" s="2566"/>
      <c r="F86" s="2566"/>
      <c r="G86" s="2566"/>
      <c r="H86" s="2566"/>
      <c r="I86" s="2579"/>
      <c r="J86" s="2579"/>
      <c r="K86" s="2579"/>
      <c r="L86" s="2579"/>
      <c r="M86" s="2579"/>
      <c r="N86" s="2579"/>
      <c r="O86" s="2579"/>
    </row>
    <row r="87" spans="1:15" s="2463" customFormat="1" ht="12.75">
      <c r="A87" s="2531"/>
      <c r="B87" s="2533"/>
      <c r="C87" s="2531"/>
      <c r="D87" s="2566"/>
      <c r="E87" s="2566"/>
      <c r="F87" s="2566"/>
      <c r="G87" s="2566"/>
      <c r="H87" s="2566"/>
      <c r="I87" s="2579"/>
      <c r="J87" s="2579"/>
      <c r="K87" s="2579"/>
      <c r="L87" s="2579"/>
      <c r="M87" s="2579"/>
      <c r="N87" s="2579"/>
      <c r="O87" s="2579"/>
    </row>
    <row r="88" spans="1:15" s="2463" customFormat="1" ht="12.75">
      <c r="A88" s="2531"/>
      <c r="B88" s="2533"/>
      <c r="C88" s="2531"/>
      <c r="D88" s="2566"/>
      <c r="E88" s="2566"/>
      <c r="F88" s="2566"/>
      <c r="G88" s="2566"/>
      <c r="H88" s="2566"/>
      <c r="I88" s="2579"/>
      <c r="J88" s="2579"/>
      <c r="K88" s="2579"/>
      <c r="L88" s="2579"/>
      <c r="M88" s="2579"/>
      <c r="N88" s="2579"/>
      <c r="O88" s="2579"/>
    </row>
    <row r="89" spans="1:15" s="2463" customFormat="1" ht="12.75">
      <c r="A89" s="4876"/>
      <c r="B89" s="4876"/>
      <c r="C89" s="4876"/>
      <c r="D89" s="4876"/>
      <c r="E89" s="4876"/>
      <c r="F89" s="4876"/>
      <c r="G89" s="4876"/>
      <c r="H89" s="4876"/>
      <c r="I89" s="2579"/>
      <c r="J89" s="2579"/>
      <c r="K89" s="2579"/>
      <c r="L89" s="2579"/>
      <c r="M89" s="2579"/>
      <c r="N89" s="2579"/>
      <c r="O89" s="2579"/>
    </row>
    <row r="90" spans="1:15">
      <c r="A90" s="4877"/>
      <c r="B90" s="4877"/>
      <c r="C90" s="4877"/>
      <c r="D90" s="4877"/>
      <c r="E90" s="4877"/>
      <c r="F90" s="4877"/>
      <c r="G90" s="4877"/>
      <c r="H90" s="4877"/>
    </row>
    <row r="91" spans="1:15">
      <c r="A91" s="4876"/>
      <c r="B91" s="4876"/>
      <c r="C91" s="4876"/>
      <c r="D91" s="4876"/>
      <c r="E91" s="4876"/>
      <c r="F91" s="4876"/>
      <c r="G91" s="4876"/>
      <c r="H91" s="4876"/>
    </row>
    <row r="92" spans="1:15">
      <c r="A92" s="4877"/>
      <c r="B92" s="4877"/>
      <c r="C92" s="4877"/>
      <c r="D92" s="4877"/>
      <c r="E92" s="4877"/>
      <c r="F92" s="4877"/>
      <c r="G92" s="4877"/>
      <c r="H92" s="4877"/>
    </row>
    <row r="93" spans="1:15">
      <c r="A93" s="2529"/>
      <c r="B93" s="2529"/>
      <c r="C93" s="2529"/>
      <c r="D93" s="2529"/>
      <c r="E93" s="2529"/>
      <c r="F93" s="2529"/>
      <c r="G93" s="2529"/>
      <c r="H93" s="2529"/>
    </row>
    <row r="94" spans="1:15" s="2463" customFormat="1">
      <c r="A94" s="2568"/>
      <c r="B94" s="2567"/>
      <c r="C94" s="2529"/>
      <c r="D94" s="2566"/>
      <c r="E94" s="2566"/>
      <c r="F94" s="2566"/>
      <c r="G94" s="2566"/>
      <c r="H94" s="2566"/>
      <c r="I94" s="2579"/>
      <c r="J94" s="2579"/>
      <c r="K94" s="2579"/>
      <c r="L94" s="2579"/>
      <c r="M94" s="2579"/>
      <c r="N94" s="2579"/>
      <c r="O94" s="2579"/>
    </row>
    <row r="95" spans="1:15" s="2463" customFormat="1" ht="12.75">
      <c r="A95" s="1269"/>
      <c r="B95" s="1269"/>
      <c r="C95" s="2542"/>
      <c r="D95" s="2541"/>
      <c r="E95" s="2561"/>
      <c r="F95" s="2540"/>
      <c r="G95" s="2565"/>
      <c r="H95" s="2561"/>
      <c r="I95" s="2579"/>
      <c r="J95" s="2579"/>
      <c r="K95" s="2579"/>
      <c r="L95" s="2579"/>
      <c r="M95" s="2579"/>
      <c r="N95" s="2579"/>
      <c r="O95" s="2579"/>
    </row>
    <row r="96" spans="1:15" s="2463" customFormat="1" ht="23.25">
      <c r="A96" s="2564"/>
      <c r="B96" s="2564"/>
      <c r="C96" s="2542"/>
      <c r="D96" s="2541"/>
      <c r="E96" s="2561"/>
      <c r="F96" s="2540"/>
      <c r="G96" s="2562"/>
      <c r="H96" s="2561"/>
      <c r="I96" s="2579"/>
      <c r="J96" s="2579"/>
      <c r="K96" s="2579"/>
      <c r="L96" s="2579"/>
      <c r="M96" s="2579"/>
      <c r="N96" s="2579"/>
      <c r="O96" s="2579"/>
    </row>
    <row r="97" spans="1:15" s="2463" customFormat="1" ht="12.75">
      <c r="A97" s="4879"/>
      <c r="B97" s="4879"/>
      <c r="C97" s="2559"/>
      <c r="D97" s="2560"/>
      <c r="E97" s="4880"/>
      <c r="F97" s="4880"/>
      <c r="G97" s="4880"/>
      <c r="H97" s="2557"/>
      <c r="I97" s="2579"/>
      <c r="J97" s="2579"/>
      <c r="K97" s="2579"/>
      <c r="L97" s="2579"/>
      <c r="M97" s="2579"/>
      <c r="N97" s="2579"/>
      <c r="O97" s="2579"/>
    </row>
    <row r="98" spans="1:15" s="2463" customFormat="1" ht="12.75">
      <c r="A98" s="4879"/>
      <c r="B98" s="4879"/>
      <c r="C98" s="2559"/>
      <c r="D98" s="2558"/>
      <c r="E98" s="2558"/>
      <c r="F98" s="2558"/>
      <c r="G98" s="2558"/>
      <c r="H98" s="2558"/>
      <c r="I98" s="2579"/>
      <c r="J98" s="2579"/>
      <c r="K98" s="2579"/>
      <c r="L98" s="2579"/>
      <c r="M98" s="2579"/>
      <c r="N98" s="2579"/>
      <c r="O98" s="2579"/>
    </row>
    <row r="99" spans="1:15" s="2463" customFormat="1" ht="12.75">
      <c r="A99" s="4879"/>
      <c r="B99" s="4879"/>
      <c r="C99" s="2557"/>
      <c r="D99" s="2555"/>
      <c r="E99" s="2555"/>
      <c r="F99" s="2555"/>
      <c r="G99" s="2556"/>
      <c r="H99" s="2555"/>
      <c r="I99" s="2579"/>
      <c r="J99" s="2579"/>
      <c r="K99" s="2579"/>
      <c r="L99" s="2579"/>
      <c r="M99" s="2579"/>
      <c r="N99" s="2579"/>
      <c r="O99" s="2579"/>
    </row>
    <row r="100" spans="1:15" s="2463" customFormat="1" ht="12.75">
      <c r="A100" s="2554"/>
      <c r="B100" s="2553"/>
      <c r="C100" s="2552"/>
      <c r="D100" s="2551"/>
      <c r="E100" s="2551"/>
      <c r="F100" s="2551"/>
      <c r="G100" s="2551"/>
      <c r="H100" s="2551"/>
      <c r="I100" s="2579"/>
      <c r="J100" s="2579"/>
      <c r="K100" s="2579"/>
      <c r="L100" s="2579"/>
      <c r="M100" s="2579"/>
      <c r="N100" s="2579"/>
      <c r="O100" s="2579"/>
    </row>
    <row r="101" spans="1:15" s="2463" customFormat="1" ht="12.75">
      <c r="A101" s="2546"/>
      <c r="B101" s="1269"/>
      <c r="C101" s="2545"/>
      <c r="D101" s="2548"/>
      <c r="E101" s="2548"/>
      <c r="F101" s="2540"/>
      <c r="G101" s="2548"/>
      <c r="H101" s="2548"/>
      <c r="I101" s="2579"/>
      <c r="J101" s="2579"/>
      <c r="K101" s="2579"/>
      <c r="L101" s="2579"/>
      <c r="M101" s="2579"/>
      <c r="N101" s="2579"/>
      <c r="O101" s="2579"/>
    </row>
    <row r="102" spans="1:15" s="2463" customFormat="1" ht="12.75">
      <c r="A102" s="2549"/>
      <c r="B102" s="2549"/>
      <c r="C102" s="2545"/>
      <c r="D102" s="2548"/>
      <c r="E102" s="2548"/>
      <c r="F102" s="2540"/>
      <c r="G102" s="2548"/>
      <c r="H102" s="2548"/>
      <c r="I102" s="2579"/>
      <c r="J102" s="2579"/>
      <c r="K102" s="2579"/>
      <c r="L102" s="2579"/>
      <c r="M102" s="2579"/>
      <c r="N102" s="2579"/>
      <c r="O102" s="2579"/>
    </row>
    <row r="103" spans="1:15" s="2463" customFormat="1" ht="12.75">
      <c r="A103" s="2546"/>
      <c r="B103" s="1269"/>
      <c r="C103" s="2542"/>
      <c r="D103" s="2541"/>
      <c r="E103" s="2544"/>
      <c r="F103" s="2540"/>
      <c r="G103" s="2544"/>
      <c r="H103" s="2544"/>
      <c r="I103" s="2579"/>
      <c r="J103" s="2579"/>
      <c r="K103" s="2579"/>
      <c r="L103" s="2579"/>
      <c r="M103" s="2579"/>
      <c r="N103" s="2579"/>
      <c r="O103" s="2579"/>
    </row>
    <row r="104" spans="1:15" s="2463" customFormat="1" ht="12.75">
      <c r="A104" s="2549"/>
      <c r="B104" s="2549"/>
      <c r="C104" s="2545"/>
      <c r="D104" s="2541"/>
      <c r="E104" s="2544"/>
      <c r="F104" s="2540"/>
      <c r="G104" s="2544"/>
      <c r="H104" s="2544"/>
      <c r="I104" s="2579"/>
      <c r="J104" s="2579"/>
      <c r="K104" s="2579"/>
      <c r="L104" s="2579"/>
      <c r="M104" s="2579"/>
      <c r="N104" s="2579"/>
      <c r="O104" s="2579"/>
    </row>
    <row r="105" spans="1:15" s="2463" customFormat="1" ht="12.75">
      <c r="A105" s="2549"/>
      <c r="B105" s="2549"/>
      <c r="C105" s="2542"/>
      <c r="D105" s="2541"/>
      <c r="E105" s="2544"/>
      <c r="F105" s="2540"/>
      <c r="G105" s="2544"/>
      <c r="H105" s="2544"/>
      <c r="I105" s="2579"/>
      <c r="J105" s="2579"/>
      <c r="K105" s="2579"/>
      <c r="L105" s="2579"/>
      <c r="M105" s="2579"/>
      <c r="N105" s="2579"/>
      <c r="O105" s="2579"/>
    </row>
    <row r="106" spans="1:15" s="2463" customFormat="1" ht="12.75">
      <c r="A106" s="2549"/>
      <c r="B106" s="2549"/>
      <c r="C106" s="2542"/>
      <c r="D106" s="2541"/>
      <c r="E106" s="2544"/>
      <c r="F106" s="2540"/>
      <c r="G106" s="2544"/>
      <c r="H106" s="2544"/>
      <c r="I106" s="2579"/>
      <c r="J106" s="2579"/>
      <c r="K106" s="2579"/>
      <c r="L106" s="2579"/>
      <c r="M106" s="2579"/>
      <c r="N106" s="2579"/>
      <c r="O106" s="2579"/>
    </row>
    <row r="107" spans="1:15" s="2463" customFormat="1" ht="12.75">
      <c r="A107" s="2546"/>
      <c r="B107" s="1269"/>
      <c r="C107" s="2545"/>
      <c r="D107" s="2541"/>
      <c r="E107" s="2544"/>
      <c r="F107" s="2540"/>
      <c r="G107" s="2544"/>
      <c r="H107" s="2544"/>
      <c r="I107" s="2579"/>
      <c r="J107" s="2579"/>
      <c r="K107" s="2579"/>
      <c r="L107" s="2579"/>
      <c r="M107" s="2579"/>
      <c r="N107" s="2579"/>
      <c r="O107" s="2579"/>
    </row>
    <row r="108" spans="1:15" s="2463" customFormat="1" ht="12.75">
      <c r="A108" s="2546"/>
      <c r="B108" s="1269"/>
      <c r="C108" s="2545"/>
      <c r="D108" s="2541"/>
      <c r="E108" s="2544"/>
      <c r="F108" s="2540"/>
      <c r="G108" s="2544"/>
      <c r="H108" s="2544"/>
      <c r="I108" s="2579"/>
      <c r="J108" s="2579"/>
      <c r="K108" s="2579"/>
      <c r="L108" s="2579"/>
      <c r="M108" s="2579"/>
      <c r="N108" s="2579"/>
      <c r="O108" s="2579"/>
    </row>
    <row r="109" spans="1:15" s="2463" customFormat="1" ht="12.75">
      <c r="A109" s="2547"/>
      <c r="B109" s="2546"/>
      <c r="C109" s="2545"/>
      <c r="D109" s="2541"/>
      <c r="E109" s="2544"/>
      <c r="F109" s="2540"/>
      <c r="G109" s="2544"/>
      <c r="H109" s="2544"/>
      <c r="I109" s="2579"/>
      <c r="J109" s="2579"/>
      <c r="K109" s="2579"/>
      <c r="L109" s="2579"/>
      <c r="M109" s="2579"/>
      <c r="N109" s="2579"/>
      <c r="O109" s="2579"/>
    </row>
    <row r="110" spans="1:15" s="2463" customFormat="1" ht="12.75">
      <c r="A110" s="2543"/>
      <c r="B110" s="2543"/>
      <c r="C110" s="2542"/>
      <c r="D110" s="2541"/>
      <c r="E110" s="2539"/>
      <c r="F110" s="2540"/>
      <c r="G110" s="2539"/>
      <c r="H110" s="2539"/>
      <c r="I110" s="2579"/>
      <c r="J110" s="2579"/>
      <c r="K110" s="2579"/>
      <c r="L110" s="2579"/>
      <c r="M110" s="2579"/>
      <c r="N110" s="2579"/>
      <c r="O110" s="2579"/>
    </row>
    <row r="111" spans="1:15" s="2463" customFormat="1" ht="12.75">
      <c r="A111" s="2538"/>
      <c r="B111" s="2538"/>
      <c r="C111" s="2537"/>
      <c r="D111" s="2536"/>
      <c r="E111" s="2536"/>
      <c r="F111" s="2536"/>
      <c r="G111" s="2536"/>
      <c r="H111" s="2536"/>
      <c r="I111" s="2579"/>
      <c r="J111" s="2579"/>
      <c r="K111" s="2579"/>
      <c r="L111" s="2579"/>
      <c r="M111" s="2579"/>
      <c r="N111" s="2579"/>
      <c r="O111" s="2579"/>
    </row>
    <row r="112" spans="1:15" s="2463" customFormat="1" ht="12.75">
      <c r="A112" s="2538"/>
      <c r="B112" s="2538"/>
      <c r="C112" s="2537"/>
      <c r="D112" s="2536"/>
      <c r="E112" s="2536"/>
      <c r="F112" s="2536"/>
      <c r="G112" s="2536"/>
      <c r="H112" s="2536"/>
      <c r="I112" s="2579"/>
      <c r="J112" s="2579"/>
      <c r="K112" s="2579"/>
      <c r="L112" s="2579"/>
      <c r="M112" s="2579"/>
      <c r="N112" s="2579"/>
      <c r="O112" s="2579"/>
    </row>
    <row r="113" spans="1:15" s="2463" customFormat="1">
      <c r="A113" s="1269"/>
      <c r="B113" s="2529"/>
      <c r="C113" s="2535"/>
      <c r="D113" s="2529"/>
      <c r="E113" s="4877"/>
      <c r="F113" s="4877"/>
      <c r="G113" s="1269"/>
      <c r="H113" s="2529"/>
      <c r="I113" s="2579"/>
      <c r="J113" s="2579"/>
      <c r="K113" s="2579"/>
      <c r="L113" s="2579"/>
      <c r="M113" s="2579"/>
      <c r="N113" s="2579"/>
      <c r="O113" s="2579"/>
    </row>
    <row r="114" spans="1:15" s="2463" customFormat="1">
      <c r="A114" s="2529"/>
      <c r="B114" s="1269"/>
      <c r="C114" s="2535"/>
      <c r="D114" s="1269"/>
      <c r="E114" s="1269"/>
      <c r="F114" s="1269"/>
      <c r="G114" s="1269"/>
      <c r="H114" s="2529"/>
      <c r="I114" s="2579"/>
      <c r="J114" s="2579"/>
      <c r="K114" s="2579"/>
      <c r="L114" s="2579"/>
      <c r="M114" s="2579"/>
      <c r="N114" s="2579"/>
      <c r="O114" s="2579"/>
    </row>
    <row r="115" spans="1:15" s="2463" customFormat="1" ht="12.75">
      <c r="A115" s="2534"/>
      <c r="B115" s="1269"/>
      <c r="C115" s="4881"/>
      <c r="D115" s="4881"/>
      <c r="E115" s="4876"/>
      <c r="F115" s="4876"/>
      <c r="G115" s="4876"/>
      <c r="H115" s="4876"/>
      <c r="I115" s="2579"/>
      <c r="J115" s="2579"/>
      <c r="K115" s="2579"/>
      <c r="L115" s="2579"/>
      <c r="M115" s="2579"/>
      <c r="N115" s="2579"/>
      <c r="O115" s="2579"/>
    </row>
    <row r="116" spans="1:15" s="2463" customFormat="1" ht="12.75">
      <c r="A116" s="2531"/>
      <c r="B116" s="2533"/>
      <c r="C116" s="4874"/>
      <c r="D116" s="4874"/>
      <c r="E116" s="4875"/>
      <c r="F116" s="4875"/>
      <c r="G116" s="4875"/>
      <c r="H116" s="4875"/>
      <c r="I116" s="2579"/>
      <c r="J116" s="2579"/>
      <c r="K116" s="2579"/>
      <c r="L116" s="2579"/>
      <c r="M116" s="2579"/>
      <c r="N116" s="2579"/>
      <c r="O116" s="2579"/>
    </row>
    <row r="117" spans="1:15" s="2463" customFormat="1" ht="12.75">
      <c r="A117" s="2531"/>
      <c r="B117" s="2533"/>
      <c r="C117" s="2531"/>
      <c r="D117" s="2566"/>
      <c r="E117" s="2566"/>
      <c r="F117" s="2566"/>
      <c r="G117" s="2566"/>
      <c r="H117" s="2566"/>
      <c r="I117" s="2579"/>
      <c r="J117" s="2579"/>
      <c r="K117" s="2579"/>
      <c r="L117" s="2579"/>
      <c r="M117" s="2579"/>
      <c r="N117" s="2579"/>
      <c r="O117" s="2579"/>
    </row>
    <row r="118" spans="1:15" s="2463" customFormat="1" ht="12.75">
      <c r="A118" s="2531"/>
      <c r="B118" s="2533"/>
      <c r="C118" s="2531"/>
      <c r="D118" s="2566"/>
      <c r="E118" s="2566"/>
      <c r="F118" s="2566"/>
      <c r="G118" s="2566"/>
      <c r="H118" s="2566"/>
      <c r="I118" s="2579"/>
      <c r="J118" s="2579"/>
      <c r="K118" s="2579"/>
      <c r="L118" s="2579"/>
      <c r="M118" s="2579"/>
      <c r="N118" s="2579"/>
      <c r="O118" s="2579"/>
    </row>
    <row r="119" spans="1:15" s="2463" customFormat="1" ht="12.75">
      <c r="A119" s="2531"/>
      <c r="B119" s="2533"/>
      <c r="C119" s="2531"/>
      <c r="D119" s="2566"/>
      <c r="E119" s="2566"/>
      <c r="F119" s="2566"/>
      <c r="G119" s="2566"/>
      <c r="H119" s="2566"/>
      <c r="I119" s="2579"/>
      <c r="J119" s="2579"/>
      <c r="K119" s="2579"/>
      <c r="L119" s="2579"/>
      <c r="M119" s="2579"/>
      <c r="N119" s="2579"/>
      <c r="O119" s="2579"/>
    </row>
    <row r="120" spans="1:15" s="2463" customFormat="1" ht="12.75">
      <c r="A120" s="2531"/>
      <c r="B120" s="2533"/>
      <c r="C120" s="2531"/>
      <c r="D120" s="2566"/>
      <c r="E120" s="2566"/>
      <c r="F120" s="2566"/>
      <c r="G120" s="2566"/>
      <c r="H120" s="2566"/>
      <c r="I120" s="2579"/>
      <c r="J120" s="2579"/>
      <c r="K120" s="2579"/>
      <c r="L120" s="2579"/>
      <c r="M120" s="2579"/>
      <c r="N120" s="2579"/>
      <c r="O120" s="2579"/>
    </row>
    <row r="121" spans="1:15" s="2463" customFormat="1" ht="12.75">
      <c r="A121" s="2531"/>
      <c r="B121" s="2533"/>
      <c r="C121" s="2531"/>
      <c r="D121" s="2566"/>
      <c r="E121" s="2566"/>
      <c r="F121" s="2566"/>
      <c r="G121" s="2566"/>
      <c r="H121" s="2566"/>
      <c r="I121" s="2579"/>
      <c r="J121" s="2579"/>
      <c r="K121" s="2579"/>
      <c r="L121" s="2579"/>
      <c r="M121" s="2579"/>
      <c r="N121" s="2579"/>
      <c r="O121" s="2579"/>
    </row>
    <row r="122" spans="1:15" s="2463" customFormat="1" ht="12.75">
      <c r="A122" s="2531"/>
      <c r="B122" s="2533"/>
      <c r="C122" s="2531"/>
      <c r="D122" s="2566"/>
      <c r="E122" s="2566"/>
      <c r="F122" s="2566"/>
      <c r="G122" s="2566"/>
      <c r="H122" s="2566"/>
      <c r="I122" s="2579"/>
      <c r="J122" s="2579"/>
      <c r="K122" s="2579"/>
      <c r="L122" s="2579"/>
      <c r="M122" s="2579"/>
      <c r="N122" s="2579"/>
      <c r="O122" s="2579"/>
    </row>
    <row r="123" spans="1:15" s="2463" customFormat="1" ht="12.75">
      <c r="A123" s="2531"/>
      <c r="B123" s="2533"/>
      <c r="C123" s="2531"/>
      <c r="D123" s="2566"/>
      <c r="E123" s="2566"/>
      <c r="F123" s="2566"/>
      <c r="G123" s="2566"/>
      <c r="H123" s="2566"/>
      <c r="I123" s="2579"/>
      <c r="J123" s="2579"/>
      <c r="K123" s="2579"/>
      <c r="L123" s="2579"/>
      <c r="M123" s="2579"/>
      <c r="N123" s="2579"/>
      <c r="O123" s="2579"/>
    </row>
    <row r="124" spans="1:15" s="2463" customFormat="1" ht="12.75">
      <c r="A124" s="2531"/>
      <c r="B124" s="2533"/>
      <c r="C124" s="2531"/>
      <c r="D124" s="2566"/>
      <c r="E124" s="2566"/>
      <c r="F124" s="2566"/>
      <c r="G124" s="2566"/>
      <c r="H124" s="2566"/>
      <c r="I124" s="2579"/>
      <c r="J124" s="2579"/>
      <c r="K124" s="2579"/>
      <c r="L124" s="2579"/>
      <c r="M124" s="2579"/>
      <c r="N124" s="2579"/>
      <c r="O124" s="2579"/>
    </row>
    <row r="125" spans="1:15" s="2463" customFormat="1" ht="12.75">
      <c r="A125" s="2531"/>
      <c r="B125" s="2533"/>
      <c r="C125" s="2531"/>
      <c r="D125" s="2566"/>
      <c r="E125" s="2566"/>
      <c r="F125" s="2566"/>
      <c r="G125" s="2566"/>
      <c r="H125" s="2566"/>
      <c r="I125" s="2579"/>
      <c r="J125" s="2579"/>
      <c r="K125" s="2579"/>
      <c r="L125" s="2579"/>
      <c r="M125" s="2579"/>
      <c r="N125" s="2579"/>
      <c r="O125" s="2579"/>
    </row>
    <row r="126" spans="1:15" s="2463" customFormat="1" ht="12.75">
      <c r="A126" s="2531"/>
      <c r="B126" s="2533"/>
      <c r="C126" s="2531"/>
      <c r="D126" s="2566"/>
      <c r="E126" s="2566"/>
      <c r="F126" s="2566"/>
      <c r="G126" s="2566"/>
      <c r="H126" s="2566"/>
      <c r="I126" s="2579"/>
      <c r="J126" s="2579"/>
      <c r="K126" s="2579"/>
      <c r="L126" s="2579"/>
      <c r="M126" s="2579"/>
      <c r="N126" s="2579"/>
      <c r="O126" s="2579"/>
    </row>
    <row r="127" spans="1:15" s="2463" customFormat="1" ht="12.75">
      <c r="A127" s="2531"/>
      <c r="B127" s="2533"/>
      <c r="C127" s="2531"/>
      <c r="D127" s="2566"/>
      <c r="E127" s="2566"/>
      <c r="F127" s="2566"/>
      <c r="G127" s="2566"/>
      <c r="H127" s="2566"/>
      <c r="I127" s="2579"/>
      <c r="J127" s="2579"/>
      <c r="K127" s="2579"/>
      <c r="L127" s="2579"/>
      <c r="M127" s="2579"/>
      <c r="N127" s="2579"/>
      <c r="O127" s="2579"/>
    </row>
    <row r="128" spans="1:15" s="2463" customFormat="1" ht="12.75">
      <c r="A128" s="2531"/>
      <c r="B128" s="2533"/>
      <c r="C128" s="2531"/>
      <c r="D128" s="2566"/>
      <c r="E128" s="2566"/>
      <c r="F128" s="2566"/>
      <c r="G128" s="2566"/>
      <c r="H128" s="2566"/>
      <c r="I128" s="2579"/>
      <c r="J128" s="2579"/>
      <c r="K128" s="2579"/>
      <c r="L128" s="2579"/>
      <c r="M128" s="2579"/>
      <c r="N128" s="2579"/>
      <c r="O128" s="2579"/>
    </row>
    <row r="129" spans="1:15" s="2463" customFormat="1" ht="12.75">
      <c r="A129" s="2531"/>
      <c r="B129" s="2533"/>
      <c r="C129" s="2531"/>
      <c r="D129" s="2566"/>
      <c r="E129" s="2566"/>
      <c r="F129" s="2566"/>
      <c r="G129" s="2566"/>
      <c r="H129" s="2566"/>
      <c r="I129" s="2579"/>
      <c r="J129" s="2579"/>
      <c r="K129" s="2579"/>
      <c r="L129" s="2579"/>
      <c r="M129" s="2579"/>
      <c r="N129" s="2579"/>
      <c r="O129" s="2579"/>
    </row>
    <row r="130" spans="1:15" s="2463" customFormat="1" ht="12.75">
      <c r="A130" s="2531"/>
      <c r="B130" s="2533"/>
      <c r="C130" s="2531"/>
      <c r="D130" s="2566"/>
      <c r="E130" s="2566"/>
      <c r="F130" s="2566"/>
      <c r="G130" s="2566"/>
      <c r="H130" s="2566"/>
      <c r="I130" s="2579"/>
      <c r="J130" s="2579"/>
      <c r="K130" s="2579"/>
      <c r="L130" s="2579"/>
      <c r="M130" s="2579"/>
      <c r="N130" s="2579"/>
      <c r="O130" s="2579"/>
    </row>
    <row r="131" spans="1:15" s="2463" customFormat="1" ht="12.75">
      <c r="A131" s="2531"/>
      <c r="B131" s="2533"/>
      <c r="C131" s="2531"/>
      <c r="D131" s="2566"/>
      <c r="E131" s="2566"/>
      <c r="F131" s="2566"/>
      <c r="G131" s="2566"/>
      <c r="H131" s="2566"/>
      <c r="I131" s="2579"/>
      <c r="J131" s="2579"/>
      <c r="K131" s="2579"/>
      <c r="L131" s="2579"/>
      <c r="M131" s="2579"/>
      <c r="N131" s="2579"/>
      <c r="O131" s="2579"/>
    </row>
    <row r="132" spans="1:15" s="2463" customFormat="1" ht="12.75">
      <c r="A132" s="2531"/>
      <c r="B132" s="2533"/>
      <c r="C132" s="2531"/>
      <c r="D132" s="2566"/>
      <c r="E132" s="2566"/>
      <c r="F132" s="2566"/>
      <c r="G132" s="2566"/>
      <c r="H132" s="2566"/>
      <c r="I132" s="2579"/>
      <c r="J132" s="2579"/>
      <c r="K132" s="2579"/>
      <c r="L132" s="2579"/>
      <c r="M132" s="2579"/>
      <c r="N132" s="2579"/>
      <c r="O132" s="2579"/>
    </row>
    <row r="133" spans="1:15" s="2463" customFormat="1" ht="12.75">
      <c r="A133" s="2531"/>
      <c r="B133" s="2533"/>
      <c r="C133" s="2531"/>
      <c r="D133" s="2566"/>
      <c r="E133" s="2566"/>
      <c r="F133" s="2566"/>
      <c r="G133" s="2566"/>
      <c r="H133" s="2566"/>
      <c r="I133" s="2579"/>
      <c r="J133" s="2579"/>
      <c r="K133" s="2579"/>
      <c r="L133" s="2579"/>
      <c r="M133" s="2579"/>
      <c r="N133" s="2579"/>
      <c r="O133" s="2579"/>
    </row>
    <row r="134" spans="1:15">
      <c r="A134" s="2529"/>
      <c r="B134" s="2529"/>
      <c r="C134" s="2529"/>
      <c r="D134" s="2529"/>
      <c r="E134" s="2529"/>
      <c r="F134" s="2529"/>
      <c r="G134" s="2529"/>
      <c r="H134" s="2529"/>
    </row>
    <row r="135" spans="1:15">
      <c r="A135" s="4876"/>
      <c r="B135" s="4876"/>
      <c r="C135" s="4876"/>
      <c r="D135" s="4876"/>
      <c r="E135" s="4876"/>
      <c r="F135" s="4876"/>
      <c r="G135" s="4876"/>
      <c r="H135" s="4876"/>
    </row>
    <row r="136" spans="1:15">
      <c r="A136" s="4877"/>
      <c r="B136" s="4877"/>
      <c r="C136" s="4877"/>
      <c r="D136" s="4877"/>
      <c r="E136" s="4877"/>
      <c r="F136" s="4877"/>
      <c r="G136" s="4877"/>
      <c r="H136" s="4877"/>
    </row>
    <row r="137" spans="1:15">
      <c r="A137" s="2529"/>
      <c r="B137" s="2529"/>
      <c r="C137" s="2529"/>
      <c r="D137" s="2529"/>
      <c r="E137" s="2529"/>
      <c r="F137" s="2529"/>
      <c r="G137" s="2529"/>
      <c r="H137" s="2529"/>
    </row>
    <row r="138" spans="1:15" s="2463" customFormat="1">
      <c r="A138" s="2568"/>
      <c r="B138" s="2567"/>
      <c r="C138" s="2529"/>
      <c r="D138" s="2566"/>
      <c r="E138" s="2566"/>
      <c r="F138" s="2566"/>
      <c r="G138" s="2566"/>
      <c r="H138" s="2566"/>
      <c r="I138" s="2579"/>
      <c r="J138" s="2579"/>
      <c r="K138" s="2579"/>
      <c r="L138" s="2579"/>
      <c r="M138" s="2579"/>
      <c r="N138" s="2579"/>
      <c r="O138" s="2579"/>
    </row>
    <row r="139" spans="1:15" s="2463" customFormat="1" ht="12.75">
      <c r="A139" s="1269"/>
      <c r="B139" s="1269"/>
      <c r="C139" s="2542"/>
      <c r="D139" s="2541"/>
      <c r="E139" s="2561"/>
      <c r="F139" s="2540"/>
      <c r="G139" s="2565"/>
      <c r="H139" s="2561"/>
      <c r="I139" s="2579"/>
      <c r="J139" s="2579"/>
      <c r="K139" s="2579"/>
      <c r="L139" s="2579"/>
      <c r="M139" s="2579"/>
      <c r="N139" s="2579"/>
      <c r="O139" s="2579"/>
    </row>
    <row r="140" spans="1:15" s="2463" customFormat="1" ht="23.25">
      <c r="A140" s="2564"/>
      <c r="B140" s="2564"/>
      <c r="C140" s="2563"/>
      <c r="D140" s="2570"/>
      <c r="E140" s="2561"/>
      <c r="F140" s="2540"/>
      <c r="G140" s="2562"/>
      <c r="H140" s="2561"/>
      <c r="I140" s="2579"/>
      <c r="J140" s="2579"/>
      <c r="K140" s="2579"/>
      <c r="L140" s="2579"/>
      <c r="M140" s="2579"/>
      <c r="N140" s="2579"/>
      <c r="O140" s="2579"/>
    </row>
    <row r="141" spans="1:15" s="2463" customFormat="1" ht="12.75">
      <c r="A141" s="4879"/>
      <c r="B141" s="4879"/>
      <c r="C141" s="2559"/>
      <c r="D141" s="2560"/>
      <c r="E141" s="4880"/>
      <c r="F141" s="4880"/>
      <c r="G141" s="4880"/>
      <c r="H141" s="2557"/>
      <c r="I141" s="2579"/>
      <c r="J141" s="2579"/>
      <c r="K141" s="2579"/>
      <c r="L141" s="2579"/>
      <c r="M141" s="2579"/>
      <c r="N141" s="2579"/>
      <c r="O141" s="2579"/>
    </row>
    <row r="142" spans="1:15" s="2463" customFormat="1" ht="12.75">
      <c r="A142" s="4879"/>
      <c r="B142" s="4879"/>
      <c r="C142" s="2559"/>
      <c r="D142" s="2558"/>
      <c r="E142" s="2558"/>
      <c r="F142" s="2558"/>
      <c r="G142" s="2558"/>
      <c r="H142" s="2558"/>
      <c r="I142" s="2579"/>
      <c r="J142" s="2579"/>
      <c r="K142" s="2579"/>
      <c r="L142" s="2579"/>
      <c r="M142" s="2579"/>
      <c r="N142" s="2579"/>
      <c r="O142" s="2579"/>
    </row>
    <row r="143" spans="1:15" s="2463" customFormat="1" ht="12.75">
      <c r="A143" s="4879"/>
      <c r="B143" s="4879"/>
      <c r="C143" s="2557"/>
      <c r="D143" s="2555"/>
      <c r="E143" s="2555"/>
      <c r="F143" s="2555"/>
      <c r="G143" s="2556"/>
      <c r="H143" s="2555"/>
      <c r="I143" s="2579"/>
      <c r="J143" s="2579"/>
      <c r="K143" s="2579"/>
      <c r="L143" s="2579"/>
      <c r="M143" s="2579"/>
      <c r="N143" s="2579"/>
      <c r="O143" s="2579"/>
    </row>
    <row r="144" spans="1:15" s="2463" customFormat="1" ht="12.75">
      <c r="A144" s="2554"/>
      <c r="B144" s="2553"/>
      <c r="C144" s="2552"/>
      <c r="D144" s="2551"/>
      <c r="E144" s="2551"/>
      <c r="F144" s="2551"/>
      <c r="G144" s="2551"/>
      <c r="H144" s="2551"/>
      <c r="I144" s="2579"/>
      <c r="J144" s="2579"/>
      <c r="K144" s="2579"/>
      <c r="L144" s="2579"/>
      <c r="M144" s="2579"/>
      <c r="N144" s="2579"/>
      <c r="O144" s="2579"/>
    </row>
    <row r="145" spans="1:15" s="2463" customFormat="1" ht="12.75">
      <c r="A145" s="2546"/>
      <c r="B145" s="1269"/>
      <c r="C145" s="2542"/>
      <c r="D145" s="2548"/>
      <c r="E145" s="2548"/>
      <c r="F145" s="2540"/>
      <c r="G145" s="2548"/>
      <c r="H145" s="2548"/>
      <c r="I145" s="2579"/>
      <c r="J145" s="2579"/>
      <c r="K145" s="2579"/>
      <c r="L145" s="2579"/>
      <c r="M145" s="2579"/>
      <c r="N145" s="2579"/>
      <c r="O145" s="2579"/>
    </row>
    <row r="146" spans="1:15" s="2463" customFormat="1" ht="12.75">
      <c r="A146" s="2549"/>
      <c r="B146" s="2549"/>
      <c r="C146" s="2545"/>
      <c r="D146" s="2548"/>
      <c r="E146" s="2548"/>
      <c r="F146" s="2540"/>
      <c r="G146" s="2548"/>
      <c r="H146" s="2548"/>
      <c r="I146" s="2579"/>
      <c r="J146" s="2579"/>
      <c r="K146" s="2579"/>
      <c r="L146" s="2579"/>
      <c r="M146" s="2579"/>
      <c r="N146" s="2579"/>
      <c r="O146" s="2579"/>
    </row>
    <row r="147" spans="1:15" s="2463" customFormat="1" ht="12.75">
      <c r="A147" s="2546"/>
      <c r="B147" s="1269"/>
      <c r="C147" s="2545"/>
      <c r="D147" s="2541"/>
      <c r="E147" s="2544"/>
      <c r="F147" s="2540"/>
      <c r="G147" s="2544"/>
      <c r="H147" s="2544"/>
      <c r="I147" s="2579"/>
      <c r="J147" s="2579"/>
      <c r="K147" s="2579"/>
      <c r="L147" s="2579"/>
      <c r="M147" s="2579"/>
      <c r="N147" s="2579"/>
      <c r="O147" s="2579"/>
    </row>
    <row r="148" spans="1:15" s="2463" customFormat="1" ht="12.75">
      <c r="A148" s="2549"/>
      <c r="B148" s="2549"/>
      <c r="C148" s="2545"/>
      <c r="D148" s="2541"/>
      <c r="E148" s="2544"/>
      <c r="F148" s="2540"/>
      <c r="G148" s="2544"/>
      <c r="H148" s="2544"/>
      <c r="I148" s="2579"/>
      <c r="J148" s="2579"/>
      <c r="K148" s="2579"/>
      <c r="L148" s="2579"/>
      <c r="M148" s="2579"/>
      <c r="N148" s="2579"/>
      <c r="O148" s="2579"/>
    </row>
    <row r="149" spans="1:15" s="2463" customFormat="1" ht="12.75">
      <c r="A149" s="2543"/>
      <c r="B149" s="2543"/>
      <c r="C149" s="2542"/>
      <c r="D149" s="2541"/>
      <c r="E149" s="2539"/>
      <c r="F149" s="2540"/>
      <c r="G149" s="2539"/>
      <c r="H149" s="2539"/>
      <c r="I149" s="2579"/>
      <c r="J149" s="2579"/>
      <c r="K149" s="2579"/>
      <c r="L149" s="2579"/>
      <c r="M149" s="2579"/>
      <c r="N149" s="2579"/>
      <c r="O149" s="2579"/>
    </row>
    <row r="150" spans="1:15" s="2463" customFormat="1" ht="12.75">
      <c r="A150" s="2538"/>
      <c r="B150" s="2538"/>
      <c r="C150" s="2537"/>
      <c r="D150" s="2536"/>
      <c r="E150" s="2536"/>
      <c r="F150" s="2536"/>
      <c r="G150" s="2536"/>
      <c r="H150" s="2536"/>
      <c r="I150" s="2579"/>
      <c r="J150" s="2579"/>
      <c r="K150" s="2579"/>
      <c r="L150" s="2579"/>
      <c r="M150" s="2579"/>
      <c r="N150" s="2579"/>
      <c r="O150" s="2579"/>
    </row>
    <row r="151" spans="1:15" s="2463" customFormat="1" ht="12.75">
      <c r="A151" s="2538"/>
      <c r="B151" s="2538"/>
      <c r="C151" s="2537"/>
      <c r="D151" s="2536"/>
      <c r="E151" s="2536"/>
      <c r="F151" s="2536"/>
      <c r="G151" s="2536"/>
      <c r="H151" s="2536"/>
      <c r="I151" s="2579"/>
      <c r="J151" s="2579"/>
      <c r="K151" s="2579"/>
      <c r="L151" s="2579"/>
      <c r="M151" s="2579"/>
      <c r="N151" s="2579"/>
      <c r="O151" s="2579"/>
    </row>
    <row r="152" spans="1:15" s="2463" customFormat="1">
      <c r="A152" s="1269"/>
      <c r="B152" s="2529"/>
      <c r="C152" s="2535"/>
      <c r="D152" s="2529"/>
      <c r="E152" s="4877"/>
      <c r="F152" s="4877"/>
      <c r="G152" s="1269"/>
      <c r="H152" s="2529"/>
      <c r="I152" s="2579"/>
      <c r="J152" s="2579"/>
      <c r="K152" s="2579"/>
      <c r="L152" s="2579"/>
      <c r="M152" s="2579"/>
      <c r="N152" s="2579"/>
      <c r="O152" s="2579"/>
    </row>
    <row r="153" spans="1:15" s="2463" customFormat="1">
      <c r="A153" s="2529"/>
      <c r="B153" s="1269"/>
      <c r="C153" s="2535"/>
      <c r="D153" s="1269"/>
      <c r="E153" s="1269"/>
      <c r="F153" s="1269"/>
      <c r="G153" s="1269"/>
      <c r="H153" s="2529"/>
      <c r="I153" s="2579"/>
      <c r="J153" s="2579"/>
      <c r="K153" s="2579"/>
      <c r="L153" s="2579"/>
      <c r="M153" s="2579"/>
      <c r="N153" s="2579"/>
      <c r="O153" s="2579"/>
    </row>
    <row r="154" spans="1:15" s="2463" customFormat="1" ht="12.75">
      <c r="A154" s="2534"/>
      <c r="B154" s="1269"/>
      <c r="C154" s="4881"/>
      <c r="D154" s="4881"/>
      <c r="E154" s="4876"/>
      <c r="F154" s="4876"/>
      <c r="G154" s="4876"/>
      <c r="H154" s="4876"/>
      <c r="I154" s="2579"/>
      <c r="J154" s="2579"/>
      <c r="K154" s="2579"/>
      <c r="L154" s="2579"/>
      <c r="M154" s="2579"/>
      <c r="N154" s="2579"/>
      <c r="O154" s="2579"/>
    </row>
    <row r="155" spans="1:15" s="2463" customFormat="1" ht="12.75">
      <c r="A155" s="2531"/>
      <c r="B155" s="2533"/>
      <c r="C155" s="4874"/>
      <c r="D155" s="4874"/>
      <c r="E155" s="4875"/>
      <c r="F155" s="4875"/>
      <c r="G155" s="4875"/>
      <c r="H155" s="4875"/>
      <c r="I155" s="2579"/>
      <c r="J155" s="2579"/>
      <c r="K155" s="2579"/>
      <c r="L155" s="2579"/>
      <c r="M155" s="2579"/>
      <c r="N155" s="2579"/>
      <c r="O155" s="2579"/>
    </row>
    <row r="156" spans="1:15" s="2463" customFormat="1" ht="12.75">
      <c r="A156" s="2531"/>
      <c r="B156" s="2533"/>
      <c r="C156" s="2531"/>
      <c r="D156" s="2566"/>
      <c r="E156" s="2566"/>
      <c r="F156" s="2566"/>
      <c r="G156" s="2566"/>
      <c r="H156" s="2566"/>
      <c r="I156" s="2579"/>
      <c r="J156" s="2579"/>
      <c r="K156" s="2579"/>
      <c r="L156" s="2579"/>
      <c r="M156" s="2579"/>
      <c r="N156" s="2579"/>
      <c r="O156" s="2579"/>
    </row>
    <row r="157" spans="1:15" s="2463" customFormat="1" ht="12.75">
      <c r="A157" s="2531"/>
      <c r="B157" s="2533"/>
      <c r="C157" s="2531"/>
      <c r="D157" s="2566"/>
      <c r="E157" s="2566"/>
      <c r="F157" s="2566"/>
      <c r="G157" s="2566"/>
      <c r="H157" s="2566"/>
      <c r="I157" s="2579"/>
      <c r="J157" s="2579"/>
      <c r="K157" s="2579"/>
      <c r="L157" s="2579"/>
      <c r="M157" s="2579"/>
      <c r="N157" s="2579"/>
      <c r="O157" s="2579"/>
    </row>
    <row r="158" spans="1:15" s="2463" customFormat="1" ht="12.75">
      <c r="A158" s="2531"/>
      <c r="B158" s="2533"/>
      <c r="C158" s="2531"/>
      <c r="D158" s="2566"/>
      <c r="E158" s="2566"/>
      <c r="F158" s="2566"/>
      <c r="G158" s="2566"/>
      <c r="H158" s="2566"/>
      <c r="I158" s="2579"/>
      <c r="J158" s="2579"/>
      <c r="K158" s="2579"/>
      <c r="L158" s="2579"/>
      <c r="M158" s="2579"/>
      <c r="N158" s="2579"/>
      <c r="O158" s="2579"/>
    </row>
    <row r="159" spans="1:15" s="2463" customFormat="1" ht="12.75">
      <c r="A159" s="2531"/>
      <c r="B159" s="2533"/>
      <c r="C159" s="2531"/>
      <c r="D159" s="2566"/>
      <c r="E159" s="2566"/>
      <c r="F159" s="2566"/>
      <c r="G159" s="2566"/>
      <c r="H159" s="2566"/>
      <c r="I159" s="2579"/>
      <c r="J159" s="2579"/>
      <c r="K159" s="2579"/>
      <c r="L159" s="2579"/>
      <c r="M159" s="2579"/>
      <c r="N159" s="2579"/>
      <c r="O159" s="2579"/>
    </row>
    <row r="160" spans="1:15" s="2463" customFormat="1" ht="12.75">
      <c r="A160" s="2531"/>
      <c r="B160" s="2533"/>
      <c r="C160" s="2531"/>
      <c r="D160" s="2566"/>
      <c r="E160" s="2566"/>
      <c r="F160" s="2566"/>
      <c r="G160" s="2566"/>
      <c r="H160" s="2566"/>
      <c r="I160" s="2579"/>
      <c r="J160" s="2579"/>
      <c r="K160" s="2579"/>
      <c r="L160" s="2579"/>
      <c r="M160" s="2579"/>
      <c r="N160" s="2579"/>
      <c r="O160" s="2579"/>
    </row>
    <row r="161" spans="1:15" s="2463" customFormat="1" ht="12.75">
      <c r="A161" s="2531"/>
      <c r="B161" s="2533"/>
      <c r="C161" s="2531"/>
      <c r="D161" s="2566"/>
      <c r="E161" s="2566"/>
      <c r="F161" s="2566"/>
      <c r="G161" s="2566"/>
      <c r="H161" s="2566"/>
      <c r="I161" s="2579"/>
      <c r="J161" s="2579"/>
      <c r="K161" s="2579"/>
      <c r="L161" s="2579"/>
      <c r="M161" s="2579"/>
      <c r="N161" s="2579"/>
      <c r="O161" s="2579"/>
    </row>
    <row r="162" spans="1:15" s="2463" customFormat="1" ht="12.75">
      <c r="A162" s="2531"/>
      <c r="B162" s="2533"/>
      <c r="C162" s="2531"/>
      <c r="D162" s="2566"/>
      <c r="E162" s="2566"/>
      <c r="F162" s="2566"/>
      <c r="G162" s="2566"/>
      <c r="H162" s="2566"/>
      <c r="I162" s="2579"/>
      <c r="J162" s="2579"/>
      <c r="K162" s="2579"/>
      <c r="L162" s="2579"/>
      <c r="M162" s="2579"/>
      <c r="N162" s="2579"/>
      <c r="O162" s="2579"/>
    </row>
    <row r="163" spans="1:15" s="2463" customFormat="1" ht="12.75">
      <c r="A163" s="2531"/>
      <c r="B163" s="2533"/>
      <c r="C163" s="2531"/>
      <c r="D163" s="2566"/>
      <c r="E163" s="2566"/>
      <c r="F163" s="2566"/>
      <c r="G163" s="2566"/>
      <c r="H163" s="2566"/>
      <c r="I163" s="2579"/>
      <c r="J163" s="2579"/>
      <c r="K163" s="2579"/>
      <c r="L163" s="2579"/>
      <c r="M163" s="2579"/>
      <c r="N163" s="2579"/>
      <c r="O163" s="2579"/>
    </row>
    <row r="164" spans="1:15" s="2463" customFormat="1" ht="12.75">
      <c r="A164" s="2531"/>
      <c r="B164" s="2533"/>
      <c r="C164" s="2531"/>
      <c r="D164" s="2566"/>
      <c r="E164" s="2566"/>
      <c r="F164" s="2566"/>
      <c r="G164" s="2566"/>
      <c r="H164" s="2566"/>
      <c r="I164" s="2579"/>
      <c r="J164" s="2579"/>
      <c r="K164" s="2579"/>
      <c r="L164" s="2579"/>
      <c r="M164" s="2579"/>
      <c r="N164" s="2579"/>
      <c r="O164" s="2579"/>
    </row>
    <row r="165" spans="1:15" s="2463" customFormat="1" ht="12.75">
      <c r="A165" s="2531"/>
      <c r="B165" s="2533"/>
      <c r="C165" s="2531"/>
      <c r="D165" s="2566"/>
      <c r="E165" s="2566"/>
      <c r="F165" s="2566"/>
      <c r="G165" s="2566"/>
      <c r="H165" s="2566"/>
      <c r="I165" s="2579"/>
      <c r="J165" s="2579"/>
      <c r="K165" s="2579"/>
      <c r="L165" s="2579"/>
      <c r="M165" s="2579"/>
      <c r="N165" s="2579"/>
      <c r="O165" s="2579"/>
    </row>
    <row r="166" spans="1:15" s="2463" customFormat="1" ht="12.75">
      <c r="A166" s="2531"/>
      <c r="B166" s="2533"/>
      <c r="C166" s="2531"/>
      <c r="D166" s="2566"/>
      <c r="E166" s="2566"/>
      <c r="F166" s="2566"/>
      <c r="G166" s="2566"/>
      <c r="H166" s="2566"/>
      <c r="I166" s="2579"/>
      <c r="J166" s="2579"/>
      <c r="K166" s="2579"/>
      <c r="L166" s="2579"/>
      <c r="M166" s="2579"/>
      <c r="N166" s="2579"/>
      <c r="O166" s="2579"/>
    </row>
    <row r="167" spans="1:15" s="2463" customFormat="1" ht="12.75">
      <c r="A167" s="2531"/>
      <c r="B167" s="2533"/>
      <c r="C167" s="2531"/>
      <c r="D167" s="2566"/>
      <c r="E167" s="2566"/>
      <c r="F167" s="2566"/>
      <c r="G167" s="2566"/>
      <c r="H167" s="2566"/>
      <c r="I167" s="2579"/>
      <c r="J167" s="2579"/>
      <c r="K167" s="2579"/>
      <c r="L167" s="2579"/>
      <c r="M167" s="2579"/>
      <c r="N167" s="2579"/>
      <c r="O167" s="2579"/>
    </row>
    <row r="168" spans="1:15" s="2463" customFormat="1" ht="12.75">
      <c r="A168" s="2531"/>
      <c r="B168" s="2533"/>
      <c r="C168" s="2531"/>
      <c r="D168" s="2566"/>
      <c r="E168" s="2566"/>
      <c r="F168" s="2566"/>
      <c r="G168" s="2566"/>
      <c r="H168" s="2566"/>
      <c r="I168" s="2579"/>
      <c r="J168" s="2579"/>
      <c r="K168" s="2579"/>
      <c r="L168" s="2579"/>
      <c r="M168" s="2579"/>
      <c r="N168" s="2579"/>
      <c r="O168" s="2579"/>
    </row>
    <row r="169" spans="1:15" s="2463" customFormat="1" ht="12.75">
      <c r="A169" s="2531"/>
      <c r="B169" s="2533"/>
      <c r="C169" s="2531"/>
      <c r="D169" s="2566"/>
      <c r="E169" s="2566"/>
      <c r="F169" s="2566"/>
      <c r="G169" s="2566"/>
      <c r="H169" s="2566"/>
      <c r="I169" s="2579"/>
      <c r="J169" s="2579"/>
      <c r="K169" s="2579"/>
      <c r="L169" s="2579"/>
      <c r="M169" s="2579"/>
      <c r="N169" s="2579"/>
      <c r="O169" s="2579"/>
    </row>
    <row r="170" spans="1:15" s="2463" customFormat="1" ht="12.75">
      <c r="A170" s="2531"/>
      <c r="B170" s="2533"/>
      <c r="C170" s="2531"/>
      <c r="D170" s="2566"/>
      <c r="E170" s="2566"/>
      <c r="F170" s="2566"/>
      <c r="G170" s="2566"/>
      <c r="H170" s="2566"/>
      <c r="I170" s="2579"/>
      <c r="J170" s="2579"/>
      <c r="K170" s="2579"/>
      <c r="L170" s="2579"/>
      <c r="M170" s="2579"/>
      <c r="N170" s="2579"/>
      <c r="O170" s="2579"/>
    </row>
    <row r="171" spans="1:15" s="2463" customFormat="1" ht="12.75">
      <c r="A171" s="2531"/>
      <c r="B171" s="2533"/>
      <c r="C171" s="2531"/>
      <c r="D171" s="2566"/>
      <c r="E171" s="2566"/>
      <c r="F171" s="2566"/>
      <c r="G171" s="2566"/>
      <c r="H171" s="2566"/>
      <c r="I171" s="2579"/>
      <c r="J171" s="2579"/>
      <c r="K171" s="2579"/>
      <c r="L171" s="2579"/>
      <c r="M171" s="2579"/>
      <c r="N171" s="2579"/>
      <c r="O171" s="2579"/>
    </row>
    <row r="172" spans="1:15" s="2463" customFormat="1" ht="12.75">
      <c r="A172" s="2531"/>
      <c r="B172" s="2533"/>
      <c r="C172" s="2531"/>
      <c r="D172" s="2566"/>
      <c r="E172" s="2566"/>
      <c r="F172" s="2566"/>
      <c r="G172" s="2566"/>
      <c r="H172" s="2566"/>
      <c r="I172" s="2579"/>
      <c r="J172" s="2579"/>
      <c r="K172" s="2579"/>
      <c r="L172" s="2579"/>
      <c r="M172" s="2579"/>
      <c r="N172" s="2579"/>
      <c r="O172" s="2579"/>
    </row>
    <row r="173" spans="1:15" s="2463" customFormat="1" ht="12.75">
      <c r="A173" s="2531"/>
      <c r="B173" s="2533"/>
      <c r="C173" s="2531"/>
      <c r="D173" s="2566"/>
      <c r="E173" s="2566"/>
      <c r="F173" s="2566"/>
      <c r="G173" s="2566"/>
      <c r="H173" s="2566"/>
      <c r="I173" s="2579"/>
      <c r="J173" s="2579"/>
      <c r="K173" s="2579"/>
      <c r="L173" s="2579"/>
      <c r="M173" s="2579"/>
      <c r="N173" s="2579"/>
      <c r="O173" s="2579"/>
    </row>
    <row r="174" spans="1:15" s="2463" customFormat="1" ht="12.75">
      <c r="A174" s="2531"/>
      <c r="B174" s="2533"/>
      <c r="C174" s="2531"/>
      <c r="D174" s="2566"/>
      <c r="E174" s="2566"/>
      <c r="F174" s="2566"/>
      <c r="G174" s="2566"/>
      <c r="H174" s="2566"/>
      <c r="I174" s="2579"/>
      <c r="J174" s="2579"/>
      <c r="K174" s="2579"/>
      <c r="L174" s="2579"/>
      <c r="M174" s="2579"/>
      <c r="N174" s="2579"/>
      <c r="O174" s="2579"/>
    </row>
    <row r="175" spans="1:15">
      <c r="A175" s="4876"/>
      <c r="B175" s="4876"/>
      <c r="C175" s="4876"/>
      <c r="D175" s="4876"/>
      <c r="E175" s="4876"/>
      <c r="F175" s="4876"/>
      <c r="G175" s="4876"/>
      <c r="H175" s="4876"/>
    </row>
    <row r="176" spans="1:15">
      <c r="A176" s="4877"/>
      <c r="B176" s="4877"/>
      <c r="C176" s="4877"/>
      <c r="D176" s="4877"/>
      <c r="E176" s="4877"/>
      <c r="F176" s="4877"/>
      <c r="G176" s="4877"/>
      <c r="H176" s="4877"/>
    </row>
    <row r="177" spans="1:15">
      <c r="A177" s="2529"/>
      <c r="B177" s="2529"/>
      <c r="C177" s="2529"/>
      <c r="D177" s="2529"/>
      <c r="E177" s="2529"/>
      <c r="F177" s="2529"/>
      <c r="G177" s="2529"/>
      <c r="H177" s="2529"/>
    </row>
    <row r="178" spans="1:15">
      <c r="A178" s="2529"/>
      <c r="B178" s="2529"/>
      <c r="C178" s="2529"/>
      <c r="D178" s="2529"/>
      <c r="E178" s="2529"/>
      <c r="F178" s="2529"/>
      <c r="G178" s="2529"/>
      <c r="H178" s="2529"/>
    </row>
    <row r="179" spans="1:15" s="2463" customFormat="1">
      <c r="A179" s="2568"/>
      <c r="B179" s="2567"/>
      <c r="C179" s="2529"/>
      <c r="D179" s="2566"/>
      <c r="E179" s="2566"/>
      <c r="F179" s="2566"/>
      <c r="G179" s="2566"/>
      <c r="H179" s="2566"/>
      <c r="I179" s="2579"/>
      <c r="J179" s="2579"/>
      <c r="K179" s="2579"/>
      <c r="L179" s="2579"/>
      <c r="M179" s="2579"/>
      <c r="N179" s="2579"/>
      <c r="O179" s="2579"/>
    </row>
    <row r="180" spans="1:15" s="2463" customFormat="1" ht="12.75">
      <c r="A180" s="1269"/>
      <c r="B180" s="1269"/>
      <c r="C180" s="2542"/>
      <c r="D180" s="2541"/>
      <c r="E180" s="2561"/>
      <c r="F180" s="2540"/>
      <c r="G180" s="2565"/>
      <c r="H180" s="2561"/>
      <c r="I180" s="2579"/>
      <c r="J180" s="2579"/>
      <c r="K180" s="2579"/>
      <c r="L180" s="2579"/>
      <c r="M180" s="2579"/>
      <c r="N180" s="2579"/>
      <c r="O180" s="2579"/>
    </row>
    <row r="181" spans="1:15" s="2463" customFormat="1" ht="23.25">
      <c r="A181" s="2564"/>
      <c r="B181" s="2564"/>
      <c r="C181" s="2563"/>
      <c r="D181" s="2541"/>
      <c r="E181" s="2561"/>
      <c r="F181" s="2540"/>
      <c r="G181" s="2562"/>
      <c r="H181" s="2561"/>
      <c r="I181" s="2579"/>
      <c r="J181" s="2579"/>
      <c r="K181" s="2579"/>
      <c r="L181" s="2579"/>
      <c r="M181" s="2579"/>
      <c r="N181" s="2579"/>
      <c r="O181" s="2579"/>
    </row>
    <row r="182" spans="1:15" s="2463" customFormat="1" ht="12.75">
      <c r="A182" s="4879"/>
      <c r="B182" s="4879"/>
      <c r="C182" s="2559"/>
      <c r="D182" s="2560"/>
      <c r="E182" s="4880"/>
      <c r="F182" s="4880"/>
      <c r="G182" s="4880"/>
      <c r="H182" s="2557"/>
      <c r="I182" s="2579"/>
      <c r="J182" s="2579"/>
      <c r="K182" s="2579"/>
      <c r="L182" s="2579"/>
      <c r="M182" s="2579"/>
      <c r="N182" s="2579"/>
      <c r="O182" s="2579"/>
    </row>
    <row r="183" spans="1:15" s="2463" customFormat="1" ht="12.75">
      <c r="A183" s="4879"/>
      <c r="B183" s="4879"/>
      <c r="C183" s="2559"/>
      <c r="D183" s="2558"/>
      <c r="E183" s="2558"/>
      <c r="F183" s="2558"/>
      <c r="G183" s="2558"/>
      <c r="H183" s="2558"/>
      <c r="I183" s="2579"/>
      <c r="J183" s="2579"/>
      <c r="K183" s="2579"/>
      <c r="L183" s="2579"/>
      <c r="M183" s="2579"/>
      <c r="N183" s="2579"/>
      <c r="O183" s="2579"/>
    </row>
    <row r="184" spans="1:15" s="2463" customFormat="1" ht="12.75">
      <c r="A184" s="4879"/>
      <c r="B184" s="4879"/>
      <c r="C184" s="2557"/>
      <c r="D184" s="2555"/>
      <c r="E184" s="2555"/>
      <c r="F184" s="2555"/>
      <c r="G184" s="2556"/>
      <c r="H184" s="2555"/>
      <c r="I184" s="2579"/>
      <c r="J184" s="2579"/>
      <c r="K184" s="2579"/>
      <c r="L184" s="2579"/>
      <c r="M184" s="2579"/>
      <c r="N184" s="2579"/>
      <c r="O184" s="2579"/>
    </row>
    <row r="185" spans="1:15" s="2463" customFormat="1" ht="12.75">
      <c r="A185" s="2554"/>
      <c r="B185" s="2553"/>
      <c r="C185" s="2552"/>
      <c r="D185" s="2551"/>
      <c r="E185" s="2551"/>
      <c r="F185" s="2551"/>
      <c r="G185" s="2551"/>
      <c r="H185" s="2551"/>
      <c r="I185" s="2579"/>
      <c r="J185" s="2579"/>
      <c r="K185" s="2579"/>
      <c r="L185" s="2579"/>
      <c r="M185" s="2579"/>
      <c r="N185" s="2579"/>
      <c r="O185" s="2579"/>
    </row>
    <row r="186" spans="1:15" s="2463" customFormat="1" ht="12.75">
      <c r="A186" s="2546"/>
      <c r="B186" s="1269"/>
      <c r="C186" s="2545"/>
      <c r="D186" s="2548"/>
      <c r="E186" s="2548"/>
      <c r="F186" s="2540"/>
      <c r="G186" s="2548"/>
      <c r="H186" s="2548"/>
      <c r="I186" s="2579"/>
      <c r="J186" s="2579"/>
      <c r="K186" s="2579"/>
      <c r="L186" s="2579"/>
      <c r="M186" s="2579"/>
      <c r="N186" s="2579"/>
      <c r="O186" s="2579"/>
    </row>
    <row r="187" spans="1:15" s="2463" customFormat="1" ht="12.75">
      <c r="A187" s="2549"/>
      <c r="B187" s="2549"/>
      <c r="C187" s="2545"/>
      <c r="D187" s="2548"/>
      <c r="E187" s="2548"/>
      <c r="F187" s="2540"/>
      <c r="G187" s="2548"/>
      <c r="H187" s="2548"/>
      <c r="I187" s="2579"/>
      <c r="J187" s="2579"/>
      <c r="K187" s="2579"/>
      <c r="L187" s="2579"/>
      <c r="M187" s="2579"/>
      <c r="N187" s="2579"/>
      <c r="O187" s="2579"/>
    </row>
    <row r="188" spans="1:15" s="2463" customFormat="1" ht="12.75">
      <c r="A188" s="2546"/>
      <c r="B188" s="1269"/>
      <c r="C188" s="2542"/>
      <c r="D188" s="2541"/>
      <c r="E188" s="2544"/>
      <c r="F188" s="2540"/>
      <c r="G188" s="2544"/>
      <c r="H188" s="2544"/>
      <c r="I188" s="2579"/>
      <c r="J188" s="2579"/>
      <c r="K188" s="2579"/>
      <c r="L188" s="2579"/>
      <c r="M188" s="2579"/>
      <c r="N188" s="2579"/>
      <c r="O188" s="2579"/>
    </row>
    <row r="189" spans="1:15" s="2463" customFormat="1" ht="12.75">
      <c r="A189" s="2549"/>
      <c r="B189" s="2549"/>
      <c r="C189" s="2545"/>
      <c r="D189" s="2541"/>
      <c r="E189" s="2544"/>
      <c r="F189" s="2540"/>
      <c r="G189" s="2544"/>
      <c r="H189" s="2544"/>
      <c r="I189" s="2579"/>
      <c r="J189" s="2579"/>
      <c r="K189" s="2579"/>
      <c r="L189" s="2579"/>
      <c r="M189" s="2579"/>
      <c r="N189" s="2579"/>
      <c r="O189" s="2579"/>
    </row>
    <row r="190" spans="1:15" s="2463" customFormat="1" ht="12.75">
      <c r="A190" s="2549"/>
      <c r="B190" s="2549"/>
      <c r="C190" s="2542"/>
      <c r="D190" s="2541"/>
      <c r="E190" s="2544"/>
      <c r="F190" s="2540"/>
      <c r="G190" s="2544"/>
      <c r="H190" s="2544"/>
      <c r="I190" s="2579"/>
      <c r="J190" s="2579"/>
      <c r="K190" s="2579"/>
      <c r="L190" s="2579"/>
      <c r="M190" s="2579"/>
      <c r="N190" s="2579"/>
      <c r="O190" s="2579"/>
    </row>
    <row r="191" spans="1:15" s="2463" customFormat="1" ht="12.75">
      <c r="A191" s="2549"/>
      <c r="B191" s="2549"/>
      <c r="C191" s="2542"/>
      <c r="D191" s="2541"/>
      <c r="E191" s="2544"/>
      <c r="F191" s="2540"/>
      <c r="G191" s="2544"/>
      <c r="H191" s="2544"/>
      <c r="I191" s="2579"/>
      <c r="J191" s="2579"/>
      <c r="K191" s="2579"/>
      <c r="L191" s="2579"/>
      <c r="M191" s="2579"/>
      <c r="N191" s="2579"/>
      <c r="O191" s="2579"/>
    </row>
    <row r="192" spans="1:15" s="2463" customFormat="1" ht="12.75">
      <c r="A192" s="2546"/>
      <c r="B192" s="1269"/>
      <c r="C192" s="2545"/>
      <c r="D192" s="2541"/>
      <c r="E192" s="2544"/>
      <c r="F192" s="2540"/>
      <c r="G192" s="2544"/>
      <c r="H192" s="2544"/>
      <c r="I192" s="2579"/>
      <c r="J192" s="2579"/>
      <c r="K192" s="2579"/>
      <c r="L192" s="2579"/>
      <c r="M192" s="2579"/>
      <c r="N192" s="2579"/>
      <c r="O192" s="2579"/>
    </row>
    <row r="193" spans="1:15" s="2463" customFormat="1" ht="12.75">
      <c r="A193" s="2546"/>
      <c r="B193" s="1269"/>
      <c r="C193" s="2545"/>
      <c r="D193" s="2541"/>
      <c r="E193" s="2544"/>
      <c r="F193" s="2540"/>
      <c r="G193" s="2544"/>
      <c r="H193" s="2544"/>
      <c r="I193" s="2579"/>
      <c r="J193" s="2579"/>
      <c r="K193" s="2579"/>
      <c r="L193" s="2579"/>
      <c r="M193" s="2579"/>
      <c r="N193" s="2579"/>
      <c r="O193" s="2579"/>
    </row>
    <row r="194" spans="1:15" s="2463" customFormat="1" ht="12.75">
      <c r="A194" s="2547"/>
      <c r="B194" s="2546"/>
      <c r="C194" s="2545"/>
      <c r="D194" s="2541"/>
      <c r="E194" s="2544"/>
      <c r="F194" s="2540"/>
      <c r="G194" s="2544"/>
      <c r="H194" s="2544"/>
      <c r="I194" s="2579"/>
      <c r="J194" s="2579"/>
      <c r="K194" s="2579"/>
      <c r="L194" s="2579"/>
      <c r="M194" s="2579"/>
      <c r="N194" s="2579"/>
      <c r="O194" s="2579"/>
    </row>
    <row r="195" spans="1:15" s="2463" customFormat="1" ht="12.75">
      <c r="A195" s="2543"/>
      <c r="B195" s="2543"/>
      <c r="C195" s="2542"/>
      <c r="D195" s="2541"/>
      <c r="E195" s="2539"/>
      <c r="F195" s="2540"/>
      <c r="G195" s="2539"/>
      <c r="H195" s="2539"/>
      <c r="I195" s="2579"/>
      <c r="J195" s="2579"/>
      <c r="K195" s="2579"/>
      <c r="L195" s="2579"/>
      <c r="M195" s="2579"/>
      <c r="N195" s="2579"/>
      <c r="O195" s="2579"/>
    </row>
    <row r="196" spans="1:15" s="2463" customFormat="1" ht="12.75">
      <c r="A196" s="2538"/>
      <c r="B196" s="2538"/>
      <c r="C196" s="2537"/>
      <c r="D196" s="2536"/>
      <c r="E196" s="2536"/>
      <c r="F196" s="2536"/>
      <c r="G196" s="2536"/>
      <c r="H196" s="2536"/>
      <c r="I196" s="2579"/>
      <c r="J196" s="2579"/>
      <c r="K196" s="2579"/>
      <c r="L196" s="2579"/>
      <c r="M196" s="2579"/>
      <c r="N196" s="2579"/>
      <c r="O196" s="2579"/>
    </row>
    <row r="197" spans="1:15" s="2463" customFormat="1" ht="12.75">
      <c r="A197" s="2538"/>
      <c r="B197" s="2538"/>
      <c r="C197" s="2537"/>
      <c r="D197" s="2536"/>
      <c r="E197" s="2536"/>
      <c r="F197" s="2536"/>
      <c r="G197" s="2536"/>
      <c r="H197" s="2536"/>
      <c r="I197" s="2579"/>
      <c r="J197" s="2579"/>
      <c r="K197" s="2579"/>
      <c r="L197" s="2579"/>
      <c r="M197" s="2579"/>
      <c r="N197" s="2579"/>
      <c r="O197" s="2579"/>
    </row>
    <row r="198" spans="1:15" s="2463" customFormat="1">
      <c r="A198" s="1269"/>
      <c r="B198" s="2529"/>
      <c r="C198" s="2535"/>
      <c r="D198" s="2529"/>
      <c r="E198" s="4877"/>
      <c r="F198" s="4877"/>
      <c r="G198" s="1269"/>
      <c r="H198" s="2529"/>
      <c r="I198" s="2579"/>
      <c r="J198" s="2579"/>
      <c r="K198" s="2579"/>
      <c r="L198" s="2579"/>
      <c r="M198" s="2579"/>
      <c r="N198" s="2579"/>
      <c r="O198" s="2579"/>
    </row>
    <row r="199" spans="1:15" s="2463" customFormat="1">
      <c r="A199" s="2529"/>
      <c r="B199" s="1269"/>
      <c r="C199" s="2535"/>
      <c r="D199" s="1269"/>
      <c r="E199" s="1269"/>
      <c r="F199" s="1269"/>
      <c r="G199" s="1269"/>
      <c r="H199" s="2529"/>
      <c r="I199" s="2579"/>
      <c r="J199" s="2579"/>
      <c r="K199" s="2579"/>
      <c r="L199" s="2579"/>
      <c r="M199" s="2579"/>
      <c r="N199" s="2579"/>
      <c r="O199" s="2579"/>
    </row>
    <row r="200" spans="1:15" s="2463" customFormat="1" ht="12.75">
      <c r="A200" s="2534"/>
      <c r="B200" s="1269"/>
      <c r="C200" s="4881"/>
      <c r="D200" s="4881"/>
      <c r="E200" s="4876"/>
      <c r="F200" s="4876"/>
      <c r="G200" s="4876"/>
      <c r="H200" s="4876"/>
      <c r="I200" s="2579"/>
      <c r="J200" s="2579"/>
      <c r="K200" s="2579"/>
      <c r="L200" s="2579"/>
      <c r="M200" s="2579"/>
      <c r="N200" s="2579"/>
      <c r="O200" s="2579"/>
    </row>
    <row r="201" spans="1:15" s="2463" customFormat="1" ht="12.75">
      <c r="A201" s="2531"/>
      <c r="B201" s="2533"/>
      <c r="C201" s="4874"/>
      <c r="D201" s="4874"/>
      <c r="E201" s="4875"/>
      <c r="F201" s="4875"/>
      <c r="G201" s="4875"/>
      <c r="H201" s="4875"/>
      <c r="I201" s="2579"/>
      <c r="J201" s="2579"/>
      <c r="K201" s="2579"/>
      <c r="L201" s="2579"/>
      <c r="M201" s="2579"/>
      <c r="N201" s="2579"/>
      <c r="O201" s="2579"/>
    </row>
    <row r="202" spans="1:15" s="2463" customFormat="1" ht="12.75">
      <c r="A202" s="2531"/>
      <c r="B202" s="2533"/>
      <c r="C202" s="2531"/>
      <c r="D202" s="2566"/>
      <c r="E202" s="2566"/>
      <c r="F202" s="2566"/>
      <c r="G202" s="2566"/>
      <c r="H202" s="2566"/>
      <c r="I202" s="2579"/>
      <c r="J202" s="2579"/>
      <c r="K202" s="2579"/>
      <c r="L202" s="2579"/>
      <c r="M202" s="2579"/>
      <c r="N202" s="2579"/>
      <c r="O202" s="2579"/>
    </row>
    <row r="203" spans="1:15" s="2463" customFormat="1" ht="12.75">
      <c r="A203" s="2531"/>
      <c r="B203" s="2533"/>
      <c r="C203" s="2531"/>
      <c r="D203" s="2566"/>
      <c r="E203" s="2566"/>
      <c r="F203" s="2566"/>
      <c r="G203" s="2566"/>
      <c r="H203" s="2566"/>
      <c r="I203" s="2579"/>
      <c r="J203" s="2579"/>
      <c r="K203" s="2579"/>
      <c r="L203" s="2579"/>
      <c r="M203" s="2579"/>
      <c r="N203" s="2579"/>
      <c r="O203" s="2579"/>
    </row>
    <row r="204" spans="1:15" s="2463" customFormat="1" ht="12.75">
      <c r="A204" s="2531"/>
      <c r="B204" s="2533"/>
      <c r="C204" s="2531"/>
      <c r="D204" s="2566"/>
      <c r="E204" s="2566"/>
      <c r="F204" s="2566"/>
      <c r="G204" s="2566"/>
      <c r="H204" s="2566"/>
      <c r="I204" s="2579"/>
      <c r="J204" s="2579"/>
      <c r="K204" s="2579"/>
      <c r="L204" s="2579"/>
      <c r="M204" s="2579"/>
      <c r="N204" s="2579"/>
      <c r="O204" s="2579"/>
    </row>
    <row r="205" spans="1:15" s="2463" customFormat="1" ht="12.75">
      <c r="A205" s="2531"/>
      <c r="B205" s="2533"/>
      <c r="C205" s="2531"/>
      <c r="D205" s="2566"/>
      <c r="E205" s="2566"/>
      <c r="F205" s="2566"/>
      <c r="G205" s="2566"/>
      <c r="H205" s="2566"/>
      <c r="I205" s="2579"/>
      <c r="J205" s="2579"/>
      <c r="K205" s="2579"/>
      <c r="L205" s="2579"/>
      <c r="M205" s="2579"/>
      <c r="N205" s="2579"/>
      <c r="O205" s="2579"/>
    </row>
    <row r="206" spans="1:15" s="2463" customFormat="1" ht="12.75">
      <c r="A206" s="2531"/>
      <c r="B206" s="2533"/>
      <c r="C206" s="2531"/>
      <c r="D206" s="2566"/>
      <c r="E206" s="2566"/>
      <c r="F206" s="2566"/>
      <c r="G206" s="2566"/>
      <c r="H206" s="2566"/>
      <c r="I206" s="2579"/>
      <c r="J206" s="2579"/>
      <c r="K206" s="2579"/>
      <c r="L206" s="2579"/>
      <c r="M206" s="2579"/>
      <c r="N206" s="2579"/>
      <c r="O206" s="2579"/>
    </row>
    <row r="207" spans="1:15" s="2463" customFormat="1" ht="12.75">
      <c r="A207" s="2531"/>
      <c r="B207" s="2533"/>
      <c r="C207" s="2531"/>
      <c r="D207" s="2566"/>
      <c r="E207" s="2566"/>
      <c r="F207" s="2566"/>
      <c r="G207" s="2566"/>
      <c r="H207" s="2566"/>
      <c r="I207" s="2579"/>
      <c r="J207" s="2579"/>
      <c r="K207" s="2579"/>
      <c r="L207" s="2579"/>
      <c r="M207" s="2579"/>
      <c r="N207" s="2579"/>
      <c r="O207" s="2579"/>
    </row>
    <row r="208" spans="1:15" s="2463" customFormat="1" ht="12.75">
      <c r="A208" s="2531"/>
      <c r="B208" s="2533"/>
      <c r="C208" s="2531"/>
      <c r="D208" s="2566"/>
      <c r="E208" s="2566"/>
      <c r="F208" s="2566"/>
      <c r="G208" s="2566"/>
      <c r="H208" s="2566"/>
      <c r="I208" s="2579"/>
      <c r="J208" s="2579"/>
      <c r="K208" s="2579"/>
      <c r="L208" s="2579"/>
      <c r="M208" s="2579"/>
      <c r="N208" s="2579"/>
      <c r="O208" s="2579"/>
    </row>
    <row r="209" spans="1:15" s="2463" customFormat="1" ht="12.75">
      <c r="A209" s="2531"/>
      <c r="B209" s="2533"/>
      <c r="C209" s="2531"/>
      <c r="D209" s="2566"/>
      <c r="E209" s="2566"/>
      <c r="F209" s="2566"/>
      <c r="G209" s="2566"/>
      <c r="H209" s="2566"/>
      <c r="I209" s="2579"/>
      <c r="J209" s="2579"/>
      <c r="K209" s="2579"/>
      <c r="L209" s="2579"/>
      <c r="M209" s="2579"/>
      <c r="N209" s="2579"/>
      <c r="O209" s="2579"/>
    </row>
    <row r="210" spans="1:15" s="2463" customFormat="1" ht="12.75">
      <c r="A210" s="2531"/>
      <c r="B210" s="2533"/>
      <c r="C210" s="2531"/>
      <c r="D210" s="2566"/>
      <c r="E210" s="2566"/>
      <c r="F210" s="2566"/>
      <c r="G210" s="2566"/>
      <c r="H210" s="2566"/>
      <c r="I210" s="2579"/>
      <c r="J210" s="2579"/>
      <c r="K210" s="2579"/>
      <c r="L210" s="2579"/>
      <c r="M210" s="2579"/>
      <c r="N210" s="2579"/>
      <c r="O210" s="2579"/>
    </row>
    <row r="211" spans="1:15" s="2463" customFormat="1" ht="12.75">
      <c r="A211" s="2531"/>
      <c r="B211" s="2533"/>
      <c r="C211" s="2531"/>
      <c r="D211" s="2566"/>
      <c r="E211" s="2566"/>
      <c r="F211" s="2566"/>
      <c r="G211" s="2566"/>
      <c r="H211" s="2566"/>
      <c r="I211" s="2579"/>
      <c r="J211" s="2579"/>
      <c r="K211" s="2579"/>
      <c r="L211" s="2579"/>
      <c r="M211" s="2579"/>
      <c r="N211" s="2579"/>
      <c r="O211" s="2579"/>
    </row>
    <row r="212" spans="1:15" s="2463" customFormat="1" ht="12.75">
      <c r="A212" s="2531"/>
      <c r="B212" s="2533"/>
      <c r="C212" s="2531"/>
      <c r="D212" s="2566"/>
      <c r="E212" s="2566"/>
      <c r="F212" s="2566"/>
      <c r="G212" s="2566"/>
      <c r="H212" s="2566"/>
      <c r="I212" s="2579"/>
      <c r="J212" s="2579"/>
      <c r="K212" s="2579"/>
      <c r="L212" s="2579"/>
      <c r="M212" s="2579"/>
      <c r="N212" s="2579"/>
      <c r="O212" s="2579"/>
    </row>
    <row r="213" spans="1:15" s="2463" customFormat="1" ht="12.75">
      <c r="A213" s="2531"/>
      <c r="B213" s="2533"/>
      <c r="C213" s="2531"/>
      <c r="D213" s="2566"/>
      <c r="E213" s="2566"/>
      <c r="F213" s="2566"/>
      <c r="G213" s="2566"/>
      <c r="H213" s="2566"/>
      <c r="I213" s="2579"/>
      <c r="J213" s="2579"/>
      <c r="K213" s="2579"/>
      <c r="L213" s="2579"/>
      <c r="M213" s="2579"/>
      <c r="N213" s="2579"/>
      <c r="O213" s="2579"/>
    </row>
    <row r="214" spans="1:15" s="2463" customFormat="1" ht="12.75">
      <c r="A214" s="2531"/>
      <c r="B214" s="2533"/>
      <c r="C214" s="2531"/>
      <c r="D214" s="2566"/>
      <c r="E214" s="2566"/>
      <c r="F214" s="2566"/>
      <c r="G214" s="2566"/>
      <c r="H214" s="2566"/>
      <c r="I214" s="2579"/>
      <c r="J214" s="2579"/>
      <c r="K214" s="2579"/>
      <c r="L214" s="2579"/>
      <c r="M214" s="2579"/>
      <c r="N214" s="2579"/>
      <c r="O214" s="2579"/>
    </row>
    <row r="215" spans="1:15">
      <c r="A215" s="2529"/>
      <c r="B215" s="2529"/>
      <c r="C215" s="2529"/>
      <c r="D215" s="2529"/>
      <c r="E215" s="2529"/>
      <c r="F215" s="2529"/>
      <c r="G215" s="2529"/>
      <c r="H215" s="2529"/>
    </row>
    <row r="216" spans="1:15">
      <c r="A216" s="4876"/>
      <c r="B216" s="4876"/>
      <c r="C216" s="4876"/>
      <c r="D216" s="4876"/>
      <c r="E216" s="4876"/>
      <c r="F216" s="4876"/>
      <c r="G216" s="4876"/>
      <c r="H216" s="4876"/>
    </row>
    <row r="217" spans="1:15">
      <c r="A217" s="4877"/>
      <c r="B217" s="4877"/>
      <c r="C217" s="4877"/>
      <c r="D217" s="4877"/>
      <c r="E217" s="4877"/>
      <c r="F217" s="4877"/>
      <c r="G217" s="4877"/>
      <c r="H217" s="4877"/>
    </row>
    <row r="218" spans="1:15">
      <c r="A218" s="2529"/>
      <c r="B218" s="2529"/>
      <c r="C218" s="2529"/>
      <c r="D218" s="2529"/>
      <c r="E218" s="2529"/>
      <c r="F218" s="2529"/>
      <c r="G218" s="2529"/>
      <c r="H218" s="2529"/>
    </row>
    <row r="219" spans="1:15">
      <c r="A219" s="2529"/>
      <c r="B219" s="2529"/>
      <c r="C219" s="2529"/>
      <c r="D219" s="2529"/>
      <c r="E219" s="2529"/>
      <c r="F219" s="2529"/>
      <c r="G219" s="2529"/>
      <c r="H219" s="2529"/>
    </row>
    <row r="220" spans="1:15" s="2463" customFormat="1">
      <c r="A220" s="2568"/>
      <c r="B220" s="2567"/>
      <c r="C220" s="2529"/>
      <c r="D220" s="2566"/>
      <c r="E220" s="2566"/>
      <c r="F220" s="2566"/>
      <c r="G220" s="2566"/>
      <c r="H220" s="2566"/>
      <c r="I220" s="2579"/>
      <c r="J220" s="2579"/>
      <c r="K220" s="2579"/>
      <c r="L220" s="2579"/>
      <c r="M220" s="2579"/>
      <c r="N220" s="2579"/>
      <c r="O220" s="2579"/>
    </row>
    <row r="221" spans="1:15" s="2463" customFormat="1" ht="12.75">
      <c r="A221" s="1269"/>
      <c r="B221" s="1269"/>
      <c r="C221" s="2542"/>
      <c r="D221" s="2541"/>
      <c r="E221" s="2561"/>
      <c r="F221" s="2540"/>
      <c r="G221" s="2565"/>
      <c r="H221" s="2561"/>
      <c r="I221" s="2579"/>
      <c r="J221" s="2579"/>
      <c r="K221" s="2579"/>
      <c r="L221" s="2579"/>
      <c r="M221" s="2579"/>
      <c r="N221" s="2579"/>
      <c r="O221" s="2579"/>
    </row>
    <row r="222" spans="1:15" s="2463" customFormat="1" ht="23.25">
      <c r="A222" s="2564"/>
      <c r="B222" s="2564"/>
      <c r="C222" s="2563"/>
      <c r="D222" s="2541"/>
      <c r="E222" s="2561"/>
      <c r="F222" s="2540"/>
      <c r="G222" s="2562"/>
      <c r="H222" s="2561"/>
      <c r="I222" s="2579"/>
      <c r="J222" s="2579"/>
      <c r="K222" s="2579"/>
      <c r="L222" s="2579"/>
      <c r="M222" s="2579"/>
      <c r="N222" s="2579"/>
      <c r="O222" s="2579"/>
    </row>
    <row r="223" spans="1:15" s="2463" customFormat="1" ht="12.75">
      <c r="A223" s="4879"/>
      <c r="B223" s="4879"/>
      <c r="C223" s="2559"/>
      <c r="D223" s="2560"/>
      <c r="E223" s="4880"/>
      <c r="F223" s="4880"/>
      <c r="G223" s="4880"/>
      <c r="H223" s="2557"/>
      <c r="I223" s="2579"/>
      <c r="J223" s="2579"/>
      <c r="K223" s="2579"/>
      <c r="L223" s="2579"/>
      <c r="M223" s="2579"/>
      <c r="N223" s="2579"/>
      <c r="O223" s="2579"/>
    </row>
    <row r="224" spans="1:15" s="2463" customFormat="1" ht="12.75">
      <c r="A224" s="4879"/>
      <c r="B224" s="4879"/>
      <c r="C224" s="2559"/>
      <c r="D224" s="2558"/>
      <c r="E224" s="2558"/>
      <c r="F224" s="2558"/>
      <c r="G224" s="2558"/>
      <c r="H224" s="2558"/>
      <c r="I224" s="2579"/>
      <c r="J224" s="2579"/>
      <c r="K224" s="2579"/>
      <c r="L224" s="2579"/>
      <c r="M224" s="2579"/>
      <c r="N224" s="2579"/>
      <c r="O224" s="2579"/>
    </row>
    <row r="225" spans="1:15" s="2463" customFormat="1" ht="12.75">
      <c r="A225" s="4879"/>
      <c r="B225" s="4879"/>
      <c r="C225" s="2557"/>
      <c r="D225" s="2555"/>
      <c r="E225" s="2555"/>
      <c r="F225" s="2555"/>
      <c r="G225" s="2556"/>
      <c r="H225" s="2555"/>
      <c r="I225" s="2579"/>
      <c r="J225" s="2579"/>
      <c r="K225" s="2579"/>
      <c r="L225" s="2579"/>
      <c r="M225" s="2579"/>
      <c r="N225" s="2579"/>
      <c r="O225" s="2579"/>
    </row>
    <row r="226" spans="1:15" s="2463" customFormat="1" ht="12.75">
      <c r="A226" s="2554"/>
      <c r="B226" s="2553"/>
      <c r="C226" s="2552"/>
      <c r="D226" s="2551"/>
      <c r="E226" s="2551"/>
      <c r="F226" s="2551"/>
      <c r="G226" s="2551"/>
      <c r="H226" s="2551"/>
      <c r="I226" s="2579"/>
      <c r="J226" s="2579"/>
      <c r="K226" s="2579"/>
      <c r="L226" s="2579"/>
      <c r="M226" s="2579"/>
      <c r="N226" s="2579"/>
      <c r="O226" s="2579"/>
    </row>
    <row r="227" spans="1:15" s="2463" customFormat="1" ht="12.75">
      <c r="A227" s="2549"/>
      <c r="B227" s="2549"/>
      <c r="C227" s="2545"/>
      <c r="D227" s="2548"/>
      <c r="E227" s="2548"/>
      <c r="F227" s="2540"/>
      <c r="G227" s="2548"/>
      <c r="H227" s="2548"/>
      <c r="I227" s="2579"/>
      <c r="J227" s="2579"/>
      <c r="K227" s="2579"/>
      <c r="L227" s="2579"/>
      <c r="M227" s="2579"/>
      <c r="N227" s="2579"/>
      <c r="O227" s="2579"/>
    </row>
    <row r="228" spans="1:15" s="2463" customFormat="1" ht="12.75">
      <c r="A228" s="2549"/>
      <c r="B228" s="2549"/>
      <c r="C228" s="2545"/>
      <c r="D228" s="2548"/>
      <c r="E228" s="2548"/>
      <c r="F228" s="2540"/>
      <c r="G228" s="2548"/>
      <c r="H228" s="2548"/>
      <c r="I228" s="2579"/>
      <c r="J228" s="2579"/>
      <c r="K228" s="2579"/>
      <c r="L228" s="2579"/>
      <c r="M228" s="2579"/>
      <c r="N228" s="2579"/>
      <c r="O228" s="2579"/>
    </row>
    <row r="229" spans="1:15" s="2463" customFormat="1" ht="12.75">
      <c r="A229" s="2546"/>
      <c r="B229" s="1269"/>
      <c r="C229" s="2545"/>
      <c r="D229" s="2541"/>
      <c r="E229" s="2544"/>
      <c r="F229" s="2540"/>
      <c r="G229" s="2544"/>
      <c r="H229" s="2544"/>
      <c r="I229" s="2579"/>
      <c r="J229" s="2579"/>
      <c r="K229" s="2579"/>
      <c r="L229" s="2579"/>
      <c r="M229" s="2579"/>
      <c r="N229" s="2579"/>
      <c r="O229" s="2579"/>
    </row>
    <row r="230" spans="1:15" s="2463" customFormat="1" ht="12.75">
      <c r="A230" s="2549"/>
      <c r="B230" s="2549"/>
      <c r="C230" s="2545"/>
      <c r="D230" s="2541"/>
      <c r="E230" s="2544"/>
      <c r="F230" s="2540"/>
      <c r="G230" s="2544"/>
      <c r="H230" s="2544"/>
      <c r="I230" s="2579"/>
      <c r="J230" s="2579"/>
      <c r="K230" s="2579"/>
      <c r="L230" s="2579"/>
      <c r="M230" s="2579"/>
      <c r="N230" s="2579"/>
      <c r="O230" s="2579"/>
    </row>
    <row r="231" spans="1:15" s="2463" customFormat="1" ht="12.75">
      <c r="A231" s="2546"/>
      <c r="B231" s="1269"/>
      <c r="C231" s="2542"/>
      <c r="D231" s="2541"/>
      <c r="E231" s="2544"/>
      <c r="F231" s="2540"/>
      <c r="G231" s="2544"/>
      <c r="H231" s="2544"/>
      <c r="I231" s="2579"/>
      <c r="J231" s="2579"/>
      <c r="K231" s="2579"/>
      <c r="L231" s="2579"/>
      <c r="M231" s="2579"/>
      <c r="N231" s="2579"/>
      <c r="O231" s="2579"/>
    </row>
    <row r="232" spans="1:15" s="2463" customFormat="1" ht="12.75">
      <c r="A232" s="2549"/>
      <c r="B232" s="2549"/>
      <c r="C232" s="2542"/>
      <c r="D232" s="2541"/>
      <c r="E232" s="2544"/>
      <c r="F232" s="2540"/>
      <c r="G232" s="2544"/>
      <c r="H232" s="2544"/>
      <c r="I232" s="2579"/>
      <c r="J232" s="2579"/>
      <c r="K232" s="2579"/>
      <c r="L232" s="2579"/>
      <c r="M232" s="2579"/>
      <c r="N232" s="2579"/>
      <c r="O232" s="2579"/>
    </row>
    <row r="233" spans="1:15" s="2463" customFormat="1" ht="12.75">
      <c r="A233" s="2547"/>
      <c r="B233" s="2546"/>
      <c r="C233" s="2545"/>
      <c r="D233" s="2541"/>
      <c r="E233" s="2544"/>
      <c r="F233" s="2540"/>
      <c r="G233" s="2544"/>
      <c r="H233" s="2544"/>
      <c r="I233" s="2579"/>
      <c r="J233" s="2579"/>
      <c r="K233" s="2579"/>
      <c r="L233" s="2579"/>
      <c r="M233" s="2579"/>
      <c r="N233" s="2579"/>
      <c r="O233" s="2579"/>
    </row>
    <row r="234" spans="1:15" s="2463" customFormat="1" ht="12.75">
      <c r="A234" s="2543"/>
      <c r="B234" s="2543"/>
      <c r="C234" s="2542"/>
      <c r="D234" s="2541"/>
      <c r="E234" s="2539"/>
      <c r="F234" s="2540"/>
      <c r="G234" s="2539"/>
      <c r="H234" s="2539"/>
      <c r="I234" s="2579"/>
      <c r="J234" s="2579"/>
      <c r="K234" s="2579"/>
      <c r="L234" s="2579"/>
      <c r="M234" s="2579"/>
      <c r="N234" s="2579"/>
      <c r="O234" s="2579"/>
    </row>
    <row r="235" spans="1:15" s="2463" customFormat="1" ht="12.75">
      <c r="A235" s="2538"/>
      <c r="B235" s="2538"/>
      <c r="C235" s="2537"/>
      <c r="D235" s="2536"/>
      <c r="E235" s="2536"/>
      <c r="F235" s="2536"/>
      <c r="G235" s="2536"/>
      <c r="H235" s="2536"/>
      <c r="I235" s="2579"/>
      <c r="J235" s="2579"/>
      <c r="K235" s="2579"/>
      <c r="L235" s="2579"/>
      <c r="M235" s="2579"/>
      <c r="N235" s="2579"/>
      <c r="O235" s="2579"/>
    </row>
    <row r="236" spans="1:15" s="2463" customFormat="1" ht="12.75">
      <c r="A236" s="2538"/>
      <c r="B236" s="2538"/>
      <c r="C236" s="2537"/>
      <c r="D236" s="2536"/>
      <c r="E236" s="2536"/>
      <c r="F236" s="2536"/>
      <c r="G236" s="2536"/>
      <c r="H236" s="2536"/>
      <c r="I236" s="2579"/>
      <c r="J236" s="2579"/>
      <c r="K236" s="2579"/>
      <c r="L236" s="2579"/>
      <c r="M236" s="2579"/>
      <c r="N236" s="2579"/>
      <c r="O236" s="2579"/>
    </row>
    <row r="237" spans="1:15" s="2463" customFormat="1">
      <c r="A237" s="1269"/>
      <c r="B237" s="2529"/>
      <c r="C237" s="2535"/>
      <c r="D237" s="2529"/>
      <c r="E237" s="4877"/>
      <c r="F237" s="4877"/>
      <c r="G237" s="1269"/>
      <c r="H237" s="2529"/>
      <c r="I237" s="2579"/>
      <c r="J237" s="2579"/>
      <c r="K237" s="2579"/>
      <c r="L237" s="2579"/>
      <c r="M237" s="2579"/>
      <c r="N237" s="2579"/>
      <c r="O237" s="2579"/>
    </row>
    <row r="238" spans="1:15" s="2463" customFormat="1">
      <c r="A238" s="2529"/>
      <c r="B238" s="1269"/>
      <c r="C238" s="2535"/>
      <c r="D238" s="1269"/>
      <c r="E238" s="1269"/>
      <c r="F238" s="1269"/>
      <c r="G238" s="1269"/>
      <c r="H238" s="2529"/>
      <c r="I238" s="2579"/>
      <c r="J238" s="2579"/>
      <c r="K238" s="2579"/>
      <c r="L238" s="2579"/>
      <c r="M238" s="2579"/>
      <c r="N238" s="2579"/>
      <c r="O238" s="2579"/>
    </row>
    <row r="239" spans="1:15" s="2463" customFormat="1" ht="12.75">
      <c r="A239" s="2534"/>
      <c r="B239" s="1269"/>
      <c r="C239" s="4881"/>
      <c r="D239" s="4881"/>
      <c r="E239" s="4876"/>
      <c r="F239" s="4876"/>
      <c r="G239" s="4876"/>
      <c r="H239" s="4876"/>
      <c r="I239" s="2579"/>
      <c r="J239" s="2579"/>
      <c r="K239" s="2579"/>
      <c r="L239" s="2579"/>
      <c r="M239" s="2579"/>
      <c r="N239" s="2579"/>
      <c r="O239" s="2579"/>
    </row>
    <row r="240" spans="1:15" s="2463" customFormat="1" ht="12.75">
      <c r="A240" s="2531"/>
      <c r="B240" s="2533"/>
      <c r="C240" s="4874"/>
      <c r="D240" s="4874"/>
      <c r="E240" s="4875"/>
      <c r="F240" s="4875"/>
      <c r="G240" s="4875"/>
      <c r="H240" s="4875"/>
      <c r="I240" s="2579"/>
      <c r="J240" s="2579"/>
      <c r="K240" s="2579"/>
      <c r="L240" s="2579"/>
      <c r="M240" s="2579"/>
      <c r="N240" s="2579"/>
      <c r="O240" s="2579"/>
    </row>
    <row r="241" spans="1:15" s="2463" customFormat="1" ht="12.75">
      <c r="A241" s="2531"/>
      <c r="B241" s="2533"/>
      <c r="C241" s="2531"/>
      <c r="D241" s="2566"/>
      <c r="E241" s="2566"/>
      <c r="F241" s="2566"/>
      <c r="G241" s="2566"/>
      <c r="H241" s="2566"/>
      <c r="I241" s="2579"/>
      <c r="J241" s="2579"/>
      <c r="K241" s="2579"/>
      <c r="L241" s="2579"/>
      <c r="M241" s="2579"/>
      <c r="N241" s="2579"/>
      <c r="O241" s="2579"/>
    </row>
    <row r="242" spans="1:15" s="2463" customFormat="1" ht="12.75">
      <c r="A242" s="2531"/>
      <c r="B242" s="2533"/>
      <c r="C242" s="2531"/>
      <c r="D242" s="2566"/>
      <c r="E242" s="2566"/>
      <c r="F242" s="2566"/>
      <c r="G242" s="2566"/>
      <c r="H242" s="2566"/>
      <c r="I242" s="2579"/>
      <c r="J242" s="2579"/>
      <c r="K242" s="2579"/>
      <c r="L242" s="2579"/>
      <c r="M242" s="2579"/>
      <c r="N242" s="2579"/>
      <c r="O242" s="2579"/>
    </row>
    <row r="243" spans="1:15" s="2463" customFormat="1" ht="12.75">
      <c r="A243" s="2531"/>
      <c r="B243" s="2533"/>
      <c r="C243" s="2531"/>
      <c r="D243" s="2566"/>
      <c r="E243" s="2566"/>
      <c r="F243" s="2566"/>
      <c r="G243" s="2566"/>
      <c r="H243" s="2566"/>
      <c r="I243" s="2579"/>
      <c r="J243" s="2579"/>
      <c r="K243" s="2579"/>
      <c r="L243" s="2579"/>
      <c r="M243" s="2579"/>
      <c r="N243" s="2579"/>
      <c r="O243" s="2579"/>
    </row>
    <row r="244" spans="1:15" s="2463" customFormat="1" ht="12.75">
      <c r="A244" s="2531"/>
      <c r="B244" s="2533"/>
      <c r="C244" s="2531"/>
      <c r="D244" s="2566"/>
      <c r="E244" s="2566"/>
      <c r="F244" s="2566"/>
      <c r="G244" s="2566"/>
      <c r="H244" s="2566"/>
      <c r="I244" s="2579"/>
      <c r="J244" s="2579"/>
      <c r="K244" s="2579"/>
      <c r="L244" s="2579"/>
      <c r="M244" s="2579"/>
      <c r="N244" s="2579"/>
      <c r="O244" s="2579"/>
    </row>
    <row r="245" spans="1:15" s="2463" customFormat="1" ht="12.75">
      <c r="A245" s="2531"/>
      <c r="B245" s="2533"/>
      <c r="C245" s="2531"/>
      <c r="D245" s="2566"/>
      <c r="E245" s="2566"/>
      <c r="F245" s="2566"/>
      <c r="G245" s="2566"/>
      <c r="H245" s="2566"/>
      <c r="I245" s="2579"/>
      <c r="J245" s="2579"/>
      <c r="K245" s="2579"/>
      <c r="L245" s="2579"/>
      <c r="M245" s="2579"/>
      <c r="N245" s="2579"/>
      <c r="O245" s="2579"/>
    </row>
    <row r="246" spans="1:15" s="2463" customFormat="1" ht="12.75">
      <c r="A246" s="2531"/>
      <c r="B246" s="2533"/>
      <c r="C246" s="2531"/>
      <c r="D246" s="2566"/>
      <c r="E246" s="2566"/>
      <c r="F246" s="2566"/>
      <c r="G246" s="2566"/>
      <c r="H246" s="2566"/>
      <c r="I246" s="2579"/>
      <c r="J246" s="2579"/>
      <c r="K246" s="2579"/>
      <c r="L246" s="2579"/>
      <c r="M246" s="2579"/>
      <c r="N246" s="2579"/>
      <c r="O246" s="2579"/>
    </row>
    <row r="247" spans="1:15" s="2463" customFormat="1" ht="12.75">
      <c r="A247" s="2531"/>
      <c r="B247" s="2533"/>
      <c r="C247" s="2531"/>
      <c r="D247" s="2566"/>
      <c r="E247" s="2566"/>
      <c r="F247" s="2566"/>
      <c r="G247" s="2566"/>
      <c r="H247" s="2566"/>
      <c r="I247" s="2579"/>
      <c r="J247" s="2579"/>
      <c r="K247" s="2579"/>
      <c r="L247" s="2579"/>
      <c r="M247" s="2579"/>
      <c r="N247" s="2579"/>
      <c r="O247" s="2579"/>
    </row>
    <row r="248" spans="1:15" s="2463" customFormat="1" ht="12.75">
      <c r="A248" s="2531"/>
      <c r="B248" s="2533"/>
      <c r="C248" s="2531"/>
      <c r="D248" s="2566"/>
      <c r="E248" s="2566"/>
      <c r="F248" s="2566"/>
      <c r="G248" s="2566"/>
      <c r="H248" s="2566"/>
      <c r="I248" s="2579"/>
      <c r="J248" s="2579"/>
      <c r="K248" s="2579"/>
      <c r="L248" s="2579"/>
      <c r="M248" s="2579"/>
      <c r="N248" s="2579"/>
      <c r="O248" s="2579"/>
    </row>
    <row r="249" spans="1:15" s="2463" customFormat="1" ht="12.75">
      <c r="A249" s="2531"/>
      <c r="B249" s="2533"/>
      <c r="C249" s="2531"/>
      <c r="D249" s="2566"/>
      <c r="E249" s="2566"/>
      <c r="F249" s="2566"/>
      <c r="G249" s="2566"/>
      <c r="H249" s="2566"/>
      <c r="I249" s="2579"/>
      <c r="J249" s="2579"/>
      <c r="K249" s="2579"/>
      <c r="L249" s="2579"/>
      <c r="M249" s="2579"/>
      <c r="N249" s="2579"/>
      <c r="O249" s="2579"/>
    </row>
    <row r="250" spans="1:15" s="2463" customFormat="1" ht="12.75">
      <c r="A250" s="2531"/>
      <c r="B250" s="2533"/>
      <c r="C250" s="2531"/>
      <c r="D250" s="2566"/>
      <c r="E250" s="2566"/>
      <c r="F250" s="2566"/>
      <c r="G250" s="2566"/>
      <c r="H250" s="2566"/>
      <c r="I250" s="2579"/>
      <c r="J250" s="2579"/>
      <c r="K250" s="2579"/>
      <c r="L250" s="2579"/>
      <c r="M250" s="2579"/>
      <c r="N250" s="2579"/>
      <c r="O250" s="2579"/>
    </row>
    <row r="251" spans="1:15" s="2463" customFormat="1" ht="12.75">
      <c r="A251" s="2531"/>
      <c r="B251" s="2533"/>
      <c r="C251" s="2531"/>
      <c r="D251" s="2566"/>
      <c r="E251" s="2566"/>
      <c r="F251" s="2566"/>
      <c r="G251" s="2566"/>
      <c r="H251" s="2566"/>
      <c r="I251" s="2579"/>
      <c r="J251" s="2579"/>
      <c r="K251" s="2579"/>
      <c r="L251" s="2579"/>
      <c r="M251" s="2579"/>
      <c r="N251" s="2579"/>
      <c r="O251" s="2579"/>
    </row>
    <row r="252" spans="1:15" s="2463" customFormat="1" ht="12.75">
      <c r="A252" s="2531"/>
      <c r="B252" s="2533"/>
      <c r="C252" s="2531"/>
      <c r="D252" s="2566"/>
      <c r="E252" s="2566"/>
      <c r="F252" s="2566"/>
      <c r="G252" s="2566"/>
      <c r="H252" s="2566"/>
      <c r="I252" s="2579"/>
      <c r="J252" s="2579"/>
      <c r="K252" s="2579"/>
      <c r="L252" s="2579"/>
      <c r="M252" s="2579"/>
      <c r="N252" s="2579"/>
      <c r="O252" s="2579"/>
    </row>
    <row r="253" spans="1:15" s="2463" customFormat="1" ht="12.75">
      <c r="A253" s="2531"/>
      <c r="B253" s="2533"/>
      <c r="C253" s="2531"/>
      <c r="D253" s="2566"/>
      <c r="E253" s="2566"/>
      <c r="F253" s="2566"/>
      <c r="G253" s="2566"/>
      <c r="H253" s="2566"/>
      <c r="I253" s="2579"/>
      <c r="J253" s="2579"/>
      <c r="K253" s="2579"/>
      <c r="L253" s="2579"/>
      <c r="M253" s="2579"/>
      <c r="N253" s="2579"/>
      <c r="O253" s="2579"/>
    </row>
    <row r="254" spans="1:15" s="2463" customFormat="1" ht="12.75">
      <c r="A254" s="2531"/>
      <c r="B254" s="2533"/>
      <c r="C254" s="2531"/>
      <c r="D254" s="2566"/>
      <c r="E254" s="2566"/>
      <c r="F254" s="2566"/>
      <c r="G254" s="2566"/>
      <c r="H254" s="2566"/>
      <c r="I254" s="2579"/>
      <c r="J254" s="2579"/>
      <c r="K254" s="2579"/>
      <c r="L254" s="2579"/>
      <c r="M254" s="2579"/>
      <c r="N254" s="2579"/>
      <c r="O254" s="2579"/>
    </row>
    <row r="255" spans="1:15" s="2463" customFormat="1" ht="12.75">
      <c r="A255" s="2531"/>
      <c r="B255" s="2533"/>
      <c r="C255" s="2531"/>
      <c r="D255" s="2566"/>
      <c r="E255" s="2566"/>
      <c r="F255" s="2566"/>
      <c r="G255" s="2566"/>
      <c r="H255" s="2566"/>
      <c r="I255" s="2579"/>
      <c r="J255" s="2579"/>
      <c r="K255" s="2579"/>
      <c r="L255" s="2579"/>
      <c r="M255" s="2579"/>
      <c r="N255" s="2579"/>
      <c r="O255" s="2579"/>
    </row>
    <row r="256" spans="1:15" s="2463" customFormat="1" ht="12.75">
      <c r="A256" s="2531"/>
      <c r="B256" s="2533"/>
      <c r="C256" s="2531"/>
      <c r="D256" s="2566"/>
      <c r="E256" s="2566"/>
      <c r="F256" s="2566"/>
      <c r="G256" s="2566"/>
      <c r="H256" s="2566"/>
      <c r="I256" s="2579"/>
      <c r="J256" s="2579"/>
      <c r="K256" s="2579"/>
      <c r="L256" s="2579"/>
      <c r="M256" s="2579"/>
      <c r="N256" s="2579"/>
      <c r="O256" s="2579"/>
    </row>
    <row r="257" spans="1:15" s="2463" customFormat="1" ht="12.75">
      <c r="A257" s="2531"/>
      <c r="B257" s="2533"/>
      <c r="C257" s="2531"/>
      <c r="D257" s="2566"/>
      <c r="E257" s="2566"/>
      <c r="F257" s="2566"/>
      <c r="G257" s="2566"/>
      <c r="H257" s="2566"/>
      <c r="I257" s="2579"/>
      <c r="J257" s="2579"/>
      <c r="K257" s="2579"/>
      <c r="L257" s="2579"/>
      <c r="M257" s="2579"/>
      <c r="N257" s="2579"/>
      <c r="O257" s="2579"/>
    </row>
    <row r="258" spans="1:15">
      <c r="A258" s="4876"/>
      <c r="B258" s="4876"/>
      <c r="C258" s="4876"/>
      <c r="D258" s="4876"/>
      <c r="E258" s="4876"/>
      <c r="F258" s="4876"/>
      <c r="G258" s="4876"/>
      <c r="H258" s="4876"/>
    </row>
    <row r="259" spans="1:15">
      <c r="A259" s="4877"/>
      <c r="B259" s="4877"/>
      <c r="C259" s="4877"/>
      <c r="D259" s="4877"/>
      <c r="E259" s="4877"/>
      <c r="F259" s="4877"/>
      <c r="G259" s="4877"/>
      <c r="H259" s="4877"/>
    </row>
    <row r="260" spans="1:15">
      <c r="A260" s="2529"/>
      <c r="B260" s="2529"/>
      <c r="C260" s="2529"/>
      <c r="D260" s="2529"/>
      <c r="E260" s="2529"/>
      <c r="F260" s="2529"/>
      <c r="G260" s="2529"/>
      <c r="H260" s="2529"/>
    </row>
    <row r="261" spans="1:15">
      <c r="A261" s="2529"/>
      <c r="B261" s="2529"/>
      <c r="C261" s="2529"/>
      <c r="D261" s="2529"/>
      <c r="E261" s="2529"/>
      <c r="F261" s="2529"/>
      <c r="G261" s="2529"/>
      <c r="H261" s="2529"/>
    </row>
    <row r="262" spans="1:15" s="2463" customFormat="1">
      <c r="A262" s="2568"/>
      <c r="B262" s="2567"/>
      <c r="C262" s="2529"/>
      <c r="D262" s="2566"/>
      <c r="E262" s="2566"/>
      <c r="F262" s="2566"/>
      <c r="G262" s="2566"/>
      <c r="H262" s="2566"/>
      <c r="I262" s="2579"/>
      <c r="J262" s="2579"/>
      <c r="K262" s="2579"/>
      <c r="L262" s="2579"/>
      <c r="M262" s="2579"/>
      <c r="N262" s="2579"/>
      <c r="O262" s="2579"/>
    </row>
    <row r="263" spans="1:15" s="2463" customFormat="1" ht="12.75">
      <c r="A263" s="1269"/>
      <c r="B263" s="1269"/>
      <c r="C263" s="2542"/>
      <c r="D263" s="2541"/>
      <c r="E263" s="2561"/>
      <c r="F263" s="2540"/>
      <c r="G263" s="2565"/>
      <c r="H263" s="2561"/>
      <c r="I263" s="2579"/>
      <c r="J263" s="2579"/>
      <c r="K263" s="2579"/>
      <c r="L263" s="2579"/>
      <c r="M263" s="2579"/>
      <c r="N263" s="2579"/>
      <c r="O263" s="2579"/>
    </row>
    <row r="264" spans="1:15" s="2463" customFormat="1" ht="23.25">
      <c r="A264" s="2564"/>
      <c r="B264" s="2564"/>
      <c r="C264" s="2563"/>
      <c r="D264" s="2541"/>
      <c r="E264" s="2561"/>
      <c r="F264" s="2540"/>
      <c r="G264" s="2562"/>
      <c r="H264" s="2561"/>
      <c r="I264" s="2579"/>
      <c r="J264" s="2579"/>
      <c r="K264" s="2579"/>
      <c r="L264" s="2579"/>
      <c r="M264" s="2579"/>
      <c r="N264" s="2579"/>
      <c r="O264" s="2579"/>
    </row>
    <row r="265" spans="1:15" s="2463" customFormat="1" ht="12.75">
      <c r="A265" s="4879"/>
      <c r="B265" s="4879"/>
      <c r="C265" s="2559"/>
      <c r="D265" s="2560"/>
      <c r="E265" s="4880"/>
      <c r="F265" s="4880"/>
      <c r="G265" s="4880"/>
      <c r="H265" s="2557"/>
      <c r="I265" s="2579"/>
      <c r="J265" s="2579"/>
      <c r="K265" s="2579"/>
      <c r="L265" s="2579"/>
      <c r="M265" s="2579"/>
      <c r="N265" s="2579"/>
      <c r="O265" s="2579"/>
    </row>
    <row r="266" spans="1:15" s="2463" customFormat="1" ht="12.75">
      <c r="A266" s="4879"/>
      <c r="B266" s="4879"/>
      <c r="C266" s="2559"/>
      <c r="D266" s="2558"/>
      <c r="E266" s="2558"/>
      <c r="F266" s="2558"/>
      <c r="G266" s="2558"/>
      <c r="H266" s="2558"/>
      <c r="I266" s="2579"/>
      <c r="J266" s="2579"/>
      <c r="K266" s="2579"/>
      <c r="L266" s="2579"/>
      <c r="M266" s="2579"/>
      <c r="N266" s="2579"/>
      <c r="O266" s="2579"/>
    </row>
    <row r="267" spans="1:15" s="2463" customFormat="1" ht="12.75">
      <c r="A267" s="4879"/>
      <c r="B267" s="4879"/>
      <c r="C267" s="2557"/>
      <c r="D267" s="2555"/>
      <c r="E267" s="2555"/>
      <c r="F267" s="2555"/>
      <c r="G267" s="2556"/>
      <c r="H267" s="2555"/>
      <c r="I267" s="2579"/>
      <c r="J267" s="2579"/>
      <c r="K267" s="2579"/>
      <c r="L267" s="2579"/>
      <c r="M267" s="2579"/>
      <c r="N267" s="2579"/>
      <c r="O267" s="2579"/>
    </row>
    <row r="268" spans="1:15" s="2463" customFormat="1" ht="12.75">
      <c r="A268" s="2554"/>
      <c r="B268" s="2553"/>
      <c r="C268" s="2552"/>
      <c r="D268" s="2551"/>
      <c r="E268" s="2551"/>
      <c r="F268" s="2551"/>
      <c r="G268" s="2551"/>
      <c r="H268" s="2551"/>
      <c r="I268" s="2579"/>
      <c r="J268" s="2579"/>
      <c r="K268" s="2579"/>
      <c r="L268" s="2579"/>
      <c r="M268" s="2579"/>
      <c r="N268" s="2579"/>
      <c r="O268" s="2579"/>
    </row>
    <row r="269" spans="1:15" s="2463" customFormat="1" ht="12.75">
      <c r="A269" s="2549"/>
      <c r="B269" s="2549"/>
      <c r="C269" s="2545"/>
      <c r="D269" s="2548"/>
      <c r="E269" s="2548"/>
      <c r="F269" s="2540"/>
      <c r="G269" s="2548"/>
      <c r="H269" s="2548"/>
      <c r="I269" s="2579"/>
      <c r="J269" s="2579"/>
      <c r="K269" s="2579"/>
      <c r="L269" s="2579"/>
      <c r="M269" s="2579"/>
      <c r="N269" s="2579"/>
      <c r="O269" s="2579"/>
    </row>
    <row r="270" spans="1:15" s="2463" customFormat="1" ht="12.75">
      <c r="A270" s="2549"/>
      <c r="B270" s="2549"/>
      <c r="C270" s="2545"/>
      <c r="D270" s="2548"/>
      <c r="E270" s="2548"/>
      <c r="F270" s="2540"/>
      <c r="G270" s="2548"/>
      <c r="H270" s="2548"/>
      <c r="I270" s="2579"/>
      <c r="J270" s="2579"/>
      <c r="K270" s="2579"/>
      <c r="L270" s="2579"/>
      <c r="M270" s="2579"/>
      <c r="N270" s="2579"/>
      <c r="O270" s="2579"/>
    </row>
    <row r="271" spans="1:15" s="2463" customFormat="1" ht="12.75">
      <c r="A271" s="2546"/>
      <c r="B271" s="1269"/>
      <c r="C271" s="2545"/>
      <c r="D271" s="2541"/>
      <c r="E271" s="2544"/>
      <c r="F271" s="2540"/>
      <c r="G271" s="2544"/>
      <c r="H271" s="2544"/>
      <c r="I271" s="2579"/>
      <c r="J271" s="2579"/>
      <c r="K271" s="2579"/>
      <c r="L271" s="2579"/>
      <c r="M271" s="2579"/>
      <c r="N271" s="2579"/>
      <c r="O271" s="2579"/>
    </row>
    <row r="272" spans="1:15" s="2463" customFormat="1" ht="12.75">
      <c r="A272" s="2549"/>
      <c r="B272" s="2549"/>
      <c r="C272" s="2545"/>
      <c r="D272" s="2541"/>
      <c r="E272" s="2544"/>
      <c r="F272" s="2540"/>
      <c r="G272" s="2544"/>
      <c r="H272" s="2544"/>
      <c r="I272" s="2579"/>
      <c r="J272" s="2579"/>
      <c r="K272" s="2579"/>
      <c r="L272" s="2579"/>
      <c r="M272" s="2579"/>
      <c r="N272" s="2579"/>
      <c r="O272" s="2579"/>
    </row>
    <row r="273" spans="1:15" s="2463" customFormat="1" ht="12.75">
      <c r="A273" s="2546"/>
      <c r="B273" s="1269"/>
      <c r="C273" s="2542"/>
      <c r="D273" s="2541"/>
      <c r="E273" s="2544"/>
      <c r="F273" s="2540"/>
      <c r="G273" s="2544"/>
      <c r="H273" s="2544"/>
      <c r="I273" s="2579"/>
      <c r="J273" s="2579"/>
      <c r="K273" s="2579"/>
      <c r="L273" s="2579"/>
      <c r="M273" s="2579"/>
      <c r="N273" s="2579"/>
      <c r="O273" s="2579"/>
    </row>
    <row r="274" spans="1:15" s="2463" customFormat="1" ht="12.75">
      <c r="A274" s="2549"/>
      <c r="B274" s="2549"/>
      <c r="C274" s="2542"/>
      <c r="D274" s="2541"/>
      <c r="E274" s="2544"/>
      <c r="F274" s="2540"/>
      <c r="G274" s="2544"/>
      <c r="H274" s="2544"/>
      <c r="I274" s="2579"/>
      <c r="J274" s="2579"/>
      <c r="K274" s="2579"/>
      <c r="L274" s="2579"/>
      <c r="M274" s="2579"/>
      <c r="N274" s="2579"/>
      <c r="O274" s="2579"/>
    </row>
    <row r="275" spans="1:15" s="2463" customFormat="1" ht="12.75">
      <c r="A275" s="2547"/>
      <c r="B275" s="2546"/>
      <c r="C275" s="2545"/>
      <c r="D275" s="2541"/>
      <c r="E275" s="2544"/>
      <c r="F275" s="2540"/>
      <c r="G275" s="2544"/>
      <c r="H275" s="2544"/>
      <c r="I275" s="2579"/>
      <c r="J275" s="2579"/>
      <c r="K275" s="2579"/>
      <c r="L275" s="2579"/>
      <c r="M275" s="2579"/>
      <c r="N275" s="2579"/>
      <c r="O275" s="2579"/>
    </row>
    <row r="276" spans="1:15" s="2463" customFormat="1" ht="12.75">
      <c r="A276" s="2543"/>
      <c r="B276" s="2543"/>
      <c r="C276" s="2542"/>
      <c r="D276" s="2541"/>
      <c r="E276" s="2539"/>
      <c r="F276" s="2540"/>
      <c r="G276" s="2539"/>
      <c r="H276" s="2539"/>
      <c r="I276" s="2579"/>
      <c r="J276" s="2579"/>
      <c r="K276" s="2579"/>
      <c r="L276" s="2579"/>
      <c r="M276" s="2579"/>
      <c r="N276" s="2579"/>
      <c r="O276" s="2579"/>
    </row>
    <row r="277" spans="1:15" s="2463" customFormat="1" ht="12.75">
      <c r="A277" s="2538"/>
      <c r="B277" s="2538"/>
      <c r="C277" s="2537"/>
      <c r="D277" s="2536"/>
      <c r="E277" s="2536"/>
      <c r="F277" s="2536"/>
      <c r="G277" s="2536"/>
      <c r="H277" s="2536"/>
      <c r="I277" s="2579"/>
      <c r="J277" s="2579"/>
      <c r="K277" s="2579"/>
      <c r="L277" s="2579"/>
      <c r="M277" s="2579"/>
      <c r="N277" s="2579"/>
      <c r="O277" s="2579"/>
    </row>
    <row r="278" spans="1:15" s="2463" customFormat="1" ht="12.75">
      <c r="A278" s="2538"/>
      <c r="B278" s="2538"/>
      <c r="C278" s="2537"/>
      <c r="D278" s="2536"/>
      <c r="E278" s="2536"/>
      <c r="F278" s="2536"/>
      <c r="G278" s="2536"/>
      <c r="H278" s="2536"/>
      <c r="I278" s="2579"/>
      <c r="J278" s="2579"/>
      <c r="K278" s="2579"/>
      <c r="L278" s="2579"/>
      <c r="M278" s="2579"/>
      <c r="N278" s="2579"/>
      <c r="O278" s="2579"/>
    </row>
    <row r="279" spans="1:15" s="2463" customFormat="1">
      <c r="A279" s="1269"/>
      <c r="B279" s="2529"/>
      <c r="C279" s="2535"/>
      <c r="D279" s="2529"/>
      <c r="E279" s="4877"/>
      <c r="F279" s="4877"/>
      <c r="G279" s="1269"/>
      <c r="H279" s="2529"/>
      <c r="I279" s="2579"/>
      <c r="J279" s="2579"/>
      <c r="K279" s="2579"/>
      <c r="L279" s="2579"/>
      <c r="M279" s="2579"/>
      <c r="N279" s="2579"/>
      <c r="O279" s="2579"/>
    </row>
    <row r="280" spans="1:15" s="2463" customFormat="1">
      <c r="A280" s="2529"/>
      <c r="B280" s="1269"/>
      <c r="C280" s="2535"/>
      <c r="D280" s="1269"/>
      <c r="E280" s="1269"/>
      <c r="F280" s="1269"/>
      <c r="G280" s="1269"/>
      <c r="H280" s="2529"/>
      <c r="I280" s="2579"/>
      <c r="J280" s="2579"/>
      <c r="K280" s="2579"/>
      <c r="L280" s="2579"/>
      <c r="M280" s="2579"/>
      <c r="N280" s="2579"/>
      <c r="O280" s="2579"/>
    </row>
    <row r="281" spans="1:15" s="2463" customFormat="1" ht="12.75">
      <c r="A281" s="2534"/>
      <c r="B281" s="1269"/>
      <c r="C281" s="4881"/>
      <c r="D281" s="4881"/>
      <c r="E281" s="4876"/>
      <c r="F281" s="4876"/>
      <c r="G281" s="4876"/>
      <c r="H281" s="4876"/>
      <c r="I281" s="2579"/>
      <c r="J281" s="2579"/>
      <c r="K281" s="2579"/>
      <c r="L281" s="2579"/>
      <c r="M281" s="2579"/>
      <c r="N281" s="2579"/>
      <c r="O281" s="2579"/>
    </row>
    <row r="282" spans="1:15" s="2463" customFormat="1" ht="12.75">
      <c r="A282" s="2531"/>
      <c r="B282" s="2533"/>
      <c r="C282" s="4874"/>
      <c r="D282" s="4874"/>
      <c r="E282" s="4875"/>
      <c r="F282" s="4875"/>
      <c r="G282" s="4875"/>
      <c r="H282" s="4875"/>
      <c r="I282" s="2579"/>
      <c r="J282" s="2579"/>
      <c r="K282" s="2579"/>
      <c r="L282" s="2579"/>
      <c r="M282" s="2579"/>
      <c r="N282" s="2579"/>
      <c r="O282" s="2579"/>
    </row>
    <row r="283" spans="1:15" s="2463" customFormat="1" ht="12.75">
      <c r="A283" s="2531"/>
      <c r="B283" s="2533"/>
      <c r="C283" s="2531"/>
      <c r="D283" s="2566"/>
      <c r="E283" s="2566"/>
      <c r="F283" s="2566"/>
      <c r="G283" s="2566"/>
      <c r="H283" s="2566"/>
      <c r="I283" s="2579"/>
      <c r="J283" s="2579"/>
      <c r="K283" s="2579"/>
      <c r="L283" s="2579"/>
      <c r="M283" s="2579"/>
      <c r="N283" s="2579"/>
      <c r="O283" s="2579"/>
    </row>
    <row r="284" spans="1:15" s="2463" customFormat="1" ht="12.75">
      <c r="A284" s="2531"/>
      <c r="B284" s="2533"/>
      <c r="C284" s="2531"/>
      <c r="D284" s="2566"/>
      <c r="E284" s="2566"/>
      <c r="F284" s="2566"/>
      <c r="G284" s="2566"/>
      <c r="H284" s="2566"/>
      <c r="I284" s="2579"/>
      <c r="J284" s="2579"/>
      <c r="K284" s="2579"/>
      <c r="L284" s="2579"/>
      <c r="M284" s="2579"/>
      <c r="N284" s="2579"/>
      <c r="O284" s="2579"/>
    </row>
    <row r="285" spans="1:15" s="2463" customFormat="1" ht="12.75">
      <c r="A285" s="2531"/>
      <c r="B285" s="2533"/>
      <c r="C285" s="2531"/>
      <c r="D285" s="2566"/>
      <c r="E285" s="2566"/>
      <c r="F285" s="2566"/>
      <c r="G285" s="2566"/>
      <c r="H285" s="2566"/>
      <c r="I285" s="2579"/>
      <c r="J285" s="2579"/>
      <c r="K285" s="2579"/>
      <c r="L285" s="2579"/>
      <c r="M285" s="2579"/>
      <c r="N285" s="2579"/>
      <c r="O285" s="2579"/>
    </row>
    <row r="286" spans="1:15" s="2463" customFormat="1" ht="12.75">
      <c r="A286" s="2531"/>
      <c r="B286" s="2533"/>
      <c r="C286" s="2531"/>
      <c r="D286" s="2566"/>
      <c r="E286" s="2566"/>
      <c r="F286" s="2566"/>
      <c r="G286" s="2566"/>
      <c r="H286" s="2566"/>
      <c r="I286" s="2579"/>
      <c r="J286" s="2579"/>
      <c r="K286" s="2579"/>
      <c r="L286" s="2579"/>
      <c r="M286" s="2579"/>
      <c r="N286" s="2579"/>
      <c r="O286" s="2579"/>
    </row>
    <row r="287" spans="1:15" s="2463" customFormat="1" ht="12.75">
      <c r="A287" s="2531"/>
      <c r="B287" s="2533"/>
      <c r="C287" s="2531"/>
      <c r="D287" s="2566"/>
      <c r="E287" s="2566"/>
      <c r="F287" s="2566"/>
      <c r="G287" s="2566"/>
      <c r="H287" s="2566"/>
      <c r="I287" s="2579"/>
      <c r="J287" s="2579"/>
      <c r="K287" s="2579"/>
      <c r="L287" s="2579"/>
      <c r="M287" s="2579"/>
      <c r="N287" s="2579"/>
      <c r="O287" s="2579"/>
    </row>
    <row r="288" spans="1:15" s="2463" customFormat="1" ht="12.75">
      <c r="A288" s="2531"/>
      <c r="B288" s="2533"/>
      <c r="C288" s="2531"/>
      <c r="D288" s="2566"/>
      <c r="E288" s="2566"/>
      <c r="F288" s="2566"/>
      <c r="G288" s="2566"/>
      <c r="H288" s="2566"/>
      <c r="I288" s="2579"/>
      <c r="J288" s="2579"/>
      <c r="K288" s="2579"/>
      <c r="L288" s="2579"/>
      <c r="M288" s="2579"/>
      <c r="N288" s="2579"/>
      <c r="O288" s="2579"/>
    </row>
    <row r="289" spans="1:15" s="2463" customFormat="1" ht="12.75">
      <c r="A289" s="2531"/>
      <c r="B289" s="2533"/>
      <c r="C289" s="2531"/>
      <c r="D289" s="2566"/>
      <c r="E289" s="2566"/>
      <c r="F289" s="2566"/>
      <c r="G289" s="2566"/>
      <c r="H289" s="2566"/>
      <c r="I289" s="2579"/>
      <c r="J289" s="2579"/>
      <c r="K289" s="2579"/>
      <c r="L289" s="2579"/>
      <c r="M289" s="2579"/>
      <c r="N289" s="2579"/>
      <c r="O289" s="2579"/>
    </row>
    <row r="290" spans="1:15" s="2463" customFormat="1" ht="12.75">
      <c r="A290" s="2531"/>
      <c r="B290" s="2533"/>
      <c r="C290" s="2531"/>
      <c r="D290" s="2566"/>
      <c r="E290" s="2566"/>
      <c r="F290" s="2566"/>
      <c r="G290" s="2566"/>
      <c r="H290" s="2566"/>
      <c r="I290" s="2579"/>
      <c r="J290" s="2579"/>
      <c r="K290" s="2579"/>
      <c r="L290" s="2579"/>
      <c r="M290" s="2579"/>
      <c r="N290" s="2579"/>
      <c r="O290" s="2579"/>
    </row>
    <row r="291" spans="1:15" s="2463" customFormat="1" ht="12.75">
      <c r="A291" s="2531"/>
      <c r="B291" s="2533"/>
      <c r="C291" s="2531"/>
      <c r="D291" s="2566"/>
      <c r="E291" s="2566"/>
      <c r="F291" s="2566"/>
      <c r="G291" s="2566"/>
      <c r="H291" s="2566"/>
      <c r="I291" s="2579"/>
      <c r="J291" s="2579"/>
      <c r="K291" s="2579"/>
      <c r="L291" s="2579"/>
      <c r="M291" s="2579"/>
      <c r="N291" s="2579"/>
      <c r="O291" s="2579"/>
    </row>
    <row r="292" spans="1:15" s="2463" customFormat="1" ht="12.75">
      <c r="A292" s="2531"/>
      <c r="B292" s="2533"/>
      <c r="C292" s="2531"/>
      <c r="D292" s="2566"/>
      <c r="E292" s="2566"/>
      <c r="F292" s="2566"/>
      <c r="G292" s="2566"/>
      <c r="H292" s="2566"/>
      <c r="I292" s="2579"/>
      <c r="J292" s="2579"/>
      <c r="K292" s="2579"/>
      <c r="L292" s="2579"/>
      <c r="M292" s="2579"/>
      <c r="N292" s="2579"/>
      <c r="O292" s="2579"/>
    </row>
    <row r="293" spans="1:15" s="2463" customFormat="1" ht="12.75">
      <c r="A293" s="2531"/>
      <c r="B293" s="2533"/>
      <c r="C293" s="2531"/>
      <c r="D293" s="2566"/>
      <c r="E293" s="2566"/>
      <c r="F293" s="2566"/>
      <c r="G293" s="2566"/>
      <c r="H293" s="2566"/>
      <c r="I293" s="2579"/>
      <c r="J293" s="2579"/>
      <c r="K293" s="2579"/>
      <c r="L293" s="2579"/>
      <c r="M293" s="2579"/>
      <c r="N293" s="2579"/>
      <c r="O293" s="2579"/>
    </row>
    <row r="294" spans="1:15" s="2463" customFormat="1" ht="12.75">
      <c r="A294" s="2531"/>
      <c r="B294" s="2533"/>
      <c r="C294" s="2531"/>
      <c r="D294" s="2566"/>
      <c r="E294" s="2566"/>
      <c r="F294" s="2566"/>
      <c r="G294" s="2566"/>
      <c r="H294" s="2566"/>
      <c r="I294" s="2579"/>
      <c r="J294" s="2579"/>
      <c r="K294" s="2579"/>
      <c r="L294" s="2579"/>
      <c r="M294" s="2579"/>
      <c r="N294" s="2579"/>
      <c r="O294" s="2579"/>
    </row>
    <row r="295" spans="1:15" s="2463" customFormat="1" ht="12.75">
      <c r="A295" s="2531"/>
      <c r="B295" s="2533"/>
      <c r="C295" s="2531"/>
      <c r="D295" s="2566"/>
      <c r="E295" s="2566"/>
      <c r="F295" s="2566"/>
      <c r="G295" s="2566"/>
      <c r="H295" s="2566"/>
      <c r="I295" s="2579"/>
      <c r="J295" s="2579"/>
      <c r="K295" s="2579"/>
      <c r="L295" s="2579"/>
      <c r="M295" s="2579"/>
      <c r="N295" s="2579"/>
      <c r="O295" s="2579"/>
    </row>
    <row r="296" spans="1:15" s="2463" customFormat="1" ht="12.75">
      <c r="A296" s="2531"/>
      <c r="B296" s="2533"/>
      <c r="C296" s="2531"/>
      <c r="D296" s="2566"/>
      <c r="E296" s="2566"/>
      <c r="F296" s="2566"/>
      <c r="G296" s="2566"/>
      <c r="H296" s="2566"/>
      <c r="I296" s="2579"/>
      <c r="J296" s="2579"/>
      <c r="K296" s="2579"/>
      <c r="L296" s="2579"/>
      <c r="M296" s="2579"/>
      <c r="N296" s="2579"/>
      <c r="O296" s="2579"/>
    </row>
    <row r="297" spans="1:15" s="2463" customFormat="1" ht="12.75">
      <c r="A297" s="2531"/>
      <c r="B297" s="2533"/>
      <c r="C297" s="2531"/>
      <c r="D297" s="2566"/>
      <c r="E297" s="2566"/>
      <c r="F297" s="2566"/>
      <c r="G297" s="2566"/>
      <c r="H297" s="2566"/>
      <c r="I297" s="2579"/>
      <c r="J297" s="2579"/>
      <c r="K297" s="2579"/>
      <c r="L297" s="2579"/>
      <c r="M297" s="2579"/>
      <c r="N297" s="2579"/>
      <c r="O297" s="2579"/>
    </row>
    <row r="298" spans="1:15" s="2463" customFormat="1" ht="12.75">
      <c r="A298" s="2531"/>
      <c r="B298" s="2533"/>
      <c r="C298" s="2531"/>
      <c r="D298" s="2566"/>
      <c r="E298" s="2566"/>
      <c r="F298" s="2566"/>
      <c r="G298" s="2566"/>
      <c r="H298" s="2566"/>
      <c r="I298" s="2579"/>
      <c r="J298" s="2579"/>
      <c r="K298" s="2579"/>
      <c r="L298" s="2579"/>
      <c r="M298" s="2579"/>
      <c r="N298" s="2579"/>
      <c r="O298" s="2579"/>
    </row>
    <row r="299" spans="1:15">
      <c r="A299" s="4876"/>
      <c r="B299" s="4876"/>
      <c r="C299" s="4876"/>
      <c r="D299" s="4876"/>
      <c r="E299" s="4876"/>
      <c r="F299" s="4876"/>
      <c r="G299" s="4876"/>
      <c r="H299" s="4876"/>
    </row>
    <row r="300" spans="1:15">
      <c r="A300" s="4877"/>
      <c r="B300" s="4877"/>
      <c r="C300" s="4877"/>
      <c r="D300" s="4877"/>
      <c r="E300" s="4877"/>
      <c r="F300" s="4877"/>
      <c r="G300" s="4877"/>
      <c r="H300" s="4877"/>
    </row>
    <row r="301" spans="1:15">
      <c r="A301" s="2529"/>
      <c r="B301" s="2529"/>
      <c r="C301" s="2529"/>
      <c r="D301" s="2529"/>
      <c r="E301" s="2529"/>
      <c r="F301" s="2529"/>
      <c r="G301" s="2529"/>
      <c r="H301" s="2529"/>
    </row>
    <row r="302" spans="1:15">
      <c r="A302" s="2529"/>
      <c r="B302" s="2529"/>
      <c r="C302" s="2529"/>
      <c r="D302" s="2529"/>
      <c r="E302" s="2529"/>
      <c r="F302" s="2529"/>
      <c r="G302" s="2529"/>
      <c r="H302" s="2529"/>
    </row>
    <row r="303" spans="1:15">
      <c r="A303" s="2529"/>
      <c r="B303" s="2529"/>
      <c r="C303" s="2529"/>
      <c r="D303" s="2529"/>
      <c r="E303" s="2529"/>
      <c r="F303" s="2529"/>
      <c r="G303" s="2529"/>
      <c r="H303" s="2529"/>
    </row>
    <row r="304" spans="1:15" s="2463" customFormat="1">
      <c r="A304" s="2568"/>
      <c r="B304" s="2567"/>
      <c r="C304" s="2529"/>
      <c r="D304" s="2566"/>
      <c r="E304" s="2566"/>
      <c r="F304" s="2566"/>
      <c r="G304" s="2566"/>
      <c r="H304" s="2566"/>
      <c r="I304" s="2579"/>
      <c r="J304" s="2579"/>
      <c r="K304" s="2579"/>
      <c r="L304" s="2579"/>
      <c r="M304" s="2579"/>
      <c r="N304" s="2579"/>
      <c r="O304" s="2579"/>
    </row>
    <row r="305" spans="1:15" s="2463" customFormat="1" ht="12.75">
      <c r="A305" s="1269"/>
      <c r="B305" s="1269"/>
      <c r="C305" s="2542"/>
      <c r="D305" s="2541"/>
      <c r="E305" s="2561"/>
      <c r="F305" s="2540"/>
      <c r="G305" s="2565"/>
      <c r="H305" s="2561"/>
      <c r="I305" s="2579"/>
      <c r="J305" s="2579"/>
      <c r="K305" s="2579"/>
      <c r="L305" s="2579"/>
      <c r="M305" s="2579"/>
      <c r="N305" s="2579"/>
      <c r="O305" s="2579"/>
    </row>
    <row r="306" spans="1:15" s="2463" customFormat="1" ht="23.25">
      <c r="A306" s="2564"/>
      <c r="B306" s="2564"/>
      <c r="C306" s="2563"/>
      <c r="D306" s="2570"/>
      <c r="E306" s="2569"/>
      <c r="F306" s="2540"/>
      <c r="G306" s="2562"/>
      <c r="H306" s="2561"/>
      <c r="I306" s="2579"/>
      <c r="J306" s="2579"/>
      <c r="K306" s="2579"/>
      <c r="L306" s="2579"/>
      <c r="M306" s="2579"/>
      <c r="N306" s="2579"/>
      <c r="O306" s="2579"/>
    </row>
    <row r="307" spans="1:15" s="2463" customFormat="1" ht="12.75">
      <c r="A307" s="4879"/>
      <c r="B307" s="4879"/>
      <c r="C307" s="2559"/>
      <c r="D307" s="2560"/>
      <c r="E307" s="4880"/>
      <c r="F307" s="4880"/>
      <c r="G307" s="4880"/>
      <c r="H307" s="2557"/>
      <c r="I307" s="2579"/>
      <c r="J307" s="2579"/>
      <c r="K307" s="2579"/>
      <c r="L307" s="2579"/>
      <c r="M307" s="2579"/>
      <c r="N307" s="2579"/>
      <c r="O307" s="2579"/>
    </row>
    <row r="308" spans="1:15" s="2463" customFormat="1" ht="12.75">
      <c r="A308" s="4879"/>
      <c r="B308" s="4879"/>
      <c r="C308" s="2559"/>
      <c r="D308" s="2558"/>
      <c r="E308" s="2558"/>
      <c r="F308" s="2558"/>
      <c r="G308" s="2558"/>
      <c r="H308" s="2558"/>
      <c r="I308" s="2579"/>
      <c r="J308" s="2579"/>
      <c r="K308" s="2579"/>
      <c r="L308" s="2579"/>
      <c r="M308" s="2579"/>
      <c r="N308" s="2579"/>
      <c r="O308" s="2579"/>
    </row>
    <row r="309" spans="1:15" s="2463" customFormat="1" ht="12.75">
      <c r="A309" s="4879"/>
      <c r="B309" s="4879"/>
      <c r="C309" s="2557"/>
      <c r="D309" s="2555"/>
      <c r="E309" s="2555"/>
      <c r="F309" s="2555"/>
      <c r="G309" s="2556"/>
      <c r="H309" s="2555"/>
      <c r="I309" s="2579"/>
      <c r="J309" s="2579"/>
      <c r="K309" s="2579"/>
      <c r="L309" s="2579"/>
      <c r="M309" s="2579"/>
      <c r="N309" s="2579"/>
      <c r="O309" s="2579"/>
    </row>
    <row r="310" spans="1:15" s="2463" customFormat="1" ht="12.75">
      <c r="A310" s="2554"/>
      <c r="B310" s="2553"/>
      <c r="C310" s="2552"/>
      <c r="D310" s="2551"/>
      <c r="E310" s="2551"/>
      <c r="F310" s="2551"/>
      <c r="G310" s="2551"/>
      <c r="H310" s="2551"/>
      <c r="I310" s="2579"/>
      <c r="J310" s="2579"/>
      <c r="K310" s="2579"/>
      <c r="L310" s="2579"/>
      <c r="M310" s="2579"/>
      <c r="N310" s="2579"/>
      <c r="O310" s="2579"/>
    </row>
    <row r="311" spans="1:15" s="2463" customFormat="1" ht="12.75">
      <c r="A311" s="2549"/>
      <c r="B311" s="2549"/>
      <c r="C311" s="2545"/>
      <c r="D311" s="2548"/>
      <c r="E311" s="2548"/>
      <c r="F311" s="2540"/>
      <c r="G311" s="2548"/>
      <c r="H311" s="2548"/>
      <c r="I311" s="2579"/>
      <c r="J311" s="2579"/>
      <c r="K311" s="2579"/>
      <c r="L311" s="2579"/>
      <c r="M311" s="2579"/>
      <c r="N311" s="2579"/>
      <c r="O311" s="2579"/>
    </row>
    <row r="312" spans="1:15" s="2463" customFormat="1" ht="12.75">
      <c r="A312" s="2549"/>
      <c r="B312" s="2549"/>
      <c r="C312" s="2545"/>
      <c r="D312" s="2548"/>
      <c r="E312" s="2548"/>
      <c r="F312" s="2540"/>
      <c r="G312" s="2548"/>
      <c r="H312" s="2548"/>
      <c r="I312" s="2579"/>
      <c r="J312" s="2579"/>
      <c r="K312" s="2579"/>
      <c r="L312" s="2579"/>
      <c r="M312" s="2579"/>
      <c r="N312" s="2579"/>
      <c r="O312" s="2579"/>
    </row>
    <row r="313" spans="1:15" s="2463" customFormat="1" ht="12.75">
      <c r="A313" s="2546"/>
      <c r="B313" s="1269"/>
      <c r="C313" s="2545"/>
      <c r="D313" s="2541"/>
      <c r="E313" s="2544"/>
      <c r="F313" s="2540"/>
      <c r="G313" s="2544"/>
      <c r="H313" s="2544"/>
      <c r="I313" s="2579"/>
      <c r="J313" s="2579"/>
      <c r="K313" s="2579"/>
      <c r="L313" s="2579"/>
      <c r="M313" s="2579"/>
      <c r="N313" s="2579"/>
      <c r="O313" s="2579"/>
    </row>
    <row r="314" spans="1:15" s="2463" customFormat="1" ht="12.75">
      <c r="A314" s="2549"/>
      <c r="B314" s="2549"/>
      <c r="C314" s="2545"/>
      <c r="D314" s="2541"/>
      <c r="E314" s="2544"/>
      <c r="F314" s="2540"/>
      <c r="G314" s="2544"/>
      <c r="H314" s="2544"/>
      <c r="I314" s="2579"/>
      <c r="J314" s="2579"/>
      <c r="K314" s="2579"/>
      <c r="L314" s="2579"/>
      <c r="M314" s="2579"/>
      <c r="N314" s="2579"/>
      <c r="O314" s="2579"/>
    </row>
    <row r="315" spans="1:15" s="2463" customFormat="1" ht="12.75">
      <c r="A315" s="2546"/>
      <c r="B315" s="1269"/>
      <c r="C315" s="2545"/>
      <c r="D315" s="2541"/>
      <c r="E315" s="2544"/>
      <c r="F315" s="2540"/>
      <c r="G315" s="2544"/>
      <c r="H315" s="2544"/>
      <c r="I315" s="2579"/>
      <c r="J315" s="2579"/>
      <c r="K315" s="2579"/>
      <c r="L315" s="2579"/>
      <c r="M315" s="2579"/>
      <c r="N315" s="2579"/>
      <c r="O315" s="2579"/>
    </row>
    <row r="316" spans="1:15" s="2463" customFormat="1" ht="12.75">
      <c r="A316" s="2547"/>
      <c r="B316" s="2546"/>
      <c r="C316" s="2545"/>
      <c r="D316" s="2541"/>
      <c r="E316" s="2544"/>
      <c r="F316" s="2540"/>
      <c r="G316" s="2544"/>
      <c r="H316" s="2544"/>
      <c r="I316" s="2579"/>
      <c r="J316" s="2579"/>
      <c r="K316" s="2579"/>
      <c r="L316" s="2579"/>
      <c r="M316" s="2579"/>
      <c r="N316" s="2579"/>
      <c r="O316" s="2579"/>
    </row>
    <row r="317" spans="1:15" s="2463" customFormat="1" ht="12.75">
      <c r="A317" s="2543"/>
      <c r="B317" s="2543"/>
      <c r="C317" s="2542"/>
      <c r="D317" s="2541"/>
      <c r="E317" s="2539"/>
      <c r="F317" s="2540"/>
      <c r="G317" s="2539"/>
      <c r="H317" s="2539"/>
      <c r="I317" s="2579"/>
      <c r="J317" s="2579"/>
      <c r="K317" s="2579"/>
      <c r="L317" s="2579"/>
      <c r="M317" s="2579"/>
      <c r="N317" s="2579"/>
      <c r="O317" s="2579"/>
    </row>
    <row r="318" spans="1:15" s="2463" customFormat="1" ht="12.75">
      <c r="A318" s="2538"/>
      <c r="B318" s="2538"/>
      <c r="C318" s="2537"/>
      <c r="D318" s="2536"/>
      <c r="E318" s="2536"/>
      <c r="F318" s="2536"/>
      <c r="G318" s="2536"/>
      <c r="H318" s="2536"/>
      <c r="I318" s="2579"/>
      <c r="J318" s="2579"/>
      <c r="K318" s="2579"/>
      <c r="L318" s="2579"/>
      <c r="M318" s="2579"/>
      <c r="N318" s="2579"/>
      <c r="O318" s="2579"/>
    </row>
    <row r="319" spans="1:15" s="2463" customFormat="1" ht="12.75">
      <c r="A319" s="2538"/>
      <c r="B319" s="2538"/>
      <c r="C319" s="2537"/>
      <c r="D319" s="2536"/>
      <c r="E319" s="2536"/>
      <c r="F319" s="2536"/>
      <c r="G319" s="2536"/>
      <c r="H319" s="2536"/>
      <c r="I319" s="2579"/>
      <c r="J319" s="2579"/>
      <c r="K319" s="2579"/>
      <c r="L319" s="2579"/>
      <c r="M319" s="2579"/>
      <c r="N319" s="2579"/>
      <c r="O319" s="2579"/>
    </row>
    <row r="320" spans="1:15" s="2463" customFormat="1">
      <c r="A320" s="1269"/>
      <c r="B320" s="2529"/>
      <c r="C320" s="2535"/>
      <c r="D320" s="2529"/>
      <c r="E320" s="4877"/>
      <c r="F320" s="4877"/>
      <c r="G320" s="1269"/>
      <c r="H320" s="2529"/>
      <c r="I320" s="2579"/>
      <c r="J320" s="2579"/>
      <c r="K320" s="2579"/>
      <c r="L320" s="2579"/>
      <c r="M320" s="2579"/>
      <c r="N320" s="2579"/>
      <c r="O320" s="2579"/>
    </row>
    <row r="321" spans="1:15" s="2463" customFormat="1">
      <c r="A321" s="2529"/>
      <c r="B321" s="1269"/>
      <c r="C321" s="2535"/>
      <c r="D321" s="1269"/>
      <c r="E321" s="1269"/>
      <c r="F321" s="1269"/>
      <c r="G321" s="1269"/>
      <c r="H321" s="2529"/>
      <c r="I321" s="2579"/>
      <c r="J321" s="2579"/>
      <c r="K321" s="2579"/>
      <c r="L321" s="2579"/>
      <c r="M321" s="2579"/>
      <c r="N321" s="2579"/>
      <c r="O321" s="2579"/>
    </row>
    <row r="322" spans="1:15" s="2463" customFormat="1" ht="12.75">
      <c r="A322" s="2534"/>
      <c r="B322" s="1269"/>
      <c r="C322" s="4881"/>
      <c r="D322" s="4881"/>
      <c r="E322" s="4876"/>
      <c r="F322" s="4876"/>
      <c r="G322" s="4876"/>
      <c r="H322" s="4876"/>
      <c r="I322" s="2579"/>
      <c r="J322" s="2579"/>
      <c r="K322" s="2579"/>
      <c r="L322" s="2579"/>
      <c r="M322" s="2579"/>
      <c r="N322" s="2579"/>
      <c r="O322" s="2579"/>
    </row>
    <row r="323" spans="1:15" s="2463" customFormat="1" ht="12.75">
      <c r="A323" s="2531"/>
      <c r="B323" s="2533"/>
      <c r="C323" s="4874"/>
      <c r="D323" s="4874"/>
      <c r="E323" s="4875"/>
      <c r="F323" s="4875"/>
      <c r="G323" s="4875"/>
      <c r="H323" s="4875"/>
      <c r="I323" s="2579"/>
      <c r="J323" s="2579"/>
      <c r="K323" s="2579"/>
      <c r="L323" s="2579"/>
      <c r="M323" s="2579"/>
      <c r="N323" s="2579"/>
      <c r="O323" s="2579"/>
    </row>
    <row r="324" spans="1:15" s="2463" customFormat="1" ht="12.75">
      <c r="A324" s="2531"/>
      <c r="B324" s="2533"/>
      <c r="C324" s="2531"/>
      <c r="D324" s="2566"/>
      <c r="E324" s="2566"/>
      <c r="F324" s="2566"/>
      <c r="G324" s="2566"/>
      <c r="H324" s="2566"/>
      <c r="I324" s="2579"/>
      <c r="J324" s="2579"/>
      <c r="K324" s="2579"/>
      <c r="L324" s="2579"/>
      <c r="M324" s="2579"/>
      <c r="N324" s="2579"/>
      <c r="O324" s="2579"/>
    </row>
    <row r="325" spans="1:15" s="2463" customFormat="1" ht="12.75">
      <c r="A325" s="2531"/>
      <c r="B325" s="2533"/>
      <c r="C325" s="2531"/>
      <c r="D325" s="2566"/>
      <c r="E325" s="2566"/>
      <c r="F325" s="2566"/>
      <c r="G325" s="2566"/>
      <c r="H325" s="2566"/>
      <c r="I325" s="2579"/>
      <c r="J325" s="2579"/>
      <c r="K325" s="2579"/>
      <c r="L325" s="2579"/>
      <c r="M325" s="2579"/>
      <c r="N325" s="2579"/>
      <c r="O325" s="2579"/>
    </row>
    <row r="326" spans="1:15" s="2463" customFormat="1" ht="12.75">
      <c r="A326" s="2531"/>
      <c r="B326" s="2533"/>
      <c r="C326" s="2531"/>
      <c r="D326" s="2566"/>
      <c r="E326" s="2566"/>
      <c r="F326" s="2566"/>
      <c r="G326" s="2566"/>
      <c r="H326" s="2566"/>
      <c r="I326" s="2579"/>
      <c r="J326" s="2579"/>
      <c r="K326" s="2579"/>
      <c r="L326" s="2579"/>
      <c r="M326" s="2579"/>
      <c r="N326" s="2579"/>
      <c r="O326" s="2579"/>
    </row>
    <row r="327" spans="1:15" s="2463" customFormat="1" ht="12.75">
      <c r="A327" s="2531"/>
      <c r="B327" s="2533"/>
      <c r="C327" s="2531"/>
      <c r="D327" s="2566"/>
      <c r="E327" s="2566"/>
      <c r="F327" s="2566"/>
      <c r="G327" s="2566"/>
      <c r="H327" s="2566"/>
      <c r="I327" s="2579"/>
      <c r="J327" s="2579"/>
      <c r="K327" s="2579"/>
      <c r="L327" s="2579"/>
      <c r="M327" s="2579"/>
      <c r="N327" s="2579"/>
      <c r="O327" s="2579"/>
    </row>
    <row r="328" spans="1:15" s="2463" customFormat="1" ht="12.75">
      <c r="A328" s="2531"/>
      <c r="B328" s="2533"/>
      <c r="C328" s="2531"/>
      <c r="D328" s="2566"/>
      <c r="E328" s="2566"/>
      <c r="F328" s="2566"/>
      <c r="G328" s="2566"/>
      <c r="H328" s="2566"/>
      <c r="I328" s="2579"/>
      <c r="J328" s="2579"/>
      <c r="K328" s="2579"/>
      <c r="L328" s="2579"/>
      <c r="M328" s="2579"/>
      <c r="N328" s="2579"/>
      <c r="O328" s="2579"/>
    </row>
    <row r="329" spans="1:15" s="2463" customFormat="1" ht="12.75">
      <c r="A329" s="2531"/>
      <c r="B329" s="2533"/>
      <c r="C329" s="2531"/>
      <c r="D329" s="2566"/>
      <c r="E329" s="2566"/>
      <c r="F329" s="2566"/>
      <c r="G329" s="2566"/>
      <c r="H329" s="2566"/>
      <c r="I329" s="2579"/>
      <c r="J329" s="2579"/>
      <c r="K329" s="2579"/>
      <c r="L329" s="2579"/>
      <c r="M329" s="2579"/>
      <c r="N329" s="2579"/>
      <c r="O329" s="2579"/>
    </row>
    <row r="330" spans="1:15" s="2463" customFormat="1" ht="12.75">
      <c r="A330" s="2531"/>
      <c r="B330" s="2533"/>
      <c r="C330" s="2531"/>
      <c r="D330" s="2566"/>
      <c r="E330" s="2566"/>
      <c r="F330" s="2566"/>
      <c r="G330" s="2566"/>
      <c r="H330" s="2566"/>
      <c r="I330" s="2579"/>
      <c r="J330" s="2579"/>
      <c r="K330" s="2579"/>
      <c r="L330" s="2579"/>
      <c r="M330" s="2579"/>
      <c r="N330" s="2579"/>
      <c r="O330" s="2579"/>
    </row>
    <row r="331" spans="1:15" s="2463" customFormat="1" ht="12.75">
      <c r="A331" s="2531"/>
      <c r="B331" s="2533"/>
      <c r="C331" s="2531"/>
      <c r="D331" s="2566"/>
      <c r="E331" s="2566"/>
      <c r="F331" s="2566"/>
      <c r="G331" s="2566"/>
      <c r="H331" s="2566"/>
      <c r="I331" s="2579"/>
      <c r="J331" s="2579"/>
      <c r="K331" s="2579"/>
      <c r="L331" s="2579"/>
      <c r="M331" s="2579"/>
      <c r="N331" s="2579"/>
      <c r="O331" s="2579"/>
    </row>
    <row r="332" spans="1:15" s="2463" customFormat="1" ht="12.75">
      <c r="A332" s="2531"/>
      <c r="B332" s="2533"/>
      <c r="C332" s="2531"/>
      <c r="D332" s="2566"/>
      <c r="E332" s="2566"/>
      <c r="F332" s="2566"/>
      <c r="G332" s="2566"/>
      <c r="H332" s="2566"/>
      <c r="I332" s="2579"/>
      <c r="J332" s="2579"/>
      <c r="K332" s="2579"/>
      <c r="L332" s="2579"/>
      <c r="M332" s="2579"/>
      <c r="N332" s="2579"/>
      <c r="O332" s="2579"/>
    </row>
    <row r="333" spans="1:15" s="2463" customFormat="1" ht="12.75">
      <c r="A333" s="2531"/>
      <c r="B333" s="2533"/>
      <c r="C333" s="2531"/>
      <c r="D333" s="2566"/>
      <c r="E333" s="2566"/>
      <c r="F333" s="2566"/>
      <c r="G333" s="2566"/>
      <c r="H333" s="2566"/>
      <c r="I333" s="2579"/>
      <c r="J333" s="2579"/>
      <c r="K333" s="2579"/>
      <c r="L333" s="2579"/>
      <c r="M333" s="2579"/>
      <c r="N333" s="2579"/>
      <c r="O333" s="2579"/>
    </row>
    <row r="334" spans="1:15" s="2463" customFormat="1" ht="12.75">
      <c r="A334" s="2531"/>
      <c r="B334" s="2533"/>
      <c r="C334" s="2531"/>
      <c r="D334" s="2566"/>
      <c r="E334" s="2566"/>
      <c r="F334" s="2566"/>
      <c r="G334" s="2566"/>
      <c r="H334" s="2566"/>
      <c r="I334" s="2579"/>
      <c r="J334" s="2579"/>
      <c r="K334" s="2579"/>
      <c r="L334" s="2579"/>
      <c r="M334" s="2579"/>
      <c r="N334" s="2579"/>
      <c r="O334" s="2579"/>
    </row>
    <row r="335" spans="1:15" s="2463" customFormat="1" ht="12.75">
      <c r="A335" s="2531"/>
      <c r="B335" s="2533"/>
      <c r="C335" s="2531"/>
      <c r="D335" s="2566"/>
      <c r="E335" s="2566"/>
      <c r="F335" s="2566"/>
      <c r="G335" s="2566"/>
      <c r="H335" s="2566"/>
      <c r="I335" s="2579"/>
      <c r="J335" s="2579"/>
      <c r="K335" s="2579"/>
      <c r="L335" s="2579"/>
      <c r="M335" s="2579"/>
      <c r="N335" s="2579"/>
      <c r="O335" s="2579"/>
    </row>
    <row r="336" spans="1:15" s="2463" customFormat="1" ht="12.75">
      <c r="A336" s="2531"/>
      <c r="B336" s="2533"/>
      <c r="C336" s="2531"/>
      <c r="D336" s="2566"/>
      <c r="E336" s="2566"/>
      <c r="F336" s="2566"/>
      <c r="G336" s="2566"/>
      <c r="H336" s="2566"/>
      <c r="I336" s="2579"/>
      <c r="J336" s="2579"/>
      <c r="K336" s="2579"/>
      <c r="L336" s="2579"/>
      <c r="M336" s="2579"/>
      <c r="N336" s="2579"/>
      <c r="O336" s="2579"/>
    </row>
    <row r="337" spans="1:15" s="2463" customFormat="1" ht="12.75">
      <c r="A337" s="2531"/>
      <c r="B337" s="2533"/>
      <c r="C337" s="2531"/>
      <c r="D337" s="2566"/>
      <c r="E337" s="2566"/>
      <c r="F337" s="2566"/>
      <c r="G337" s="2566"/>
      <c r="H337" s="2566"/>
      <c r="I337" s="2579"/>
      <c r="J337" s="2579"/>
      <c r="K337" s="2579"/>
      <c r="L337" s="2579"/>
      <c r="M337" s="2579"/>
      <c r="N337" s="2579"/>
      <c r="O337" s="2579"/>
    </row>
    <row r="338" spans="1:15" s="2463" customFormat="1" ht="12.75">
      <c r="A338" s="2531"/>
      <c r="B338" s="2533"/>
      <c r="C338" s="2531"/>
      <c r="D338" s="2566"/>
      <c r="E338" s="2566"/>
      <c r="F338" s="2566"/>
      <c r="G338" s="2566"/>
      <c r="H338" s="2566"/>
      <c r="I338" s="2579"/>
      <c r="J338" s="2579"/>
      <c r="K338" s="2579"/>
      <c r="L338" s="2579"/>
      <c r="M338" s="2579"/>
      <c r="N338" s="2579"/>
      <c r="O338" s="2579"/>
    </row>
    <row r="339" spans="1:15" s="2463" customFormat="1" ht="12.75">
      <c r="A339" s="2531"/>
      <c r="B339" s="2533"/>
      <c r="C339" s="2531"/>
      <c r="D339" s="2566"/>
      <c r="E339" s="2566"/>
      <c r="F339" s="2566"/>
      <c r="G339" s="2566"/>
      <c r="H339" s="2566"/>
      <c r="I339" s="2579"/>
      <c r="J339" s="2579"/>
      <c r="K339" s="2579"/>
      <c r="L339" s="2579"/>
      <c r="M339" s="2579"/>
      <c r="N339" s="2579"/>
      <c r="O339" s="2579"/>
    </row>
    <row r="340" spans="1:15" s="2463" customFormat="1" ht="12.75">
      <c r="A340" s="2531"/>
      <c r="B340" s="2533"/>
      <c r="C340" s="2531"/>
      <c r="D340" s="2566"/>
      <c r="E340" s="2566"/>
      <c r="F340" s="2566"/>
      <c r="G340" s="2566"/>
      <c r="H340" s="2566"/>
      <c r="I340" s="2579"/>
      <c r="J340" s="2579"/>
      <c r="K340" s="2579"/>
      <c r="L340" s="2579"/>
      <c r="M340" s="2579"/>
      <c r="N340" s="2579"/>
      <c r="O340" s="2579"/>
    </row>
    <row r="341" spans="1:15" s="2463" customFormat="1" ht="12.75">
      <c r="A341" s="2531"/>
      <c r="B341" s="2533"/>
      <c r="C341" s="2531"/>
      <c r="D341" s="2566"/>
      <c r="E341" s="2566"/>
      <c r="F341" s="2566"/>
      <c r="G341" s="2566"/>
      <c r="H341" s="2566"/>
      <c r="I341" s="2579"/>
      <c r="J341" s="2579"/>
      <c r="K341" s="2579"/>
      <c r="L341" s="2579"/>
      <c r="M341" s="2579"/>
      <c r="N341" s="2579"/>
      <c r="O341" s="2579"/>
    </row>
    <row r="342" spans="1:15" s="2463" customFormat="1" ht="12.75">
      <c r="A342" s="2531"/>
      <c r="B342" s="2533"/>
      <c r="C342" s="2531"/>
      <c r="D342" s="2566"/>
      <c r="E342" s="2566"/>
      <c r="F342" s="2566"/>
      <c r="G342" s="2566"/>
      <c r="H342" s="2566"/>
      <c r="I342" s="2579"/>
      <c r="J342" s="2579"/>
      <c r="K342" s="2579"/>
      <c r="L342" s="2579"/>
      <c r="M342" s="2579"/>
      <c r="N342" s="2579"/>
      <c r="O342" s="2579"/>
    </row>
    <row r="343" spans="1:15">
      <c r="A343" s="2529"/>
      <c r="B343" s="2529"/>
      <c r="C343" s="2529"/>
      <c r="D343" s="2529"/>
      <c r="E343" s="2529"/>
      <c r="F343" s="2529"/>
      <c r="G343" s="2529"/>
      <c r="H343" s="2529"/>
    </row>
    <row r="344" spans="1:15">
      <c r="A344" s="2529"/>
      <c r="B344" s="2529"/>
      <c r="C344" s="2529"/>
      <c r="D344" s="2529"/>
      <c r="E344" s="2529"/>
      <c r="F344" s="2529"/>
      <c r="G344" s="2529"/>
      <c r="H344" s="2529"/>
    </row>
    <row r="345" spans="1:15">
      <c r="A345" s="2529"/>
      <c r="B345" s="2529"/>
      <c r="C345" s="2529"/>
      <c r="D345" s="2529"/>
      <c r="E345" s="2529"/>
      <c r="F345" s="2529"/>
      <c r="G345" s="2529"/>
      <c r="H345" s="2529"/>
    </row>
    <row r="346" spans="1:15">
      <c r="A346" s="4876"/>
      <c r="B346" s="4876"/>
      <c r="C346" s="4876"/>
      <c r="D346" s="4876"/>
      <c r="E346" s="4876"/>
      <c r="F346" s="4876"/>
      <c r="G346" s="4876"/>
      <c r="H346" s="4876"/>
    </row>
    <row r="347" spans="1:15">
      <c r="A347" s="4877"/>
      <c r="B347" s="4877"/>
      <c r="C347" s="4877"/>
      <c r="D347" s="4877"/>
      <c r="E347" s="4877"/>
      <c r="F347" s="4877"/>
      <c r="G347" s="4877"/>
      <c r="H347" s="4877"/>
    </row>
    <row r="348" spans="1:15">
      <c r="A348" s="2529"/>
      <c r="B348" s="2529"/>
      <c r="C348" s="2529"/>
      <c r="D348" s="2529"/>
      <c r="E348" s="2529"/>
      <c r="F348" s="2529"/>
      <c r="G348" s="2529"/>
      <c r="H348" s="2529"/>
    </row>
    <row r="349" spans="1:15" s="2463" customFormat="1">
      <c r="A349" s="2568"/>
      <c r="B349" s="2567"/>
      <c r="C349" s="2529"/>
      <c r="D349" s="2566"/>
      <c r="E349" s="2566"/>
      <c r="F349" s="2566"/>
      <c r="G349" s="2566"/>
      <c r="H349" s="2566"/>
      <c r="I349" s="2579"/>
      <c r="J349" s="2579"/>
      <c r="K349" s="2579"/>
      <c r="L349" s="2579"/>
      <c r="M349" s="2579"/>
      <c r="N349" s="2579"/>
      <c r="O349" s="2579"/>
    </row>
    <row r="350" spans="1:15" s="2463" customFormat="1" ht="12.75">
      <c r="A350" s="1269"/>
      <c r="B350" s="1269"/>
      <c r="C350" s="2542"/>
      <c r="D350" s="2541"/>
      <c r="E350" s="2561"/>
      <c r="F350" s="2540"/>
      <c r="G350" s="2565"/>
      <c r="H350" s="2561"/>
      <c r="I350" s="2579"/>
      <c r="J350" s="2579"/>
      <c r="K350" s="2579"/>
      <c r="L350" s="2579"/>
      <c r="M350" s="2579"/>
      <c r="N350" s="2579"/>
      <c r="O350" s="2579"/>
    </row>
    <row r="351" spans="1:15" s="2463" customFormat="1" ht="23.25">
      <c r="A351" s="2564"/>
      <c r="B351" s="2564"/>
      <c r="C351" s="2563"/>
      <c r="D351" s="2541"/>
      <c r="E351" s="2561"/>
      <c r="F351" s="2540"/>
      <c r="G351" s="2562"/>
      <c r="H351" s="2561"/>
      <c r="I351" s="2579"/>
      <c r="J351" s="2579"/>
      <c r="K351" s="2579"/>
      <c r="L351" s="2579"/>
      <c r="M351" s="2579"/>
      <c r="N351" s="2579"/>
      <c r="O351" s="2579"/>
    </row>
    <row r="352" spans="1:15" s="2463" customFormat="1" ht="12.75">
      <c r="A352" s="4879"/>
      <c r="B352" s="4879"/>
      <c r="C352" s="2559"/>
      <c r="D352" s="2560"/>
      <c r="E352" s="4880"/>
      <c r="F352" s="4880"/>
      <c r="G352" s="4880"/>
      <c r="H352" s="2557"/>
      <c r="I352" s="2579"/>
      <c r="J352" s="2579"/>
      <c r="K352" s="2579"/>
      <c r="L352" s="2579"/>
      <c r="M352" s="2579"/>
      <c r="N352" s="2579"/>
      <c r="O352" s="2579"/>
    </row>
    <row r="353" spans="1:15" s="2463" customFormat="1" ht="12.75">
      <c r="A353" s="4879"/>
      <c r="B353" s="4879"/>
      <c r="C353" s="2559"/>
      <c r="D353" s="2558"/>
      <c r="E353" s="2558"/>
      <c r="F353" s="2558"/>
      <c r="G353" s="2558"/>
      <c r="H353" s="2558"/>
      <c r="I353" s="2579"/>
      <c r="J353" s="2579"/>
      <c r="K353" s="2579"/>
      <c r="L353" s="2579"/>
      <c r="M353" s="2579"/>
      <c r="N353" s="2579"/>
      <c r="O353" s="2579"/>
    </row>
    <row r="354" spans="1:15" s="2463" customFormat="1" ht="12.75">
      <c r="A354" s="4879"/>
      <c r="B354" s="4879"/>
      <c r="C354" s="2557"/>
      <c r="D354" s="2555"/>
      <c r="E354" s="2555"/>
      <c r="F354" s="2555"/>
      <c r="G354" s="2556"/>
      <c r="H354" s="2555"/>
      <c r="I354" s="2579"/>
      <c r="J354" s="2579"/>
      <c r="K354" s="2579"/>
      <c r="L354" s="2579"/>
      <c r="M354" s="2579"/>
      <c r="N354" s="2579"/>
      <c r="O354" s="2579"/>
    </row>
    <row r="355" spans="1:15" s="2463" customFormat="1" ht="12.75">
      <c r="A355" s="2554"/>
      <c r="B355" s="2553"/>
      <c r="C355" s="2552"/>
      <c r="D355" s="2551"/>
      <c r="E355" s="2551"/>
      <c r="F355" s="2551"/>
      <c r="G355" s="2551"/>
      <c r="H355" s="2551"/>
      <c r="I355" s="2579"/>
      <c r="J355" s="2579"/>
      <c r="K355" s="2579"/>
      <c r="L355" s="2579"/>
      <c r="M355" s="2579"/>
      <c r="N355" s="2579"/>
      <c r="O355" s="2579"/>
    </row>
    <row r="356" spans="1:15" s="2463" customFormat="1" ht="12.75">
      <c r="A356" s="2549"/>
      <c r="B356" s="2549"/>
      <c r="C356" s="2542"/>
      <c r="D356" s="2548"/>
      <c r="E356" s="2548"/>
      <c r="F356" s="2540"/>
      <c r="G356" s="2548"/>
      <c r="H356" s="2548"/>
      <c r="I356" s="2579"/>
      <c r="J356" s="2579"/>
      <c r="K356" s="2579"/>
      <c r="L356" s="2579"/>
      <c r="M356" s="2579"/>
      <c r="N356" s="2579"/>
      <c r="O356" s="2579"/>
    </row>
    <row r="357" spans="1:15" s="2463" customFormat="1" ht="12.75">
      <c r="A357" s="2549"/>
      <c r="B357" s="2549"/>
      <c r="C357" s="2545"/>
      <c r="D357" s="2548"/>
      <c r="E357" s="2548"/>
      <c r="F357" s="2540"/>
      <c r="G357" s="2548"/>
      <c r="H357" s="2548"/>
      <c r="I357" s="2579"/>
      <c r="J357" s="2579"/>
      <c r="K357" s="2579"/>
      <c r="L357" s="2579"/>
      <c r="M357" s="2579"/>
      <c r="N357" s="2579"/>
      <c r="O357" s="2579"/>
    </row>
    <row r="358" spans="1:15" s="2463" customFormat="1" ht="12.75">
      <c r="A358" s="2547"/>
      <c r="B358" s="2546"/>
      <c r="C358" s="2545"/>
      <c r="D358" s="2541"/>
      <c r="E358" s="2544"/>
      <c r="F358" s="2540"/>
      <c r="G358" s="2544"/>
      <c r="H358" s="2544"/>
      <c r="I358" s="2579"/>
      <c r="J358" s="2579"/>
      <c r="K358" s="2579"/>
      <c r="L358" s="2579"/>
      <c r="M358" s="2579"/>
      <c r="N358" s="2579"/>
      <c r="O358" s="2579"/>
    </row>
    <row r="359" spans="1:15" s="2463" customFormat="1" ht="12.75">
      <c r="A359" s="2543"/>
      <c r="B359" s="2543"/>
      <c r="C359" s="2542"/>
      <c r="D359" s="2541"/>
      <c r="E359" s="2539"/>
      <c r="F359" s="2540"/>
      <c r="G359" s="2539"/>
      <c r="H359" s="2539"/>
      <c r="I359" s="2579"/>
      <c r="J359" s="2579"/>
      <c r="K359" s="2579"/>
      <c r="L359" s="2579"/>
      <c r="M359" s="2579"/>
      <c r="N359" s="2579"/>
      <c r="O359" s="2579"/>
    </row>
    <row r="360" spans="1:15" s="2463" customFormat="1" ht="12.75">
      <c r="A360" s="2538"/>
      <c r="B360" s="2538"/>
      <c r="C360" s="2537"/>
      <c r="D360" s="2536"/>
      <c r="E360" s="2536"/>
      <c r="F360" s="2536"/>
      <c r="G360" s="2536"/>
      <c r="H360" s="2536"/>
      <c r="I360" s="2579"/>
      <c r="J360" s="2579"/>
      <c r="K360" s="2579"/>
      <c r="L360" s="2579"/>
      <c r="M360" s="2579"/>
      <c r="N360" s="2579"/>
      <c r="O360" s="2579"/>
    </row>
    <row r="361" spans="1:15" s="2463" customFormat="1" ht="12.75">
      <c r="A361" s="2538"/>
      <c r="B361" s="2538"/>
      <c r="C361" s="2537"/>
      <c r="D361" s="2536"/>
      <c r="E361" s="2536"/>
      <c r="F361" s="2536"/>
      <c r="G361" s="2536"/>
      <c r="H361" s="2536"/>
      <c r="I361" s="2579"/>
      <c r="J361" s="2579"/>
      <c r="K361" s="2579"/>
      <c r="L361" s="2579"/>
      <c r="M361" s="2579"/>
      <c r="N361" s="2579"/>
      <c r="O361" s="2579"/>
    </row>
    <row r="362" spans="1:15" s="2463" customFormat="1">
      <c r="A362" s="1269"/>
      <c r="B362" s="2529"/>
      <c r="C362" s="2535"/>
      <c r="D362" s="2529"/>
      <c r="E362" s="4877"/>
      <c r="F362" s="4877"/>
      <c r="G362" s="1269"/>
      <c r="H362" s="2529"/>
      <c r="I362" s="2579"/>
      <c r="J362" s="2579"/>
      <c r="K362" s="2579"/>
      <c r="L362" s="2579"/>
      <c r="M362" s="2579"/>
      <c r="N362" s="2579"/>
      <c r="O362" s="2579"/>
    </row>
    <row r="363" spans="1:15" s="2463" customFormat="1">
      <c r="A363" s="2529"/>
      <c r="B363" s="1269"/>
      <c r="C363" s="2535"/>
      <c r="D363" s="1269"/>
      <c r="E363" s="1269"/>
      <c r="F363" s="1269"/>
      <c r="G363" s="1269"/>
      <c r="H363" s="2529"/>
      <c r="I363" s="2579"/>
      <c r="J363" s="2579"/>
      <c r="K363" s="2579"/>
      <c r="L363" s="2579"/>
      <c r="M363" s="2579"/>
      <c r="N363" s="2579"/>
      <c r="O363" s="2579"/>
    </row>
    <row r="364" spans="1:15" s="2463" customFormat="1" ht="12.75">
      <c r="A364" s="2534"/>
      <c r="B364" s="1269"/>
      <c r="C364" s="4881"/>
      <c r="D364" s="4881"/>
      <c r="E364" s="4876"/>
      <c r="F364" s="4876"/>
      <c r="G364" s="4876"/>
      <c r="H364" s="4876"/>
      <c r="I364" s="2579"/>
      <c r="J364" s="2579"/>
      <c r="K364" s="2579"/>
      <c r="L364" s="2579"/>
      <c r="M364" s="2579"/>
      <c r="N364" s="2579"/>
      <c r="O364" s="2579"/>
    </row>
    <row r="365" spans="1:15" s="2463" customFormat="1" ht="12.75">
      <c r="A365" s="2531"/>
      <c r="B365" s="2533"/>
      <c r="C365" s="4874"/>
      <c r="D365" s="4874"/>
      <c r="E365" s="4875"/>
      <c r="F365" s="4875"/>
      <c r="G365" s="4875"/>
      <c r="H365" s="4875"/>
      <c r="I365" s="2579"/>
      <c r="J365" s="2579"/>
      <c r="K365" s="2579"/>
      <c r="L365" s="2579"/>
      <c r="M365" s="2579"/>
      <c r="N365" s="2579"/>
      <c r="O365" s="2579"/>
    </row>
    <row r="366" spans="1:15" s="2463" customFormat="1" ht="7.5" customHeight="1">
      <c r="A366" s="2531"/>
      <c r="B366" s="2533"/>
      <c r="C366" s="2531"/>
      <c r="D366" s="2566"/>
      <c r="E366" s="2566"/>
      <c r="F366" s="2566"/>
      <c r="G366" s="2566"/>
      <c r="H366" s="2566"/>
      <c r="I366" s="2579"/>
      <c r="J366" s="2579"/>
      <c r="K366" s="2579"/>
      <c r="L366" s="2579"/>
      <c r="M366" s="2579"/>
      <c r="N366" s="2579"/>
      <c r="O366" s="2579"/>
    </row>
    <row r="367" spans="1:15" s="2463" customFormat="1" ht="7.5" customHeight="1">
      <c r="A367" s="2531"/>
      <c r="B367" s="2533"/>
      <c r="C367" s="2531"/>
      <c r="D367" s="2566"/>
      <c r="E367" s="2566"/>
      <c r="F367" s="2566"/>
      <c r="G367" s="2566"/>
      <c r="H367" s="2566"/>
      <c r="I367" s="2579"/>
      <c r="J367" s="2579"/>
      <c r="K367" s="2579"/>
      <c r="L367" s="2579"/>
      <c r="M367" s="2579"/>
      <c r="N367" s="2579"/>
      <c r="O367" s="2579"/>
    </row>
    <row r="368" spans="1:15" s="2463" customFormat="1" ht="7.5" customHeight="1">
      <c r="A368" s="2531"/>
      <c r="B368" s="2533"/>
      <c r="C368" s="2531"/>
      <c r="D368" s="2566"/>
      <c r="E368" s="2566"/>
      <c r="F368" s="2566"/>
      <c r="G368" s="2566"/>
      <c r="H368" s="2566"/>
      <c r="I368" s="2579"/>
      <c r="J368" s="2579"/>
      <c r="K368" s="2579"/>
      <c r="L368" s="2579"/>
      <c r="M368" s="2579"/>
      <c r="N368" s="2579"/>
      <c r="O368" s="2579"/>
    </row>
    <row r="369" spans="1:15" s="2463" customFormat="1" ht="7.5" customHeight="1">
      <c r="A369" s="2531"/>
      <c r="B369" s="2533"/>
      <c r="C369" s="2531"/>
      <c r="D369" s="2566"/>
      <c r="E369" s="2566"/>
      <c r="F369" s="2566"/>
      <c r="G369" s="2566"/>
      <c r="H369" s="2566"/>
      <c r="I369" s="2579"/>
      <c r="J369" s="2579"/>
      <c r="K369" s="2579"/>
      <c r="L369" s="2579"/>
      <c r="M369" s="2579"/>
      <c r="N369" s="2579"/>
      <c r="O369" s="2579"/>
    </row>
    <row r="370" spans="1:15" s="2463" customFormat="1" ht="7.5" customHeight="1">
      <c r="A370" s="2531"/>
      <c r="B370" s="2533"/>
      <c r="C370" s="2531"/>
      <c r="D370" s="2566"/>
      <c r="E370" s="2566"/>
      <c r="F370" s="2566"/>
      <c r="G370" s="2566"/>
      <c r="H370" s="2566"/>
      <c r="I370" s="2579"/>
      <c r="J370" s="2579"/>
      <c r="K370" s="2579"/>
      <c r="L370" s="2579"/>
      <c r="M370" s="2579"/>
      <c r="N370" s="2579"/>
      <c r="O370" s="2579"/>
    </row>
    <row r="371" spans="1:15" s="2463" customFormat="1" ht="7.5" customHeight="1">
      <c r="A371" s="2531"/>
      <c r="B371" s="2533"/>
      <c r="C371" s="2531"/>
      <c r="D371" s="2566"/>
      <c r="E371" s="2566"/>
      <c r="F371" s="2566"/>
      <c r="G371" s="2566"/>
      <c r="H371" s="2566"/>
      <c r="I371" s="2579"/>
      <c r="J371" s="2579"/>
      <c r="K371" s="2579"/>
      <c r="L371" s="2579"/>
      <c r="M371" s="2579"/>
      <c r="N371" s="2579"/>
      <c r="O371" s="2579"/>
    </row>
    <row r="372" spans="1:15" s="2463" customFormat="1" ht="7.5" customHeight="1">
      <c r="A372" s="2531"/>
      <c r="B372" s="2533"/>
      <c r="C372" s="2531"/>
      <c r="D372" s="2566"/>
      <c r="E372" s="2566"/>
      <c r="F372" s="2566"/>
      <c r="G372" s="2566"/>
      <c r="H372" s="2566"/>
      <c r="I372" s="2579"/>
      <c r="J372" s="2579"/>
      <c r="K372" s="2579"/>
      <c r="L372" s="2579"/>
      <c r="M372" s="2579"/>
      <c r="N372" s="2579"/>
      <c r="O372" s="2579"/>
    </row>
    <row r="373" spans="1:15" s="2463" customFormat="1" ht="7.5" customHeight="1">
      <c r="A373" s="2531"/>
      <c r="B373" s="2533"/>
      <c r="C373" s="2531"/>
      <c r="D373" s="2566"/>
      <c r="E373" s="2566"/>
      <c r="F373" s="2566"/>
      <c r="G373" s="2566"/>
      <c r="H373" s="2566"/>
      <c r="I373" s="2579"/>
      <c r="J373" s="2579"/>
      <c r="K373" s="2579"/>
      <c r="L373" s="2579"/>
      <c r="M373" s="2579"/>
      <c r="N373" s="2579"/>
      <c r="O373" s="2579"/>
    </row>
    <row r="374" spans="1:15" s="2463" customFormat="1" ht="7.5" customHeight="1">
      <c r="A374" s="2531"/>
      <c r="B374" s="2533"/>
      <c r="C374" s="2531"/>
      <c r="D374" s="2566"/>
      <c r="E374" s="2566"/>
      <c r="F374" s="2566"/>
      <c r="G374" s="2566"/>
      <c r="H374" s="2566"/>
      <c r="I374" s="2579"/>
      <c r="J374" s="2579"/>
      <c r="K374" s="2579"/>
      <c r="L374" s="2579"/>
      <c r="M374" s="2579"/>
      <c r="N374" s="2579"/>
      <c r="O374" s="2579"/>
    </row>
    <row r="375" spans="1:15" s="2463" customFormat="1" ht="7.5" customHeight="1">
      <c r="A375" s="2531"/>
      <c r="B375" s="2533"/>
      <c r="C375" s="2531"/>
      <c r="D375" s="2566"/>
      <c r="E375" s="2566"/>
      <c r="F375" s="2566"/>
      <c r="G375" s="2566"/>
      <c r="H375" s="2566"/>
      <c r="I375" s="2579"/>
      <c r="J375" s="2579"/>
      <c r="K375" s="2579"/>
      <c r="L375" s="2579"/>
      <c r="M375" s="2579"/>
      <c r="N375" s="2579"/>
      <c r="O375" s="2579"/>
    </row>
    <row r="376" spans="1:15" s="2463" customFormat="1" ht="7.5" customHeight="1">
      <c r="A376" s="2531"/>
      <c r="B376" s="2533"/>
      <c r="C376" s="2531"/>
      <c r="D376" s="2566"/>
      <c r="E376" s="2566"/>
      <c r="F376" s="2566"/>
      <c r="G376" s="2566"/>
      <c r="H376" s="2566"/>
      <c r="I376" s="2579"/>
      <c r="J376" s="2579"/>
      <c r="K376" s="2579"/>
      <c r="L376" s="2579"/>
      <c r="M376" s="2579"/>
      <c r="N376" s="2579"/>
      <c r="O376" s="2579"/>
    </row>
    <row r="377" spans="1:15" s="2463" customFormat="1" ht="7.5" customHeight="1">
      <c r="A377" s="2531"/>
      <c r="B377" s="2533"/>
      <c r="C377" s="2531"/>
      <c r="D377" s="2566"/>
      <c r="E377" s="2566"/>
      <c r="F377" s="2566"/>
      <c r="G377" s="2566"/>
      <c r="H377" s="2566"/>
      <c r="I377" s="2579"/>
      <c r="J377" s="2579"/>
      <c r="K377" s="2579"/>
      <c r="L377" s="2579"/>
      <c r="M377" s="2579"/>
      <c r="N377" s="2579"/>
      <c r="O377" s="2579"/>
    </row>
    <row r="378" spans="1:15" s="2463" customFormat="1" ht="7.5" customHeight="1">
      <c r="A378" s="2531"/>
      <c r="B378" s="2533"/>
      <c r="C378" s="2531"/>
      <c r="D378" s="2566"/>
      <c r="E378" s="2566"/>
      <c r="F378" s="2566"/>
      <c r="G378" s="2566"/>
      <c r="H378" s="2566"/>
      <c r="I378" s="2579"/>
      <c r="J378" s="2579"/>
      <c r="K378" s="2579"/>
      <c r="L378" s="2579"/>
      <c r="M378" s="2579"/>
      <c r="N378" s="2579"/>
      <c r="O378" s="2579"/>
    </row>
    <row r="379" spans="1:15" s="2463" customFormat="1" ht="7.5" customHeight="1">
      <c r="A379" s="2531"/>
      <c r="B379" s="2533"/>
      <c r="C379" s="2531"/>
      <c r="D379" s="2566"/>
      <c r="E379" s="2566"/>
      <c r="F379" s="2566"/>
      <c r="G379" s="2566"/>
      <c r="H379" s="2566"/>
      <c r="I379" s="2579"/>
      <c r="J379" s="2579"/>
      <c r="K379" s="2579"/>
      <c r="L379" s="2579"/>
      <c r="M379" s="2579"/>
      <c r="N379" s="2579"/>
      <c r="O379" s="2579"/>
    </row>
    <row r="380" spans="1:15" s="2463" customFormat="1" ht="7.5" customHeight="1">
      <c r="A380" s="2531"/>
      <c r="B380" s="2533"/>
      <c r="C380" s="2531"/>
      <c r="D380" s="2566"/>
      <c r="E380" s="2566"/>
      <c r="F380" s="2566"/>
      <c r="G380" s="2566"/>
      <c r="H380" s="2566"/>
      <c r="I380" s="2579"/>
      <c r="J380" s="2579"/>
      <c r="K380" s="2579"/>
      <c r="L380" s="2579"/>
      <c r="M380" s="2579"/>
      <c r="N380" s="2579"/>
      <c r="O380" s="2579"/>
    </row>
    <row r="381" spans="1:15" s="2463" customFormat="1" ht="7.5" customHeight="1">
      <c r="A381" s="2531"/>
      <c r="B381" s="2533"/>
      <c r="C381" s="2531"/>
      <c r="D381" s="2566"/>
      <c r="E381" s="2566"/>
      <c r="F381" s="2566"/>
      <c r="G381" s="2566"/>
      <c r="H381" s="2566"/>
      <c r="I381" s="2579"/>
      <c r="J381" s="2579"/>
      <c r="K381" s="2579"/>
      <c r="L381" s="2579"/>
      <c r="M381" s="2579"/>
      <c r="N381" s="2579"/>
      <c r="O381" s="2579"/>
    </row>
    <row r="382" spans="1:15" s="2463" customFormat="1" ht="7.5" customHeight="1">
      <c r="A382" s="2531"/>
      <c r="B382" s="2533"/>
      <c r="C382" s="2531"/>
      <c r="D382" s="2566"/>
      <c r="E382" s="2566"/>
      <c r="F382" s="2566"/>
      <c r="G382" s="2566"/>
      <c r="H382" s="2566"/>
      <c r="I382" s="2579"/>
      <c r="J382" s="2579"/>
      <c r="K382" s="2579"/>
      <c r="L382" s="2579"/>
      <c r="M382" s="2579"/>
      <c r="N382" s="2579"/>
      <c r="O382" s="2579"/>
    </row>
    <row r="383" spans="1:15" s="2463" customFormat="1" ht="7.5" customHeight="1">
      <c r="A383" s="2531"/>
      <c r="B383" s="2533"/>
      <c r="C383" s="2531"/>
      <c r="D383" s="2566"/>
      <c r="E383" s="2566"/>
      <c r="F383" s="2566"/>
      <c r="G383" s="2566"/>
      <c r="H383" s="2566"/>
      <c r="I383" s="2579"/>
      <c r="J383" s="2579"/>
      <c r="K383" s="2579"/>
      <c r="L383" s="2579"/>
      <c r="M383" s="2579"/>
      <c r="N383" s="2579"/>
      <c r="O383" s="2579"/>
    </row>
    <row r="384" spans="1:15" s="2463" customFormat="1" ht="7.5" customHeight="1">
      <c r="A384" s="2531"/>
      <c r="B384" s="2533"/>
      <c r="C384" s="2531"/>
      <c r="D384" s="2566"/>
      <c r="E384" s="2566"/>
      <c r="F384" s="2566"/>
      <c r="G384" s="2566"/>
      <c r="H384" s="2566"/>
      <c r="I384" s="2579"/>
      <c r="J384" s="2579"/>
      <c r="K384" s="2579"/>
      <c r="L384" s="2579"/>
      <c r="M384" s="2579"/>
      <c r="N384" s="2579"/>
      <c r="O384" s="2579"/>
    </row>
    <row r="385" spans="1:15" s="2463" customFormat="1" ht="7.5" customHeight="1">
      <c r="A385" s="2531"/>
      <c r="B385" s="2533"/>
      <c r="C385" s="2531"/>
      <c r="D385" s="2566"/>
      <c r="E385" s="2566"/>
      <c r="F385" s="2566"/>
      <c r="G385" s="2566"/>
      <c r="H385" s="2566"/>
      <c r="I385" s="2579"/>
      <c r="J385" s="2579"/>
      <c r="K385" s="2579"/>
      <c r="L385" s="2579"/>
      <c r="M385" s="2579"/>
      <c r="N385" s="2579"/>
      <c r="O385" s="2579"/>
    </row>
    <row r="386" spans="1:15" s="2463" customFormat="1" ht="7.5" customHeight="1">
      <c r="A386" s="2531"/>
      <c r="B386" s="2533"/>
      <c r="C386" s="2531"/>
      <c r="D386" s="2566"/>
      <c r="E386" s="2566"/>
      <c r="F386" s="2566"/>
      <c r="G386" s="2566"/>
      <c r="H386" s="2566"/>
      <c r="I386" s="2579"/>
      <c r="J386" s="2579"/>
      <c r="K386" s="2579"/>
      <c r="L386" s="2579"/>
      <c r="M386" s="2579"/>
      <c r="N386" s="2579"/>
      <c r="O386" s="2579"/>
    </row>
    <row r="387" spans="1:15" s="2463" customFormat="1" ht="7.5" customHeight="1">
      <c r="A387" s="2531"/>
      <c r="B387" s="2533"/>
      <c r="C387" s="2531"/>
      <c r="D387" s="2566"/>
      <c r="E387" s="2566"/>
      <c r="F387" s="2566"/>
      <c r="G387" s="2566"/>
      <c r="H387" s="2566"/>
      <c r="I387" s="2579"/>
      <c r="J387" s="2579"/>
      <c r="K387" s="2579"/>
      <c r="L387" s="2579"/>
      <c r="M387" s="2579"/>
      <c r="N387" s="2579"/>
      <c r="O387" s="2579"/>
    </row>
    <row r="388" spans="1:15" s="2463" customFormat="1" ht="7.5" customHeight="1">
      <c r="A388" s="2531"/>
      <c r="B388" s="2533"/>
      <c r="C388" s="2531"/>
      <c r="D388" s="2566"/>
      <c r="E388" s="2566"/>
      <c r="F388" s="2566"/>
      <c r="G388" s="2566"/>
      <c r="H388" s="2566"/>
      <c r="I388" s="2579"/>
      <c r="J388" s="2579"/>
      <c r="K388" s="2579"/>
      <c r="L388" s="2579"/>
      <c r="M388" s="2579"/>
      <c r="N388" s="2579"/>
      <c r="O388" s="2579"/>
    </row>
    <row r="389" spans="1:15" s="2463" customFormat="1" ht="7.5" customHeight="1">
      <c r="A389" s="2531"/>
      <c r="B389" s="2533"/>
      <c r="C389" s="2531"/>
      <c r="D389" s="2566"/>
      <c r="E389" s="2566"/>
      <c r="F389" s="2566"/>
      <c r="G389" s="2566"/>
      <c r="H389" s="2566"/>
      <c r="I389" s="2579"/>
      <c r="J389" s="2579"/>
      <c r="K389" s="2579"/>
      <c r="L389" s="2579"/>
      <c r="M389" s="2579"/>
      <c r="N389" s="2579"/>
      <c r="O389" s="2579"/>
    </row>
    <row r="390" spans="1:15" s="2463" customFormat="1" ht="7.5" customHeight="1">
      <c r="A390" s="2531"/>
      <c r="B390" s="2533"/>
      <c r="C390" s="2531"/>
      <c r="D390" s="2566"/>
      <c r="E390" s="2566"/>
      <c r="F390" s="2566"/>
      <c r="G390" s="2566"/>
      <c r="H390" s="2566"/>
      <c r="I390" s="2579"/>
      <c r="J390" s="2579"/>
      <c r="K390" s="2579"/>
      <c r="L390" s="2579"/>
      <c r="M390" s="2579"/>
      <c r="N390" s="2579"/>
      <c r="O390" s="2579"/>
    </row>
    <row r="391" spans="1:15" s="2463" customFormat="1" ht="7.5" customHeight="1">
      <c r="A391" s="2531"/>
      <c r="B391" s="2533"/>
      <c r="C391" s="2531"/>
      <c r="D391" s="2566"/>
      <c r="E391" s="2566"/>
      <c r="F391" s="2566"/>
      <c r="G391" s="2566"/>
      <c r="H391" s="2566"/>
      <c r="I391" s="2579"/>
      <c r="J391" s="2579"/>
      <c r="K391" s="2579"/>
      <c r="L391" s="2579"/>
      <c r="M391" s="2579"/>
      <c r="N391" s="2579"/>
      <c r="O391" s="2579"/>
    </row>
    <row r="392" spans="1:15" s="2463" customFormat="1" ht="7.5" customHeight="1">
      <c r="A392" s="2531"/>
      <c r="B392" s="2533"/>
      <c r="C392" s="2531"/>
      <c r="D392" s="2566"/>
      <c r="E392" s="2566"/>
      <c r="F392" s="2566"/>
      <c r="G392" s="2566"/>
      <c r="H392" s="2566"/>
      <c r="I392" s="2579"/>
      <c r="J392" s="2579"/>
      <c r="K392" s="2579"/>
      <c r="L392" s="2579"/>
      <c r="M392" s="2579"/>
      <c r="N392" s="2579"/>
      <c r="O392" s="2579"/>
    </row>
    <row r="393" spans="1:15" s="2463" customFormat="1" ht="7.5" customHeight="1">
      <c r="A393" s="2531"/>
      <c r="B393" s="2533"/>
      <c r="C393" s="2531"/>
      <c r="D393" s="2566"/>
      <c r="E393" s="2566"/>
      <c r="F393" s="2566"/>
      <c r="G393" s="2566"/>
      <c r="H393" s="2566"/>
      <c r="I393" s="2579"/>
      <c r="J393" s="2579"/>
      <c r="K393" s="2579"/>
      <c r="L393" s="2579"/>
      <c r="M393" s="2579"/>
      <c r="N393" s="2579"/>
      <c r="O393" s="2579"/>
    </row>
    <row r="394" spans="1:15" s="2463" customFormat="1" ht="7.5" customHeight="1">
      <c r="A394" s="2531"/>
      <c r="B394" s="2533"/>
      <c r="C394" s="2531"/>
      <c r="D394" s="2566"/>
      <c r="E394" s="2566"/>
      <c r="F394" s="2566"/>
      <c r="G394" s="2566"/>
      <c r="H394" s="2566"/>
      <c r="I394" s="2579"/>
      <c r="J394" s="2579"/>
      <c r="K394" s="2579"/>
      <c r="L394" s="2579"/>
      <c r="M394" s="2579"/>
      <c r="N394" s="2579"/>
      <c r="O394" s="2579"/>
    </row>
    <row r="395" spans="1:15" s="2463" customFormat="1" ht="7.5" customHeight="1">
      <c r="A395" s="2531"/>
      <c r="B395" s="2533"/>
      <c r="C395" s="2531"/>
      <c r="D395" s="2566"/>
      <c r="E395" s="2566"/>
      <c r="F395" s="2566"/>
      <c r="G395" s="2566"/>
      <c r="H395" s="2566"/>
      <c r="I395" s="2579"/>
      <c r="J395" s="2579"/>
      <c r="K395" s="2579"/>
      <c r="L395" s="2579"/>
      <c r="M395" s="2579"/>
      <c r="N395" s="2579"/>
      <c r="O395" s="2579"/>
    </row>
    <row r="396" spans="1:15" s="2463" customFormat="1" ht="7.5" customHeight="1">
      <c r="A396" s="2531"/>
      <c r="B396" s="2533"/>
      <c r="C396" s="2531"/>
      <c r="D396" s="2566"/>
      <c r="E396" s="2566"/>
      <c r="F396" s="2566"/>
      <c r="G396" s="2566"/>
      <c r="H396" s="2566"/>
      <c r="I396" s="2579"/>
      <c r="J396" s="2579"/>
      <c r="K396" s="2579"/>
      <c r="L396" s="2579"/>
      <c r="M396" s="2579"/>
      <c r="N396" s="2579"/>
      <c r="O396" s="2579"/>
    </row>
    <row r="397" spans="1:15" s="2463" customFormat="1" ht="7.5" customHeight="1">
      <c r="A397" s="2531"/>
      <c r="B397" s="2533"/>
      <c r="C397" s="2531"/>
      <c r="D397" s="2566"/>
      <c r="E397" s="2566"/>
      <c r="F397" s="2566"/>
      <c r="G397" s="2566"/>
      <c r="H397" s="2566"/>
      <c r="I397" s="2579"/>
      <c r="J397" s="2579"/>
      <c r="K397" s="2579"/>
      <c r="L397" s="2579"/>
      <c r="M397" s="2579"/>
      <c r="N397" s="2579"/>
      <c r="O397" s="2579"/>
    </row>
    <row r="398" spans="1:15" s="2463" customFormat="1" ht="7.5" customHeight="1">
      <c r="A398" s="2531"/>
      <c r="B398" s="2533"/>
      <c r="C398" s="2531"/>
      <c r="D398" s="2566"/>
      <c r="E398" s="2566"/>
      <c r="F398" s="2566"/>
      <c r="G398" s="2566"/>
      <c r="H398" s="2566"/>
      <c r="I398" s="2579"/>
      <c r="J398" s="2579"/>
      <c r="K398" s="2579"/>
      <c r="L398" s="2579"/>
      <c r="M398" s="2579"/>
      <c r="N398" s="2579"/>
      <c r="O398" s="2579"/>
    </row>
    <row r="399" spans="1:15" s="2463" customFormat="1" ht="7.5" customHeight="1">
      <c r="A399" s="2531"/>
      <c r="B399" s="2533"/>
      <c r="C399" s="2531"/>
      <c r="D399" s="2566"/>
      <c r="E399" s="2566"/>
      <c r="F399" s="2566"/>
      <c r="G399" s="2566"/>
      <c r="H399" s="2566"/>
      <c r="I399" s="2579"/>
      <c r="J399" s="2579"/>
      <c r="K399" s="2579"/>
      <c r="L399" s="2579"/>
      <c r="M399" s="2579"/>
      <c r="N399" s="2579"/>
      <c r="O399" s="2579"/>
    </row>
    <row r="400" spans="1:15" s="2463" customFormat="1" ht="7.5" customHeight="1">
      <c r="A400" s="2531"/>
      <c r="B400" s="2533"/>
      <c r="C400" s="2531"/>
      <c r="D400" s="2566"/>
      <c r="E400" s="2566"/>
      <c r="F400" s="2566"/>
      <c r="G400" s="2566"/>
      <c r="H400" s="2566"/>
      <c r="I400" s="2579"/>
      <c r="J400" s="2579"/>
      <c r="K400" s="2579"/>
      <c r="L400" s="2579"/>
      <c r="M400" s="2579"/>
      <c r="N400" s="2579"/>
      <c r="O400" s="2579"/>
    </row>
    <row r="401" spans="1:15" s="2463" customFormat="1" ht="7.5" customHeight="1">
      <c r="A401" s="2531"/>
      <c r="B401" s="2533"/>
      <c r="C401" s="2531"/>
      <c r="D401" s="2566"/>
      <c r="E401" s="2566"/>
      <c r="F401" s="2566"/>
      <c r="G401" s="2566"/>
      <c r="H401" s="2566"/>
      <c r="I401" s="2579"/>
      <c r="J401" s="2579"/>
      <c r="K401" s="2579"/>
      <c r="L401" s="2579"/>
      <c r="M401" s="2579"/>
      <c r="N401" s="2579"/>
      <c r="O401" s="2579"/>
    </row>
    <row r="402" spans="1:15">
      <c r="A402" s="4876"/>
      <c r="B402" s="4876"/>
      <c r="C402" s="4876"/>
      <c r="D402" s="4876"/>
      <c r="E402" s="4876"/>
      <c r="F402" s="4876"/>
      <c r="G402" s="4876"/>
      <c r="H402" s="4876"/>
    </row>
    <row r="403" spans="1:15">
      <c r="A403" s="4877"/>
      <c r="B403" s="4877"/>
      <c r="C403" s="4877"/>
      <c r="D403" s="4877"/>
      <c r="E403" s="4877"/>
      <c r="F403" s="4877"/>
      <c r="G403" s="4877"/>
      <c r="H403" s="4877"/>
    </row>
    <row r="404" spans="1:15">
      <c r="A404" s="2529"/>
      <c r="B404" s="2529"/>
      <c r="C404" s="2529"/>
      <c r="D404" s="2529"/>
      <c r="E404" s="2529"/>
      <c r="F404" s="2529"/>
      <c r="G404" s="2529"/>
      <c r="H404" s="2529"/>
    </row>
    <row r="405" spans="1:15" s="2463" customFormat="1">
      <c r="A405" s="2568"/>
      <c r="B405" s="2567"/>
      <c r="C405" s="2529"/>
      <c r="D405" s="2566"/>
      <c r="E405" s="2566"/>
      <c r="F405" s="2566"/>
      <c r="G405" s="2566"/>
      <c r="H405" s="2566"/>
      <c r="I405" s="2579"/>
      <c r="J405" s="2579"/>
      <c r="K405" s="2579"/>
      <c r="L405" s="2579"/>
      <c r="M405" s="2579"/>
      <c r="N405" s="2579"/>
      <c r="O405" s="2579"/>
    </row>
    <row r="406" spans="1:15" s="2463" customFormat="1" ht="12.75">
      <c r="A406" s="1269"/>
      <c r="B406" s="1269"/>
      <c r="C406" s="2542"/>
      <c r="D406" s="2541"/>
      <c r="E406" s="2561"/>
      <c r="F406" s="2540"/>
      <c r="G406" s="2565"/>
      <c r="H406" s="2561"/>
      <c r="I406" s="2579"/>
      <c r="J406" s="2579"/>
      <c r="K406" s="2579"/>
      <c r="L406" s="2579"/>
      <c r="M406" s="2579"/>
      <c r="N406" s="2579"/>
      <c r="O406" s="2579"/>
    </row>
    <row r="407" spans="1:15" s="2463" customFormat="1" ht="23.25">
      <c r="A407" s="2564"/>
      <c r="B407" s="2564"/>
      <c r="C407" s="2563"/>
      <c r="D407" s="2541"/>
      <c r="E407" s="2561"/>
      <c r="F407" s="2540"/>
      <c r="G407" s="2562"/>
      <c r="H407" s="2561"/>
      <c r="I407" s="2579"/>
      <c r="J407" s="2579"/>
      <c r="K407" s="2579"/>
      <c r="L407" s="2579"/>
      <c r="M407" s="2579"/>
      <c r="N407" s="2579"/>
      <c r="O407" s="2579"/>
    </row>
    <row r="408" spans="1:15" s="2463" customFormat="1" ht="12.75">
      <c r="A408" s="4879"/>
      <c r="B408" s="4879"/>
      <c r="C408" s="2559"/>
      <c r="D408" s="2560"/>
      <c r="E408" s="4880"/>
      <c r="F408" s="4880"/>
      <c r="G408" s="4880"/>
      <c r="H408" s="2557"/>
      <c r="I408" s="2579"/>
      <c r="J408" s="2579"/>
      <c r="K408" s="2579"/>
      <c r="L408" s="2579"/>
      <c r="M408" s="2579"/>
      <c r="N408" s="2579"/>
      <c r="O408" s="2579"/>
    </row>
    <row r="409" spans="1:15" s="2463" customFormat="1" ht="12.75">
      <c r="A409" s="4879"/>
      <c r="B409" s="4879"/>
      <c r="C409" s="2559"/>
      <c r="D409" s="2558"/>
      <c r="E409" s="2558"/>
      <c r="F409" s="2558"/>
      <c r="G409" s="2558"/>
      <c r="H409" s="2558"/>
      <c r="I409" s="2579"/>
      <c r="J409" s="2579"/>
      <c r="K409" s="2579"/>
      <c r="L409" s="2579"/>
      <c r="M409" s="2579"/>
      <c r="N409" s="2579"/>
      <c r="O409" s="2579"/>
    </row>
    <row r="410" spans="1:15" s="2463" customFormat="1" ht="12.75">
      <c r="A410" s="4879"/>
      <c r="B410" s="4879"/>
      <c r="C410" s="2557"/>
      <c r="D410" s="2555"/>
      <c r="E410" s="2555"/>
      <c r="F410" s="2555"/>
      <c r="G410" s="2556"/>
      <c r="H410" s="2555"/>
      <c r="I410" s="2579"/>
      <c r="J410" s="2579"/>
      <c r="K410" s="2579"/>
      <c r="L410" s="2579"/>
      <c r="M410" s="2579"/>
      <c r="N410" s="2579"/>
      <c r="O410" s="2579"/>
    </row>
    <row r="411" spans="1:15" s="2463" customFormat="1" ht="12.75">
      <c r="A411" s="2554"/>
      <c r="B411" s="2553"/>
      <c r="C411" s="2552"/>
      <c r="D411" s="2551"/>
      <c r="E411" s="2551"/>
      <c r="F411" s="2551"/>
      <c r="G411" s="2551"/>
      <c r="H411" s="2551"/>
      <c r="I411" s="2579"/>
      <c r="J411" s="2579"/>
      <c r="K411" s="2579"/>
      <c r="L411" s="2579"/>
      <c r="M411" s="2579"/>
      <c r="N411" s="2579"/>
      <c r="O411" s="2579"/>
    </row>
    <row r="412" spans="1:15" s="2463" customFormat="1" ht="12.75">
      <c r="A412" s="2549"/>
      <c r="B412" s="2549"/>
      <c r="C412" s="2550"/>
      <c r="D412" s="2548"/>
      <c r="E412" s="2548"/>
      <c r="F412" s="2540"/>
      <c r="G412" s="2548"/>
      <c r="H412" s="2548"/>
      <c r="I412" s="2579"/>
      <c r="J412" s="2579"/>
      <c r="K412" s="2579"/>
      <c r="L412" s="2579"/>
      <c r="M412" s="2579"/>
      <c r="N412" s="2579"/>
      <c r="O412" s="2579"/>
    </row>
    <row r="413" spans="1:15" s="2463" customFormat="1" ht="12.75">
      <c r="A413" s="2549"/>
      <c r="B413" s="2549"/>
      <c r="C413" s="2545"/>
      <c r="D413" s="2548"/>
      <c r="E413" s="2548"/>
      <c r="F413" s="2540"/>
      <c r="G413" s="2548"/>
      <c r="H413" s="2548"/>
      <c r="I413" s="2579"/>
      <c r="J413" s="2579"/>
      <c r="K413" s="2579"/>
      <c r="L413" s="2579"/>
      <c r="M413" s="2579"/>
      <c r="N413" s="2579"/>
      <c r="O413" s="2579"/>
    </row>
    <row r="414" spans="1:15" s="2463" customFormat="1" ht="12.75">
      <c r="A414" s="2547"/>
      <c r="B414" s="2546"/>
      <c r="C414" s="2545"/>
      <c r="D414" s="2541"/>
      <c r="E414" s="2544"/>
      <c r="F414" s="2540"/>
      <c r="G414" s="2544"/>
      <c r="H414" s="2544"/>
      <c r="I414" s="2579"/>
      <c r="J414" s="2579"/>
      <c r="K414" s="2579"/>
      <c r="L414" s="2579"/>
      <c r="M414" s="2579"/>
      <c r="N414" s="2579"/>
      <c r="O414" s="2579"/>
    </row>
    <row r="415" spans="1:15" s="2463" customFormat="1" ht="12.75">
      <c r="A415" s="2543"/>
      <c r="B415" s="2543"/>
      <c r="C415" s="2542"/>
      <c r="D415" s="2541"/>
      <c r="E415" s="2539"/>
      <c r="F415" s="2540"/>
      <c r="G415" s="2539"/>
      <c r="H415" s="2539"/>
      <c r="I415" s="2579"/>
      <c r="J415" s="2579"/>
      <c r="K415" s="2579"/>
      <c r="L415" s="2579"/>
      <c r="M415" s="2579"/>
      <c r="N415" s="2579"/>
      <c r="O415" s="2579"/>
    </row>
    <row r="416" spans="1:15" s="2463" customFormat="1" ht="12.75">
      <c r="A416" s="2538"/>
      <c r="B416" s="2538"/>
      <c r="C416" s="2537"/>
      <c r="D416" s="2536"/>
      <c r="E416" s="2536"/>
      <c r="F416" s="2536"/>
      <c r="G416" s="2536"/>
      <c r="H416" s="2536"/>
      <c r="I416" s="2579"/>
      <c r="J416" s="2579"/>
      <c r="K416" s="2579"/>
      <c r="L416" s="2579"/>
      <c r="M416" s="2579"/>
      <c r="N416" s="2579"/>
      <c r="O416" s="2579"/>
    </row>
    <row r="417" spans="1:15" s="2463" customFormat="1" ht="12.75">
      <c r="A417" s="2538"/>
      <c r="B417" s="2538"/>
      <c r="C417" s="2537"/>
      <c r="D417" s="2536"/>
      <c r="E417" s="2536"/>
      <c r="F417" s="2536"/>
      <c r="G417" s="2536"/>
      <c r="H417" s="2536"/>
      <c r="I417" s="2579"/>
      <c r="J417" s="2579"/>
      <c r="K417" s="2579"/>
      <c r="L417" s="2579"/>
      <c r="M417" s="2579"/>
      <c r="N417" s="2579"/>
      <c r="O417" s="2579"/>
    </row>
    <row r="418" spans="1:15" s="2463" customFormat="1">
      <c r="A418" s="1269"/>
      <c r="B418" s="2529"/>
      <c r="C418" s="2535"/>
      <c r="D418" s="2529"/>
      <c r="E418" s="4877"/>
      <c r="F418" s="4877"/>
      <c r="G418" s="1269"/>
      <c r="H418" s="2529"/>
      <c r="I418" s="2579"/>
      <c r="J418" s="2579"/>
      <c r="K418" s="2579"/>
      <c r="L418" s="2579"/>
      <c r="M418" s="2579"/>
      <c r="N418" s="2579"/>
      <c r="O418" s="2579"/>
    </row>
    <row r="419" spans="1:15" s="2463" customFormat="1">
      <c r="A419" s="2529"/>
      <c r="B419" s="1269"/>
      <c r="C419" s="2535"/>
      <c r="D419" s="1269"/>
      <c r="E419" s="1269"/>
      <c r="F419" s="1269"/>
      <c r="G419" s="1269"/>
      <c r="H419" s="2529"/>
      <c r="I419" s="2579"/>
      <c r="J419" s="2579"/>
      <c r="K419" s="2579"/>
      <c r="L419" s="2579"/>
      <c r="M419" s="2579"/>
      <c r="N419" s="2579"/>
      <c r="O419" s="2579"/>
    </row>
    <row r="420" spans="1:15" s="2463" customFormat="1" ht="12.75">
      <c r="A420" s="2534"/>
      <c r="B420" s="1269"/>
      <c r="C420" s="4881"/>
      <c r="D420" s="4881"/>
      <c r="E420" s="4876"/>
      <c r="F420" s="4876"/>
      <c r="G420" s="4876"/>
      <c r="H420" s="4876"/>
      <c r="I420" s="2579"/>
      <c r="J420" s="2579"/>
      <c r="K420" s="2579"/>
      <c r="L420" s="2579"/>
      <c r="M420" s="2579"/>
      <c r="N420" s="2579"/>
      <c r="O420" s="2579"/>
    </row>
    <row r="421" spans="1:15" s="2463" customFormat="1" ht="12.75">
      <c r="A421" s="2531"/>
      <c r="B421" s="2533"/>
      <c r="C421" s="4874"/>
      <c r="D421" s="4874"/>
      <c r="E421" s="4875"/>
      <c r="F421" s="4875"/>
      <c r="G421" s="4875"/>
      <c r="H421" s="4875"/>
      <c r="I421" s="2579"/>
      <c r="J421" s="2579"/>
      <c r="K421" s="2579"/>
      <c r="L421" s="2579"/>
      <c r="M421" s="2579"/>
      <c r="N421" s="2579"/>
      <c r="O421" s="2579"/>
    </row>
    <row r="422" spans="1:15">
      <c r="A422" s="2529"/>
      <c r="B422" s="2529"/>
      <c r="C422" s="2529"/>
      <c r="D422" s="2529"/>
      <c r="E422" s="2529"/>
      <c r="F422" s="2529"/>
      <c r="G422" s="2529"/>
      <c r="H422" s="2529"/>
    </row>
    <row r="423" spans="1:15">
      <c r="A423" s="2529"/>
      <c r="B423" s="2529"/>
      <c r="C423" s="2529"/>
      <c r="D423" s="2529"/>
      <c r="E423" s="2529"/>
      <c r="F423" s="2529"/>
      <c r="G423" s="2529"/>
      <c r="H423" s="2529"/>
    </row>
    <row r="424" spans="1:15">
      <c r="A424" s="2529"/>
      <c r="B424" s="2529"/>
      <c r="C424" s="2529"/>
      <c r="D424" s="2529"/>
      <c r="E424" s="2529"/>
      <c r="F424" s="2529"/>
      <c r="G424" s="2529"/>
      <c r="H424" s="2529"/>
    </row>
    <row r="425" spans="1:15">
      <c r="A425" s="2529"/>
      <c r="B425" s="2529"/>
      <c r="C425" s="2529"/>
      <c r="D425" s="2529"/>
      <c r="E425" s="2529"/>
      <c r="F425" s="2529"/>
      <c r="G425" s="2529"/>
      <c r="H425" s="2529"/>
    </row>
    <row r="426" spans="1:15">
      <c r="A426" s="2529"/>
      <c r="B426" s="2529"/>
      <c r="C426" s="2529"/>
      <c r="D426" s="2529"/>
      <c r="E426" s="2529"/>
      <c r="F426" s="2529"/>
      <c r="G426" s="2529"/>
      <c r="H426" s="2529"/>
    </row>
    <row r="427" spans="1:15">
      <c r="A427" s="2529"/>
      <c r="B427" s="2529"/>
      <c r="C427" s="2529"/>
      <c r="D427" s="2529"/>
      <c r="E427" s="2529"/>
      <c r="F427" s="2529"/>
      <c r="G427" s="2529"/>
      <c r="H427" s="2529"/>
    </row>
    <row r="428" spans="1:15">
      <c r="A428" s="2529"/>
      <c r="B428" s="2529"/>
      <c r="C428" s="2529"/>
      <c r="D428" s="2529"/>
      <c r="E428" s="2529"/>
      <c r="F428" s="2529"/>
      <c r="G428" s="2529"/>
      <c r="H428" s="2529"/>
    </row>
  </sheetData>
  <mergeCells count="96">
    <mergeCell ref="C420:D420"/>
    <mergeCell ref="E420:H420"/>
    <mergeCell ref="C421:D421"/>
    <mergeCell ref="E421:H421"/>
    <mergeCell ref="C365:D365"/>
    <mergeCell ref="E365:H365"/>
    <mergeCell ref="A402:H402"/>
    <mergeCell ref="A403:H403"/>
    <mergeCell ref="A408:B410"/>
    <mergeCell ref="E408:G408"/>
    <mergeCell ref="E418:F418"/>
    <mergeCell ref="A347:H347"/>
    <mergeCell ref="A352:B354"/>
    <mergeCell ref="E352:G352"/>
    <mergeCell ref="E362:F362"/>
    <mergeCell ref="C364:D364"/>
    <mergeCell ref="A259:H259"/>
    <mergeCell ref="A265:B267"/>
    <mergeCell ref="E265:G265"/>
    <mergeCell ref="E279:F279"/>
    <mergeCell ref="C281:D281"/>
    <mergeCell ref="E364:H364"/>
    <mergeCell ref="A299:H299"/>
    <mergeCell ref="A300:H300"/>
    <mergeCell ref="A307:B309"/>
    <mergeCell ref="E307:G307"/>
    <mergeCell ref="E322:H322"/>
    <mergeCell ref="C323:D323"/>
    <mergeCell ref="E323:H323"/>
    <mergeCell ref="A346:H346"/>
    <mergeCell ref="A258:H258"/>
    <mergeCell ref="C201:D201"/>
    <mergeCell ref="E201:H201"/>
    <mergeCell ref="A216:H216"/>
    <mergeCell ref="A217:H217"/>
    <mergeCell ref="A223:B225"/>
    <mergeCell ref="E223:G223"/>
    <mergeCell ref="C282:D282"/>
    <mergeCell ref="E282:H282"/>
    <mergeCell ref="E281:H281"/>
    <mergeCell ref="E320:F320"/>
    <mergeCell ref="C322:D322"/>
    <mergeCell ref="E237:F237"/>
    <mergeCell ref="C239:D239"/>
    <mergeCell ref="E239:H239"/>
    <mergeCell ref="C240:D240"/>
    <mergeCell ref="E240:H240"/>
    <mergeCell ref="E198:F198"/>
    <mergeCell ref="C200:D200"/>
    <mergeCell ref="E200:H200"/>
    <mergeCell ref="E152:F152"/>
    <mergeCell ref="C154:D154"/>
    <mergeCell ref="E154:H154"/>
    <mergeCell ref="C155:D155"/>
    <mergeCell ref="E155:H155"/>
    <mergeCell ref="A175:H175"/>
    <mergeCell ref="A176:H176"/>
    <mergeCell ref="A182:B184"/>
    <mergeCell ref="E182:G182"/>
    <mergeCell ref="C116:D116"/>
    <mergeCell ref="E116:H116"/>
    <mergeCell ref="A135:H135"/>
    <mergeCell ref="A136:H136"/>
    <mergeCell ref="A141:B143"/>
    <mergeCell ref="E141:G141"/>
    <mergeCell ref="A91:H91"/>
    <mergeCell ref="A92:H92"/>
    <mergeCell ref="A97:B99"/>
    <mergeCell ref="E97:G97"/>
    <mergeCell ref="E113:F113"/>
    <mergeCell ref="C115:D115"/>
    <mergeCell ref="E115:H115"/>
    <mergeCell ref="A90:H90"/>
    <mergeCell ref="A47:H47"/>
    <mergeCell ref="A48:H48"/>
    <mergeCell ref="A49:H49"/>
    <mergeCell ref="A54:B56"/>
    <mergeCell ref="E54:G54"/>
    <mergeCell ref="E69:F69"/>
    <mergeCell ref="C71:D71"/>
    <mergeCell ref="E71:H71"/>
    <mergeCell ref="C72:D72"/>
    <mergeCell ref="E72:H72"/>
    <mergeCell ref="A89:H89"/>
    <mergeCell ref="A46:H46"/>
    <mergeCell ref="A11:B13"/>
    <mergeCell ref="E11:G11"/>
    <mergeCell ref="C32:E32"/>
    <mergeCell ref="F32:H32"/>
    <mergeCell ref="A33:B33"/>
    <mergeCell ref="C33:E33"/>
    <mergeCell ref="A5:H5"/>
    <mergeCell ref="A6:H6"/>
    <mergeCell ref="A31:B31"/>
    <mergeCell ref="C31:E31"/>
    <mergeCell ref="F31:H31"/>
  </mergeCells>
  <pageMargins left="0.5" right="0" top="0.25" bottom="0" header="0.5" footer="0"/>
  <pageSetup paperSize="5" orientation="portrait"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621"/>
  <sheetViews>
    <sheetView showGridLines="0" showOutlineSymbols="0" topLeftCell="A19" workbookViewId="0">
      <pane xSplit="18525" topLeftCell="ET1"/>
      <selection activeCell="J24" sqref="J24"/>
      <selection pane="topRight" activeCell="ET372" sqref="ET372"/>
    </sheetView>
  </sheetViews>
  <sheetFormatPr defaultColWidth="12.5703125" defaultRowHeight="15.75" outlineLevelRow="2" outlineLevelCol="2"/>
  <cols>
    <col min="1" max="1" width="1.85546875" style="2462" customWidth="1"/>
    <col min="2" max="2" width="29.140625" style="2462" customWidth="1"/>
    <col min="3" max="3" width="10.85546875" style="2462" customWidth="1"/>
    <col min="4" max="4" width="11.140625" style="2462" customWidth="1"/>
    <col min="5" max="5" width="10.85546875" style="2462" customWidth="1"/>
    <col min="6" max="6" width="12" style="2462" customWidth="1"/>
    <col min="7" max="7" width="11" style="2462" customWidth="1"/>
    <col min="8" max="8" width="12.85546875" style="2462" customWidth="1"/>
    <col min="9"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8" spans="1:15" s="1390" customFormat="1" ht="14.25" customHeight="1">
      <c r="A8" s="1577" t="s">
        <v>2120</v>
      </c>
      <c r="C8" s="2525"/>
      <c r="D8" s="1403"/>
      <c r="E8" s="1403"/>
      <c r="F8" s="1403"/>
      <c r="G8" s="1403"/>
      <c r="H8" s="1403"/>
    </row>
    <row r="9" spans="1:15" s="1390" customFormat="1" ht="14.25" customHeight="1">
      <c r="B9" s="2612" t="s">
        <v>2133</v>
      </c>
      <c r="C9" s="2525"/>
      <c r="D9" s="1403"/>
      <c r="E9" s="1403"/>
      <c r="F9" s="1403"/>
      <c r="G9" s="1403"/>
      <c r="H9" s="1403"/>
    </row>
    <row r="10" spans="1:15" ht="13.5" customHeight="1" outlineLevel="1">
      <c r="A10" s="2571"/>
      <c r="B10" s="2571"/>
      <c r="C10" s="2542"/>
      <c r="D10" s="2541"/>
      <c r="E10" s="2561"/>
      <c r="F10" s="2540"/>
      <c r="G10" s="1388"/>
      <c r="H10" s="2561"/>
      <c r="I10" s="2669"/>
      <c r="J10" s="2530"/>
      <c r="K10" s="2530"/>
      <c r="L10" s="2530"/>
    </row>
    <row r="11" spans="1:15" ht="16.7" customHeight="1" outlineLevel="1">
      <c r="A11" s="4890" t="s">
        <v>468</v>
      </c>
      <c r="B11" s="4891"/>
      <c r="C11" s="2607" t="s">
        <v>467</v>
      </c>
      <c r="D11" s="2608" t="s">
        <v>466</v>
      </c>
      <c r="E11" s="4869" t="s">
        <v>465</v>
      </c>
      <c r="F11" s="4870"/>
      <c r="G11" s="4871"/>
      <c r="H11" s="2607" t="s">
        <v>464</v>
      </c>
      <c r="I11" s="2668"/>
      <c r="J11" s="2530"/>
      <c r="K11" s="2530"/>
      <c r="L11" s="2530"/>
    </row>
    <row r="12" spans="1:15" ht="16.7" customHeight="1" outlineLevel="1">
      <c r="A12" s="4892"/>
      <c r="B12" s="4893"/>
      <c r="C12" s="2606" t="s">
        <v>463</v>
      </c>
      <c r="D12" s="2517" t="s">
        <v>573</v>
      </c>
      <c r="E12" s="2517" t="s">
        <v>2118</v>
      </c>
      <c r="F12" s="2517" t="s">
        <v>2117</v>
      </c>
      <c r="G12" s="2517" t="s">
        <v>244</v>
      </c>
      <c r="H12" s="2517">
        <v>2022</v>
      </c>
      <c r="I12" s="2668"/>
      <c r="J12" s="2530"/>
      <c r="K12" s="2530"/>
      <c r="L12" s="2530"/>
    </row>
    <row r="13" spans="1:15" ht="12" customHeight="1" outlineLevel="1">
      <c r="A13" s="4894"/>
      <c r="B13" s="4895"/>
      <c r="C13" s="2604"/>
      <c r="D13" s="2602" t="s">
        <v>460</v>
      </c>
      <c r="E13" s="2602" t="s">
        <v>460</v>
      </c>
      <c r="F13" s="2602" t="s">
        <v>459</v>
      </c>
      <c r="G13" s="2623"/>
      <c r="H13" s="2602" t="s">
        <v>458</v>
      </c>
      <c r="I13" s="2666"/>
      <c r="J13" s="2530"/>
      <c r="K13" s="2530"/>
      <c r="L13" s="2530"/>
    </row>
    <row r="14" spans="1:15" s="1404" customFormat="1" ht="15.6" customHeight="1">
      <c r="A14" s="2601" t="s">
        <v>2011</v>
      </c>
      <c r="B14" s="2605"/>
      <c r="C14" s="2515"/>
      <c r="D14" s="2513"/>
      <c r="E14" s="2513"/>
      <c r="F14" s="2513"/>
      <c r="G14" s="2603"/>
      <c r="H14" s="2513"/>
      <c r="I14" s="2616"/>
      <c r="J14" s="2616"/>
      <c r="K14" s="2616"/>
      <c r="L14" s="2616"/>
      <c r="M14" s="2616"/>
      <c r="N14" s="2616"/>
      <c r="O14" s="2616"/>
    </row>
    <row r="15" spans="1:15" ht="16.7" customHeight="1" outlineLevel="1">
      <c r="A15" s="2601" t="s">
        <v>407</v>
      </c>
      <c r="B15" s="2667"/>
      <c r="C15" s="2599"/>
      <c r="D15" s="2598">
        <f>SUM(D16:D28)</f>
        <v>6932987.3399999999</v>
      </c>
      <c r="E15" s="2598">
        <f>SUM(E16:E28)</f>
        <v>3369155</v>
      </c>
      <c r="F15" s="2598">
        <f>SUM(F16:F28)</f>
        <v>6111495</v>
      </c>
      <c r="G15" s="2598">
        <f>SUM(G16:G28)</f>
        <v>9480650</v>
      </c>
      <c r="H15" s="2598">
        <f>SUM(H16:H28)</f>
        <v>5885000</v>
      </c>
      <c r="I15" s="2666"/>
      <c r="J15" s="2663"/>
      <c r="K15" s="2530"/>
      <c r="L15" s="2530"/>
    </row>
    <row r="16" spans="1:15" s="1256" customFormat="1" ht="20.100000000000001" customHeight="1" outlineLevel="1">
      <c r="A16" s="2591" t="s">
        <v>674</v>
      </c>
      <c r="B16" s="1519"/>
      <c r="C16" s="978" t="s">
        <v>396</v>
      </c>
      <c r="D16" s="1428">
        <v>49048</v>
      </c>
      <c r="E16" s="1427">
        <f>'[12]CITY LANES'!$E$15</f>
        <v>29600</v>
      </c>
      <c r="F16" s="1454">
        <f>SUM(G16-E16)</f>
        <v>30400</v>
      </c>
      <c r="G16" s="1427">
        <v>60000</v>
      </c>
      <c r="H16" s="1427">
        <v>60000</v>
      </c>
      <c r="I16" s="2665"/>
      <c r="J16" s="1302"/>
      <c r="K16" s="2659"/>
      <c r="L16" s="1302"/>
      <c r="M16" s="1257"/>
      <c r="N16" s="1257"/>
      <c r="O16" s="1257"/>
    </row>
    <row r="17" spans="1:16" s="1256" customFormat="1" ht="20.100000000000001" customHeight="1" outlineLevel="1">
      <c r="A17" s="2591" t="s">
        <v>2132</v>
      </c>
      <c r="B17" s="1519"/>
      <c r="C17" s="978" t="s">
        <v>1949</v>
      </c>
      <c r="D17" s="1428">
        <v>6883939.3399999999</v>
      </c>
      <c r="E17" s="1427">
        <f>'[12]CITY LANES'!$E$16</f>
        <v>3339555</v>
      </c>
      <c r="F17" s="1454">
        <f>G17-E17</f>
        <v>6075250</v>
      </c>
      <c r="G17" s="1427">
        <f>'[14]5,885,000.00 (RELEASE)'!$F$18</f>
        <v>9414805</v>
      </c>
      <c r="H17" s="1424">
        <v>5819155</v>
      </c>
      <c r="I17" s="2665"/>
      <c r="J17" s="1302"/>
      <c r="K17" s="1302"/>
      <c r="L17" s="1302"/>
      <c r="M17" s="1257"/>
      <c r="N17" s="1257"/>
      <c r="O17" s="1257"/>
    </row>
    <row r="18" spans="1:16" s="1256" customFormat="1" ht="20.100000000000001" customHeight="1" outlineLevel="1">
      <c r="A18" s="2591" t="s">
        <v>368</v>
      </c>
      <c r="B18" s="1519"/>
      <c r="C18" s="2620" t="s">
        <v>367</v>
      </c>
      <c r="D18" s="1428">
        <v>0</v>
      </c>
      <c r="E18" s="1427">
        <v>0</v>
      </c>
      <c r="F18" s="1454">
        <f>SUM(G18-E18)</f>
        <v>5845</v>
      </c>
      <c r="G18" s="1427">
        <v>5845</v>
      </c>
      <c r="H18" s="1427">
        <v>5845</v>
      </c>
      <c r="I18" s="2661"/>
      <c r="J18" s="1302"/>
      <c r="K18" s="1302"/>
      <c r="L18" s="1302"/>
      <c r="M18" s="1257"/>
      <c r="N18" s="1257"/>
      <c r="O18" s="1257"/>
    </row>
    <row r="19" spans="1:16" s="1256" customFormat="1" ht="20.100000000000001" customHeight="1" outlineLevel="1">
      <c r="A19" s="1536"/>
      <c r="B19" s="1552"/>
      <c r="C19" s="2620"/>
      <c r="D19" s="1428"/>
      <c r="E19" s="1427"/>
      <c r="F19" s="1454"/>
      <c r="G19" s="1427"/>
      <c r="H19" s="1427"/>
      <c r="I19" s="2664"/>
      <c r="J19" s="2663"/>
      <c r="K19" s="1302"/>
      <c r="L19" s="1302"/>
      <c r="M19" s="2662"/>
      <c r="N19" s="2662"/>
      <c r="O19" s="1302"/>
      <c r="P19" s="1269"/>
    </row>
    <row r="20" spans="1:16" s="1256" customFormat="1" ht="20.100000000000001" customHeight="1" outlineLevel="1">
      <c r="A20" s="2591"/>
      <c r="B20" s="1519"/>
      <c r="C20" s="978"/>
      <c r="D20" s="1428"/>
      <c r="E20" s="1427"/>
      <c r="F20" s="1454"/>
      <c r="G20" s="1427"/>
      <c r="H20" s="1427"/>
      <c r="I20" s="2661"/>
      <c r="J20" s="2660"/>
      <c r="K20" s="1302"/>
      <c r="L20" s="1302"/>
      <c r="M20" s="1302"/>
      <c r="N20" s="1302"/>
      <c r="O20" s="1302"/>
      <c r="P20" s="1269"/>
    </row>
    <row r="21" spans="1:16" s="1256" customFormat="1" ht="20.100000000000001" customHeight="1" outlineLevel="1">
      <c r="A21" s="1553"/>
      <c r="B21" s="2628"/>
      <c r="C21" s="978"/>
      <c r="D21" s="1428"/>
      <c r="E21" s="1427"/>
      <c r="F21" s="1454"/>
      <c r="G21" s="1427"/>
      <c r="H21" s="1427"/>
      <c r="I21" s="2659"/>
      <c r="J21" s="2656"/>
      <c r="K21" s="1302"/>
      <c r="L21" s="1302"/>
      <c r="M21" s="1302"/>
      <c r="N21" s="1302"/>
      <c r="O21" s="1302"/>
      <c r="P21" s="1269"/>
    </row>
    <row r="22" spans="1:16" s="1256" customFormat="1" ht="20.100000000000001" customHeight="1" outlineLevel="1">
      <c r="A22" s="1553"/>
      <c r="B22" s="2628"/>
      <c r="C22" s="978"/>
      <c r="D22" s="1428"/>
      <c r="E22" s="1427"/>
      <c r="F22" s="1454"/>
      <c r="G22" s="1427"/>
      <c r="H22" s="1427"/>
      <c r="I22" s="2659"/>
      <c r="J22" s="2656"/>
      <c r="K22" s="1302"/>
      <c r="L22" s="1302"/>
      <c r="M22" s="1302"/>
      <c r="N22" s="1302"/>
      <c r="O22" s="1302"/>
      <c r="P22" s="1269"/>
    </row>
    <row r="23" spans="1:16" s="1256" customFormat="1" ht="20.100000000000001" customHeight="1" outlineLevel="1">
      <c r="A23" s="1553"/>
      <c r="B23" s="2628"/>
      <c r="C23" s="978"/>
      <c r="D23" s="1428"/>
      <c r="E23" s="1427"/>
      <c r="F23" s="1454"/>
      <c r="G23" s="1427"/>
      <c r="H23" s="1427"/>
      <c r="I23" s="2659"/>
      <c r="J23" s="2656"/>
      <c r="K23" s="1302"/>
      <c r="L23" s="1302"/>
      <c r="M23" s="1302"/>
      <c r="N23" s="1302"/>
      <c r="O23" s="1302"/>
      <c r="P23" s="1269"/>
    </row>
    <row r="24" spans="1:16" s="1256" customFormat="1" ht="20.100000000000001" customHeight="1" outlineLevel="1">
      <c r="A24" s="1553"/>
      <c r="B24" s="2628"/>
      <c r="C24" s="978"/>
      <c r="D24" s="1428"/>
      <c r="E24" s="1427"/>
      <c r="F24" s="1454"/>
      <c r="G24" s="1427"/>
      <c r="H24" s="1427"/>
      <c r="I24" s="2659"/>
      <c r="J24" s="2656"/>
      <c r="K24" s="1302"/>
      <c r="L24" s="1302"/>
      <c r="M24" s="1302"/>
      <c r="N24" s="1302"/>
      <c r="O24" s="1302"/>
      <c r="P24" s="1269"/>
    </row>
    <row r="25" spans="1:16" s="1256" customFormat="1" ht="20.100000000000001" customHeight="1" outlineLevel="1">
      <c r="A25" s="1553"/>
      <c r="B25" s="2628"/>
      <c r="C25" s="978"/>
      <c r="D25" s="1428"/>
      <c r="E25" s="1427"/>
      <c r="F25" s="1454"/>
      <c r="G25" s="1427"/>
      <c r="H25" s="1427"/>
      <c r="I25" s="2659"/>
      <c r="J25" s="2656"/>
      <c r="K25" s="1302"/>
      <c r="L25" s="1302"/>
      <c r="M25" s="1302"/>
      <c r="N25" s="1302"/>
      <c r="O25" s="1302"/>
      <c r="P25" s="1269"/>
    </row>
    <row r="26" spans="1:16" s="1256" customFormat="1" ht="20.100000000000001" customHeight="1" outlineLevel="1">
      <c r="A26" s="1553"/>
      <c r="B26" s="2628"/>
      <c r="C26" s="978"/>
      <c r="D26" s="1428"/>
      <c r="E26" s="1427"/>
      <c r="F26" s="1454"/>
      <c r="G26" s="1427"/>
      <c r="H26" s="1427"/>
      <c r="I26" s="2659"/>
      <c r="J26" s="2656"/>
      <c r="K26" s="1302"/>
      <c r="L26" s="1302"/>
      <c r="M26" s="1302"/>
      <c r="N26" s="1302"/>
      <c r="O26" s="1302"/>
      <c r="P26" s="1269"/>
    </row>
    <row r="27" spans="1:16" s="1256" customFormat="1" ht="20.100000000000001" customHeight="1" outlineLevel="1">
      <c r="A27" s="1553"/>
      <c r="B27" s="2628"/>
      <c r="C27" s="978"/>
      <c r="D27" s="1428"/>
      <c r="E27" s="1427"/>
      <c r="F27" s="1454"/>
      <c r="G27" s="1427"/>
      <c r="H27" s="1427"/>
      <c r="I27" s="2659"/>
      <c r="J27" s="2656"/>
      <c r="K27" s="1302"/>
      <c r="L27" s="1302"/>
      <c r="M27" s="1302"/>
      <c r="N27" s="1302"/>
      <c r="O27" s="1302"/>
      <c r="P27" s="1269"/>
    </row>
    <row r="28" spans="1:16" s="1256" customFormat="1" ht="20.100000000000001" customHeight="1" outlineLevel="1">
      <c r="A28" s="2587"/>
      <c r="B28" s="2586"/>
      <c r="C28" s="2585"/>
      <c r="D28" s="1428"/>
      <c r="E28" s="1424"/>
      <c r="F28" s="1454"/>
      <c r="G28" s="1424"/>
      <c r="H28" s="1424"/>
      <c r="I28" s="2659"/>
      <c r="J28" s="2656"/>
      <c r="K28" s="1302"/>
      <c r="L28" s="1302"/>
      <c r="M28" s="1302"/>
      <c r="N28" s="1302"/>
      <c r="O28" s="1302"/>
      <c r="P28" s="1269"/>
    </row>
    <row r="29" spans="1:16" s="1269" customFormat="1" ht="20.100000000000001" customHeight="1" outlineLevel="1" thickBot="1">
      <c r="A29" s="2480" t="s">
        <v>366</v>
      </c>
      <c r="B29" s="2658"/>
      <c r="C29" s="2657"/>
      <c r="D29" s="2480">
        <f>SUM(D16:D19)</f>
        <v>6932987.3399999999</v>
      </c>
      <c r="E29" s="2480">
        <f>SUM(E16:E19)</f>
        <v>3369155</v>
      </c>
      <c r="F29" s="2480">
        <f>SUM(F16:F19)</f>
        <v>6111495</v>
      </c>
      <c r="G29" s="2480">
        <f>SUM(G16:G19)</f>
        <v>9480650</v>
      </c>
      <c r="H29" s="2480">
        <f>SUM(H16:H19)</f>
        <v>5885000</v>
      </c>
      <c r="I29" s="1257"/>
      <c r="J29" s="2656"/>
      <c r="K29" s="1302"/>
      <c r="L29" s="1302"/>
      <c r="M29" s="1302"/>
      <c r="N29" s="1302"/>
      <c r="O29" s="1302"/>
    </row>
    <row r="30" spans="1:16" s="2288" customFormat="1" ht="19.5" customHeight="1" outlineLevel="1" thickTop="1">
      <c r="A30" s="1403" t="s">
        <v>2112</v>
      </c>
      <c r="B30" s="1390"/>
      <c r="C30" s="1403" t="s">
        <v>2111</v>
      </c>
      <c r="D30" s="1390"/>
      <c r="F30" s="2582" t="s">
        <v>2110</v>
      </c>
      <c r="G30" s="1403"/>
      <c r="H30" s="1390"/>
    </row>
    <row r="31" spans="1:16" s="2288" customFormat="1" ht="15.95" customHeight="1" outlineLevel="1">
      <c r="A31" s="1403"/>
      <c r="B31" s="1390"/>
      <c r="C31" s="1403"/>
      <c r="D31" s="1390"/>
      <c r="E31" s="2471"/>
      <c r="F31" s="2471"/>
      <c r="G31" s="1403"/>
      <c r="H31" s="1390"/>
    </row>
    <row r="32" spans="1:16" s="2288" customFormat="1" ht="10.5" customHeight="1" outlineLevel="1">
      <c r="A32" s="1390"/>
      <c r="B32" s="1403"/>
      <c r="C32" s="2581"/>
      <c r="D32" s="1403"/>
      <c r="E32" s="1403"/>
      <c r="F32" s="1403"/>
      <c r="G32" s="1403"/>
      <c r="H32" s="1390"/>
    </row>
    <row r="33" spans="1:16" s="2288" customFormat="1" ht="15.95" customHeight="1" outlineLevel="1">
      <c r="A33" s="4873" t="s">
        <v>2109</v>
      </c>
      <c r="B33" s="4873"/>
      <c r="C33" s="4760" t="s">
        <v>360</v>
      </c>
      <c r="D33" s="4760"/>
      <c r="E33" s="4760"/>
      <c r="F33" s="4741" t="s">
        <v>359</v>
      </c>
      <c r="G33" s="4741"/>
      <c r="H33" s="4741"/>
    </row>
    <row r="34" spans="1:16" s="2288" customFormat="1" ht="15.75" customHeight="1" outlineLevel="1">
      <c r="A34" s="2580"/>
      <c r="B34" s="2464" t="s">
        <v>2108</v>
      </c>
      <c r="C34" s="4754" t="s">
        <v>357</v>
      </c>
      <c r="D34" s="4754"/>
      <c r="E34" s="4754"/>
      <c r="F34" s="4868" t="s">
        <v>356</v>
      </c>
      <c r="G34" s="4868"/>
      <c r="H34" s="4868"/>
    </row>
    <row r="35" spans="1:16" s="2288" customFormat="1" ht="12" customHeight="1" outlineLevel="1">
      <c r="A35" s="4878"/>
      <c r="B35" s="4878"/>
      <c r="C35" s="4754"/>
      <c r="D35" s="4754"/>
      <c r="E35" s="4754"/>
      <c r="F35" s="1406"/>
      <c r="G35" s="1406"/>
      <c r="H35" s="1406"/>
    </row>
    <row r="36" spans="1:16" s="2529" customFormat="1" ht="12" customHeight="1" outlineLevel="1">
      <c r="A36" s="2463"/>
      <c r="B36" s="2464"/>
      <c r="C36" s="2463"/>
      <c r="D36" s="2465"/>
      <c r="E36" s="2465"/>
      <c r="F36" s="2465"/>
      <c r="G36" s="2465"/>
      <c r="H36" s="2465"/>
      <c r="I36" s="2530"/>
      <c r="J36" s="2530"/>
      <c r="K36" s="2530"/>
      <c r="L36" s="2530"/>
      <c r="M36" s="2530"/>
      <c r="N36" s="2530"/>
      <c r="O36" s="2530"/>
    </row>
    <row r="37" spans="1:16" s="2529" customFormat="1" ht="12" customHeight="1" outlineLevel="1">
      <c r="A37" s="2463"/>
      <c r="B37" s="2464"/>
      <c r="C37" s="2463"/>
      <c r="D37" s="2465"/>
      <c r="E37" s="2465"/>
      <c r="F37" s="2465"/>
      <c r="G37" s="2465"/>
      <c r="H37" s="2465"/>
      <c r="I37" s="2530"/>
      <c r="J37" s="2530"/>
      <c r="K37" s="2530"/>
      <c r="L37" s="2530"/>
      <c r="M37" s="2530"/>
      <c r="N37" s="2530"/>
      <c r="O37" s="2530"/>
    </row>
    <row r="38" spans="1:16" s="2529" customFormat="1" ht="12" customHeight="1" outlineLevel="1">
      <c r="A38" s="2463"/>
      <c r="B38" s="2464"/>
      <c r="C38" s="2463"/>
      <c r="D38" s="2465"/>
      <c r="E38" s="2465"/>
      <c r="F38" s="2465"/>
      <c r="G38" s="2465"/>
      <c r="H38" s="2465"/>
      <c r="I38" s="2530"/>
      <c r="J38" s="2530"/>
      <c r="K38" s="2530"/>
      <c r="L38" s="2530"/>
      <c r="M38" s="2530"/>
      <c r="N38" s="2530"/>
      <c r="O38" s="2530"/>
    </row>
    <row r="39" spans="1:16" s="2529" customFormat="1" ht="12" customHeight="1" outlineLevel="1">
      <c r="A39" s="2463"/>
      <c r="B39" s="2464"/>
      <c r="C39" s="2463"/>
      <c r="D39" s="2465"/>
      <c r="E39" s="2465"/>
      <c r="F39" s="2465"/>
      <c r="G39" s="2465"/>
      <c r="H39" s="2465"/>
      <c r="I39" s="2530"/>
      <c r="J39" s="2530"/>
      <c r="K39" s="2530"/>
      <c r="L39" s="2530"/>
      <c r="M39" s="2530"/>
      <c r="N39" s="2530"/>
      <c r="O39" s="2530"/>
    </row>
    <row r="40" spans="1:16" s="2529" customFormat="1" ht="12" customHeight="1" outlineLevel="1">
      <c r="A40" s="2463"/>
      <c r="B40" s="2464"/>
      <c r="C40" s="2463"/>
      <c r="D40" s="2465"/>
      <c r="E40" s="2465"/>
      <c r="F40" s="2465"/>
      <c r="G40" s="2465"/>
      <c r="H40" s="2465"/>
      <c r="I40" s="2530"/>
      <c r="J40" s="2530"/>
      <c r="K40" s="2530"/>
      <c r="L40" s="2530"/>
      <c r="M40" s="2530"/>
      <c r="N40" s="2530"/>
      <c r="O40" s="2530"/>
    </row>
    <row r="41" spans="1:16" s="2529" customFormat="1" ht="12" customHeight="1" outlineLevel="1">
      <c r="A41" s="2463"/>
      <c r="B41" s="2464"/>
      <c r="C41" s="2463"/>
      <c r="D41" s="2465"/>
      <c r="E41" s="2465"/>
      <c r="F41" s="2465"/>
      <c r="G41" s="2465"/>
      <c r="H41" s="2465"/>
      <c r="I41" s="2530"/>
      <c r="J41" s="2530"/>
      <c r="K41" s="2530"/>
      <c r="L41" s="2530"/>
      <c r="M41" s="2530"/>
      <c r="N41" s="2530"/>
      <c r="O41" s="2530"/>
    </row>
    <row r="42" spans="1:16" s="2529" customFormat="1" ht="12" customHeight="1" outlineLevel="1">
      <c r="A42" s="2463"/>
      <c r="B42" s="2464"/>
      <c r="C42" s="2463"/>
      <c r="D42" s="2465"/>
      <c r="E42" s="2465"/>
      <c r="F42" s="2465"/>
      <c r="G42" s="2465"/>
      <c r="H42" s="2465"/>
      <c r="I42" s="2530"/>
      <c r="J42" s="2530"/>
      <c r="K42" s="2530"/>
      <c r="L42" s="2530"/>
      <c r="M42" s="2530"/>
      <c r="N42" s="2530"/>
      <c r="O42" s="2530"/>
    </row>
    <row r="43" spans="1:16" s="2529" customFormat="1" ht="12" customHeight="1" outlineLevel="1">
      <c r="A43" s="2463"/>
      <c r="B43" s="2464"/>
      <c r="C43" s="2463"/>
      <c r="D43" s="2465"/>
      <c r="E43" s="2465"/>
      <c r="F43" s="2465"/>
      <c r="G43" s="2465"/>
      <c r="H43" s="2465"/>
      <c r="I43" s="2530"/>
      <c r="J43" s="2530"/>
      <c r="K43" s="2530"/>
      <c r="L43" s="2530"/>
      <c r="M43" s="2530"/>
      <c r="N43" s="2530"/>
      <c r="O43" s="2530"/>
    </row>
    <row r="44" spans="1:16" s="2529" customFormat="1" ht="12" customHeight="1" outlineLevel="1">
      <c r="A44" s="2463"/>
      <c r="B44" s="2464"/>
      <c r="C44" s="2463"/>
      <c r="D44" s="2465"/>
      <c r="E44" s="2465"/>
      <c r="F44" s="2465"/>
      <c r="G44" s="2465"/>
      <c r="H44" s="2465"/>
      <c r="I44" s="2530"/>
      <c r="J44" s="2530"/>
      <c r="K44" s="2530"/>
      <c r="L44" s="2530"/>
      <c r="M44" s="2530"/>
      <c r="N44" s="2530"/>
      <c r="O44" s="2530"/>
    </row>
    <row r="45" spans="1:16" ht="20.100000000000001" customHeight="1" outlineLevel="1">
      <c r="A45" s="2463"/>
      <c r="B45" s="2464"/>
      <c r="C45" s="2463"/>
      <c r="D45" s="2465"/>
      <c r="E45" s="2465"/>
      <c r="F45" s="2465"/>
      <c r="G45" s="2465"/>
      <c r="H45" s="2465"/>
      <c r="J45" s="2530"/>
      <c r="K45" s="2530"/>
      <c r="L45" s="2530"/>
      <c r="M45" s="2530"/>
      <c r="N45" s="2530"/>
      <c r="O45" s="2530"/>
      <c r="P45" s="2529"/>
    </row>
    <row r="46" spans="1:16" ht="20.100000000000001" customHeight="1" outlineLevel="1">
      <c r="A46" s="2463"/>
      <c r="B46" s="2464"/>
      <c r="C46" s="2463"/>
      <c r="D46" s="2465"/>
      <c r="E46" s="2465"/>
      <c r="F46" s="2465"/>
      <c r="G46" s="2465"/>
      <c r="H46" s="2465"/>
      <c r="J46" s="2530"/>
      <c r="K46" s="2530"/>
      <c r="L46" s="2530"/>
      <c r="M46" s="2530"/>
      <c r="N46" s="2530"/>
      <c r="O46" s="2530"/>
      <c r="P46" s="2529"/>
    </row>
    <row r="47" spans="1:16" s="2652" customFormat="1" ht="16.7" customHeight="1" outlineLevel="1">
      <c r="A47" s="2463"/>
      <c r="B47" s="2464"/>
      <c r="C47" s="2463"/>
      <c r="D47" s="2465"/>
      <c r="E47" s="2465"/>
      <c r="F47" s="2465"/>
      <c r="G47" s="2465"/>
      <c r="H47" s="2465"/>
      <c r="I47" s="2653"/>
      <c r="J47" s="2655"/>
      <c r="K47" s="2655"/>
      <c r="L47" s="2655"/>
      <c r="M47" s="2655"/>
      <c r="N47" s="2655"/>
      <c r="O47" s="2655"/>
      <c r="P47" s="2654"/>
    </row>
    <row r="48" spans="1:16" s="2652" customFormat="1" ht="16.7" customHeight="1" outlineLevel="1">
      <c r="A48" s="2463"/>
      <c r="B48" s="2464"/>
      <c r="C48" s="2463"/>
      <c r="D48" s="2465"/>
      <c r="E48" s="2465"/>
      <c r="F48" s="2465"/>
      <c r="G48" s="2465"/>
      <c r="H48" s="2465"/>
      <c r="I48" s="2653"/>
      <c r="J48" s="2655"/>
      <c r="K48" s="2655"/>
      <c r="L48" s="2655"/>
      <c r="M48" s="2655"/>
      <c r="N48" s="2655"/>
      <c r="O48" s="2655"/>
      <c r="P48" s="2654"/>
    </row>
    <row r="49" spans="1:16" s="2652" customFormat="1" ht="16.7" customHeight="1" outlineLevel="1">
      <c r="A49" s="2463"/>
      <c r="B49" s="2464"/>
      <c r="C49" s="2463"/>
      <c r="D49" s="2465"/>
      <c r="E49" s="2465"/>
      <c r="F49" s="2465"/>
      <c r="G49" s="2465"/>
      <c r="H49" s="2465"/>
      <c r="I49" s="2653"/>
      <c r="J49" s="2655"/>
      <c r="K49" s="2655"/>
      <c r="L49" s="2655"/>
      <c r="M49" s="2655"/>
      <c r="N49" s="2655"/>
      <c r="O49" s="2655"/>
      <c r="P49" s="2654"/>
    </row>
    <row r="50" spans="1:16" s="2652" customFormat="1" ht="16.7" customHeight="1" outlineLevel="1">
      <c r="A50" s="2463"/>
      <c r="B50" s="2464"/>
      <c r="C50" s="2463"/>
      <c r="D50" s="2465"/>
      <c r="E50" s="2465"/>
      <c r="F50" s="2465"/>
      <c r="G50" s="2465"/>
      <c r="H50" s="2465"/>
      <c r="I50" s="2653"/>
      <c r="J50" s="2655"/>
      <c r="K50" s="2655"/>
      <c r="L50" s="2655"/>
      <c r="M50" s="2655"/>
      <c r="N50" s="2655"/>
      <c r="O50" s="2655"/>
      <c r="P50" s="2654"/>
    </row>
    <row r="51" spans="1:16" s="2652" customFormat="1" ht="16.7" customHeight="1" outlineLevel="1">
      <c r="A51" s="4876"/>
      <c r="B51" s="4876"/>
      <c r="C51" s="4876"/>
      <c r="D51" s="4876"/>
      <c r="E51" s="4876"/>
      <c r="F51" s="4876"/>
      <c r="G51" s="4876"/>
      <c r="H51" s="4876"/>
      <c r="I51" s="2653"/>
      <c r="J51" s="2655"/>
      <c r="K51" s="2655"/>
      <c r="L51" s="2655"/>
      <c r="M51" s="2655"/>
      <c r="N51" s="2655"/>
      <c r="O51" s="2655"/>
      <c r="P51" s="2654"/>
    </row>
    <row r="52" spans="1:16" s="2652" customFormat="1" ht="16.7" customHeight="1" outlineLevel="1">
      <c r="A52" s="4877"/>
      <c r="B52" s="4877"/>
      <c r="C52" s="4877"/>
      <c r="D52" s="4877"/>
      <c r="E52" s="4877"/>
      <c r="F52" s="4877"/>
      <c r="G52" s="4877"/>
      <c r="H52" s="4877"/>
      <c r="I52" s="2653"/>
      <c r="J52" s="2655"/>
      <c r="K52" s="2655"/>
      <c r="L52" s="2655"/>
      <c r="M52" s="2655"/>
      <c r="N52" s="2655"/>
      <c r="O52" s="2655"/>
      <c r="P52" s="2654"/>
    </row>
    <row r="53" spans="1:16" s="2652" customFormat="1" ht="16.7" customHeight="1" outlineLevel="1">
      <c r="A53" s="4876"/>
      <c r="B53" s="4876"/>
      <c r="C53" s="4876"/>
      <c r="D53" s="4876"/>
      <c r="E53" s="4876"/>
      <c r="F53" s="4876"/>
      <c r="G53" s="4876"/>
      <c r="H53" s="4876"/>
      <c r="I53" s="2653"/>
      <c r="J53" s="2655"/>
      <c r="K53" s="2655"/>
      <c r="L53" s="2655"/>
      <c r="M53" s="2655"/>
      <c r="N53" s="2655"/>
      <c r="O53" s="2655"/>
      <c r="P53" s="2654"/>
    </row>
    <row r="54" spans="1:16" s="2652" customFormat="1" ht="16.7" customHeight="1" outlineLevel="1">
      <c r="A54" s="4877"/>
      <c r="B54" s="4877"/>
      <c r="C54" s="4877"/>
      <c r="D54" s="4877"/>
      <c r="E54" s="4877"/>
      <c r="F54" s="4877"/>
      <c r="G54" s="4877"/>
      <c r="H54" s="4877"/>
      <c r="I54" s="2653"/>
      <c r="J54" s="2655"/>
      <c r="K54" s="2655"/>
      <c r="L54" s="2655"/>
      <c r="M54" s="2655"/>
      <c r="N54" s="2655"/>
      <c r="O54" s="2655"/>
      <c r="P54" s="2654"/>
    </row>
    <row r="55" spans="1:16" s="2652" customFormat="1" ht="16.7" customHeight="1" outlineLevel="1">
      <c r="A55" s="2529"/>
      <c r="B55" s="2529"/>
      <c r="C55" s="2529"/>
      <c r="D55" s="2529"/>
      <c r="E55" s="2529"/>
      <c r="F55" s="2529"/>
      <c r="G55" s="2529"/>
      <c r="H55" s="2529"/>
      <c r="I55" s="2653"/>
      <c r="J55" s="2655"/>
      <c r="K55" s="2655"/>
      <c r="L55" s="2655"/>
      <c r="M55" s="2655"/>
      <c r="N55" s="2655"/>
      <c r="O55" s="2655"/>
      <c r="P55" s="2654"/>
    </row>
    <row r="56" spans="1:16" s="2652" customFormat="1" ht="16.7" customHeight="1" outlineLevel="1">
      <c r="A56" s="2568"/>
      <c r="B56" s="2567"/>
      <c r="C56" s="2529"/>
      <c r="D56" s="2566"/>
      <c r="E56" s="2566"/>
      <c r="F56" s="2566"/>
      <c r="G56" s="2566"/>
      <c r="H56" s="2566"/>
      <c r="I56" s="2653"/>
      <c r="J56" s="2655"/>
      <c r="K56" s="2655"/>
      <c r="L56" s="2655"/>
      <c r="M56" s="2655"/>
      <c r="N56" s="2655"/>
      <c r="O56" s="2655"/>
      <c r="P56" s="2654"/>
    </row>
    <row r="57" spans="1:16" s="2652" customFormat="1" ht="16.7" customHeight="1" outlineLevel="1">
      <c r="A57" s="1269"/>
      <c r="B57" s="1269"/>
      <c r="C57" s="2542"/>
      <c r="D57" s="2541"/>
      <c r="E57" s="2561"/>
      <c r="F57" s="2540"/>
      <c r="G57" s="2565"/>
      <c r="H57" s="2561"/>
      <c r="I57" s="2653"/>
      <c r="J57" s="2655"/>
      <c r="K57" s="2655"/>
      <c r="L57" s="2655"/>
      <c r="M57" s="2655"/>
      <c r="N57" s="2655"/>
      <c r="O57" s="2655"/>
      <c r="P57" s="2654"/>
    </row>
    <row r="58" spans="1:16" s="2652" customFormat="1" ht="16.7" customHeight="1" outlineLevel="1">
      <c r="A58" s="2564"/>
      <c r="B58" s="2564"/>
      <c r="C58" s="2542"/>
      <c r="D58" s="2541"/>
      <c r="E58" s="2561"/>
      <c r="F58" s="2540"/>
      <c r="G58" s="2562"/>
      <c r="H58" s="2561"/>
      <c r="I58" s="2653"/>
      <c r="J58" s="2655"/>
      <c r="K58" s="2655"/>
      <c r="L58" s="2655"/>
      <c r="M58" s="2655"/>
      <c r="N58" s="2655"/>
      <c r="O58" s="2655"/>
      <c r="P58" s="2654"/>
    </row>
    <row r="59" spans="1:16" s="2652" customFormat="1" ht="16.7" customHeight="1" outlineLevel="1">
      <c r="A59" s="4879"/>
      <c r="B59" s="4879"/>
      <c r="C59" s="2559"/>
      <c r="D59" s="2560"/>
      <c r="E59" s="4880"/>
      <c r="F59" s="4880"/>
      <c r="G59" s="4880"/>
      <c r="H59" s="2557"/>
      <c r="I59" s="2653"/>
      <c r="J59" s="2655"/>
      <c r="K59" s="2655"/>
      <c r="L59" s="2655"/>
      <c r="M59" s="2655"/>
      <c r="N59" s="2655"/>
      <c r="O59" s="2655"/>
      <c r="P59" s="2654"/>
    </row>
    <row r="60" spans="1:16" s="2652" customFormat="1" ht="16.7" customHeight="1" outlineLevel="1">
      <c r="A60" s="4879"/>
      <c r="B60" s="4879"/>
      <c r="C60" s="2559"/>
      <c r="D60" s="2558"/>
      <c r="E60" s="2558"/>
      <c r="F60" s="2558"/>
      <c r="G60" s="2558"/>
      <c r="H60" s="2558"/>
      <c r="I60" s="2653"/>
      <c r="J60" s="2655"/>
      <c r="K60" s="2655"/>
      <c r="L60" s="2655"/>
      <c r="M60" s="2655"/>
      <c r="N60" s="2655"/>
      <c r="O60" s="2655"/>
      <c r="P60" s="2654"/>
    </row>
    <row r="61" spans="1:16" s="2652" customFormat="1" ht="16.7" customHeight="1" outlineLevel="1">
      <c r="A61" s="4879"/>
      <c r="B61" s="4879"/>
      <c r="C61" s="2557"/>
      <c r="D61" s="2555"/>
      <c r="E61" s="2555"/>
      <c r="F61" s="2555"/>
      <c r="G61" s="2556"/>
      <c r="H61" s="2555"/>
      <c r="I61" s="2653"/>
      <c r="J61" s="2653"/>
      <c r="K61" s="2653"/>
      <c r="L61" s="2653"/>
      <c r="M61" s="2653"/>
      <c r="N61" s="2653"/>
      <c r="O61" s="2653"/>
    </row>
    <row r="62" spans="1:16" s="2652" customFormat="1" ht="16.7" customHeight="1" outlineLevel="1">
      <c r="A62" s="2554"/>
      <c r="B62" s="2553"/>
      <c r="C62" s="2552"/>
      <c r="D62" s="2551"/>
      <c r="E62" s="2551"/>
      <c r="F62" s="2551"/>
      <c r="G62" s="2551"/>
      <c r="H62" s="2551"/>
      <c r="I62" s="2653"/>
      <c r="J62" s="2653"/>
      <c r="K62" s="2653"/>
      <c r="L62" s="2653"/>
      <c r="M62" s="2653"/>
      <c r="N62" s="2653"/>
      <c r="O62" s="2653"/>
    </row>
    <row r="63" spans="1:16" s="2652" customFormat="1" ht="16.7" customHeight="1" outlineLevel="1">
      <c r="A63" s="2546"/>
      <c r="B63" s="1269"/>
      <c r="C63" s="2545"/>
      <c r="D63" s="2548"/>
      <c r="E63" s="2548"/>
      <c r="F63" s="2540"/>
      <c r="G63" s="2548"/>
      <c r="H63" s="2548"/>
      <c r="I63" s="2653"/>
      <c r="J63" s="2653"/>
      <c r="K63" s="2653"/>
      <c r="L63" s="2653"/>
      <c r="M63" s="2653"/>
      <c r="N63" s="2653"/>
      <c r="O63" s="2653"/>
    </row>
    <row r="64" spans="1:16" s="2652" customFormat="1" ht="16.7" customHeight="1" outlineLevel="1">
      <c r="A64" s="2549"/>
      <c r="B64" s="2549"/>
      <c r="C64" s="2545"/>
      <c r="D64" s="2548"/>
      <c r="E64" s="2548"/>
      <c r="F64" s="2540"/>
      <c r="G64" s="2548"/>
      <c r="H64" s="2548"/>
      <c r="I64" s="2653"/>
      <c r="J64" s="2653"/>
      <c r="K64" s="2653"/>
      <c r="L64" s="2653"/>
      <c r="M64" s="2653"/>
      <c r="N64" s="2653"/>
      <c r="O64" s="2653"/>
    </row>
    <row r="65" spans="1:15" ht="16.7" customHeight="1" outlineLevel="1">
      <c r="A65" s="2546"/>
      <c r="B65" s="1269"/>
      <c r="C65" s="2542"/>
      <c r="D65" s="2541"/>
      <c r="E65" s="2544"/>
      <c r="F65" s="2540"/>
      <c r="G65" s="2544"/>
      <c r="H65" s="2544"/>
    </row>
    <row r="66" spans="1:15" ht="20.100000000000001" customHeight="1" outlineLevel="2">
      <c r="A66" s="2549"/>
      <c r="B66" s="2549"/>
      <c r="C66" s="2545"/>
      <c r="D66" s="2541"/>
      <c r="E66" s="2544"/>
      <c r="F66" s="2540"/>
      <c r="G66" s="2544"/>
      <c r="H66" s="2544"/>
    </row>
    <row r="67" spans="1:15" ht="8.4499999999999993" customHeight="1" outlineLevel="2">
      <c r="A67" s="2549"/>
      <c r="B67" s="2549"/>
      <c r="C67" s="2542"/>
      <c r="D67" s="2541"/>
      <c r="E67" s="2544"/>
      <c r="F67" s="2540"/>
      <c r="G67" s="2544"/>
      <c r="H67" s="2544"/>
    </row>
    <row r="68" spans="1:15" ht="14.45" customHeight="1">
      <c r="A68" s="2549"/>
      <c r="B68" s="2549"/>
      <c r="C68" s="2542"/>
      <c r="D68" s="2541"/>
      <c r="E68" s="2544"/>
      <c r="F68" s="2540"/>
      <c r="G68" s="2544"/>
      <c r="H68" s="2544"/>
    </row>
    <row r="69" spans="1:15" ht="13.9" customHeight="1">
      <c r="A69" s="2546"/>
      <c r="B69" s="1269"/>
      <c r="C69" s="2545"/>
      <c r="D69" s="2541"/>
      <c r="E69" s="2544"/>
      <c r="F69" s="2540"/>
      <c r="G69" s="2544"/>
      <c r="H69" s="2544"/>
    </row>
    <row r="70" spans="1:15" s="1256" customFormat="1" ht="18" customHeight="1">
      <c r="A70" s="2546"/>
      <c r="B70" s="1269"/>
      <c r="C70" s="2545"/>
      <c r="D70" s="2541"/>
      <c r="E70" s="2544"/>
      <c r="F70" s="2540"/>
      <c r="G70" s="2544"/>
      <c r="H70" s="2544"/>
      <c r="I70" s="1257"/>
      <c r="J70" s="1257"/>
      <c r="K70" s="1257"/>
      <c r="L70" s="1257"/>
      <c r="M70" s="1257"/>
      <c r="N70" s="1257"/>
      <c r="O70" s="1257"/>
    </row>
    <row r="71" spans="1:15" s="2463" customFormat="1" ht="12.75">
      <c r="A71" s="2547"/>
      <c r="B71" s="2546"/>
      <c r="C71" s="2545"/>
      <c r="D71" s="2541"/>
      <c r="E71" s="2544"/>
      <c r="F71" s="2540"/>
      <c r="G71" s="2544"/>
      <c r="H71" s="2544"/>
      <c r="I71" s="2579"/>
      <c r="J71" s="2579"/>
      <c r="K71" s="2579"/>
      <c r="L71" s="2579"/>
      <c r="M71" s="2579"/>
      <c r="N71" s="2579"/>
      <c r="O71" s="2579"/>
    </row>
    <row r="72" spans="1:15" s="2463" customFormat="1" ht="12.75">
      <c r="A72" s="2543"/>
      <c r="B72" s="2543"/>
      <c r="C72" s="2542"/>
      <c r="D72" s="2541"/>
      <c r="E72" s="2539"/>
      <c r="F72" s="2540"/>
      <c r="G72" s="2539"/>
      <c r="H72" s="2539"/>
      <c r="I72" s="2579"/>
      <c r="J72" s="2579"/>
      <c r="K72" s="2579"/>
      <c r="L72" s="2579"/>
      <c r="M72" s="2579"/>
      <c r="N72" s="2579"/>
      <c r="O72" s="2579"/>
    </row>
    <row r="73" spans="1:15" s="2463" customFormat="1" ht="12.75">
      <c r="A73" s="2538"/>
      <c r="B73" s="2538"/>
      <c r="C73" s="2537"/>
      <c r="D73" s="2536"/>
      <c r="E73" s="2536"/>
      <c r="F73" s="2536"/>
      <c r="G73" s="2536"/>
      <c r="H73" s="2536"/>
      <c r="I73" s="2579"/>
      <c r="J73" s="2579"/>
      <c r="K73" s="2579"/>
      <c r="L73" s="2579"/>
      <c r="M73" s="2579"/>
      <c r="N73" s="2579"/>
      <c r="O73" s="2579"/>
    </row>
    <row r="74" spans="1:15" s="2463" customFormat="1" ht="12.75">
      <c r="A74" s="2538"/>
      <c r="B74" s="2538"/>
      <c r="C74" s="2537"/>
      <c r="D74" s="2536"/>
      <c r="E74" s="2536"/>
      <c r="F74" s="2536"/>
      <c r="G74" s="2536"/>
      <c r="H74" s="2536"/>
      <c r="I74" s="2579"/>
      <c r="J74" s="2579"/>
      <c r="K74" s="2579"/>
      <c r="L74" s="2579"/>
      <c r="M74" s="2579"/>
      <c r="N74" s="2579"/>
      <c r="O74" s="2579"/>
    </row>
    <row r="75" spans="1:15" s="2463" customFormat="1">
      <c r="A75" s="1269"/>
      <c r="B75" s="2529"/>
      <c r="C75" s="2535"/>
      <c r="D75" s="2529"/>
      <c r="E75" s="4877"/>
      <c r="F75" s="4877"/>
      <c r="G75" s="1269"/>
      <c r="H75" s="2529"/>
      <c r="I75" s="2579"/>
      <c r="J75" s="2579"/>
      <c r="K75" s="2579"/>
      <c r="L75" s="2579"/>
      <c r="M75" s="2579"/>
      <c r="N75" s="2579"/>
      <c r="O75" s="2579"/>
    </row>
    <row r="76" spans="1:15" s="2463" customFormat="1">
      <c r="A76" s="2529"/>
      <c r="B76" s="1269"/>
      <c r="C76" s="2535"/>
      <c r="D76" s="1269"/>
      <c r="E76" s="1269"/>
      <c r="F76" s="1269"/>
      <c r="G76" s="1269"/>
      <c r="H76" s="2529"/>
      <c r="I76" s="2579"/>
      <c r="J76" s="2579"/>
      <c r="K76" s="2579"/>
      <c r="L76" s="2579"/>
      <c r="M76" s="2579"/>
      <c r="N76" s="2579"/>
      <c r="O76" s="2579"/>
    </row>
    <row r="77" spans="1:15" s="2463" customFormat="1" ht="12.75">
      <c r="A77" s="2534"/>
      <c r="B77" s="1269"/>
      <c r="C77" s="4881"/>
      <c r="D77" s="4881"/>
      <c r="E77" s="4876"/>
      <c r="F77" s="4876"/>
      <c r="G77" s="4876"/>
      <c r="H77" s="4876"/>
      <c r="I77" s="2579"/>
      <c r="J77" s="2579"/>
      <c r="K77" s="2579"/>
      <c r="L77" s="2579"/>
      <c r="M77" s="2579"/>
      <c r="N77" s="2579"/>
      <c r="O77" s="2579"/>
    </row>
    <row r="78" spans="1:15" s="2463" customFormat="1" ht="12.75">
      <c r="A78" s="2531"/>
      <c r="B78" s="2533"/>
      <c r="C78" s="4874"/>
      <c r="D78" s="4874"/>
      <c r="E78" s="4875"/>
      <c r="F78" s="4875"/>
      <c r="G78" s="4875"/>
      <c r="H78" s="4875"/>
      <c r="I78" s="2579"/>
      <c r="J78" s="2579"/>
      <c r="K78" s="2579"/>
      <c r="L78" s="2579"/>
      <c r="M78" s="2579"/>
      <c r="N78" s="2579"/>
      <c r="O78" s="2579"/>
    </row>
    <row r="79" spans="1:15" s="2463" customFormat="1" ht="12.75">
      <c r="A79" s="2531"/>
      <c r="B79" s="2533"/>
      <c r="C79" s="2531"/>
      <c r="D79" s="2566"/>
      <c r="E79" s="2566"/>
      <c r="F79" s="2566"/>
      <c r="G79" s="2566"/>
      <c r="H79" s="2566"/>
      <c r="I79" s="2579"/>
      <c r="J79" s="2579"/>
      <c r="K79" s="2579"/>
      <c r="L79" s="2579"/>
      <c r="M79" s="2579"/>
      <c r="N79" s="2579"/>
      <c r="O79" s="2579"/>
    </row>
    <row r="80" spans="1:15" s="2463" customFormat="1" ht="12.75">
      <c r="A80" s="2531"/>
      <c r="B80" s="2533"/>
      <c r="C80" s="2531"/>
      <c r="D80" s="2566"/>
      <c r="E80" s="2566"/>
      <c r="F80" s="2566"/>
      <c r="G80" s="2566"/>
      <c r="H80" s="2566"/>
      <c r="I80" s="2579"/>
      <c r="J80" s="2579"/>
      <c r="K80" s="2579"/>
      <c r="L80" s="2579"/>
      <c r="M80" s="2579"/>
      <c r="N80" s="2579"/>
      <c r="O80" s="2579"/>
    </row>
    <row r="81" spans="1:15" s="2463" customFormat="1" ht="12.75">
      <c r="A81" s="2531"/>
      <c r="B81" s="2533"/>
      <c r="C81" s="2531"/>
      <c r="D81" s="2566"/>
      <c r="E81" s="2566"/>
      <c r="F81" s="2566"/>
      <c r="G81" s="2566"/>
      <c r="H81" s="2566"/>
      <c r="I81" s="2579"/>
      <c r="J81" s="2579"/>
      <c r="K81" s="2579"/>
      <c r="L81" s="2579"/>
      <c r="M81" s="2579"/>
      <c r="N81" s="2579"/>
      <c r="O81" s="2579"/>
    </row>
    <row r="82" spans="1:15" s="2463" customFormat="1" ht="12.75">
      <c r="A82" s="2531"/>
      <c r="B82" s="2533"/>
      <c r="C82" s="2531"/>
      <c r="D82" s="2566"/>
      <c r="E82" s="2566"/>
      <c r="F82" s="2566"/>
      <c r="G82" s="2566"/>
      <c r="H82" s="2566"/>
      <c r="I82" s="2579"/>
      <c r="J82" s="2579"/>
      <c r="K82" s="2579"/>
      <c r="L82" s="2579"/>
      <c r="M82" s="2579"/>
      <c r="N82" s="2579"/>
      <c r="O82" s="2579"/>
    </row>
    <row r="83" spans="1:15" s="2463" customFormat="1" ht="12.75">
      <c r="A83" s="2531"/>
      <c r="B83" s="2533"/>
      <c r="C83" s="2531"/>
      <c r="D83" s="2566"/>
      <c r="E83" s="2566"/>
      <c r="F83" s="2566"/>
      <c r="G83" s="2566"/>
      <c r="H83" s="2566"/>
      <c r="I83" s="2579"/>
      <c r="J83" s="2579"/>
      <c r="K83" s="2579"/>
      <c r="L83" s="2579"/>
      <c r="M83" s="2579"/>
      <c r="N83" s="2579"/>
      <c r="O83" s="2579"/>
    </row>
    <row r="84" spans="1:15" s="2463" customFormat="1" ht="12.75">
      <c r="A84" s="2531"/>
      <c r="B84" s="2533"/>
      <c r="C84" s="2531"/>
      <c r="D84" s="2566"/>
      <c r="E84" s="2566"/>
      <c r="F84" s="2566"/>
      <c r="G84" s="2566"/>
      <c r="H84" s="2566"/>
      <c r="I84" s="2579"/>
      <c r="J84" s="2579"/>
      <c r="K84" s="2579"/>
      <c r="L84" s="2579"/>
      <c r="M84" s="2579"/>
      <c r="N84" s="2579"/>
      <c r="O84" s="2579"/>
    </row>
    <row r="85" spans="1:15" s="2463" customFormat="1" ht="12.75">
      <c r="A85" s="2531"/>
      <c r="B85" s="2533"/>
      <c r="C85" s="2531"/>
      <c r="D85" s="2566"/>
      <c r="E85" s="2566"/>
      <c r="F85" s="2566"/>
      <c r="G85" s="2566"/>
      <c r="H85" s="2566"/>
      <c r="I85" s="2579"/>
      <c r="J85" s="2579"/>
      <c r="K85" s="2579"/>
      <c r="L85" s="2579"/>
      <c r="M85" s="2579"/>
      <c r="N85" s="2579"/>
      <c r="O85" s="2579"/>
    </row>
    <row r="86" spans="1:15" s="2463" customFormat="1" ht="12.75">
      <c r="A86" s="2531"/>
      <c r="B86" s="2533"/>
      <c r="C86" s="2531"/>
      <c r="D86" s="2566"/>
      <c r="E86" s="2566"/>
      <c r="F86" s="2566"/>
      <c r="G86" s="2566"/>
      <c r="H86" s="2566"/>
      <c r="I86" s="2579"/>
      <c r="J86" s="2579"/>
      <c r="K86" s="2579"/>
      <c r="L86" s="2579"/>
      <c r="M86" s="2579"/>
      <c r="N86" s="2579"/>
      <c r="O86" s="2579"/>
    </row>
    <row r="87" spans="1:15" s="2463" customFormat="1" ht="12.75">
      <c r="A87" s="2531"/>
      <c r="B87" s="2533"/>
      <c r="C87" s="2531"/>
      <c r="D87" s="2566"/>
      <c r="E87" s="2566"/>
      <c r="F87" s="2566"/>
      <c r="G87" s="2566"/>
      <c r="H87" s="2566"/>
      <c r="I87" s="2579"/>
      <c r="J87" s="2579"/>
      <c r="K87" s="2579"/>
      <c r="L87" s="2579"/>
      <c r="M87" s="2579"/>
      <c r="N87" s="2579"/>
      <c r="O87" s="2579"/>
    </row>
    <row r="88" spans="1:15" s="2463" customFormat="1" ht="12.75">
      <c r="A88" s="2531"/>
      <c r="B88" s="2533"/>
      <c r="C88" s="2531"/>
      <c r="D88" s="2566"/>
      <c r="E88" s="2566"/>
      <c r="F88" s="2566"/>
      <c r="G88" s="2566"/>
      <c r="H88" s="2566"/>
      <c r="I88" s="2579"/>
      <c r="J88" s="2579"/>
      <c r="K88" s="2579"/>
      <c r="L88" s="2579"/>
      <c r="M88" s="2579"/>
      <c r="N88" s="2579"/>
      <c r="O88" s="2579"/>
    </row>
    <row r="89" spans="1:15" s="2463" customFormat="1" ht="12.75">
      <c r="A89" s="2531"/>
      <c r="B89" s="2533"/>
      <c r="C89" s="2531"/>
      <c r="D89" s="2566"/>
      <c r="E89" s="2566"/>
      <c r="F89" s="2566"/>
      <c r="G89" s="2566"/>
      <c r="H89" s="2566"/>
      <c r="I89" s="2579"/>
      <c r="J89" s="2579"/>
      <c r="K89" s="2579"/>
      <c r="L89" s="2579"/>
      <c r="M89" s="2579"/>
      <c r="N89" s="2579"/>
      <c r="O89" s="2579"/>
    </row>
    <row r="90" spans="1:15" s="2463" customFormat="1" ht="12.75">
      <c r="A90" s="2531"/>
      <c r="B90" s="2533"/>
      <c r="C90" s="2531"/>
      <c r="D90" s="2566"/>
      <c r="E90" s="2566"/>
      <c r="F90" s="2566"/>
      <c r="G90" s="2566"/>
      <c r="H90" s="2566"/>
      <c r="I90" s="2579"/>
      <c r="J90" s="2579"/>
      <c r="K90" s="2579"/>
      <c r="L90" s="2579"/>
      <c r="M90" s="2579"/>
      <c r="N90" s="2579"/>
      <c r="O90" s="2579"/>
    </row>
    <row r="91" spans="1:15" s="2463" customFormat="1" ht="12.75">
      <c r="A91" s="2531"/>
      <c r="B91" s="2533"/>
      <c r="C91" s="2531"/>
      <c r="D91" s="2566"/>
      <c r="E91" s="2566"/>
      <c r="F91" s="2566"/>
      <c r="G91" s="2566"/>
      <c r="H91" s="2566"/>
      <c r="I91" s="2579"/>
      <c r="J91" s="2579"/>
      <c r="K91" s="2579"/>
      <c r="L91" s="2579"/>
      <c r="M91" s="2579"/>
      <c r="N91" s="2579"/>
      <c r="O91" s="2579"/>
    </row>
    <row r="92" spans="1:15" s="2463" customFormat="1" ht="12.75">
      <c r="A92" s="2531"/>
      <c r="B92" s="2533"/>
      <c r="C92" s="2531"/>
      <c r="D92" s="2566"/>
      <c r="E92" s="2566"/>
      <c r="F92" s="2566"/>
      <c r="G92" s="2566"/>
      <c r="H92" s="2566"/>
      <c r="I92" s="2579"/>
      <c r="J92" s="2579"/>
      <c r="K92" s="2579"/>
      <c r="L92" s="2579"/>
      <c r="M92" s="2579"/>
      <c r="N92" s="2579"/>
      <c r="O92" s="2579"/>
    </row>
    <row r="93" spans="1:15" s="2463" customFormat="1" ht="12.75">
      <c r="A93" s="2531"/>
      <c r="B93" s="2533"/>
      <c r="C93" s="2531"/>
      <c r="D93" s="2566"/>
      <c r="E93" s="2566"/>
      <c r="F93" s="2566"/>
      <c r="G93" s="2566"/>
      <c r="H93" s="2566"/>
      <c r="I93" s="2579"/>
      <c r="J93" s="2579"/>
      <c r="K93" s="2579"/>
      <c r="L93" s="2579"/>
      <c r="M93" s="2579"/>
      <c r="N93" s="2579"/>
      <c r="O93" s="2579"/>
    </row>
    <row r="94" spans="1:15" s="2463" customFormat="1" ht="12.75">
      <c r="A94" s="2531"/>
      <c r="B94" s="2533"/>
      <c r="C94" s="2531"/>
      <c r="D94" s="2566"/>
      <c r="E94" s="2566"/>
      <c r="F94" s="2566"/>
      <c r="G94" s="2566"/>
      <c r="H94" s="2566"/>
      <c r="I94" s="2579"/>
      <c r="J94" s="2579"/>
      <c r="K94" s="2579"/>
      <c r="L94" s="2579"/>
      <c r="M94" s="2579"/>
      <c r="N94" s="2579"/>
      <c r="O94" s="2579"/>
    </row>
    <row r="95" spans="1:15" s="2463" customFormat="1" ht="12.75">
      <c r="A95" s="2531"/>
      <c r="B95" s="2533"/>
      <c r="C95" s="2531"/>
      <c r="D95" s="2566"/>
      <c r="E95" s="2566"/>
      <c r="F95" s="2566"/>
      <c r="G95" s="2566"/>
      <c r="H95" s="2566"/>
      <c r="I95" s="2579"/>
      <c r="J95" s="2579"/>
      <c r="K95" s="2579"/>
      <c r="L95" s="2579"/>
      <c r="M95" s="2579"/>
      <c r="N95" s="2579"/>
      <c r="O95" s="2579"/>
    </row>
    <row r="96" spans="1:15" s="2463" customFormat="1">
      <c r="A96" s="2529"/>
      <c r="B96" s="2529"/>
      <c r="C96" s="2529"/>
      <c r="D96" s="2529"/>
      <c r="E96" s="2529"/>
      <c r="F96" s="2529"/>
      <c r="G96" s="2529"/>
      <c r="H96" s="2529"/>
      <c r="I96" s="2579"/>
      <c r="J96" s="2579"/>
      <c r="K96" s="2579"/>
      <c r="L96" s="2579"/>
      <c r="M96" s="2579"/>
      <c r="N96" s="2579"/>
      <c r="O96" s="2579"/>
    </row>
    <row r="97" spans="1:15" s="2463" customFormat="1" ht="12.75">
      <c r="A97" s="4876"/>
      <c r="B97" s="4876"/>
      <c r="C97" s="4876"/>
      <c r="D97" s="4876"/>
      <c r="E97" s="4876"/>
      <c r="F97" s="4876"/>
      <c r="G97" s="4876"/>
      <c r="H97" s="4876"/>
      <c r="I97" s="2579"/>
      <c r="J97" s="2579"/>
      <c r="K97" s="2579"/>
      <c r="L97" s="2579"/>
      <c r="M97" s="2579"/>
      <c r="N97" s="2579"/>
      <c r="O97" s="2579"/>
    </row>
    <row r="98" spans="1:15" s="2463" customFormat="1" ht="12.75">
      <c r="A98" s="4877"/>
      <c r="B98" s="4877"/>
      <c r="C98" s="4877"/>
      <c r="D98" s="4877"/>
      <c r="E98" s="4877"/>
      <c r="F98" s="4877"/>
      <c r="G98" s="4877"/>
      <c r="H98" s="4877"/>
      <c r="I98" s="2579"/>
      <c r="J98" s="2579"/>
      <c r="K98" s="2579"/>
      <c r="L98" s="2579"/>
      <c r="M98" s="2579"/>
      <c r="N98" s="2579"/>
      <c r="O98" s="2579"/>
    </row>
    <row r="99" spans="1:15" s="2463" customFormat="1">
      <c r="A99" s="2529"/>
      <c r="B99" s="2529"/>
      <c r="C99" s="2529"/>
      <c r="D99" s="2529"/>
      <c r="E99" s="2529"/>
      <c r="F99" s="2529"/>
      <c r="G99" s="2529"/>
      <c r="H99" s="2529"/>
      <c r="I99" s="2579"/>
      <c r="J99" s="2579"/>
      <c r="K99" s="2579"/>
      <c r="L99" s="2579"/>
      <c r="M99" s="2579"/>
      <c r="N99" s="2579"/>
      <c r="O99" s="2579"/>
    </row>
    <row r="100" spans="1:15" s="2463" customFormat="1">
      <c r="A100" s="2568"/>
      <c r="B100" s="2567"/>
      <c r="C100" s="2529"/>
      <c r="D100" s="2566"/>
      <c r="E100" s="2566"/>
      <c r="F100" s="2566"/>
      <c r="G100" s="2566"/>
      <c r="H100" s="2566"/>
      <c r="I100" s="2579"/>
      <c r="J100" s="2579"/>
      <c r="K100" s="2579"/>
      <c r="L100" s="2579"/>
      <c r="M100" s="2579"/>
      <c r="N100" s="2579"/>
      <c r="O100" s="2579"/>
    </row>
    <row r="101" spans="1:15" s="2463" customFormat="1" ht="12.75">
      <c r="A101" s="1269"/>
      <c r="B101" s="1269"/>
      <c r="C101" s="2542"/>
      <c r="D101" s="2541"/>
      <c r="E101" s="2561"/>
      <c r="F101" s="2540"/>
      <c r="G101" s="2565"/>
      <c r="H101" s="2561"/>
      <c r="I101" s="2579"/>
      <c r="J101" s="2579"/>
      <c r="K101" s="2579"/>
      <c r="L101" s="2579"/>
      <c r="M101" s="2579"/>
      <c r="N101" s="2579"/>
      <c r="O101" s="2579"/>
    </row>
    <row r="102" spans="1:15" s="2463" customFormat="1" ht="23.25">
      <c r="A102" s="2564"/>
      <c r="B102" s="2564"/>
      <c r="C102" s="2563"/>
      <c r="D102" s="2570"/>
      <c r="E102" s="2561"/>
      <c r="F102" s="2540"/>
      <c r="G102" s="2562"/>
      <c r="H102" s="2561"/>
      <c r="I102" s="2579"/>
      <c r="J102" s="2579"/>
      <c r="K102" s="2579"/>
      <c r="L102" s="2579"/>
      <c r="M102" s="2579"/>
      <c r="N102" s="2579"/>
      <c r="O102" s="2579"/>
    </row>
    <row r="103" spans="1:15" s="2463" customFormat="1" ht="12.75">
      <c r="A103" s="4879"/>
      <c r="B103" s="4879"/>
      <c r="C103" s="2559"/>
      <c r="D103" s="2560"/>
      <c r="E103" s="4880"/>
      <c r="F103" s="4880"/>
      <c r="G103" s="4880"/>
      <c r="H103" s="2557"/>
      <c r="I103" s="2579"/>
      <c r="J103" s="2579"/>
      <c r="K103" s="2579"/>
      <c r="L103" s="2579"/>
      <c r="M103" s="2579"/>
      <c r="N103" s="2579"/>
      <c r="O103" s="2579"/>
    </row>
    <row r="104" spans="1:15" s="2463" customFormat="1" ht="12.75">
      <c r="A104" s="4879"/>
      <c r="B104" s="4879"/>
      <c r="C104" s="2559"/>
      <c r="D104" s="2558"/>
      <c r="E104" s="2558"/>
      <c r="F104" s="2558"/>
      <c r="G104" s="2558"/>
      <c r="H104" s="2558"/>
      <c r="I104" s="2579"/>
      <c r="J104" s="2579"/>
      <c r="K104" s="2579"/>
      <c r="L104" s="2579"/>
      <c r="M104" s="2579"/>
      <c r="N104" s="2579"/>
      <c r="O104" s="2579"/>
    </row>
    <row r="105" spans="1:15" s="2463" customFormat="1" ht="12.75">
      <c r="A105" s="4879"/>
      <c r="B105" s="4879"/>
      <c r="C105" s="2557"/>
      <c r="D105" s="2555"/>
      <c r="E105" s="2555"/>
      <c r="F105" s="2555"/>
      <c r="G105" s="2556"/>
      <c r="H105" s="2555"/>
      <c r="I105" s="2579"/>
      <c r="J105" s="2579"/>
      <c r="K105" s="2579"/>
      <c r="L105" s="2579"/>
      <c r="M105" s="2579"/>
      <c r="N105" s="2579"/>
      <c r="O105" s="2579"/>
    </row>
    <row r="106" spans="1:15" s="2463" customFormat="1" ht="12.75">
      <c r="A106" s="2554"/>
      <c r="B106" s="2553"/>
      <c r="C106" s="2552"/>
      <c r="D106" s="2551"/>
      <c r="E106" s="2551"/>
      <c r="F106" s="2551"/>
      <c r="G106" s="2551"/>
      <c r="H106" s="2551"/>
      <c r="I106" s="2579"/>
      <c r="J106" s="2579"/>
      <c r="K106" s="2579"/>
      <c r="L106" s="2579"/>
      <c r="M106" s="2579"/>
      <c r="N106" s="2579"/>
      <c r="O106" s="2579"/>
    </row>
    <row r="107" spans="1:15" s="2463" customFormat="1" ht="12.75">
      <c r="A107" s="2546"/>
      <c r="B107" s="1269"/>
      <c r="C107" s="2542"/>
      <c r="D107" s="2548"/>
      <c r="E107" s="2548"/>
      <c r="F107" s="2540"/>
      <c r="G107" s="2548"/>
      <c r="H107" s="2548"/>
      <c r="I107" s="2579"/>
      <c r="J107" s="2579"/>
      <c r="K107" s="2579"/>
      <c r="L107" s="2579"/>
      <c r="M107" s="2579"/>
      <c r="N107" s="2579"/>
      <c r="O107" s="2579"/>
    </row>
    <row r="108" spans="1:15" s="2463" customFormat="1" ht="12.75">
      <c r="A108" s="2549"/>
      <c r="B108" s="2549"/>
      <c r="C108" s="2545"/>
      <c r="D108" s="2548"/>
      <c r="E108" s="2548"/>
      <c r="F108" s="2540"/>
      <c r="G108" s="2548"/>
      <c r="H108" s="2548"/>
      <c r="I108" s="2579"/>
      <c r="J108" s="2579"/>
      <c r="K108" s="2579"/>
      <c r="L108" s="2579"/>
      <c r="M108" s="2579"/>
      <c r="N108" s="2579"/>
      <c r="O108" s="2579"/>
    </row>
    <row r="109" spans="1:15" s="2463" customFormat="1" ht="12.75">
      <c r="A109" s="2546"/>
      <c r="B109" s="1269"/>
      <c r="C109" s="2545"/>
      <c r="D109" s="2541"/>
      <c r="E109" s="2544"/>
      <c r="F109" s="2540"/>
      <c r="G109" s="2544"/>
      <c r="H109" s="2544"/>
      <c r="I109" s="2579"/>
      <c r="J109" s="2579"/>
      <c r="K109" s="2579"/>
      <c r="L109" s="2579"/>
      <c r="M109" s="2579"/>
      <c r="N109" s="2579"/>
      <c r="O109" s="2579"/>
    </row>
    <row r="110" spans="1:15" s="2463" customFormat="1" ht="12.75">
      <c r="A110" s="2549"/>
      <c r="B110" s="2549"/>
      <c r="C110" s="2545"/>
      <c r="D110" s="2541"/>
      <c r="E110" s="2544"/>
      <c r="F110" s="2540"/>
      <c r="G110" s="2544"/>
      <c r="H110" s="2544"/>
      <c r="I110" s="2579"/>
      <c r="J110" s="2579"/>
      <c r="K110" s="2579"/>
      <c r="L110" s="2579"/>
      <c r="M110" s="2579"/>
      <c r="N110" s="2579"/>
      <c r="O110" s="2579"/>
    </row>
    <row r="111" spans="1:15" s="2463" customFormat="1" ht="12.75">
      <c r="A111" s="2543"/>
      <c r="B111" s="2543"/>
      <c r="C111" s="2542"/>
      <c r="D111" s="2541"/>
      <c r="E111" s="2539"/>
      <c r="F111" s="2540"/>
      <c r="G111" s="2539"/>
      <c r="H111" s="2539"/>
      <c r="I111" s="2579"/>
      <c r="J111" s="2579"/>
      <c r="K111" s="2579"/>
      <c r="L111" s="2579"/>
      <c r="M111" s="2579"/>
      <c r="N111" s="2579"/>
      <c r="O111" s="2579"/>
    </row>
    <row r="112" spans="1:15" s="2463" customFormat="1" ht="12.75">
      <c r="A112" s="2538"/>
      <c r="B112" s="2538"/>
      <c r="C112" s="2537"/>
      <c r="D112" s="2536"/>
      <c r="E112" s="2536"/>
      <c r="F112" s="2536"/>
      <c r="G112" s="2536"/>
      <c r="H112" s="2536"/>
      <c r="I112" s="2579"/>
      <c r="J112" s="2579"/>
      <c r="K112" s="2579"/>
      <c r="L112" s="2579"/>
      <c r="M112" s="2579"/>
      <c r="N112" s="2579"/>
      <c r="O112" s="2579"/>
    </row>
    <row r="113" spans="1:15" s="2463" customFormat="1" ht="12.75">
      <c r="A113" s="2538"/>
      <c r="B113" s="2538"/>
      <c r="C113" s="2537"/>
      <c r="D113" s="2536"/>
      <c r="E113" s="2536"/>
      <c r="F113" s="2536"/>
      <c r="G113" s="2536"/>
      <c r="H113" s="2536"/>
      <c r="I113" s="2579"/>
      <c r="J113" s="2579"/>
      <c r="K113" s="2579"/>
      <c r="L113" s="2579"/>
      <c r="M113" s="2579"/>
      <c r="N113" s="2579"/>
      <c r="O113" s="2579"/>
    </row>
    <row r="114" spans="1:15" s="2463" customFormat="1">
      <c r="A114" s="1269"/>
      <c r="B114" s="2529"/>
      <c r="C114" s="2535"/>
      <c r="D114" s="2529"/>
      <c r="E114" s="4877"/>
      <c r="F114" s="4877"/>
      <c r="G114" s="1269"/>
      <c r="H114" s="2529"/>
      <c r="I114" s="2579"/>
      <c r="J114" s="2579"/>
      <c r="K114" s="2579"/>
      <c r="L114" s="2579"/>
      <c r="M114" s="2579"/>
      <c r="N114" s="2579"/>
      <c r="O114" s="2579"/>
    </row>
    <row r="115" spans="1:15" s="2463" customFormat="1">
      <c r="A115" s="2529"/>
      <c r="B115" s="1269"/>
      <c r="C115" s="2535"/>
      <c r="D115" s="1269"/>
      <c r="E115" s="1269"/>
      <c r="F115" s="1269"/>
      <c r="G115" s="1269"/>
      <c r="H115" s="2529"/>
      <c r="I115" s="2579"/>
      <c r="J115" s="2579"/>
      <c r="K115" s="2579"/>
      <c r="L115" s="2579"/>
      <c r="M115" s="2579"/>
      <c r="N115" s="2579"/>
      <c r="O115" s="2579"/>
    </row>
    <row r="116" spans="1:15" s="2463" customFormat="1" ht="12.75">
      <c r="A116" s="2534"/>
      <c r="B116" s="1269"/>
      <c r="C116" s="4881"/>
      <c r="D116" s="4881"/>
      <c r="E116" s="4876"/>
      <c r="F116" s="4876"/>
      <c r="G116" s="4876"/>
      <c r="H116" s="4876"/>
      <c r="I116" s="2579"/>
      <c r="J116" s="2579"/>
      <c r="K116" s="2579"/>
      <c r="L116" s="2579"/>
      <c r="M116" s="2579"/>
      <c r="N116" s="2579"/>
      <c r="O116" s="2579"/>
    </row>
    <row r="117" spans="1:15" s="2463" customFormat="1" ht="12.75">
      <c r="A117" s="2531"/>
      <c r="B117" s="2533"/>
      <c r="C117" s="4874"/>
      <c r="D117" s="4874"/>
      <c r="E117" s="4875"/>
      <c r="F117" s="4875"/>
      <c r="G117" s="4875"/>
      <c r="H117" s="4875"/>
      <c r="I117" s="2579"/>
      <c r="J117" s="2579"/>
      <c r="K117" s="2579"/>
      <c r="L117" s="2579"/>
      <c r="M117" s="2579"/>
      <c r="N117" s="2579"/>
      <c r="O117" s="2579"/>
    </row>
    <row r="118" spans="1:15" s="2463" customFormat="1" ht="12.75">
      <c r="A118" s="2531"/>
      <c r="B118" s="2533"/>
      <c r="C118" s="2531"/>
      <c r="D118" s="2566"/>
      <c r="E118" s="2566"/>
      <c r="F118" s="2566"/>
      <c r="G118" s="2566"/>
      <c r="H118" s="2566"/>
      <c r="I118" s="2579"/>
      <c r="J118" s="2579"/>
      <c r="K118" s="2579"/>
      <c r="L118" s="2579"/>
      <c r="M118" s="2579"/>
      <c r="N118" s="2579"/>
      <c r="O118" s="2579"/>
    </row>
    <row r="119" spans="1:15" s="2463" customFormat="1" ht="12.75">
      <c r="A119" s="2531"/>
      <c r="B119" s="2533"/>
      <c r="C119" s="2531"/>
      <c r="D119" s="2566"/>
      <c r="E119" s="2566"/>
      <c r="F119" s="2566"/>
      <c r="G119" s="2566"/>
      <c r="H119" s="2566"/>
      <c r="I119" s="2579"/>
      <c r="J119" s="2579"/>
      <c r="K119" s="2579"/>
      <c r="L119" s="2579"/>
      <c r="M119" s="2579"/>
      <c r="N119" s="2579"/>
      <c r="O119" s="2579"/>
    </row>
    <row r="120" spans="1:15" s="2463" customFormat="1" ht="12.75">
      <c r="A120" s="2531"/>
      <c r="B120" s="2533"/>
      <c r="C120" s="2531"/>
      <c r="D120" s="2566"/>
      <c r="E120" s="2566"/>
      <c r="F120" s="2566"/>
      <c r="G120" s="2566"/>
      <c r="H120" s="2566"/>
      <c r="I120" s="2579"/>
      <c r="J120" s="2579"/>
      <c r="K120" s="2579"/>
      <c r="L120" s="2579"/>
      <c r="M120" s="2579"/>
      <c r="N120" s="2579"/>
      <c r="O120" s="2579"/>
    </row>
    <row r="121" spans="1:15" s="2463" customFormat="1" ht="12.75">
      <c r="A121" s="2531"/>
      <c r="B121" s="2533"/>
      <c r="C121" s="2531"/>
      <c r="D121" s="2566"/>
      <c r="E121" s="2566"/>
      <c r="F121" s="2566"/>
      <c r="G121" s="2566"/>
      <c r="H121" s="2566"/>
      <c r="I121" s="2579"/>
      <c r="J121" s="2579"/>
      <c r="K121" s="2579"/>
      <c r="L121" s="2579"/>
      <c r="M121" s="2579"/>
      <c r="N121" s="2579"/>
      <c r="O121" s="2579"/>
    </row>
    <row r="122" spans="1:15" s="2463" customFormat="1" ht="12.75">
      <c r="A122" s="2531"/>
      <c r="B122" s="2533"/>
      <c r="C122" s="2531"/>
      <c r="D122" s="2566"/>
      <c r="E122" s="2566"/>
      <c r="F122" s="2566"/>
      <c r="G122" s="2566"/>
      <c r="H122" s="2566"/>
      <c r="I122" s="2579"/>
      <c r="J122" s="2579"/>
      <c r="K122" s="2579"/>
      <c r="L122" s="2579"/>
      <c r="M122" s="2579"/>
      <c r="N122" s="2579"/>
      <c r="O122" s="2579"/>
    </row>
    <row r="123" spans="1:15" s="2463" customFormat="1" ht="12.75">
      <c r="A123" s="2531"/>
      <c r="B123" s="2533"/>
      <c r="C123" s="2531"/>
      <c r="D123" s="2566"/>
      <c r="E123" s="2566"/>
      <c r="F123" s="2566"/>
      <c r="G123" s="2566"/>
      <c r="H123" s="2566"/>
      <c r="I123" s="2579"/>
      <c r="J123" s="2579"/>
      <c r="K123" s="2579"/>
      <c r="L123" s="2579"/>
      <c r="M123" s="2579"/>
      <c r="N123" s="2579"/>
      <c r="O123" s="2579"/>
    </row>
    <row r="124" spans="1:15" s="2463" customFormat="1" ht="12.75">
      <c r="A124" s="2531"/>
      <c r="B124" s="2533"/>
      <c r="C124" s="2531"/>
      <c r="D124" s="2566"/>
      <c r="E124" s="2566"/>
      <c r="F124" s="2566"/>
      <c r="G124" s="2566"/>
      <c r="H124" s="2566"/>
      <c r="I124" s="2579"/>
      <c r="J124" s="2579"/>
      <c r="K124" s="2579"/>
      <c r="L124" s="2579"/>
      <c r="M124" s="2579"/>
      <c r="N124" s="2579"/>
      <c r="O124" s="2579"/>
    </row>
    <row r="125" spans="1:15" s="2463" customFormat="1" ht="12.75">
      <c r="A125" s="2531"/>
      <c r="B125" s="2533"/>
      <c r="C125" s="2531"/>
      <c r="D125" s="2566"/>
      <c r="E125" s="2566"/>
      <c r="F125" s="2566"/>
      <c r="G125" s="2566"/>
      <c r="H125" s="2566"/>
      <c r="I125" s="2579"/>
      <c r="J125" s="2579"/>
      <c r="K125" s="2579"/>
      <c r="L125" s="2579"/>
      <c r="M125" s="2579"/>
      <c r="N125" s="2579"/>
      <c r="O125" s="2579"/>
    </row>
    <row r="126" spans="1:15" s="2463" customFormat="1" ht="12.75">
      <c r="A126" s="2531"/>
      <c r="B126" s="2533"/>
      <c r="C126" s="2531"/>
      <c r="D126" s="2566"/>
      <c r="E126" s="2566"/>
      <c r="F126" s="2566"/>
      <c r="G126" s="2566"/>
      <c r="H126" s="2566"/>
      <c r="I126" s="2579"/>
      <c r="J126" s="2579"/>
      <c r="K126" s="2579"/>
      <c r="L126" s="2579"/>
      <c r="M126" s="2579"/>
      <c r="N126" s="2579"/>
      <c r="O126" s="2579"/>
    </row>
    <row r="127" spans="1:15" s="2463" customFormat="1" ht="12.75">
      <c r="A127" s="2531"/>
      <c r="B127" s="2533"/>
      <c r="C127" s="2531"/>
      <c r="D127" s="2566"/>
      <c r="E127" s="2566"/>
      <c r="F127" s="2566"/>
      <c r="G127" s="2566"/>
      <c r="H127" s="2566"/>
      <c r="I127" s="2579"/>
      <c r="J127" s="2579"/>
      <c r="K127" s="2579"/>
      <c r="L127" s="2579"/>
      <c r="M127" s="2579"/>
      <c r="N127" s="2579"/>
      <c r="O127" s="2579"/>
    </row>
    <row r="128" spans="1:15" s="2463" customFormat="1" ht="12.75">
      <c r="A128" s="2531"/>
      <c r="B128" s="2533"/>
      <c r="C128" s="2531"/>
      <c r="D128" s="2566"/>
      <c r="E128" s="2566"/>
      <c r="F128" s="2566"/>
      <c r="G128" s="2566"/>
      <c r="H128" s="2566"/>
      <c r="I128" s="2579"/>
      <c r="J128" s="2579"/>
      <c r="K128" s="2579"/>
      <c r="L128" s="2579"/>
      <c r="M128" s="2579"/>
      <c r="N128" s="2579"/>
      <c r="O128" s="2579"/>
    </row>
    <row r="129" spans="1:15" s="2463" customFormat="1" ht="12.75">
      <c r="A129" s="2531"/>
      <c r="B129" s="2533"/>
      <c r="C129" s="2531"/>
      <c r="D129" s="2566"/>
      <c r="E129" s="2566"/>
      <c r="F129" s="2566"/>
      <c r="G129" s="2566"/>
      <c r="H129" s="2566"/>
      <c r="I129" s="2579"/>
      <c r="J129" s="2579"/>
      <c r="K129" s="2579"/>
      <c r="L129" s="2579"/>
      <c r="M129" s="2579"/>
      <c r="N129" s="2579"/>
      <c r="O129" s="2579"/>
    </row>
    <row r="130" spans="1:15" s="2463" customFormat="1" ht="12.75">
      <c r="A130" s="2531"/>
      <c r="B130" s="2533"/>
      <c r="C130" s="2531"/>
      <c r="D130" s="2566"/>
      <c r="E130" s="2566"/>
      <c r="F130" s="2566"/>
      <c r="G130" s="2566"/>
      <c r="H130" s="2566"/>
      <c r="I130" s="2579"/>
      <c r="J130" s="2579"/>
      <c r="K130" s="2579"/>
      <c r="L130" s="2579"/>
      <c r="M130" s="2579"/>
      <c r="N130" s="2579"/>
      <c r="O130" s="2579"/>
    </row>
    <row r="131" spans="1:15" s="2463" customFormat="1" ht="12.75">
      <c r="A131" s="2531"/>
      <c r="B131" s="2533"/>
      <c r="C131" s="2531"/>
      <c r="D131" s="2566"/>
      <c r="E131" s="2566"/>
      <c r="F131" s="2566"/>
      <c r="G131" s="2566"/>
      <c r="H131" s="2566"/>
      <c r="I131" s="2579"/>
      <c r="J131" s="2579"/>
      <c r="K131" s="2579"/>
      <c r="L131" s="2579"/>
      <c r="M131" s="2579"/>
      <c r="N131" s="2579"/>
      <c r="O131" s="2579"/>
    </row>
    <row r="132" spans="1:15" s="2463" customFormat="1" ht="12.75">
      <c r="A132" s="2531"/>
      <c r="B132" s="2533"/>
      <c r="C132" s="2531"/>
      <c r="D132" s="2566"/>
      <c r="E132" s="2566"/>
      <c r="F132" s="2566"/>
      <c r="G132" s="2566"/>
      <c r="H132" s="2566"/>
      <c r="I132" s="2579"/>
      <c r="J132" s="2579"/>
      <c r="K132" s="2579"/>
      <c r="L132" s="2579"/>
      <c r="M132" s="2579"/>
      <c r="N132" s="2579"/>
      <c r="O132" s="2579"/>
    </row>
    <row r="133" spans="1:15" s="2463" customFormat="1" ht="12.75">
      <c r="A133" s="2531"/>
      <c r="B133" s="2533"/>
      <c r="C133" s="2531"/>
      <c r="D133" s="2566"/>
      <c r="E133" s="2566"/>
      <c r="F133" s="2566"/>
      <c r="G133" s="2566"/>
      <c r="H133" s="2566"/>
      <c r="I133" s="2579"/>
      <c r="J133" s="2579"/>
      <c r="K133" s="2579"/>
      <c r="L133" s="2579"/>
      <c r="M133" s="2579"/>
      <c r="N133" s="2579"/>
      <c r="O133" s="2579"/>
    </row>
    <row r="134" spans="1:15" s="2463" customFormat="1" ht="12.75">
      <c r="A134" s="2531"/>
      <c r="B134" s="2533"/>
      <c r="C134" s="2531"/>
      <c r="D134" s="2566"/>
      <c r="E134" s="2566"/>
      <c r="F134" s="2566"/>
      <c r="G134" s="2566"/>
      <c r="H134" s="2566"/>
      <c r="I134" s="2579"/>
      <c r="J134" s="2579"/>
      <c r="K134" s="2579"/>
      <c r="L134" s="2579"/>
      <c r="M134" s="2579"/>
      <c r="N134" s="2579"/>
      <c r="O134" s="2579"/>
    </row>
    <row r="135" spans="1:15" s="2463" customFormat="1" ht="12.75">
      <c r="A135" s="2531"/>
      <c r="B135" s="2533"/>
      <c r="C135" s="2531"/>
      <c r="D135" s="2566"/>
      <c r="E135" s="2566"/>
      <c r="F135" s="2566"/>
      <c r="G135" s="2566"/>
      <c r="H135" s="2566"/>
      <c r="I135" s="2579"/>
      <c r="J135" s="2579"/>
      <c r="K135" s="2579"/>
      <c r="L135" s="2579"/>
      <c r="M135" s="2579"/>
      <c r="N135" s="2579"/>
      <c r="O135" s="2579"/>
    </row>
    <row r="136" spans="1:15" s="2463" customFormat="1" ht="12.75">
      <c r="A136" s="2531"/>
      <c r="B136" s="2533"/>
      <c r="C136" s="2531"/>
      <c r="D136" s="2566"/>
      <c r="E136" s="2566"/>
      <c r="F136" s="2566"/>
      <c r="G136" s="2566"/>
      <c r="H136" s="2566"/>
      <c r="I136" s="2579"/>
      <c r="J136" s="2579"/>
      <c r="K136" s="2579"/>
      <c r="L136" s="2579"/>
      <c r="M136" s="2579"/>
      <c r="N136" s="2579"/>
      <c r="O136" s="2579"/>
    </row>
    <row r="137" spans="1:15" s="2463" customFormat="1" ht="12.75">
      <c r="A137" s="4876"/>
      <c r="B137" s="4876"/>
      <c r="C137" s="4876"/>
      <c r="D137" s="4876"/>
      <c r="E137" s="4876"/>
      <c r="F137" s="4876"/>
      <c r="G137" s="4876"/>
      <c r="H137" s="4876"/>
      <c r="I137" s="2579"/>
      <c r="J137" s="2579"/>
      <c r="K137" s="2579"/>
      <c r="L137" s="2579"/>
      <c r="M137" s="2579"/>
      <c r="N137" s="2579"/>
      <c r="O137" s="2579"/>
    </row>
    <row r="138" spans="1:15" s="2463" customFormat="1" ht="12.75">
      <c r="A138" s="4877"/>
      <c r="B138" s="4877"/>
      <c r="C138" s="4877"/>
      <c r="D138" s="4877"/>
      <c r="E138" s="4877"/>
      <c r="F138" s="4877"/>
      <c r="G138" s="4877"/>
      <c r="H138" s="4877"/>
      <c r="I138" s="2579"/>
      <c r="J138" s="2579"/>
      <c r="K138" s="2579"/>
      <c r="L138" s="2579"/>
      <c r="M138" s="2579"/>
      <c r="N138" s="2579"/>
      <c r="O138" s="2579"/>
    </row>
    <row r="139" spans="1:15" s="2463" customFormat="1">
      <c r="A139" s="2529"/>
      <c r="B139" s="2529"/>
      <c r="C139" s="2529"/>
      <c r="D139" s="2529"/>
      <c r="E139" s="2529"/>
      <c r="F139" s="2529"/>
      <c r="G139" s="2529"/>
      <c r="H139" s="2529"/>
      <c r="I139" s="2579"/>
      <c r="J139" s="2579"/>
      <c r="K139" s="2579"/>
      <c r="L139" s="2579"/>
      <c r="M139" s="2579"/>
      <c r="N139" s="2579"/>
      <c r="O139" s="2579"/>
    </row>
    <row r="140" spans="1:15" s="2463" customFormat="1">
      <c r="A140" s="2529"/>
      <c r="B140" s="2529"/>
      <c r="C140" s="2529"/>
      <c r="D140" s="2529"/>
      <c r="E140" s="2529"/>
      <c r="F140" s="2529"/>
      <c r="G140" s="2529"/>
      <c r="H140" s="2529"/>
      <c r="I140" s="2579"/>
      <c r="J140" s="2579"/>
      <c r="K140" s="2579"/>
      <c r="L140" s="2579"/>
      <c r="M140" s="2579"/>
      <c r="N140" s="2579"/>
      <c r="O140" s="2579"/>
    </row>
    <row r="141" spans="1:15" s="2463" customFormat="1">
      <c r="A141" s="2568"/>
      <c r="B141" s="2567"/>
      <c r="C141" s="2529"/>
      <c r="D141" s="2566"/>
      <c r="E141" s="2566"/>
      <c r="F141" s="2566"/>
      <c r="G141" s="2566"/>
      <c r="H141" s="2566"/>
      <c r="I141" s="2579"/>
      <c r="J141" s="2579"/>
      <c r="K141" s="2579"/>
      <c r="L141" s="2579"/>
      <c r="M141" s="2579"/>
      <c r="N141" s="2579"/>
      <c r="O141" s="2579"/>
    </row>
    <row r="142" spans="1:15" s="2463" customFormat="1" ht="12.75">
      <c r="A142" s="1269"/>
      <c r="B142" s="1269"/>
      <c r="C142" s="2542"/>
      <c r="D142" s="2541"/>
      <c r="E142" s="2561"/>
      <c r="F142" s="2540"/>
      <c r="G142" s="2565"/>
      <c r="H142" s="2561"/>
      <c r="I142" s="2579"/>
      <c r="J142" s="2579"/>
      <c r="K142" s="2579"/>
      <c r="L142" s="2579"/>
      <c r="M142" s="2579"/>
      <c r="N142" s="2579"/>
      <c r="O142" s="2579"/>
    </row>
    <row r="143" spans="1:15" s="2463" customFormat="1" ht="23.25">
      <c r="A143" s="2564"/>
      <c r="B143" s="2564"/>
      <c r="C143" s="2563"/>
      <c r="D143" s="2541"/>
      <c r="E143" s="2561"/>
      <c r="F143" s="2540"/>
      <c r="G143" s="2562"/>
      <c r="H143" s="2561"/>
      <c r="I143" s="2579"/>
      <c r="J143" s="2579"/>
      <c r="K143" s="2579"/>
      <c r="L143" s="2579"/>
      <c r="M143" s="2579"/>
      <c r="N143" s="2579"/>
      <c r="O143" s="2579"/>
    </row>
    <row r="144" spans="1:15" s="2463" customFormat="1" ht="12.75">
      <c r="A144" s="4879"/>
      <c r="B144" s="4879"/>
      <c r="C144" s="2559"/>
      <c r="D144" s="2560"/>
      <c r="E144" s="4880"/>
      <c r="F144" s="4880"/>
      <c r="G144" s="4880"/>
      <c r="H144" s="2557"/>
      <c r="I144" s="2579"/>
      <c r="J144" s="2579"/>
      <c r="K144" s="2579"/>
      <c r="L144" s="2579"/>
      <c r="M144" s="2579"/>
      <c r="N144" s="2579"/>
      <c r="O144" s="2579"/>
    </row>
    <row r="145" spans="1:15" s="2463" customFormat="1" ht="12.75">
      <c r="A145" s="4879"/>
      <c r="B145" s="4879"/>
      <c r="C145" s="2559"/>
      <c r="D145" s="2558"/>
      <c r="E145" s="2558"/>
      <c r="F145" s="2558"/>
      <c r="G145" s="2558"/>
      <c r="H145" s="2558"/>
      <c r="I145" s="2579"/>
      <c r="J145" s="2579"/>
      <c r="K145" s="2579"/>
      <c r="L145" s="2579"/>
      <c r="M145" s="2579"/>
      <c r="N145" s="2579"/>
      <c r="O145" s="2579"/>
    </row>
    <row r="146" spans="1:15" s="2463" customFormat="1" ht="12.75">
      <c r="A146" s="4879"/>
      <c r="B146" s="4879"/>
      <c r="C146" s="2557"/>
      <c r="D146" s="2555"/>
      <c r="E146" s="2555"/>
      <c r="F146" s="2555"/>
      <c r="G146" s="2556"/>
      <c r="H146" s="2555"/>
      <c r="I146" s="2579"/>
      <c r="J146" s="2579"/>
      <c r="K146" s="2579"/>
      <c r="L146" s="2579"/>
      <c r="M146" s="2579"/>
      <c r="N146" s="2579"/>
      <c r="O146" s="2579"/>
    </row>
    <row r="147" spans="1:15" s="2463" customFormat="1" ht="12.75">
      <c r="A147" s="2554"/>
      <c r="B147" s="2553"/>
      <c r="C147" s="2552"/>
      <c r="D147" s="2551"/>
      <c r="E147" s="2551"/>
      <c r="F147" s="2551"/>
      <c r="G147" s="2551"/>
      <c r="H147" s="2551"/>
      <c r="I147" s="2579"/>
      <c r="J147" s="2579"/>
      <c r="K147" s="2579"/>
      <c r="L147" s="2579"/>
      <c r="M147" s="2579"/>
      <c r="N147" s="2579"/>
      <c r="O147" s="2579"/>
    </row>
    <row r="148" spans="1:15" s="2463" customFormat="1" ht="12.75">
      <c r="A148" s="2546"/>
      <c r="B148" s="1269"/>
      <c r="C148" s="2545"/>
      <c r="D148" s="2548"/>
      <c r="E148" s="2548"/>
      <c r="F148" s="2540"/>
      <c r="G148" s="2548"/>
      <c r="H148" s="2548"/>
      <c r="I148" s="2579"/>
      <c r="J148" s="2579"/>
      <c r="K148" s="2579"/>
      <c r="L148" s="2579"/>
      <c r="M148" s="2579"/>
      <c r="N148" s="2579"/>
      <c r="O148" s="2579"/>
    </row>
    <row r="149" spans="1:15" s="2463" customFormat="1" ht="12.75">
      <c r="A149" s="2549"/>
      <c r="B149" s="2549"/>
      <c r="C149" s="2545"/>
      <c r="D149" s="2548"/>
      <c r="E149" s="2548"/>
      <c r="F149" s="2540"/>
      <c r="G149" s="2548"/>
      <c r="H149" s="2548"/>
      <c r="I149" s="2579"/>
      <c r="J149" s="2579"/>
      <c r="K149" s="2579"/>
      <c r="L149" s="2579"/>
      <c r="M149" s="2579"/>
      <c r="N149" s="2579"/>
      <c r="O149" s="2579"/>
    </row>
    <row r="150" spans="1:15" s="2463" customFormat="1" ht="12.75">
      <c r="A150" s="2546"/>
      <c r="B150" s="1269"/>
      <c r="C150" s="2542"/>
      <c r="D150" s="2541"/>
      <c r="E150" s="2544"/>
      <c r="F150" s="2540"/>
      <c r="G150" s="2544"/>
      <c r="H150" s="2544"/>
      <c r="I150" s="2579"/>
      <c r="J150" s="2579"/>
      <c r="K150" s="2579"/>
      <c r="L150" s="2579"/>
      <c r="M150" s="2579"/>
      <c r="N150" s="2579"/>
      <c r="O150" s="2579"/>
    </row>
    <row r="151" spans="1:15" s="2463" customFormat="1" ht="12.75">
      <c r="A151" s="2549"/>
      <c r="B151" s="2549"/>
      <c r="C151" s="2545"/>
      <c r="D151" s="2541"/>
      <c r="E151" s="2544"/>
      <c r="F151" s="2540"/>
      <c r="G151" s="2544"/>
      <c r="H151" s="2544"/>
      <c r="I151" s="2579"/>
      <c r="J151" s="2579"/>
      <c r="K151" s="2579"/>
      <c r="L151" s="2579"/>
      <c r="M151" s="2579"/>
      <c r="N151" s="2579"/>
      <c r="O151" s="2579"/>
    </row>
    <row r="152" spans="1:15" s="2463" customFormat="1" ht="12.75">
      <c r="A152" s="2549"/>
      <c r="B152" s="2549"/>
      <c r="C152" s="2542"/>
      <c r="D152" s="2541"/>
      <c r="E152" s="2544"/>
      <c r="F152" s="2540"/>
      <c r="G152" s="2544"/>
      <c r="H152" s="2544"/>
      <c r="I152" s="2579"/>
      <c r="J152" s="2579"/>
      <c r="K152" s="2579"/>
      <c r="L152" s="2579"/>
      <c r="M152" s="2579"/>
      <c r="N152" s="2579"/>
      <c r="O152" s="2579"/>
    </row>
    <row r="153" spans="1:15" s="2463" customFormat="1" ht="12.75">
      <c r="A153" s="2549"/>
      <c r="B153" s="2549"/>
      <c r="C153" s="2542"/>
      <c r="D153" s="2541"/>
      <c r="E153" s="2544"/>
      <c r="F153" s="2540"/>
      <c r="G153" s="2544"/>
      <c r="H153" s="2544"/>
      <c r="I153" s="2579"/>
      <c r="J153" s="2579"/>
      <c r="K153" s="2579"/>
      <c r="L153" s="2579"/>
      <c r="M153" s="2579"/>
      <c r="N153" s="2579"/>
      <c r="O153" s="2579"/>
    </row>
    <row r="154" spans="1:15" s="2463" customFormat="1" ht="12.75">
      <c r="A154" s="2546"/>
      <c r="B154" s="1269"/>
      <c r="C154" s="2545"/>
      <c r="D154" s="2541"/>
      <c r="E154" s="2544"/>
      <c r="F154" s="2540"/>
      <c r="G154" s="2544"/>
      <c r="H154" s="2544"/>
      <c r="I154" s="2579"/>
      <c r="J154" s="2579"/>
      <c r="K154" s="2579"/>
      <c r="L154" s="2579"/>
      <c r="M154" s="2579"/>
      <c r="N154" s="2579"/>
      <c r="O154" s="2579"/>
    </row>
    <row r="155" spans="1:15" s="2463" customFormat="1" ht="12.75">
      <c r="A155" s="2546"/>
      <c r="B155" s="1269"/>
      <c r="C155" s="2545"/>
      <c r="D155" s="2541"/>
      <c r="E155" s="2544"/>
      <c r="F155" s="2540"/>
      <c r="G155" s="2544"/>
      <c r="H155" s="2544"/>
      <c r="I155" s="2579"/>
      <c r="J155" s="2579"/>
      <c r="K155" s="2579"/>
      <c r="L155" s="2579"/>
      <c r="M155" s="2579"/>
      <c r="N155" s="2579"/>
      <c r="O155" s="2579"/>
    </row>
    <row r="156" spans="1:15" s="2532" customFormat="1" ht="12.75">
      <c r="A156" s="2547"/>
      <c r="B156" s="2546"/>
      <c r="C156" s="2545"/>
      <c r="D156" s="2541"/>
      <c r="E156" s="2544"/>
      <c r="F156" s="2540"/>
      <c r="G156" s="2544"/>
      <c r="H156" s="2544"/>
    </row>
    <row r="157" spans="1:15" s="2532" customFormat="1" ht="12.75">
      <c r="A157" s="2543"/>
      <c r="B157" s="2543"/>
      <c r="C157" s="2542"/>
      <c r="D157" s="2541"/>
      <c r="E157" s="2539"/>
      <c r="F157" s="2540"/>
      <c r="G157" s="2539"/>
      <c r="H157" s="2539"/>
    </row>
    <row r="158" spans="1:15" s="2532" customFormat="1" ht="12.75">
      <c r="A158" s="2538"/>
      <c r="B158" s="2538"/>
      <c r="C158" s="2537"/>
      <c r="D158" s="2536"/>
      <c r="E158" s="2536"/>
      <c r="F158" s="2536"/>
      <c r="G158" s="2536"/>
      <c r="H158" s="2536"/>
    </row>
    <row r="159" spans="1:15" s="2532" customFormat="1" ht="12.75">
      <c r="A159" s="2538"/>
      <c r="B159" s="2538"/>
      <c r="C159" s="2537"/>
      <c r="D159" s="2536"/>
      <c r="E159" s="2536"/>
      <c r="F159" s="2536"/>
      <c r="G159" s="2536"/>
      <c r="H159" s="2536"/>
    </row>
    <row r="160" spans="1:15" s="2532" customFormat="1">
      <c r="A160" s="1269"/>
      <c r="B160" s="2529"/>
      <c r="C160" s="2535"/>
      <c r="D160" s="2529"/>
      <c r="E160" s="4877"/>
      <c r="F160" s="4877"/>
      <c r="G160" s="1269"/>
      <c r="H160" s="2529"/>
    </row>
    <row r="161" spans="1:15" s="2532" customFormat="1">
      <c r="A161" s="2529"/>
      <c r="B161" s="1269"/>
      <c r="C161" s="2535"/>
      <c r="D161" s="1269"/>
      <c r="E161" s="1269"/>
      <c r="F161" s="1269"/>
      <c r="G161" s="1269"/>
      <c r="H161" s="2529"/>
    </row>
    <row r="162" spans="1:15" s="2532" customFormat="1" ht="12.75">
      <c r="A162" s="2534"/>
      <c r="B162" s="1269"/>
      <c r="C162" s="4881"/>
      <c r="D162" s="4881"/>
      <c r="E162" s="4876"/>
      <c r="F162" s="4876"/>
      <c r="G162" s="4876"/>
      <c r="H162" s="4876"/>
    </row>
    <row r="163" spans="1:15" s="2532" customFormat="1" ht="12.75">
      <c r="A163" s="2531"/>
      <c r="B163" s="2533"/>
      <c r="C163" s="4874"/>
      <c r="D163" s="4874"/>
      <c r="E163" s="4875"/>
      <c r="F163" s="4875"/>
      <c r="G163" s="4875"/>
      <c r="H163" s="4875"/>
    </row>
    <row r="164" spans="1:15" s="2463" customFormat="1" ht="12.75">
      <c r="A164" s="2531"/>
      <c r="B164" s="2533"/>
      <c r="C164" s="2531"/>
      <c r="D164" s="2566"/>
      <c r="E164" s="2566"/>
      <c r="F164" s="2566"/>
      <c r="G164" s="2566"/>
      <c r="H164" s="2566"/>
      <c r="I164" s="2579"/>
      <c r="J164" s="2579"/>
      <c r="K164" s="2579"/>
      <c r="L164" s="2579"/>
      <c r="M164" s="2579"/>
      <c r="N164" s="2579"/>
      <c r="O164" s="2579"/>
    </row>
    <row r="165" spans="1:15" s="2463" customFormat="1" ht="12.75">
      <c r="A165" s="2531"/>
      <c r="B165" s="2533"/>
      <c r="C165" s="2531"/>
      <c r="D165" s="2566"/>
      <c r="E165" s="2566"/>
      <c r="F165" s="2566"/>
      <c r="G165" s="2566"/>
      <c r="H165" s="2566"/>
      <c r="I165" s="2579"/>
      <c r="J165" s="2579"/>
      <c r="K165" s="2579"/>
      <c r="L165" s="2579"/>
      <c r="M165" s="2579"/>
      <c r="N165" s="2579"/>
      <c r="O165" s="2579"/>
    </row>
    <row r="166" spans="1:15" s="2463" customFormat="1" ht="12.75">
      <c r="A166" s="2531"/>
      <c r="B166" s="2533"/>
      <c r="C166" s="2531"/>
      <c r="D166" s="2566"/>
      <c r="E166" s="2566"/>
      <c r="F166" s="2566"/>
      <c r="G166" s="2566"/>
      <c r="H166" s="2566"/>
      <c r="I166" s="2579"/>
      <c r="J166" s="2579"/>
      <c r="K166" s="2579"/>
      <c r="L166" s="2579"/>
      <c r="M166" s="2579"/>
      <c r="N166" s="2579"/>
      <c r="O166" s="2579"/>
    </row>
    <row r="167" spans="1:15" s="2463" customFormat="1" ht="12.75">
      <c r="A167" s="2531"/>
      <c r="B167" s="2533"/>
      <c r="C167" s="2531"/>
      <c r="D167" s="2566"/>
      <c r="E167" s="2566"/>
      <c r="F167" s="2566"/>
      <c r="G167" s="2566"/>
      <c r="H167" s="2566"/>
      <c r="I167" s="2579"/>
      <c r="J167" s="2579"/>
      <c r="K167" s="2579"/>
      <c r="L167" s="2579"/>
      <c r="M167" s="2579"/>
      <c r="N167" s="2579"/>
      <c r="O167" s="2579"/>
    </row>
    <row r="168" spans="1:15" s="2463" customFormat="1" ht="12.75">
      <c r="A168" s="2531"/>
      <c r="B168" s="2533"/>
      <c r="C168" s="2531"/>
      <c r="D168" s="2566"/>
      <c r="E168" s="2566"/>
      <c r="F168" s="2566"/>
      <c r="G168" s="2566"/>
      <c r="H168" s="2566"/>
      <c r="I168" s="2579"/>
      <c r="J168" s="2579"/>
      <c r="K168" s="2579"/>
      <c r="L168" s="2579"/>
      <c r="M168" s="2579"/>
      <c r="N168" s="2579"/>
      <c r="O168" s="2579"/>
    </row>
    <row r="169" spans="1:15" s="2463" customFormat="1" ht="12.75">
      <c r="A169" s="2531"/>
      <c r="B169" s="2533"/>
      <c r="C169" s="2531"/>
      <c r="D169" s="2566"/>
      <c r="E169" s="2566"/>
      <c r="F169" s="2566"/>
      <c r="G169" s="2566"/>
      <c r="H169" s="2566"/>
      <c r="I169" s="2579"/>
      <c r="J169" s="2579"/>
      <c r="K169" s="2579"/>
      <c r="L169" s="2579"/>
      <c r="M169" s="2579"/>
      <c r="N169" s="2579"/>
      <c r="O169" s="2579"/>
    </row>
    <row r="170" spans="1:15" s="2463" customFormat="1" ht="12.75">
      <c r="A170" s="2531"/>
      <c r="B170" s="2533"/>
      <c r="C170" s="2531"/>
      <c r="D170" s="2566"/>
      <c r="E170" s="2566"/>
      <c r="F170" s="2566"/>
      <c r="G170" s="2566"/>
      <c r="H170" s="2566"/>
      <c r="I170" s="2579"/>
      <c r="J170" s="2579"/>
      <c r="K170" s="2579"/>
      <c r="L170" s="2579"/>
      <c r="M170" s="2579"/>
      <c r="N170" s="2579"/>
      <c r="O170" s="2579"/>
    </row>
    <row r="171" spans="1:15" s="2463" customFormat="1" ht="12.75">
      <c r="A171" s="2531"/>
      <c r="B171" s="2533"/>
      <c r="C171" s="2531"/>
      <c r="D171" s="2566"/>
      <c r="E171" s="2566"/>
      <c r="F171" s="2566"/>
      <c r="G171" s="2566"/>
      <c r="H171" s="2566"/>
      <c r="I171" s="2579"/>
      <c r="J171" s="2579"/>
      <c r="K171" s="2579"/>
      <c r="L171" s="2579"/>
      <c r="M171" s="2579"/>
      <c r="N171" s="2579"/>
      <c r="O171" s="2579"/>
    </row>
    <row r="172" spans="1:15" s="2463" customFormat="1" ht="12.75">
      <c r="A172" s="2531"/>
      <c r="B172" s="2533"/>
      <c r="C172" s="2531"/>
      <c r="D172" s="2566"/>
      <c r="E172" s="2566"/>
      <c r="F172" s="2566"/>
      <c r="G172" s="2566"/>
      <c r="H172" s="2566"/>
      <c r="I172" s="2579"/>
      <c r="J172" s="2579"/>
      <c r="K172" s="2579"/>
      <c r="L172" s="2579"/>
      <c r="M172" s="2579"/>
      <c r="N172" s="2579"/>
      <c r="O172" s="2579"/>
    </row>
    <row r="173" spans="1:15" s="2463" customFormat="1" ht="12.75">
      <c r="A173" s="2531"/>
      <c r="B173" s="2533"/>
      <c r="C173" s="2531"/>
      <c r="D173" s="2566"/>
      <c r="E173" s="2566"/>
      <c r="F173" s="2566"/>
      <c r="G173" s="2566"/>
      <c r="H173" s="2566"/>
      <c r="I173" s="2579"/>
      <c r="J173" s="2579"/>
      <c r="K173" s="2579"/>
      <c r="L173" s="2579"/>
      <c r="M173" s="2579"/>
      <c r="N173" s="2579"/>
      <c r="O173" s="2579"/>
    </row>
    <row r="174" spans="1:15" s="2463" customFormat="1" ht="12.75">
      <c r="A174" s="2531"/>
      <c r="B174" s="2533"/>
      <c r="C174" s="2531"/>
      <c r="D174" s="2566"/>
      <c r="E174" s="2566"/>
      <c r="F174" s="2566"/>
      <c r="G174" s="2566"/>
      <c r="H174" s="2566"/>
      <c r="I174" s="2579"/>
      <c r="J174" s="2579"/>
      <c r="K174" s="2579"/>
      <c r="L174" s="2579"/>
      <c r="M174" s="2579"/>
      <c r="N174" s="2579"/>
      <c r="O174" s="2579"/>
    </row>
    <row r="175" spans="1:15" s="2463" customFormat="1" ht="12.75">
      <c r="A175" s="2531"/>
      <c r="B175" s="2533"/>
      <c r="C175" s="2531"/>
      <c r="D175" s="2566"/>
      <c r="E175" s="2566"/>
      <c r="F175" s="2566"/>
      <c r="G175" s="2566"/>
      <c r="H175" s="2566"/>
      <c r="I175" s="2579"/>
      <c r="J175" s="2579"/>
      <c r="K175" s="2579"/>
      <c r="L175" s="2579"/>
      <c r="M175" s="2579"/>
      <c r="N175" s="2579"/>
      <c r="O175" s="2579"/>
    </row>
    <row r="176" spans="1:15" s="2463" customFormat="1" ht="12.75">
      <c r="A176" s="2531"/>
      <c r="B176" s="2533"/>
      <c r="C176" s="2531"/>
      <c r="D176" s="2566"/>
      <c r="E176" s="2566"/>
      <c r="F176" s="2566"/>
      <c r="G176" s="2566"/>
      <c r="H176" s="2566"/>
      <c r="I176" s="2579"/>
      <c r="J176" s="2579"/>
      <c r="K176" s="2579"/>
      <c r="L176" s="2579"/>
      <c r="M176" s="2579"/>
      <c r="N176" s="2579"/>
      <c r="O176" s="2579"/>
    </row>
    <row r="177" spans="1:15" s="2463" customFormat="1">
      <c r="A177" s="2529"/>
      <c r="B177" s="2529"/>
      <c r="C177" s="2529"/>
      <c r="D177" s="2529"/>
      <c r="E177" s="2529"/>
      <c r="F177" s="2529"/>
      <c r="G177" s="2529"/>
      <c r="H177" s="2529"/>
      <c r="I177" s="2579"/>
      <c r="J177" s="2579"/>
      <c r="K177" s="2579"/>
      <c r="L177" s="2579"/>
      <c r="M177" s="2579"/>
      <c r="N177" s="2579"/>
      <c r="O177" s="2579"/>
    </row>
    <row r="178" spans="1:15" s="2463" customFormat="1" ht="12.75">
      <c r="A178" s="4876"/>
      <c r="B178" s="4876"/>
      <c r="C178" s="4876"/>
      <c r="D178" s="4876"/>
      <c r="E178" s="4876"/>
      <c r="F178" s="4876"/>
      <c r="G178" s="4876"/>
      <c r="H178" s="4876"/>
      <c r="I178" s="2579"/>
      <c r="J178" s="2579"/>
      <c r="K178" s="2579"/>
      <c r="L178" s="2579"/>
      <c r="M178" s="2579"/>
      <c r="N178" s="2579"/>
      <c r="O178" s="2579"/>
    </row>
    <row r="179" spans="1:15" s="2463" customFormat="1" ht="12.75">
      <c r="A179" s="4877"/>
      <c r="B179" s="4877"/>
      <c r="C179" s="4877"/>
      <c r="D179" s="4877"/>
      <c r="E179" s="4877"/>
      <c r="F179" s="4877"/>
      <c r="G179" s="4877"/>
      <c r="H179" s="4877"/>
      <c r="I179" s="2579"/>
      <c r="J179" s="2579"/>
      <c r="K179" s="2579"/>
      <c r="L179" s="2579"/>
      <c r="M179" s="2579"/>
      <c r="N179" s="2579"/>
      <c r="O179" s="2579"/>
    </row>
    <row r="180" spans="1:15" s="2463" customFormat="1">
      <c r="A180" s="2529"/>
      <c r="B180" s="2529"/>
      <c r="C180" s="2529"/>
      <c r="D180" s="2529"/>
      <c r="E180" s="2529"/>
      <c r="F180" s="2529"/>
      <c r="G180" s="2529"/>
      <c r="H180" s="2529"/>
      <c r="I180" s="2579"/>
      <c r="J180" s="2579"/>
      <c r="K180" s="2579"/>
      <c r="L180" s="2579"/>
      <c r="M180" s="2579"/>
      <c r="N180" s="2579"/>
      <c r="O180" s="2579"/>
    </row>
    <row r="181" spans="1:15" s="2463" customFormat="1">
      <c r="A181" s="2529"/>
      <c r="B181" s="2529"/>
      <c r="C181" s="2529"/>
      <c r="D181" s="2529"/>
      <c r="E181" s="2529"/>
      <c r="F181" s="2529"/>
      <c r="G181" s="2529"/>
      <c r="H181" s="2529"/>
      <c r="I181" s="2579"/>
      <c r="J181" s="2579"/>
      <c r="K181" s="2579"/>
      <c r="L181" s="2579"/>
      <c r="M181" s="2579"/>
      <c r="N181" s="2579"/>
      <c r="O181" s="2579"/>
    </row>
    <row r="182" spans="1:15" s="2463" customFormat="1">
      <c r="A182" s="2568"/>
      <c r="B182" s="2567"/>
      <c r="C182" s="2529"/>
      <c r="D182" s="2566"/>
      <c r="E182" s="2566"/>
      <c r="F182" s="2566"/>
      <c r="G182" s="2566"/>
      <c r="H182" s="2566"/>
      <c r="I182" s="2579"/>
      <c r="J182" s="2579"/>
      <c r="K182" s="2579"/>
      <c r="L182" s="2579"/>
      <c r="M182" s="2579"/>
      <c r="N182" s="2579"/>
      <c r="O182" s="2579"/>
    </row>
    <row r="183" spans="1:15" s="2463" customFormat="1" ht="12.75">
      <c r="A183" s="1269"/>
      <c r="B183" s="1269"/>
      <c r="C183" s="2542"/>
      <c r="D183" s="2541"/>
      <c r="E183" s="2561"/>
      <c r="F183" s="2540"/>
      <c r="G183" s="2565"/>
      <c r="H183" s="2561"/>
      <c r="I183" s="2579"/>
      <c r="J183" s="2579"/>
      <c r="K183" s="2579"/>
      <c r="L183" s="2579"/>
      <c r="M183" s="2579"/>
      <c r="N183" s="2579"/>
      <c r="O183" s="2579"/>
    </row>
    <row r="184" spans="1:15" s="2463" customFormat="1" ht="23.25">
      <c r="A184" s="2564"/>
      <c r="B184" s="2564"/>
      <c r="C184" s="2563"/>
      <c r="D184" s="2541"/>
      <c r="E184" s="2561"/>
      <c r="F184" s="2540"/>
      <c r="G184" s="2562"/>
      <c r="H184" s="2561"/>
      <c r="I184" s="2579"/>
      <c r="J184" s="2579"/>
      <c r="K184" s="2579"/>
      <c r="L184" s="2579"/>
      <c r="M184" s="2579"/>
      <c r="N184" s="2579"/>
      <c r="O184" s="2579"/>
    </row>
    <row r="185" spans="1:15" s="2463" customFormat="1" ht="12.75">
      <c r="A185" s="4879"/>
      <c r="B185" s="4879"/>
      <c r="C185" s="2559"/>
      <c r="D185" s="2560"/>
      <c r="E185" s="4880"/>
      <c r="F185" s="4880"/>
      <c r="G185" s="4880"/>
      <c r="H185" s="2557"/>
      <c r="I185" s="2579"/>
      <c r="J185" s="2579"/>
      <c r="K185" s="2579"/>
      <c r="L185" s="2579"/>
      <c r="M185" s="2579"/>
      <c r="N185" s="2579"/>
      <c r="O185" s="2579"/>
    </row>
    <row r="186" spans="1:15" s="2463" customFormat="1" ht="12.75">
      <c r="A186" s="4879"/>
      <c r="B186" s="4879"/>
      <c r="C186" s="2559"/>
      <c r="D186" s="2558"/>
      <c r="E186" s="2558"/>
      <c r="F186" s="2558"/>
      <c r="G186" s="2558"/>
      <c r="H186" s="2558"/>
      <c r="I186" s="2579"/>
      <c r="J186" s="2579"/>
      <c r="K186" s="2579"/>
      <c r="L186" s="2579"/>
      <c r="M186" s="2579"/>
      <c r="N186" s="2579"/>
      <c r="O186" s="2579"/>
    </row>
    <row r="187" spans="1:15" s="2463" customFormat="1" ht="12.75">
      <c r="A187" s="4879"/>
      <c r="B187" s="4879"/>
      <c r="C187" s="2557"/>
      <c r="D187" s="2555"/>
      <c r="E187" s="2555"/>
      <c r="F187" s="2555"/>
      <c r="G187" s="2556"/>
      <c r="H187" s="2555"/>
      <c r="I187" s="2579"/>
      <c r="J187" s="2579"/>
      <c r="K187" s="2579"/>
      <c r="L187" s="2579"/>
      <c r="M187" s="2579"/>
      <c r="N187" s="2579"/>
      <c r="O187" s="2579"/>
    </row>
    <row r="188" spans="1:15" s="2463" customFormat="1" ht="12.75">
      <c r="A188" s="2554"/>
      <c r="B188" s="2553"/>
      <c r="C188" s="2552"/>
      <c r="D188" s="2551"/>
      <c r="E188" s="2551"/>
      <c r="F188" s="2551"/>
      <c r="G188" s="2551"/>
      <c r="H188" s="2551"/>
      <c r="I188" s="2579"/>
      <c r="J188" s="2579"/>
      <c r="K188" s="2579"/>
      <c r="L188" s="2579"/>
      <c r="M188" s="2579"/>
      <c r="N188" s="2579"/>
      <c r="O188" s="2579"/>
    </row>
    <row r="189" spans="1:15" s="2463" customFormat="1" ht="12.75">
      <c r="A189" s="2549"/>
      <c r="B189" s="2549"/>
      <c r="C189" s="2545"/>
      <c r="D189" s="2548"/>
      <c r="E189" s="2548"/>
      <c r="F189" s="2540"/>
      <c r="G189" s="2548"/>
      <c r="H189" s="2548"/>
      <c r="I189" s="2579"/>
      <c r="J189" s="2579"/>
      <c r="K189" s="2579"/>
      <c r="L189" s="2579"/>
      <c r="M189" s="2579"/>
      <c r="N189" s="2579"/>
      <c r="O189" s="2579"/>
    </row>
    <row r="190" spans="1:15" s="2463" customFormat="1" ht="12.75">
      <c r="A190" s="2549"/>
      <c r="B190" s="2549"/>
      <c r="C190" s="2545"/>
      <c r="D190" s="2548"/>
      <c r="E190" s="2548"/>
      <c r="F190" s="2540"/>
      <c r="G190" s="2548"/>
      <c r="H190" s="2548"/>
      <c r="I190" s="2579"/>
      <c r="J190" s="2579"/>
      <c r="K190" s="2579"/>
      <c r="L190" s="2579"/>
      <c r="M190" s="2579"/>
      <c r="N190" s="2579"/>
      <c r="O190" s="2579"/>
    </row>
    <row r="191" spans="1:15" s="2463" customFormat="1" ht="12.75">
      <c r="A191" s="2546"/>
      <c r="B191" s="1269"/>
      <c r="C191" s="2545"/>
      <c r="D191" s="2541"/>
      <c r="E191" s="2544"/>
      <c r="F191" s="2540"/>
      <c r="G191" s="2544"/>
      <c r="H191" s="2544"/>
      <c r="I191" s="2579"/>
      <c r="J191" s="2579"/>
      <c r="K191" s="2579"/>
      <c r="L191" s="2579"/>
      <c r="M191" s="2579"/>
      <c r="N191" s="2579"/>
      <c r="O191" s="2579"/>
    </row>
    <row r="192" spans="1:15" s="2463" customFormat="1" ht="12.75">
      <c r="A192" s="2549"/>
      <c r="B192" s="2549"/>
      <c r="C192" s="2545"/>
      <c r="D192" s="2541"/>
      <c r="E192" s="2544"/>
      <c r="F192" s="2540"/>
      <c r="G192" s="2544"/>
      <c r="H192" s="2544"/>
      <c r="I192" s="2579"/>
      <c r="J192" s="2579"/>
      <c r="K192" s="2579"/>
      <c r="L192" s="2579"/>
      <c r="M192" s="2579"/>
      <c r="N192" s="2579"/>
      <c r="O192" s="2579"/>
    </row>
    <row r="193" spans="1:15" s="2463" customFormat="1" ht="12.75">
      <c r="A193" s="2546"/>
      <c r="B193" s="1269"/>
      <c r="C193" s="2542"/>
      <c r="D193" s="2541"/>
      <c r="E193" s="2544"/>
      <c r="F193" s="2540"/>
      <c r="G193" s="2544"/>
      <c r="H193" s="2544"/>
      <c r="I193" s="2579"/>
      <c r="J193" s="2579"/>
      <c r="K193" s="2579"/>
      <c r="L193" s="2579"/>
      <c r="M193" s="2579"/>
      <c r="N193" s="2579"/>
      <c r="O193" s="2579"/>
    </row>
    <row r="194" spans="1:15" s="2463" customFormat="1" ht="12.75">
      <c r="A194" s="2549"/>
      <c r="B194" s="2549"/>
      <c r="C194" s="2542"/>
      <c r="D194" s="2541"/>
      <c r="E194" s="2544"/>
      <c r="F194" s="2540"/>
      <c r="G194" s="2544"/>
      <c r="H194" s="2544"/>
      <c r="I194" s="2579"/>
      <c r="J194" s="2579"/>
      <c r="K194" s="2579"/>
      <c r="L194" s="2579"/>
      <c r="M194" s="2579"/>
      <c r="N194" s="2579"/>
      <c r="O194" s="2579"/>
    </row>
    <row r="195" spans="1:15" s="2463" customFormat="1" ht="12.75">
      <c r="A195" s="2547"/>
      <c r="B195" s="2546"/>
      <c r="C195" s="2545"/>
      <c r="D195" s="2541"/>
      <c r="E195" s="2544"/>
      <c r="F195" s="2540"/>
      <c r="G195" s="2544"/>
      <c r="H195" s="2544"/>
      <c r="I195" s="2579"/>
      <c r="J195" s="2579"/>
      <c r="K195" s="2579"/>
      <c r="L195" s="2579"/>
      <c r="M195" s="2579"/>
      <c r="N195" s="2579"/>
      <c r="O195" s="2579"/>
    </row>
    <row r="196" spans="1:15" s="2463" customFormat="1" ht="12.75">
      <c r="A196" s="2543"/>
      <c r="B196" s="2543"/>
      <c r="C196" s="2542"/>
      <c r="D196" s="2541"/>
      <c r="E196" s="2539"/>
      <c r="F196" s="2540"/>
      <c r="G196" s="2539"/>
      <c r="H196" s="2539"/>
      <c r="I196" s="2579"/>
      <c r="J196" s="2579"/>
      <c r="K196" s="2579"/>
      <c r="L196" s="2579"/>
      <c r="M196" s="2579"/>
      <c r="N196" s="2579"/>
      <c r="O196" s="2579"/>
    </row>
    <row r="197" spans="1:15" s="2463" customFormat="1" ht="12.75">
      <c r="A197" s="2538"/>
      <c r="B197" s="2538"/>
      <c r="C197" s="2537"/>
      <c r="D197" s="2536"/>
      <c r="E197" s="2536"/>
      <c r="F197" s="2536"/>
      <c r="G197" s="2536"/>
      <c r="H197" s="2536"/>
      <c r="I197" s="2579"/>
      <c r="J197" s="2579"/>
      <c r="K197" s="2579"/>
      <c r="L197" s="2579"/>
      <c r="M197" s="2579"/>
      <c r="N197" s="2579"/>
      <c r="O197" s="2579"/>
    </row>
    <row r="198" spans="1:15" s="2463" customFormat="1" ht="12.75">
      <c r="A198" s="2538"/>
      <c r="B198" s="2538"/>
      <c r="C198" s="2537"/>
      <c r="D198" s="2536"/>
      <c r="E198" s="2536"/>
      <c r="F198" s="2536"/>
      <c r="G198" s="2536"/>
      <c r="H198" s="2536"/>
      <c r="I198" s="2579"/>
      <c r="J198" s="2579"/>
      <c r="K198" s="2579"/>
      <c r="L198" s="2579"/>
      <c r="M198" s="2579"/>
      <c r="N198" s="2579"/>
      <c r="O198" s="2579"/>
    </row>
    <row r="199" spans="1:15" s="2463" customFormat="1">
      <c r="A199" s="1269"/>
      <c r="B199" s="2529"/>
      <c r="C199" s="2535"/>
      <c r="D199" s="2529"/>
      <c r="E199" s="4877"/>
      <c r="F199" s="4877"/>
      <c r="G199" s="1269"/>
      <c r="H199" s="2529"/>
      <c r="I199" s="2579"/>
      <c r="J199" s="2579"/>
      <c r="K199" s="2579"/>
      <c r="L199" s="2579"/>
      <c r="M199" s="2579"/>
      <c r="N199" s="2579"/>
      <c r="O199" s="2579"/>
    </row>
    <row r="200" spans="1:15" s="2463" customFormat="1">
      <c r="A200" s="2529"/>
      <c r="B200" s="1269"/>
      <c r="C200" s="2535"/>
      <c r="D200" s="1269"/>
      <c r="E200" s="1269"/>
      <c r="F200" s="1269"/>
      <c r="G200" s="1269"/>
      <c r="H200" s="2529"/>
      <c r="I200" s="2579"/>
      <c r="J200" s="2579"/>
      <c r="K200" s="2579"/>
      <c r="L200" s="2579"/>
      <c r="M200" s="2579"/>
      <c r="N200" s="2579"/>
      <c r="O200" s="2579"/>
    </row>
    <row r="201" spans="1:15" s="2463" customFormat="1" ht="12.75">
      <c r="A201" s="2534"/>
      <c r="B201" s="1269"/>
      <c r="C201" s="4881"/>
      <c r="D201" s="4881"/>
      <c r="E201" s="4876"/>
      <c r="F201" s="4876"/>
      <c r="G201" s="4876"/>
      <c r="H201" s="4876"/>
      <c r="I201" s="2579"/>
      <c r="J201" s="2579"/>
      <c r="K201" s="2579"/>
      <c r="L201" s="2579"/>
      <c r="M201" s="2579"/>
      <c r="N201" s="2579"/>
      <c r="O201" s="2579"/>
    </row>
    <row r="202" spans="1:15" s="2463" customFormat="1" ht="12.75">
      <c r="A202" s="2531"/>
      <c r="B202" s="2533"/>
      <c r="C202" s="4874"/>
      <c r="D202" s="4874"/>
      <c r="E202" s="4875"/>
      <c r="F202" s="4875"/>
      <c r="G202" s="4875"/>
      <c r="H202" s="4875"/>
      <c r="I202" s="2579"/>
      <c r="J202" s="2579"/>
      <c r="K202" s="2579"/>
      <c r="L202" s="2579"/>
      <c r="M202" s="2579"/>
      <c r="N202" s="2579"/>
      <c r="O202" s="2579"/>
    </row>
    <row r="203" spans="1:15" s="2463" customFormat="1" ht="12.75">
      <c r="A203" s="2531"/>
      <c r="B203" s="2533"/>
      <c r="C203" s="2531"/>
      <c r="D203" s="2566"/>
      <c r="E203" s="2566"/>
      <c r="F203" s="2566"/>
      <c r="G203" s="2566"/>
      <c r="H203" s="2566"/>
      <c r="I203" s="2579"/>
      <c r="J203" s="2579"/>
      <c r="K203" s="2579"/>
      <c r="L203" s="2579"/>
      <c r="M203" s="2579"/>
      <c r="N203" s="2579"/>
      <c r="O203" s="2579"/>
    </row>
    <row r="204" spans="1:15" s="2463" customFormat="1" ht="12.75">
      <c r="A204" s="2531"/>
      <c r="B204" s="2533"/>
      <c r="C204" s="2531"/>
      <c r="D204" s="2566"/>
      <c r="E204" s="2566"/>
      <c r="F204" s="2566"/>
      <c r="G204" s="2566"/>
      <c r="H204" s="2566"/>
      <c r="I204" s="2579"/>
      <c r="J204" s="2579"/>
      <c r="K204" s="2579"/>
      <c r="L204" s="2579"/>
      <c r="M204" s="2579"/>
      <c r="N204" s="2579"/>
      <c r="O204" s="2579"/>
    </row>
    <row r="205" spans="1:15">
      <c r="A205" s="2531"/>
      <c r="B205" s="2533"/>
      <c r="C205" s="2531"/>
      <c r="D205" s="2566"/>
      <c r="E205" s="2566"/>
      <c r="F205" s="2566"/>
      <c r="G205" s="2566"/>
      <c r="H205" s="2566"/>
    </row>
    <row r="206" spans="1:15">
      <c r="A206" s="2531"/>
      <c r="B206" s="2533"/>
      <c r="C206" s="2531"/>
      <c r="D206" s="2566"/>
      <c r="E206" s="2566"/>
      <c r="F206" s="2566"/>
      <c r="G206" s="2566"/>
      <c r="H206" s="2566"/>
    </row>
    <row r="207" spans="1:15">
      <c r="A207" s="2531"/>
      <c r="B207" s="2533"/>
      <c r="C207" s="2531"/>
      <c r="D207" s="2566"/>
      <c r="E207" s="2566"/>
      <c r="F207" s="2566"/>
      <c r="G207" s="2566"/>
      <c r="H207" s="2566"/>
    </row>
    <row r="208" spans="1:15" s="2463" customFormat="1" ht="12.75">
      <c r="A208" s="2531"/>
      <c r="B208" s="2533"/>
      <c r="C208" s="2531"/>
      <c r="D208" s="2566"/>
      <c r="E208" s="2566"/>
      <c r="F208" s="2566"/>
      <c r="G208" s="2566"/>
      <c r="H208" s="2566"/>
      <c r="I208" s="2579"/>
      <c r="J208" s="2579"/>
      <c r="K208" s="2579"/>
      <c r="L208" s="2579"/>
      <c r="M208" s="2579"/>
      <c r="N208" s="2579"/>
      <c r="O208" s="2579"/>
    </row>
    <row r="209" spans="1:15" s="2463" customFormat="1" ht="12.75">
      <c r="A209" s="2531"/>
      <c r="B209" s="2533"/>
      <c r="C209" s="2531"/>
      <c r="D209" s="2566"/>
      <c r="E209" s="2566"/>
      <c r="F209" s="2566"/>
      <c r="G209" s="2566"/>
      <c r="H209" s="2566"/>
      <c r="I209" s="2579"/>
      <c r="J209" s="2579"/>
      <c r="K209" s="2579"/>
      <c r="L209" s="2579"/>
      <c r="M209" s="2579"/>
      <c r="N209" s="2579"/>
      <c r="O209" s="2579"/>
    </row>
    <row r="210" spans="1:15" s="2463" customFormat="1" ht="12.75">
      <c r="A210" s="2531"/>
      <c r="B210" s="2533"/>
      <c r="C210" s="2531"/>
      <c r="D210" s="2566"/>
      <c r="E210" s="2566"/>
      <c r="F210" s="2566"/>
      <c r="G210" s="2566"/>
      <c r="H210" s="2566"/>
      <c r="I210" s="2579"/>
      <c r="J210" s="2579"/>
      <c r="K210" s="2579"/>
      <c r="L210" s="2579"/>
      <c r="M210" s="2579"/>
      <c r="N210" s="2579"/>
      <c r="O210" s="2579"/>
    </row>
    <row r="211" spans="1:15" s="2463" customFormat="1" ht="12.75">
      <c r="A211" s="2531"/>
      <c r="B211" s="2533"/>
      <c r="C211" s="2531"/>
      <c r="D211" s="2566"/>
      <c r="E211" s="2566"/>
      <c r="F211" s="2566"/>
      <c r="G211" s="2566"/>
      <c r="H211" s="2566"/>
      <c r="I211" s="2579"/>
      <c r="J211" s="2579"/>
      <c r="K211" s="2579"/>
      <c r="L211" s="2579"/>
      <c r="M211" s="2579"/>
      <c r="N211" s="2579"/>
      <c r="O211" s="2579"/>
    </row>
    <row r="212" spans="1:15" s="2463" customFormat="1" ht="12.75">
      <c r="A212" s="2531"/>
      <c r="B212" s="2533"/>
      <c r="C212" s="2531"/>
      <c r="D212" s="2566"/>
      <c r="E212" s="2566"/>
      <c r="F212" s="2566"/>
      <c r="G212" s="2566"/>
      <c r="H212" s="2566"/>
      <c r="I212" s="2579"/>
      <c r="J212" s="2579"/>
      <c r="K212" s="2579"/>
      <c r="L212" s="2579"/>
      <c r="M212" s="2579"/>
      <c r="N212" s="2579"/>
      <c r="O212" s="2579"/>
    </row>
    <row r="213" spans="1:15" s="2463" customFormat="1" ht="12.75">
      <c r="A213" s="2531"/>
      <c r="B213" s="2533"/>
      <c r="C213" s="2531"/>
      <c r="D213" s="2566"/>
      <c r="E213" s="2566"/>
      <c r="F213" s="2566"/>
      <c r="G213" s="2566"/>
      <c r="H213" s="2566"/>
      <c r="I213" s="2579"/>
      <c r="J213" s="2579"/>
      <c r="K213" s="2579"/>
      <c r="L213" s="2579"/>
      <c r="M213" s="2579"/>
      <c r="N213" s="2579"/>
      <c r="O213" s="2579"/>
    </row>
    <row r="214" spans="1:15" s="2463" customFormat="1" ht="12.75">
      <c r="A214" s="2531"/>
      <c r="B214" s="2533"/>
      <c r="C214" s="2531"/>
      <c r="D214" s="2566"/>
      <c r="E214" s="2566"/>
      <c r="F214" s="2566"/>
      <c r="G214" s="2566"/>
      <c r="H214" s="2566"/>
      <c r="I214" s="2579"/>
      <c r="J214" s="2579"/>
      <c r="K214" s="2579"/>
      <c r="L214" s="2579"/>
      <c r="M214" s="2579"/>
      <c r="N214" s="2579"/>
      <c r="O214" s="2579"/>
    </row>
    <row r="215" spans="1:15" s="2463" customFormat="1" ht="12.75">
      <c r="A215" s="2531"/>
      <c r="B215" s="2533"/>
      <c r="C215" s="2531"/>
      <c r="D215" s="2566"/>
      <c r="E215" s="2566"/>
      <c r="F215" s="2566"/>
      <c r="G215" s="2566"/>
      <c r="H215" s="2566"/>
      <c r="I215" s="2579"/>
      <c r="J215" s="2579"/>
      <c r="K215" s="2579"/>
      <c r="L215" s="2579"/>
      <c r="M215" s="2579"/>
      <c r="N215" s="2579"/>
      <c r="O215" s="2579"/>
    </row>
    <row r="216" spans="1:15" s="2463" customFormat="1" ht="12.75">
      <c r="A216" s="2531"/>
      <c r="B216" s="2533"/>
      <c r="C216" s="2531"/>
      <c r="D216" s="2566"/>
      <c r="E216" s="2566"/>
      <c r="F216" s="2566"/>
      <c r="G216" s="2566"/>
      <c r="H216" s="2566"/>
      <c r="I216" s="2579"/>
      <c r="J216" s="2579"/>
      <c r="K216" s="2579"/>
      <c r="L216" s="2579"/>
      <c r="M216" s="2579"/>
      <c r="N216" s="2579"/>
      <c r="O216" s="2579"/>
    </row>
    <row r="217" spans="1:15" s="2463" customFormat="1" ht="12.75">
      <c r="A217" s="2531"/>
      <c r="B217" s="2533"/>
      <c r="C217" s="2531"/>
      <c r="D217" s="2566"/>
      <c r="E217" s="2566"/>
      <c r="F217" s="2566"/>
      <c r="G217" s="2566"/>
      <c r="H217" s="2566"/>
      <c r="I217" s="2579"/>
      <c r="J217" s="2579"/>
      <c r="K217" s="2579"/>
      <c r="L217" s="2579"/>
      <c r="M217" s="2579"/>
      <c r="N217" s="2579"/>
      <c r="O217" s="2579"/>
    </row>
    <row r="218" spans="1:15" s="2463" customFormat="1" ht="12.75">
      <c r="A218" s="2531"/>
      <c r="B218" s="2533"/>
      <c r="C218" s="2531"/>
      <c r="D218" s="2566"/>
      <c r="E218" s="2566"/>
      <c r="F218" s="2566"/>
      <c r="G218" s="2566"/>
      <c r="H218" s="2566"/>
      <c r="I218" s="2579"/>
      <c r="J218" s="2579"/>
      <c r="K218" s="2579"/>
      <c r="L218" s="2579"/>
      <c r="M218" s="2579"/>
      <c r="N218" s="2579"/>
      <c r="O218" s="2579"/>
    </row>
    <row r="219" spans="1:15" s="2463" customFormat="1" ht="12.75">
      <c r="A219" s="2531"/>
      <c r="B219" s="2533"/>
      <c r="C219" s="2531"/>
      <c r="D219" s="2566"/>
      <c r="E219" s="2566"/>
      <c r="F219" s="2566"/>
      <c r="G219" s="2566"/>
      <c r="H219" s="2566"/>
      <c r="I219" s="2579"/>
      <c r="J219" s="2579"/>
      <c r="K219" s="2579"/>
      <c r="L219" s="2579"/>
      <c r="M219" s="2579"/>
      <c r="N219" s="2579"/>
      <c r="O219" s="2579"/>
    </row>
    <row r="220" spans="1:15" s="2463" customFormat="1" ht="12.75">
      <c r="A220" s="4876"/>
      <c r="B220" s="4876"/>
      <c r="C220" s="4876"/>
      <c r="D220" s="4876"/>
      <c r="E220" s="4876"/>
      <c r="F220" s="4876"/>
      <c r="G220" s="4876"/>
      <c r="H220" s="4876"/>
      <c r="I220" s="2579"/>
      <c r="J220" s="2579"/>
      <c r="K220" s="2579"/>
      <c r="L220" s="2579"/>
      <c r="M220" s="2579"/>
      <c r="N220" s="2579"/>
      <c r="O220" s="2579"/>
    </row>
    <row r="221" spans="1:15" s="2463" customFormat="1" ht="12.75">
      <c r="A221" s="4877"/>
      <c r="B221" s="4877"/>
      <c r="C221" s="4877"/>
      <c r="D221" s="4877"/>
      <c r="E221" s="4877"/>
      <c r="F221" s="4877"/>
      <c r="G221" s="4877"/>
      <c r="H221" s="4877"/>
      <c r="I221" s="2579"/>
      <c r="J221" s="2579"/>
      <c r="K221" s="2579"/>
      <c r="L221" s="2579"/>
      <c r="M221" s="2579"/>
      <c r="N221" s="2579"/>
      <c r="O221" s="2579"/>
    </row>
    <row r="222" spans="1:15" s="2463" customFormat="1">
      <c r="A222" s="2529"/>
      <c r="B222" s="2529"/>
      <c r="C222" s="2529"/>
      <c r="D222" s="2529"/>
      <c r="E222" s="2529"/>
      <c r="F222" s="2529"/>
      <c r="G222" s="2529"/>
      <c r="H222" s="2529"/>
      <c r="I222" s="2579"/>
      <c r="J222" s="2579"/>
      <c r="K222" s="2579"/>
      <c r="L222" s="2579"/>
      <c r="M222" s="2579"/>
      <c r="N222" s="2579"/>
      <c r="O222" s="2579"/>
    </row>
    <row r="223" spans="1:15" s="2463" customFormat="1">
      <c r="A223" s="2529"/>
      <c r="B223" s="2529"/>
      <c r="C223" s="2529"/>
      <c r="D223" s="2529"/>
      <c r="E223" s="2529"/>
      <c r="F223" s="2529"/>
      <c r="G223" s="2529"/>
      <c r="H223" s="2529"/>
      <c r="I223" s="2579"/>
      <c r="J223" s="2579"/>
      <c r="K223" s="2579"/>
      <c r="L223" s="2579"/>
      <c r="M223" s="2579"/>
      <c r="N223" s="2579"/>
      <c r="O223" s="2579"/>
    </row>
    <row r="224" spans="1:15" s="2463" customFormat="1">
      <c r="A224" s="2568"/>
      <c r="B224" s="2567"/>
      <c r="C224" s="2529"/>
      <c r="D224" s="2566"/>
      <c r="E224" s="2566"/>
      <c r="F224" s="2566"/>
      <c r="G224" s="2566"/>
      <c r="H224" s="2566"/>
      <c r="I224" s="2579"/>
      <c r="J224" s="2579"/>
      <c r="K224" s="2579"/>
      <c r="L224" s="2579"/>
      <c r="M224" s="2579"/>
      <c r="N224" s="2579"/>
      <c r="O224" s="2579"/>
    </row>
    <row r="225" spans="1:15" s="2463" customFormat="1" ht="12.75">
      <c r="A225" s="1269"/>
      <c r="B225" s="1269"/>
      <c r="C225" s="2542"/>
      <c r="D225" s="2541"/>
      <c r="E225" s="2561"/>
      <c r="F225" s="2540"/>
      <c r="G225" s="2565"/>
      <c r="H225" s="2561"/>
      <c r="I225" s="2579"/>
      <c r="J225" s="2579"/>
      <c r="K225" s="2579"/>
      <c r="L225" s="2579"/>
      <c r="M225" s="2579"/>
      <c r="N225" s="2579"/>
      <c r="O225" s="2579"/>
    </row>
    <row r="226" spans="1:15" s="2463" customFormat="1" ht="23.25">
      <c r="A226" s="2564"/>
      <c r="B226" s="2564"/>
      <c r="C226" s="2563"/>
      <c r="D226" s="2541"/>
      <c r="E226" s="2561"/>
      <c r="F226" s="2540"/>
      <c r="G226" s="2562"/>
      <c r="H226" s="2561"/>
      <c r="I226" s="2579"/>
      <c r="J226" s="2579"/>
      <c r="K226" s="2579"/>
      <c r="L226" s="2579"/>
      <c r="M226" s="2579"/>
      <c r="N226" s="2579"/>
      <c r="O226" s="2579"/>
    </row>
    <row r="227" spans="1:15" s="2463" customFormat="1" ht="12.75">
      <c r="A227" s="4879"/>
      <c r="B227" s="4879"/>
      <c r="C227" s="2559"/>
      <c r="D227" s="2560"/>
      <c r="E227" s="4880"/>
      <c r="F227" s="4880"/>
      <c r="G227" s="4880"/>
      <c r="H227" s="2557"/>
      <c r="I227" s="2579"/>
      <c r="J227" s="2579"/>
      <c r="K227" s="2579"/>
      <c r="L227" s="2579"/>
      <c r="M227" s="2579"/>
      <c r="N227" s="2579"/>
      <c r="O227" s="2579"/>
    </row>
    <row r="228" spans="1:15" s="2463" customFormat="1" ht="12.75">
      <c r="A228" s="4879"/>
      <c r="B228" s="4879"/>
      <c r="C228" s="2559"/>
      <c r="D228" s="2558"/>
      <c r="E228" s="2558"/>
      <c r="F228" s="2558"/>
      <c r="G228" s="2558"/>
      <c r="H228" s="2558"/>
      <c r="I228" s="2579"/>
      <c r="J228" s="2579"/>
      <c r="K228" s="2579"/>
      <c r="L228" s="2579"/>
      <c r="M228" s="2579"/>
      <c r="N228" s="2579"/>
      <c r="O228" s="2579"/>
    </row>
    <row r="229" spans="1:15" s="2463" customFormat="1" ht="12.75">
      <c r="A229" s="4879"/>
      <c r="B229" s="4879"/>
      <c r="C229" s="2557"/>
      <c r="D229" s="2555"/>
      <c r="E229" s="2555"/>
      <c r="F229" s="2555"/>
      <c r="G229" s="2556"/>
      <c r="H229" s="2555"/>
      <c r="I229" s="2579"/>
      <c r="J229" s="2579"/>
      <c r="K229" s="2579"/>
      <c r="L229" s="2579"/>
      <c r="M229" s="2579"/>
      <c r="N229" s="2579"/>
      <c r="O229" s="2579"/>
    </row>
    <row r="230" spans="1:15" s="2463" customFormat="1" ht="12.75">
      <c r="A230" s="2554"/>
      <c r="B230" s="2553"/>
      <c r="C230" s="2552"/>
      <c r="D230" s="2551"/>
      <c r="E230" s="2551"/>
      <c r="F230" s="2551"/>
      <c r="G230" s="2551"/>
      <c r="H230" s="2551"/>
      <c r="I230" s="2579"/>
      <c r="J230" s="2579"/>
      <c r="K230" s="2579"/>
      <c r="L230" s="2579"/>
      <c r="M230" s="2579"/>
      <c r="N230" s="2579"/>
      <c r="O230" s="2579"/>
    </row>
    <row r="231" spans="1:15" s="2463" customFormat="1" ht="12.75">
      <c r="A231" s="2549"/>
      <c r="B231" s="2549"/>
      <c r="C231" s="2545"/>
      <c r="D231" s="2548"/>
      <c r="E231" s="2548"/>
      <c r="F231" s="2540"/>
      <c r="G231" s="2548"/>
      <c r="H231" s="2548"/>
      <c r="I231" s="2579"/>
      <c r="J231" s="2579"/>
      <c r="K231" s="2579"/>
      <c r="L231" s="2579"/>
      <c r="M231" s="2579"/>
      <c r="N231" s="2579"/>
      <c r="O231" s="2579"/>
    </row>
    <row r="232" spans="1:15" s="2463" customFormat="1" ht="12.75">
      <c r="A232" s="2549"/>
      <c r="B232" s="2549"/>
      <c r="C232" s="2545"/>
      <c r="D232" s="2548"/>
      <c r="E232" s="2548"/>
      <c r="F232" s="2540"/>
      <c r="G232" s="2548"/>
      <c r="H232" s="2548"/>
      <c r="I232" s="2579"/>
      <c r="J232" s="2579"/>
      <c r="K232" s="2579"/>
      <c r="L232" s="2579"/>
      <c r="M232" s="2579"/>
      <c r="N232" s="2579"/>
      <c r="O232" s="2579"/>
    </row>
    <row r="233" spans="1:15" s="2463" customFormat="1" ht="12.75">
      <c r="A233" s="2546"/>
      <c r="B233" s="1269"/>
      <c r="C233" s="2545"/>
      <c r="D233" s="2541"/>
      <c r="E233" s="2544"/>
      <c r="F233" s="2540"/>
      <c r="G233" s="2544"/>
      <c r="H233" s="2544"/>
      <c r="I233" s="2579"/>
      <c r="J233" s="2579"/>
      <c r="K233" s="2579"/>
      <c r="L233" s="2579"/>
      <c r="M233" s="2579"/>
      <c r="N233" s="2579"/>
      <c r="O233" s="2579"/>
    </row>
    <row r="234" spans="1:15" s="2463" customFormat="1" ht="12.75">
      <c r="A234" s="2549"/>
      <c r="B234" s="2549"/>
      <c r="C234" s="2545"/>
      <c r="D234" s="2541"/>
      <c r="E234" s="2544"/>
      <c r="F234" s="2540"/>
      <c r="G234" s="2544"/>
      <c r="H234" s="2544"/>
      <c r="I234" s="2579"/>
      <c r="J234" s="2579"/>
      <c r="K234" s="2579"/>
      <c r="L234" s="2579"/>
      <c r="M234" s="2579"/>
      <c r="N234" s="2579"/>
      <c r="O234" s="2579"/>
    </row>
    <row r="235" spans="1:15" s="2463" customFormat="1" ht="12.75">
      <c r="A235" s="2546"/>
      <c r="B235" s="1269"/>
      <c r="C235" s="2542"/>
      <c r="D235" s="2541"/>
      <c r="E235" s="2544"/>
      <c r="F235" s="2540"/>
      <c r="G235" s="2544"/>
      <c r="H235" s="2544"/>
      <c r="I235" s="2579"/>
      <c r="J235" s="2579"/>
      <c r="K235" s="2579"/>
      <c r="L235" s="2579"/>
      <c r="M235" s="2579"/>
      <c r="N235" s="2579"/>
      <c r="O235" s="2579"/>
    </row>
    <row r="236" spans="1:15" s="2463" customFormat="1" ht="12.75">
      <c r="A236" s="2549"/>
      <c r="B236" s="2549"/>
      <c r="C236" s="2542"/>
      <c r="D236" s="2541"/>
      <c r="E236" s="2544"/>
      <c r="F236" s="2540"/>
      <c r="G236" s="2544"/>
      <c r="H236" s="2544"/>
      <c r="I236" s="2579"/>
      <c r="J236" s="2579"/>
      <c r="K236" s="2579"/>
      <c r="L236" s="2579"/>
      <c r="M236" s="2579"/>
      <c r="N236" s="2579"/>
      <c r="O236" s="2579"/>
    </row>
    <row r="237" spans="1:15" s="2463" customFormat="1" ht="12.75">
      <c r="A237" s="2547"/>
      <c r="B237" s="2546"/>
      <c r="C237" s="2545"/>
      <c r="D237" s="2541"/>
      <c r="E237" s="2544"/>
      <c r="F237" s="2540"/>
      <c r="G237" s="2544"/>
      <c r="H237" s="2544"/>
      <c r="I237" s="2579"/>
      <c r="J237" s="2579"/>
      <c r="K237" s="2579"/>
      <c r="L237" s="2579"/>
      <c r="M237" s="2579"/>
      <c r="N237" s="2579"/>
      <c r="O237" s="2579"/>
    </row>
    <row r="238" spans="1:15" s="2463" customFormat="1" ht="12.75">
      <c r="A238" s="2543"/>
      <c r="B238" s="2543"/>
      <c r="C238" s="2542"/>
      <c r="D238" s="2541"/>
      <c r="E238" s="2539"/>
      <c r="F238" s="2540"/>
      <c r="G238" s="2539"/>
      <c r="H238" s="2539"/>
      <c r="I238" s="2579"/>
      <c r="J238" s="2579"/>
      <c r="K238" s="2579"/>
      <c r="L238" s="2579"/>
      <c r="M238" s="2579"/>
      <c r="N238" s="2579"/>
      <c r="O238" s="2579"/>
    </row>
    <row r="239" spans="1:15" s="2463" customFormat="1" ht="12.75">
      <c r="A239" s="2538"/>
      <c r="B239" s="2538"/>
      <c r="C239" s="2537"/>
      <c r="D239" s="2536"/>
      <c r="E239" s="2536"/>
      <c r="F239" s="2536"/>
      <c r="G239" s="2536"/>
      <c r="H239" s="2536"/>
      <c r="I239" s="2579"/>
      <c r="J239" s="2579"/>
      <c r="K239" s="2579"/>
      <c r="L239" s="2579"/>
      <c r="M239" s="2579"/>
      <c r="N239" s="2579"/>
      <c r="O239" s="2579"/>
    </row>
    <row r="240" spans="1:15" s="2463" customFormat="1" ht="12.75">
      <c r="A240" s="2538"/>
      <c r="B240" s="2538"/>
      <c r="C240" s="2537"/>
      <c r="D240" s="2536"/>
      <c r="E240" s="2536"/>
      <c r="F240" s="2536"/>
      <c r="G240" s="2536"/>
      <c r="H240" s="2536"/>
      <c r="I240" s="2579"/>
      <c r="J240" s="2579"/>
      <c r="K240" s="2579"/>
      <c r="L240" s="2579"/>
      <c r="M240" s="2579"/>
      <c r="N240" s="2579"/>
      <c r="O240" s="2579"/>
    </row>
    <row r="241" spans="1:15" s="2463" customFormat="1">
      <c r="A241" s="1269"/>
      <c r="B241" s="2529"/>
      <c r="C241" s="2535"/>
      <c r="D241" s="2529"/>
      <c r="E241" s="4877"/>
      <c r="F241" s="4877"/>
      <c r="G241" s="1269"/>
      <c r="H241" s="2529"/>
      <c r="I241" s="2579"/>
      <c r="J241" s="2579"/>
      <c r="K241" s="2579"/>
      <c r="L241" s="2579"/>
      <c r="M241" s="2579"/>
      <c r="N241" s="2579"/>
      <c r="O241" s="2579"/>
    </row>
    <row r="242" spans="1:15" s="2463" customFormat="1">
      <c r="A242" s="2529"/>
      <c r="B242" s="1269"/>
      <c r="C242" s="2535"/>
      <c r="D242" s="1269"/>
      <c r="E242" s="1269"/>
      <c r="F242" s="1269"/>
      <c r="G242" s="1269"/>
      <c r="H242" s="2529"/>
      <c r="I242" s="2579"/>
      <c r="J242" s="2579"/>
      <c r="K242" s="2579"/>
      <c r="L242" s="2579"/>
      <c r="M242" s="2579"/>
      <c r="N242" s="2579"/>
      <c r="O242" s="2579"/>
    </row>
    <row r="243" spans="1:15" s="2463" customFormat="1" ht="12.75">
      <c r="A243" s="2534"/>
      <c r="B243" s="1269"/>
      <c r="C243" s="4881"/>
      <c r="D243" s="4881"/>
      <c r="E243" s="4876"/>
      <c r="F243" s="4876"/>
      <c r="G243" s="4876"/>
      <c r="H243" s="4876"/>
      <c r="I243" s="2579"/>
      <c r="J243" s="2579"/>
      <c r="K243" s="2579"/>
      <c r="L243" s="2579"/>
      <c r="M243" s="2579"/>
      <c r="N243" s="2579"/>
      <c r="O243" s="2579"/>
    </row>
    <row r="244" spans="1:15" s="2463" customFormat="1" ht="12.75">
      <c r="A244" s="2531"/>
      <c r="B244" s="2533"/>
      <c r="C244" s="4874"/>
      <c r="D244" s="4874"/>
      <c r="E244" s="4875"/>
      <c r="F244" s="4875"/>
      <c r="G244" s="4875"/>
      <c r="H244" s="4875"/>
      <c r="I244" s="2579"/>
      <c r="J244" s="2579"/>
      <c r="K244" s="2579"/>
      <c r="L244" s="2579"/>
      <c r="M244" s="2579"/>
      <c r="N244" s="2579"/>
      <c r="O244" s="2579"/>
    </row>
    <row r="245" spans="1:15" s="2463" customFormat="1" ht="12.75">
      <c r="A245" s="2531"/>
      <c r="B245" s="2533"/>
      <c r="C245" s="2531"/>
      <c r="D245" s="2566"/>
      <c r="E245" s="2566"/>
      <c r="F245" s="2566"/>
      <c r="G245" s="2566"/>
      <c r="H245" s="2566"/>
      <c r="I245" s="2579"/>
      <c r="J245" s="2579"/>
      <c r="K245" s="2579"/>
      <c r="L245" s="2579"/>
      <c r="M245" s="2579"/>
      <c r="N245" s="2579"/>
      <c r="O245" s="2579"/>
    </row>
    <row r="246" spans="1:15">
      <c r="A246" s="2531"/>
      <c r="B246" s="2533"/>
      <c r="C246" s="2531"/>
      <c r="D246" s="2566"/>
      <c r="E246" s="2566"/>
      <c r="F246" s="2566"/>
      <c r="G246" s="2566"/>
      <c r="H246" s="2566"/>
    </row>
    <row r="247" spans="1:15">
      <c r="A247" s="2531"/>
      <c r="B247" s="2533"/>
      <c r="C247" s="2531"/>
      <c r="D247" s="2566"/>
      <c r="E247" s="2566"/>
      <c r="F247" s="2566"/>
      <c r="G247" s="2566"/>
      <c r="H247" s="2566"/>
    </row>
    <row r="248" spans="1:15">
      <c r="A248" s="2531"/>
      <c r="B248" s="2533"/>
      <c r="C248" s="2531"/>
      <c r="D248" s="2566"/>
      <c r="E248" s="2566"/>
      <c r="F248" s="2566"/>
      <c r="G248" s="2566"/>
      <c r="H248" s="2566"/>
    </row>
    <row r="249" spans="1:15">
      <c r="A249" s="2531"/>
      <c r="B249" s="2533"/>
      <c r="C249" s="2531"/>
      <c r="D249" s="2566"/>
      <c r="E249" s="2566"/>
      <c r="F249" s="2566"/>
      <c r="G249" s="2566"/>
      <c r="H249" s="2566"/>
    </row>
    <row r="250" spans="1:15">
      <c r="A250" s="2531"/>
      <c r="B250" s="2533"/>
      <c r="C250" s="2531"/>
      <c r="D250" s="2566"/>
      <c r="E250" s="2566"/>
      <c r="F250" s="2566"/>
      <c r="G250" s="2566"/>
      <c r="H250" s="2566"/>
    </row>
    <row r="251" spans="1:15" s="2463" customFormat="1" ht="12.75">
      <c r="A251" s="2531"/>
      <c r="B251" s="2533"/>
      <c r="C251" s="2531"/>
      <c r="D251" s="2566"/>
      <c r="E251" s="2566"/>
      <c r="F251" s="2566"/>
      <c r="G251" s="2566"/>
      <c r="H251" s="2566"/>
      <c r="I251" s="2579"/>
      <c r="J251" s="2579"/>
      <c r="K251" s="2579"/>
      <c r="L251" s="2579"/>
      <c r="M251" s="2579"/>
      <c r="N251" s="2579"/>
      <c r="O251" s="2579"/>
    </row>
    <row r="252" spans="1:15" s="2463" customFormat="1" ht="12.75">
      <c r="A252" s="2531"/>
      <c r="B252" s="2533"/>
      <c r="C252" s="2531"/>
      <c r="D252" s="2566"/>
      <c r="E252" s="2566"/>
      <c r="F252" s="2566"/>
      <c r="G252" s="2566"/>
      <c r="H252" s="2566"/>
      <c r="I252" s="2579"/>
      <c r="J252" s="2579"/>
      <c r="K252" s="2579"/>
      <c r="L252" s="2579"/>
      <c r="M252" s="2579"/>
      <c r="N252" s="2579"/>
      <c r="O252" s="2579"/>
    </row>
    <row r="253" spans="1:15" s="2463" customFormat="1" ht="12.75">
      <c r="A253" s="2531"/>
      <c r="B253" s="2533"/>
      <c r="C253" s="2531"/>
      <c r="D253" s="2566"/>
      <c r="E253" s="2566"/>
      <c r="F253" s="2566"/>
      <c r="G253" s="2566"/>
      <c r="H253" s="2566"/>
      <c r="I253" s="2579"/>
      <c r="J253" s="2579"/>
      <c r="K253" s="2579"/>
      <c r="L253" s="2579"/>
      <c r="M253" s="2579"/>
      <c r="N253" s="2579"/>
      <c r="O253" s="2579"/>
    </row>
    <row r="254" spans="1:15" s="2463" customFormat="1" ht="12.75">
      <c r="A254" s="2531"/>
      <c r="B254" s="2533"/>
      <c r="C254" s="2531"/>
      <c r="D254" s="2566"/>
      <c r="E254" s="2566"/>
      <c r="F254" s="2566"/>
      <c r="G254" s="2566"/>
      <c r="H254" s="2566"/>
      <c r="I254" s="2579"/>
      <c r="J254" s="2579"/>
      <c r="K254" s="2579"/>
      <c r="L254" s="2579"/>
      <c r="M254" s="2579"/>
      <c r="N254" s="2579"/>
      <c r="O254" s="2579"/>
    </row>
    <row r="255" spans="1:15" s="2463" customFormat="1" ht="12.75">
      <c r="A255" s="2531"/>
      <c r="B255" s="2533"/>
      <c r="C255" s="2531"/>
      <c r="D255" s="2566"/>
      <c r="E255" s="2566"/>
      <c r="F255" s="2566"/>
      <c r="G255" s="2566"/>
      <c r="H255" s="2566"/>
      <c r="I255" s="2579"/>
      <c r="J255" s="2579"/>
      <c r="K255" s="2579"/>
      <c r="L255" s="2579"/>
      <c r="M255" s="2579"/>
      <c r="N255" s="2579"/>
      <c r="O255" s="2579"/>
    </row>
    <row r="256" spans="1:15" s="2463" customFormat="1" ht="12.75">
      <c r="A256" s="2531"/>
      <c r="B256" s="2533"/>
      <c r="C256" s="2531"/>
      <c r="D256" s="2566"/>
      <c r="E256" s="2566"/>
      <c r="F256" s="2566"/>
      <c r="G256" s="2566"/>
      <c r="H256" s="2566"/>
      <c r="I256" s="2579"/>
      <c r="J256" s="2579"/>
      <c r="K256" s="2579"/>
      <c r="L256" s="2579"/>
      <c r="M256" s="2579"/>
      <c r="N256" s="2579"/>
      <c r="O256" s="2579"/>
    </row>
    <row r="257" spans="1:15" s="2463" customFormat="1" ht="12.75">
      <c r="A257" s="2531"/>
      <c r="B257" s="2533"/>
      <c r="C257" s="2531"/>
      <c r="D257" s="2566"/>
      <c r="E257" s="2566"/>
      <c r="F257" s="2566"/>
      <c r="G257" s="2566"/>
      <c r="H257" s="2566"/>
      <c r="I257" s="2579"/>
      <c r="J257" s="2579"/>
      <c r="K257" s="2579"/>
      <c r="L257" s="2579"/>
      <c r="M257" s="2579"/>
      <c r="N257" s="2579"/>
      <c r="O257" s="2579"/>
    </row>
    <row r="258" spans="1:15" s="2463" customFormat="1" ht="12.75">
      <c r="A258" s="2531"/>
      <c r="B258" s="2533"/>
      <c r="C258" s="2531"/>
      <c r="D258" s="2566"/>
      <c r="E258" s="2566"/>
      <c r="F258" s="2566"/>
      <c r="G258" s="2566"/>
      <c r="H258" s="2566"/>
      <c r="I258" s="2579"/>
      <c r="J258" s="2579"/>
      <c r="K258" s="2579"/>
      <c r="L258" s="2579"/>
      <c r="M258" s="2579"/>
      <c r="N258" s="2579"/>
      <c r="O258" s="2579"/>
    </row>
    <row r="259" spans="1:15" s="2463" customFormat="1" ht="12.75">
      <c r="A259" s="2531"/>
      <c r="B259" s="2533"/>
      <c r="C259" s="2531"/>
      <c r="D259" s="2566"/>
      <c r="E259" s="2566"/>
      <c r="F259" s="2566"/>
      <c r="G259" s="2566"/>
      <c r="H259" s="2566"/>
      <c r="I259" s="2579"/>
      <c r="J259" s="2579"/>
      <c r="K259" s="2579"/>
      <c r="L259" s="2579"/>
      <c r="M259" s="2579"/>
      <c r="N259" s="2579"/>
      <c r="O259" s="2579"/>
    </row>
    <row r="260" spans="1:15" s="2463" customFormat="1" ht="12.75">
      <c r="A260" s="2531"/>
      <c r="B260" s="2533"/>
      <c r="C260" s="2531"/>
      <c r="D260" s="2566"/>
      <c r="E260" s="2566"/>
      <c r="F260" s="2566"/>
      <c r="G260" s="2566"/>
      <c r="H260" s="2566"/>
      <c r="I260" s="2579"/>
      <c r="J260" s="2579"/>
      <c r="K260" s="2579"/>
      <c r="L260" s="2579"/>
      <c r="M260" s="2579"/>
      <c r="N260" s="2579"/>
      <c r="O260" s="2579"/>
    </row>
    <row r="261" spans="1:15" s="2463" customFormat="1" ht="12.75">
      <c r="A261" s="4876"/>
      <c r="B261" s="4876"/>
      <c r="C261" s="4876"/>
      <c r="D261" s="4876"/>
      <c r="E261" s="4876"/>
      <c r="F261" s="4876"/>
      <c r="G261" s="4876"/>
      <c r="H261" s="4876"/>
      <c r="I261" s="2579"/>
      <c r="J261" s="2579"/>
      <c r="K261" s="2579"/>
      <c r="L261" s="2579"/>
      <c r="M261" s="2579"/>
      <c r="N261" s="2579"/>
      <c r="O261" s="2579"/>
    </row>
    <row r="262" spans="1:15" s="2463" customFormat="1" ht="12.75">
      <c r="A262" s="4877"/>
      <c r="B262" s="4877"/>
      <c r="C262" s="4877"/>
      <c r="D262" s="4877"/>
      <c r="E262" s="4877"/>
      <c r="F262" s="4877"/>
      <c r="G262" s="4877"/>
      <c r="H262" s="4877"/>
      <c r="I262" s="2579"/>
      <c r="J262" s="2579"/>
      <c r="K262" s="2579"/>
      <c r="L262" s="2579"/>
      <c r="M262" s="2579"/>
      <c r="N262" s="2579"/>
      <c r="O262" s="2579"/>
    </row>
    <row r="263" spans="1:15" s="2463" customFormat="1">
      <c r="A263" s="2529"/>
      <c r="B263" s="2529"/>
      <c r="C263" s="2529"/>
      <c r="D263" s="2529"/>
      <c r="E263" s="2529"/>
      <c r="F263" s="2529"/>
      <c r="G263" s="2529"/>
      <c r="H263" s="2529"/>
      <c r="I263" s="2579"/>
      <c r="J263" s="2579"/>
      <c r="K263" s="2579"/>
      <c r="L263" s="2579"/>
      <c r="M263" s="2579"/>
      <c r="N263" s="2579"/>
      <c r="O263" s="2579"/>
    </row>
    <row r="264" spans="1:15" s="2463" customFormat="1">
      <c r="A264" s="2529"/>
      <c r="B264" s="2529"/>
      <c r="C264" s="2529"/>
      <c r="D264" s="2529"/>
      <c r="E264" s="2529"/>
      <c r="F264" s="2529"/>
      <c r="G264" s="2529"/>
      <c r="H264" s="2529"/>
      <c r="I264" s="2579"/>
      <c r="J264" s="2579"/>
      <c r="K264" s="2579"/>
      <c r="L264" s="2579"/>
      <c r="M264" s="2579"/>
      <c r="N264" s="2579"/>
      <c r="O264" s="2579"/>
    </row>
    <row r="265" spans="1:15" s="2463" customFormat="1">
      <c r="A265" s="2529"/>
      <c r="B265" s="2529"/>
      <c r="C265" s="2529"/>
      <c r="D265" s="2529"/>
      <c r="E265" s="2529"/>
      <c r="F265" s="2529"/>
      <c r="G265" s="2529"/>
      <c r="H265" s="2529"/>
      <c r="I265" s="2579"/>
      <c r="J265" s="2579"/>
      <c r="K265" s="2579"/>
      <c r="L265" s="2579"/>
      <c r="M265" s="2579"/>
      <c r="N265" s="2579"/>
      <c r="O265" s="2579"/>
    </row>
    <row r="266" spans="1:15" s="2463" customFormat="1">
      <c r="A266" s="2568"/>
      <c r="B266" s="2567"/>
      <c r="C266" s="2529"/>
      <c r="D266" s="2566"/>
      <c r="E266" s="2566"/>
      <c r="F266" s="2566"/>
      <c r="G266" s="2566"/>
      <c r="H266" s="2566"/>
      <c r="I266" s="2579"/>
      <c r="J266" s="2579"/>
      <c r="K266" s="2579"/>
      <c r="L266" s="2579"/>
      <c r="M266" s="2579"/>
      <c r="N266" s="2579"/>
      <c r="O266" s="2579"/>
    </row>
    <row r="267" spans="1:15" s="2463" customFormat="1" ht="12.75">
      <c r="A267" s="1269"/>
      <c r="B267" s="1269"/>
      <c r="C267" s="2542"/>
      <c r="D267" s="2541"/>
      <c r="E267" s="2561"/>
      <c r="F267" s="2540"/>
      <c r="G267" s="2565"/>
      <c r="H267" s="2561"/>
      <c r="I267" s="2579"/>
      <c r="J267" s="2579"/>
      <c r="K267" s="2579"/>
      <c r="L267" s="2579"/>
      <c r="M267" s="2579"/>
      <c r="N267" s="2579"/>
      <c r="O267" s="2579"/>
    </row>
    <row r="268" spans="1:15" s="2463" customFormat="1" ht="23.25">
      <c r="A268" s="2564"/>
      <c r="B268" s="2564"/>
      <c r="C268" s="2563"/>
      <c r="D268" s="2570"/>
      <c r="E268" s="2569"/>
      <c r="F268" s="2540"/>
      <c r="G268" s="2562"/>
      <c r="H268" s="2561"/>
      <c r="I268" s="2579"/>
      <c r="J268" s="2579"/>
      <c r="K268" s="2579"/>
      <c r="L268" s="2579"/>
      <c r="M268" s="2579"/>
      <c r="N268" s="2579"/>
      <c r="O268" s="2579"/>
    </row>
    <row r="269" spans="1:15" s="2463" customFormat="1" ht="12.75">
      <c r="A269" s="4879"/>
      <c r="B269" s="4879"/>
      <c r="C269" s="2559"/>
      <c r="D269" s="2560"/>
      <c r="E269" s="4880"/>
      <c r="F269" s="4880"/>
      <c r="G269" s="4880"/>
      <c r="H269" s="2557"/>
      <c r="I269" s="2579"/>
      <c r="J269" s="2579"/>
      <c r="K269" s="2579"/>
      <c r="L269" s="2579"/>
      <c r="M269" s="2579"/>
      <c r="N269" s="2579"/>
      <c r="O269" s="2579"/>
    </row>
    <row r="270" spans="1:15" s="2463" customFormat="1" ht="12.75">
      <c r="A270" s="4879"/>
      <c r="B270" s="4879"/>
      <c r="C270" s="2559"/>
      <c r="D270" s="2558"/>
      <c r="E270" s="2558"/>
      <c r="F270" s="2558"/>
      <c r="G270" s="2558"/>
      <c r="H270" s="2558"/>
      <c r="I270" s="2579"/>
      <c r="J270" s="2579"/>
      <c r="K270" s="2579"/>
      <c r="L270" s="2579"/>
      <c r="M270" s="2579"/>
      <c r="N270" s="2579"/>
      <c r="O270" s="2579"/>
    </row>
    <row r="271" spans="1:15" s="2463" customFormat="1" ht="12.75">
      <c r="A271" s="4879"/>
      <c r="B271" s="4879"/>
      <c r="C271" s="2557"/>
      <c r="D271" s="2555"/>
      <c r="E271" s="2555"/>
      <c r="F271" s="2555"/>
      <c r="G271" s="2556"/>
      <c r="H271" s="2555"/>
      <c r="I271" s="2579"/>
      <c r="J271" s="2579"/>
      <c r="K271" s="2579"/>
      <c r="L271" s="2579"/>
      <c r="M271" s="2579"/>
      <c r="N271" s="2579"/>
      <c r="O271" s="2579"/>
    </row>
    <row r="272" spans="1:15" s="2463" customFormat="1" ht="12.75">
      <c r="A272" s="2554"/>
      <c r="B272" s="2553"/>
      <c r="C272" s="2552"/>
      <c r="D272" s="2551"/>
      <c r="E272" s="2551"/>
      <c r="F272" s="2551"/>
      <c r="G272" s="2551"/>
      <c r="H272" s="2551"/>
      <c r="I272" s="2579"/>
      <c r="J272" s="2579"/>
      <c r="K272" s="2579"/>
      <c r="L272" s="2579"/>
      <c r="M272" s="2579"/>
      <c r="N272" s="2579"/>
      <c r="O272" s="2579"/>
    </row>
    <row r="273" spans="1:15" s="2463" customFormat="1" ht="12.75">
      <c r="A273" s="2549"/>
      <c r="B273" s="2549"/>
      <c r="C273" s="2545"/>
      <c r="D273" s="2548"/>
      <c r="E273" s="2548"/>
      <c r="F273" s="2540"/>
      <c r="G273" s="2548"/>
      <c r="H273" s="2548"/>
      <c r="I273" s="2579"/>
      <c r="J273" s="2579"/>
      <c r="K273" s="2579"/>
      <c r="L273" s="2579"/>
      <c r="M273" s="2579"/>
      <c r="N273" s="2579"/>
      <c r="O273" s="2579"/>
    </row>
    <row r="274" spans="1:15" s="2463" customFormat="1" ht="12.75">
      <c r="A274" s="2549"/>
      <c r="B274" s="2549"/>
      <c r="C274" s="2545"/>
      <c r="D274" s="2548"/>
      <c r="E274" s="2548"/>
      <c r="F274" s="2540"/>
      <c r="G274" s="2548"/>
      <c r="H274" s="2548"/>
      <c r="I274" s="2579"/>
      <c r="J274" s="2579"/>
      <c r="K274" s="2579"/>
      <c r="L274" s="2579"/>
      <c r="M274" s="2579"/>
      <c r="N274" s="2579"/>
      <c r="O274" s="2579"/>
    </row>
    <row r="275" spans="1:15" s="2463" customFormat="1" ht="12.75">
      <c r="A275" s="2546"/>
      <c r="B275" s="1269"/>
      <c r="C275" s="2545"/>
      <c r="D275" s="2541"/>
      <c r="E275" s="2544"/>
      <c r="F275" s="2540"/>
      <c r="G275" s="2544"/>
      <c r="H275" s="2544"/>
      <c r="I275" s="2579"/>
      <c r="J275" s="2579"/>
      <c r="K275" s="2579"/>
      <c r="L275" s="2579"/>
      <c r="M275" s="2579"/>
      <c r="N275" s="2579"/>
      <c r="O275" s="2579"/>
    </row>
    <row r="276" spans="1:15" s="2463" customFormat="1" ht="12.75">
      <c r="A276" s="2549"/>
      <c r="B276" s="2549"/>
      <c r="C276" s="2545"/>
      <c r="D276" s="2541"/>
      <c r="E276" s="2544"/>
      <c r="F276" s="2540"/>
      <c r="G276" s="2544"/>
      <c r="H276" s="2544"/>
      <c r="I276" s="2579"/>
      <c r="J276" s="2579"/>
      <c r="K276" s="2579"/>
      <c r="L276" s="2579"/>
      <c r="M276" s="2579"/>
      <c r="N276" s="2579"/>
      <c r="O276" s="2579"/>
    </row>
    <row r="277" spans="1:15" s="2463" customFormat="1" ht="12.75">
      <c r="A277" s="2546"/>
      <c r="B277" s="1269"/>
      <c r="C277" s="2545"/>
      <c r="D277" s="2541"/>
      <c r="E277" s="2544"/>
      <c r="F277" s="2540"/>
      <c r="G277" s="2544"/>
      <c r="H277" s="2544"/>
      <c r="I277" s="2579"/>
      <c r="J277" s="2579"/>
      <c r="K277" s="2579"/>
      <c r="L277" s="2579"/>
      <c r="M277" s="2579"/>
      <c r="N277" s="2579"/>
      <c r="O277" s="2579"/>
    </row>
    <row r="278" spans="1:15" s="2463" customFormat="1" ht="12.75">
      <c r="A278" s="2547"/>
      <c r="B278" s="2546"/>
      <c r="C278" s="2545"/>
      <c r="D278" s="2541"/>
      <c r="E278" s="2544"/>
      <c r="F278" s="2540"/>
      <c r="G278" s="2544"/>
      <c r="H278" s="2544"/>
      <c r="I278" s="2579"/>
      <c r="J278" s="2579"/>
      <c r="K278" s="2579"/>
      <c r="L278" s="2579"/>
      <c r="M278" s="2579"/>
      <c r="N278" s="2579"/>
      <c r="O278" s="2579"/>
    </row>
    <row r="279" spans="1:15" s="2463" customFormat="1" ht="12.75">
      <c r="A279" s="2543"/>
      <c r="B279" s="2543"/>
      <c r="C279" s="2542"/>
      <c r="D279" s="2541"/>
      <c r="E279" s="2539"/>
      <c r="F279" s="2540"/>
      <c r="G279" s="2539"/>
      <c r="H279" s="2539"/>
      <c r="I279" s="2579"/>
      <c r="J279" s="2579"/>
      <c r="K279" s="2579"/>
      <c r="L279" s="2579"/>
      <c r="M279" s="2579"/>
      <c r="N279" s="2579"/>
      <c r="O279" s="2579"/>
    </row>
    <row r="280" spans="1:15" s="2463" customFormat="1" ht="12.75">
      <c r="A280" s="2538"/>
      <c r="B280" s="2538"/>
      <c r="C280" s="2537"/>
      <c r="D280" s="2536"/>
      <c r="E280" s="2536"/>
      <c r="F280" s="2536"/>
      <c r="G280" s="2536"/>
      <c r="H280" s="2536"/>
      <c r="I280" s="2579"/>
      <c r="J280" s="2579"/>
      <c r="K280" s="2579"/>
      <c r="L280" s="2579"/>
      <c r="M280" s="2579"/>
      <c r="N280" s="2579"/>
      <c r="O280" s="2579"/>
    </row>
    <row r="281" spans="1:15" s="2463" customFormat="1" ht="12.75">
      <c r="A281" s="2538"/>
      <c r="B281" s="2538"/>
      <c r="C281" s="2537"/>
      <c r="D281" s="2536"/>
      <c r="E281" s="2536"/>
      <c r="F281" s="2536"/>
      <c r="G281" s="2536"/>
      <c r="H281" s="2536"/>
      <c r="I281" s="2579"/>
      <c r="J281" s="2579"/>
      <c r="K281" s="2579"/>
      <c r="L281" s="2579"/>
      <c r="M281" s="2579"/>
      <c r="N281" s="2579"/>
      <c r="O281" s="2579"/>
    </row>
    <row r="282" spans="1:15" s="2463" customFormat="1">
      <c r="A282" s="1269"/>
      <c r="B282" s="2529"/>
      <c r="C282" s="2535"/>
      <c r="D282" s="2529"/>
      <c r="E282" s="4877"/>
      <c r="F282" s="4877"/>
      <c r="G282" s="1269"/>
      <c r="H282" s="2529"/>
      <c r="I282" s="2579"/>
      <c r="J282" s="2579"/>
      <c r="K282" s="2579"/>
      <c r="L282" s="2579"/>
      <c r="M282" s="2579"/>
      <c r="N282" s="2579"/>
      <c r="O282" s="2579"/>
    </row>
    <row r="283" spans="1:15" s="2463" customFormat="1">
      <c r="A283" s="2529"/>
      <c r="B283" s="1269"/>
      <c r="C283" s="2535"/>
      <c r="D283" s="1269"/>
      <c r="E283" s="1269"/>
      <c r="F283" s="1269"/>
      <c r="G283" s="1269"/>
      <c r="H283" s="2529"/>
      <c r="I283" s="2579"/>
      <c r="J283" s="2579"/>
      <c r="K283" s="2579"/>
      <c r="L283" s="2579"/>
      <c r="M283" s="2579"/>
      <c r="N283" s="2579"/>
      <c r="O283" s="2579"/>
    </row>
    <row r="284" spans="1:15" s="2463" customFormat="1" ht="12.75">
      <c r="A284" s="2534"/>
      <c r="B284" s="1269"/>
      <c r="C284" s="4881"/>
      <c r="D284" s="4881"/>
      <c r="E284" s="4876"/>
      <c r="F284" s="4876"/>
      <c r="G284" s="4876"/>
      <c r="H284" s="4876"/>
      <c r="I284" s="2579"/>
      <c r="J284" s="2579"/>
      <c r="K284" s="2579"/>
      <c r="L284" s="2579"/>
      <c r="M284" s="2579"/>
      <c r="N284" s="2579"/>
      <c r="O284" s="2579"/>
    </row>
    <row r="285" spans="1:15" s="2463" customFormat="1" ht="12.75">
      <c r="A285" s="2531"/>
      <c r="B285" s="2533"/>
      <c r="C285" s="4874"/>
      <c r="D285" s="4874"/>
      <c r="E285" s="4875"/>
      <c r="F285" s="4875"/>
      <c r="G285" s="4875"/>
      <c r="H285" s="4875"/>
      <c r="I285" s="2579"/>
      <c r="J285" s="2579"/>
      <c r="K285" s="2579"/>
      <c r="L285" s="2579"/>
      <c r="M285" s="2579"/>
      <c r="N285" s="2579"/>
      <c r="O285" s="2579"/>
    </row>
    <row r="286" spans="1:15" s="2463" customFormat="1" ht="12.75">
      <c r="A286" s="2531"/>
      <c r="B286" s="2533"/>
      <c r="C286" s="2531"/>
      <c r="D286" s="2566"/>
      <c r="E286" s="2566"/>
      <c r="F286" s="2566"/>
      <c r="G286" s="2566"/>
      <c r="H286" s="2566"/>
      <c r="I286" s="2579"/>
      <c r="J286" s="2579"/>
      <c r="K286" s="2579"/>
      <c r="L286" s="2579"/>
      <c r="M286" s="2579"/>
      <c r="N286" s="2579"/>
      <c r="O286" s="2579"/>
    </row>
    <row r="287" spans="1:15" s="2463" customFormat="1" ht="12.75">
      <c r="A287" s="2531"/>
      <c r="B287" s="2533"/>
      <c r="C287" s="2531"/>
      <c r="D287" s="2566"/>
      <c r="E287" s="2566"/>
      <c r="F287" s="2566"/>
      <c r="G287" s="2566"/>
      <c r="H287" s="2566"/>
      <c r="I287" s="2579"/>
      <c r="J287" s="2579"/>
      <c r="K287" s="2579"/>
      <c r="L287" s="2579"/>
      <c r="M287" s="2579"/>
      <c r="N287" s="2579"/>
      <c r="O287" s="2579"/>
    </row>
    <row r="288" spans="1:15" s="2463" customFormat="1" ht="12.75">
      <c r="A288" s="2531"/>
      <c r="B288" s="2533"/>
      <c r="C288" s="2531"/>
      <c r="D288" s="2566"/>
      <c r="E288" s="2566"/>
      <c r="F288" s="2566"/>
      <c r="G288" s="2566"/>
      <c r="H288" s="2566"/>
      <c r="I288" s="2579"/>
      <c r="J288" s="2579"/>
      <c r="K288" s="2579"/>
      <c r="L288" s="2579"/>
      <c r="M288" s="2579"/>
      <c r="N288" s="2579"/>
      <c r="O288" s="2579"/>
    </row>
    <row r="289" spans="1:15" s="2463" customFormat="1" ht="12.75">
      <c r="A289" s="2531"/>
      <c r="B289" s="2533"/>
      <c r="C289" s="2531"/>
      <c r="D289" s="2566"/>
      <c r="E289" s="2566"/>
      <c r="F289" s="2566"/>
      <c r="G289" s="2566"/>
      <c r="H289" s="2566"/>
      <c r="I289" s="2579"/>
      <c r="J289" s="2579"/>
      <c r="K289" s="2579"/>
      <c r="L289" s="2579"/>
      <c r="M289" s="2579"/>
      <c r="N289" s="2579"/>
      <c r="O289" s="2579"/>
    </row>
    <row r="290" spans="1:15">
      <c r="A290" s="2531"/>
      <c r="B290" s="2533"/>
      <c r="C290" s="2531"/>
      <c r="D290" s="2566"/>
      <c r="E290" s="2566"/>
      <c r="F290" s="2566"/>
      <c r="G290" s="2566"/>
      <c r="H290" s="2566"/>
    </row>
    <row r="291" spans="1:15">
      <c r="A291" s="2531"/>
      <c r="B291" s="2533"/>
      <c r="C291" s="2531"/>
      <c r="D291" s="2566"/>
      <c r="E291" s="2566"/>
      <c r="F291" s="2566"/>
      <c r="G291" s="2566"/>
      <c r="H291" s="2566"/>
    </row>
    <row r="292" spans="1:15">
      <c r="A292" s="2531"/>
      <c r="B292" s="2533"/>
      <c r="C292" s="2531"/>
      <c r="D292" s="2566"/>
      <c r="E292" s="2566"/>
      <c r="F292" s="2566"/>
      <c r="G292" s="2566"/>
      <c r="H292" s="2566"/>
    </row>
    <row r="293" spans="1:15">
      <c r="A293" s="2531"/>
      <c r="B293" s="2533"/>
      <c r="C293" s="2531"/>
      <c r="D293" s="2566"/>
      <c r="E293" s="2566"/>
      <c r="F293" s="2566"/>
      <c r="G293" s="2566"/>
      <c r="H293" s="2566"/>
    </row>
    <row r="294" spans="1:15" s="2463" customFormat="1" ht="12.75">
      <c r="A294" s="2531"/>
      <c r="B294" s="2533"/>
      <c r="C294" s="2531"/>
      <c r="D294" s="2566"/>
      <c r="E294" s="2566"/>
      <c r="F294" s="2566"/>
      <c r="G294" s="2566"/>
      <c r="H294" s="2566"/>
      <c r="I294" s="2579"/>
      <c r="J294" s="2579"/>
      <c r="K294" s="2579"/>
      <c r="L294" s="2579"/>
      <c r="M294" s="2579"/>
      <c r="N294" s="2579"/>
      <c r="O294" s="2579"/>
    </row>
    <row r="295" spans="1:15" s="2463" customFormat="1" ht="12.75">
      <c r="A295" s="2531"/>
      <c r="B295" s="2533"/>
      <c r="C295" s="2531"/>
      <c r="D295" s="2566"/>
      <c r="E295" s="2566"/>
      <c r="F295" s="2566"/>
      <c r="G295" s="2566"/>
      <c r="H295" s="2566"/>
      <c r="I295" s="2579"/>
      <c r="J295" s="2579"/>
      <c r="K295" s="2579"/>
      <c r="L295" s="2579"/>
      <c r="M295" s="2579"/>
      <c r="N295" s="2579"/>
      <c r="O295" s="2579"/>
    </row>
    <row r="296" spans="1:15" s="2463" customFormat="1" ht="12.75">
      <c r="A296" s="2531"/>
      <c r="B296" s="2533"/>
      <c r="C296" s="2531"/>
      <c r="D296" s="2566"/>
      <c r="E296" s="2566"/>
      <c r="F296" s="2566"/>
      <c r="G296" s="2566"/>
      <c r="H296" s="2566"/>
      <c r="I296" s="2579"/>
      <c r="J296" s="2579"/>
      <c r="K296" s="2579"/>
      <c r="L296" s="2579"/>
      <c r="M296" s="2579"/>
      <c r="N296" s="2579"/>
      <c r="O296" s="2579"/>
    </row>
    <row r="297" spans="1:15" s="2463" customFormat="1" ht="12.75">
      <c r="A297" s="2531"/>
      <c r="B297" s="2533"/>
      <c r="C297" s="2531"/>
      <c r="D297" s="2566"/>
      <c r="E297" s="2566"/>
      <c r="F297" s="2566"/>
      <c r="G297" s="2566"/>
      <c r="H297" s="2566"/>
      <c r="I297" s="2579"/>
      <c r="J297" s="2579"/>
      <c r="K297" s="2579"/>
      <c r="L297" s="2579"/>
      <c r="M297" s="2579"/>
      <c r="N297" s="2579"/>
      <c r="O297" s="2579"/>
    </row>
    <row r="298" spans="1:15" s="2463" customFormat="1" ht="12.75">
      <c r="A298" s="2531"/>
      <c r="B298" s="2533"/>
      <c r="C298" s="2531"/>
      <c r="D298" s="2566"/>
      <c r="E298" s="2566"/>
      <c r="F298" s="2566"/>
      <c r="G298" s="2566"/>
      <c r="H298" s="2566"/>
      <c r="I298" s="2579"/>
      <c r="J298" s="2579"/>
      <c r="K298" s="2579"/>
      <c r="L298" s="2579"/>
      <c r="M298" s="2579"/>
      <c r="N298" s="2579"/>
      <c r="O298" s="2579"/>
    </row>
    <row r="299" spans="1:15" s="2463" customFormat="1" ht="12.75">
      <c r="A299" s="2531"/>
      <c r="B299" s="2533"/>
      <c r="C299" s="2531"/>
      <c r="D299" s="2566"/>
      <c r="E299" s="2566"/>
      <c r="F299" s="2566"/>
      <c r="G299" s="2566"/>
      <c r="H299" s="2566"/>
      <c r="I299" s="2579"/>
      <c r="J299" s="2579"/>
      <c r="K299" s="2579"/>
      <c r="L299" s="2579"/>
      <c r="M299" s="2579"/>
      <c r="N299" s="2579"/>
      <c r="O299" s="2579"/>
    </row>
    <row r="300" spans="1:15" s="2463" customFormat="1" ht="12.75">
      <c r="A300" s="2531"/>
      <c r="B300" s="2533"/>
      <c r="C300" s="2531"/>
      <c r="D300" s="2566"/>
      <c r="E300" s="2566"/>
      <c r="F300" s="2566"/>
      <c r="G300" s="2566"/>
      <c r="H300" s="2566"/>
      <c r="I300" s="2579"/>
      <c r="J300" s="2579"/>
      <c r="K300" s="2579"/>
      <c r="L300" s="2579"/>
      <c r="M300" s="2579"/>
      <c r="N300" s="2579"/>
      <c r="O300" s="2579"/>
    </row>
    <row r="301" spans="1:15" s="2463" customFormat="1" ht="12.75">
      <c r="A301" s="2531"/>
      <c r="B301" s="2533"/>
      <c r="C301" s="2531"/>
      <c r="D301" s="2566"/>
      <c r="E301" s="2566"/>
      <c r="F301" s="2566"/>
      <c r="G301" s="2566"/>
      <c r="H301" s="2566"/>
      <c r="I301" s="2579"/>
      <c r="J301" s="2579"/>
      <c r="K301" s="2579"/>
      <c r="L301" s="2579"/>
      <c r="M301" s="2579"/>
      <c r="N301" s="2579"/>
      <c r="O301" s="2579"/>
    </row>
    <row r="302" spans="1:15" s="2463" customFormat="1" ht="12.75">
      <c r="A302" s="2531"/>
      <c r="B302" s="2533"/>
      <c r="C302" s="2531"/>
      <c r="D302" s="2566"/>
      <c r="E302" s="2566"/>
      <c r="F302" s="2566"/>
      <c r="G302" s="2566"/>
      <c r="H302" s="2566"/>
      <c r="I302" s="2579"/>
      <c r="J302" s="2579"/>
      <c r="K302" s="2579"/>
      <c r="L302" s="2579"/>
      <c r="M302" s="2579"/>
      <c r="N302" s="2579"/>
      <c r="O302" s="2579"/>
    </row>
    <row r="303" spans="1:15" s="2463" customFormat="1" ht="12.75">
      <c r="A303" s="2531"/>
      <c r="B303" s="2533"/>
      <c r="C303" s="2531"/>
      <c r="D303" s="2566"/>
      <c r="E303" s="2566"/>
      <c r="F303" s="2566"/>
      <c r="G303" s="2566"/>
      <c r="H303" s="2566"/>
      <c r="I303" s="2579"/>
      <c r="J303" s="2579"/>
      <c r="K303" s="2579"/>
      <c r="L303" s="2579"/>
      <c r="M303" s="2579"/>
      <c r="N303" s="2579"/>
      <c r="O303" s="2579"/>
    </row>
    <row r="304" spans="1:15" s="2463" customFormat="1" ht="12.75">
      <c r="A304" s="2531"/>
      <c r="B304" s="2533"/>
      <c r="C304" s="2531"/>
      <c r="D304" s="2566"/>
      <c r="E304" s="2566"/>
      <c r="F304" s="2566"/>
      <c r="G304" s="2566"/>
      <c r="H304" s="2566"/>
      <c r="I304" s="2579"/>
      <c r="J304" s="2579"/>
      <c r="K304" s="2579"/>
      <c r="L304" s="2579"/>
      <c r="M304" s="2579"/>
      <c r="N304" s="2579"/>
      <c r="O304" s="2579"/>
    </row>
    <row r="305" spans="1:15" s="2463" customFormat="1">
      <c r="A305" s="2529"/>
      <c r="B305" s="2529"/>
      <c r="C305" s="2529"/>
      <c r="D305" s="2529"/>
      <c r="E305" s="2529"/>
      <c r="F305" s="2529"/>
      <c r="G305" s="2529"/>
      <c r="H305" s="2529"/>
      <c r="I305" s="2579"/>
      <c r="J305" s="2579"/>
      <c r="K305" s="2579"/>
      <c r="L305" s="2579"/>
      <c r="M305" s="2579"/>
      <c r="N305" s="2579"/>
      <c r="O305" s="2579"/>
    </row>
    <row r="306" spans="1:15" s="2463" customFormat="1">
      <c r="A306" s="2529"/>
      <c r="B306" s="2529"/>
      <c r="C306" s="2529"/>
      <c r="D306" s="2529"/>
      <c r="E306" s="2529"/>
      <c r="F306" s="2529"/>
      <c r="G306" s="2529"/>
      <c r="H306" s="2529"/>
      <c r="I306" s="2579"/>
      <c r="J306" s="2579"/>
      <c r="K306" s="2579"/>
      <c r="L306" s="2579"/>
      <c r="M306" s="2579"/>
      <c r="N306" s="2579"/>
      <c r="O306" s="2579"/>
    </row>
    <row r="307" spans="1:15" s="2463" customFormat="1">
      <c r="A307" s="2529"/>
      <c r="B307" s="2529"/>
      <c r="C307" s="2529"/>
      <c r="D307" s="2529"/>
      <c r="E307" s="2529"/>
      <c r="F307" s="2529"/>
      <c r="G307" s="2529"/>
      <c r="H307" s="2529"/>
      <c r="I307" s="2579"/>
      <c r="J307" s="2579"/>
      <c r="K307" s="2579"/>
      <c r="L307" s="2579"/>
      <c r="M307" s="2579"/>
      <c r="N307" s="2579"/>
      <c r="O307" s="2579"/>
    </row>
    <row r="308" spans="1:15" s="2463" customFormat="1" ht="12.75">
      <c r="A308" s="4876"/>
      <c r="B308" s="4876"/>
      <c r="C308" s="4876"/>
      <c r="D308" s="4876"/>
      <c r="E308" s="4876"/>
      <c r="F308" s="4876"/>
      <c r="G308" s="4876"/>
      <c r="H308" s="4876"/>
      <c r="I308" s="2579"/>
      <c r="J308" s="2579"/>
      <c r="K308" s="2579"/>
      <c r="L308" s="2579"/>
      <c r="M308" s="2579"/>
      <c r="N308" s="2579"/>
      <c r="O308" s="2579"/>
    </row>
    <row r="309" spans="1:15" s="2463" customFormat="1" ht="12.75">
      <c r="A309" s="4877"/>
      <c r="B309" s="4877"/>
      <c r="C309" s="4877"/>
      <c r="D309" s="4877"/>
      <c r="E309" s="4877"/>
      <c r="F309" s="4877"/>
      <c r="G309" s="4877"/>
      <c r="H309" s="4877"/>
      <c r="I309" s="2579"/>
      <c r="J309" s="2579"/>
      <c r="K309" s="2579"/>
      <c r="L309" s="2579"/>
      <c r="M309" s="2579"/>
      <c r="N309" s="2579"/>
      <c r="O309" s="2579"/>
    </row>
    <row r="310" spans="1:15" s="2463" customFormat="1">
      <c r="A310" s="2529"/>
      <c r="B310" s="2529"/>
      <c r="C310" s="2529"/>
      <c r="D310" s="2529"/>
      <c r="E310" s="2529"/>
      <c r="F310" s="2529"/>
      <c r="G310" s="2529"/>
      <c r="H310" s="2529"/>
      <c r="I310" s="2579"/>
      <c r="J310" s="2579"/>
      <c r="K310" s="2579"/>
      <c r="L310" s="2579"/>
      <c r="M310" s="2579"/>
      <c r="N310" s="2579"/>
      <c r="O310" s="2579"/>
    </row>
    <row r="311" spans="1:15" s="2463" customFormat="1">
      <c r="A311" s="2568"/>
      <c r="B311" s="2567"/>
      <c r="C311" s="2529"/>
      <c r="D311" s="2566"/>
      <c r="E311" s="2566"/>
      <c r="F311" s="2566"/>
      <c r="G311" s="2566"/>
      <c r="H311" s="2566"/>
      <c r="I311" s="2579"/>
      <c r="J311" s="2579"/>
      <c r="K311" s="2579"/>
      <c r="L311" s="2579"/>
      <c r="M311" s="2579"/>
      <c r="N311" s="2579"/>
      <c r="O311" s="2579"/>
    </row>
    <row r="312" spans="1:15" s="2463" customFormat="1" ht="12.75">
      <c r="A312" s="1269"/>
      <c r="B312" s="1269"/>
      <c r="C312" s="2542"/>
      <c r="D312" s="2541"/>
      <c r="E312" s="2561"/>
      <c r="F312" s="2540"/>
      <c r="G312" s="2565"/>
      <c r="H312" s="2561"/>
      <c r="I312" s="2579"/>
      <c r="J312" s="2579"/>
      <c r="K312" s="2579"/>
      <c r="L312" s="2579"/>
      <c r="M312" s="2579"/>
      <c r="N312" s="2579"/>
      <c r="O312" s="2579"/>
    </row>
    <row r="313" spans="1:15" s="2463" customFormat="1" ht="23.25">
      <c r="A313" s="2564"/>
      <c r="B313" s="2564"/>
      <c r="C313" s="2563"/>
      <c r="D313" s="2541"/>
      <c r="E313" s="2561"/>
      <c r="F313" s="2540"/>
      <c r="G313" s="2562"/>
      <c r="H313" s="2561"/>
      <c r="I313" s="2579"/>
      <c r="J313" s="2579"/>
      <c r="K313" s="2579"/>
      <c r="L313" s="2579"/>
      <c r="M313" s="2579"/>
      <c r="N313" s="2579"/>
      <c r="O313" s="2579"/>
    </row>
    <row r="314" spans="1:15" s="2463" customFormat="1" ht="12.75">
      <c r="A314" s="4879"/>
      <c r="B314" s="4879"/>
      <c r="C314" s="2559"/>
      <c r="D314" s="2560"/>
      <c r="E314" s="4880"/>
      <c r="F314" s="4880"/>
      <c r="G314" s="4880"/>
      <c r="H314" s="2557"/>
      <c r="I314" s="2579"/>
      <c r="J314" s="2579"/>
      <c r="K314" s="2579"/>
      <c r="L314" s="2579"/>
      <c r="M314" s="2579"/>
      <c r="N314" s="2579"/>
      <c r="O314" s="2579"/>
    </row>
    <row r="315" spans="1:15" s="2463" customFormat="1" ht="12.75">
      <c r="A315" s="4879"/>
      <c r="B315" s="4879"/>
      <c r="C315" s="2559"/>
      <c r="D315" s="2558"/>
      <c r="E315" s="2558"/>
      <c r="F315" s="2558"/>
      <c r="G315" s="2558"/>
      <c r="H315" s="2558"/>
      <c r="I315" s="2579"/>
      <c r="J315" s="2579"/>
      <c r="K315" s="2579"/>
      <c r="L315" s="2579"/>
      <c r="M315" s="2579"/>
      <c r="N315" s="2579"/>
      <c r="O315" s="2579"/>
    </row>
    <row r="316" spans="1:15" s="2463" customFormat="1" ht="12.75">
      <c r="A316" s="4879"/>
      <c r="B316" s="4879"/>
      <c r="C316" s="2557"/>
      <c r="D316" s="2555"/>
      <c r="E316" s="2555"/>
      <c r="F316" s="2555"/>
      <c r="G316" s="2556"/>
      <c r="H316" s="2555"/>
      <c r="I316" s="2579"/>
      <c r="J316" s="2579"/>
      <c r="K316" s="2579"/>
      <c r="L316" s="2579"/>
      <c r="M316" s="2579"/>
      <c r="N316" s="2579"/>
      <c r="O316" s="2579"/>
    </row>
    <row r="317" spans="1:15" s="2463" customFormat="1" ht="12.75">
      <c r="A317" s="2554"/>
      <c r="B317" s="2553"/>
      <c r="C317" s="2552"/>
      <c r="D317" s="2551"/>
      <c r="E317" s="2551"/>
      <c r="F317" s="2551"/>
      <c r="G317" s="2551"/>
      <c r="H317" s="2551"/>
      <c r="I317" s="2579"/>
      <c r="J317" s="2579"/>
      <c r="K317" s="2579"/>
      <c r="L317" s="2579"/>
      <c r="M317" s="2579"/>
      <c r="N317" s="2579"/>
      <c r="O317" s="2579"/>
    </row>
    <row r="318" spans="1:15" s="2463" customFormat="1" ht="12.75">
      <c r="A318" s="2549"/>
      <c r="B318" s="2549"/>
      <c r="C318" s="2542"/>
      <c r="D318" s="2548"/>
      <c r="E318" s="2548"/>
      <c r="F318" s="2540"/>
      <c r="G318" s="2548"/>
      <c r="H318" s="2548"/>
      <c r="I318" s="2579"/>
      <c r="J318" s="2579"/>
      <c r="K318" s="2579"/>
      <c r="L318" s="2579"/>
      <c r="M318" s="2579"/>
      <c r="N318" s="2579"/>
      <c r="O318" s="2579"/>
    </row>
    <row r="319" spans="1:15" s="2463" customFormat="1" ht="12.75">
      <c r="A319" s="2549"/>
      <c r="B319" s="2549"/>
      <c r="C319" s="2545"/>
      <c r="D319" s="2548"/>
      <c r="E319" s="2548"/>
      <c r="F319" s="2540"/>
      <c r="G319" s="2548"/>
      <c r="H319" s="2548"/>
      <c r="I319" s="2579"/>
      <c r="J319" s="2579"/>
      <c r="K319" s="2579"/>
      <c r="L319" s="2579"/>
      <c r="M319" s="2579"/>
      <c r="N319" s="2579"/>
      <c r="O319" s="2579"/>
    </row>
    <row r="320" spans="1:15" s="2463" customFormat="1" ht="12.75">
      <c r="A320" s="2547"/>
      <c r="B320" s="2546"/>
      <c r="C320" s="2545"/>
      <c r="D320" s="2541"/>
      <c r="E320" s="2544"/>
      <c r="F320" s="2540"/>
      <c r="G320" s="2544"/>
      <c r="H320" s="2544"/>
      <c r="I320" s="2579"/>
      <c r="J320" s="2579"/>
      <c r="K320" s="2579"/>
      <c r="L320" s="2579"/>
      <c r="M320" s="2579"/>
      <c r="N320" s="2579"/>
      <c r="O320" s="2579"/>
    </row>
    <row r="321" spans="1:15" s="2463" customFormat="1" ht="12.75">
      <c r="A321" s="2543"/>
      <c r="B321" s="2543"/>
      <c r="C321" s="2542"/>
      <c r="D321" s="2541"/>
      <c r="E321" s="2539"/>
      <c r="F321" s="2540"/>
      <c r="G321" s="2539"/>
      <c r="H321" s="2539"/>
      <c r="I321" s="2579"/>
      <c r="J321" s="2579"/>
      <c r="K321" s="2579"/>
      <c r="L321" s="2579"/>
      <c r="M321" s="2579"/>
      <c r="N321" s="2579"/>
      <c r="O321" s="2579"/>
    </row>
    <row r="322" spans="1:15" s="2463" customFormat="1" ht="12.75">
      <c r="A322" s="2538"/>
      <c r="B322" s="2538"/>
      <c r="C322" s="2537"/>
      <c r="D322" s="2536"/>
      <c r="E322" s="2536"/>
      <c r="F322" s="2536"/>
      <c r="G322" s="2536"/>
      <c r="H322" s="2536"/>
      <c r="I322" s="2579"/>
      <c r="J322" s="2579"/>
      <c r="K322" s="2579"/>
      <c r="L322" s="2579"/>
      <c r="M322" s="2579"/>
      <c r="N322" s="2579"/>
      <c r="O322" s="2579"/>
    </row>
    <row r="323" spans="1:15" s="2463" customFormat="1" ht="12.75">
      <c r="A323" s="2538"/>
      <c r="B323" s="2538"/>
      <c r="C323" s="2537"/>
      <c r="D323" s="2536"/>
      <c r="E323" s="2536"/>
      <c r="F323" s="2536"/>
      <c r="G323" s="2536"/>
      <c r="H323" s="2536"/>
      <c r="I323" s="2579"/>
      <c r="J323" s="2579"/>
      <c r="K323" s="2579"/>
      <c r="L323" s="2579"/>
      <c r="M323" s="2579"/>
      <c r="N323" s="2579"/>
      <c r="O323" s="2579"/>
    </row>
    <row r="324" spans="1:15" s="2463" customFormat="1">
      <c r="A324" s="1269"/>
      <c r="B324" s="2529"/>
      <c r="C324" s="2535"/>
      <c r="D324" s="2529"/>
      <c r="E324" s="4877"/>
      <c r="F324" s="4877"/>
      <c r="G324" s="1269"/>
      <c r="H324" s="2529"/>
      <c r="I324" s="2579"/>
      <c r="J324" s="2579"/>
      <c r="K324" s="2579"/>
      <c r="L324" s="2579"/>
      <c r="M324" s="2579"/>
      <c r="N324" s="2579"/>
      <c r="O324" s="2579"/>
    </row>
    <row r="325" spans="1:15" s="2463" customFormat="1">
      <c r="A325" s="2529"/>
      <c r="B325" s="1269"/>
      <c r="C325" s="2535"/>
      <c r="D325" s="1269"/>
      <c r="E325" s="1269"/>
      <c r="F325" s="1269"/>
      <c r="G325" s="1269"/>
      <c r="H325" s="2529"/>
      <c r="I325" s="2579"/>
      <c r="J325" s="2579"/>
      <c r="K325" s="2579"/>
      <c r="L325" s="2579"/>
      <c r="M325" s="2579"/>
      <c r="N325" s="2579"/>
      <c r="O325" s="2579"/>
    </row>
    <row r="326" spans="1:15" s="2463" customFormat="1" ht="12.75">
      <c r="A326" s="2534"/>
      <c r="B326" s="1269"/>
      <c r="C326" s="4881"/>
      <c r="D326" s="4881"/>
      <c r="E326" s="4876"/>
      <c r="F326" s="4876"/>
      <c r="G326" s="4876"/>
      <c r="H326" s="4876"/>
      <c r="I326" s="2579"/>
      <c r="J326" s="2579"/>
      <c r="K326" s="2579"/>
      <c r="L326" s="2579"/>
      <c r="M326" s="2579"/>
      <c r="N326" s="2579"/>
      <c r="O326" s="2579"/>
    </row>
    <row r="327" spans="1:15" s="2463" customFormat="1" ht="12.75">
      <c r="A327" s="2531"/>
      <c r="B327" s="2533"/>
      <c r="C327" s="4874"/>
      <c r="D327" s="4874"/>
      <c r="E327" s="4875"/>
      <c r="F327" s="4875"/>
      <c r="G327" s="4875"/>
      <c r="H327" s="4875"/>
      <c r="I327" s="2579"/>
      <c r="J327" s="2579"/>
      <c r="K327" s="2579"/>
      <c r="L327" s="2579"/>
      <c r="M327" s="2579"/>
      <c r="N327" s="2579"/>
      <c r="O327" s="2579"/>
    </row>
    <row r="328" spans="1:15" s="2463" customFormat="1" ht="12.75">
      <c r="A328" s="2531"/>
      <c r="B328" s="2533"/>
      <c r="C328" s="2531"/>
      <c r="D328" s="2566"/>
      <c r="E328" s="2566"/>
      <c r="F328" s="2566"/>
      <c r="G328" s="2566"/>
      <c r="H328" s="2566"/>
      <c r="I328" s="2579"/>
      <c r="J328" s="2579"/>
      <c r="K328" s="2579"/>
      <c r="L328" s="2579"/>
      <c r="M328" s="2579"/>
      <c r="N328" s="2579"/>
      <c r="O328" s="2579"/>
    </row>
    <row r="329" spans="1:15" s="2463" customFormat="1" ht="12.75">
      <c r="A329" s="2531"/>
      <c r="B329" s="2533"/>
      <c r="C329" s="2531"/>
      <c r="D329" s="2566"/>
      <c r="E329" s="2566"/>
      <c r="F329" s="2566"/>
      <c r="G329" s="2566"/>
      <c r="H329" s="2566"/>
      <c r="I329" s="2579"/>
      <c r="J329" s="2579"/>
      <c r="K329" s="2579"/>
      <c r="L329" s="2579"/>
      <c r="M329" s="2579"/>
      <c r="N329" s="2579"/>
      <c r="O329" s="2579"/>
    </row>
    <row r="330" spans="1:15" s="2463" customFormat="1" ht="12.75">
      <c r="A330" s="2531"/>
      <c r="B330" s="2533"/>
      <c r="C330" s="2531"/>
      <c r="D330" s="2566"/>
      <c r="E330" s="2566"/>
      <c r="F330" s="2566"/>
      <c r="G330" s="2566"/>
      <c r="H330" s="2566"/>
      <c r="I330" s="2579"/>
      <c r="J330" s="2579"/>
      <c r="K330" s="2579"/>
      <c r="L330" s="2579"/>
      <c r="M330" s="2579"/>
      <c r="N330" s="2579"/>
      <c r="O330" s="2579"/>
    </row>
    <row r="331" spans="1:15" s="2463" customFormat="1" ht="12.75">
      <c r="A331" s="2531"/>
      <c r="B331" s="2533"/>
      <c r="C331" s="2531"/>
      <c r="D331" s="2566"/>
      <c r="E331" s="2566"/>
      <c r="F331" s="2566"/>
      <c r="G331" s="2566"/>
      <c r="H331" s="2566"/>
      <c r="I331" s="2579"/>
      <c r="J331" s="2579"/>
      <c r="K331" s="2579"/>
      <c r="L331" s="2579"/>
      <c r="M331" s="2579"/>
      <c r="N331" s="2579"/>
      <c r="O331" s="2579"/>
    </row>
    <row r="332" spans="1:15" s="2463" customFormat="1" ht="12.75">
      <c r="A332" s="2531"/>
      <c r="B332" s="2533"/>
      <c r="C332" s="2531"/>
      <c r="D332" s="2566"/>
      <c r="E332" s="2566"/>
      <c r="F332" s="2566"/>
      <c r="G332" s="2566"/>
      <c r="H332" s="2566"/>
      <c r="I332" s="2579"/>
      <c r="J332" s="2579"/>
      <c r="K332" s="2579"/>
      <c r="L332" s="2579"/>
      <c r="M332" s="2579"/>
      <c r="N332" s="2579"/>
      <c r="O332" s="2579"/>
    </row>
    <row r="333" spans="1:15" s="2463" customFormat="1" ht="12.75">
      <c r="A333" s="2531"/>
      <c r="B333" s="2533"/>
      <c r="C333" s="2531"/>
      <c r="D333" s="2566"/>
      <c r="E333" s="2566"/>
      <c r="F333" s="2566"/>
      <c r="G333" s="2566"/>
      <c r="H333" s="2566"/>
      <c r="I333" s="2579"/>
      <c r="J333" s="2579"/>
      <c r="K333" s="2579"/>
      <c r="L333" s="2579"/>
      <c r="M333" s="2579"/>
      <c r="N333" s="2579"/>
      <c r="O333" s="2579"/>
    </row>
    <row r="334" spans="1:15">
      <c r="A334" s="2531"/>
      <c r="B334" s="2533"/>
      <c r="C334" s="2531"/>
      <c r="D334" s="2566"/>
      <c r="E334" s="2566"/>
      <c r="F334" s="2566"/>
      <c r="G334" s="2566"/>
      <c r="H334" s="2566"/>
    </row>
    <row r="335" spans="1:15">
      <c r="A335" s="2531"/>
      <c r="B335" s="2533"/>
      <c r="C335" s="2531"/>
      <c r="D335" s="2566"/>
      <c r="E335" s="2566"/>
      <c r="F335" s="2566"/>
      <c r="G335" s="2566"/>
      <c r="H335" s="2566"/>
    </row>
    <row r="336" spans="1:15">
      <c r="A336" s="2531"/>
      <c r="B336" s="2533"/>
      <c r="C336" s="2531"/>
      <c r="D336" s="2566"/>
      <c r="E336" s="2566"/>
      <c r="F336" s="2566"/>
      <c r="G336" s="2566"/>
      <c r="H336" s="2566"/>
    </row>
    <row r="337" spans="1:15">
      <c r="A337" s="2531"/>
      <c r="B337" s="2533"/>
      <c r="C337" s="2531"/>
      <c r="D337" s="2566"/>
      <c r="E337" s="2566"/>
      <c r="F337" s="2566"/>
      <c r="G337" s="2566"/>
      <c r="H337" s="2566"/>
    </row>
    <row r="338" spans="1:15" s="2463" customFormat="1" ht="12.75">
      <c r="A338" s="2531"/>
      <c r="B338" s="2533"/>
      <c r="C338" s="2531"/>
      <c r="D338" s="2566"/>
      <c r="E338" s="2566"/>
      <c r="F338" s="2566"/>
      <c r="G338" s="2566"/>
      <c r="H338" s="2566"/>
      <c r="I338" s="2579"/>
      <c r="J338" s="2579"/>
      <c r="K338" s="2579"/>
      <c r="L338" s="2579"/>
      <c r="M338" s="2579"/>
      <c r="N338" s="2579"/>
      <c r="O338" s="2579"/>
    </row>
    <row r="339" spans="1:15" s="2463" customFormat="1" ht="12.75">
      <c r="A339" s="2531"/>
      <c r="B339" s="2533"/>
      <c r="C339" s="2531"/>
      <c r="D339" s="2566"/>
      <c r="E339" s="2566"/>
      <c r="F339" s="2566"/>
      <c r="G339" s="2566"/>
      <c r="H339" s="2566"/>
      <c r="I339" s="2579"/>
      <c r="J339" s="2579"/>
      <c r="K339" s="2579"/>
      <c r="L339" s="2579"/>
      <c r="M339" s="2579"/>
      <c r="N339" s="2579"/>
      <c r="O339" s="2579"/>
    </row>
    <row r="340" spans="1:15" s="2463" customFormat="1" ht="12.75">
      <c r="A340" s="2531"/>
      <c r="B340" s="2533"/>
      <c r="C340" s="2531"/>
      <c r="D340" s="2566"/>
      <c r="E340" s="2566"/>
      <c r="F340" s="2566"/>
      <c r="G340" s="2566"/>
      <c r="H340" s="2566"/>
      <c r="I340" s="2579"/>
      <c r="J340" s="2579"/>
      <c r="K340" s="2579"/>
      <c r="L340" s="2579"/>
      <c r="M340" s="2579"/>
      <c r="N340" s="2579"/>
      <c r="O340" s="2579"/>
    </row>
    <row r="341" spans="1:15" s="2463" customFormat="1" ht="12.75">
      <c r="A341" s="2531"/>
      <c r="B341" s="2533"/>
      <c r="C341" s="2531"/>
      <c r="D341" s="2566"/>
      <c r="E341" s="2566"/>
      <c r="F341" s="2566"/>
      <c r="G341" s="2566"/>
      <c r="H341" s="2566"/>
      <c r="I341" s="2579"/>
      <c r="J341" s="2579"/>
      <c r="K341" s="2579"/>
      <c r="L341" s="2579"/>
      <c r="M341" s="2579"/>
      <c r="N341" s="2579"/>
      <c r="O341" s="2579"/>
    </row>
    <row r="342" spans="1:15" s="2463" customFormat="1" ht="12.75">
      <c r="A342" s="2531"/>
      <c r="B342" s="2533"/>
      <c r="C342" s="2531"/>
      <c r="D342" s="2566"/>
      <c r="E342" s="2566"/>
      <c r="F342" s="2566"/>
      <c r="G342" s="2566"/>
      <c r="H342" s="2566"/>
      <c r="I342" s="2579"/>
      <c r="J342" s="2579"/>
      <c r="K342" s="2579"/>
      <c r="L342" s="2579"/>
      <c r="M342" s="2579"/>
      <c r="N342" s="2579"/>
      <c r="O342" s="2579"/>
    </row>
    <row r="343" spans="1:15" s="2463" customFormat="1" ht="12.75">
      <c r="A343" s="2531"/>
      <c r="B343" s="2533"/>
      <c r="C343" s="2531"/>
      <c r="D343" s="2566"/>
      <c r="E343" s="2566"/>
      <c r="F343" s="2566"/>
      <c r="G343" s="2566"/>
      <c r="H343" s="2566"/>
      <c r="I343" s="2579"/>
      <c r="J343" s="2579"/>
      <c r="K343" s="2579"/>
      <c r="L343" s="2579"/>
      <c r="M343" s="2579"/>
      <c r="N343" s="2579"/>
      <c r="O343" s="2579"/>
    </row>
    <row r="344" spans="1:15" s="2463" customFormat="1" ht="12.75">
      <c r="A344" s="2531"/>
      <c r="B344" s="2533"/>
      <c r="C344" s="2531"/>
      <c r="D344" s="2566"/>
      <c r="E344" s="2566"/>
      <c r="F344" s="2566"/>
      <c r="G344" s="2566"/>
      <c r="H344" s="2566"/>
      <c r="I344" s="2579"/>
      <c r="J344" s="2579"/>
      <c r="K344" s="2579"/>
      <c r="L344" s="2579"/>
      <c r="M344" s="2579"/>
      <c r="N344" s="2579"/>
      <c r="O344" s="2579"/>
    </row>
    <row r="345" spans="1:15" s="2463" customFormat="1" ht="12.75">
      <c r="A345" s="2531"/>
      <c r="B345" s="2533"/>
      <c r="C345" s="2531"/>
      <c r="D345" s="2566"/>
      <c r="E345" s="2566"/>
      <c r="F345" s="2566"/>
      <c r="G345" s="2566"/>
      <c r="H345" s="2566"/>
      <c r="I345" s="2579"/>
      <c r="J345" s="2579"/>
      <c r="K345" s="2579"/>
      <c r="L345" s="2579"/>
      <c r="M345" s="2579"/>
      <c r="N345" s="2579"/>
      <c r="O345" s="2579"/>
    </row>
    <row r="346" spans="1:15" s="2463" customFormat="1" ht="12.75">
      <c r="A346" s="2531"/>
      <c r="B346" s="2533"/>
      <c r="C346" s="2531"/>
      <c r="D346" s="2566"/>
      <c r="E346" s="2566"/>
      <c r="F346" s="2566"/>
      <c r="G346" s="2566"/>
      <c r="H346" s="2566"/>
      <c r="I346" s="2579"/>
      <c r="J346" s="2579"/>
      <c r="K346" s="2579"/>
      <c r="L346" s="2579"/>
      <c r="M346" s="2579"/>
      <c r="N346" s="2579"/>
      <c r="O346" s="2579"/>
    </row>
    <row r="347" spans="1:15" s="2463" customFormat="1" ht="12.75">
      <c r="A347" s="2531"/>
      <c r="B347" s="2533"/>
      <c r="C347" s="2531"/>
      <c r="D347" s="2566"/>
      <c r="E347" s="2566"/>
      <c r="F347" s="2566"/>
      <c r="G347" s="2566"/>
      <c r="H347" s="2566"/>
      <c r="I347" s="2579"/>
      <c r="J347" s="2579"/>
      <c r="K347" s="2579"/>
      <c r="L347" s="2579"/>
      <c r="M347" s="2579"/>
      <c r="N347" s="2579"/>
      <c r="O347" s="2579"/>
    </row>
    <row r="348" spans="1:15" s="2463" customFormat="1" ht="12.75">
      <c r="A348" s="2531"/>
      <c r="B348" s="2533"/>
      <c r="C348" s="2531"/>
      <c r="D348" s="2566"/>
      <c r="E348" s="2566"/>
      <c r="F348" s="2566"/>
      <c r="G348" s="2566"/>
      <c r="H348" s="2566"/>
      <c r="I348" s="2579"/>
      <c r="J348" s="2579"/>
      <c r="K348" s="2579"/>
      <c r="L348" s="2579"/>
      <c r="M348" s="2579"/>
      <c r="N348" s="2579"/>
      <c r="O348" s="2579"/>
    </row>
    <row r="349" spans="1:15" s="2463" customFormat="1" ht="12.75">
      <c r="A349" s="2531"/>
      <c r="B349" s="2533"/>
      <c r="C349" s="2531"/>
      <c r="D349" s="2566"/>
      <c r="E349" s="2566"/>
      <c r="F349" s="2566"/>
      <c r="G349" s="2566"/>
      <c r="H349" s="2566"/>
      <c r="I349" s="2579"/>
      <c r="J349" s="2579"/>
      <c r="K349" s="2579"/>
      <c r="L349" s="2579"/>
      <c r="M349" s="2579"/>
      <c r="N349" s="2579"/>
      <c r="O349" s="2579"/>
    </row>
    <row r="350" spans="1:15" s="2463" customFormat="1" ht="12.75">
      <c r="A350" s="2531"/>
      <c r="B350" s="2533"/>
      <c r="C350" s="2531"/>
      <c r="D350" s="2566"/>
      <c r="E350" s="2566"/>
      <c r="F350" s="2566"/>
      <c r="G350" s="2566"/>
      <c r="H350" s="2566"/>
      <c r="I350" s="2579"/>
      <c r="J350" s="2579"/>
      <c r="K350" s="2579"/>
      <c r="L350" s="2579"/>
      <c r="M350" s="2579"/>
      <c r="N350" s="2579"/>
      <c r="O350" s="2579"/>
    </row>
    <row r="351" spans="1:15" s="2463" customFormat="1" ht="12.75">
      <c r="A351" s="2531"/>
      <c r="B351" s="2533"/>
      <c r="C351" s="2531"/>
      <c r="D351" s="2566"/>
      <c r="E351" s="2566"/>
      <c r="F351" s="2566"/>
      <c r="G351" s="2566"/>
      <c r="H351" s="2566"/>
      <c r="I351" s="2579"/>
      <c r="J351" s="2579"/>
      <c r="K351" s="2579"/>
      <c r="L351" s="2579"/>
      <c r="M351" s="2579"/>
      <c r="N351" s="2579"/>
      <c r="O351" s="2579"/>
    </row>
    <row r="352" spans="1:15" s="2463" customFormat="1" ht="12.75">
      <c r="A352" s="2531"/>
      <c r="B352" s="2533"/>
      <c r="C352" s="2531"/>
      <c r="D352" s="2566"/>
      <c r="E352" s="2566"/>
      <c r="F352" s="2566"/>
      <c r="G352" s="2566"/>
      <c r="H352" s="2566"/>
      <c r="I352" s="2579"/>
      <c r="J352" s="2579"/>
      <c r="K352" s="2579"/>
      <c r="L352" s="2579"/>
      <c r="M352" s="2579"/>
      <c r="N352" s="2579"/>
      <c r="O352" s="2579"/>
    </row>
    <row r="353" spans="1:15" s="2463" customFormat="1" ht="12.75">
      <c r="A353" s="2531"/>
      <c r="B353" s="2533"/>
      <c r="C353" s="2531"/>
      <c r="D353" s="2566"/>
      <c r="E353" s="2566"/>
      <c r="F353" s="2566"/>
      <c r="G353" s="2566"/>
      <c r="H353" s="2566"/>
      <c r="I353" s="2579"/>
      <c r="J353" s="2579"/>
      <c r="K353" s="2579"/>
      <c r="L353" s="2579"/>
      <c r="M353" s="2579"/>
      <c r="N353" s="2579"/>
      <c r="O353" s="2579"/>
    </row>
    <row r="354" spans="1:15" s="2463" customFormat="1" ht="12.75">
      <c r="A354" s="2531"/>
      <c r="B354" s="2533"/>
      <c r="C354" s="2531"/>
      <c r="D354" s="2566"/>
      <c r="E354" s="2566"/>
      <c r="F354" s="2566"/>
      <c r="G354" s="2566"/>
      <c r="H354" s="2566"/>
      <c r="I354" s="2579"/>
      <c r="J354" s="2579"/>
      <c r="K354" s="2579"/>
      <c r="L354" s="2579"/>
      <c r="M354" s="2579"/>
      <c r="N354" s="2579"/>
      <c r="O354" s="2579"/>
    </row>
    <row r="355" spans="1:15" s="2463" customFormat="1" ht="12.75">
      <c r="A355" s="2531"/>
      <c r="B355" s="2533"/>
      <c r="C355" s="2531"/>
      <c r="D355" s="2566"/>
      <c r="E355" s="2566"/>
      <c r="F355" s="2566"/>
      <c r="G355" s="2566"/>
      <c r="H355" s="2566"/>
      <c r="I355" s="2579"/>
      <c r="J355" s="2579"/>
      <c r="K355" s="2579"/>
      <c r="L355" s="2579"/>
      <c r="M355" s="2579"/>
      <c r="N355" s="2579"/>
      <c r="O355" s="2579"/>
    </row>
    <row r="356" spans="1:15" s="2463" customFormat="1" ht="12.75">
      <c r="A356" s="2531"/>
      <c r="B356" s="2533"/>
      <c r="C356" s="2531"/>
      <c r="D356" s="2566"/>
      <c r="E356" s="2566"/>
      <c r="F356" s="2566"/>
      <c r="G356" s="2566"/>
      <c r="H356" s="2566"/>
      <c r="I356" s="2579"/>
      <c r="J356" s="2579"/>
      <c r="K356" s="2579"/>
      <c r="L356" s="2579"/>
      <c r="M356" s="2579"/>
      <c r="N356" s="2579"/>
      <c r="O356" s="2579"/>
    </row>
    <row r="357" spans="1:15" s="2463" customFormat="1" ht="12.75">
      <c r="A357" s="2531"/>
      <c r="B357" s="2533"/>
      <c r="C357" s="2531"/>
      <c r="D357" s="2566"/>
      <c r="E357" s="2566"/>
      <c r="F357" s="2566"/>
      <c r="G357" s="2566"/>
      <c r="H357" s="2566"/>
      <c r="I357" s="2579"/>
      <c r="J357" s="2579"/>
      <c r="K357" s="2579"/>
      <c r="L357" s="2579"/>
      <c r="M357" s="2579"/>
      <c r="N357" s="2579"/>
      <c r="O357" s="2579"/>
    </row>
    <row r="358" spans="1:15" s="2463" customFormat="1" ht="12.75">
      <c r="A358" s="2531"/>
      <c r="B358" s="2533"/>
      <c r="C358" s="2531"/>
      <c r="D358" s="2566"/>
      <c r="E358" s="2566"/>
      <c r="F358" s="2566"/>
      <c r="G358" s="2566"/>
      <c r="H358" s="2566"/>
      <c r="I358" s="2579"/>
      <c r="J358" s="2579"/>
      <c r="K358" s="2579"/>
      <c r="L358" s="2579"/>
      <c r="M358" s="2579"/>
      <c r="N358" s="2579"/>
      <c r="O358" s="2579"/>
    </row>
    <row r="359" spans="1:15" s="2463" customFormat="1" ht="12.75">
      <c r="A359" s="2531"/>
      <c r="B359" s="2533"/>
      <c r="C359" s="2531"/>
      <c r="D359" s="2566"/>
      <c r="E359" s="2566"/>
      <c r="F359" s="2566"/>
      <c r="G359" s="2566"/>
      <c r="H359" s="2566"/>
      <c r="I359" s="2579"/>
      <c r="J359" s="2579"/>
      <c r="K359" s="2579"/>
      <c r="L359" s="2579"/>
      <c r="M359" s="2579"/>
      <c r="N359" s="2579"/>
      <c r="O359" s="2579"/>
    </row>
    <row r="360" spans="1:15" s="2463" customFormat="1" ht="12.75">
      <c r="A360" s="2531"/>
      <c r="B360" s="2533"/>
      <c r="C360" s="2531"/>
      <c r="D360" s="2566"/>
      <c r="E360" s="2566"/>
      <c r="F360" s="2566"/>
      <c r="G360" s="2566"/>
      <c r="H360" s="2566"/>
      <c r="I360" s="2579"/>
      <c r="J360" s="2579"/>
      <c r="K360" s="2579"/>
      <c r="L360" s="2579"/>
      <c r="M360" s="2579"/>
      <c r="N360" s="2579"/>
      <c r="O360" s="2579"/>
    </row>
    <row r="361" spans="1:15" s="2463" customFormat="1" ht="12.75">
      <c r="A361" s="2531"/>
      <c r="B361" s="2533"/>
      <c r="C361" s="2531"/>
      <c r="D361" s="2566"/>
      <c r="E361" s="2566"/>
      <c r="F361" s="2566"/>
      <c r="G361" s="2566"/>
      <c r="H361" s="2566"/>
      <c r="I361" s="2579"/>
      <c r="J361" s="2579"/>
      <c r="K361" s="2579"/>
      <c r="L361" s="2579"/>
      <c r="M361" s="2579"/>
      <c r="N361" s="2579"/>
      <c r="O361" s="2579"/>
    </row>
    <row r="362" spans="1:15" s="2463" customFormat="1" ht="12.75">
      <c r="A362" s="2531"/>
      <c r="B362" s="2533"/>
      <c r="C362" s="2531"/>
      <c r="D362" s="2566"/>
      <c r="E362" s="2566"/>
      <c r="F362" s="2566"/>
      <c r="G362" s="2566"/>
      <c r="H362" s="2566"/>
      <c r="I362" s="2579"/>
      <c r="J362" s="2579"/>
      <c r="K362" s="2579"/>
      <c r="L362" s="2579"/>
      <c r="M362" s="2579"/>
      <c r="N362" s="2579"/>
      <c r="O362" s="2579"/>
    </row>
    <row r="363" spans="1:15" s="2463" customFormat="1" ht="12.75">
      <c r="A363" s="2531"/>
      <c r="B363" s="2533"/>
      <c r="C363" s="2531"/>
      <c r="D363" s="2566"/>
      <c r="E363" s="2566"/>
      <c r="F363" s="2566"/>
      <c r="G363" s="2566"/>
      <c r="H363" s="2566"/>
      <c r="I363" s="2579"/>
      <c r="J363" s="2579"/>
      <c r="K363" s="2579"/>
      <c r="L363" s="2579"/>
      <c r="M363" s="2579"/>
      <c r="N363" s="2579"/>
      <c r="O363" s="2579"/>
    </row>
    <row r="364" spans="1:15" s="2463" customFormat="1" ht="12.75">
      <c r="A364" s="4876"/>
      <c r="B364" s="4876"/>
      <c r="C364" s="4876"/>
      <c r="D364" s="4876"/>
      <c r="E364" s="4876"/>
      <c r="F364" s="4876"/>
      <c r="G364" s="4876"/>
      <c r="H364" s="4876"/>
      <c r="I364" s="2579"/>
      <c r="J364" s="2579"/>
      <c r="K364" s="2579"/>
      <c r="L364" s="2579"/>
      <c r="M364" s="2579"/>
      <c r="N364" s="2579"/>
      <c r="O364" s="2579"/>
    </row>
    <row r="365" spans="1:15" s="2463" customFormat="1" ht="12.75">
      <c r="A365" s="4877"/>
      <c r="B365" s="4877"/>
      <c r="C365" s="4877"/>
      <c r="D365" s="4877"/>
      <c r="E365" s="4877"/>
      <c r="F365" s="4877"/>
      <c r="G365" s="4877"/>
      <c r="H365" s="4877"/>
      <c r="I365" s="2579"/>
      <c r="J365" s="2579"/>
      <c r="K365" s="2579"/>
      <c r="L365" s="2579"/>
      <c r="M365" s="2579"/>
      <c r="N365" s="2579"/>
      <c r="O365" s="2579"/>
    </row>
    <row r="366" spans="1:15" s="2463" customFormat="1">
      <c r="A366" s="2529"/>
      <c r="B366" s="2529"/>
      <c r="C366" s="2529"/>
      <c r="D366" s="2529"/>
      <c r="E366" s="2529"/>
      <c r="F366" s="2529"/>
      <c r="G366" s="2529"/>
      <c r="H366" s="2529"/>
      <c r="I366" s="2579"/>
      <c r="J366" s="2579"/>
      <c r="K366" s="2579"/>
      <c r="L366" s="2579"/>
      <c r="M366" s="2579"/>
      <c r="N366" s="2579"/>
      <c r="O366" s="2579"/>
    </row>
    <row r="367" spans="1:15" s="2463" customFormat="1">
      <c r="A367" s="2568"/>
      <c r="B367" s="2567"/>
      <c r="C367" s="2529"/>
      <c r="D367" s="2566"/>
      <c r="E367" s="2566"/>
      <c r="F367" s="2566"/>
      <c r="G367" s="2566"/>
      <c r="H367" s="2566"/>
      <c r="I367" s="2579"/>
      <c r="J367" s="2579"/>
      <c r="K367" s="2579"/>
      <c r="L367" s="2579"/>
      <c r="M367" s="2579"/>
      <c r="N367" s="2579"/>
      <c r="O367" s="2579"/>
    </row>
    <row r="368" spans="1:15" s="2463" customFormat="1" ht="12.75">
      <c r="A368" s="1269"/>
      <c r="B368" s="1269"/>
      <c r="C368" s="2542"/>
      <c r="D368" s="2541"/>
      <c r="E368" s="2561"/>
      <c r="F368" s="2540"/>
      <c r="G368" s="2565"/>
      <c r="H368" s="2561"/>
      <c r="I368" s="2579"/>
      <c r="J368" s="2579"/>
      <c r="K368" s="2579"/>
      <c r="L368" s="2579"/>
      <c r="M368" s="2579"/>
      <c r="N368" s="2579"/>
      <c r="O368" s="2579"/>
    </row>
    <row r="369" spans="1:15" s="2463" customFormat="1" ht="23.25">
      <c r="A369" s="2564"/>
      <c r="B369" s="2564"/>
      <c r="C369" s="2563"/>
      <c r="D369" s="2541"/>
      <c r="E369" s="2561"/>
      <c r="F369" s="2540"/>
      <c r="G369" s="2562"/>
      <c r="H369" s="2561"/>
      <c r="I369" s="2579"/>
      <c r="J369" s="2579"/>
      <c r="K369" s="2579"/>
      <c r="L369" s="2579"/>
      <c r="M369" s="2579"/>
      <c r="N369" s="2579"/>
      <c r="O369" s="2579"/>
    </row>
    <row r="370" spans="1:15" s="2463" customFormat="1" ht="12.75">
      <c r="A370" s="4879"/>
      <c r="B370" s="4879"/>
      <c r="C370" s="2559"/>
      <c r="D370" s="2560"/>
      <c r="E370" s="4880"/>
      <c r="F370" s="4880"/>
      <c r="G370" s="4880"/>
      <c r="H370" s="2557"/>
      <c r="I370" s="2579"/>
      <c r="J370" s="2579"/>
      <c r="K370" s="2579"/>
      <c r="L370" s="2579"/>
      <c r="M370" s="2579"/>
      <c r="N370" s="2579"/>
      <c r="O370" s="2579"/>
    </row>
    <row r="371" spans="1:15" s="2463" customFormat="1" ht="12.75">
      <c r="A371" s="4879"/>
      <c r="B371" s="4879"/>
      <c r="C371" s="2559"/>
      <c r="D371" s="2558"/>
      <c r="E371" s="2558"/>
      <c r="F371" s="2558"/>
      <c r="G371" s="2558"/>
      <c r="H371" s="2558"/>
      <c r="I371" s="2579"/>
      <c r="J371" s="2579"/>
      <c r="K371" s="2579"/>
      <c r="L371" s="2579"/>
      <c r="M371" s="2579"/>
      <c r="N371" s="2579"/>
      <c r="O371" s="2579"/>
    </row>
    <row r="372" spans="1:15" s="2463" customFormat="1" ht="12.75">
      <c r="A372" s="4879"/>
      <c r="B372" s="4879"/>
      <c r="C372" s="2557"/>
      <c r="D372" s="2555"/>
      <c r="E372" s="2555"/>
      <c r="F372" s="2555"/>
      <c r="G372" s="2556"/>
      <c r="H372" s="2555"/>
      <c r="I372" s="2579"/>
      <c r="J372" s="2579"/>
      <c r="K372" s="2579"/>
      <c r="L372" s="2579"/>
      <c r="M372" s="2579"/>
      <c r="N372" s="2579"/>
      <c r="O372" s="2579"/>
    </row>
    <row r="373" spans="1:15" s="2463" customFormat="1" ht="12.75">
      <c r="A373" s="2554"/>
      <c r="B373" s="2553"/>
      <c r="C373" s="2552"/>
      <c r="D373" s="2551"/>
      <c r="E373" s="2551"/>
      <c r="F373" s="2551"/>
      <c r="G373" s="2551"/>
      <c r="H373" s="2551"/>
      <c r="I373" s="2579"/>
      <c r="J373" s="2579"/>
      <c r="K373" s="2579"/>
      <c r="L373" s="2579"/>
      <c r="M373" s="2579"/>
      <c r="N373" s="2579"/>
      <c r="O373" s="2579"/>
    </row>
    <row r="374" spans="1:15" s="2463" customFormat="1" ht="12.75">
      <c r="A374" s="2549"/>
      <c r="B374" s="2549"/>
      <c r="C374" s="2550"/>
      <c r="D374" s="2548"/>
      <c r="E374" s="2548"/>
      <c r="F374" s="2540"/>
      <c r="G374" s="2548"/>
      <c r="H374" s="2548"/>
      <c r="I374" s="2579"/>
      <c r="J374" s="2579"/>
      <c r="K374" s="2579"/>
      <c r="L374" s="2579"/>
      <c r="M374" s="2579"/>
      <c r="N374" s="2579"/>
      <c r="O374" s="2579"/>
    </row>
    <row r="375" spans="1:15">
      <c r="A375" s="2549"/>
      <c r="B375" s="2549"/>
      <c r="C375" s="2545"/>
      <c r="D375" s="2548"/>
      <c r="E375" s="2548"/>
      <c r="F375" s="2540"/>
      <c r="G375" s="2548"/>
      <c r="H375" s="2548"/>
    </row>
    <row r="376" spans="1:15">
      <c r="A376" s="2547"/>
      <c r="B376" s="2546"/>
      <c r="C376" s="2545"/>
      <c r="D376" s="2541"/>
      <c r="E376" s="2544"/>
      <c r="F376" s="2540"/>
      <c r="G376" s="2544"/>
      <c r="H376" s="2544"/>
    </row>
    <row r="377" spans="1:15">
      <c r="A377" s="2543"/>
      <c r="B377" s="2543"/>
      <c r="C377" s="2542"/>
      <c r="D377" s="2541"/>
      <c r="E377" s="2539"/>
      <c r="F377" s="2540"/>
      <c r="G377" s="2539"/>
      <c r="H377" s="2539"/>
    </row>
    <row r="378" spans="1:15">
      <c r="A378" s="2538"/>
      <c r="B378" s="2538"/>
      <c r="C378" s="2537"/>
      <c r="D378" s="2536"/>
      <c r="E378" s="2536"/>
      <c r="F378" s="2536"/>
      <c r="G378" s="2536"/>
      <c r="H378" s="2536"/>
    </row>
    <row r="379" spans="1:15" s="2463" customFormat="1" ht="12.75">
      <c r="A379" s="2538"/>
      <c r="B379" s="2538"/>
      <c r="C379" s="2537"/>
      <c r="D379" s="2536"/>
      <c r="E379" s="2536"/>
      <c r="F379" s="2536"/>
      <c r="G379" s="2536"/>
      <c r="H379" s="2536"/>
      <c r="I379" s="2579"/>
      <c r="J379" s="2579"/>
      <c r="K379" s="2579"/>
      <c r="L379" s="2579"/>
      <c r="M379" s="2579"/>
      <c r="N379" s="2579"/>
      <c r="O379" s="2579"/>
    </row>
    <row r="380" spans="1:15" s="2463" customFormat="1">
      <c r="A380" s="1269"/>
      <c r="B380" s="2529"/>
      <c r="C380" s="2535"/>
      <c r="D380" s="2529"/>
      <c r="E380" s="4877"/>
      <c r="F380" s="4877"/>
      <c r="G380" s="1269"/>
      <c r="H380" s="2529"/>
      <c r="I380" s="2579"/>
      <c r="J380" s="2579"/>
      <c r="K380" s="2579"/>
      <c r="L380" s="2579"/>
      <c r="M380" s="2579"/>
      <c r="N380" s="2579"/>
      <c r="O380" s="2579"/>
    </row>
    <row r="381" spans="1:15" s="2463" customFormat="1">
      <c r="A381" s="2529"/>
      <c r="B381" s="1269"/>
      <c r="C381" s="2535"/>
      <c r="D381" s="1269"/>
      <c r="E381" s="1269"/>
      <c r="F381" s="1269"/>
      <c r="G381" s="1269"/>
      <c r="H381" s="2529"/>
      <c r="I381" s="2579"/>
      <c r="J381" s="2579"/>
      <c r="K381" s="2579"/>
      <c r="L381" s="2579"/>
      <c r="M381" s="2579"/>
      <c r="N381" s="2579"/>
      <c r="O381" s="2579"/>
    </row>
    <row r="382" spans="1:15" s="2463" customFormat="1" ht="12.75">
      <c r="A382" s="2534"/>
      <c r="B382" s="1269"/>
      <c r="C382" s="4881"/>
      <c r="D382" s="4881"/>
      <c r="E382" s="4876"/>
      <c r="F382" s="4876"/>
      <c r="G382" s="4876"/>
      <c r="H382" s="4876"/>
      <c r="I382" s="2579"/>
      <c r="J382" s="2579"/>
      <c r="K382" s="2579"/>
      <c r="L382" s="2579"/>
      <c r="M382" s="2579"/>
      <c r="N382" s="2579"/>
      <c r="O382" s="2579"/>
    </row>
    <row r="383" spans="1:15" s="2463" customFormat="1" ht="12.75">
      <c r="A383" s="2531"/>
      <c r="B383" s="2533"/>
      <c r="C383" s="4874"/>
      <c r="D383" s="4874"/>
      <c r="E383" s="4875"/>
      <c r="F383" s="4875"/>
      <c r="G383" s="4875"/>
      <c r="H383" s="4875"/>
      <c r="I383" s="2579"/>
      <c r="J383" s="2579"/>
      <c r="K383" s="2579"/>
      <c r="L383" s="2579"/>
      <c r="M383" s="2579"/>
      <c r="N383" s="2579"/>
      <c r="O383" s="2579"/>
    </row>
    <row r="384" spans="1:15" s="2463" customFormat="1">
      <c r="A384" s="2462"/>
      <c r="B384" s="2462"/>
      <c r="C384" s="2462"/>
      <c r="D384" s="2462"/>
      <c r="E384" s="2462"/>
      <c r="F384" s="2462"/>
      <c r="G384" s="2462"/>
      <c r="H384" s="2462"/>
      <c r="I384" s="2579"/>
      <c r="J384" s="2579"/>
      <c r="K384" s="2579"/>
      <c r="L384" s="2579"/>
      <c r="M384" s="2579"/>
      <c r="N384" s="2579"/>
      <c r="O384" s="2579"/>
    </row>
    <row r="385" spans="1:15" s="2463" customFormat="1">
      <c r="A385" s="2462"/>
      <c r="B385" s="2462"/>
      <c r="C385" s="2462"/>
      <c r="D385" s="2462"/>
      <c r="E385" s="2462"/>
      <c r="F385" s="2462"/>
      <c r="G385" s="2462"/>
      <c r="H385" s="2462"/>
      <c r="I385" s="2579"/>
      <c r="J385" s="2579"/>
      <c r="K385" s="2579"/>
      <c r="L385" s="2579"/>
      <c r="M385" s="2579"/>
      <c r="N385" s="2579"/>
      <c r="O385" s="2579"/>
    </row>
    <row r="386" spans="1:15" s="2463" customFormat="1">
      <c r="A386" s="2462"/>
      <c r="B386" s="2462"/>
      <c r="C386" s="2462"/>
      <c r="D386" s="2462"/>
      <c r="E386" s="2462"/>
      <c r="F386" s="2462"/>
      <c r="G386" s="2462"/>
      <c r="H386" s="2462"/>
      <c r="I386" s="2579"/>
      <c r="J386" s="2579"/>
      <c r="K386" s="2579"/>
      <c r="L386" s="2579"/>
      <c r="M386" s="2579"/>
      <c r="N386" s="2579"/>
      <c r="O386" s="2579"/>
    </row>
    <row r="387" spans="1:15" s="2463" customFormat="1">
      <c r="A387" s="2462"/>
      <c r="B387" s="2462"/>
      <c r="C387" s="2462"/>
      <c r="D387" s="2462"/>
      <c r="E387" s="2462"/>
      <c r="F387" s="2462"/>
      <c r="G387" s="2462"/>
      <c r="H387" s="2462"/>
      <c r="I387" s="2579"/>
      <c r="J387" s="2579"/>
      <c r="K387" s="2579"/>
      <c r="L387" s="2579"/>
      <c r="M387" s="2579"/>
      <c r="N387" s="2579"/>
      <c r="O387" s="2579"/>
    </row>
    <row r="388" spans="1:15" s="2463" customFormat="1">
      <c r="A388" s="2462"/>
      <c r="B388" s="2462"/>
      <c r="C388" s="2462"/>
      <c r="D388" s="2462"/>
      <c r="E388" s="2462"/>
      <c r="F388" s="2462"/>
      <c r="G388" s="2462"/>
      <c r="H388" s="2462"/>
      <c r="I388" s="2579"/>
      <c r="J388" s="2579"/>
      <c r="K388" s="2579"/>
      <c r="L388" s="2579"/>
      <c r="M388" s="2579"/>
      <c r="N388" s="2579"/>
      <c r="O388" s="2579"/>
    </row>
    <row r="389" spans="1:15" s="2463" customFormat="1">
      <c r="A389" s="2462"/>
      <c r="B389" s="2462"/>
      <c r="C389" s="2462"/>
      <c r="D389" s="2462"/>
      <c r="E389" s="2462"/>
      <c r="F389" s="2462"/>
      <c r="G389" s="2462"/>
      <c r="H389" s="2462"/>
      <c r="I389" s="2579"/>
      <c r="J389" s="2579"/>
      <c r="K389" s="2579"/>
      <c r="L389" s="2579"/>
      <c r="M389" s="2579"/>
      <c r="N389" s="2579"/>
      <c r="O389" s="2579"/>
    </row>
    <row r="390" spans="1:15" s="2463" customFormat="1">
      <c r="A390" s="2462"/>
      <c r="B390" s="2462"/>
      <c r="C390" s="2462"/>
      <c r="D390" s="2462"/>
      <c r="E390" s="2462"/>
      <c r="F390" s="2462"/>
      <c r="G390" s="2462"/>
      <c r="H390" s="2462"/>
      <c r="I390" s="2579"/>
      <c r="J390" s="2579"/>
      <c r="K390" s="2579"/>
      <c r="L390" s="2579"/>
      <c r="M390" s="2579"/>
      <c r="N390" s="2579"/>
      <c r="O390" s="2579"/>
    </row>
    <row r="391" spans="1:15" s="2463" customFormat="1">
      <c r="A391" s="2462"/>
      <c r="B391" s="2462"/>
      <c r="C391" s="2462"/>
      <c r="D391" s="2462"/>
      <c r="E391" s="2462"/>
      <c r="F391" s="2462"/>
      <c r="G391" s="2462"/>
      <c r="H391" s="2462"/>
      <c r="I391" s="2579"/>
      <c r="J391" s="2579"/>
      <c r="K391" s="2579"/>
      <c r="L391" s="2579"/>
      <c r="M391" s="2579"/>
      <c r="N391" s="2579"/>
      <c r="O391" s="2579"/>
    </row>
    <row r="392" spans="1:15" s="2463" customFormat="1">
      <c r="A392" s="2462"/>
      <c r="B392" s="2462"/>
      <c r="C392" s="2462"/>
      <c r="D392" s="2462"/>
      <c r="E392" s="2462"/>
      <c r="F392" s="2462"/>
      <c r="G392" s="2462"/>
      <c r="H392" s="2462"/>
      <c r="I392" s="2579"/>
      <c r="J392" s="2579"/>
      <c r="K392" s="2579"/>
      <c r="L392" s="2579"/>
      <c r="M392" s="2579"/>
      <c r="N392" s="2579"/>
      <c r="O392" s="2579"/>
    </row>
    <row r="393" spans="1:15" s="2463" customFormat="1">
      <c r="A393" s="2462"/>
      <c r="B393" s="2462"/>
      <c r="C393" s="2462"/>
      <c r="D393" s="2462"/>
      <c r="E393" s="2462"/>
      <c r="F393" s="2462"/>
      <c r="G393" s="2462"/>
      <c r="H393" s="2462"/>
      <c r="I393" s="2579"/>
      <c r="J393" s="2579"/>
      <c r="K393" s="2579"/>
      <c r="L393" s="2579"/>
      <c r="M393" s="2579"/>
      <c r="N393" s="2579"/>
      <c r="O393" s="2579"/>
    </row>
    <row r="394" spans="1:15" s="2463" customFormat="1">
      <c r="A394" s="2462"/>
      <c r="B394" s="2462"/>
      <c r="C394" s="2462"/>
      <c r="D394" s="2462"/>
      <c r="E394" s="2462"/>
      <c r="F394" s="2462"/>
      <c r="G394" s="2462"/>
      <c r="H394" s="2462"/>
      <c r="I394" s="2579"/>
      <c r="J394" s="2579"/>
      <c r="K394" s="2579"/>
      <c r="L394" s="2579"/>
      <c r="M394" s="2579"/>
      <c r="N394" s="2579"/>
      <c r="O394" s="2579"/>
    </row>
    <row r="395" spans="1:15" s="2463" customFormat="1">
      <c r="A395" s="2462"/>
      <c r="B395" s="2462"/>
      <c r="C395" s="2462"/>
      <c r="D395" s="2462"/>
      <c r="E395" s="2462"/>
      <c r="F395" s="2462"/>
      <c r="G395" s="2462"/>
      <c r="H395" s="2462"/>
      <c r="I395" s="2579"/>
      <c r="J395" s="2579"/>
      <c r="K395" s="2579"/>
      <c r="L395" s="2579"/>
      <c r="M395" s="2579"/>
      <c r="N395" s="2579"/>
      <c r="O395" s="2579"/>
    </row>
    <row r="396" spans="1:15" s="2463" customFormat="1">
      <c r="A396" s="2462"/>
      <c r="B396" s="2462"/>
      <c r="C396" s="2462"/>
      <c r="D396" s="2462"/>
      <c r="E396" s="2462"/>
      <c r="F396" s="2462"/>
      <c r="G396" s="2462"/>
      <c r="H396" s="2462"/>
      <c r="I396" s="2579"/>
      <c r="J396" s="2579"/>
      <c r="K396" s="2579"/>
      <c r="L396" s="2579"/>
      <c r="M396" s="2579"/>
      <c r="N396" s="2579"/>
      <c r="O396" s="2579"/>
    </row>
    <row r="397" spans="1:15" s="2463" customFormat="1">
      <c r="A397" s="2462"/>
      <c r="B397" s="2462"/>
      <c r="C397" s="2462"/>
      <c r="D397" s="2462"/>
      <c r="E397" s="2462"/>
      <c r="F397" s="2462"/>
      <c r="G397" s="2462"/>
      <c r="H397" s="2462"/>
      <c r="I397" s="2579"/>
      <c r="J397" s="2579"/>
      <c r="K397" s="2579"/>
      <c r="L397" s="2579"/>
      <c r="M397" s="2579"/>
      <c r="N397" s="2579"/>
      <c r="O397" s="2579"/>
    </row>
    <row r="398" spans="1:15" s="2463" customFormat="1">
      <c r="A398" s="2462"/>
      <c r="B398" s="2462"/>
      <c r="C398" s="2462"/>
      <c r="D398" s="2462"/>
      <c r="E398" s="2462"/>
      <c r="F398" s="2462"/>
      <c r="G398" s="2462"/>
      <c r="H398" s="2462"/>
      <c r="I398" s="2579"/>
      <c r="J398" s="2579"/>
      <c r="K398" s="2579"/>
      <c r="L398" s="2579"/>
      <c r="M398" s="2579"/>
      <c r="N398" s="2579"/>
      <c r="O398" s="2579"/>
    </row>
    <row r="399" spans="1:15" s="2463" customFormat="1">
      <c r="A399" s="2462"/>
      <c r="B399" s="2462"/>
      <c r="C399" s="2462"/>
      <c r="D399" s="2462"/>
      <c r="E399" s="2462"/>
      <c r="F399" s="2462"/>
      <c r="G399" s="2462"/>
      <c r="H399" s="2462"/>
      <c r="I399" s="2579"/>
      <c r="J399" s="2579"/>
      <c r="K399" s="2579"/>
      <c r="L399" s="2579"/>
      <c r="M399" s="2579"/>
      <c r="N399" s="2579"/>
      <c r="O399" s="2579"/>
    </row>
    <row r="400" spans="1:15" s="2463" customFormat="1">
      <c r="A400" s="2462"/>
      <c r="B400" s="2462"/>
      <c r="C400" s="2462"/>
      <c r="D400" s="2462"/>
      <c r="E400" s="2462"/>
      <c r="F400" s="2462"/>
      <c r="G400" s="2462"/>
      <c r="H400" s="2462"/>
      <c r="I400" s="2579"/>
      <c r="J400" s="2579"/>
      <c r="K400" s="2579"/>
      <c r="L400" s="2579"/>
      <c r="M400" s="2579"/>
      <c r="N400" s="2579"/>
      <c r="O400" s="2579"/>
    </row>
    <row r="401" spans="1:15" s="2463" customFormat="1">
      <c r="A401" s="2462"/>
      <c r="B401" s="2462"/>
      <c r="C401" s="2462"/>
      <c r="D401" s="2462"/>
      <c r="E401" s="2462"/>
      <c r="F401" s="2462"/>
      <c r="G401" s="2462"/>
      <c r="H401" s="2462"/>
      <c r="I401" s="2579"/>
      <c r="J401" s="2579"/>
      <c r="K401" s="2579"/>
      <c r="L401" s="2579"/>
      <c r="M401" s="2579"/>
      <c r="N401" s="2579"/>
      <c r="O401" s="2579"/>
    </row>
    <row r="402" spans="1:15" s="2463" customFormat="1">
      <c r="A402" s="2462"/>
      <c r="B402" s="2462"/>
      <c r="C402" s="2462"/>
      <c r="D402" s="2462"/>
      <c r="E402" s="2462"/>
      <c r="F402" s="2462"/>
      <c r="G402" s="2462"/>
      <c r="H402" s="2462"/>
      <c r="I402" s="2579"/>
      <c r="J402" s="2579"/>
      <c r="K402" s="2579"/>
      <c r="L402" s="2579"/>
      <c r="M402" s="2579"/>
      <c r="N402" s="2579"/>
      <c r="O402" s="2579"/>
    </row>
    <row r="403" spans="1:15" s="2463" customFormat="1">
      <c r="A403" s="2462"/>
      <c r="B403" s="2462"/>
      <c r="C403" s="2462"/>
      <c r="D403" s="2462"/>
      <c r="E403" s="2462"/>
      <c r="F403" s="2462"/>
      <c r="G403" s="2462"/>
      <c r="H403" s="2462"/>
      <c r="I403" s="2579"/>
      <c r="J403" s="2579"/>
      <c r="K403" s="2579"/>
      <c r="L403" s="2579"/>
      <c r="M403" s="2579"/>
      <c r="N403" s="2579"/>
      <c r="O403" s="2579"/>
    </row>
    <row r="404" spans="1:15" s="2463" customFormat="1">
      <c r="A404" s="2462"/>
      <c r="B404" s="2462"/>
      <c r="C404" s="2462"/>
      <c r="D404" s="2462"/>
      <c r="E404" s="2462"/>
      <c r="F404" s="2462"/>
      <c r="G404" s="2462"/>
      <c r="H404" s="2462"/>
      <c r="I404" s="2579"/>
      <c r="J404" s="2579"/>
      <c r="K404" s="2579"/>
      <c r="L404" s="2579"/>
      <c r="M404" s="2579"/>
      <c r="N404" s="2579"/>
      <c r="O404" s="2579"/>
    </row>
    <row r="405" spans="1:15" s="2463" customFormat="1">
      <c r="A405" s="2462"/>
      <c r="B405" s="2462"/>
      <c r="C405" s="2462"/>
      <c r="D405" s="2462"/>
      <c r="E405" s="2462"/>
      <c r="F405" s="2462"/>
      <c r="G405" s="2462"/>
      <c r="H405" s="2462"/>
      <c r="I405" s="2579"/>
      <c r="J405" s="2579"/>
      <c r="K405" s="2579"/>
      <c r="L405" s="2579"/>
      <c r="M405" s="2579"/>
      <c r="N405" s="2579"/>
      <c r="O405" s="2579"/>
    </row>
    <row r="406" spans="1:15" s="2463" customFormat="1">
      <c r="A406" s="2462"/>
      <c r="B406" s="2462"/>
      <c r="C406" s="2462"/>
      <c r="D406" s="2462"/>
      <c r="E406" s="2462"/>
      <c r="F406" s="2462"/>
      <c r="G406" s="2462"/>
      <c r="H406" s="2462"/>
      <c r="I406" s="2579"/>
      <c r="J406" s="2579"/>
      <c r="K406" s="2579"/>
      <c r="L406" s="2579"/>
      <c r="M406" s="2579"/>
      <c r="N406" s="2579"/>
      <c r="O406" s="2579"/>
    </row>
    <row r="407" spans="1:15" s="2463" customFormat="1">
      <c r="A407" s="2462"/>
      <c r="B407" s="2462"/>
      <c r="C407" s="2462"/>
      <c r="D407" s="2462"/>
      <c r="E407" s="2462"/>
      <c r="F407" s="2462"/>
      <c r="G407" s="2462"/>
      <c r="H407" s="2462"/>
      <c r="I407" s="2579"/>
      <c r="J407" s="2579"/>
      <c r="K407" s="2579"/>
      <c r="L407" s="2579"/>
      <c r="M407" s="2579"/>
      <c r="N407" s="2579"/>
      <c r="O407" s="2579"/>
    </row>
    <row r="408" spans="1:15" s="2463" customFormat="1">
      <c r="A408" s="2462"/>
      <c r="B408" s="2462"/>
      <c r="C408" s="2462"/>
      <c r="D408" s="2462"/>
      <c r="E408" s="2462"/>
      <c r="F408" s="2462"/>
      <c r="G408" s="2462"/>
      <c r="H408" s="2462"/>
      <c r="I408" s="2579"/>
      <c r="J408" s="2579"/>
      <c r="K408" s="2579"/>
      <c r="L408" s="2579"/>
      <c r="M408" s="2579"/>
      <c r="N408" s="2579"/>
      <c r="O408" s="2579"/>
    </row>
    <row r="409" spans="1:15" s="2463" customFormat="1">
      <c r="A409" s="2462"/>
      <c r="B409" s="2462"/>
      <c r="C409" s="2462"/>
      <c r="D409" s="2462"/>
      <c r="E409" s="2462"/>
      <c r="F409" s="2462"/>
      <c r="G409" s="2462"/>
      <c r="H409" s="2462"/>
      <c r="I409" s="2579"/>
      <c r="J409" s="2579"/>
      <c r="K409" s="2579"/>
      <c r="L409" s="2579"/>
      <c r="M409" s="2579"/>
      <c r="N409" s="2579"/>
      <c r="O409" s="2579"/>
    </row>
    <row r="410" spans="1:15" s="2463" customFormat="1">
      <c r="A410" s="2462"/>
      <c r="B410" s="2462"/>
      <c r="C410" s="2462"/>
      <c r="D410" s="2462"/>
      <c r="E410" s="2462"/>
      <c r="F410" s="2462"/>
      <c r="G410" s="2462"/>
      <c r="H410" s="2462"/>
      <c r="I410" s="2579"/>
      <c r="J410" s="2579"/>
      <c r="K410" s="2579"/>
      <c r="L410" s="2579"/>
      <c r="M410" s="2579"/>
      <c r="N410" s="2579"/>
      <c r="O410" s="2579"/>
    </row>
    <row r="411" spans="1:15" s="2463" customFormat="1">
      <c r="A411" s="2462"/>
      <c r="B411" s="2462"/>
      <c r="C411" s="2462"/>
      <c r="D411" s="2462"/>
      <c r="E411" s="2462"/>
      <c r="F411" s="2462"/>
      <c r="G411" s="2462"/>
      <c r="H411" s="2462"/>
      <c r="I411" s="2579"/>
      <c r="J411" s="2579"/>
      <c r="K411" s="2579"/>
      <c r="L411" s="2579"/>
      <c r="M411" s="2579"/>
      <c r="N411" s="2579"/>
      <c r="O411" s="2579"/>
    </row>
    <row r="412" spans="1:15" s="2463" customFormat="1">
      <c r="A412" s="2462"/>
      <c r="B412" s="2462"/>
      <c r="C412" s="2462"/>
      <c r="D412" s="2462"/>
      <c r="E412" s="2462"/>
      <c r="F412" s="2462"/>
      <c r="G412" s="2462"/>
      <c r="H412" s="2462"/>
      <c r="I412" s="2579"/>
      <c r="J412" s="2579"/>
      <c r="K412" s="2579"/>
      <c r="L412" s="2579"/>
      <c r="M412" s="2579"/>
      <c r="N412" s="2579"/>
      <c r="O412" s="2579"/>
    </row>
    <row r="413" spans="1:15" s="2463" customFormat="1">
      <c r="A413" s="2462"/>
      <c r="B413" s="2462"/>
      <c r="C413" s="2462"/>
      <c r="D413" s="2462"/>
      <c r="E413" s="2462"/>
      <c r="F413" s="2462"/>
      <c r="G413" s="2462"/>
      <c r="H413" s="2462"/>
      <c r="I413" s="2579"/>
      <c r="J413" s="2579"/>
      <c r="K413" s="2579"/>
      <c r="L413" s="2579"/>
      <c r="M413" s="2579"/>
      <c r="N413" s="2579"/>
      <c r="O413" s="2579"/>
    </row>
    <row r="414" spans="1:15" s="2463" customFormat="1">
      <c r="A414" s="2462"/>
      <c r="B414" s="2462"/>
      <c r="C414" s="2462"/>
      <c r="D414" s="2462"/>
      <c r="E414" s="2462"/>
      <c r="F414" s="2462"/>
      <c r="G414" s="2462"/>
      <c r="H414" s="2462"/>
      <c r="I414" s="2579"/>
      <c r="J414" s="2579"/>
      <c r="K414" s="2579"/>
      <c r="L414" s="2579"/>
      <c r="M414" s="2579"/>
      <c r="N414" s="2579"/>
      <c r="O414" s="2579"/>
    </row>
    <row r="420" spans="1:15" s="2463" customFormat="1">
      <c r="A420" s="2462"/>
      <c r="B420" s="2462"/>
      <c r="C420" s="2462"/>
      <c r="D420" s="2462"/>
      <c r="E420" s="2462"/>
      <c r="F420" s="2462"/>
      <c r="G420" s="2462"/>
      <c r="H420" s="2462"/>
      <c r="I420" s="2579"/>
      <c r="J420" s="2579"/>
      <c r="K420" s="2579"/>
      <c r="L420" s="2579"/>
      <c r="M420" s="2579"/>
      <c r="N420" s="2579"/>
      <c r="O420" s="2579"/>
    </row>
    <row r="421" spans="1:15" s="2463" customFormat="1">
      <c r="A421" s="2462"/>
      <c r="B421" s="2462"/>
      <c r="C421" s="2462"/>
      <c r="D421" s="2462"/>
      <c r="E421" s="2462"/>
      <c r="F421" s="2462"/>
      <c r="G421" s="2462"/>
      <c r="H421" s="2462"/>
      <c r="I421" s="2579"/>
      <c r="J421" s="2579"/>
      <c r="K421" s="2579"/>
      <c r="L421" s="2579"/>
      <c r="M421" s="2579"/>
      <c r="N421" s="2579"/>
      <c r="O421" s="2579"/>
    </row>
    <row r="422" spans="1:15" s="2463" customFormat="1">
      <c r="A422" s="2462"/>
      <c r="B422" s="2462"/>
      <c r="C422" s="2462"/>
      <c r="D422" s="2462"/>
      <c r="E422" s="2462"/>
      <c r="F422" s="2462"/>
      <c r="G422" s="2462"/>
      <c r="H422" s="2462"/>
      <c r="I422" s="2579"/>
      <c r="J422" s="2579"/>
      <c r="K422" s="2579"/>
      <c r="L422" s="2579"/>
      <c r="M422" s="2579"/>
      <c r="N422" s="2579"/>
      <c r="O422" s="2579"/>
    </row>
    <row r="423" spans="1:15" s="2463" customFormat="1">
      <c r="A423" s="2462"/>
      <c r="B423" s="2462"/>
      <c r="C423" s="2462"/>
      <c r="D423" s="2462"/>
      <c r="E423" s="2462"/>
      <c r="F423" s="2462"/>
      <c r="G423" s="2462"/>
      <c r="H423" s="2462"/>
      <c r="I423" s="2579"/>
      <c r="J423" s="2579"/>
      <c r="K423" s="2579"/>
      <c r="L423" s="2579"/>
      <c r="M423" s="2579"/>
      <c r="N423" s="2579"/>
      <c r="O423" s="2579"/>
    </row>
    <row r="424" spans="1:15" s="2463" customFormat="1">
      <c r="A424" s="2462"/>
      <c r="B424" s="2462"/>
      <c r="C424" s="2462"/>
      <c r="D424" s="2462"/>
      <c r="E424" s="2462"/>
      <c r="F424" s="2462"/>
      <c r="G424" s="2462"/>
      <c r="H424" s="2462"/>
      <c r="I424" s="2579"/>
      <c r="J424" s="2579"/>
      <c r="K424" s="2579"/>
      <c r="L424" s="2579"/>
      <c r="M424" s="2579"/>
      <c r="N424" s="2579"/>
      <c r="O424" s="2579"/>
    </row>
    <row r="425" spans="1:15" s="2463" customFormat="1">
      <c r="A425" s="2462"/>
      <c r="B425" s="2462"/>
      <c r="C425" s="2462"/>
      <c r="D425" s="2462"/>
      <c r="E425" s="2462"/>
      <c r="F425" s="2462"/>
      <c r="G425" s="2462"/>
      <c r="H425" s="2462"/>
      <c r="I425" s="2579"/>
      <c r="J425" s="2579"/>
      <c r="K425" s="2579"/>
      <c r="L425" s="2579"/>
      <c r="M425" s="2579"/>
      <c r="N425" s="2579"/>
      <c r="O425" s="2579"/>
    </row>
    <row r="426" spans="1:15" s="2463" customFormat="1">
      <c r="A426" s="2462"/>
      <c r="B426" s="2462"/>
      <c r="C426" s="2462"/>
      <c r="D426" s="2462"/>
      <c r="E426" s="2462"/>
      <c r="F426" s="2462"/>
      <c r="G426" s="2462"/>
      <c r="H426" s="2462"/>
      <c r="I426" s="2579"/>
      <c r="J426" s="2579"/>
      <c r="K426" s="2579"/>
      <c r="L426" s="2579"/>
      <c r="M426" s="2579"/>
      <c r="N426" s="2579"/>
      <c r="O426" s="2579"/>
    </row>
    <row r="427" spans="1:15" s="2463" customFormat="1">
      <c r="A427" s="2462"/>
      <c r="B427" s="2462"/>
      <c r="C427" s="2462"/>
      <c r="D427" s="2462"/>
      <c r="E427" s="2462"/>
      <c r="F427" s="2462"/>
      <c r="G427" s="2462"/>
      <c r="H427" s="2462"/>
      <c r="I427" s="2579"/>
      <c r="J427" s="2579"/>
      <c r="K427" s="2579"/>
      <c r="L427" s="2579"/>
      <c r="M427" s="2579"/>
      <c r="N427" s="2579"/>
      <c r="O427" s="2579"/>
    </row>
    <row r="428" spans="1:15" s="2463" customFormat="1">
      <c r="A428" s="2462"/>
      <c r="B428" s="2462"/>
      <c r="C428" s="2462"/>
      <c r="D428" s="2462"/>
      <c r="E428" s="2462"/>
      <c r="F428" s="2462"/>
      <c r="G428" s="2462"/>
      <c r="H428" s="2462"/>
      <c r="I428" s="2579"/>
      <c r="J428" s="2579"/>
      <c r="K428" s="2579"/>
      <c r="L428" s="2579"/>
      <c r="M428" s="2579"/>
      <c r="N428" s="2579"/>
      <c r="O428" s="2579"/>
    </row>
    <row r="429" spans="1:15" s="2463" customFormat="1">
      <c r="A429" s="2462"/>
      <c r="B429" s="2462"/>
      <c r="C429" s="2462"/>
      <c r="D429" s="2462"/>
      <c r="E429" s="2462"/>
      <c r="F429" s="2462"/>
      <c r="G429" s="2462"/>
      <c r="H429" s="2462"/>
      <c r="I429" s="2579"/>
      <c r="J429" s="2579"/>
      <c r="K429" s="2579"/>
      <c r="L429" s="2579"/>
      <c r="M429" s="2579"/>
      <c r="N429" s="2579"/>
      <c r="O429" s="2579"/>
    </row>
    <row r="430" spans="1:15" s="2463" customFormat="1">
      <c r="A430" s="2462"/>
      <c r="B430" s="2462"/>
      <c r="C430" s="2462"/>
      <c r="D430" s="2462"/>
      <c r="E430" s="2462"/>
      <c r="F430" s="2462"/>
      <c r="G430" s="2462"/>
      <c r="H430" s="2462"/>
      <c r="I430" s="2579"/>
      <c r="J430" s="2579"/>
      <c r="K430" s="2579"/>
      <c r="L430" s="2579"/>
      <c r="M430" s="2579"/>
      <c r="N430" s="2579"/>
      <c r="O430" s="2579"/>
    </row>
    <row r="431" spans="1:15" s="2463" customFormat="1">
      <c r="A431" s="2462"/>
      <c r="B431" s="2462"/>
      <c r="C431" s="2462"/>
      <c r="D431" s="2462"/>
      <c r="E431" s="2462"/>
      <c r="F431" s="2462"/>
      <c r="G431" s="2462"/>
      <c r="H431" s="2462"/>
      <c r="I431" s="2579"/>
      <c r="J431" s="2579"/>
      <c r="K431" s="2579"/>
      <c r="L431" s="2579"/>
      <c r="M431" s="2579"/>
      <c r="N431" s="2579"/>
      <c r="O431" s="2579"/>
    </row>
    <row r="432" spans="1:15" s="2463" customFormat="1">
      <c r="A432" s="2462"/>
      <c r="B432" s="2462"/>
      <c r="C432" s="2462"/>
      <c r="D432" s="2462"/>
      <c r="E432" s="2462"/>
      <c r="F432" s="2462"/>
      <c r="G432" s="2462"/>
      <c r="H432" s="2462"/>
      <c r="I432" s="2579"/>
      <c r="J432" s="2579"/>
      <c r="K432" s="2579"/>
      <c r="L432" s="2579"/>
      <c r="M432" s="2579"/>
      <c r="N432" s="2579"/>
      <c r="O432" s="2579"/>
    </row>
    <row r="433" spans="1:15" s="2463" customFormat="1">
      <c r="A433" s="2462"/>
      <c r="B433" s="2462"/>
      <c r="C433" s="2462"/>
      <c r="D433" s="2462"/>
      <c r="E433" s="2462"/>
      <c r="F433" s="2462"/>
      <c r="G433" s="2462"/>
      <c r="H433" s="2462"/>
      <c r="I433" s="2579"/>
      <c r="J433" s="2579"/>
      <c r="K433" s="2579"/>
      <c r="L433" s="2579"/>
      <c r="M433" s="2579"/>
      <c r="N433" s="2579"/>
      <c r="O433" s="2579"/>
    </row>
    <row r="434" spans="1:15" s="2463" customFormat="1">
      <c r="A434" s="2462"/>
      <c r="B434" s="2462"/>
      <c r="C434" s="2462"/>
      <c r="D434" s="2462"/>
      <c r="E434" s="2462"/>
      <c r="F434" s="2462"/>
      <c r="G434" s="2462"/>
      <c r="H434" s="2462"/>
      <c r="I434" s="2579"/>
      <c r="J434" s="2579"/>
      <c r="K434" s="2579"/>
      <c r="L434" s="2579"/>
      <c r="M434" s="2579"/>
      <c r="N434" s="2579"/>
      <c r="O434" s="2579"/>
    </row>
    <row r="435" spans="1:15" s="2463" customFormat="1">
      <c r="A435" s="2462"/>
      <c r="B435" s="2462"/>
      <c r="C435" s="2462"/>
      <c r="D435" s="2462"/>
      <c r="E435" s="2462"/>
      <c r="F435" s="2462"/>
      <c r="G435" s="2462"/>
      <c r="H435" s="2462"/>
      <c r="I435" s="2579"/>
      <c r="J435" s="2579"/>
      <c r="K435" s="2579"/>
      <c r="L435" s="2579"/>
      <c r="M435" s="2579"/>
      <c r="N435" s="2579"/>
      <c r="O435" s="2579"/>
    </row>
    <row r="436" spans="1:15" s="2463" customFormat="1">
      <c r="A436" s="2462"/>
      <c r="B436" s="2462"/>
      <c r="C436" s="2462"/>
      <c r="D436" s="2462"/>
      <c r="E436" s="2462"/>
      <c r="F436" s="2462"/>
      <c r="G436" s="2462"/>
      <c r="H436" s="2462"/>
      <c r="I436" s="2579"/>
      <c r="J436" s="2579"/>
      <c r="K436" s="2579"/>
      <c r="L436" s="2579"/>
      <c r="M436" s="2579"/>
      <c r="N436" s="2579"/>
      <c r="O436" s="2579"/>
    </row>
    <row r="437" spans="1:15" s="2463" customFormat="1">
      <c r="A437" s="2462"/>
      <c r="B437" s="2462"/>
      <c r="C437" s="2462"/>
      <c r="D437" s="2462"/>
      <c r="E437" s="2462"/>
      <c r="F437" s="2462"/>
      <c r="G437" s="2462"/>
      <c r="H437" s="2462"/>
      <c r="I437" s="2579"/>
      <c r="J437" s="2579"/>
      <c r="K437" s="2579"/>
      <c r="L437" s="2579"/>
      <c r="M437" s="2579"/>
      <c r="N437" s="2579"/>
      <c r="O437" s="2579"/>
    </row>
    <row r="438" spans="1:15" s="2463" customFormat="1">
      <c r="A438" s="2462"/>
      <c r="B438" s="2462"/>
      <c r="C438" s="2462"/>
      <c r="D438" s="2462"/>
      <c r="E438" s="2462"/>
      <c r="F438" s="2462"/>
      <c r="G438" s="2462"/>
      <c r="H438" s="2462"/>
      <c r="I438" s="2579"/>
      <c r="J438" s="2579"/>
      <c r="K438" s="2579"/>
      <c r="L438" s="2579"/>
      <c r="M438" s="2579"/>
      <c r="N438" s="2579"/>
      <c r="O438" s="2579"/>
    </row>
    <row r="439" spans="1:15" s="2463" customFormat="1">
      <c r="A439" s="2462"/>
      <c r="B439" s="2462"/>
      <c r="C439" s="2462"/>
      <c r="D439" s="2462"/>
      <c r="E439" s="2462"/>
      <c r="F439" s="2462"/>
      <c r="G439" s="2462"/>
      <c r="H439" s="2462"/>
      <c r="I439" s="2579"/>
      <c r="J439" s="2579"/>
      <c r="K439" s="2579"/>
      <c r="L439" s="2579"/>
      <c r="M439" s="2579"/>
      <c r="N439" s="2579"/>
      <c r="O439" s="2579"/>
    </row>
    <row r="440" spans="1:15" s="2463" customFormat="1">
      <c r="A440" s="2462"/>
      <c r="B440" s="2462"/>
      <c r="C440" s="2462"/>
      <c r="D440" s="2462"/>
      <c r="E440" s="2462"/>
      <c r="F440" s="2462"/>
      <c r="G440" s="2462"/>
      <c r="H440" s="2462"/>
      <c r="I440" s="2579"/>
      <c r="J440" s="2579"/>
      <c r="K440" s="2579"/>
      <c r="L440" s="2579"/>
      <c r="M440" s="2579"/>
      <c r="N440" s="2579"/>
      <c r="O440" s="2579"/>
    </row>
    <row r="441" spans="1:15" s="2463" customFormat="1">
      <c r="A441" s="2462"/>
      <c r="B441" s="2462"/>
      <c r="C441" s="2462"/>
      <c r="D441" s="2462"/>
      <c r="E441" s="2462"/>
      <c r="F441" s="2462"/>
      <c r="G441" s="2462"/>
      <c r="H441" s="2462"/>
      <c r="I441" s="2579"/>
      <c r="J441" s="2579"/>
      <c r="K441" s="2579"/>
      <c r="L441" s="2579"/>
      <c r="M441" s="2579"/>
      <c r="N441" s="2579"/>
      <c r="O441" s="2579"/>
    </row>
    <row r="442" spans="1:15" s="2463" customFormat="1">
      <c r="A442" s="2462"/>
      <c r="B442" s="2462"/>
      <c r="C442" s="2462"/>
      <c r="D442" s="2462"/>
      <c r="E442" s="2462"/>
      <c r="F442" s="2462"/>
      <c r="G442" s="2462"/>
      <c r="H442" s="2462"/>
      <c r="I442" s="2579"/>
      <c r="J442" s="2579"/>
      <c r="K442" s="2579"/>
      <c r="L442" s="2579"/>
      <c r="M442" s="2579"/>
      <c r="N442" s="2579"/>
      <c r="O442" s="2579"/>
    </row>
    <row r="443" spans="1:15" s="2463" customFormat="1">
      <c r="A443" s="2462"/>
      <c r="B443" s="2462"/>
      <c r="C443" s="2462"/>
      <c r="D443" s="2462"/>
      <c r="E443" s="2462"/>
      <c r="F443" s="2462"/>
      <c r="G443" s="2462"/>
      <c r="H443" s="2462"/>
      <c r="I443" s="2579"/>
      <c r="J443" s="2579"/>
      <c r="K443" s="2579"/>
      <c r="L443" s="2579"/>
      <c r="M443" s="2579"/>
      <c r="N443" s="2579"/>
      <c r="O443" s="2579"/>
    </row>
    <row r="444" spans="1:15" s="2463" customFormat="1">
      <c r="A444" s="2462"/>
      <c r="B444" s="2462"/>
      <c r="C444" s="2462"/>
      <c r="D444" s="2462"/>
      <c r="E444" s="2462"/>
      <c r="F444" s="2462"/>
      <c r="G444" s="2462"/>
      <c r="H444" s="2462"/>
      <c r="I444" s="2579"/>
      <c r="J444" s="2579"/>
      <c r="K444" s="2579"/>
      <c r="L444" s="2579"/>
      <c r="M444" s="2579"/>
      <c r="N444" s="2579"/>
      <c r="O444" s="2579"/>
    </row>
    <row r="445" spans="1:15" s="2463" customFormat="1">
      <c r="A445" s="2462"/>
      <c r="B445" s="2462"/>
      <c r="C445" s="2462"/>
      <c r="D445" s="2462"/>
      <c r="E445" s="2462"/>
      <c r="F445" s="2462"/>
      <c r="G445" s="2462"/>
      <c r="H445" s="2462"/>
      <c r="I445" s="2579"/>
      <c r="J445" s="2579"/>
      <c r="K445" s="2579"/>
      <c r="L445" s="2579"/>
      <c r="M445" s="2579"/>
      <c r="N445" s="2579"/>
      <c r="O445" s="2579"/>
    </row>
    <row r="446" spans="1:15" s="2463" customFormat="1">
      <c r="A446" s="2462"/>
      <c r="B446" s="2462"/>
      <c r="C446" s="2462"/>
      <c r="D446" s="2462"/>
      <c r="E446" s="2462"/>
      <c r="F446" s="2462"/>
      <c r="G446" s="2462"/>
      <c r="H446" s="2462"/>
      <c r="I446" s="2579"/>
      <c r="J446" s="2579"/>
      <c r="K446" s="2579"/>
      <c r="L446" s="2579"/>
      <c r="M446" s="2579"/>
      <c r="N446" s="2579"/>
      <c r="O446" s="2579"/>
    </row>
    <row r="447" spans="1:15" s="2463" customFormat="1">
      <c r="A447" s="2462"/>
      <c r="B447" s="2462"/>
      <c r="C447" s="2462"/>
      <c r="D447" s="2462"/>
      <c r="E447" s="2462"/>
      <c r="F447" s="2462"/>
      <c r="G447" s="2462"/>
      <c r="H447" s="2462"/>
      <c r="I447" s="2579"/>
      <c r="J447" s="2579"/>
      <c r="K447" s="2579"/>
      <c r="L447" s="2579"/>
      <c r="M447" s="2579"/>
      <c r="N447" s="2579"/>
      <c r="O447" s="2579"/>
    </row>
    <row r="448" spans="1:15" s="2463" customFormat="1">
      <c r="A448" s="2462"/>
      <c r="B448" s="2462"/>
      <c r="C448" s="2462"/>
      <c r="D448" s="2462"/>
      <c r="E448" s="2462"/>
      <c r="F448" s="2462"/>
      <c r="G448" s="2462"/>
      <c r="H448" s="2462"/>
      <c r="I448" s="2579"/>
      <c r="J448" s="2579"/>
      <c r="K448" s="2579"/>
      <c r="L448" s="2579"/>
      <c r="M448" s="2579"/>
      <c r="N448" s="2579"/>
      <c r="O448" s="2579"/>
    </row>
    <row r="449" spans="1:15" s="2463" customFormat="1">
      <c r="A449" s="2462"/>
      <c r="B449" s="2462"/>
      <c r="C449" s="2462"/>
      <c r="D449" s="2462"/>
      <c r="E449" s="2462"/>
      <c r="F449" s="2462"/>
      <c r="G449" s="2462"/>
      <c r="H449" s="2462"/>
      <c r="I449" s="2579"/>
      <c r="J449" s="2579"/>
      <c r="K449" s="2579"/>
      <c r="L449" s="2579"/>
      <c r="M449" s="2579"/>
      <c r="N449" s="2579"/>
      <c r="O449" s="2579"/>
    </row>
    <row r="450" spans="1:15" s="2463" customFormat="1">
      <c r="A450" s="2462"/>
      <c r="B450" s="2462"/>
      <c r="C450" s="2462"/>
      <c r="D450" s="2462"/>
      <c r="E450" s="2462"/>
      <c r="F450" s="2462"/>
      <c r="G450" s="2462"/>
      <c r="H450" s="2462"/>
      <c r="I450" s="2579"/>
      <c r="J450" s="2579"/>
      <c r="K450" s="2579"/>
      <c r="L450" s="2579"/>
      <c r="M450" s="2579"/>
      <c r="N450" s="2579"/>
      <c r="O450" s="2579"/>
    </row>
    <row r="451" spans="1:15" s="2463" customFormat="1">
      <c r="A451" s="2462"/>
      <c r="B451" s="2462"/>
      <c r="C451" s="2462"/>
      <c r="D451" s="2462"/>
      <c r="E451" s="2462"/>
      <c r="F451" s="2462"/>
      <c r="G451" s="2462"/>
      <c r="H451" s="2462"/>
      <c r="I451" s="2579"/>
      <c r="J451" s="2579"/>
      <c r="K451" s="2579"/>
      <c r="L451" s="2579"/>
      <c r="M451" s="2579"/>
      <c r="N451" s="2579"/>
      <c r="O451" s="2579"/>
    </row>
    <row r="452" spans="1:15" s="2463" customFormat="1">
      <c r="A452" s="2462"/>
      <c r="B452" s="2462"/>
      <c r="C452" s="2462"/>
      <c r="D452" s="2462"/>
      <c r="E452" s="2462"/>
      <c r="F452" s="2462"/>
      <c r="G452" s="2462"/>
      <c r="H452" s="2462"/>
      <c r="I452" s="2579"/>
      <c r="J452" s="2579"/>
      <c r="K452" s="2579"/>
      <c r="L452" s="2579"/>
      <c r="M452" s="2579"/>
      <c r="N452" s="2579"/>
      <c r="O452" s="2579"/>
    </row>
    <row r="453" spans="1:15" s="2463" customFormat="1">
      <c r="A453" s="2462"/>
      <c r="B453" s="2462"/>
      <c r="C453" s="2462"/>
      <c r="D453" s="2462"/>
      <c r="E453" s="2462"/>
      <c r="F453" s="2462"/>
      <c r="G453" s="2462"/>
      <c r="H453" s="2462"/>
      <c r="I453" s="2579"/>
      <c r="J453" s="2579"/>
      <c r="K453" s="2579"/>
      <c r="L453" s="2579"/>
      <c r="M453" s="2579"/>
      <c r="N453" s="2579"/>
      <c r="O453" s="2579"/>
    </row>
    <row r="454" spans="1:15" s="2463" customFormat="1">
      <c r="A454" s="2462"/>
      <c r="B454" s="2462"/>
      <c r="C454" s="2462"/>
      <c r="D454" s="2462"/>
      <c r="E454" s="2462"/>
      <c r="F454" s="2462"/>
      <c r="G454" s="2462"/>
      <c r="H454" s="2462"/>
      <c r="I454" s="2579"/>
      <c r="J454" s="2579"/>
      <c r="K454" s="2579"/>
      <c r="L454" s="2579"/>
      <c r="M454" s="2579"/>
      <c r="N454" s="2579"/>
      <c r="O454" s="2579"/>
    </row>
    <row r="455" spans="1:15" s="2463" customFormat="1">
      <c r="A455" s="2462"/>
      <c r="B455" s="2462"/>
      <c r="C455" s="2462"/>
      <c r="D455" s="2462"/>
      <c r="E455" s="2462"/>
      <c r="F455" s="2462"/>
      <c r="G455" s="2462"/>
      <c r="H455" s="2462"/>
      <c r="I455" s="2579"/>
      <c r="J455" s="2579"/>
      <c r="K455" s="2579"/>
      <c r="L455" s="2579"/>
      <c r="M455" s="2579"/>
      <c r="N455" s="2579"/>
      <c r="O455" s="2579"/>
    </row>
    <row r="456" spans="1:15" s="2463" customFormat="1">
      <c r="A456" s="2462"/>
      <c r="B456" s="2462"/>
      <c r="C456" s="2462"/>
      <c r="D456" s="2462"/>
      <c r="E456" s="2462"/>
      <c r="F456" s="2462"/>
      <c r="G456" s="2462"/>
      <c r="H456" s="2462"/>
      <c r="I456" s="2579"/>
      <c r="J456" s="2579"/>
      <c r="K456" s="2579"/>
      <c r="L456" s="2579"/>
      <c r="M456" s="2579"/>
      <c r="N456" s="2579"/>
      <c r="O456" s="2579"/>
    </row>
    <row r="457" spans="1:15" s="2463" customFormat="1">
      <c r="A457" s="2462"/>
      <c r="B457" s="2462"/>
      <c r="C457" s="2462"/>
      <c r="D457" s="2462"/>
      <c r="E457" s="2462"/>
      <c r="F457" s="2462"/>
      <c r="G457" s="2462"/>
      <c r="H457" s="2462"/>
      <c r="I457" s="2579"/>
      <c r="J457" s="2579"/>
      <c r="K457" s="2579"/>
      <c r="L457" s="2579"/>
      <c r="M457" s="2579"/>
      <c r="N457" s="2579"/>
      <c r="O457" s="2579"/>
    </row>
    <row r="462" spans="1:15" s="2463" customFormat="1">
      <c r="A462" s="2462"/>
      <c r="B462" s="2462"/>
      <c r="C462" s="2462"/>
      <c r="D462" s="2462"/>
      <c r="E462" s="2462"/>
      <c r="F462" s="2462"/>
      <c r="G462" s="2462"/>
      <c r="H462" s="2462"/>
      <c r="I462" s="2579"/>
      <c r="J462" s="2579"/>
      <c r="K462" s="2579"/>
      <c r="L462" s="2579"/>
      <c r="M462" s="2579"/>
      <c r="N462" s="2579"/>
      <c r="O462" s="2579"/>
    </row>
    <row r="463" spans="1:15" s="2463" customFormat="1">
      <c r="A463" s="2462"/>
      <c r="B463" s="2462"/>
      <c r="C463" s="2462"/>
      <c r="D463" s="2462"/>
      <c r="E463" s="2462"/>
      <c r="F463" s="2462"/>
      <c r="G463" s="2462"/>
      <c r="H463" s="2462"/>
      <c r="I463" s="2579"/>
      <c r="J463" s="2579"/>
      <c r="K463" s="2579"/>
      <c r="L463" s="2579"/>
      <c r="M463" s="2579"/>
      <c r="N463" s="2579"/>
      <c r="O463" s="2579"/>
    </row>
    <row r="464" spans="1:15" s="2463" customFormat="1">
      <c r="A464" s="2462"/>
      <c r="B464" s="2462"/>
      <c r="C464" s="2462"/>
      <c r="D464" s="2462"/>
      <c r="E464" s="2462"/>
      <c r="F464" s="2462"/>
      <c r="G464" s="2462"/>
      <c r="H464" s="2462"/>
      <c r="I464" s="2579"/>
      <c r="J464" s="2579"/>
      <c r="K464" s="2579"/>
      <c r="L464" s="2579"/>
      <c r="M464" s="2579"/>
      <c r="N464" s="2579"/>
      <c r="O464" s="2579"/>
    </row>
    <row r="465" spans="1:15" s="2463" customFormat="1">
      <c r="A465" s="2462"/>
      <c r="B465" s="2462"/>
      <c r="C465" s="2462"/>
      <c r="D465" s="2462"/>
      <c r="E465" s="2462"/>
      <c r="F465" s="2462"/>
      <c r="G465" s="2462"/>
      <c r="H465" s="2462"/>
      <c r="I465" s="2579"/>
      <c r="J465" s="2579"/>
      <c r="K465" s="2579"/>
      <c r="L465" s="2579"/>
      <c r="M465" s="2579"/>
      <c r="N465" s="2579"/>
      <c r="O465" s="2579"/>
    </row>
    <row r="466" spans="1:15" s="2463" customFormat="1">
      <c r="A466" s="2462"/>
      <c r="B466" s="2462"/>
      <c r="C466" s="2462"/>
      <c r="D466" s="2462"/>
      <c r="E466" s="2462"/>
      <c r="F466" s="2462"/>
      <c r="G466" s="2462"/>
      <c r="H466" s="2462"/>
      <c r="I466" s="2579"/>
      <c r="J466" s="2579"/>
      <c r="K466" s="2579"/>
      <c r="L466" s="2579"/>
      <c r="M466" s="2579"/>
      <c r="N466" s="2579"/>
      <c r="O466" s="2579"/>
    </row>
    <row r="467" spans="1:15" s="2463" customFormat="1">
      <c r="A467" s="2462"/>
      <c r="B467" s="2462"/>
      <c r="C467" s="2462"/>
      <c r="D467" s="2462"/>
      <c r="E467" s="2462"/>
      <c r="F467" s="2462"/>
      <c r="G467" s="2462"/>
      <c r="H467" s="2462"/>
      <c r="I467" s="2579"/>
      <c r="J467" s="2579"/>
      <c r="K467" s="2579"/>
      <c r="L467" s="2579"/>
      <c r="M467" s="2579"/>
      <c r="N467" s="2579"/>
      <c r="O467" s="2579"/>
    </row>
    <row r="468" spans="1:15" s="2463" customFormat="1">
      <c r="A468" s="2462"/>
      <c r="B468" s="2462"/>
      <c r="C468" s="2462"/>
      <c r="D468" s="2462"/>
      <c r="E468" s="2462"/>
      <c r="F468" s="2462"/>
      <c r="G468" s="2462"/>
      <c r="H468" s="2462"/>
      <c r="I468" s="2579"/>
      <c r="J468" s="2579"/>
      <c r="K468" s="2579"/>
      <c r="L468" s="2579"/>
      <c r="M468" s="2579"/>
      <c r="N468" s="2579"/>
      <c r="O468" s="2579"/>
    </row>
    <row r="469" spans="1:15" s="2463" customFormat="1">
      <c r="A469" s="2462"/>
      <c r="B469" s="2462"/>
      <c r="C469" s="2462"/>
      <c r="D469" s="2462"/>
      <c r="E469" s="2462"/>
      <c r="F469" s="2462"/>
      <c r="G469" s="2462"/>
      <c r="H469" s="2462"/>
      <c r="I469" s="2579"/>
      <c r="J469" s="2579"/>
      <c r="K469" s="2579"/>
      <c r="L469" s="2579"/>
      <c r="M469" s="2579"/>
      <c r="N469" s="2579"/>
      <c r="O469" s="2579"/>
    </row>
    <row r="470" spans="1:15" s="2463" customFormat="1">
      <c r="A470" s="2462"/>
      <c r="B470" s="2462"/>
      <c r="C470" s="2462"/>
      <c r="D470" s="2462"/>
      <c r="E470" s="2462"/>
      <c r="F470" s="2462"/>
      <c r="G470" s="2462"/>
      <c r="H470" s="2462"/>
      <c r="I470" s="2579"/>
      <c r="J470" s="2579"/>
      <c r="K470" s="2579"/>
      <c r="L470" s="2579"/>
      <c r="M470" s="2579"/>
      <c r="N470" s="2579"/>
      <c r="O470" s="2579"/>
    </row>
    <row r="471" spans="1:15" s="2463" customFormat="1">
      <c r="A471" s="2462"/>
      <c r="B471" s="2462"/>
      <c r="C471" s="2462"/>
      <c r="D471" s="2462"/>
      <c r="E471" s="2462"/>
      <c r="F471" s="2462"/>
      <c r="G471" s="2462"/>
      <c r="H471" s="2462"/>
      <c r="I471" s="2579"/>
      <c r="J471" s="2579"/>
      <c r="K471" s="2579"/>
      <c r="L471" s="2579"/>
      <c r="M471" s="2579"/>
      <c r="N471" s="2579"/>
      <c r="O471" s="2579"/>
    </row>
    <row r="472" spans="1:15" s="2463" customFormat="1">
      <c r="A472" s="2462"/>
      <c r="B472" s="2462"/>
      <c r="C472" s="2462"/>
      <c r="D472" s="2462"/>
      <c r="E472" s="2462"/>
      <c r="F472" s="2462"/>
      <c r="G472" s="2462"/>
      <c r="H472" s="2462"/>
      <c r="I472" s="2579"/>
      <c r="J472" s="2579"/>
      <c r="K472" s="2579"/>
      <c r="L472" s="2579"/>
      <c r="M472" s="2579"/>
      <c r="N472" s="2579"/>
      <c r="O472" s="2579"/>
    </row>
    <row r="473" spans="1:15" s="2463" customFormat="1">
      <c r="A473" s="2462"/>
      <c r="B473" s="2462"/>
      <c r="C473" s="2462"/>
      <c r="D473" s="2462"/>
      <c r="E473" s="2462"/>
      <c r="F473" s="2462"/>
      <c r="G473" s="2462"/>
      <c r="H473" s="2462"/>
      <c r="I473" s="2579"/>
      <c r="J473" s="2579"/>
      <c r="K473" s="2579"/>
      <c r="L473" s="2579"/>
      <c r="M473" s="2579"/>
      <c r="N473" s="2579"/>
      <c r="O473" s="2579"/>
    </row>
    <row r="474" spans="1:15" s="2463" customFormat="1">
      <c r="A474" s="2462"/>
      <c r="B474" s="2462"/>
      <c r="C474" s="2462"/>
      <c r="D474" s="2462"/>
      <c r="E474" s="2462"/>
      <c r="F474" s="2462"/>
      <c r="G474" s="2462"/>
      <c r="H474" s="2462"/>
      <c r="I474" s="2579"/>
      <c r="J474" s="2579"/>
      <c r="K474" s="2579"/>
      <c r="L474" s="2579"/>
      <c r="M474" s="2579"/>
      <c r="N474" s="2579"/>
      <c r="O474" s="2579"/>
    </row>
    <row r="475" spans="1:15" s="2463" customFormat="1">
      <c r="A475" s="2462"/>
      <c r="B475" s="2462"/>
      <c r="C475" s="2462"/>
      <c r="D475" s="2462"/>
      <c r="E475" s="2462"/>
      <c r="F475" s="2462"/>
      <c r="G475" s="2462"/>
      <c r="H475" s="2462"/>
      <c r="I475" s="2579"/>
      <c r="J475" s="2579"/>
      <c r="K475" s="2579"/>
      <c r="L475" s="2579"/>
      <c r="M475" s="2579"/>
      <c r="N475" s="2579"/>
      <c r="O475" s="2579"/>
    </row>
    <row r="476" spans="1:15" s="2463" customFormat="1">
      <c r="A476" s="2462"/>
      <c r="B476" s="2462"/>
      <c r="C476" s="2462"/>
      <c r="D476" s="2462"/>
      <c r="E476" s="2462"/>
      <c r="F476" s="2462"/>
      <c r="G476" s="2462"/>
      <c r="H476" s="2462"/>
      <c r="I476" s="2579"/>
      <c r="J476" s="2579"/>
      <c r="K476" s="2579"/>
      <c r="L476" s="2579"/>
      <c r="M476" s="2579"/>
      <c r="N476" s="2579"/>
      <c r="O476" s="2579"/>
    </row>
    <row r="477" spans="1:15" s="2463" customFormat="1">
      <c r="A477" s="2462"/>
      <c r="B477" s="2462"/>
      <c r="C477" s="2462"/>
      <c r="D477" s="2462"/>
      <c r="E477" s="2462"/>
      <c r="F477" s="2462"/>
      <c r="G477" s="2462"/>
      <c r="H477" s="2462"/>
      <c r="I477" s="2579"/>
      <c r="J477" s="2579"/>
      <c r="K477" s="2579"/>
      <c r="L477" s="2579"/>
      <c r="M477" s="2579"/>
      <c r="N477" s="2579"/>
      <c r="O477" s="2579"/>
    </row>
    <row r="478" spans="1:15" s="2463" customFormat="1">
      <c r="A478" s="2462"/>
      <c r="B478" s="2462"/>
      <c r="C478" s="2462"/>
      <c r="D478" s="2462"/>
      <c r="E478" s="2462"/>
      <c r="F478" s="2462"/>
      <c r="G478" s="2462"/>
      <c r="H478" s="2462"/>
      <c r="I478" s="2579"/>
      <c r="J478" s="2579"/>
      <c r="K478" s="2579"/>
      <c r="L478" s="2579"/>
      <c r="M478" s="2579"/>
      <c r="N478" s="2579"/>
      <c r="O478" s="2579"/>
    </row>
    <row r="479" spans="1:15" s="2463" customFormat="1">
      <c r="A479" s="2462"/>
      <c r="B479" s="2462"/>
      <c r="C479" s="2462"/>
      <c r="D479" s="2462"/>
      <c r="E479" s="2462"/>
      <c r="F479" s="2462"/>
      <c r="G479" s="2462"/>
      <c r="H479" s="2462"/>
      <c r="I479" s="2579"/>
      <c r="J479" s="2579"/>
      <c r="K479" s="2579"/>
      <c r="L479" s="2579"/>
      <c r="M479" s="2579"/>
      <c r="N479" s="2579"/>
      <c r="O479" s="2579"/>
    </row>
    <row r="480" spans="1:15" s="2463" customFormat="1">
      <c r="A480" s="2462"/>
      <c r="B480" s="2462"/>
      <c r="C480" s="2462"/>
      <c r="D480" s="2462"/>
      <c r="E480" s="2462"/>
      <c r="F480" s="2462"/>
      <c r="G480" s="2462"/>
      <c r="H480" s="2462"/>
      <c r="I480" s="2579"/>
      <c r="J480" s="2579"/>
      <c r="K480" s="2579"/>
      <c r="L480" s="2579"/>
      <c r="M480" s="2579"/>
      <c r="N480" s="2579"/>
      <c r="O480" s="2579"/>
    </row>
    <row r="481" spans="1:15" s="2463" customFormat="1">
      <c r="A481" s="2462"/>
      <c r="B481" s="2462"/>
      <c r="C481" s="2462"/>
      <c r="D481" s="2462"/>
      <c r="E481" s="2462"/>
      <c r="F481" s="2462"/>
      <c r="G481" s="2462"/>
      <c r="H481" s="2462"/>
      <c r="I481" s="2579"/>
      <c r="J481" s="2579"/>
      <c r="K481" s="2579"/>
      <c r="L481" s="2579"/>
      <c r="M481" s="2579"/>
      <c r="N481" s="2579"/>
      <c r="O481" s="2579"/>
    </row>
    <row r="482" spans="1:15" s="2463" customFormat="1">
      <c r="A482" s="2462"/>
      <c r="B482" s="2462"/>
      <c r="C482" s="2462"/>
      <c r="D482" s="2462"/>
      <c r="E482" s="2462"/>
      <c r="F482" s="2462"/>
      <c r="G482" s="2462"/>
      <c r="H482" s="2462"/>
      <c r="I482" s="2579"/>
      <c r="J482" s="2579"/>
      <c r="K482" s="2579"/>
      <c r="L482" s="2579"/>
      <c r="M482" s="2579"/>
      <c r="N482" s="2579"/>
      <c r="O482" s="2579"/>
    </row>
    <row r="483" spans="1:15" s="2463" customFormat="1">
      <c r="A483" s="2462"/>
      <c r="B483" s="2462"/>
      <c r="C483" s="2462"/>
      <c r="D483" s="2462"/>
      <c r="E483" s="2462"/>
      <c r="F483" s="2462"/>
      <c r="G483" s="2462"/>
      <c r="H483" s="2462"/>
      <c r="I483" s="2579"/>
      <c r="J483" s="2579"/>
      <c r="K483" s="2579"/>
      <c r="L483" s="2579"/>
      <c r="M483" s="2579"/>
      <c r="N483" s="2579"/>
      <c r="O483" s="2579"/>
    </row>
    <row r="484" spans="1:15" s="2463" customFormat="1">
      <c r="A484" s="2462"/>
      <c r="B484" s="2462"/>
      <c r="C484" s="2462"/>
      <c r="D484" s="2462"/>
      <c r="E484" s="2462"/>
      <c r="F484" s="2462"/>
      <c r="G484" s="2462"/>
      <c r="H484" s="2462"/>
      <c r="I484" s="2579"/>
      <c r="J484" s="2579"/>
      <c r="K484" s="2579"/>
      <c r="L484" s="2579"/>
      <c r="M484" s="2579"/>
      <c r="N484" s="2579"/>
      <c r="O484" s="2579"/>
    </row>
    <row r="485" spans="1:15" s="2463" customFormat="1">
      <c r="A485" s="2462"/>
      <c r="B485" s="2462"/>
      <c r="C485" s="2462"/>
      <c r="D485" s="2462"/>
      <c r="E485" s="2462"/>
      <c r="F485" s="2462"/>
      <c r="G485" s="2462"/>
      <c r="H485" s="2462"/>
      <c r="I485" s="2579"/>
      <c r="J485" s="2579"/>
      <c r="K485" s="2579"/>
      <c r="L485" s="2579"/>
      <c r="M485" s="2579"/>
      <c r="N485" s="2579"/>
      <c r="O485" s="2579"/>
    </row>
    <row r="486" spans="1:15" s="2463" customFormat="1">
      <c r="A486" s="2462"/>
      <c r="B486" s="2462"/>
      <c r="C486" s="2462"/>
      <c r="D486" s="2462"/>
      <c r="E486" s="2462"/>
      <c r="F486" s="2462"/>
      <c r="G486" s="2462"/>
      <c r="H486" s="2462"/>
      <c r="I486" s="2579"/>
      <c r="J486" s="2579"/>
      <c r="K486" s="2579"/>
      <c r="L486" s="2579"/>
      <c r="M486" s="2579"/>
      <c r="N486" s="2579"/>
      <c r="O486" s="2579"/>
    </row>
    <row r="487" spans="1:15" s="2463" customFormat="1">
      <c r="A487" s="2462"/>
      <c r="B487" s="2462"/>
      <c r="C487" s="2462"/>
      <c r="D487" s="2462"/>
      <c r="E487" s="2462"/>
      <c r="F487" s="2462"/>
      <c r="G487" s="2462"/>
      <c r="H487" s="2462"/>
      <c r="I487" s="2579"/>
      <c r="J487" s="2579"/>
      <c r="K487" s="2579"/>
      <c r="L487" s="2579"/>
      <c r="M487" s="2579"/>
      <c r="N487" s="2579"/>
      <c r="O487" s="2579"/>
    </row>
    <row r="488" spans="1:15" s="2463" customFormat="1">
      <c r="A488" s="2462"/>
      <c r="B488" s="2462"/>
      <c r="C488" s="2462"/>
      <c r="D488" s="2462"/>
      <c r="E488" s="2462"/>
      <c r="F488" s="2462"/>
      <c r="G488" s="2462"/>
      <c r="H488" s="2462"/>
      <c r="I488" s="2579"/>
      <c r="J488" s="2579"/>
      <c r="K488" s="2579"/>
      <c r="L488" s="2579"/>
      <c r="M488" s="2579"/>
      <c r="N488" s="2579"/>
      <c r="O488" s="2579"/>
    </row>
    <row r="489" spans="1:15" s="2463" customFormat="1">
      <c r="A489" s="2462"/>
      <c r="B489" s="2462"/>
      <c r="C489" s="2462"/>
      <c r="D489" s="2462"/>
      <c r="E489" s="2462"/>
      <c r="F489" s="2462"/>
      <c r="G489" s="2462"/>
      <c r="H489" s="2462"/>
      <c r="I489" s="2579"/>
      <c r="J489" s="2579"/>
      <c r="K489" s="2579"/>
      <c r="L489" s="2579"/>
      <c r="M489" s="2579"/>
      <c r="N489" s="2579"/>
      <c r="O489" s="2579"/>
    </row>
    <row r="490" spans="1:15" s="2463" customFormat="1">
      <c r="A490" s="2462"/>
      <c r="B490" s="2462"/>
      <c r="C490" s="2462"/>
      <c r="D490" s="2462"/>
      <c r="E490" s="2462"/>
      <c r="F490" s="2462"/>
      <c r="G490" s="2462"/>
      <c r="H490" s="2462"/>
      <c r="I490" s="2579"/>
      <c r="J490" s="2579"/>
      <c r="K490" s="2579"/>
      <c r="L490" s="2579"/>
      <c r="M490" s="2579"/>
      <c r="N490" s="2579"/>
      <c r="O490" s="2579"/>
    </row>
    <row r="491" spans="1:15" s="2463" customFormat="1">
      <c r="A491" s="2462"/>
      <c r="B491" s="2462"/>
      <c r="C491" s="2462"/>
      <c r="D491" s="2462"/>
      <c r="E491" s="2462"/>
      <c r="F491" s="2462"/>
      <c r="G491" s="2462"/>
      <c r="H491" s="2462"/>
      <c r="I491" s="2579"/>
      <c r="J491" s="2579"/>
      <c r="K491" s="2579"/>
      <c r="L491" s="2579"/>
      <c r="M491" s="2579"/>
      <c r="N491" s="2579"/>
      <c r="O491" s="2579"/>
    </row>
    <row r="492" spans="1:15" s="2463" customFormat="1">
      <c r="A492" s="2462"/>
      <c r="B492" s="2462"/>
      <c r="C492" s="2462"/>
      <c r="D492" s="2462"/>
      <c r="E492" s="2462"/>
      <c r="F492" s="2462"/>
      <c r="G492" s="2462"/>
      <c r="H492" s="2462"/>
      <c r="I492" s="2579"/>
      <c r="J492" s="2579"/>
      <c r="K492" s="2579"/>
      <c r="L492" s="2579"/>
      <c r="M492" s="2579"/>
      <c r="N492" s="2579"/>
      <c r="O492" s="2579"/>
    </row>
    <row r="493" spans="1:15" s="2463" customFormat="1">
      <c r="A493" s="2462"/>
      <c r="B493" s="2462"/>
      <c r="C493" s="2462"/>
      <c r="D493" s="2462"/>
      <c r="E493" s="2462"/>
      <c r="F493" s="2462"/>
      <c r="G493" s="2462"/>
      <c r="H493" s="2462"/>
      <c r="I493" s="2579"/>
      <c r="J493" s="2579"/>
      <c r="K493" s="2579"/>
      <c r="L493" s="2579"/>
      <c r="M493" s="2579"/>
      <c r="N493" s="2579"/>
      <c r="O493" s="2579"/>
    </row>
    <row r="494" spans="1:15" s="2463" customFormat="1">
      <c r="A494" s="2462"/>
      <c r="B494" s="2462"/>
      <c r="C494" s="2462"/>
      <c r="D494" s="2462"/>
      <c r="E494" s="2462"/>
      <c r="F494" s="2462"/>
      <c r="G494" s="2462"/>
      <c r="H494" s="2462"/>
      <c r="I494" s="2579"/>
      <c r="J494" s="2579"/>
      <c r="K494" s="2579"/>
      <c r="L494" s="2579"/>
      <c r="M494" s="2579"/>
      <c r="N494" s="2579"/>
      <c r="O494" s="2579"/>
    </row>
    <row r="495" spans="1:15" s="2463" customFormat="1">
      <c r="A495" s="2462"/>
      <c r="B495" s="2462"/>
      <c r="C495" s="2462"/>
      <c r="D495" s="2462"/>
      <c r="E495" s="2462"/>
      <c r="F495" s="2462"/>
      <c r="G495" s="2462"/>
      <c r="H495" s="2462"/>
      <c r="I495" s="2579"/>
      <c r="J495" s="2579"/>
      <c r="K495" s="2579"/>
      <c r="L495" s="2579"/>
      <c r="M495" s="2579"/>
      <c r="N495" s="2579"/>
      <c r="O495" s="2579"/>
    </row>
    <row r="496" spans="1:15" s="2463" customFormat="1">
      <c r="A496" s="2462"/>
      <c r="B496" s="2462"/>
      <c r="C496" s="2462"/>
      <c r="D496" s="2462"/>
      <c r="E496" s="2462"/>
      <c r="F496" s="2462"/>
      <c r="G496" s="2462"/>
      <c r="H496" s="2462"/>
      <c r="I496" s="2579"/>
      <c r="J496" s="2579"/>
      <c r="K496" s="2579"/>
      <c r="L496" s="2579"/>
      <c r="M496" s="2579"/>
      <c r="N496" s="2579"/>
      <c r="O496" s="2579"/>
    </row>
    <row r="497" spans="1:15" s="2463" customFormat="1">
      <c r="A497" s="2462"/>
      <c r="B497" s="2462"/>
      <c r="C497" s="2462"/>
      <c r="D497" s="2462"/>
      <c r="E497" s="2462"/>
      <c r="F497" s="2462"/>
      <c r="G497" s="2462"/>
      <c r="H497" s="2462"/>
      <c r="I497" s="2579"/>
      <c r="J497" s="2579"/>
      <c r="K497" s="2579"/>
      <c r="L497" s="2579"/>
      <c r="M497" s="2579"/>
      <c r="N497" s="2579"/>
      <c r="O497" s="2579"/>
    </row>
    <row r="498" spans="1:15" s="2463" customFormat="1">
      <c r="A498" s="2462"/>
      <c r="B498" s="2462"/>
      <c r="C498" s="2462"/>
      <c r="D498" s="2462"/>
      <c r="E498" s="2462"/>
      <c r="F498" s="2462"/>
      <c r="G498" s="2462"/>
      <c r="H498" s="2462"/>
      <c r="I498" s="2579"/>
      <c r="J498" s="2579"/>
      <c r="K498" s="2579"/>
      <c r="L498" s="2579"/>
      <c r="M498" s="2579"/>
      <c r="N498" s="2579"/>
      <c r="O498" s="2579"/>
    </row>
    <row r="504" spans="1:15" s="2463" customFormat="1">
      <c r="A504" s="2462"/>
      <c r="B504" s="2462"/>
      <c r="C504" s="2462"/>
      <c r="D504" s="2462"/>
      <c r="E504" s="2462"/>
      <c r="F504" s="2462"/>
      <c r="G504" s="2462"/>
      <c r="H504" s="2462"/>
      <c r="I504" s="2579"/>
      <c r="J504" s="2579"/>
      <c r="K504" s="2579"/>
      <c r="L504" s="2579"/>
      <c r="M504" s="2579"/>
      <c r="N504" s="2579"/>
      <c r="O504" s="2579"/>
    </row>
    <row r="505" spans="1:15" s="2463" customFormat="1">
      <c r="A505" s="2462"/>
      <c r="B505" s="2462"/>
      <c r="C505" s="2462"/>
      <c r="D505" s="2462"/>
      <c r="E505" s="2462"/>
      <c r="F505" s="2462"/>
      <c r="G505" s="2462"/>
      <c r="H505" s="2462"/>
      <c r="I505" s="2579"/>
      <c r="J505" s="2579"/>
      <c r="K505" s="2579"/>
      <c r="L505" s="2579"/>
      <c r="M505" s="2579"/>
      <c r="N505" s="2579"/>
      <c r="O505" s="2579"/>
    </row>
    <row r="506" spans="1:15" s="2463" customFormat="1">
      <c r="A506" s="2462"/>
      <c r="B506" s="2462"/>
      <c r="C506" s="2462"/>
      <c r="D506" s="2462"/>
      <c r="E506" s="2462"/>
      <c r="F506" s="2462"/>
      <c r="G506" s="2462"/>
      <c r="H506" s="2462"/>
      <c r="I506" s="2579"/>
      <c r="J506" s="2579"/>
      <c r="K506" s="2579"/>
      <c r="L506" s="2579"/>
      <c r="M506" s="2579"/>
      <c r="N506" s="2579"/>
      <c r="O506" s="2579"/>
    </row>
    <row r="507" spans="1:15" s="2463" customFormat="1">
      <c r="A507" s="2462"/>
      <c r="B507" s="2462"/>
      <c r="C507" s="2462"/>
      <c r="D507" s="2462"/>
      <c r="E507" s="2462"/>
      <c r="F507" s="2462"/>
      <c r="G507" s="2462"/>
      <c r="H507" s="2462"/>
      <c r="I507" s="2579"/>
      <c r="J507" s="2579"/>
      <c r="K507" s="2579"/>
      <c r="L507" s="2579"/>
      <c r="M507" s="2579"/>
      <c r="N507" s="2579"/>
      <c r="O507" s="2579"/>
    </row>
    <row r="508" spans="1:15" s="2463" customFormat="1">
      <c r="A508" s="2462"/>
      <c r="B508" s="2462"/>
      <c r="C508" s="2462"/>
      <c r="D508" s="2462"/>
      <c r="E508" s="2462"/>
      <c r="F508" s="2462"/>
      <c r="G508" s="2462"/>
      <c r="H508" s="2462"/>
      <c r="I508" s="2579"/>
      <c r="J508" s="2579"/>
      <c r="K508" s="2579"/>
      <c r="L508" s="2579"/>
      <c r="M508" s="2579"/>
      <c r="N508" s="2579"/>
      <c r="O508" s="2579"/>
    </row>
    <row r="509" spans="1:15" s="2463" customFormat="1">
      <c r="A509" s="2462"/>
      <c r="B509" s="2462"/>
      <c r="C509" s="2462"/>
      <c r="D509" s="2462"/>
      <c r="E509" s="2462"/>
      <c r="F509" s="2462"/>
      <c r="G509" s="2462"/>
      <c r="H509" s="2462"/>
      <c r="I509" s="2579"/>
      <c r="J509" s="2579"/>
      <c r="K509" s="2579"/>
      <c r="L509" s="2579"/>
      <c r="M509" s="2579"/>
      <c r="N509" s="2579"/>
      <c r="O509" s="2579"/>
    </row>
    <row r="510" spans="1:15" s="2463" customFormat="1">
      <c r="A510" s="2462"/>
      <c r="B510" s="2462"/>
      <c r="C510" s="2462"/>
      <c r="D510" s="2462"/>
      <c r="E510" s="2462"/>
      <c r="F510" s="2462"/>
      <c r="G510" s="2462"/>
      <c r="H510" s="2462"/>
      <c r="I510" s="2579"/>
      <c r="J510" s="2579"/>
      <c r="K510" s="2579"/>
      <c r="L510" s="2579"/>
      <c r="M510" s="2579"/>
      <c r="N510" s="2579"/>
      <c r="O510" s="2579"/>
    </row>
    <row r="511" spans="1:15" s="2463" customFormat="1">
      <c r="A511" s="2462"/>
      <c r="B511" s="2462"/>
      <c r="C511" s="2462"/>
      <c r="D511" s="2462"/>
      <c r="E511" s="2462"/>
      <c r="F511" s="2462"/>
      <c r="G511" s="2462"/>
      <c r="H511" s="2462"/>
      <c r="I511" s="2579"/>
      <c r="J511" s="2579"/>
      <c r="K511" s="2579"/>
      <c r="L511" s="2579"/>
      <c r="M511" s="2579"/>
      <c r="N511" s="2579"/>
      <c r="O511" s="2579"/>
    </row>
    <row r="512" spans="1:15" s="2463" customFormat="1">
      <c r="A512" s="2462"/>
      <c r="B512" s="2462"/>
      <c r="C512" s="2462"/>
      <c r="D512" s="2462"/>
      <c r="E512" s="2462"/>
      <c r="F512" s="2462"/>
      <c r="G512" s="2462"/>
      <c r="H512" s="2462"/>
      <c r="I512" s="2579"/>
      <c r="J512" s="2579"/>
      <c r="K512" s="2579"/>
      <c r="L512" s="2579"/>
      <c r="M512" s="2579"/>
      <c r="N512" s="2579"/>
      <c r="O512" s="2579"/>
    </row>
    <row r="513" spans="1:15" s="2463" customFormat="1">
      <c r="A513" s="2462"/>
      <c r="B513" s="2462"/>
      <c r="C513" s="2462"/>
      <c r="D513" s="2462"/>
      <c r="E513" s="2462"/>
      <c r="F513" s="2462"/>
      <c r="G513" s="2462"/>
      <c r="H513" s="2462"/>
      <c r="I513" s="2579"/>
      <c r="J513" s="2579"/>
      <c r="K513" s="2579"/>
      <c r="L513" s="2579"/>
      <c r="M513" s="2579"/>
      <c r="N513" s="2579"/>
      <c r="O513" s="2579"/>
    </row>
    <row r="514" spans="1:15" s="2463" customFormat="1">
      <c r="A514" s="2462"/>
      <c r="B514" s="2462"/>
      <c r="C514" s="2462"/>
      <c r="D514" s="2462"/>
      <c r="E514" s="2462"/>
      <c r="F514" s="2462"/>
      <c r="G514" s="2462"/>
      <c r="H514" s="2462"/>
      <c r="I514" s="2579"/>
      <c r="J514" s="2579"/>
      <c r="K514" s="2579"/>
      <c r="L514" s="2579"/>
      <c r="M514" s="2579"/>
      <c r="N514" s="2579"/>
      <c r="O514" s="2579"/>
    </row>
    <row r="515" spans="1:15" s="2463" customFormat="1">
      <c r="A515" s="2462"/>
      <c r="B515" s="2462"/>
      <c r="C515" s="2462"/>
      <c r="D515" s="2462"/>
      <c r="E515" s="2462"/>
      <c r="F515" s="2462"/>
      <c r="G515" s="2462"/>
      <c r="H515" s="2462"/>
      <c r="I515" s="2579"/>
      <c r="J515" s="2579"/>
      <c r="K515" s="2579"/>
      <c r="L515" s="2579"/>
      <c r="M515" s="2579"/>
      <c r="N515" s="2579"/>
      <c r="O515" s="2579"/>
    </row>
    <row r="516" spans="1:15" s="2463" customFormat="1">
      <c r="A516" s="2462"/>
      <c r="B516" s="2462"/>
      <c r="C516" s="2462"/>
      <c r="D516" s="2462"/>
      <c r="E516" s="2462"/>
      <c r="F516" s="2462"/>
      <c r="G516" s="2462"/>
      <c r="H516" s="2462"/>
      <c r="I516" s="2579"/>
      <c r="J516" s="2579"/>
      <c r="K516" s="2579"/>
      <c r="L516" s="2579"/>
      <c r="M516" s="2579"/>
      <c r="N516" s="2579"/>
      <c r="O516" s="2579"/>
    </row>
    <row r="517" spans="1:15" s="2463" customFormat="1">
      <c r="A517" s="2462"/>
      <c r="B517" s="2462"/>
      <c r="C517" s="2462"/>
      <c r="D517" s="2462"/>
      <c r="E517" s="2462"/>
      <c r="F517" s="2462"/>
      <c r="G517" s="2462"/>
      <c r="H517" s="2462"/>
      <c r="I517" s="2579"/>
      <c r="J517" s="2579"/>
      <c r="K517" s="2579"/>
      <c r="L517" s="2579"/>
      <c r="M517" s="2579"/>
      <c r="N517" s="2579"/>
      <c r="O517" s="2579"/>
    </row>
    <row r="518" spans="1:15" s="2463" customFormat="1">
      <c r="A518" s="2462"/>
      <c r="B518" s="2462"/>
      <c r="C518" s="2462"/>
      <c r="D518" s="2462"/>
      <c r="E518" s="2462"/>
      <c r="F518" s="2462"/>
      <c r="G518" s="2462"/>
      <c r="H518" s="2462"/>
      <c r="I518" s="2579"/>
      <c r="J518" s="2579"/>
      <c r="K518" s="2579"/>
      <c r="L518" s="2579"/>
      <c r="M518" s="2579"/>
      <c r="N518" s="2579"/>
      <c r="O518" s="2579"/>
    </row>
    <row r="519" spans="1:15" s="2463" customFormat="1">
      <c r="A519" s="2462"/>
      <c r="B519" s="2462"/>
      <c r="C519" s="2462"/>
      <c r="D519" s="2462"/>
      <c r="E519" s="2462"/>
      <c r="F519" s="2462"/>
      <c r="G519" s="2462"/>
      <c r="H519" s="2462"/>
      <c r="I519" s="2579"/>
      <c r="J519" s="2579"/>
      <c r="K519" s="2579"/>
      <c r="L519" s="2579"/>
      <c r="M519" s="2579"/>
      <c r="N519" s="2579"/>
      <c r="O519" s="2579"/>
    </row>
    <row r="520" spans="1:15" s="2463" customFormat="1">
      <c r="A520" s="2462"/>
      <c r="B520" s="2462"/>
      <c r="C520" s="2462"/>
      <c r="D520" s="2462"/>
      <c r="E520" s="2462"/>
      <c r="F520" s="2462"/>
      <c r="G520" s="2462"/>
      <c r="H520" s="2462"/>
      <c r="I520" s="2579"/>
      <c r="J520" s="2579"/>
      <c r="K520" s="2579"/>
      <c r="L520" s="2579"/>
      <c r="M520" s="2579"/>
      <c r="N520" s="2579"/>
      <c r="O520" s="2579"/>
    </row>
    <row r="521" spans="1:15" s="2463" customFormat="1">
      <c r="A521" s="2462"/>
      <c r="B521" s="2462"/>
      <c r="C521" s="2462"/>
      <c r="D521" s="2462"/>
      <c r="E521" s="2462"/>
      <c r="F521" s="2462"/>
      <c r="G521" s="2462"/>
      <c r="H521" s="2462"/>
      <c r="I521" s="2579"/>
      <c r="J521" s="2579"/>
      <c r="K521" s="2579"/>
      <c r="L521" s="2579"/>
      <c r="M521" s="2579"/>
      <c r="N521" s="2579"/>
      <c r="O521" s="2579"/>
    </row>
    <row r="522" spans="1:15" s="2463" customFormat="1">
      <c r="A522" s="2462"/>
      <c r="B522" s="2462"/>
      <c r="C522" s="2462"/>
      <c r="D522" s="2462"/>
      <c r="E522" s="2462"/>
      <c r="F522" s="2462"/>
      <c r="G522" s="2462"/>
      <c r="H522" s="2462"/>
      <c r="I522" s="2579"/>
      <c r="J522" s="2579"/>
      <c r="K522" s="2579"/>
      <c r="L522" s="2579"/>
      <c r="M522" s="2579"/>
      <c r="N522" s="2579"/>
      <c r="O522" s="2579"/>
    </row>
    <row r="523" spans="1:15" s="2463" customFormat="1">
      <c r="A523" s="2462"/>
      <c r="B523" s="2462"/>
      <c r="C523" s="2462"/>
      <c r="D523" s="2462"/>
      <c r="E523" s="2462"/>
      <c r="F523" s="2462"/>
      <c r="G523" s="2462"/>
      <c r="H523" s="2462"/>
      <c r="I523" s="2579"/>
      <c r="J523" s="2579"/>
      <c r="K523" s="2579"/>
      <c r="L523" s="2579"/>
      <c r="M523" s="2579"/>
      <c r="N523" s="2579"/>
      <c r="O523" s="2579"/>
    </row>
    <row r="524" spans="1:15" s="2463" customFormat="1">
      <c r="A524" s="2462"/>
      <c r="B524" s="2462"/>
      <c r="C524" s="2462"/>
      <c r="D524" s="2462"/>
      <c r="E524" s="2462"/>
      <c r="F524" s="2462"/>
      <c r="G524" s="2462"/>
      <c r="H524" s="2462"/>
      <c r="I524" s="2579"/>
      <c r="J524" s="2579"/>
      <c r="K524" s="2579"/>
      <c r="L524" s="2579"/>
      <c r="M524" s="2579"/>
      <c r="N524" s="2579"/>
      <c r="O524" s="2579"/>
    </row>
    <row r="525" spans="1:15" s="2463" customFormat="1">
      <c r="A525" s="2462"/>
      <c r="B525" s="2462"/>
      <c r="C525" s="2462"/>
      <c r="D525" s="2462"/>
      <c r="E525" s="2462"/>
      <c r="F525" s="2462"/>
      <c r="G525" s="2462"/>
      <c r="H525" s="2462"/>
      <c r="I525" s="2579"/>
      <c r="J525" s="2579"/>
      <c r="K525" s="2579"/>
      <c r="L525" s="2579"/>
      <c r="M525" s="2579"/>
      <c r="N525" s="2579"/>
      <c r="O525" s="2579"/>
    </row>
    <row r="526" spans="1:15" s="2463" customFormat="1">
      <c r="A526" s="2462"/>
      <c r="B526" s="2462"/>
      <c r="C526" s="2462"/>
      <c r="D526" s="2462"/>
      <c r="E526" s="2462"/>
      <c r="F526" s="2462"/>
      <c r="G526" s="2462"/>
      <c r="H526" s="2462"/>
      <c r="I526" s="2579"/>
      <c r="J526" s="2579"/>
      <c r="K526" s="2579"/>
      <c r="L526" s="2579"/>
      <c r="M526" s="2579"/>
      <c r="N526" s="2579"/>
      <c r="O526" s="2579"/>
    </row>
    <row r="527" spans="1:15" s="2463" customFormat="1">
      <c r="A527" s="2462"/>
      <c r="B527" s="2462"/>
      <c r="C527" s="2462"/>
      <c r="D527" s="2462"/>
      <c r="E527" s="2462"/>
      <c r="F527" s="2462"/>
      <c r="G527" s="2462"/>
      <c r="H527" s="2462"/>
      <c r="I527" s="2579"/>
      <c r="J527" s="2579"/>
      <c r="K527" s="2579"/>
      <c r="L527" s="2579"/>
      <c r="M527" s="2579"/>
      <c r="N527" s="2579"/>
      <c r="O527" s="2579"/>
    </row>
    <row r="528" spans="1:15" s="2463" customFormat="1">
      <c r="A528" s="2462"/>
      <c r="B528" s="2462"/>
      <c r="C528" s="2462"/>
      <c r="D528" s="2462"/>
      <c r="E528" s="2462"/>
      <c r="F528" s="2462"/>
      <c r="G528" s="2462"/>
      <c r="H528" s="2462"/>
      <c r="I528" s="2579"/>
      <c r="J528" s="2579"/>
      <c r="K528" s="2579"/>
      <c r="L528" s="2579"/>
      <c r="M528" s="2579"/>
      <c r="N528" s="2579"/>
      <c r="O528" s="2579"/>
    </row>
    <row r="529" spans="1:15" s="2463" customFormat="1">
      <c r="A529" s="2462"/>
      <c r="B529" s="2462"/>
      <c r="C529" s="2462"/>
      <c r="D529" s="2462"/>
      <c r="E529" s="2462"/>
      <c r="F529" s="2462"/>
      <c r="G529" s="2462"/>
      <c r="H529" s="2462"/>
      <c r="I529" s="2579"/>
      <c r="J529" s="2579"/>
      <c r="K529" s="2579"/>
      <c r="L529" s="2579"/>
      <c r="M529" s="2579"/>
      <c r="N529" s="2579"/>
      <c r="O529" s="2579"/>
    </row>
    <row r="530" spans="1:15" s="2463" customFormat="1">
      <c r="A530" s="2462"/>
      <c r="B530" s="2462"/>
      <c r="C530" s="2462"/>
      <c r="D530" s="2462"/>
      <c r="E530" s="2462"/>
      <c r="F530" s="2462"/>
      <c r="G530" s="2462"/>
      <c r="H530" s="2462"/>
      <c r="I530" s="2579"/>
      <c r="J530" s="2579"/>
      <c r="K530" s="2579"/>
      <c r="L530" s="2579"/>
      <c r="M530" s="2579"/>
      <c r="N530" s="2579"/>
      <c r="O530" s="2579"/>
    </row>
    <row r="531" spans="1:15" s="2463" customFormat="1">
      <c r="A531" s="2462"/>
      <c r="B531" s="2462"/>
      <c r="C531" s="2462"/>
      <c r="D531" s="2462"/>
      <c r="E531" s="2462"/>
      <c r="F531" s="2462"/>
      <c r="G531" s="2462"/>
      <c r="H531" s="2462"/>
      <c r="I531" s="2579"/>
      <c r="J531" s="2579"/>
      <c r="K531" s="2579"/>
      <c r="L531" s="2579"/>
      <c r="M531" s="2579"/>
      <c r="N531" s="2579"/>
      <c r="O531" s="2579"/>
    </row>
    <row r="532" spans="1:15" s="2463" customFormat="1">
      <c r="A532" s="2462"/>
      <c r="B532" s="2462"/>
      <c r="C532" s="2462"/>
      <c r="D532" s="2462"/>
      <c r="E532" s="2462"/>
      <c r="F532" s="2462"/>
      <c r="G532" s="2462"/>
      <c r="H532" s="2462"/>
      <c r="I532" s="2579"/>
      <c r="J532" s="2579"/>
      <c r="K532" s="2579"/>
      <c r="L532" s="2579"/>
      <c r="M532" s="2579"/>
      <c r="N532" s="2579"/>
      <c r="O532" s="2579"/>
    </row>
    <row r="533" spans="1:15" s="2463" customFormat="1">
      <c r="A533" s="2462"/>
      <c r="B533" s="2462"/>
      <c r="C533" s="2462"/>
      <c r="D533" s="2462"/>
      <c r="E533" s="2462"/>
      <c r="F533" s="2462"/>
      <c r="G533" s="2462"/>
      <c r="H533" s="2462"/>
      <c r="I533" s="2579"/>
      <c r="J533" s="2579"/>
      <c r="K533" s="2579"/>
      <c r="L533" s="2579"/>
      <c r="M533" s="2579"/>
      <c r="N533" s="2579"/>
      <c r="O533" s="2579"/>
    </row>
    <row r="534" spans="1:15" s="2463" customFormat="1">
      <c r="A534" s="2462"/>
      <c r="B534" s="2462"/>
      <c r="C534" s="2462"/>
      <c r="D534" s="2462"/>
      <c r="E534" s="2462"/>
      <c r="F534" s="2462"/>
      <c r="G534" s="2462"/>
      <c r="H534" s="2462"/>
      <c r="I534" s="2579"/>
      <c r="J534" s="2579"/>
      <c r="K534" s="2579"/>
      <c r="L534" s="2579"/>
      <c r="M534" s="2579"/>
      <c r="N534" s="2579"/>
      <c r="O534" s="2579"/>
    </row>
    <row r="535" spans="1:15" s="2463" customFormat="1">
      <c r="A535" s="2462"/>
      <c r="B535" s="2462"/>
      <c r="C535" s="2462"/>
      <c r="D535" s="2462"/>
      <c r="E535" s="2462"/>
      <c r="F535" s="2462"/>
      <c r="G535" s="2462"/>
      <c r="H535" s="2462"/>
      <c r="I535" s="2579"/>
      <c r="J535" s="2579"/>
      <c r="K535" s="2579"/>
      <c r="L535" s="2579"/>
      <c r="M535" s="2579"/>
      <c r="N535" s="2579"/>
      <c r="O535" s="2579"/>
    </row>
    <row r="536" spans="1:15" s="2463" customFormat="1">
      <c r="A536" s="2462"/>
      <c r="B536" s="2462"/>
      <c r="C536" s="2462"/>
      <c r="D536" s="2462"/>
      <c r="E536" s="2462"/>
      <c r="F536" s="2462"/>
      <c r="G536" s="2462"/>
      <c r="H536" s="2462"/>
      <c r="I536" s="2579"/>
      <c r="J536" s="2579"/>
      <c r="K536" s="2579"/>
      <c r="L536" s="2579"/>
      <c r="M536" s="2579"/>
      <c r="N536" s="2579"/>
      <c r="O536" s="2579"/>
    </row>
    <row r="537" spans="1:15" s="2463" customFormat="1">
      <c r="A537" s="2462"/>
      <c r="B537" s="2462"/>
      <c r="C537" s="2462"/>
      <c r="D537" s="2462"/>
      <c r="E537" s="2462"/>
      <c r="F537" s="2462"/>
      <c r="G537" s="2462"/>
      <c r="H537" s="2462"/>
      <c r="I537" s="2579"/>
      <c r="J537" s="2579"/>
      <c r="K537" s="2579"/>
      <c r="L537" s="2579"/>
      <c r="M537" s="2579"/>
      <c r="N537" s="2579"/>
      <c r="O537" s="2579"/>
    </row>
    <row r="538" spans="1:15" s="2463" customFormat="1">
      <c r="A538" s="2462"/>
      <c r="B538" s="2462"/>
      <c r="C538" s="2462"/>
      <c r="D538" s="2462"/>
      <c r="E538" s="2462"/>
      <c r="F538" s="2462"/>
      <c r="G538" s="2462"/>
      <c r="H538" s="2462"/>
      <c r="I538" s="2579"/>
      <c r="J538" s="2579"/>
      <c r="K538" s="2579"/>
      <c r="L538" s="2579"/>
      <c r="M538" s="2579"/>
      <c r="N538" s="2579"/>
      <c r="O538" s="2579"/>
    </row>
    <row r="539" spans="1:15" s="2463" customFormat="1">
      <c r="A539" s="2462"/>
      <c r="B539" s="2462"/>
      <c r="C539" s="2462"/>
      <c r="D539" s="2462"/>
      <c r="E539" s="2462"/>
      <c r="F539" s="2462"/>
      <c r="G539" s="2462"/>
      <c r="H539" s="2462"/>
      <c r="I539" s="2579"/>
      <c r="J539" s="2579"/>
      <c r="K539" s="2579"/>
      <c r="L539" s="2579"/>
      <c r="M539" s="2579"/>
      <c r="N539" s="2579"/>
      <c r="O539" s="2579"/>
    </row>
    <row r="540" spans="1:15" s="2463" customFormat="1">
      <c r="A540" s="2462"/>
      <c r="B540" s="2462"/>
      <c r="C540" s="2462"/>
      <c r="D540" s="2462"/>
      <c r="E540" s="2462"/>
      <c r="F540" s="2462"/>
      <c r="G540" s="2462"/>
      <c r="H540" s="2462"/>
      <c r="I540" s="2579"/>
      <c r="J540" s="2579"/>
      <c r="K540" s="2579"/>
      <c r="L540" s="2579"/>
      <c r="M540" s="2579"/>
      <c r="N540" s="2579"/>
      <c r="O540" s="2579"/>
    </row>
    <row r="541" spans="1:15" s="2463" customFormat="1">
      <c r="A541" s="2462"/>
      <c r="B541" s="2462"/>
      <c r="C541" s="2462"/>
      <c r="D541" s="2462"/>
      <c r="E541" s="2462"/>
      <c r="F541" s="2462"/>
      <c r="G541" s="2462"/>
      <c r="H541" s="2462"/>
      <c r="I541" s="2579"/>
      <c r="J541" s="2579"/>
      <c r="K541" s="2579"/>
      <c r="L541" s="2579"/>
      <c r="M541" s="2579"/>
      <c r="N541" s="2579"/>
      <c r="O541" s="2579"/>
    </row>
    <row r="542" spans="1:15" s="2463" customFormat="1">
      <c r="A542" s="2462"/>
      <c r="B542" s="2462"/>
      <c r="C542" s="2462"/>
      <c r="D542" s="2462"/>
      <c r="E542" s="2462"/>
      <c r="F542" s="2462"/>
      <c r="G542" s="2462"/>
      <c r="H542" s="2462"/>
      <c r="I542" s="2579"/>
      <c r="J542" s="2579"/>
      <c r="K542" s="2579"/>
      <c r="L542" s="2579"/>
      <c r="M542" s="2579"/>
      <c r="N542" s="2579"/>
      <c r="O542" s="2579"/>
    </row>
    <row r="549" spans="1:15" s="2463" customFormat="1">
      <c r="A549" s="2462"/>
      <c r="B549" s="2462"/>
      <c r="C549" s="2462"/>
      <c r="D549" s="2462"/>
      <c r="E549" s="2462"/>
      <c r="F549" s="2462"/>
      <c r="G549" s="2462"/>
      <c r="H549" s="2462"/>
      <c r="I549" s="2579"/>
      <c r="J549" s="2579"/>
      <c r="K549" s="2579"/>
      <c r="L549" s="2579"/>
      <c r="M549" s="2579"/>
      <c r="N549" s="2579"/>
      <c r="O549" s="2579"/>
    </row>
    <row r="550" spans="1:15" s="2463" customFormat="1">
      <c r="A550" s="2462"/>
      <c r="B550" s="2462"/>
      <c r="C550" s="2462"/>
      <c r="D550" s="2462"/>
      <c r="E550" s="2462"/>
      <c r="F550" s="2462"/>
      <c r="G550" s="2462"/>
      <c r="H550" s="2462"/>
      <c r="I550" s="2579"/>
      <c r="J550" s="2579"/>
      <c r="K550" s="2579"/>
      <c r="L550" s="2579"/>
      <c r="M550" s="2579"/>
      <c r="N550" s="2579"/>
      <c r="O550" s="2579"/>
    </row>
    <row r="551" spans="1:15" s="2463" customFormat="1">
      <c r="A551" s="2462"/>
      <c r="B551" s="2462"/>
      <c r="C551" s="2462"/>
      <c r="D551" s="2462"/>
      <c r="E551" s="2462"/>
      <c r="F551" s="2462"/>
      <c r="G551" s="2462"/>
      <c r="H551" s="2462"/>
      <c r="I551" s="2579"/>
      <c r="J551" s="2579"/>
      <c r="K551" s="2579"/>
      <c r="L551" s="2579"/>
      <c r="M551" s="2579"/>
      <c r="N551" s="2579"/>
      <c r="O551" s="2579"/>
    </row>
    <row r="552" spans="1:15" s="2463" customFormat="1">
      <c r="A552" s="2462"/>
      <c r="B552" s="2462"/>
      <c r="C552" s="2462"/>
      <c r="D552" s="2462"/>
      <c r="E552" s="2462"/>
      <c r="F552" s="2462"/>
      <c r="G552" s="2462"/>
      <c r="H552" s="2462"/>
      <c r="I552" s="2579"/>
      <c r="J552" s="2579"/>
      <c r="K552" s="2579"/>
      <c r="L552" s="2579"/>
      <c r="M552" s="2579"/>
      <c r="N552" s="2579"/>
      <c r="O552" s="2579"/>
    </row>
    <row r="553" spans="1:15" s="2463" customFormat="1">
      <c r="A553" s="2462"/>
      <c r="B553" s="2462"/>
      <c r="C553" s="2462"/>
      <c r="D553" s="2462"/>
      <c r="E553" s="2462"/>
      <c r="F553" s="2462"/>
      <c r="G553" s="2462"/>
      <c r="H553" s="2462"/>
      <c r="I553" s="2579"/>
      <c r="J553" s="2579"/>
      <c r="K553" s="2579"/>
      <c r="L553" s="2579"/>
      <c r="M553" s="2579"/>
      <c r="N553" s="2579"/>
      <c r="O553" s="2579"/>
    </row>
    <row r="554" spans="1:15" s="2463" customFormat="1">
      <c r="A554" s="2462"/>
      <c r="B554" s="2462"/>
      <c r="C554" s="2462"/>
      <c r="D554" s="2462"/>
      <c r="E554" s="2462"/>
      <c r="F554" s="2462"/>
      <c r="G554" s="2462"/>
      <c r="H554" s="2462"/>
      <c r="I554" s="2579"/>
      <c r="J554" s="2579"/>
      <c r="K554" s="2579"/>
      <c r="L554" s="2579"/>
      <c r="M554" s="2579"/>
      <c r="N554" s="2579"/>
      <c r="O554" s="2579"/>
    </row>
    <row r="555" spans="1:15" s="2463" customFormat="1">
      <c r="A555" s="2462"/>
      <c r="B555" s="2462"/>
      <c r="C555" s="2462"/>
      <c r="D555" s="2462"/>
      <c r="E555" s="2462"/>
      <c r="F555" s="2462"/>
      <c r="G555" s="2462"/>
      <c r="H555" s="2462"/>
      <c r="I555" s="2579"/>
      <c r="J555" s="2579"/>
      <c r="K555" s="2579"/>
      <c r="L555" s="2579"/>
      <c r="M555" s="2579"/>
      <c r="N555" s="2579"/>
      <c r="O555" s="2579"/>
    </row>
    <row r="556" spans="1:15" s="2463" customFormat="1">
      <c r="A556" s="2462"/>
      <c r="B556" s="2462"/>
      <c r="C556" s="2462"/>
      <c r="D556" s="2462"/>
      <c r="E556" s="2462"/>
      <c r="F556" s="2462"/>
      <c r="G556" s="2462"/>
      <c r="H556" s="2462"/>
      <c r="I556" s="2579"/>
      <c r="J556" s="2579"/>
      <c r="K556" s="2579"/>
      <c r="L556" s="2579"/>
      <c r="M556" s="2579"/>
      <c r="N556" s="2579"/>
      <c r="O556" s="2579"/>
    </row>
    <row r="557" spans="1:15" s="2463" customFormat="1">
      <c r="A557" s="2462"/>
      <c r="B557" s="2462"/>
      <c r="C557" s="2462"/>
      <c r="D557" s="2462"/>
      <c r="E557" s="2462"/>
      <c r="F557" s="2462"/>
      <c r="G557" s="2462"/>
      <c r="H557" s="2462"/>
      <c r="I557" s="2579"/>
      <c r="J557" s="2579"/>
      <c r="K557" s="2579"/>
      <c r="L557" s="2579"/>
      <c r="M557" s="2579"/>
      <c r="N557" s="2579"/>
      <c r="O557" s="2579"/>
    </row>
    <row r="558" spans="1:15" s="2463" customFormat="1">
      <c r="A558" s="2462"/>
      <c r="B558" s="2462"/>
      <c r="C558" s="2462"/>
      <c r="D558" s="2462"/>
      <c r="E558" s="2462"/>
      <c r="F558" s="2462"/>
      <c r="G558" s="2462"/>
      <c r="H558" s="2462"/>
      <c r="I558" s="2579"/>
      <c r="J558" s="2579"/>
      <c r="K558" s="2579"/>
      <c r="L558" s="2579"/>
      <c r="M558" s="2579"/>
      <c r="N558" s="2579"/>
      <c r="O558" s="2579"/>
    </row>
    <row r="559" spans="1:15" s="2463" customFormat="1">
      <c r="A559" s="2462"/>
      <c r="B559" s="2462"/>
      <c r="C559" s="2462"/>
      <c r="D559" s="2462"/>
      <c r="E559" s="2462"/>
      <c r="F559" s="2462"/>
      <c r="G559" s="2462"/>
      <c r="H559" s="2462"/>
      <c r="I559" s="2579"/>
      <c r="J559" s="2579"/>
      <c r="K559" s="2579"/>
      <c r="L559" s="2579"/>
      <c r="M559" s="2579"/>
      <c r="N559" s="2579"/>
      <c r="O559" s="2579"/>
    </row>
    <row r="560" spans="1:15" s="2463" customFormat="1">
      <c r="A560" s="2462"/>
      <c r="B560" s="2462"/>
      <c r="C560" s="2462"/>
      <c r="D560" s="2462"/>
      <c r="E560" s="2462"/>
      <c r="F560" s="2462"/>
      <c r="G560" s="2462"/>
      <c r="H560" s="2462"/>
      <c r="I560" s="2579"/>
      <c r="J560" s="2579"/>
      <c r="K560" s="2579"/>
      <c r="L560" s="2579"/>
      <c r="M560" s="2579"/>
      <c r="N560" s="2579"/>
      <c r="O560" s="2579"/>
    </row>
    <row r="561" spans="1:15" s="2463" customFormat="1">
      <c r="A561" s="2462"/>
      <c r="B561" s="2462"/>
      <c r="C561" s="2462"/>
      <c r="D561" s="2462"/>
      <c r="E561" s="2462"/>
      <c r="F561" s="2462"/>
      <c r="G561" s="2462"/>
      <c r="H561" s="2462"/>
      <c r="I561" s="2579"/>
      <c r="J561" s="2579"/>
      <c r="K561" s="2579"/>
      <c r="L561" s="2579"/>
      <c r="M561" s="2579"/>
      <c r="N561" s="2579"/>
      <c r="O561" s="2579"/>
    </row>
    <row r="562" spans="1:15" s="2463" customFormat="1">
      <c r="A562" s="2462"/>
      <c r="B562" s="2462"/>
      <c r="C562" s="2462"/>
      <c r="D562" s="2462"/>
      <c r="E562" s="2462"/>
      <c r="F562" s="2462"/>
      <c r="G562" s="2462"/>
      <c r="H562" s="2462"/>
      <c r="I562" s="2579"/>
      <c r="J562" s="2579"/>
      <c r="K562" s="2579"/>
      <c r="L562" s="2579"/>
      <c r="M562" s="2579"/>
      <c r="N562" s="2579"/>
      <c r="O562" s="2579"/>
    </row>
    <row r="563" spans="1:15" s="2463" customFormat="1">
      <c r="A563" s="2462"/>
      <c r="B563" s="2462"/>
      <c r="C563" s="2462"/>
      <c r="D563" s="2462"/>
      <c r="E563" s="2462"/>
      <c r="F563" s="2462"/>
      <c r="G563" s="2462"/>
      <c r="H563" s="2462"/>
      <c r="I563" s="2579"/>
      <c r="J563" s="2579"/>
      <c r="K563" s="2579"/>
      <c r="L563" s="2579"/>
      <c r="M563" s="2579"/>
      <c r="N563" s="2579"/>
      <c r="O563" s="2579"/>
    </row>
    <row r="564" spans="1:15" s="2463" customFormat="1">
      <c r="A564" s="2462"/>
      <c r="B564" s="2462"/>
      <c r="C564" s="2462"/>
      <c r="D564" s="2462"/>
      <c r="E564" s="2462"/>
      <c r="F564" s="2462"/>
      <c r="G564" s="2462"/>
      <c r="H564" s="2462"/>
      <c r="I564" s="2579"/>
      <c r="J564" s="2579"/>
      <c r="K564" s="2579"/>
      <c r="L564" s="2579"/>
      <c r="M564" s="2579"/>
      <c r="N564" s="2579"/>
      <c r="O564" s="2579"/>
    </row>
    <row r="565" spans="1:15" s="2463" customFormat="1">
      <c r="A565" s="2462"/>
      <c r="B565" s="2462"/>
      <c r="C565" s="2462"/>
      <c r="D565" s="2462"/>
      <c r="E565" s="2462"/>
      <c r="F565" s="2462"/>
      <c r="G565" s="2462"/>
      <c r="H565" s="2462"/>
      <c r="I565" s="2579"/>
      <c r="J565" s="2579"/>
      <c r="K565" s="2579"/>
      <c r="L565" s="2579"/>
      <c r="M565" s="2579"/>
      <c r="N565" s="2579"/>
      <c r="O565" s="2579"/>
    </row>
    <row r="566" spans="1:15" s="2463" customFormat="1" ht="7.5" customHeight="1">
      <c r="A566" s="2462"/>
      <c r="B566" s="2462"/>
      <c r="C566" s="2462"/>
      <c r="D566" s="2462"/>
      <c r="E566" s="2462"/>
      <c r="F566" s="2462"/>
      <c r="G566" s="2462"/>
      <c r="H566" s="2462"/>
      <c r="I566" s="2579"/>
      <c r="J566" s="2579"/>
      <c r="K566" s="2579"/>
      <c r="L566" s="2579"/>
      <c r="M566" s="2579"/>
      <c r="N566" s="2579"/>
      <c r="O566" s="2579"/>
    </row>
    <row r="567" spans="1:15" s="2463" customFormat="1" ht="7.5" customHeight="1">
      <c r="A567" s="2462"/>
      <c r="B567" s="2462"/>
      <c r="C567" s="2462"/>
      <c r="D567" s="2462"/>
      <c r="E567" s="2462"/>
      <c r="F567" s="2462"/>
      <c r="G567" s="2462"/>
      <c r="H567" s="2462"/>
      <c r="I567" s="2579"/>
      <c r="J567" s="2579"/>
      <c r="K567" s="2579"/>
      <c r="L567" s="2579"/>
      <c r="M567" s="2579"/>
      <c r="N567" s="2579"/>
      <c r="O567" s="2579"/>
    </row>
    <row r="568" spans="1:15" s="2463" customFormat="1" ht="7.5" customHeight="1">
      <c r="A568" s="2462"/>
      <c r="B568" s="2462"/>
      <c r="C568" s="2462"/>
      <c r="D568" s="2462"/>
      <c r="E568" s="2462"/>
      <c r="F568" s="2462"/>
      <c r="G568" s="2462"/>
      <c r="H568" s="2462"/>
      <c r="I568" s="2579"/>
      <c r="J568" s="2579"/>
      <c r="K568" s="2579"/>
      <c r="L568" s="2579"/>
      <c r="M568" s="2579"/>
      <c r="N568" s="2579"/>
      <c r="O568" s="2579"/>
    </row>
    <row r="569" spans="1:15" s="2463" customFormat="1" ht="7.5" customHeight="1">
      <c r="A569" s="2462"/>
      <c r="B569" s="2462"/>
      <c r="C569" s="2462"/>
      <c r="D569" s="2462"/>
      <c r="E569" s="2462"/>
      <c r="F569" s="2462"/>
      <c r="G569" s="2462"/>
      <c r="H569" s="2462"/>
      <c r="I569" s="2579"/>
      <c r="J569" s="2579"/>
      <c r="K569" s="2579"/>
      <c r="L569" s="2579"/>
      <c r="M569" s="2579"/>
      <c r="N569" s="2579"/>
      <c r="O569" s="2579"/>
    </row>
    <row r="570" spans="1:15" s="2463" customFormat="1" ht="7.5" customHeight="1">
      <c r="A570" s="2462"/>
      <c r="B570" s="2462"/>
      <c r="C570" s="2462"/>
      <c r="D570" s="2462"/>
      <c r="E570" s="2462"/>
      <c r="F570" s="2462"/>
      <c r="G570" s="2462"/>
      <c r="H570" s="2462"/>
      <c r="I570" s="2579"/>
      <c r="J570" s="2579"/>
      <c r="K570" s="2579"/>
      <c r="L570" s="2579"/>
      <c r="M570" s="2579"/>
      <c r="N570" s="2579"/>
      <c r="O570" s="2579"/>
    </row>
    <row r="571" spans="1:15" s="2463" customFormat="1" ht="7.5" customHeight="1">
      <c r="A571" s="2462"/>
      <c r="B571" s="2462"/>
      <c r="C571" s="2462"/>
      <c r="D571" s="2462"/>
      <c r="E571" s="2462"/>
      <c r="F571" s="2462"/>
      <c r="G571" s="2462"/>
      <c r="H571" s="2462"/>
      <c r="I571" s="2579"/>
      <c r="J571" s="2579"/>
      <c r="K571" s="2579"/>
      <c r="L571" s="2579"/>
      <c r="M571" s="2579"/>
      <c r="N571" s="2579"/>
      <c r="O571" s="2579"/>
    </row>
    <row r="572" spans="1:15" s="2463" customFormat="1" ht="7.5" customHeight="1">
      <c r="A572" s="2462"/>
      <c r="B572" s="2462"/>
      <c r="C572" s="2462"/>
      <c r="D572" s="2462"/>
      <c r="E572" s="2462"/>
      <c r="F572" s="2462"/>
      <c r="G572" s="2462"/>
      <c r="H572" s="2462"/>
      <c r="I572" s="2579"/>
      <c r="J572" s="2579"/>
      <c r="K572" s="2579"/>
      <c r="L572" s="2579"/>
      <c r="M572" s="2579"/>
      <c r="N572" s="2579"/>
      <c r="O572" s="2579"/>
    </row>
    <row r="573" spans="1:15" s="2463" customFormat="1" ht="7.5" customHeight="1">
      <c r="A573" s="2462"/>
      <c r="B573" s="2462"/>
      <c r="C573" s="2462"/>
      <c r="D573" s="2462"/>
      <c r="E573" s="2462"/>
      <c r="F573" s="2462"/>
      <c r="G573" s="2462"/>
      <c r="H573" s="2462"/>
      <c r="I573" s="2579"/>
      <c r="J573" s="2579"/>
      <c r="K573" s="2579"/>
      <c r="L573" s="2579"/>
      <c r="M573" s="2579"/>
      <c r="N573" s="2579"/>
      <c r="O573" s="2579"/>
    </row>
    <row r="574" spans="1:15" s="2463" customFormat="1" ht="7.5" customHeight="1">
      <c r="A574" s="2462"/>
      <c r="B574" s="2462"/>
      <c r="C574" s="2462"/>
      <c r="D574" s="2462"/>
      <c r="E574" s="2462"/>
      <c r="F574" s="2462"/>
      <c r="G574" s="2462"/>
      <c r="H574" s="2462"/>
      <c r="I574" s="2579"/>
      <c r="J574" s="2579"/>
      <c r="K574" s="2579"/>
      <c r="L574" s="2579"/>
      <c r="M574" s="2579"/>
      <c r="N574" s="2579"/>
      <c r="O574" s="2579"/>
    </row>
    <row r="575" spans="1:15" s="2463" customFormat="1" ht="7.5" customHeight="1">
      <c r="A575" s="2462"/>
      <c r="B575" s="2462"/>
      <c r="C575" s="2462"/>
      <c r="D575" s="2462"/>
      <c r="E575" s="2462"/>
      <c r="F575" s="2462"/>
      <c r="G575" s="2462"/>
      <c r="H575" s="2462"/>
      <c r="I575" s="2579"/>
      <c r="J575" s="2579"/>
      <c r="K575" s="2579"/>
      <c r="L575" s="2579"/>
      <c r="M575" s="2579"/>
      <c r="N575" s="2579"/>
      <c r="O575" s="2579"/>
    </row>
    <row r="576" spans="1:15" s="2463" customFormat="1" ht="7.5" customHeight="1">
      <c r="A576" s="2462"/>
      <c r="B576" s="2462"/>
      <c r="C576" s="2462"/>
      <c r="D576" s="2462"/>
      <c r="E576" s="2462"/>
      <c r="F576" s="2462"/>
      <c r="G576" s="2462"/>
      <c r="H576" s="2462"/>
      <c r="I576" s="2579"/>
      <c r="J576" s="2579"/>
      <c r="K576" s="2579"/>
      <c r="L576" s="2579"/>
      <c r="M576" s="2579"/>
      <c r="N576" s="2579"/>
      <c r="O576" s="2579"/>
    </row>
    <row r="577" spans="1:15" s="2463" customFormat="1" ht="7.5" customHeight="1">
      <c r="A577" s="2462"/>
      <c r="B577" s="2462"/>
      <c r="C577" s="2462"/>
      <c r="D577" s="2462"/>
      <c r="E577" s="2462"/>
      <c r="F577" s="2462"/>
      <c r="G577" s="2462"/>
      <c r="H577" s="2462"/>
      <c r="I577" s="2579"/>
      <c r="J577" s="2579"/>
      <c r="K577" s="2579"/>
      <c r="L577" s="2579"/>
      <c r="M577" s="2579"/>
      <c r="N577" s="2579"/>
      <c r="O577" s="2579"/>
    </row>
    <row r="578" spans="1:15" s="2463" customFormat="1" ht="7.5" customHeight="1">
      <c r="A578" s="2462"/>
      <c r="B578" s="2462"/>
      <c r="C578" s="2462"/>
      <c r="D578" s="2462"/>
      <c r="E578" s="2462"/>
      <c r="F578" s="2462"/>
      <c r="G578" s="2462"/>
      <c r="H578" s="2462"/>
      <c r="I578" s="2579"/>
      <c r="J578" s="2579"/>
      <c r="K578" s="2579"/>
      <c r="L578" s="2579"/>
      <c r="M578" s="2579"/>
      <c r="N578" s="2579"/>
      <c r="O578" s="2579"/>
    </row>
    <row r="579" spans="1:15" s="2463" customFormat="1" ht="7.5" customHeight="1">
      <c r="A579" s="2462"/>
      <c r="B579" s="2462"/>
      <c r="C579" s="2462"/>
      <c r="D579" s="2462"/>
      <c r="E579" s="2462"/>
      <c r="F579" s="2462"/>
      <c r="G579" s="2462"/>
      <c r="H579" s="2462"/>
      <c r="I579" s="2579"/>
      <c r="J579" s="2579"/>
      <c r="K579" s="2579"/>
      <c r="L579" s="2579"/>
      <c r="M579" s="2579"/>
      <c r="N579" s="2579"/>
      <c r="O579" s="2579"/>
    </row>
    <row r="580" spans="1:15" s="2463" customFormat="1" ht="7.5" customHeight="1">
      <c r="A580" s="2462"/>
      <c r="B580" s="2462"/>
      <c r="C580" s="2462"/>
      <c r="D580" s="2462"/>
      <c r="E580" s="2462"/>
      <c r="F580" s="2462"/>
      <c r="G580" s="2462"/>
      <c r="H580" s="2462"/>
      <c r="I580" s="2579"/>
      <c r="J580" s="2579"/>
      <c r="K580" s="2579"/>
      <c r="L580" s="2579"/>
      <c r="M580" s="2579"/>
      <c r="N580" s="2579"/>
      <c r="O580" s="2579"/>
    </row>
    <row r="581" spans="1:15" s="2463" customFormat="1" ht="7.5" customHeight="1">
      <c r="A581" s="2462"/>
      <c r="B581" s="2462"/>
      <c r="C581" s="2462"/>
      <c r="D581" s="2462"/>
      <c r="E581" s="2462"/>
      <c r="F581" s="2462"/>
      <c r="G581" s="2462"/>
      <c r="H581" s="2462"/>
      <c r="I581" s="2579"/>
      <c r="J581" s="2579"/>
      <c r="K581" s="2579"/>
      <c r="L581" s="2579"/>
      <c r="M581" s="2579"/>
      <c r="N581" s="2579"/>
      <c r="O581" s="2579"/>
    </row>
    <row r="582" spans="1:15" s="2463" customFormat="1" ht="7.5" customHeight="1">
      <c r="A582" s="2462"/>
      <c r="B582" s="2462"/>
      <c r="C582" s="2462"/>
      <c r="D582" s="2462"/>
      <c r="E582" s="2462"/>
      <c r="F582" s="2462"/>
      <c r="G582" s="2462"/>
      <c r="H582" s="2462"/>
      <c r="I582" s="2579"/>
      <c r="J582" s="2579"/>
      <c r="K582" s="2579"/>
      <c r="L582" s="2579"/>
      <c r="M582" s="2579"/>
      <c r="N582" s="2579"/>
      <c r="O582" s="2579"/>
    </row>
    <row r="583" spans="1:15" s="2463" customFormat="1" ht="7.5" customHeight="1">
      <c r="A583" s="2462"/>
      <c r="B583" s="2462"/>
      <c r="C583" s="2462"/>
      <c r="D583" s="2462"/>
      <c r="E583" s="2462"/>
      <c r="F583" s="2462"/>
      <c r="G583" s="2462"/>
      <c r="H583" s="2462"/>
      <c r="I583" s="2579"/>
      <c r="J583" s="2579"/>
      <c r="K583" s="2579"/>
      <c r="L583" s="2579"/>
      <c r="M583" s="2579"/>
      <c r="N583" s="2579"/>
      <c r="O583" s="2579"/>
    </row>
    <row r="584" spans="1:15" s="2463" customFormat="1" ht="7.5" customHeight="1">
      <c r="A584" s="2462"/>
      <c r="B584" s="2462"/>
      <c r="C584" s="2462"/>
      <c r="D584" s="2462"/>
      <c r="E584" s="2462"/>
      <c r="F584" s="2462"/>
      <c r="G584" s="2462"/>
      <c r="H584" s="2462"/>
      <c r="I584" s="2579"/>
      <c r="J584" s="2579"/>
      <c r="K584" s="2579"/>
      <c r="L584" s="2579"/>
      <c r="M584" s="2579"/>
      <c r="N584" s="2579"/>
      <c r="O584" s="2579"/>
    </row>
    <row r="585" spans="1:15" s="2463" customFormat="1" ht="7.5" customHeight="1">
      <c r="A585" s="2462"/>
      <c r="B585" s="2462"/>
      <c r="C585" s="2462"/>
      <c r="D585" s="2462"/>
      <c r="E585" s="2462"/>
      <c r="F585" s="2462"/>
      <c r="G585" s="2462"/>
      <c r="H585" s="2462"/>
      <c r="I585" s="2579"/>
      <c r="J585" s="2579"/>
      <c r="K585" s="2579"/>
      <c r="L585" s="2579"/>
      <c r="M585" s="2579"/>
      <c r="N585" s="2579"/>
      <c r="O585" s="2579"/>
    </row>
    <row r="586" spans="1:15" s="2463" customFormat="1" ht="7.5" customHeight="1">
      <c r="A586" s="2462"/>
      <c r="B586" s="2462"/>
      <c r="C586" s="2462"/>
      <c r="D586" s="2462"/>
      <c r="E586" s="2462"/>
      <c r="F586" s="2462"/>
      <c r="G586" s="2462"/>
      <c r="H586" s="2462"/>
      <c r="I586" s="2579"/>
      <c r="J586" s="2579"/>
      <c r="K586" s="2579"/>
      <c r="L586" s="2579"/>
      <c r="M586" s="2579"/>
      <c r="N586" s="2579"/>
      <c r="O586" s="2579"/>
    </row>
    <row r="587" spans="1:15" s="2463" customFormat="1" ht="7.5" customHeight="1">
      <c r="A587" s="2462"/>
      <c r="B587" s="2462"/>
      <c r="C587" s="2462"/>
      <c r="D587" s="2462"/>
      <c r="E587" s="2462"/>
      <c r="F587" s="2462"/>
      <c r="G587" s="2462"/>
      <c r="H587" s="2462"/>
      <c r="I587" s="2579"/>
      <c r="J587" s="2579"/>
      <c r="K587" s="2579"/>
      <c r="L587" s="2579"/>
      <c r="M587" s="2579"/>
      <c r="N587" s="2579"/>
      <c r="O587" s="2579"/>
    </row>
    <row r="588" spans="1:15" s="2463" customFormat="1" ht="7.5" customHeight="1">
      <c r="A588" s="2462"/>
      <c r="B588" s="2462"/>
      <c r="C588" s="2462"/>
      <c r="D588" s="2462"/>
      <c r="E588" s="2462"/>
      <c r="F588" s="2462"/>
      <c r="G588" s="2462"/>
      <c r="H588" s="2462"/>
      <c r="I588" s="2579"/>
      <c r="J588" s="2579"/>
      <c r="K588" s="2579"/>
      <c r="L588" s="2579"/>
      <c r="M588" s="2579"/>
      <c r="N588" s="2579"/>
      <c r="O588" s="2579"/>
    </row>
    <row r="589" spans="1:15" s="2463" customFormat="1" ht="7.5" customHeight="1">
      <c r="A589" s="2462"/>
      <c r="B589" s="2462"/>
      <c r="C589" s="2462"/>
      <c r="D589" s="2462"/>
      <c r="E589" s="2462"/>
      <c r="F589" s="2462"/>
      <c r="G589" s="2462"/>
      <c r="H589" s="2462"/>
      <c r="I589" s="2579"/>
      <c r="J589" s="2579"/>
      <c r="K589" s="2579"/>
      <c r="L589" s="2579"/>
      <c r="M589" s="2579"/>
      <c r="N589" s="2579"/>
      <c r="O589" s="2579"/>
    </row>
    <row r="590" spans="1:15" s="2463" customFormat="1" ht="7.5" customHeight="1">
      <c r="A590" s="2462"/>
      <c r="B590" s="2462"/>
      <c r="C590" s="2462"/>
      <c r="D590" s="2462"/>
      <c r="E590" s="2462"/>
      <c r="F590" s="2462"/>
      <c r="G590" s="2462"/>
      <c r="H590" s="2462"/>
      <c r="I590" s="2579"/>
      <c r="J590" s="2579"/>
      <c r="K590" s="2579"/>
      <c r="L590" s="2579"/>
      <c r="M590" s="2579"/>
      <c r="N590" s="2579"/>
      <c r="O590" s="2579"/>
    </row>
    <row r="591" spans="1:15" s="2463" customFormat="1" ht="7.5" customHeight="1">
      <c r="A591" s="2462"/>
      <c r="B591" s="2462"/>
      <c r="C591" s="2462"/>
      <c r="D591" s="2462"/>
      <c r="E591" s="2462"/>
      <c r="F591" s="2462"/>
      <c r="G591" s="2462"/>
      <c r="H591" s="2462"/>
      <c r="I591" s="2579"/>
      <c r="J591" s="2579"/>
      <c r="K591" s="2579"/>
      <c r="L591" s="2579"/>
      <c r="M591" s="2579"/>
      <c r="N591" s="2579"/>
      <c r="O591" s="2579"/>
    </row>
    <row r="592" spans="1:15" s="2463" customFormat="1" ht="7.5" customHeight="1">
      <c r="A592" s="2462"/>
      <c r="B592" s="2462"/>
      <c r="C592" s="2462"/>
      <c r="D592" s="2462"/>
      <c r="E592" s="2462"/>
      <c r="F592" s="2462"/>
      <c r="G592" s="2462"/>
      <c r="H592" s="2462"/>
      <c r="I592" s="2579"/>
      <c r="J592" s="2579"/>
      <c r="K592" s="2579"/>
      <c r="L592" s="2579"/>
      <c r="M592" s="2579"/>
      <c r="N592" s="2579"/>
      <c r="O592" s="2579"/>
    </row>
    <row r="593" spans="1:15" s="2463" customFormat="1" ht="7.5" customHeight="1">
      <c r="A593" s="2462"/>
      <c r="B593" s="2462"/>
      <c r="C593" s="2462"/>
      <c r="D593" s="2462"/>
      <c r="E593" s="2462"/>
      <c r="F593" s="2462"/>
      <c r="G593" s="2462"/>
      <c r="H593" s="2462"/>
      <c r="I593" s="2579"/>
      <c r="J593" s="2579"/>
      <c r="K593" s="2579"/>
      <c r="L593" s="2579"/>
      <c r="M593" s="2579"/>
      <c r="N593" s="2579"/>
      <c r="O593" s="2579"/>
    </row>
    <row r="594" spans="1:15" s="2463" customFormat="1" ht="7.5" customHeight="1">
      <c r="A594" s="2462"/>
      <c r="B594" s="2462"/>
      <c r="C594" s="2462"/>
      <c r="D594" s="2462"/>
      <c r="E594" s="2462"/>
      <c r="F594" s="2462"/>
      <c r="G594" s="2462"/>
      <c r="H594" s="2462"/>
      <c r="I594" s="2579"/>
      <c r="J594" s="2579"/>
      <c r="K594" s="2579"/>
      <c r="L594" s="2579"/>
      <c r="M594" s="2579"/>
      <c r="N594" s="2579"/>
      <c r="O594" s="2579"/>
    </row>
    <row r="595" spans="1:15" s="2463" customFormat="1" ht="7.5" customHeight="1">
      <c r="A595" s="2462"/>
      <c r="B595" s="2462"/>
      <c r="C595" s="2462"/>
      <c r="D595" s="2462"/>
      <c r="E595" s="2462"/>
      <c r="F595" s="2462"/>
      <c r="G595" s="2462"/>
      <c r="H595" s="2462"/>
      <c r="I595" s="2579"/>
      <c r="J595" s="2579"/>
      <c r="K595" s="2579"/>
      <c r="L595" s="2579"/>
      <c r="M595" s="2579"/>
      <c r="N595" s="2579"/>
      <c r="O595" s="2579"/>
    </row>
    <row r="596" spans="1:15" s="2463" customFormat="1" ht="7.5" customHeight="1">
      <c r="A596" s="2462"/>
      <c r="B596" s="2462"/>
      <c r="C596" s="2462"/>
      <c r="D596" s="2462"/>
      <c r="E596" s="2462"/>
      <c r="F596" s="2462"/>
      <c r="G596" s="2462"/>
      <c r="H596" s="2462"/>
      <c r="I596" s="2579"/>
      <c r="J596" s="2579"/>
      <c r="K596" s="2579"/>
      <c r="L596" s="2579"/>
      <c r="M596" s="2579"/>
      <c r="N596" s="2579"/>
      <c r="O596" s="2579"/>
    </row>
    <row r="597" spans="1:15" s="2463" customFormat="1" ht="7.5" customHeight="1">
      <c r="A597" s="2462"/>
      <c r="B597" s="2462"/>
      <c r="C597" s="2462"/>
      <c r="D597" s="2462"/>
      <c r="E597" s="2462"/>
      <c r="F597" s="2462"/>
      <c r="G597" s="2462"/>
      <c r="H597" s="2462"/>
      <c r="I597" s="2579"/>
      <c r="J597" s="2579"/>
      <c r="K597" s="2579"/>
      <c r="L597" s="2579"/>
      <c r="M597" s="2579"/>
      <c r="N597" s="2579"/>
      <c r="O597" s="2579"/>
    </row>
    <row r="598" spans="1:15" s="2463" customFormat="1" ht="7.5" customHeight="1">
      <c r="A598" s="2462"/>
      <c r="B598" s="2462"/>
      <c r="C598" s="2462"/>
      <c r="D598" s="2462"/>
      <c r="E598" s="2462"/>
      <c r="F598" s="2462"/>
      <c r="G598" s="2462"/>
      <c r="H598" s="2462"/>
      <c r="I598" s="2579"/>
      <c r="J598" s="2579"/>
      <c r="K598" s="2579"/>
      <c r="L598" s="2579"/>
      <c r="M598" s="2579"/>
      <c r="N598" s="2579"/>
      <c r="O598" s="2579"/>
    </row>
    <row r="599" spans="1:15" s="2463" customFormat="1" ht="7.5" customHeight="1">
      <c r="A599" s="2462"/>
      <c r="B599" s="2462"/>
      <c r="C599" s="2462"/>
      <c r="D599" s="2462"/>
      <c r="E599" s="2462"/>
      <c r="F599" s="2462"/>
      <c r="G599" s="2462"/>
      <c r="H599" s="2462"/>
      <c r="I599" s="2579"/>
      <c r="J599" s="2579"/>
      <c r="K599" s="2579"/>
      <c r="L599" s="2579"/>
      <c r="M599" s="2579"/>
      <c r="N599" s="2579"/>
      <c r="O599" s="2579"/>
    </row>
    <row r="600" spans="1:15" s="2463" customFormat="1" ht="7.5" customHeight="1">
      <c r="A600" s="2462"/>
      <c r="B600" s="2462"/>
      <c r="C600" s="2462"/>
      <c r="D600" s="2462"/>
      <c r="E600" s="2462"/>
      <c r="F600" s="2462"/>
      <c r="G600" s="2462"/>
      <c r="H600" s="2462"/>
      <c r="I600" s="2579"/>
      <c r="J600" s="2579"/>
      <c r="K600" s="2579"/>
      <c r="L600" s="2579"/>
      <c r="M600" s="2579"/>
      <c r="N600" s="2579"/>
      <c r="O600" s="2579"/>
    </row>
    <row r="601" spans="1:15" s="2463" customFormat="1" ht="7.5" customHeight="1">
      <c r="A601" s="2462"/>
      <c r="B601" s="2462"/>
      <c r="C601" s="2462"/>
      <c r="D601" s="2462"/>
      <c r="E601" s="2462"/>
      <c r="F601" s="2462"/>
      <c r="G601" s="2462"/>
      <c r="H601" s="2462"/>
      <c r="I601" s="2579"/>
      <c r="J601" s="2579"/>
      <c r="K601" s="2579"/>
      <c r="L601" s="2579"/>
      <c r="M601" s="2579"/>
      <c r="N601" s="2579"/>
      <c r="O601" s="2579"/>
    </row>
    <row r="605" spans="1:15" s="2463" customFormat="1">
      <c r="A605" s="2462"/>
      <c r="B605" s="2462"/>
      <c r="C605" s="2462"/>
      <c r="D605" s="2462"/>
      <c r="E605" s="2462"/>
      <c r="F605" s="2462"/>
      <c r="G605" s="2462"/>
      <c r="H605" s="2462"/>
      <c r="I605" s="2579"/>
      <c r="J605" s="2579"/>
      <c r="K605" s="2579"/>
      <c r="L605" s="2579"/>
      <c r="M605" s="2579"/>
      <c r="N605" s="2579"/>
      <c r="O605" s="2579"/>
    </row>
    <row r="606" spans="1:15" s="2463" customFormat="1">
      <c r="A606" s="2462"/>
      <c r="B606" s="2462"/>
      <c r="C606" s="2462"/>
      <c r="D606" s="2462"/>
      <c r="E606" s="2462"/>
      <c r="F606" s="2462"/>
      <c r="G606" s="2462"/>
      <c r="H606" s="2462"/>
      <c r="I606" s="2579"/>
      <c r="J606" s="2579"/>
      <c r="K606" s="2579"/>
      <c r="L606" s="2579"/>
      <c r="M606" s="2579"/>
      <c r="N606" s="2579"/>
      <c r="O606" s="2579"/>
    </row>
    <row r="607" spans="1:15" s="2463" customFormat="1">
      <c r="A607" s="2462"/>
      <c r="B607" s="2462"/>
      <c r="C607" s="2462"/>
      <c r="D607" s="2462"/>
      <c r="E607" s="2462"/>
      <c r="F607" s="2462"/>
      <c r="G607" s="2462"/>
      <c r="H607" s="2462"/>
      <c r="I607" s="2579"/>
      <c r="J607" s="2579"/>
      <c r="K607" s="2579"/>
      <c r="L607" s="2579"/>
      <c r="M607" s="2579"/>
      <c r="N607" s="2579"/>
      <c r="O607" s="2579"/>
    </row>
    <row r="608" spans="1:15" s="2463" customFormat="1">
      <c r="A608" s="2462"/>
      <c r="B608" s="2462"/>
      <c r="C608" s="2462"/>
      <c r="D608" s="2462"/>
      <c r="E608" s="2462"/>
      <c r="F608" s="2462"/>
      <c r="G608" s="2462"/>
      <c r="H608" s="2462"/>
      <c r="I608" s="2579"/>
      <c r="J608" s="2579"/>
      <c r="K608" s="2579"/>
      <c r="L608" s="2579"/>
      <c r="M608" s="2579"/>
      <c r="N608" s="2579"/>
      <c r="O608" s="2579"/>
    </row>
    <row r="609" spans="1:15" s="2463" customFormat="1">
      <c r="A609" s="2462"/>
      <c r="B609" s="2462"/>
      <c r="C609" s="2462"/>
      <c r="D609" s="2462"/>
      <c r="E609" s="2462"/>
      <c r="F609" s="2462"/>
      <c r="G609" s="2462"/>
      <c r="H609" s="2462"/>
      <c r="I609" s="2579"/>
      <c r="J609" s="2579"/>
      <c r="K609" s="2579"/>
      <c r="L609" s="2579"/>
      <c r="M609" s="2579"/>
      <c r="N609" s="2579"/>
      <c r="O609" s="2579"/>
    </row>
    <row r="610" spans="1:15" s="2463" customFormat="1">
      <c r="A610" s="2462"/>
      <c r="B610" s="2462"/>
      <c r="C610" s="2462"/>
      <c r="D610" s="2462"/>
      <c r="E610" s="2462"/>
      <c r="F610" s="2462"/>
      <c r="G610" s="2462"/>
      <c r="H610" s="2462"/>
      <c r="I610" s="2579"/>
      <c r="J610" s="2579"/>
      <c r="K610" s="2579"/>
      <c r="L610" s="2579"/>
      <c r="M610" s="2579"/>
      <c r="N610" s="2579"/>
      <c r="O610" s="2579"/>
    </row>
    <row r="611" spans="1:15" s="2463" customFormat="1">
      <c r="A611" s="2462"/>
      <c r="B611" s="2462"/>
      <c r="C611" s="2462"/>
      <c r="D611" s="2462"/>
      <c r="E611" s="2462"/>
      <c r="F611" s="2462"/>
      <c r="G611" s="2462"/>
      <c r="H611" s="2462"/>
      <c r="I611" s="2579"/>
      <c r="J611" s="2579"/>
      <c r="K611" s="2579"/>
      <c r="L611" s="2579"/>
      <c r="M611" s="2579"/>
      <c r="N611" s="2579"/>
      <c r="O611" s="2579"/>
    </row>
    <row r="612" spans="1:15" s="2463" customFormat="1">
      <c r="A612" s="2462"/>
      <c r="B612" s="2462"/>
      <c r="C612" s="2462"/>
      <c r="D612" s="2462"/>
      <c r="E612" s="2462"/>
      <c r="F612" s="2462"/>
      <c r="G612" s="2462"/>
      <c r="H612" s="2462"/>
      <c r="I612" s="2579"/>
      <c r="J612" s="2579"/>
      <c r="K612" s="2579"/>
      <c r="L612" s="2579"/>
      <c r="M612" s="2579"/>
      <c r="N612" s="2579"/>
      <c r="O612" s="2579"/>
    </row>
    <row r="613" spans="1:15" s="2463" customFormat="1">
      <c r="A613" s="2462"/>
      <c r="B613" s="2462"/>
      <c r="C613" s="2462"/>
      <c r="D613" s="2462"/>
      <c r="E613" s="2462"/>
      <c r="F613" s="2462"/>
      <c r="G613" s="2462"/>
      <c r="H613" s="2462"/>
      <c r="I613" s="2579"/>
      <c r="J613" s="2579"/>
      <c r="K613" s="2579"/>
      <c r="L613" s="2579"/>
      <c r="M613" s="2579"/>
      <c r="N613" s="2579"/>
      <c r="O613" s="2579"/>
    </row>
    <row r="614" spans="1:15" s="2463" customFormat="1">
      <c r="A614" s="2462"/>
      <c r="B614" s="2462"/>
      <c r="C614" s="2462"/>
      <c r="D614" s="2462"/>
      <c r="E614" s="2462"/>
      <c r="F614" s="2462"/>
      <c r="G614" s="2462"/>
      <c r="H614" s="2462"/>
      <c r="I614" s="2579"/>
      <c r="J614" s="2579"/>
      <c r="K614" s="2579"/>
      <c r="L614" s="2579"/>
      <c r="M614" s="2579"/>
      <c r="N614" s="2579"/>
      <c r="O614" s="2579"/>
    </row>
    <row r="615" spans="1:15" s="2463" customFormat="1">
      <c r="A615" s="2462"/>
      <c r="B615" s="2462"/>
      <c r="C615" s="2462"/>
      <c r="D615" s="2462"/>
      <c r="E615" s="2462"/>
      <c r="F615" s="2462"/>
      <c r="G615" s="2462"/>
      <c r="H615" s="2462"/>
      <c r="I615" s="2579"/>
      <c r="J615" s="2579"/>
      <c r="K615" s="2579"/>
      <c r="L615" s="2579"/>
      <c r="M615" s="2579"/>
      <c r="N615" s="2579"/>
      <c r="O615" s="2579"/>
    </row>
    <row r="616" spans="1:15" s="2463" customFormat="1">
      <c r="A616" s="2462"/>
      <c r="B616" s="2462"/>
      <c r="C616" s="2462"/>
      <c r="D616" s="2462"/>
      <c r="E616" s="2462"/>
      <c r="F616" s="2462"/>
      <c r="G616" s="2462"/>
      <c r="H616" s="2462"/>
      <c r="I616" s="2579"/>
      <c r="J616" s="2579"/>
      <c r="K616" s="2579"/>
      <c r="L616" s="2579"/>
      <c r="M616" s="2579"/>
      <c r="N616" s="2579"/>
      <c r="O616" s="2579"/>
    </row>
    <row r="617" spans="1:15" s="2463" customFormat="1">
      <c r="A617" s="2462"/>
      <c r="B617" s="2462"/>
      <c r="C617" s="2462"/>
      <c r="D617" s="2462"/>
      <c r="E617" s="2462"/>
      <c r="F617" s="2462"/>
      <c r="G617" s="2462"/>
      <c r="H617" s="2462"/>
      <c r="I617" s="2579"/>
      <c r="J617" s="2579"/>
      <c r="K617" s="2579"/>
      <c r="L617" s="2579"/>
      <c r="M617" s="2579"/>
      <c r="N617" s="2579"/>
      <c r="O617" s="2579"/>
    </row>
    <row r="618" spans="1:15" s="2463" customFormat="1">
      <c r="A618" s="2462"/>
      <c r="B618" s="2462"/>
      <c r="C618" s="2462"/>
      <c r="D618" s="2462"/>
      <c r="E618" s="2462"/>
      <c r="F618" s="2462"/>
      <c r="G618" s="2462"/>
      <c r="H618" s="2462"/>
      <c r="I618" s="2579"/>
      <c r="J618" s="2579"/>
      <c r="K618" s="2579"/>
      <c r="L618" s="2579"/>
      <c r="M618" s="2579"/>
      <c r="N618" s="2579"/>
      <c r="O618" s="2579"/>
    </row>
    <row r="619" spans="1:15" s="2463" customFormat="1">
      <c r="A619" s="2462"/>
      <c r="B619" s="2462"/>
      <c r="C619" s="2462"/>
      <c r="D619" s="2462"/>
      <c r="E619" s="2462"/>
      <c r="F619" s="2462"/>
      <c r="G619" s="2462"/>
      <c r="H619" s="2462"/>
      <c r="I619" s="2579"/>
      <c r="J619" s="2579"/>
      <c r="K619" s="2579"/>
      <c r="L619" s="2579"/>
      <c r="M619" s="2579"/>
      <c r="N619" s="2579"/>
      <c r="O619" s="2579"/>
    </row>
    <row r="620" spans="1:15" s="2463" customFormat="1">
      <c r="A620" s="2462"/>
      <c r="B620" s="2462"/>
      <c r="C620" s="2462"/>
      <c r="D620" s="2462"/>
      <c r="E620" s="2462"/>
      <c r="F620" s="2462"/>
      <c r="G620" s="2462"/>
      <c r="H620" s="2462"/>
      <c r="I620" s="2579"/>
      <c r="J620" s="2579"/>
      <c r="K620" s="2579"/>
      <c r="L620" s="2579"/>
      <c r="M620" s="2579"/>
      <c r="N620" s="2579"/>
      <c r="O620" s="2579"/>
    </row>
    <row r="621" spans="1:15" s="2463" customFormat="1">
      <c r="A621" s="2462"/>
      <c r="B621" s="2462"/>
      <c r="C621" s="2462"/>
      <c r="D621" s="2462"/>
      <c r="E621" s="2462"/>
      <c r="F621" s="2462"/>
      <c r="G621" s="2462"/>
      <c r="H621" s="2462"/>
      <c r="I621" s="2579"/>
      <c r="J621" s="2579"/>
      <c r="K621" s="2579"/>
      <c r="L621" s="2579"/>
      <c r="M621" s="2579"/>
      <c r="N621" s="2579"/>
      <c r="O621" s="2579"/>
    </row>
  </sheetData>
  <mergeCells count="85">
    <mergeCell ref="C382:D382"/>
    <mergeCell ref="E382:H382"/>
    <mergeCell ref="C383:D383"/>
    <mergeCell ref="E383:H383"/>
    <mergeCell ref="C327:D327"/>
    <mergeCell ref="E327:H327"/>
    <mergeCell ref="A364:H364"/>
    <mergeCell ref="A365:H365"/>
    <mergeCell ref="A370:B372"/>
    <mergeCell ref="E370:G370"/>
    <mergeCell ref="E380:F380"/>
    <mergeCell ref="A309:H309"/>
    <mergeCell ref="A314:B316"/>
    <mergeCell ref="E314:G314"/>
    <mergeCell ref="E324:F324"/>
    <mergeCell ref="C326:D326"/>
    <mergeCell ref="A221:H221"/>
    <mergeCell ref="A227:B229"/>
    <mergeCell ref="E227:G227"/>
    <mergeCell ref="E241:F241"/>
    <mergeCell ref="C243:D243"/>
    <mergeCell ref="E326:H326"/>
    <mergeCell ref="A261:H261"/>
    <mergeCell ref="A262:H262"/>
    <mergeCell ref="A269:B271"/>
    <mergeCell ref="E269:G269"/>
    <mergeCell ref="E284:H284"/>
    <mergeCell ref="C285:D285"/>
    <mergeCell ref="E285:H285"/>
    <mergeCell ref="A308:H308"/>
    <mergeCell ref="A220:H220"/>
    <mergeCell ref="C163:D163"/>
    <mergeCell ref="E163:H163"/>
    <mergeCell ref="A178:H178"/>
    <mergeCell ref="A179:H179"/>
    <mergeCell ref="A185:B187"/>
    <mergeCell ref="E185:G185"/>
    <mergeCell ref="C244:D244"/>
    <mergeCell ref="E244:H244"/>
    <mergeCell ref="E243:H243"/>
    <mergeCell ref="E282:F282"/>
    <mergeCell ref="C284:D284"/>
    <mergeCell ref="E199:F199"/>
    <mergeCell ref="C201:D201"/>
    <mergeCell ref="E201:H201"/>
    <mergeCell ref="C202:D202"/>
    <mergeCell ref="E202:H202"/>
    <mergeCell ref="E160:F160"/>
    <mergeCell ref="C162:D162"/>
    <mergeCell ref="E162:H162"/>
    <mergeCell ref="E114:F114"/>
    <mergeCell ref="C116:D116"/>
    <mergeCell ref="E116:H116"/>
    <mergeCell ref="C117:D117"/>
    <mergeCell ref="E117:H117"/>
    <mergeCell ref="A137:H137"/>
    <mergeCell ref="A138:H138"/>
    <mergeCell ref="A144:B146"/>
    <mergeCell ref="E144:G144"/>
    <mergeCell ref="C78:D78"/>
    <mergeCell ref="E78:H78"/>
    <mergeCell ref="A97:H97"/>
    <mergeCell ref="A98:H98"/>
    <mergeCell ref="A103:B105"/>
    <mergeCell ref="E103:G103"/>
    <mergeCell ref="A59:B61"/>
    <mergeCell ref="E59:G59"/>
    <mergeCell ref="E75:F75"/>
    <mergeCell ref="C77:D77"/>
    <mergeCell ref="E77:H77"/>
    <mergeCell ref="A53:H53"/>
    <mergeCell ref="A54:H54"/>
    <mergeCell ref="C34:E34"/>
    <mergeCell ref="F34:H34"/>
    <mergeCell ref="A35:B35"/>
    <mergeCell ref="C35:E35"/>
    <mergeCell ref="A51:H51"/>
    <mergeCell ref="A52:H52"/>
    <mergeCell ref="A5:H5"/>
    <mergeCell ref="A6:H6"/>
    <mergeCell ref="A33:B33"/>
    <mergeCell ref="C33:E33"/>
    <mergeCell ref="F33:H33"/>
    <mergeCell ref="A11:B13"/>
    <mergeCell ref="E11:G11"/>
  </mergeCells>
  <pageMargins left="0.5" right="0" top="0.25" bottom="0" header="0.5" footer="0"/>
  <pageSetup paperSize="5" orientation="portrait"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616"/>
  <sheetViews>
    <sheetView showGridLines="0" showOutlineSymbols="0" topLeftCell="A10" workbookViewId="0">
      <pane xSplit="18525" topLeftCell="ET1"/>
      <selection activeCell="K9" sqref="K9"/>
      <selection pane="topRight" activeCell="ET1" sqref="ET1"/>
    </sheetView>
  </sheetViews>
  <sheetFormatPr defaultColWidth="12.5703125" defaultRowHeight="15.75" outlineLevelRow="2" outlineLevelCol="2"/>
  <cols>
    <col min="1" max="1" width="1.85546875" style="2462" customWidth="1"/>
    <col min="2" max="2" width="30.42578125" style="2462" customWidth="1"/>
    <col min="3" max="3" width="11.42578125" style="2462" customWidth="1"/>
    <col min="4" max="4" width="11.28515625" style="2462" customWidth="1"/>
    <col min="5" max="5" width="10.5703125" style="2462" customWidth="1"/>
    <col min="6" max="6" width="11.7109375" style="2462" customWidth="1"/>
    <col min="7" max="7" width="10.42578125" style="2462" customWidth="1"/>
    <col min="8" max="8" width="11.5703125" style="2462" customWidth="1"/>
    <col min="9"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8" spans="1:15" s="1390" customFormat="1" ht="14.25" customHeight="1">
      <c r="A8" s="1577" t="s">
        <v>2120</v>
      </c>
      <c r="C8" s="2525"/>
      <c r="D8" s="1403"/>
      <c r="E8" s="1403"/>
      <c r="F8" s="1403"/>
      <c r="G8" s="1403"/>
      <c r="H8" s="1403"/>
    </row>
    <row r="9" spans="1:15" s="1390" customFormat="1" ht="14.25" customHeight="1">
      <c r="B9" s="2612" t="s">
        <v>2138</v>
      </c>
      <c r="C9" s="2525"/>
      <c r="D9" s="1403"/>
      <c r="E9" s="1403"/>
      <c r="F9" s="1403"/>
      <c r="G9" s="1403"/>
      <c r="H9" s="1403"/>
    </row>
    <row r="10" spans="1:15" ht="13.5" customHeight="1" outlineLevel="1">
      <c r="A10" s="2571"/>
      <c r="B10" s="2571"/>
      <c r="C10" s="2542"/>
      <c r="D10" s="2541"/>
      <c r="E10" s="2561"/>
      <c r="F10" s="2540"/>
      <c r="G10" s="1388"/>
      <c r="H10" s="2561"/>
      <c r="I10" s="2669"/>
      <c r="J10" s="2530"/>
      <c r="K10" s="2530"/>
      <c r="L10" s="2530"/>
    </row>
    <row r="11" spans="1:15" ht="16.7" customHeight="1" outlineLevel="1">
      <c r="A11" s="4890" t="s">
        <v>468</v>
      </c>
      <c r="B11" s="4891"/>
      <c r="C11" s="2639" t="s">
        <v>467</v>
      </c>
      <c r="D11" s="2638" t="s">
        <v>466</v>
      </c>
      <c r="E11" s="4896" t="s">
        <v>465</v>
      </c>
      <c r="F11" s="4897"/>
      <c r="G11" s="4898"/>
      <c r="H11" s="2637" t="s">
        <v>464</v>
      </c>
      <c r="I11" s="2681"/>
      <c r="J11" s="1302"/>
      <c r="K11" s="2659"/>
      <c r="L11" s="2530"/>
    </row>
    <row r="12" spans="1:15" ht="16.7" customHeight="1" outlineLevel="1">
      <c r="A12" s="4892"/>
      <c r="B12" s="4893"/>
      <c r="C12" s="2636" t="s">
        <v>463</v>
      </c>
      <c r="D12" s="2635" t="s">
        <v>573</v>
      </c>
      <c r="E12" s="2517" t="s">
        <v>2118</v>
      </c>
      <c r="F12" s="2635" t="s">
        <v>2117</v>
      </c>
      <c r="G12" s="2635" t="s">
        <v>244</v>
      </c>
      <c r="H12" s="2635" t="s">
        <v>652</v>
      </c>
      <c r="I12" s="2668"/>
      <c r="J12" s="1302"/>
      <c r="K12" s="2659"/>
      <c r="L12" s="2530"/>
    </row>
    <row r="13" spans="1:15" ht="16.7" customHeight="1" outlineLevel="1">
      <c r="A13" s="4894"/>
      <c r="B13" s="4895"/>
      <c r="C13" s="2633"/>
      <c r="D13" s="2631" t="s">
        <v>460</v>
      </c>
      <c r="E13" s="2631" t="s">
        <v>460</v>
      </c>
      <c r="F13" s="2631" t="s">
        <v>459</v>
      </c>
      <c r="G13" s="2632"/>
      <c r="H13" s="2631" t="s">
        <v>458</v>
      </c>
      <c r="I13" s="2681"/>
      <c r="J13" s="1302"/>
      <c r="K13" s="2530"/>
      <c r="L13" s="2530"/>
    </row>
    <row r="14" spans="1:15" s="1404" customFormat="1" ht="15.6" customHeight="1">
      <c r="A14" s="2601" t="s">
        <v>2011</v>
      </c>
      <c r="B14" s="2605"/>
      <c r="C14" s="2515"/>
      <c r="D14" s="2513"/>
      <c r="E14" s="2513"/>
      <c r="F14" s="2513"/>
      <c r="G14" s="2603"/>
      <c r="H14" s="2513"/>
      <c r="I14" s="2616"/>
      <c r="J14" s="2616"/>
      <c r="K14" s="2616"/>
      <c r="L14" s="2616"/>
      <c r="M14" s="2616"/>
      <c r="N14" s="2616"/>
      <c r="O14" s="2616"/>
    </row>
    <row r="15" spans="1:15" ht="15.6" customHeight="1" outlineLevel="1">
      <c r="A15" s="2680" t="s">
        <v>407</v>
      </c>
      <c r="B15" s="2679"/>
      <c r="C15" s="1434"/>
      <c r="D15" s="2598">
        <f>SUM(D16:D20)</f>
        <v>3237637.58</v>
      </c>
      <c r="E15" s="2598">
        <f>SUM(E16:E20)</f>
        <v>1430524</v>
      </c>
      <c r="F15" s="2598">
        <f>SUM(F16:F20)</f>
        <v>2019476</v>
      </c>
      <c r="G15" s="2598">
        <f>SUM(G16:G20)</f>
        <v>3450000</v>
      </c>
      <c r="H15" s="2598">
        <f>SUM(H16:H20)</f>
        <v>3200000</v>
      </c>
      <c r="I15" s="2676"/>
      <c r="J15" s="1302"/>
      <c r="K15" s="2530"/>
      <c r="L15" s="2530"/>
    </row>
    <row r="16" spans="1:15" ht="16.5" customHeight="1" outlineLevel="1">
      <c r="A16" s="2591" t="s">
        <v>674</v>
      </c>
      <c r="B16" s="1519"/>
      <c r="C16" s="978" t="s">
        <v>396</v>
      </c>
      <c r="D16" s="2678">
        <v>378883.9</v>
      </c>
      <c r="E16" s="2677">
        <f>'[12]bantay dagat'!$E$16</f>
        <v>174957</v>
      </c>
      <c r="F16" s="2675">
        <f>G16-E16</f>
        <v>245043</v>
      </c>
      <c r="G16" s="2677">
        <v>420000</v>
      </c>
      <c r="H16" s="2677">
        <v>320000</v>
      </c>
      <c r="I16" s="2676"/>
      <c r="J16" s="1302"/>
      <c r="K16" s="2530"/>
      <c r="L16" s="2530"/>
    </row>
    <row r="17" spans="1:16" ht="20.100000000000001" customHeight="1" outlineLevel="1">
      <c r="A17" s="2591" t="s">
        <v>389</v>
      </c>
      <c r="B17" s="1519"/>
      <c r="C17" s="978" t="s">
        <v>388</v>
      </c>
      <c r="D17" s="1428">
        <v>2771166.68</v>
      </c>
      <c r="E17" s="1427">
        <f>'[12]bantay dagat'!$E$17</f>
        <v>1206435</v>
      </c>
      <c r="F17" s="2675">
        <f>G17-E17</f>
        <v>1567335</v>
      </c>
      <c r="G17" s="1427">
        <v>2773770</v>
      </c>
      <c r="H17" s="1427">
        <v>2773770</v>
      </c>
      <c r="I17" s="2676"/>
      <c r="J17" s="2660"/>
      <c r="K17" s="2530"/>
      <c r="L17" s="2530"/>
      <c r="M17" s="1302"/>
      <c r="N17" s="1302"/>
      <c r="O17" s="2530"/>
      <c r="P17" s="2529"/>
    </row>
    <row r="18" spans="1:16" ht="20.100000000000001" customHeight="1" outlineLevel="1">
      <c r="A18" s="1536" t="s">
        <v>666</v>
      </c>
      <c r="B18" s="1552"/>
      <c r="C18" s="2620"/>
      <c r="D18" s="1428"/>
      <c r="E18" s="1427"/>
      <c r="F18" s="1454"/>
      <c r="G18" s="1427"/>
      <c r="H18" s="1427"/>
      <c r="I18" s="2666"/>
      <c r="J18" s="2656"/>
      <c r="K18" s="2530"/>
      <c r="L18" s="2530"/>
      <c r="M18" s="1302"/>
      <c r="N18" s="1302"/>
      <c r="O18" s="2530"/>
      <c r="P18" s="2529"/>
    </row>
    <row r="19" spans="1:16" ht="20.100000000000001" customHeight="1" outlineLevel="1">
      <c r="A19" s="1536"/>
      <c r="B19" s="1552" t="s">
        <v>2137</v>
      </c>
      <c r="C19" s="2590" t="s">
        <v>1904</v>
      </c>
      <c r="D19" s="1428">
        <v>45000</v>
      </c>
      <c r="E19" s="1427">
        <f>'[12]bantay dagat'!$E$18</f>
        <v>6545</v>
      </c>
      <c r="F19" s="2675">
        <f>G19-E19</f>
        <v>102455</v>
      </c>
      <c r="G19" s="1427">
        <v>109000</v>
      </c>
      <c r="H19" s="1427">
        <v>59000</v>
      </c>
      <c r="I19" s="2666"/>
      <c r="J19" s="2656"/>
      <c r="K19" s="2530"/>
      <c r="L19" s="2530"/>
      <c r="M19" s="1302"/>
      <c r="N19" s="1302"/>
      <c r="O19" s="2530"/>
      <c r="P19" s="2529"/>
    </row>
    <row r="20" spans="1:16" s="2529" customFormat="1" ht="20.100000000000001" customHeight="1" outlineLevel="1">
      <c r="A20" s="2591" t="s">
        <v>368</v>
      </c>
      <c r="B20" s="1519"/>
      <c r="C20" s="978" t="s">
        <v>367</v>
      </c>
      <c r="D20" s="1428">
        <v>42587</v>
      </c>
      <c r="E20" s="1427">
        <f>'[12]bantay dagat'!$E$19</f>
        <v>42587</v>
      </c>
      <c r="F20" s="2675">
        <f>G20-E20</f>
        <v>104643</v>
      </c>
      <c r="G20" s="1427">
        <v>147230</v>
      </c>
      <c r="H20" s="1427">
        <v>47230</v>
      </c>
      <c r="I20" s="2670"/>
      <c r="J20" s="2656"/>
      <c r="K20" s="2530"/>
      <c r="L20" s="2530"/>
      <c r="M20" s="1302"/>
      <c r="N20" s="2659"/>
      <c r="O20" s="2530"/>
    </row>
    <row r="21" spans="1:16" s="2529" customFormat="1" ht="20.100000000000001" customHeight="1" outlineLevel="1">
      <c r="A21" s="2591"/>
      <c r="B21" s="1519"/>
      <c r="C21" s="978"/>
      <c r="D21" s="1428"/>
      <c r="E21" s="1427"/>
      <c r="F21" s="1454"/>
      <c r="G21" s="1427"/>
      <c r="H21" s="1427"/>
      <c r="I21" s="2670"/>
      <c r="J21" s="2656"/>
      <c r="K21" s="2530"/>
      <c r="L21" s="2530"/>
      <c r="M21" s="1302"/>
      <c r="N21" s="2659"/>
      <c r="O21" s="2530"/>
    </row>
    <row r="22" spans="1:16" s="2529" customFormat="1" ht="20.100000000000001" customHeight="1" outlineLevel="1">
      <c r="A22" s="2674"/>
      <c r="B22" s="2673" t="s">
        <v>1241</v>
      </c>
      <c r="C22" s="2672"/>
      <c r="D22" s="2671">
        <f>SUM(D23)</f>
        <v>0</v>
      </c>
      <c r="E22" s="2671">
        <f>SUM(E23)</f>
        <v>0</v>
      </c>
      <c r="F22" s="2671">
        <f>SUM(F23:F24)</f>
        <v>2830000</v>
      </c>
      <c r="G22" s="2671">
        <f>SUM(G23:G24)</f>
        <v>2830000</v>
      </c>
      <c r="H22" s="2671">
        <f>SUM(H23)</f>
        <v>0</v>
      </c>
      <c r="I22" s="2670"/>
      <c r="J22" s="2656"/>
      <c r="K22" s="2530"/>
      <c r="L22" s="2530"/>
      <c r="M22" s="1302"/>
      <c r="N22" s="2659"/>
      <c r="O22" s="2530"/>
    </row>
    <row r="23" spans="1:16" s="2529" customFormat="1" ht="20.100000000000001" customHeight="1" outlineLevel="1">
      <c r="A23" s="2589" t="s">
        <v>2136</v>
      </c>
      <c r="B23" s="2588"/>
      <c r="C23" s="978" t="s">
        <v>1801</v>
      </c>
      <c r="D23" s="1428">
        <v>0</v>
      </c>
      <c r="E23" s="1427">
        <v>0</v>
      </c>
      <c r="F23" s="1454">
        <v>800000</v>
      </c>
      <c r="G23" s="1427">
        <f>F23</f>
        <v>800000</v>
      </c>
      <c r="H23" s="1427">
        <v>0</v>
      </c>
      <c r="I23" s="2670"/>
      <c r="J23" s="2656"/>
      <c r="K23" s="2530"/>
      <c r="L23" s="2530"/>
      <c r="M23" s="1302"/>
      <c r="N23" s="2659"/>
      <c r="O23" s="2530"/>
    </row>
    <row r="24" spans="1:16" s="2529" customFormat="1" ht="20.100000000000001" customHeight="1" outlineLevel="1">
      <c r="A24" s="2589" t="s">
        <v>2135</v>
      </c>
      <c r="B24" s="2588"/>
      <c r="C24" s="978" t="s">
        <v>2134</v>
      </c>
      <c r="D24" s="1428">
        <v>0</v>
      </c>
      <c r="E24" s="1427">
        <v>0</v>
      </c>
      <c r="F24" s="1454">
        <v>2030000</v>
      </c>
      <c r="G24" s="1427">
        <f>F24</f>
        <v>2030000</v>
      </c>
      <c r="H24" s="1427">
        <v>0</v>
      </c>
      <c r="I24" s="2670"/>
      <c r="J24" s="2656"/>
      <c r="K24" s="2530"/>
      <c r="L24" s="2530"/>
      <c r="M24" s="1302"/>
      <c r="N24" s="2659"/>
      <c r="O24" s="2530"/>
    </row>
    <row r="25" spans="1:16" s="2529" customFormat="1" ht="20.100000000000001" customHeight="1" outlineLevel="1">
      <c r="A25" s="2591"/>
      <c r="B25" s="1519"/>
      <c r="C25" s="978"/>
      <c r="D25" s="1428"/>
      <c r="E25" s="1427"/>
      <c r="F25" s="1454"/>
      <c r="G25" s="1427"/>
      <c r="H25" s="1427"/>
      <c r="I25" s="2670"/>
      <c r="J25" s="2656"/>
      <c r="K25" s="2530"/>
      <c r="L25" s="2530"/>
      <c r="M25" s="1302"/>
      <c r="N25" s="2659"/>
      <c r="O25" s="2530"/>
    </row>
    <row r="26" spans="1:16" s="2529" customFormat="1" ht="20.100000000000001" customHeight="1" outlineLevel="1">
      <c r="A26" s="1553"/>
      <c r="B26" s="2628"/>
      <c r="C26" s="978"/>
      <c r="D26" s="1428"/>
      <c r="E26" s="1427"/>
      <c r="F26" s="1454"/>
      <c r="G26" s="1427"/>
      <c r="H26" s="1427"/>
      <c r="I26" s="2670"/>
      <c r="J26" s="2663"/>
      <c r="K26" s="2663"/>
      <c r="L26" s="2663"/>
      <c r="M26" s="2663"/>
      <c r="N26" s="2663"/>
      <c r="O26" s="2530"/>
    </row>
    <row r="27" spans="1:16" s="2529" customFormat="1" ht="20.100000000000001" customHeight="1" outlineLevel="1">
      <c r="A27" s="2587"/>
      <c r="B27" s="2586"/>
      <c r="C27" s="2585"/>
      <c r="D27" s="1428"/>
      <c r="E27" s="1424"/>
      <c r="F27" s="1454"/>
      <c r="G27" s="1424"/>
      <c r="H27" s="1424"/>
      <c r="I27" s="2530"/>
      <c r="J27" s="2530"/>
      <c r="K27" s="2530"/>
      <c r="L27" s="2530"/>
      <c r="M27" s="2530"/>
      <c r="N27" s="2530"/>
      <c r="O27" s="2530"/>
    </row>
    <row r="28" spans="1:16" s="1269" customFormat="1" ht="20.100000000000001" customHeight="1" outlineLevel="1" thickBot="1">
      <c r="A28" s="2480" t="s">
        <v>366</v>
      </c>
      <c r="B28" s="2658"/>
      <c r="C28" s="2657"/>
      <c r="D28" s="2480">
        <f>D15+D22</f>
        <v>3237637.58</v>
      </c>
      <c r="E28" s="2480">
        <f>E15+E22</f>
        <v>1430524</v>
      </c>
      <c r="F28" s="2480">
        <f>F15+F22</f>
        <v>4849476</v>
      </c>
      <c r="G28" s="2480">
        <f>G15+G22</f>
        <v>6280000</v>
      </c>
      <c r="H28" s="2480">
        <f>H15+H22</f>
        <v>3200000</v>
      </c>
      <c r="I28" s="1257"/>
      <c r="J28" s="2656"/>
      <c r="K28" s="1302"/>
      <c r="L28" s="1302"/>
      <c r="M28" s="1302"/>
      <c r="N28" s="1302"/>
      <c r="O28" s="1302"/>
    </row>
    <row r="29" spans="1:16" s="2288" customFormat="1" ht="19.5" customHeight="1" outlineLevel="1" thickTop="1">
      <c r="A29" s="1403" t="s">
        <v>2112</v>
      </c>
      <c r="B29" s="1390"/>
      <c r="C29" s="1403" t="s">
        <v>2111</v>
      </c>
      <c r="D29" s="1390"/>
      <c r="F29" s="2582" t="s">
        <v>2110</v>
      </c>
      <c r="G29" s="1403"/>
      <c r="H29" s="1390"/>
    </row>
    <row r="30" spans="1:16" s="2288" customFormat="1" ht="15.95" customHeight="1" outlineLevel="1">
      <c r="A30" s="1403"/>
      <c r="B30" s="1390"/>
      <c r="C30" s="1403"/>
      <c r="D30" s="1390"/>
      <c r="E30" s="2471"/>
      <c r="F30" s="2471"/>
      <c r="G30" s="1403"/>
      <c r="H30" s="1390"/>
    </row>
    <row r="31" spans="1:16" s="2288" customFormat="1" ht="10.5" customHeight="1" outlineLevel="1">
      <c r="A31" s="1390"/>
      <c r="B31" s="1403"/>
      <c r="C31" s="2581"/>
      <c r="D31" s="1403"/>
      <c r="E31" s="1403"/>
      <c r="F31" s="1403"/>
      <c r="G31" s="1403"/>
      <c r="H31" s="1390"/>
    </row>
    <row r="32" spans="1:16" s="2288" customFormat="1" ht="15.95" customHeight="1" outlineLevel="1">
      <c r="A32" s="4873" t="s">
        <v>2109</v>
      </c>
      <c r="B32" s="4873"/>
      <c r="C32" s="4760" t="s">
        <v>360</v>
      </c>
      <c r="D32" s="4760"/>
      <c r="E32" s="4760"/>
      <c r="F32" s="4741" t="s">
        <v>359</v>
      </c>
      <c r="G32" s="4741"/>
      <c r="H32" s="4741"/>
    </row>
    <row r="33" spans="1:16" s="2288" customFormat="1" ht="15.75" customHeight="1" outlineLevel="1">
      <c r="A33" s="2580"/>
      <c r="B33" s="2464" t="s">
        <v>2108</v>
      </c>
      <c r="C33" s="4754" t="s">
        <v>357</v>
      </c>
      <c r="D33" s="4754"/>
      <c r="E33" s="4754"/>
      <c r="F33" s="4868" t="s">
        <v>356</v>
      </c>
      <c r="G33" s="4868"/>
      <c r="H33" s="4868"/>
    </row>
    <row r="34" spans="1:16" s="2288" customFormat="1" ht="12" customHeight="1" outlineLevel="1">
      <c r="A34" s="4878"/>
      <c r="B34" s="4878"/>
      <c r="C34" s="4754"/>
      <c r="D34" s="4754"/>
      <c r="E34" s="4754"/>
      <c r="F34" s="1406"/>
      <c r="G34" s="1406"/>
      <c r="H34" s="1406"/>
    </row>
    <row r="35" spans="1:16" s="2529" customFormat="1" ht="12" customHeight="1" outlineLevel="1">
      <c r="A35" s="2462"/>
      <c r="B35" s="1256"/>
      <c r="C35" s="2627"/>
      <c r="D35" s="1256"/>
      <c r="E35" s="1256"/>
      <c r="F35" s="1256"/>
      <c r="G35" s="1256"/>
      <c r="H35" s="2462"/>
      <c r="I35" s="2530"/>
      <c r="J35" s="2530"/>
      <c r="K35" s="2530"/>
      <c r="L35" s="2530"/>
      <c r="M35" s="2530"/>
      <c r="N35" s="2530"/>
      <c r="O35" s="2530"/>
    </row>
    <row r="36" spans="1:16" s="2529" customFormat="1" ht="12" customHeight="1" outlineLevel="1">
      <c r="A36" s="2463"/>
      <c r="B36" s="2464"/>
      <c r="C36" s="2463"/>
      <c r="D36" s="2465"/>
      <c r="E36" s="2465"/>
      <c r="F36" s="2465"/>
      <c r="G36" s="2465"/>
      <c r="H36" s="2465"/>
      <c r="I36" s="2530"/>
      <c r="J36" s="2530"/>
      <c r="K36" s="2530"/>
      <c r="L36" s="2530"/>
      <c r="M36" s="2530"/>
      <c r="N36" s="2530"/>
      <c r="O36" s="2530"/>
    </row>
    <row r="37" spans="1:16" s="2529" customFormat="1" ht="12" customHeight="1" outlineLevel="1">
      <c r="A37" s="2463"/>
      <c r="B37" s="2464"/>
      <c r="C37" s="2463"/>
      <c r="D37" s="2465"/>
      <c r="E37" s="2465"/>
      <c r="F37" s="2465"/>
      <c r="G37" s="2465"/>
      <c r="H37" s="2465"/>
      <c r="I37" s="2530"/>
      <c r="J37" s="2530"/>
      <c r="K37" s="2530"/>
      <c r="L37" s="2530"/>
      <c r="M37" s="2530"/>
      <c r="N37" s="2530"/>
      <c r="O37" s="2530"/>
    </row>
    <row r="38" spans="1:16" s="2529" customFormat="1" ht="12" customHeight="1" outlineLevel="1">
      <c r="A38" s="2463"/>
      <c r="B38" s="2464"/>
      <c r="C38" s="2463"/>
      <c r="D38" s="2465"/>
      <c r="E38" s="2465"/>
      <c r="F38" s="2465"/>
      <c r="G38" s="2465"/>
      <c r="H38" s="2465"/>
      <c r="I38" s="2530"/>
      <c r="J38" s="2530"/>
      <c r="K38" s="2530"/>
      <c r="L38" s="2530"/>
      <c r="M38" s="2530"/>
      <c r="N38" s="2530"/>
      <c r="O38" s="2530"/>
    </row>
    <row r="39" spans="1:16" s="2529" customFormat="1" ht="12" customHeight="1" outlineLevel="1">
      <c r="A39" s="2463"/>
      <c r="B39" s="2464"/>
      <c r="C39" s="2463"/>
      <c r="D39" s="2465"/>
      <c r="E39" s="2465"/>
      <c r="F39" s="2465"/>
      <c r="G39" s="2465"/>
      <c r="H39" s="2465"/>
      <c r="I39" s="2530"/>
      <c r="J39" s="2530"/>
      <c r="K39" s="2530"/>
      <c r="L39" s="2530"/>
      <c r="M39" s="2530"/>
      <c r="N39" s="2530"/>
      <c r="O39" s="2530"/>
    </row>
    <row r="40" spans="1:16" ht="20.100000000000001" customHeight="1" outlineLevel="1">
      <c r="A40" s="2463"/>
      <c r="B40" s="2464"/>
      <c r="C40" s="2463"/>
      <c r="D40" s="2465"/>
      <c r="E40" s="2465"/>
      <c r="F40" s="2465"/>
      <c r="G40" s="2465"/>
      <c r="H40" s="2465"/>
      <c r="J40" s="2530"/>
      <c r="K40" s="2530"/>
      <c r="L40" s="2530"/>
      <c r="M40" s="2530"/>
      <c r="N40" s="2530"/>
      <c r="O40" s="2530"/>
      <c r="P40" s="2529"/>
    </row>
    <row r="41" spans="1:16" ht="20.100000000000001" customHeight="1" outlineLevel="1">
      <c r="A41" s="2463"/>
      <c r="B41" s="2464"/>
      <c r="C41" s="2463"/>
      <c r="D41" s="2465"/>
      <c r="E41" s="2465"/>
      <c r="F41" s="2465"/>
      <c r="G41" s="2465"/>
      <c r="H41" s="2465"/>
      <c r="J41" s="2530"/>
      <c r="K41" s="2530"/>
      <c r="L41" s="2530"/>
      <c r="M41" s="2530"/>
      <c r="N41" s="2530"/>
      <c r="O41" s="2530"/>
      <c r="P41" s="2529"/>
    </row>
    <row r="42" spans="1:16" s="2652" customFormat="1" ht="16.7" customHeight="1" outlineLevel="1">
      <c r="A42" s="2463"/>
      <c r="B42" s="2464"/>
      <c r="C42" s="2463"/>
      <c r="D42" s="2465"/>
      <c r="E42" s="2465"/>
      <c r="F42" s="2465"/>
      <c r="G42" s="2465"/>
      <c r="H42" s="2465"/>
      <c r="I42" s="2653"/>
      <c r="J42" s="2655"/>
      <c r="K42" s="2655"/>
      <c r="L42" s="2655"/>
      <c r="M42" s="2655"/>
      <c r="N42" s="2655"/>
      <c r="O42" s="2655"/>
      <c r="P42" s="2654"/>
    </row>
    <row r="43" spans="1:16" s="2652" customFormat="1" ht="16.7" customHeight="1" outlineLevel="1">
      <c r="A43" s="2463"/>
      <c r="B43" s="2464"/>
      <c r="C43" s="2463"/>
      <c r="D43" s="2465"/>
      <c r="E43" s="2465"/>
      <c r="F43" s="2465"/>
      <c r="G43" s="2465"/>
      <c r="H43" s="2465"/>
      <c r="I43" s="2653"/>
      <c r="J43" s="2655"/>
      <c r="K43" s="2655"/>
      <c r="L43" s="2655"/>
      <c r="M43" s="2655"/>
      <c r="N43" s="2655"/>
      <c r="O43" s="2655"/>
      <c r="P43" s="2654"/>
    </row>
    <row r="44" spans="1:16" s="2652" customFormat="1" ht="16.7" customHeight="1" outlineLevel="1">
      <c r="A44" s="2463"/>
      <c r="B44" s="2464"/>
      <c r="C44" s="2463"/>
      <c r="D44" s="2465"/>
      <c r="E44" s="2465"/>
      <c r="F44" s="2465"/>
      <c r="G44" s="2465"/>
      <c r="H44" s="2465"/>
      <c r="I44" s="2653"/>
      <c r="J44" s="2655"/>
      <c r="K44" s="2655"/>
      <c r="L44" s="2655"/>
      <c r="M44" s="2655"/>
      <c r="N44" s="2655"/>
      <c r="O44" s="2655"/>
      <c r="P44" s="2654"/>
    </row>
    <row r="45" spans="1:16" s="2652" customFormat="1" ht="16.7" customHeight="1" outlineLevel="1">
      <c r="A45" s="2463"/>
      <c r="B45" s="2464"/>
      <c r="C45" s="2463"/>
      <c r="D45" s="2465"/>
      <c r="E45" s="2465"/>
      <c r="F45" s="2465"/>
      <c r="G45" s="2465"/>
      <c r="H45" s="2465"/>
      <c r="I45" s="2653"/>
      <c r="J45" s="2655"/>
      <c r="K45" s="2655"/>
      <c r="L45" s="2655"/>
      <c r="M45" s="2655"/>
      <c r="N45" s="2655"/>
      <c r="O45" s="2655"/>
      <c r="P45" s="2654"/>
    </row>
    <row r="46" spans="1:16" s="2652" customFormat="1" ht="16.7" customHeight="1" outlineLevel="1">
      <c r="A46" s="2531"/>
      <c r="B46" s="2533"/>
      <c r="C46" s="2531"/>
      <c r="D46" s="2566"/>
      <c r="E46" s="2566"/>
      <c r="F46" s="2566"/>
      <c r="G46" s="2566"/>
      <c r="H46" s="2566"/>
      <c r="I46" s="2653"/>
      <c r="J46" s="2655"/>
      <c r="K46" s="2655"/>
      <c r="L46" s="2655"/>
      <c r="M46" s="2655"/>
      <c r="N46" s="2655"/>
      <c r="O46" s="2655"/>
      <c r="P46" s="2654"/>
    </row>
    <row r="47" spans="1:16" s="2652" customFormat="1" ht="16.7" customHeight="1" outlineLevel="1">
      <c r="A47" s="2531"/>
      <c r="B47" s="2533"/>
      <c r="C47" s="2531"/>
      <c r="D47" s="2566"/>
      <c r="E47" s="2566"/>
      <c r="F47" s="2566"/>
      <c r="G47" s="2566"/>
      <c r="H47" s="2566"/>
      <c r="I47" s="2653"/>
      <c r="J47" s="2655"/>
      <c r="K47" s="2655"/>
      <c r="L47" s="2655"/>
      <c r="M47" s="2655"/>
      <c r="N47" s="2655"/>
      <c r="O47" s="2655"/>
      <c r="P47" s="2654"/>
    </row>
    <row r="48" spans="1:16" s="2652" customFormat="1" ht="16.7" customHeight="1" outlineLevel="1">
      <c r="A48" s="2531"/>
      <c r="B48" s="2533"/>
      <c r="C48" s="2531"/>
      <c r="D48" s="2566"/>
      <c r="E48" s="2566"/>
      <c r="F48" s="2566"/>
      <c r="G48" s="2566"/>
      <c r="H48" s="2566"/>
      <c r="I48" s="2653"/>
      <c r="J48" s="2655"/>
      <c r="K48" s="2655"/>
      <c r="L48" s="2655"/>
      <c r="M48" s="2655"/>
      <c r="N48" s="2655"/>
      <c r="O48" s="2655"/>
      <c r="P48" s="2654"/>
    </row>
    <row r="49" spans="1:16" s="2652" customFormat="1" ht="16.7" customHeight="1" outlineLevel="1">
      <c r="A49" s="2531"/>
      <c r="B49" s="2533"/>
      <c r="C49" s="2531"/>
      <c r="D49" s="2566"/>
      <c r="E49" s="2566"/>
      <c r="F49" s="2566"/>
      <c r="G49" s="2566"/>
      <c r="H49" s="2566"/>
      <c r="I49" s="2653"/>
      <c r="J49" s="2655"/>
      <c r="K49" s="2655"/>
      <c r="L49" s="2655"/>
      <c r="M49" s="2655"/>
      <c r="N49" s="2655"/>
      <c r="O49" s="2655"/>
      <c r="P49" s="2654"/>
    </row>
    <row r="50" spans="1:16" s="2652" customFormat="1" ht="16.7" customHeight="1" outlineLevel="1">
      <c r="A50" s="2531"/>
      <c r="B50" s="2533"/>
      <c r="C50" s="2531"/>
      <c r="D50" s="2566"/>
      <c r="E50" s="2566"/>
      <c r="F50" s="2566"/>
      <c r="G50" s="2566"/>
      <c r="H50" s="2566"/>
      <c r="I50" s="2653"/>
      <c r="J50" s="2655"/>
      <c r="K50" s="2655"/>
      <c r="L50" s="2655"/>
      <c r="M50" s="2655"/>
      <c r="N50" s="2655"/>
      <c r="O50" s="2655"/>
      <c r="P50" s="2654"/>
    </row>
    <row r="51" spans="1:16" s="2652" customFormat="1" ht="16.7" customHeight="1" outlineLevel="1">
      <c r="A51" s="2531"/>
      <c r="B51" s="2533"/>
      <c r="C51" s="2531"/>
      <c r="D51" s="2566"/>
      <c r="E51" s="2566"/>
      <c r="F51" s="2566"/>
      <c r="G51" s="2566"/>
      <c r="H51" s="2566"/>
      <c r="I51" s="2653"/>
      <c r="J51" s="2655"/>
      <c r="K51" s="2655"/>
      <c r="L51" s="2655"/>
      <c r="M51" s="2655"/>
      <c r="N51" s="2655"/>
      <c r="O51" s="2655"/>
      <c r="P51" s="2654"/>
    </row>
    <row r="52" spans="1:16" s="2652" customFormat="1" ht="16.7" customHeight="1" outlineLevel="1">
      <c r="A52" s="2529"/>
      <c r="B52" s="2529"/>
      <c r="C52" s="2529"/>
      <c r="D52" s="2529"/>
      <c r="E52" s="2529"/>
      <c r="F52" s="2529"/>
      <c r="G52" s="2529"/>
      <c r="H52" s="2529"/>
      <c r="I52" s="2653"/>
      <c r="J52" s="2655"/>
      <c r="K52" s="2655"/>
      <c r="L52" s="2655"/>
      <c r="M52" s="2655"/>
      <c r="N52" s="2655"/>
      <c r="O52" s="2655"/>
      <c r="P52" s="2654"/>
    </row>
    <row r="53" spans="1:16" s="2652" customFormat="1" ht="16.7" customHeight="1" outlineLevel="1">
      <c r="A53" s="4876"/>
      <c r="B53" s="4876"/>
      <c r="C53" s="4876"/>
      <c r="D53" s="4876"/>
      <c r="E53" s="4876"/>
      <c r="F53" s="4876"/>
      <c r="G53" s="4876"/>
      <c r="H53" s="4876"/>
      <c r="I53" s="2653"/>
      <c r="J53" s="2655"/>
      <c r="K53" s="2655"/>
      <c r="L53" s="2655"/>
      <c r="M53" s="2655"/>
      <c r="N53" s="2655"/>
      <c r="O53" s="2655"/>
      <c r="P53" s="2654"/>
    </row>
    <row r="54" spans="1:16" s="2652" customFormat="1" ht="16.7" customHeight="1" outlineLevel="1">
      <c r="A54" s="4877"/>
      <c r="B54" s="4877"/>
      <c r="C54" s="4877"/>
      <c r="D54" s="4877"/>
      <c r="E54" s="4877"/>
      <c r="F54" s="4877"/>
      <c r="G54" s="4877"/>
      <c r="H54" s="4877"/>
      <c r="I54" s="2653"/>
      <c r="J54" s="2655"/>
      <c r="K54" s="2655"/>
      <c r="L54" s="2655"/>
      <c r="M54" s="2655"/>
      <c r="N54" s="2655"/>
      <c r="O54" s="2655"/>
      <c r="P54" s="2654"/>
    </row>
    <row r="55" spans="1:16" s="2652" customFormat="1" ht="16.7" customHeight="1" outlineLevel="1">
      <c r="A55" s="2529"/>
      <c r="B55" s="2529"/>
      <c r="C55" s="2529"/>
      <c r="D55" s="2529"/>
      <c r="E55" s="2529"/>
      <c r="F55" s="2529"/>
      <c r="G55" s="2529"/>
      <c r="H55" s="2529"/>
      <c r="I55" s="2653"/>
      <c r="J55" s="2655"/>
      <c r="K55" s="2655"/>
      <c r="L55" s="2655"/>
      <c r="M55" s="2655"/>
      <c r="N55" s="2655"/>
      <c r="O55" s="2655"/>
      <c r="P55" s="2654"/>
    </row>
    <row r="56" spans="1:16" s="2652" customFormat="1" ht="16.7" customHeight="1" outlineLevel="1">
      <c r="A56" s="2568"/>
      <c r="B56" s="2567"/>
      <c r="C56" s="2529"/>
      <c r="D56" s="2566"/>
      <c r="E56" s="2566"/>
      <c r="F56" s="2566"/>
      <c r="G56" s="2566"/>
      <c r="H56" s="2566"/>
      <c r="I56" s="2653"/>
      <c r="J56" s="2653"/>
      <c r="K56" s="2653"/>
      <c r="L56" s="2653"/>
      <c r="M56" s="2653"/>
      <c r="N56" s="2653"/>
      <c r="O56" s="2653"/>
    </row>
    <row r="57" spans="1:16" s="2652" customFormat="1" ht="16.7" customHeight="1" outlineLevel="1">
      <c r="A57" s="1269"/>
      <c r="B57" s="1269"/>
      <c r="C57" s="2542"/>
      <c r="D57" s="2541"/>
      <c r="E57" s="2561"/>
      <c r="F57" s="2540"/>
      <c r="G57" s="2565"/>
      <c r="H57" s="2561"/>
      <c r="I57" s="2653"/>
      <c r="J57" s="2653"/>
      <c r="K57" s="2653"/>
      <c r="L57" s="2653"/>
      <c r="M57" s="2653"/>
      <c r="N57" s="2653"/>
      <c r="O57" s="2653"/>
    </row>
    <row r="58" spans="1:16" s="2652" customFormat="1" ht="16.7" customHeight="1" outlineLevel="1">
      <c r="A58" s="2564"/>
      <c r="B58" s="2564"/>
      <c r="C58" s="2563"/>
      <c r="D58" s="2570"/>
      <c r="E58" s="2561"/>
      <c r="F58" s="2540"/>
      <c r="G58" s="2562"/>
      <c r="H58" s="2561"/>
      <c r="I58" s="2653"/>
      <c r="J58" s="2653"/>
      <c r="K58" s="2653"/>
      <c r="L58" s="2653"/>
      <c r="M58" s="2653"/>
      <c r="N58" s="2653"/>
      <c r="O58" s="2653"/>
    </row>
    <row r="59" spans="1:16" s="2652" customFormat="1" ht="16.7" customHeight="1" outlineLevel="1">
      <c r="A59" s="4879"/>
      <c r="B59" s="4879"/>
      <c r="C59" s="2559"/>
      <c r="D59" s="2560"/>
      <c r="E59" s="4880"/>
      <c r="F59" s="4880"/>
      <c r="G59" s="4880"/>
      <c r="H59" s="2557"/>
      <c r="I59" s="2653"/>
      <c r="J59" s="2653"/>
      <c r="K59" s="2653"/>
      <c r="L59" s="2653"/>
      <c r="M59" s="2653"/>
      <c r="N59" s="2653"/>
      <c r="O59" s="2653"/>
    </row>
    <row r="60" spans="1:16" ht="16.7" customHeight="1" outlineLevel="1">
      <c r="A60" s="4879"/>
      <c r="B60" s="4879"/>
      <c r="C60" s="2559"/>
      <c r="D60" s="2558"/>
      <c r="E60" s="2558"/>
      <c r="F60" s="2558"/>
      <c r="G60" s="2558"/>
      <c r="H60" s="2558"/>
    </row>
    <row r="61" spans="1:16" ht="20.100000000000001" customHeight="1" outlineLevel="2">
      <c r="A61" s="4879"/>
      <c r="B61" s="4879"/>
      <c r="C61" s="2557"/>
      <c r="D61" s="2555"/>
      <c r="E61" s="2555"/>
      <c r="F61" s="2555"/>
      <c r="G61" s="2556"/>
      <c r="H61" s="2555"/>
    </row>
    <row r="62" spans="1:16" ht="8.4499999999999993" customHeight="1" outlineLevel="2">
      <c r="A62" s="2554"/>
      <c r="B62" s="2553"/>
      <c r="C62" s="2552"/>
      <c r="D62" s="2551"/>
      <c r="E62" s="2551"/>
      <c r="F62" s="2551"/>
      <c r="G62" s="2551"/>
      <c r="H62" s="2551"/>
    </row>
    <row r="63" spans="1:16" ht="14.45" customHeight="1">
      <c r="A63" s="2546"/>
      <c r="B63" s="1269"/>
      <c r="C63" s="2542"/>
      <c r="D63" s="2548"/>
      <c r="E63" s="2548"/>
      <c r="F63" s="2540"/>
      <c r="G63" s="2548"/>
      <c r="H63" s="2548"/>
    </row>
    <row r="64" spans="1:16" ht="13.9" customHeight="1">
      <c r="A64" s="2549"/>
      <c r="B64" s="2549"/>
      <c r="C64" s="2545"/>
      <c r="D64" s="2548"/>
      <c r="E64" s="2548"/>
      <c r="F64" s="2540"/>
      <c r="G64" s="2548"/>
      <c r="H64" s="2548"/>
    </row>
    <row r="65" spans="1:15" s="1256" customFormat="1" ht="18" customHeight="1">
      <c r="A65" s="2546"/>
      <c r="B65" s="1269"/>
      <c r="C65" s="2545"/>
      <c r="D65" s="2541"/>
      <c r="E65" s="2544"/>
      <c r="F65" s="2540"/>
      <c r="G65" s="2544"/>
      <c r="H65" s="2544"/>
      <c r="I65" s="1257"/>
      <c r="J65" s="1257"/>
      <c r="K65" s="1257"/>
      <c r="L65" s="1257"/>
      <c r="M65" s="1257"/>
      <c r="N65" s="1257"/>
      <c r="O65" s="1257"/>
    </row>
    <row r="66" spans="1:15" s="2463" customFormat="1" ht="12.75">
      <c r="A66" s="2549"/>
      <c r="B66" s="2549"/>
      <c r="C66" s="2545"/>
      <c r="D66" s="2541"/>
      <c r="E66" s="2544"/>
      <c r="F66" s="2540"/>
      <c r="G66" s="2544"/>
      <c r="H66" s="2544"/>
      <c r="I66" s="2579"/>
      <c r="J66" s="2579"/>
      <c r="K66" s="2579"/>
      <c r="L66" s="2579"/>
      <c r="M66" s="2579"/>
      <c r="N66" s="2579"/>
      <c r="O66" s="2579"/>
    </row>
    <row r="67" spans="1:15" s="2463" customFormat="1" ht="12.75">
      <c r="A67" s="2543"/>
      <c r="B67" s="2543"/>
      <c r="C67" s="2542"/>
      <c r="D67" s="2541"/>
      <c r="E67" s="2539"/>
      <c r="F67" s="2540"/>
      <c r="G67" s="2539"/>
      <c r="H67" s="2539"/>
      <c r="I67" s="2579"/>
      <c r="J67" s="2579"/>
      <c r="K67" s="2579"/>
      <c r="L67" s="2579"/>
      <c r="M67" s="2579"/>
      <c r="N67" s="2579"/>
      <c r="O67" s="2579"/>
    </row>
    <row r="68" spans="1:15" s="2463" customFormat="1" ht="12.75">
      <c r="A68" s="2538"/>
      <c r="B68" s="2538"/>
      <c r="C68" s="2537"/>
      <c r="D68" s="2536"/>
      <c r="E68" s="2536"/>
      <c r="F68" s="2536"/>
      <c r="G68" s="2536"/>
      <c r="H68" s="2536"/>
      <c r="I68" s="2579"/>
      <c r="J68" s="2579"/>
      <c r="K68" s="2579"/>
      <c r="L68" s="2579"/>
      <c r="M68" s="2579"/>
      <c r="N68" s="2579"/>
      <c r="O68" s="2579"/>
    </row>
    <row r="69" spans="1:15" s="2463" customFormat="1" ht="12.75">
      <c r="A69" s="2538"/>
      <c r="B69" s="2538"/>
      <c r="C69" s="2537"/>
      <c r="D69" s="2536"/>
      <c r="E69" s="2536"/>
      <c r="F69" s="2536"/>
      <c r="G69" s="2536"/>
      <c r="H69" s="2536"/>
      <c r="I69" s="2579"/>
      <c r="J69" s="2579"/>
      <c r="K69" s="2579"/>
      <c r="L69" s="2579"/>
      <c r="M69" s="2579"/>
      <c r="N69" s="2579"/>
      <c r="O69" s="2579"/>
    </row>
    <row r="70" spans="1:15" s="2463" customFormat="1">
      <c r="A70" s="1269"/>
      <c r="B70" s="2529"/>
      <c r="C70" s="2535"/>
      <c r="D70" s="2529"/>
      <c r="E70" s="4877"/>
      <c r="F70" s="4877"/>
      <c r="G70" s="1269"/>
      <c r="H70" s="2529"/>
      <c r="I70" s="2579"/>
      <c r="J70" s="2579"/>
      <c r="K70" s="2579"/>
      <c r="L70" s="2579"/>
      <c r="M70" s="2579"/>
      <c r="N70" s="2579"/>
      <c r="O70" s="2579"/>
    </row>
    <row r="71" spans="1:15" s="2463" customFormat="1">
      <c r="A71" s="2529"/>
      <c r="B71" s="1269"/>
      <c r="C71" s="2535"/>
      <c r="D71" s="1269"/>
      <c r="E71" s="1269"/>
      <c r="F71" s="1269"/>
      <c r="G71" s="1269"/>
      <c r="H71" s="2529"/>
      <c r="I71" s="2579"/>
      <c r="J71" s="2579"/>
      <c r="K71" s="2579"/>
      <c r="L71" s="2579"/>
      <c r="M71" s="2579"/>
      <c r="N71" s="2579"/>
      <c r="O71" s="2579"/>
    </row>
    <row r="72" spans="1:15" s="2463" customFormat="1" ht="12.75">
      <c r="A72" s="2534"/>
      <c r="B72" s="1269"/>
      <c r="C72" s="4881"/>
      <c r="D72" s="4881"/>
      <c r="E72" s="4876"/>
      <c r="F72" s="4876"/>
      <c r="G72" s="4876"/>
      <c r="H72" s="4876"/>
      <c r="I72" s="2579"/>
      <c r="J72" s="2579"/>
      <c r="K72" s="2579"/>
      <c r="L72" s="2579"/>
      <c r="M72" s="2579"/>
      <c r="N72" s="2579"/>
      <c r="O72" s="2579"/>
    </row>
    <row r="73" spans="1:15" s="2463" customFormat="1" ht="12.75">
      <c r="A73" s="2531"/>
      <c r="B73" s="2533"/>
      <c r="C73" s="4874"/>
      <c r="D73" s="4874"/>
      <c r="E73" s="4875"/>
      <c r="F73" s="4875"/>
      <c r="G73" s="4875"/>
      <c r="H73" s="4875"/>
      <c r="I73" s="2579"/>
      <c r="J73" s="2579"/>
      <c r="K73" s="2579"/>
      <c r="L73" s="2579"/>
      <c r="M73" s="2579"/>
      <c r="N73" s="2579"/>
      <c r="O73" s="2579"/>
    </row>
    <row r="74" spans="1:15" s="2463" customFormat="1" ht="12.75">
      <c r="A74" s="2531"/>
      <c r="B74" s="2533"/>
      <c r="C74" s="2531"/>
      <c r="D74" s="2566"/>
      <c r="E74" s="2566"/>
      <c r="F74" s="2566"/>
      <c r="G74" s="2566"/>
      <c r="H74" s="2566"/>
      <c r="I74" s="2579"/>
      <c r="J74" s="2579"/>
      <c r="K74" s="2579"/>
      <c r="L74" s="2579"/>
      <c r="M74" s="2579"/>
      <c r="N74" s="2579"/>
      <c r="O74" s="2579"/>
    </row>
    <row r="75" spans="1:15" s="2463" customFormat="1" ht="12.75">
      <c r="A75" s="2531"/>
      <c r="B75" s="2533"/>
      <c r="C75" s="2531"/>
      <c r="D75" s="2566"/>
      <c r="E75" s="2566"/>
      <c r="F75" s="2566"/>
      <c r="G75" s="2566"/>
      <c r="H75" s="2566"/>
      <c r="I75" s="2579"/>
      <c r="J75" s="2579"/>
      <c r="K75" s="2579"/>
      <c r="L75" s="2579"/>
      <c r="M75" s="2579"/>
      <c r="N75" s="2579"/>
      <c r="O75" s="2579"/>
    </row>
    <row r="76" spans="1:15" s="2463" customFormat="1" ht="12.75">
      <c r="A76" s="2531"/>
      <c r="B76" s="2533"/>
      <c r="C76" s="2531"/>
      <c r="D76" s="2566"/>
      <c r="E76" s="2566"/>
      <c r="F76" s="2566"/>
      <c r="G76" s="2566"/>
      <c r="H76" s="2566"/>
      <c r="I76" s="2579"/>
      <c r="J76" s="2579"/>
      <c r="K76" s="2579"/>
      <c r="L76" s="2579"/>
      <c r="M76" s="2579"/>
      <c r="N76" s="2579"/>
      <c r="O76" s="2579"/>
    </row>
    <row r="77" spans="1:15" s="2463" customFormat="1" ht="12.75">
      <c r="A77" s="2531"/>
      <c r="B77" s="2533"/>
      <c r="C77" s="2531"/>
      <c r="D77" s="2566"/>
      <c r="E77" s="2566"/>
      <c r="F77" s="2566"/>
      <c r="G77" s="2566"/>
      <c r="H77" s="2566"/>
      <c r="I77" s="2579"/>
      <c r="J77" s="2579"/>
      <c r="K77" s="2579"/>
      <c r="L77" s="2579"/>
      <c r="M77" s="2579"/>
      <c r="N77" s="2579"/>
      <c r="O77" s="2579"/>
    </row>
    <row r="78" spans="1:15" s="2463" customFormat="1" ht="12.75">
      <c r="A78" s="2531"/>
      <c r="B78" s="2533"/>
      <c r="C78" s="2531"/>
      <c r="D78" s="2566"/>
      <c r="E78" s="2566"/>
      <c r="F78" s="2566"/>
      <c r="G78" s="2566"/>
      <c r="H78" s="2566"/>
      <c r="I78" s="2579"/>
      <c r="J78" s="2579"/>
      <c r="K78" s="2579"/>
      <c r="L78" s="2579"/>
      <c r="M78" s="2579"/>
      <c r="N78" s="2579"/>
      <c r="O78" s="2579"/>
    </row>
    <row r="79" spans="1:15" s="2463" customFormat="1" ht="12.75">
      <c r="A79" s="2531"/>
      <c r="B79" s="2533"/>
      <c r="C79" s="2531"/>
      <c r="D79" s="2566"/>
      <c r="E79" s="2566"/>
      <c r="F79" s="2566"/>
      <c r="G79" s="2566"/>
      <c r="H79" s="2566"/>
      <c r="I79" s="2579"/>
      <c r="J79" s="2579"/>
      <c r="K79" s="2579"/>
      <c r="L79" s="2579"/>
      <c r="M79" s="2579"/>
      <c r="N79" s="2579"/>
      <c r="O79" s="2579"/>
    </row>
    <row r="80" spans="1:15" s="2463" customFormat="1" ht="12.75">
      <c r="A80" s="2531"/>
      <c r="B80" s="2533"/>
      <c r="C80" s="2531"/>
      <c r="D80" s="2566"/>
      <c r="E80" s="2566"/>
      <c r="F80" s="2566"/>
      <c r="G80" s="2566"/>
      <c r="H80" s="2566"/>
      <c r="I80" s="2579"/>
      <c r="J80" s="2579"/>
      <c r="K80" s="2579"/>
      <c r="L80" s="2579"/>
      <c r="M80" s="2579"/>
      <c r="N80" s="2579"/>
      <c r="O80" s="2579"/>
    </row>
    <row r="81" spans="1:15" s="2463" customFormat="1" ht="12.75">
      <c r="A81" s="2531"/>
      <c r="B81" s="2533"/>
      <c r="C81" s="2531"/>
      <c r="D81" s="2566"/>
      <c r="E81" s="2566"/>
      <c r="F81" s="2566"/>
      <c r="G81" s="2566"/>
      <c r="H81" s="2566"/>
      <c r="I81" s="2579"/>
      <c r="J81" s="2579"/>
      <c r="K81" s="2579"/>
      <c r="L81" s="2579"/>
      <c r="M81" s="2579"/>
      <c r="N81" s="2579"/>
      <c r="O81" s="2579"/>
    </row>
    <row r="82" spans="1:15" s="2463" customFormat="1" ht="12.75">
      <c r="A82" s="2531"/>
      <c r="B82" s="2533"/>
      <c r="C82" s="2531"/>
      <c r="D82" s="2566"/>
      <c r="E82" s="2566"/>
      <c r="F82" s="2566"/>
      <c r="G82" s="2566"/>
      <c r="H82" s="2566"/>
      <c r="I82" s="2579"/>
      <c r="J82" s="2579"/>
      <c r="K82" s="2579"/>
      <c r="L82" s="2579"/>
      <c r="M82" s="2579"/>
      <c r="N82" s="2579"/>
      <c r="O82" s="2579"/>
    </row>
    <row r="83" spans="1:15" s="2463" customFormat="1" ht="12.75">
      <c r="A83" s="2531"/>
      <c r="B83" s="2533"/>
      <c r="C83" s="2531"/>
      <c r="D83" s="2566"/>
      <c r="E83" s="2566"/>
      <c r="F83" s="2566"/>
      <c r="G83" s="2566"/>
      <c r="H83" s="2566"/>
      <c r="I83" s="2579"/>
      <c r="J83" s="2579"/>
      <c r="K83" s="2579"/>
      <c r="L83" s="2579"/>
      <c r="M83" s="2579"/>
      <c r="N83" s="2579"/>
      <c r="O83" s="2579"/>
    </row>
    <row r="84" spans="1:15" s="2463" customFormat="1" ht="12.75">
      <c r="A84" s="2531"/>
      <c r="B84" s="2533"/>
      <c r="C84" s="2531"/>
      <c r="D84" s="2566"/>
      <c r="E84" s="2566"/>
      <c r="F84" s="2566"/>
      <c r="G84" s="2566"/>
      <c r="H84" s="2566"/>
      <c r="I84" s="2579"/>
      <c r="J84" s="2579"/>
      <c r="K84" s="2579"/>
      <c r="L84" s="2579"/>
      <c r="M84" s="2579"/>
      <c r="N84" s="2579"/>
      <c r="O84" s="2579"/>
    </row>
    <row r="85" spans="1:15" s="2463" customFormat="1" ht="12.75">
      <c r="A85" s="2531"/>
      <c r="B85" s="2533"/>
      <c r="C85" s="2531"/>
      <c r="D85" s="2566"/>
      <c r="E85" s="2566"/>
      <c r="F85" s="2566"/>
      <c r="G85" s="2566"/>
      <c r="H85" s="2566"/>
      <c r="I85" s="2579"/>
      <c r="J85" s="2579"/>
      <c r="K85" s="2579"/>
      <c r="L85" s="2579"/>
      <c r="M85" s="2579"/>
      <c r="N85" s="2579"/>
      <c r="O85" s="2579"/>
    </row>
    <row r="86" spans="1:15" s="2463" customFormat="1" ht="12.75">
      <c r="A86" s="2531"/>
      <c r="B86" s="2533"/>
      <c r="C86" s="2531"/>
      <c r="D86" s="2566"/>
      <c r="E86" s="2566"/>
      <c r="F86" s="2566"/>
      <c r="G86" s="2566"/>
      <c r="H86" s="2566"/>
      <c r="I86" s="2579"/>
      <c r="J86" s="2579"/>
      <c r="K86" s="2579"/>
      <c r="L86" s="2579"/>
      <c r="M86" s="2579"/>
      <c r="N86" s="2579"/>
      <c r="O86" s="2579"/>
    </row>
    <row r="87" spans="1:15" s="2463" customFormat="1" ht="12.75">
      <c r="A87" s="2531"/>
      <c r="B87" s="2533"/>
      <c r="C87" s="2531"/>
      <c r="D87" s="2566"/>
      <c r="E87" s="2566"/>
      <c r="F87" s="2566"/>
      <c r="G87" s="2566"/>
      <c r="H87" s="2566"/>
      <c r="I87" s="2579"/>
      <c r="J87" s="2579"/>
      <c r="K87" s="2579"/>
      <c r="L87" s="2579"/>
      <c r="M87" s="2579"/>
      <c r="N87" s="2579"/>
      <c r="O87" s="2579"/>
    </row>
    <row r="88" spans="1:15" s="2463" customFormat="1" ht="12.75">
      <c r="A88" s="2531"/>
      <c r="B88" s="2533"/>
      <c r="C88" s="2531"/>
      <c r="D88" s="2566"/>
      <c r="E88" s="2566"/>
      <c r="F88" s="2566"/>
      <c r="G88" s="2566"/>
      <c r="H88" s="2566"/>
      <c r="I88" s="2579"/>
      <c r="J88" s="2579"/>
      <c r="K88" s="2579"/>
      <c r="L88" s="2579"/>
      <c r="M88" s="2579"/>
      <c r="N88" s="2579"/>
      <c r="O88" s="2579"/>
    </row>
    <row r="89" spans="1:15" s="2463" customFormat="1" ht="12.75">
      <c r="A89" s="2531"/>
      <c r="B89" s="2533"/>
      <c r="C89" s="2531"/>
      <c r="D89" s="2566"/>
      <c r="E89" s="2566"/>
      <c r="F89" s="2566"/>
      <c r="G89" s="2566"/>
      <c r="H89" s="2566"/>
      <c r="I89" s="2579"/>
      <c r="J89" s="2579"/>
      <c r="K89" s="2579"/>
      <c r="L89" s="2579"/>
      <c r="M89" s="2579"/>
      <c r="N89" s="2579"/>
      <c r="O89" s="2579"/>
    </row>
    <row r="90" spans="1:15" s="2463" customFormat="1" ht="12.75">
      <c r="A90" s="2531"/>
      <c r="B90" s="2533"/>
      <c r="C90" s="2531"/>
      <c r="D90" s="2566"/>
      <c r="E90" s="2566"/>
      <c r="F90" s="2566"/>
      <c r="G90" s="2566"/>
      <c r="H90" s="2566"/>
      <c r="I90" s="2579"/>
      <c r="J90" s="2579"/>
      <c r="K90" s="2579"/>
      <c r="L90" s="2579"/>
      <c r="M90" s="2579"/>
      <c r="N90" s="2579"/>
      <c r="O90" s="2579"/>
    </row>
    <row r="91" spans="1:15" s="2463" customFormat="1" ht="12.75">
      <c r="A91" s="2531"/>
      <c r="B91" s="2533"/>
      <c r="C91" s="2531"/>
      <c r="D91" s="2566"/>
      <c r="E91" s="2566"/>
      <c r="F91" s="2566"/>
      <c r="G91" s="2566"/>
      <c r="H91" s="2566"/>
      <c r="I91" s="2579"/>
      <c r="J91" s="2579"/>
      <c r="K91" s="2579"/>
      <c r="L91" s="2579"/>
      <c r="M91" s="2579"/>
      <c r="N91" s="2579"/>
      <c r="O91" s="2579"/>
    </row>
    <row r="92" spans="1:15" s="2463" customFormat="1" ht="12.75">
      <c r="A92" s="2531"/>
      <c r="B92" s="2533"/>
      <c r="C92" s="2531"/>
      <c r="D92" s="2566"/>
      <c r="E92" s="2566"/>
      <c r="F92" s="2566"/>
      <c r="G92" s="2566"/>
      <c r="H92" s="2566"/>
      <c r="I92" s="2579"/>
      <c r="J92" s="2579"/>
      <c r="K92" s="2579"/>
      <c r="L92" s="2579"/>
      <c r="M92" s="2579"/>
      <c r="N92" s="2579"/>
      <c r="O92" s="2579"/>
    </row>
    <row r="93" spans="1:15" s="2463" customFormat="1" ht="12.75">
      <c r="A93" s="4876"/>
      <c r="B93" s="4876"/>
      <c r="C93" s="4876"/>
      <c r="D93" s="4876"/>
      <c r="E93" s="4876"/>
      <c r="F93" s="4876"/>
      <c r="G93" s="4876"/>
      <c r="H93" s="4876"/>
      <c r="I93" s="2579"/>
      <c r="J93" s="2579"/>
      <c r="K93" s="2579"/>
      <c r="L93" s="2579"/>
      <c r="M93" s="2579"/>
      <c r="N93" s="2579"/>
      <c r="O93" s="2579"/>
    </row>
    <row r="94" spans="1:15" s="2463" customFormat="1" ht="12.75">
      <c r="A94" s="4877"/>
      <c r="B94" s="4877"/>
      <c r="C94" s="4877"/>
      <c r="D94" s="4877"/>
      <c r="E94" s="4877"/>
      <c r="F94" s="4877"/>
      <c r="G94" s="4877"/>
      <c r="H94" s="4877"/>
      <c r="I94" s="2579"/>
      <c r="J94" s="2579"/>
      <c r="K94" s="2579"/>
      <c r="L94" s="2579"/>
      <c r="M94" s="2579"/>
      <c r="N94" s="2579"/>
      <c r="O94" s="2579"/>
    </row>
    <row r="95" spans="1:15" s="2463" customFormat="1">
      <c r="A95" s="2529"/>
      <c r="B95" s="2529"/>
      <c r="C95" s="2529"/>
      <c r="D95" s="2529"/>
      <c r="E95" s="2529"/>
      <c r="F95" s="2529"/>
      <c r="G95" s="2529"/>
      <c r="H95" s="2529"/>
      <c r="I95" s="2579"/>
      <c r="J95" s="2579"/>
      <c r="K95" s="2579"/>
      <c r="L95" s="2579"/>
      <c r="M95" s="2579"/>
      <c r="N95" s="2579"/>
      <c r="O95" s="2579"/>
    </row>
    <row r="96" spans="1:15" s="2463" customFormat="1">
      <c r="A96" s="2529"/>
      <c r="B96" s="2529"/>
      <c r="C96" s="2529"/>
      <c r="D96" s="2529"/>
      <c r="E96" s="2529"/>
      <c r="F96" s="2529"/>
      <c r="G96" s="2529"/>
      <c r="H96" s="2529"/>
      <c r="I96" s="2579"/>
      <c r="J96" s="2579"/>
      <c r="K96" s="2579"/>
      <c r="L96" s="2579"/>
      <c r="M96" s="2579"/>
      <c r="N96" s="2579"/>
      <c r="O96" s="2579"/>
    </row>
    <row r="97" spans="1:15" s="2463" customFormat="1">
      <c r="A97" s="2568"/>
      <c r="B97" s="2567"/>
      <c r="C97" s="2529"/>
      <c r="D97" s="2566"/>
      <c r="E97" s="2566"/>
      <c r="F97" s="2566"/>
      <c r="G97" s="2566"/>
      <c r="H97" s="2566"/>
      <c r="I97" s="2579"/>
      <c r="J97" s="2579"/>
      <c r="K97" s="2579"/>
      <c r="L97" s="2579"/>
      <c r="M97" s="2579"/>
      <c r="N97" s="2579"/>
      <c r="O97" s="2579"/>
    </row>
    <row r="98" spans="1:15" s="2463" customFormat="1" ht="12.75">
      <c r="A98" s="1269"/>
      <c r="B98" s="1269"/>
      <c r="C98" s="2542"/>
      <c r="D98" s="2541"/>
      <c r="E98" s="2561"/>
      <c r="F98" s="2540"/>
      <c r="G98" s="2565"/>
      <c r="H98" s="2561"/>
      <c r="I98" s="2579"/>
      <c r="J98" s="2579"/>
      <c r="K98" s="2579"/>
      <c r="L98" s="2579"/>
      <c r="M98" s="2579"/>
      <c r="N98" s="2579"/>
      <c r="O98" s="2579"/>
    </row>
    <row r="99" spans="1:15" s="2463" customFormat="1" ht="23.25">
      <c r="A99" s="2564"/>
      <c r="B99" s="2564"/>
      <c r="C99" s="2563"/>
      <c r="D99" s="2541"/>
      <c r="E99" s="2561"/>
      <c r="F99" s="2540"/>
      <c r="G99" s="2562"/>
      <c r="H99" s="2561"/>
      <c r="I99" s="2579"/>
      <c r="J99" s="2579"/>
      <c r="K99" s="2579"/>
      <c r="L99" s="2579"/>
      <c r="M99" s="2579"/>
      <c r="N99" s="2579"/>
      <c r="O99" s="2579"/>
    </row>
    <row r="100" spans="1:15" s="2463" customFormat="1" ht="12.75">
      <c r="A100" s="4879"/>
      <c r="B100" s="4879"/>
      <c r="C100" s="2559"/>
      <c r="D100" s="2560"/>
      <c r="E100" s="4880"/>
      <c r="F100" s="4880"/>
      <c r="G100" s="4880"/>
      <c r="H100" s="2557"/>
      <c r="I100" s="2579"/>
      <c r="J100" s="2579"/>
      <c r="K100" s="2579"/>
      <c r="L100" s="2579"/>
      <c r="M100" s="2579"/>
      <c r="N100" s="2579"/>
      <c r="O100" s="2579"/>
    </row>
    <row r="101" spans="1:15" s="2463" customFormat="1" ht="12.75">
      <c r="A101" s="4879"/>
      <c r="B101" s="4879"/>
      <c r="C101" s="2559"/>
      <c r="D101" s="2558"/>
      <c r="E101" s="2558"/>
      <c r="F101" s="2558"/>
      <c r="G101" s="2558"/>
      <c r="H101" s="2558"/>
      <c r="I101" s="2579"/>
      <c r="J101" s="2579"/>
      <c r="K101" s="2579"/>
      <c r="L101" s="2579"/>
      <c r="M101" s="2579"/>
      <c r="N101" s="2579"/>
      <c r="O101" s="2579"/>
    </row>
    <row r="102" spans="1:15" s="2463" customFormat="1" ht="12.75">
      <c r="A102" s="4879"/>
      <c r="B102" s="4879"/>
      <c r="C102" s="2557"/>
      <c r="D102" s="2555"/>
      <c r="E102" s="2555"/>
      <c r="F102" s="2555"/>
      <c r="G102" s="2556"/>
      <c r="H102" s="2555"/>
      <c r="I102" s="2579"/>
      <c r="J102" s="2579"/>
      <c r="K102" s="2579"/>
      <c r="L102" s="2579"/>
      <c r="M102" s="2579"/>
      <c r="N102" s="2579"/>
      <c r="O102" s="2579"/>
    </row>
    <row r="103" spans="1:15" s="2463" customFormat="1" ht="12.75">
      <c r="A103" s="2554"/>
      <c r="B103" s="2553"/>
      <c r="C103" s="2552"/>
      <c r="D103" s="2551"/>
      <c r="E103" s="2551"/>
      <c r="F103" s="2551"/>
      <c r="G103" s="2551"/>
      <c r="H103" s="2551"/>
      <c r="I103" s="2579"/>
      <c r="J103" s="2579"/>
      <c r="K103" s="2579"/>
      <c r="L103" s="2579"/>
      <c r="M103" s="2579"/>
      <c r="N103" s="2579"/>
      <c r="O103" s="2579"/>
    </row>
    <row r="104" spans="1:15" s="2463" customFormat="1" ht="12.75">
      <c r="A104" s="2546"/>
      <c r="B104" s="1269"/>
      <c r="C104" s="2545"/>
      <c r="D104" s="2548"/>
      <c r="E104" s="2548"/>
      <c r="F104" s="2540"/>
      <c r="G104" s="2548"/>
      <c r="H104" s="2548"/>
      <c r="I104" s="2579"/>
      <c r="J104" s="2579"/>
      <c r="K104" s="2579"/>
      <c r="L104" s="2579"/>
      <c r="M104" s="2579"/>
      <c r="N104" s="2579"/>
      <c r="O104" s="2579"/>
    </row>
    <row r="105" spans="1:15" s="2463" customFormat="1" ht="12.75">
      <c r="A105" s="2549"/>
      <c r="B105" s="2549"/>
      <c r="C105" s="2545"/>
      <c r="D105" s="2548"/>
      <c r="E105" s="2548"/>
      <c r="F105" s="2540"/>
      <c r="G105" s="2548"/>
      <c r="H105" s="2548"/>
      <c r="I105" s="2579"/>
      <c r="J105" s="2579"/>
      <c r="K105" s="2579"/>
      <c r="L105" s="2579"/>
      <c r="M105" s="2579"/>
      <c r="N105" s="2579"/>
      <c r="O105" s="2579"/>
    </row>
    <row r="106" spans="1:15" s="2463" customFormat="1" ht="12.75">
      <c r="A106" s="2546"/>
      <c r="B106" s="1269"/>
      <c r="C106" s="2542"/>
      <c r="D106" s="2541"/>
      <c r="E106" s="2544"/>
      <c r="F106" s="2540"/>
      <c r="G106" s="2544"/>
      <c r="H106" s="2544"/>
      <c r="I106" s="2579"/>
      <c r="J106" s="2579"/>
      <c r="K106" s="2579"/>
      <c r="L106" s="2579"/>
      <c r="M106" s="2579"/>
      <c r="N106" s="2579"/>
      <c r="O106" s="2579"/>
    </row>
    <row r="107" spans="1:15" s="2463" customFormat="1" ht="12.75">
      <c r="A107" s="2549"/>
      <c r="B107" s="2549"/>
      <c r="C107" s="2545"/>
      <c r="D107" s="2541"/>
      <c r="E107" s="2544"/>
      <c r="F107" s="2540"/>
      <c r="G107" s="2544"/>
      <c r="H107" s="2544"/>
      <c r="I107" s="2579"/>
      <c r="J107" s="2579"/>
      <c r="K107" s="2579"/>
      <c r="L107" s="2579"/>
      <c r="M107" s="2579"/>
      <c r="N107" s="2579"/>
      <c r="O107" s="2579"/>
    </row>
    <row r="108" spans="1:15" s="2463" customFormat="1" ht="12.75">
      <c r="A108" s="2549"/>
      <c r="B108" s="2549"/>
      <c r="C108" s="2542"/>
      <c r="D108" s="2541"/>
      <c r="E108" s="2544"/>
      <c r="F108" s="2540"/>
      <c r="G108" s="2544"/>
      <c r="H108" s="2544"/>
      <c r="I108" s="2579"/>
      <c r="J108" s="2579"/>
      <c r="K108" s="2579"/>
      <c r="L108" s="2579"/>
      <c r="M108" s="2579"/>
      <c r="N108" s="2579"/>
      <c r="O108" s="2579"/>
    </row>
    <row r="109" spans="1:15" s="2463" customFormat="1" ht="12.75">
      <c r="A109" s="2549"/>
      <c r="B109" s="2549"/>
      <c r="C109" s="2542"/>
      <c r="D109" s="2541"/>
      <c r="E109" s="2544"/>
      <c r="F109" s="2540"/>
      <c r="G109" s="2544"/>
      <c r="H109" s="2544"/>
      <c r="I109" s="2579"/>
      <c r="J109" s="2579"/>
      <c r="K109" s="2579"/>
      <c r="L109" s="2579"/>
      <c r="M109" s="2579"/>
      <c r="N109" s="2579"/>
      <c r="O109" s="2579"/>
    </row>
    <row r="110" spans="1:15" s="2463" customFormat="1" ht="12.75">
      <c r="A110" s="2546"/>
      <c r="B110" s="1269"/>
      <c r="C110" s="2545"/>
      <c r="D110" s="2541"/>
      <c r="E110" s="2544"/>
      <c r="F110" s="2540"/>
      <c r="G110" s="2544"/>
      <c r="H110" s="2544"/>
      <c r="I110" s="2579"/>
      <c r="J110" s="2579"/>
      <c r="K110" s="2579"/>
      <c r="L110" s="2579"/>
      <c r="M110" s="2579"/>
      <c r="N110" s="2579"/>
      <c r="O110" s="2579"/>
    </row>
    <row r="111" spans="1:15" s="2463" customFormat="1" ht="12.75">
      <c r="A111" s="2546"/>
      <c r="B111" s="1269"/>
      <c r="C111" s="2545"/>
      <c r="D111" s="2541"/>
      <c r="E111" s="2544"/>
      <c r="F111" s="2540"/>
      <c r="G111" s="2544"/>
      <c r="H111" s="2544"/>
      <c r="I111" s="2579"/>
      <c r="J111" s="2579"/>
      <c r="K111" s="2579"/>
      <c r="L111" s="2579"/>
      <c r="M111" s="2579"/>
      <c r="N111" s="2579"/>
      <c r="O111" s="2579"/>
    </row>
    <row r="112" spans="1:15" s="2463" customFormat="1" ht="12.75">
      <c r="A112" s="2547"/>
      <c r="B112" s="2546"/>
      <c r="C112" s="2545"/>
      <c r="D112" s="2541"/>
      <c r="E112" s="2544"/>
      <c r="F112" s="2540"/>
      <c r="G112" s="2544"/>
      <c r="H112" s="2544"/>
      <c r="I112" s="2579"/>
      <c r="J112" s="2579"/>
      <c r="K112" s="2579"/>
      <c r="L112" s="2579"/>
      <c r="M112" s="2579"/>
      <c r="N112" s="2579"/>
      <c r="O112" s="2579"/>
    </row>
    <row r="113" spans="1:15" s="2463" customFormat="1" ht="12.75">
      <c r="A113" s="2543"/>
      <c r="B113" s="2543"/>
      <c r="C113" s="2542"/>
      <c r="D113" s="2541"/>
      <c r="E113" s="2539"/>
      <c r="F113" s="2540"/>
      <c r="G113" s="2539"/>
      <c r="H113" s="2539"/>
      <c r="I113" s="2579"/>
      <c r="J113" s="2579"/>
      <c r="K113" s="2579"/>
      <c r="L113" s="2579"/>
      <c r="M113" s="2579"/>
      <c r="N113" s="2579"/>
      <c r="O113" s="2579"/>
    </row>
    <row r="114" spans="1:15" s="2463" customFormat="1" ht="12.75">
      <c r="A114" s="2538"/>
      <c r="B114" s="2538"/>
      <c r="C114" s="2537"/>
      <c r="D114" s="2536"/>
      <c r="E114" s="2536"/>
      <c r="F114" s="2536"/>
      <c r="G114" s="2536"/>
      <c r="H114" s="2536"/>
      <c r="I114" s="2579"/>
      <c r="J114" s="2579"/>
      <c r="K114" s="2579"/>
      <c r="L114" s="2579"/>
      <c r="M114" s="2579"/>
      <c r="N114" s="2579"/>
      <c r="O114" s="2579"/>
    </row>
    <row r="115" spans="1:15" s="2463" customFormat="1" ht="12.75">
      <c r="A115" s="2538"/>
      <c r="B115" s="2538"/>
      <c r="C115" s="2537"/>
      <c r="D115" s="2536"/>
      <c r="E115" s="2536"/>
      <c r="F115" s="2536"/>
      <c r="G115" s="2536"/>
      <c r="H115" s="2536"/>
      <c r="I115" s="2579"/>
      <c r="J115" s="2579"/>
      <c r="K115" s="2579"/>
      <c r="L115" s="2579"/>
      <c r="M115" s="2579"/>
      <c r="N115" s="2579"/>
      <c r="O115" s="2579"/>
    </row>
    <row r="116" spans="1:15" s="2463" customFormat="1">
      <c r="A116" s="1269"/>
      <c r="B116" s="2529"/>
      <c r="C116" s="2535"/>
      <c r="D116" s="2529"/>
      <c r="E116" s="4877"/>
      <c r="F116" s="4877"/>
      <c r="G116" s="1269"/>
      <c r="H116" s="2529"/>
      <c r="I116" s="2579"/>
      <c r="J116" s="2579"/>
      <c r="K116" s="2579"/>
      <c r="L116" s="2579"/>
      <c r="M116" s="2579"/>
      <c r="N116" s="2579"/>
      <c r="O116" s="2579"/>
    </row>
    <row r="117" spans="1:15" s="2463" customFormat="1">
      <c r="A117" s="2529"/>
      <c r="B117" s="1269"/>
      <c r="C117" s="2535"/>
      <c r="D117" s="1269"/>
      <c r="E117" s="1269"/>
      <c r="F117" s="1269"/>
      <c r="G117" s="1269"/>
      <c r="H117" s="2529"/>
      <c r="I117" s="2579"/>
      <c r="J117" s="2579"/>
      <c r="K117" s="2579"/>
      <c r="L117" s="2579"/>
      <c r="M117" s="2579"/>
      <c r="N117" s="2579"/>
      <c r="O117" s="2579"/>
    </row>
    <row r="118" spans="1:15" s="2463" customFormat="1" ht="12.75">
      <c r="A118" s="2534"/>
      <c r="B118" s="1269"/>
      <c r="C118" s="4881"/>
      <c r="D118" s="4881"/>
      <c r="E118" s="4876"/>
      <c r="F118" s="4876"/>
      <c r="G118" s="4876"/>
      <c r="H118" s="4876"/>
      <c r="I118" s="2579"/>
      <c r="J118" s="2579"/>
      <c r="K118" s="2579"/>
      <c r="L118" s="2579"/>
      <c r="M118" s="2579"/>
      <c r="N118" s="2579"/>
      <c r="O118" s="2579"/>
    </row>
    <row r="119" spans="1:15" s="2463" customFormat="1" ht="12.75">
      <c r="A119" s="2531"/>
      <c r="B119" s="2533"/>
      <c r="C119" s="4874"/>
      <c r="D119" s="4874"/>
      <c r="E119" s="4875"/>
      <c r="F119" s="4875"/>
      <c r="G119" s="4875"/>
      <c r="H119" s="4875"/>
      <c r="I119" s="2579"/>
      <c r="J119" s="2579"/>
      <c r="K119" s="2579"/>
      <c r="L119" s="2579"/>
      <c r="M119" s="2579"/>
      <c r="N119" s="2579"/>
      <c r="O119" s="2579"/>
    </row>
    <row r="120" spans="1:15" s="2463" customFormat="1" ht="12.75">
      <c r="A120" s="2531"/>
      <c r="B120" s="2533"/>
      <c r="C120" s="2531"/>
      <c r="D120" s="2566"/>
      <c r="E120" s="2566"/>
      <c r="F120" s="2566"/>
      <c r="G120" s="2566"/>
      <c r="H120" s="2566"/>
      <c r="I120" s="2579"/>
      <c r="J120" s="2579"/>
      <c r="K120" s="2579"/>
      <c r="L120" s="2579"/>
      <c r="M120" s="2579"/>
      <c r="N120" s="2579"/>
      <c r="O120" s="2579"/>
    </row>
    <row r="121" spans="1:15" s="2463" customFormat="1" ht="12.75">
      <c r="A121" s="2531"/>
      <c r="B121" s="2533"/>
      <c r="C121" s="2531"/>
      <c r="D121" s="2566"/>
      <c r="E121" s="2566"/>
      <c r="F121" s="2566"/>
      <c r="G121" s="2566"/>
      <c r="H121" s="2566"/>
      <c r="I121" s="2579"/>
      <c r="J121" s="2579"/>
      <c r="K121" s="2579"/>
      <c r="L121" s="2579"/>
      <c r="M121" s="2579"/>
      <c r="N121" s="2579"/>
      <c r="O121" s="2579"/>
    </row>
    <row r="122" spans="1:15" s="2463" customFormat="1" ht="12.75">
      <c r="A122" s="2531"/>
      <c r="B122" s="2533"/>
      <c r="C122" s="2531"/>
      <c r="D122" s="2566"/>
      <c r="E122" s="2566"/>
      <c r="F122" s="2566"/>
      <c r="G122" s="2566"/>
      <c r="H122" s="2566"/>
      <c r="I122" s="2579"/>
      <c r="J122" s="2579"/>
      <c r="K122" s="2579"/>
      <c r="L122" s="2579"/>
      <c r="M122" s="2579"/>
      <c r="N122" s="2579"/>
      <c r="O122" s="2579"/>
    </row>
    <row r="123" spans="1:15" s="2463" customFormat="1" ht="12.75">
      <c r="A123" s="2531"/>
      <c r="B123" s="2533"/>
      <c r="C123" s="2531"/>
      <c r="D123" s="2566"/>
      <c r="E123" s="2566"/>
      <c r="F123" s="2566"/>
      <c r="G123" s="2566"/>
      <c r="H123" s="2566"/>
      <c r="I123" s="2579"/>
      <c r="J123" s="2579"/>
      <c r="K123" s="2579"/>
      <c r="L123" s="2579"/>
      <c r="M123" s="2579"/>
      <c r="N123" s="2579"/>
      <c r="O123" s="2579"/>
    </row>
    <row r="124" spans="1:15" s="2463" customFormat="1" ht="12.75">
      <c r="A124" s="2531"/>
      <c r="B124" s="2533"/>
      <c r="C124" s="2531"/>
      <c r="D124" s="2566"/>
      <c r="E124" s="2566"/>
      <c r="F124" s="2566"/>
      <c r="G124" s="2566"/>
      <c r="H124" s="2566"/>
      <c r="I124" s="2579"/>
      <c r="J124" s="2579"/>
      <c r="K124" s="2579"/>
      <c r="L124" s="2579"/>
      <c r="M124" s="2579"/>
      <c r="N124" s="2579"/>
      <c r="O124" s="2579"/>
    </row>
    <row r="125" spans="1:15" s="2463" customFormat="1" ht="12.75">
      <c r="A125" s="2531"/>
      <c r="B125" s="2533"/>
      <c r="C125" s="2531"/>
      <c r="D125" s="2566"/>
      <c r="E125" s="2566"/>
      <c r="F125" s="2566"/>
      <c r="G125" s="2566"/>
      <c r="H125" s="2566"/>
      <c r="I125" s="2579"/>
      <c r="J125" s="2579"/>
      <c r="K125" s="2579"/>
      <c r="L125" s="2579"/>
      <c r="M125" s="2579"/>
      <c r="N125" s="2579"/>
      <c r="O125" s="2579"/>
    </row>
    <row r="126" spans="1:15" s="2463" customFormat="1" ht="12.75">
      <c r="A126" s="2531"/>
      <c r="B126" s="2533"/>
      <c r="C126" s="2531"/>
      <c r="D126" s="2566"/>
      <c r="E126" s="2566"/>
      <c r="F126" s="2566"/>
      <c r="G126" s="2566"/>
      <c r="H126" s="2566"/>
      <c r="I126" s="2579"/>
      <c r="J126" s="2579"/>
      <c r="K126" s="2579"/>
      <c r="L126" s="2579"/>
      <c r="M126" s="2579"/>
      <c r="N126" s="2579"/>
      <c r="O126" s="2579"/>
    </row>
    <row r="127" spans="1:15" s="2463" customFormat="1" ht="12.75">
      <c r="A127" s="2531"/>
      <c r="B127" s="2533"/>
      <c r="C127" s="2531"/>
      <c r="D127" s="2566"/>
      <c r="E127" s="2566"/>
      <c r="F127" s="2566"/>
      <c r="G127" s="2566"/>
      <c r="H127" s="2566"/>
      <c r="I127" s="2579"/>
      <c r="J127" s="2579"/>
      <c r="K127" s="2579"/>
      <c r="L127" s="2579"/>
      <c r="M127" s="2579"/>
      <c r="N127" s="2579"/>
      <c r="O127" s="2579"/>
    </row>
    <row r="128" spans="1:15" s="2463" customFormat="1" ht="12.75">
      <c r="A128" s="2531"/>
      <c r="B128" s="2533"/>
      <c r="C128" s="2531"/>
      <c r="D128" s="2566"/>
      <c r="E128" s="2566"/>
      <c r="F128" s="2566"/>
      <c r="G128" s="2566"/>
      <c r="H128" s="2566"/>
      <c r="I128" s="2579"/>
      <c r="J128" s="2579"/>
      <c r="K128" s="2579"/>
      <c r="L128" s="2579"/>
      <c r="M128" s="2579"/>
      <c r="N128" s="2579"/>
      <c r="O128" s="2579"/>
    </row>
    <row r="129" spans="1:15" s="2463" customFormat="1" ht="12.75">
      <c r="A129" s="2531"/>
      <c r="B129" s="2533"/>
      <c r="C129" s="2531"/>
      <c r="D129" s="2566"/>
      <c r="E129" s="2566"/>
      <c r="F129" s="2566"/>
      <c r="G129" s="2566"/>
      <c r="H129" s="2566"/>
      <c r="I129" s="2579"/>
      <c r="J129" s="2579"/>
      <c r="K129" s="2579"/>
      <c r="L129" s="2579"/>
      <c r="M129" s="2579"/>
      <c r="N129" s="2579"/>
      <c r="O129" s="2579"/>
    </row>
    <row r="130" spans="1:15" s="2463" customFormat="1" ht="12.75">
      <c r="A130" s="2531"/>
      <c r="B130" s="2533"/>
      <c r="C130" s="2531"/>
      <c r="D130" s="2566"/>
      <c r="E130" s="2566"/>
      <c r="F130" s="2566"/>
      <c r="G130" s="2566"/>
      <c r="H130" s="2566"/>
      <c r="I130" s="2579"/>
      <c r="J130" s="2579"/>
      <c r="K130" s="2579"/>
      <c r="L130" s="2579"/>
      <c r="M130" s="2579"/>
      <c r="N130" s="2579"/>
      <c r="O130" s="2579"/>
    </row>
    <row r="131" spans="1:15" s="2463" customFormat="1" ht="12.75">
      <c r="A131" s="2531"/>
      <c r="B131" s="2533"/>
      <c r="C131" s="2531"/>
      <c r="D131" s="2566"/>
      <c r="E131" s="2566"/>
      <c r="F131" s="2566"/>
      <c r="G131" s="2566"/>
      <c r="H131" s="2566"/>
      <c r="I131" s="2579"/>
      <c r="J131" s="2579"/>
      <c r="K131" s="2579"/>
      <c r="L131" s="2579"/>
      <c r="M131" s="2579"/>
      <c r="N131" s="2579"/>
      <c r="O131" s="2579"/>
    </row>
    <row r="132" spans="1:15" s="2463" customFormat="1" ht="12.75">
      <c r="A132" s="2531"/>
      <c r="B132" s="2533"/>
      <c r="C132" s="2531"/>
      <c r="D132" s="2566"/>
      <c r="E132" s="2566"/>
      <c r="F132" s="2566"/>
      <c r="G132" s="2566"/>
      <c r="H132" s="2566"/>
      <c r="I132" s="2579"/>
      <c r="J132" s="2579"/>
      <c r="K132" s="2579"/>
      <c r="L132" s="2579"/>
      <c r="M132" s="2579"/>
      <c r="N132" s="2579"/>
      <c r="O132" s="2579"/>
    </row>
    <row r="133" spans="1:15" s="2463" customFormat="1">
      <c r="A133" s="2529"/>
      <c r="B133" s="2529"/>
      <c r="C133" s="2529"/>
      <c r="D133" s="2529"/>
      <c r="E133" s="2529"/>
      <c r="F133" s="2529"/>
      <c r="G133" s="2529"/>
      <c r="H133" s="2529"/>
      <c r="I133" s="2579"/>
      <c r="J133" s="2579"/>
      <c r="K133" s="2579"/>
      <c r="L133" s="2579"/>
      <c r="M133" s="2579"/>
      <c r="N133" s="2579"/>
      <c r="O133" s="2579"/>
    </row>
    <row r="134" spans="1:15" s="2463" customFormat="1" ht="12.75">
      <c r="A134" s="4876"/>
      <c r="B134" s="4876"/>
      <c r="C134" s="4876"/>
      <c r="D134" s="4876"/>
      <c r="E134" s="4876"/>
      <c r="F134" s="4876"/>
      <c r="G134" s="4876"/>
      <c r="H134" s="4876"/>
      <c r="I134" s="2579"/>
      <c r="J134" s="2579"/>
      <c r="K134" s="2579"/>
      <c r="L134" s="2579"/>
      <c r="M134" s="2579"/>
      <c r="N134" s="2579"/>
      <c r="O134" s="2579"/>
    </row>
    <row r="135" spans="1:15" s="2463" customFormat="1" ht="12.75">
      <c r="A135" s="4877"/>
      <c r="B135" s="4877"/>
      <c r="C135" s="4877"/>
      <c r="D135" s="4877"/>
      <c r="E135" s="4877"/>
      <c r="F135" s="4877"/>
      <c r="G135" s="4877"/>
      <c r="H135" s="4877"/>
      <c r="I135" s="2579"/>
      <c r="J135" s="2579"/>
      <c r="K135" s="2579"/>
      <c r="L135" s="2579"/>
      <c r="M135" s="2579"/>
      <c r="N135" s="2579"/>
      <c r="O135" s="2579"/>
    </row>
    <row r="136" spans="1:15" s="2463" customFormat="1">
      <c r="A136" s="2529"/>
      <c r="B136" s="2529"/>
      <c r="C136" s="2529"/>
      <c r="D136" s="2529"/>
      <c r="E136" s="2529"/>
      <c r="F136" s="2529"/>
      <c r="G136" s="2529"/>
      <c r="H136" s="2529"/>
      <c r="I136" s="2579"/>
      <c r="J136" s="2579"/>
      <c r="K136" s="2579"/>
      <c r="L136" s="2579"/>
      <c r="M136" s="2579"/>
      <c r="N136" s="2579"/>
      <c r="O136" s="2579"/>
    </row>
    <row r="137" spans="1:15" s="2463" customFormat="1">
      <c r="A137" s="2529"/>
      <c r="B137" s="2529"/>
      <c r="C137" s="2529"/>
      <c r="D137" s="2529"/>
      <c r="E137" s="2529"/>
      <c r="F137" s="2529"/>
      <c r="G137" s="2529"/>
      <c r="H137" s="2529"/>
      <c r="I137" s="2579"/>
      <c r="J137" s="2579"/>
      <c r="K137" s="2579"/>
      <c r="L137" s="2579"/>
      <c r="M137" s="2579"/>
      <c r="N137" s="2579"/>
      <c r="O137" s="2579"/>
    </row>
    <row r="138" spans="1:15" s="2463" customFormat="1">
      <c r="A138" s="2568"/>
      <c r="B138" s="2567"/>
      <c r="C138" s="2529"/>
      <c r="D138" s="2566"/>
      <c r="E138" s="2566"/>
      <c r="F138" s="2566"/>
      <c r="G138" s="2566"/>
      <c r="H138" s="2566"/>
      <c r="I138" s="2579"/>
      <c r="J138" s="2579"/>
      <c r="K138" s="2579"/>
      <c r="L138" s="2579"/>
      <c r="M138" s="2579"/>
      <c r="N138" s="2579"/>
      <c r="O138" s="2579"/>
    </row>
    <row r="139" spans="1:15" s="2463" customFormat="1" ht="12.75">
      <c r="A139" s="1269"/>
      <c r="B139" s="1269"/>
      <c r="C139" s="2542"/>
      <c r="D139" s="2541"/>
      <c r="E139" s="2561"/>
      <c r="F139" s="2540"/>
      <c r="G139" s="2565"/>
      <c r="H139" s="2561"/>
      <c r="I139" s="2579"/>
      <c r="J139" s="2579"/>
      <c r="K139" s="2579"/>
      <c r="L139" s="2579"/>
      <c r="M139" s="2579"/>
      <c r="N139" s="2579"/>
      <c r="O139" s="2579"/>
    </row>
    <row r="140" spans="1:15" s="2463" customFormat="1" ht="23.25">
      <c r="A140" s="2564"/>
      <c r="B140" s="2564"/>
      <c r="C140" s="2563"/>
      <c r="D140" s="2541"/>
      <c r="E140" s="2561"/>
      <c r="F140" s="2540"/>
      <c r="G140" s="2562"/>
      <c r="H140" s="2561"/>
      <c r="I140" s="2579"/>
      <c r="J140" s="2579"/>
      <c r="K140" s="2579"/>
      <c r="L140" s="2579"/>
      <c r="M140" s="2579"/>
      <c r="N140" s="2579"/>
      <c r="O140" s="2579"/>
    </row>
    <row r="141" spans="1:15" s="2463" customFormat="1" ht="12.75">
      <c r="A141" s="4879"/>
      <c r="B141" s="4879"/>
      <c r="C141" s="2559"/>
      <c r="D141" s="2560"/>
      <c r="E141" s="4880"/>
      <c r="F141" s="4880"/>
      <c r="G141" s="4880"/>
      <c r="H141" s="2557"/>
      <c r="I141" s="2579"/>
      <c r="J141" s="2579"/>
      <c r="K141" s="2579"/>
      <c r="L141" s="2579"/>
      <c r="M141" s="2579"/>
      <c r="N141" s="2579"/>
      <c r="O141" s="2579"/>
    </row>
    <row r="142" spans="1:15" s="2463" customFormat="1" ht="12.75">
      <c r="A142" s="4879"/>
      <c r="B142" s="4879"/>
      <c r="C142" s="2559"/>
      <c r="D142" s="2558"/>
      <c r="E142" s="2558"/>
      <c r="F142" s="2558"/>
      <c r="G142" s="2558"/>
      <c r="H142" s="2558"/>
      <c r="I142" s="2579"/>
      <c r="J142" s="2579"/>
      <c r="K142" s="2579"/>
      <c r="L142" s="2579"/>
      <c r="M142" s="2579"/>
      <c r="N142" s="2579"/>
      <c r="O142" s="2579"/>
    </row>
    <row r="143" spans="1:15" s="2463" customFormat="1" ht="12.75">
      <c r="A143" s="4879"/>
      <c r="B143" s="4879"/>
      <c r="C143" s="2557"/>
      <c r="D143" s="2555"/>
      <c r="E143" s="2555"/>
      <c r="F143" s="2555"/>
      <c r="G143" s="2556"/>
      <c r="H143" s="2555"/>
      <c r="I143" s="2579"/>
      <c r="J143" s="2579"/>
      <c r="K143" s="2579"/>
      <c r="L143" s="2579"/>
      <c r="M143" s="2579"/>
      <c r="N143" s="2579"/>
      <c r="O143" s="2579"/>
    </row>
    <row r="144" spans="1:15" s="2463" customFormat="1" ht="12.75">
      <c r="A144" s="2554"/>
      <c r="B144" s="2553"/>
      <c r="C144" s="2552"/>
      <c r="D144" s="2551"/>
      <c r="E144" s="2551"/>
      <c r="F144" s="2551"/>
      <c r="G144" s="2551"/>
      <c r="H144" s="2551"/>
      <c r="I144" s="2579"/>
      <c r="J144" s="2579"/>
      <c r="K144" s="2579"/>
      <c r="L144" s="2579"/>
      <c r="M144" s="2579"/>
      <c r="N144" s="2579"/>
      <c r="O144" s="2579"/>
    </row>
    <row r="145" spans="1:15" s="2463" customFormat="1" ht="12.75">
      <c r="A145" s="2549"/>
      <c r="B145" s="2549"/>
      <c r="C145" s="2545"/>
      <c r="D145" s="2548"/>
      <c r="E145" s="2548"/>
      <c r="F145" s="2540"/>
      <c r="G145" s="2548"/>
      <c r="H145" s="2548"/>
      <c r="I145" s="2579"/>
      <c r="J145" s="2579"/>
      <c r="K145" s="2579"/>
      <c r="L145" s="2579"/>
      <c r="M145" s="2579"/>
      <c r="N145" s="2579"/>
      <c r="O145" s="2579"/>
    </row>
    <row r="146" spans="1:15" s="2463" customFormat="1" ht="12.75">
      <c r="A146" s="2549"/>
      <c r="B146" s="2549"/>
      <c r="C146" s="2545"/>
      <c r="D146" s="2548"/>
      <c r="E146" s="2548"/>
      <c r="F146" s="2540"/>
      <c r="G146" s="2548"/>
      <c r="H146" s="2548"/>
      <c r="I146" s="2579"/>
      <c r="J146" s="2579"/>
      <c r="K146" s="2579"/>
      <c r="L146" s="2579"/>
      <c r="M146" s="2579"/>
      <c r="N146" s="2579"/>
      <c r="O146" s="2579"/>
    </row>
    <row r="147" spans="1:15" s="2463" customFormat="1" ht="12.75">
      <c r="A147" s="2546"/>
      <c r="B147" s="1269"/>
      <c r="C147" s="2545"/>
      <c r="D147" s="2541"/>
      <c r="E147" s="2544"/>
      <c r="F147" s="2540"/>
      <c r="G147" s="2544"/>
      <c r="H147" s="2544"/>
      <c r="I147" s="2579"/>
      <c r="J147" s="2579"/>
      <c r="K147" s="2579"/>
      <c r="L147" s="2579"/>
      <c r="M147" s="2579"/>
      <c r="N147" s="2579"/>
      <c r="O147" s="2579"/>
    </row>
    <row r="148" spans="1:15" s="2463" customFormat="1" ht="12.75">
      <c r="A148" s="2549"/>
      <c r="B148" s="2549"/>
      <c r="C148" s="2545"/>
      <c r="D148" s="2541"/>
      <c r="E148" s="2544"/>
      <c r="F148" s="2540"/>
      <c r="G148" s="2544"/>
      <c r="H148" s="2544"/>
      <c r="I148" s="2579"/>
      <c r="J148" s="2579"/>
      <c r="K148" s="2579"/>
      <c r="L148" s="2579"/>
      <c r="M148" s="2579"/>
      <c r="N148" s="2579"/>
      <c r="O148" s="2579"/>
    </row>
    <row r="149" spans="1:15" s="2463" customFormat="1" ht="12.75">
      <c r="A149" s="2546"/>
      <c r="B149" s="1269"/>
      <c r="C149" s="2542"/>
      <c r="D149" s="2541"/>
      <c r="E149" s="2544"/>
      <c r="F149" s="2540"/>
      <c r="G149" s="2544"/>
      <c r="H149" s="2544"/>
      <c r="I149" s="2579"/>
      <c r="J149" s="2579"/>
      <c r="K149" s="2579"/>
      <c r="L149" s="2579"/>
      <c r="M149" s="2579"/>
      <c r="N149" s="2579"/>
      <c r="O149" s="2579"/>
    </row>
    <row r="150" spans="1:15" s="2463" customFormat="1" ht="12.75">
      <c r="A150" s="2549"/>
      <c r="B150" s="2549"/>
      <c r="C150" s="2542"/>
      <c r="D150" s="2541"/>
      <c r="E150" s="2544"/>
      <c r="F150" s="2540"/>
      <c r="G150" s="2544"/>
      <c r="H150" s="2544"/>
      <c r="I150" s="2579"/>
      <c r="J150" s="2579"/>
      <c r="K150" s="2579"/>
      <c r="L150" s="2579"/>
      <c r="M150" s="2579"/>
      <c r="N150" s="2579"/>
      <c r="O150" s="2579"/>
    </row>
    <row r="151" spans="1:15" s="2532" customFormat="1" ht="12.75">
      <c r="A151" s="2547"/>
      <c r="B151" s="2546"/>
      <c r="C151" s="2545"/>
      <c r="D151" s="2541"/>
      <c r="E151" s="2544"/>
      <c r="F151" s="2540"/>
      <c r="G151" s="2544"/>
      <c r="H151" s="2544"/>
    </row>
    <row r="152" spans="1:15" s="2532" customFormat="1" ht="12.75">
      <c r="A152" s="2543"/>
      <c r="B152" s="2543"/>
      <c r="C152" s="2542"/>
      <c r="D152" s="2541"/>
      <c r="E152" s="2539"/>
      <c r="F152" s="2540"/>
      <c r="G152" s="2539"/>
      <c r="H152" s="2539"/>
    </row>
    <row r="153" spans="1:15" s="2532" customFormat="1" ht="12.75">
      <c r="A153" s="2538"/>
      <c r="B153" s="2538"/>
      <c r="C153" s="2537"/>
      <c r="D153" s="2536"/>
      <c r="E153" s="2536"/>
      <c r="F153" s="2536"/>
      <c r="G153" s="2536"/>
      <c r="H153" s="2536"/>
    </row>
    <row r="154" spans="1:15" s="2532" customFormat="1" ht="12.75">
      <c r="A154" s="2538"/>
      <c r="B154" s="2538"/>
      <c r="C154" s="2537"/>
      <c r="D154" s="2536"/>
      <c r="E154" s="2536"/>
      <c r="F154" s="2536"/>
      <c r="G154" s="2536"/>
      <c r="H154" s="2536"/>
    </row>
    <row r="155" spans="1:15" s="2532" customFormat="1">
      <c r="A155" s="1269"/>
      <c r="B155" s="2529"/>
      <c r="C155" s="2535"/>
      <c r="D155" s="2529"/>
      <c r="E155" s="4877"/>
      <c r="F155" s="4877"/>
      <c r="G155" s="1269"/>
      <c r="H155" s="2529"/>
    </row>
    <row r="156" spans="1:15" s="2532" customFormat="1">
      <c r="A156" s="2529"/>
      <c r="B156" s="1269"/>
      <c r="C156" s="2535"/>
      <c r="D156" s="1269"/>
      <c r="E156" s="1269"/>
      <c r="F156" s="1269"/>
      <c r="G156" s="1269"/>
      <c r="H156" s="2529"/>
    </row>
    <row r="157" spans="1:15" s="2532" customFormat="1" ht="12.75">
      <c r="A157" s="2534"/>
      <c r="B157" s="1269"/>
      <c r="C157" s="4881"/>
      <c r="D157" s="4881"/>
      <c r="E157" s="4876"/>
      <c r="F157" s="4876"/>
      <c r="G157" s="4876"/>
      <c r="H157" s="4876"/>
    </row>
    <row r="158" spans="1:15" s="2532" customFormat="1" ht="12.75">
      <c r="A158" s="2531"/>
      <c r="B158" s="2533"/>
      <c r="C158" s="4874"/>
      <c r="D158" s="4874"/>
      <c r="E158" s="4875"/>
      <c r="F158" s="4875"/>
      <c r="G158" s="4875"/>
      <c r="H158" s="4875"/>
    </row>
    <row r="159" spans="1:15" s="2463" customFormat="1" ht="12.75">
      <c r="A159" s="2531"/>
      <c r="B159" s="2533"/>
      <c r="C159" s="2531"/>
      <c r="D159" s="2566"/>
      <c r="E159" s="2566"/>
      <c r="F159" s="2566"/>
      <c r="G159" s="2566"/>
      <c r="H159" s="2566"/>
      <c r="I159" s="2579"/>
      <c r="J159" s="2579"/>
      <c r="K159" s="2579"/>
      <c r="L159" s="2579"/>
      <c r="M159" s="2579"/>
      <c r="N159" s="2579"/>
      <c r="O159" s="2579"/>
    </row>
    <row r="160" spans="1:15" s="2463" customFormat="1" ht="12.75">
      <c r="A160" s="2531"/>
      <c r="B160" s="2533"/>
      <c r="C160" s="2531"/>
      <c r="D160" s="2566"/>
      <c r="E160" s="2566"/>
      <c r="F160" s="2566"/>
      <c r="G160" s="2566"/>
      <c r="H160" s="2566"/>
      <c r="I160" s="2579"/>
      <c r="J160" s="2579"/>
      <c r="K160" s="2579"/>
      <c r="L160" s="2579"/>
      <c r="M160" s="2579"/>
      <c r="N160" s="2579"/>
      <c r="O160" s="2579"/>
    </row>
    <row r="161" spans="1:15" s="2463" customFormat="1" ht="12.75">
      <c r="A161" s="2531"/>
      <c r="B161" s="2533"/>
      <c r="C161" s="2531"/>
      <c r="D161" s="2566"/>
      <c r="E161" s="2566"/>
      <c r="F161" s="2566"/>
      <c r="G161" s="2566"/>
      <c r="H161" s="2566"/>
      <c r="I161" s="2579"/>
      <c r="J161" s="2579"/>
      <c r="K161" s="2579"/>
      <c r="L161" s="2579"/>
      <c r="M161" s="2579"/>
      <c r="N161" s="2579"/>
      <c r="O161" s="2579"/>
    </row>
    <row r="162" spans="1:15" s="2463" customFormat="1" ht="12.75">
      <c r="A162" s="2531"/>
      <c r="B162" s="2533"/>
      <c r="C162" s="2531"/>
      <c r="D162" s="2566"/>
      <c r="E162" s="2566"/>
      <c r="F162" s="2566"/>
      <c r="G162" s="2566"/>
      <c r="H162" s="2566"/>
      <c r="I162" s="2579"/>
      <c r="J162" s="2579"/>
      <c r="K162" s="2579"/>
      <c r="L162" s="2579"/>
      <c r="M162" s="2579"/>
      <c r="N162" s="2579"/>
      <c r="O162" s="2579"/>
    </row>
    <row r="163" spans="1:15" s="2463" customFormat="1" ht="12.75">
      <c r="A163" s="2531"/>
      <c r="B163" s="2533"/>
      <c r="C163" s="2531"/>
      <c r="D163" s="2566"/>
      <c r="E163" s="2566"/>
      <c r="F163" s="2566"/>
      <c r="G163" s="2566"/>
      <c r="H163" s="2566"/>
      <c r="I163" s="2579"/>
      <c r="J163" s="2579"/>
      <c r="K163" s="2579"/>
      <c r="L163" s="2579"/>
      <c r="M163" s="2579"/>
      <c r="N163" s="2579"/>
      <c r="O163" s="2579"/>
    </row>
    <row r="164" spans="1:15" s="2463" customFormat="1" ht="12.75">
      <c r="A164" s="2531"/>
      <c r="B164" s="2533"/>
      <c r="C164" s="2531"/>
      <c r="D164" s="2566"/>
      <c r="E164" s="2566"/>
      <c r="F164" s="2566"/>
      <c r="G164" s="2566"/>
      <c r="H164" s="2566"/>
      <c r="I164" s="2579"/>
      <c r="J164" s="2579"/>
      <c r="K164" s="2579"/>
      <c r="L164" s="2579"/>
      <c r="M164" s="2579"/>
      <c r="N164" s="2579"/>
      <c r="O164" s="2579"/>
    </row>
    <row r="165" spans="1:15" s="2463" customFormat="1" ht="12.75">
      <c r="A165" s="2531"/>
      <c r="B165" s="2533"/>
      <c r="C165" s="2531"/>
      <c r="D165" s="2566"/>
      <c r="E165" s="2566"/>
      <c r="F165" s="2566"/>
      <c r="G165" s="2566"/>
      <c r="H165" s="2566"/>
      <c r="I165" s="2579"/>
      <c r="J165" s="2579"/>
      <c r="K165" s="2579"/>
      <c r="L165" s="2579"/>
      <c r="M165" s="2579"/>
      <c r="N165" s="2579"/>
      <c r="O165" s="2579"/>
    </row>
    <row r="166" spans="1:15" s="2463" customFormat="1" ht="12.75">
      <c r="A166" s="2531"/>
      <c r="B166" s="2533"/>
      <c r="C166" s="2531"/>
      <c r="D166" s="2566"/>
      <c r="E166" s="2566"/>
      <c r="F166" s="2566"/>
      <c r="G166" s="2566"/>
      <c r="H166" s="2566"/>
      <c r="I166" s="2579"/>
      <c r="J166" s="2579"/>
      <c r="K166" s="2579"/>
      <c r="L166" s="2579"/>
      <c r="M166" s="2579"/>
      <c r="N166" s="2579"/>
      <c r="O166" s="2579"/>
    </row>
    <row r="167" spans="1:15" s="2463" customFormat="1" ht="12.75">
      <c r="A167" s="2531"/>
      <c r="B167" s="2533"/>
      <c r="C167" s="2531"/>
      <c r="D167" s="2566"/>
      <c r="E167" s="2566"/>
      <c r="F167" s="2566"/>
      <c r="G167" s="2566"/>
      <c r="H167" s="2566"/>
      <c r="I167" s="2579"/>
      <c r="J167" s="2579"/>
      <c r="K167" s="2579"/>
      <c r="L167" s="2579"/>
      <c r="M167" s="2579"/>
      <c r="N167" s="2579"/>
      <c r="O167" s="2579"/>
    </row>
    <row r="168" spans="1:15" s="2463" customFormat="1" ht="12.75">
      <c r="A168" s="2531"/>
      <c r="B168" s="2533"/>
      <c r="C168" s="2531"/>
      <c r="D168" s="2566"/>
      <c r="E168" s="2566"/>
      <c r="F168" s="2566"/>
      <c r="G168" s="2566"/>
      <c r="H168" s="2566"/>
      <c r="I168" s="2579"/>
      <c r="J168" s="2579"/>
      <c r="K168" s="2579"/>
      <c r="L168" s="2579"/>
      <c r="M168" s="2579"/>
      <c r="N168" s="2579"/>
      <c r="O168" s="2579"/>
    </row>
    <row r="169" spans="1:15" s="2463" customFormat="1" ht="12.75">
      <c r="A169" s="2531"/>
      <c r="B169" s="2533"/>
      <c r="C169" s="2531"/>
      <c r="D169" s="2566"/>
      <c r="E169" s="2566"/>
      <c r="F169" s="2566"/>
      <c r="G169" s="2566"/>
      <c r="H169" s="2566"/>
      <c r="I169" s="2579"/>
      <c r="J169" s="2579"/>
      <c r="K169" s="2579"/>
      <c r="L169" s="2579"/>
      <c r="M169" s="2579"/>
      <c r="N169" s="2579"/>
      <c r="O169" s="2579"/>
    </row>
    <row r="170" spans="1:15" s="2463" customFormat="1" ht="12.75">
      <c r="A170" s="2531"/>
      <c r="B170" s="2533"/>
      <c r="C170" s="2531"/>
      <c r="D170" s="2566"/>
      <c r="E170" s="2566"/>
      <c r="F170" s="2566"/>
      <c r="G170" s="2566"/>
      <c r="H170" s="2566"/>
      <c r="I170" s="2579"/>
      <c r="J170" s="2579"/>
      <c r="K170" s="2579"/>
      <c r="L170" s="2579"/>
      <c r="M170" s="2579"/>
      <c r="N170" s="2579"/>
      <c r="O170" s="2579"/>
    </row>
    <row r="171" spans="1:15" s="2463" customFormat="1" ht="12.75">
      <c r="A171" s="2531"/>
      <c r="B171" s="2533"/>
      <c r="C171" s="2531"/>
      <c r="D171" s="2566"/>
      <c r="E171" s="2566"/>
      <c r="F171" s="2566"/>
      <c r="G171" s="2566"/>
      <c r="H171" s="2566"/>
      <c r="I171" s="2579"/>
      <c r="J171" s="2579"/>
      <c r="K171" s="2579"/>
      <c r="L171" s="2579"/>
      <c r="M171" s="2579"/>
      <c r="N171" s="2579"/>
      <c r="O171" s="2579"/>
    </row>
    <row r="172" spans="1:15" s="2463" customFormat="1" ht="12.75">
      <c r="A172" s="2531"/>
      <c r="B172" s="2533"/>
      <c r="C172" s="2531"/>
      <c r="D172" s="2566"/>
      <c r="E172" s="2566"/>
      <c r="F172" s="2566"/>
      <c r="G172" s="2566"/>
      <c r="H172" s="2566"/>
      <c r="I172" s="2579"/>
      <c r="J172" s="2579"/>
      <c r="K172" s="2579"/>
      <c r="L172" s="2579"/>
      <c r="M172" s="2579"/>
      <c r="N172" s="2579"/>
      <c r="O172" s="2579"/>
    </row>
    <row r="173" spans="1:15" s="2463" customFormat="1" ht="12.75">
      <c r="A173" s="2531"/>
      <c r="B173" s="2533"/>
      <c r="C173" s="2531"/>
      <c r="D173" s="2566"/>
      <c r="E173" s="2566"/>
      <c r="F173" s="2566"/>
      <c r="G173" s="2566"/>
      <c r="H173" s="2566"/>
      <c r="I173" s="2579"/>
      <c r="J173" s="2579"/>
      <c r="K173" s="2579"/>
      <c r="L173" s="2579"/>
      <c r="M173" s="2579"/>
      <c r="N173" s="2579"/>
      <c r="O173" s="2579"/>
    </row>
    <row r="174" spans="1:15" s="2463" customFormat="1" ht="12.75">
      <c r="A174" s="2531"/>
      <c r="B174" s="2533"/>
      <c r="C174" s="2531"/>
      <c r="D174" s="2566"/>
      <c r="E174" s="2566"/>
      <c r="F174" s="2566"/>
      <c r="G174" s="2566"/>
      <c r="H174" s="2566"/>
      <c r="I174" s="2579"/>
      <c r="J174" s="2579"/>
      <c r="K174" s="2579"/>
      <c r="L174" s="2579"/>
      <c r="M174" s="2579"/>
      <c r="N174" s="2579"/>
      <c r="O174" s="2579"/>
    </row>
    <row r="175" spans="1:15" s="2463" customFormat="1" ht="12.75">
      <c r="A175" s="2531"/>
      <c r="B175" s="2533"/>
      <c r="C175" s="2531"/>
      <c r="D175" s="2566"/>
      <c r="E175" s="2566"/>
      <c r="F175" s="2566"/>
      <c r="G175" s="2566"/>
      <c r="H175" s="2566"/>
      <c r="I175" s="2579"/>
      <c r="J175" s="2579"/>
      <c r="K175" s="2579"/>
      <c r="L175" s="2579"/>
      <c r="M175" s="2579"/>
      <c r="N175" s="2579"/>
      <c r="O175" s="2579"/>
    </row>
    <row r="176" spans="1:15" s="2463" customFormat="1" ht="12.75">
      <c r="A176" s="4876"/>
      <c r="B176" s="4876"/>
      <c r="C176" s="4876"/>
      <c r="D176" s="4876"/>
      <c r="E176" s="4876"/>
      <c r="F176" s="4876"/>
      <c r="G176" s="4876"/>
      <c r="H176" s="4876"/>
      <c r="I176" s="2579"/>
      <c r="J176" s="2579"/>
      <c r="K176" s="2579"/>
      <c r="L176" s="2579"/>
      <c r="M176" s="2579"/>
      <c r="N176" s="2579"/>
      <c r="O176" s="2579"/>
    </row>
    <row r="177" spans="1:15" s="2463" customFormat="1" ht="12.75">
      <c r="A177" s="4877"/>
      <c r="B177" s="4877"/>
      <c r="C177" s="4877"/>
      <c r="D177" s="4877"/>
      <c r="E177" s="4877"/>
      <c r="F177" s="4877"/>
      <c r="G177" s="4877"/>
      <c r="H177" s="4877"/>
      <c r="I177" s="2579"/>
      <c r="J177" s="2579"/>
      <c r="K177" s="2579"/>
      <c r="L177" s="2579"/>
      <c r="M177" s="2579"/>
      <c r="N177" s="2579"/>
      <c r="O177" s="2579"/>
    </row>
    <row r="178" spans="1:15" s="2463" customFormat="1">
      <c r="A178" s="2529"/>
      <c r="B178" s="2529"/>
      <c r="C178" s="2529"/>
      <c r="D178" s="2529"/>
      <c r="E178" s="2529"/>
      <c r="F178" s="2529"/>
      <c r="G178" s="2529"/>
      <c r="H178" s="2529"/>
      <c r="I178" s="2579"/>
      <c r="J178" s="2579"/>
      <c r="K178" s="2579"/>
      <c r="L178" s="2579"/>
      <c r="M178" s="2579"/>
      <c r="N178" s="2579"/>
      <c r="O178" s="2579"/>
    </row>
    <row r="179" spans="1:15" s="2463" customFormat="1">
      <c r="A179" s="2529"/>
      <c r="B179" s="2529"/>
      <c r="C179" s="2529"/>
      <c r="D179" s="2529"/>
      <c r="E179" s="2529"/>
      <c r="F179" s="2529"/>
      <c r="G179" s="2529"/>
      <c r="H179" s="2529"/>
      <c r="I179" s="2579"/>
      <c r="J179" s="2579"/>
      <c r="K179" s="2579"/>
      <c r="L179" s="2579"/>
      <c r="M179" s="2579"/>
      <c r="N179" s="2579"/>
      <c r="O179" s="2579"/>
    </row>
    <row r="180" spans="1:15" s="2463" customFormat="1">
      <c r="A180" s="2568"/>
      <c r="B180" s="2567"/>
      <c r="C180" s="2529"/>
      <c r="D180" s="2566"/>
      <c r="E180" s="2566"/>
      <c r="F180" s="2566"/>
      <c r="G180" s="2566"/>
      <c r="H180" s="2566"/>
      <c r="I180" s="2579"/>
      <c r="J180" s="2579"/>
      <c r="K180" s="2579"/>
      <c r="L180" s="2579"/>
      <c r="M180" s="2579"/>
      <c r="N180" s="2579"/>
      <c r="O180" s="2579"/>
    </row>
    <row r="181" spans="1:15" s="2463" customFormat="1" ht="12.75">
      <c r="A181" s="1269"/>
      <c r="B181" s="1269"/>
      <c r="C181" s="2542"/>
      <c r="D181" s="2541"/>
      <c r="E181" s="2561"/>
      <c r="F181" s="2540"/>
      <c r="G181" s="2565"/>
      <c r="H181" s="2561"/>
      <c r="I181" s="2579"/>
      <c r="J181" s="2579"/>
      <c r="K181" s="2579"/>
      <c r="L181" s="2579"/>
      <c r="M181" s="2579"/>
      <c r="N181" s="2579"/>
      <c r="O181" s="2579"/>
    </row>
    <row r="182" spans="1:15" s="2463" customFormat="1" ht="23.25">
      <c r="A182" s="2564"/>
      <c r="B182" s="2564"/>
      <c r="C182" s="2563"/>
      <c r="D182" s="2541"/>
      <c r="E182" s="2561"/>
      <c r="F182" s="2540"/>
      <c r="G182" s="2562"/>
      <c r="H182" s="2561"/>
      <c r="I182" s="2579"/>
      <c r="J182" s="2579"/>
      <c r="K182" s="2579"/>
      <c r="L182" s="2579"/>
      <c r="M182" s="2579"/>
      <c r="N182" s="2579"/>
      <c r="O182" s="2579"/>
    </row>
    <row r="183" spans="1:15" s="2463" customFormat="1" ht="12.75">
      <c r="A183" s="4879"/>
      <c r="B183" s="4879"/>
      <c r="C183" s="2559"/>
      <c r="D183" s="2560"/>
      <c r="E183" s="4880"/>
      <c r="F183" s="4880"/>
      <c r="G183" s="4880"/>
      <c r="H183" s="2557"/>
      <c r="I183" s="2579"/>
      <c r="J183" s="2579"/>
      <c r="K183" s="2579"/>
      <c r="L183" s="2579"/>
      <c r="M183" s="2579"/>
      <c r="N183" s="2579"/>
      <c r="O183" s="2579"/>
    </row>
    <row r="184" spans="1:15" s="2463" customFormat="1" ht="12.75">
      <c r="A184" s="4879"/>
      <c r="B184" s="4879"/>
      <c r="C184" s="2559"/>
      <c r="D184" s="2558"/>
      <c r="E184" s="2558"/>
      <c r="F184" s="2558"/>
      <c r="G184" s="2558"/>
      <c r="H184" s="2558"/>
      <c r="I184" s="2579"/>
      <c r="J184" s="2579"/>
      <c r="K184" s="2579"/>
      <c r="L184" s="2579"/>
      <c r="M184" s="2579"/>
      <c r="N184" s="2579"/>
      <c r="O184" s="2579"/>
    </row>
    <row r="185" spans="1:15" s="2463" customFormat="1" ht="12.75">
      <c r="A185" s="4879"/>
      <c r="B185" s="4879"/>
      <c r="C185" s="2557"/>
      <c r="D185" s="2555"/>
      <c r="E185" s="2555"/>
      <c r="F185" s="2555"/>
      <c r="G185" s="2556"/>
      <c r="H185" s="2555"/>
      <c r="I185" s="2579"/>
      <c r="J185" s="2579"/>
      <c r="K185" s="2579"/>
      <c r="L185" s="2579"/>
      <c r="M185" s="2579"/>
      <c r="N185" s="2579"/>
      <c r="O185" s="2579"/>
    </row>
    <row r="186" spans="1:15" s="2463" customFormat="1" ht="12.75">
      <c r="A186" s="2554"/>
      <c r="B186" s="2553"/>
      <c r="C186" s="2552"/>
      <c r="D186" s="2551"/>
      <c r="E186" s="2551"/>
      <c r="F186" s="2551"/>
      <c r="G186" s="2551"/>
      <c r="H186" s="2551"/>
      <c r="I186" s="2579"/>
      <c r="J186" s="2579"/>
      <c r="K186" s="2579"/>
      <c r="L186" s="2579"/>
      <c r="M186" s="2579"/>
      <c r="N186" s="2579"/>
      <c r="O186" s="2579"/>
    </row>
    <row r="187" spans="1:15" s="2463" customFormat="1" ht="12.75">
      <c r="A187" s="2549"/>
      <c r="B187" s="2549"/>
      <c r="C187" s="2545"/>
      <c r="D187" s="2548"/>
      <c r="E187" s="2548"/>
      <c r="F187" s="2540"/>
      <c r="G187" s="2548"/>
      <c r="H187" s="2548"/>
      <c r="I187" s="2579"/>
      <c r="J187" s="2579"/>
      <c r="K187" s="2579"/>
      <c r="L187" s="2579"/>
      <c r="M187" s="2579"/>
      <c r="N187" s="2579"/>
      <c r="O187" s="2579"/>
    </row>
    <row r="188" spans="1:15" s="2463" customFormat="1" ht="12.75">
      <c r="A188" s="2549"/>
      <c r="B188" s="2549"/>
      <c r="C188" s="2545"/>
      <c r="D188" s="2548"/>
      <c r="E188" s="2548"/>
      <c r="F188" s="2540"/>
      <c r="G188" s="2548"/>
      <c r="H188" s="2548"/>
      <c r="I188" s="2579"/>
      <c r="J188" s="2579"/>
      <c r="K188" s="2579"/>
      <c r="L188" s="2579"/>
      <c r="M188" s="2579"/>
      <c r="N188" s="2579"/>
      <c r="O188" s="2579"/>
    </row>
    <row r="189" spans="1:15" s="2463" customFormat="1" ht="12.75">
      <c r="A189" s="2546"/>
      <c r="B189" s="1269"/>
      <c r="C189" s="2545"/>
      <c r="D189" s="2541"/>
      <c r="E189" s="2544"/>
      <c r="F189" s="2540"/>
      <c r="G189" s="2544"/>
      <c r="H189" s="2544"/>
      <c r="I189" s="2579"/>
      <c r="J189" s="2579"/>
      <c r="K189" s="2579"/>
      <c r="L189" s="2579"/>
      <c r="M189" s="2579"/>
      <c r="N189" s="2579"/>
      <c r="O189" s="2579"/>
    </row>
    <row r="190" spans="1:15" s="2463" customFormat="1" ht="12.75">
      <c r="A190" s="2549"/>
      <c r="B190" s="2549"/>
      <c r="C190" s="2545"/>
      <c r="D190" s="2541"/>
      <c r="E190" s="2544"/>
      <c r="F190" s="2540"/>
      <c r="G190" s="2544"/>
      <c r="H190" s="2544"/>
      <c r="I190" s="2579"/>
      <c r="J190" s="2579"/>
      <c r="K190" s="2579"/>
      <c r="L190" s="2579"/>
      <c r="M190" s="2579"/>
      <c r="N190" s="2579"/>
      <c r="O190" s="2579"/>
    </row>
    <row r="191" spans="1:15" s="2463" customFormat="1" ht="12.75">
      <c r="A191" s="2546"/>
      <c r="B191" s="1269"/>
      <c r="C191" s="2542"/>
      <c r="D191" s="2541"/>
      <c r="E191" s="2544"/>
      <c r="F191" s="2540"/>
      <c r="G191" s="2544"/>
      <c r="H191" s="2544"/>
      <c r="I191" s="2579"/>
      <c r="J191" s="2579"/>
      <c r="K191" s="2579"/>
      <c r="L191" s="2579"/>
      <c r="M191" s="2579"/>
      <c r="N191" s="2579"/>
      <c r="O191" s="2579"/>
    </row>
    <row r="192" spans="1:15" s="2463" customFormat="1" ht="12.75">
      <c r="A192" s="2549"/>
      <c r="B192" s="2549"/>
      <c r="C192" s="2542"/>
      <c r="D192" s="2541"/>
      <c r="E192" s="2544"/>
      <c r="F192" s="2540"/>
      <c r="G192" s="2544"/>
      <c r="H192" s="2544"/>
      <c r="I192" s="2579"/>
      <c r="J192" s="2579"/>
      <c r="K192" s="2579"/>
      <c r="L192" s="2579"/>
      <c r="M192" s="2579"/>
      <c r="N192" s="2579"/>
      <c r="O192" s="2579"/>
    </row>
    <row r="193" spans="1:15" s="2463" customFormat="1" ht="12.75">
      <c r="A193" s="2547"/>
      <c r="B193" s="2546"/>
      <c r="C193" s="2545"/>
      <c r="D193" s="2541"/>
      <c r="E193" s="2544"/>
      <c r="F193" s="2540"/>
      <c r="G193" s="2544"/>
      <c r="H193" s="2544"/>
      <c r="I193" s="2579"/>
      <c r="J193" s="2579"/>
      <c r="K193" s="2579"/>
      <c r="L193" s="2579"/>
      <c r="M193" s="2579"/>
      <c r="N193" s="2579"/>
      <c r="O193" s="2579"/>
    </row>
    <row r="194" spans="1:15" s="2463" customFormat="1" ht="12.75">
      <c r="A194" s="2543"/>
      <c r="B194" s="2543"/>
      <c r="C194" s="2542"/>
      <c r="D194" s="2541"/>
      <c r="E194" s="2539"/>
      <c r="F194" s="2540"/>
      <c r="G194" s="2539"/>
      <c r="H194" s="2539"/>
      <c r="I194" s="2579"/>
      <c r="J194" s="2579"/>
      <c r="K194" s="2579"/>
      <c r="L194" s="2579"/>
      <c r="M194" s="2579"/>
      <c r="N194" s="2579"/>
      <c r="O194" s="2579"/>
    </row>
    <row r="195" spans="1:15" s="2463" customFormat="1" ht="12.75">
      <c r="A195" s="2538"/>
      <c r="B195" s="2538"/>
      <c r="C195" s="2537"/>
      <c r="D195" s="2536"/>
      <c r="E195" s="2536"/>
      <c r="F195" s="2536"/>
      <c r="G195" s="2536"/>
      <c r="H195" s="2536"/>
      <c r="I195" s="2579"/>
      <c r="J195" s="2579"/>
      <c r="K195" s="2579"/>
      <c r="L195" s="2579"/>
      <c r="M195" s="2579"/>
      <c r="N195" s="2579"/>
      <c r="O195" s="2579"/>
    </row>
    <row r="196" spans="1:15" s="2463" customFormat="1" ht="12.75">
      <c r="A196" s="2538"/>
      <c r="B196" s="2538"/>
      <c r="C196" s="2537"/>
      <c r="D196" s="2536"/>
      <c r="E196" s="2536"/>
      <c r="F196" s="2536"/>
      <c r="G196" s="2536"/>
      <c r="H196" s="2536"/>
      <c r="I196" s="2579"/>
      <c r="J196" s="2579"/>
      <c r="K196" s="2579"/>
      <c r="L196" s="2579"/>
      <c r="M196" s="2579"/>
      <c r="N196" s="2579"/>
      <c r="O196" s="2579"/>
    </row>
    <row r="197" spans="1:15" s="2463" customFormat="1">
      <c r="A197" s="1269"/>
      <c r="B197" s="2529"/>
      <c r="C197" s="2535"/>
      <c r="D197" s="2529"/>
      <c r="E197" s="4877"/>
      <c r="F197" s="4877"/>
      <c r="G197" s="1269"/>
      <c r="H197" s="2529"/>
      <c r="I197" s="2579"/>
      <c r="J197" s="2579"/>
      <c r="K197" s="2579"/>
      <c r="L197" s="2579"/>
      <c r="M197" s="2579"/>
      <c r="N197" s="2579"/>
      <c r="O197" s="2579"/>
    </row>
    <row r="198" spans="1:15" s="2463" customFormat="1">
      <c r="A198" s="2529"/>
      <c r="B198" s="1269"/>
      <c r="C198" s="2535"/>
      <c r="D198" s="1269"/>
      <c r="E198" s="1269"/>
      <c r="F198" s="1269"/>
      <c r="G198" s="1269"/>
      <c r="H198" s="2529"/>
      <c r="I198" s="2579"/>
      <c r="J198" s="2579"/>
      <c r="K198" s="2579"/>
      <c r="L198" s="2579"/>
      <c r="M198" s="2579"/>
      <c r="N198" s="2579"/>
      <c r="O198" s="2579"/>
    </row>
    <row r="199" spans="1:15" s="2463" customFormat="1" ht="12.75">
      <c r="A199" s="2534"/>
      <c r="B199" s="1269"/>
      <c r="C199" s="4881"/>
      <c r="D199" s="4881"/>
      <c r="E199" s="4876"/>
      <c r="F199" s="4876"/>
      <c r="G199" s="4876"/>
      <c r="H199" s="4876"/>
      <c r="I199" s="2579"/>
      <c r="J199" s="2579"/>
      <c r="K199" s="2579"/>
      <c r="L199" s="2579"/>
      <c r="M199" s="2579"/>
      <c r="N199" s="2579"/>
      <c r="O199" s="2579"/>
    </row>
    <row r="200" spans="1:15">
      <c r="A200" s="2531"/>
      <c r="B200" s="2533"/>
      <c r="C200" s="4874"/>
      <c r="D200" s="4874"/>
      <c r="E200" s="4875"/>
      <c r="F200" s="4875"/>
      <c r="G200" s="4875"/>
      <c r="H200" s="4875"/>
    </row>
    <row r="201" spans="1:15">
      <c r="A201" s="2531"/>
      <c r="B201" s="2533"/>
      <c r="C201" s="2531"/>
      <c r="D201" s="2566"/>
      <c r="E201" s="2566"/>
      <c r="F201" s="2566"/>
      <c r="G201" s="2566"/>
      <c r="H201" s="2566"/>
    </row>
    <row r="202" spans="1:15">
      <c r="A202" s="2531"/>
      <c r="B202" s="2533"/>
      <c r="C202" s="2531"/>
      <c r="D202" s="2566"/>
      <c r="E202" s="2566"/>
      <c r="F202" s="2566"/>
      <c r="G202" s="2566"/>
      <c r="H202" s="2566"/>
    </row>
    <row r="203" spans="1:15" s="2463" customFormat="1" ht="12.75">
      <c r="A203" s="2531"/>
      <c r="B203" s="2533"/>
      <c r="C203" s="2531"/>
      <c r="D203" s="2566"/>
      <c r="E203" s="2566"/>
      <c r="F203" s="2566"/>
      <c r="G203" s="2566"/>
      <c r="H203" s="2566"/>
      <c r="I203" s="2579"/>
      <c r="J203" s="2579"/>
      <c r="K203" s="2579"/>
      <c r="L203" s="2579"/>
      <c r="M203" s="2579"/>
      <c r="N203" s="2579"/>
      <c r="O203" s="2579"/>
    </row>
    <row r="204" spans="1:15" s="2463" customFormat="1" ht="12.75">
      <c r="A204" s="2531"/>
      <c r="B204" s="2533"/>
      <c r="C204" s="2531"/>
      <c r="D204" s="2566"/>
      <c r="E204" s="2566"/>
      <c r="F204" s="2566"/>
      <c r="G204" s="2566"/>
      <c r="H204" s="2566"/>
      <c r="I204" s="2579"/>
      <c r="J204" s="2579"/>
      <c r="K204" s="2579"/>
      <c r="L204" s="2579"/>
      <c r="M204" s="2579"/>
      <c r="N204" s="2579"/>
      <c r="O204" s="2579"/>
    </row>
    <row r="205" spans="1:15" s="2463" customFormat="1" ht="12.75">
      <c r="A205" s="2531"/>
      <c r="B205" s="2533"/>
      <c r="C205" s="2531"/>
      <c r="D205" s="2566"/>
      <c r="E205" s="2566"/>
      <c r="F205" s="2566"/>
      <c r="G205" s="2566"/>
      <c r="H205" s="2566"/>
      <c r="I205" s="2579"/>
      <c r="J205" s="2579"/>
      <c r="K205" s="2579"/>
      <c r="L205" s="2579"/>
      <c r="M205" s="2579"/>
      <c r="N205" s="2579"/>
      <c r="O205" s="2579"/>
    </row>
    <row r="206" spans="1:15" s="2463" customFormat="1" ht="12.75">
      <c r="A206" s="2531"/>
      <c r="B206" s="2533"/>
      <c r="C206" s="2531"/>
      <c r="D206" s="2566"/>
      <c r="E206" s="2566"/>
      <c r="F206" s="2566"/>
      <c r="G206" s="2566"/>
      <c r="H206" s="2566"/>
      <c r="I206" s="2579"/>
      <c r="J206" s="2579"/>
      <c r="K206" s="2579"/>
      <c r="L206" s="2579"/>
      <c r="M206" s="2579"/>
      <c r="N206" s="2579"/>
      <c r="O206" s="2579"/>
    </row>
    <row r="207" spans="1:15" s="2463" customFormat="1" ht="12.75">
      <c r="A207" s="2531"/>
      <c r="B207" s="2533"/>
      <c r="C207" s="2531"/>
      <c r="D207" s="2566"/>
      <c r="E207" s="2566"/>
      <c r="F207" s="2566"/>
      <c r="G207" s="2566"/>
      <c r="H207" s="2566"/>
      <c r="I207" s="2579"/>
      <c r="J207" s="2579"/>
      <c r="K207" s="2579"/>
      <c r="L207" s="2579"/>
      <c r="M207" s="2579"/>
      <c r="N207" s="2579"/>
      <c r="O207" s="2579"/>
    </row>
    <row r="208" spans="1:15" s="2463" customFormat="1" ht="12.75">
      <c r="A208" s="2531"/>
      <c r="B208" s="2533"/>
      <c r="C208" s="2531"/>
      <c r="D208" s="2566"/>
      <c r="E208" s="2566"/>
      <c r="F208" s="2566"/>
      <c r="G208" s="2566"/>
      <c r="H208" s="2566"/>
      <c r="I208" s="2579"/>
      <c r="J208" s="2579"/>
      <c r="K208" s="2579"/>
      <c r="L208" s="2579"/>
      <c r="M208" s="2579"/>
      <c r="N208" s="2579"/>
      <c r="O208" s="2579"/>
    </row>
    <row r="209" spans="1:15" s="2463" customFormat="1" ht="12.75">
      <c r="A209" s="2531"/>
      <c r="B209" s="2533"/>
      <c r="C209" s="2531"/>
      <c r="D209" s="2566"/>
      <c r="E209" s="2566"/>
      <c r="F209" s="2566"/>
      <c r="G209" s="2566"/>
      <c r="H209" s="2566"/>
      <c r="I209" s="2579"/>
      <c r="J209" s="2579"/>
      <c r="K209" s="2579"/>
      <c r="L209" s="2579"/>
      <c r="M209" s="2579"/>
      <c r="N209" s="2579"/>
      <c r="O209" s="2579"/>
    </row>
    <row r="210" spans="1:15" s="2463" customFormat="1" ht="12.75">
      <c r="A210" s="2531"/>
      <c r="B210" s="2533"/>
      <c r="C210" s="2531"/>
      <c r="D210" s="2566"/>
      <c r="E210" s="2566"/>
      <c r="F210" s="2566"/>
      <c r="G210" s="2566"/>
      <c r="H210" s="2566"/>
      <c r="I210" s="2579"/>
      <c r="J210" s="2579"/>
      <c r="K210" s="2579"/>
      <c r="L210" s="2579"/>
      <c r="M210" s="2579"/>
      <c r="N210" s="2579"/>
      <c r="O210" s="2579"/>
    </row>
    <row r="211" spans="1:15" s="2463" customFormat="1" ht="12.75">
      <c r="A211" s="2531"/>
      <c r="B211" s="2533"/>
      <c r="C211" s="2531"/>
      <c r="D211" s="2566"/>
      <c r="E211" s="2566"/>
      <c r="F211" s="2566"/>
      <c r="G211" s="2566"/>
      <c r="H211" s="2566"/>
      <c r="I211" s="2579"/>
      <c r="J211" s="2579"/>
      <c r="K211" s="2579"/>
      <c r="L211" s="2579"/>
      <c r="M211" s="2579"/>
      <c r="N211" s="2579"/>
      <c r="O211" s="2579"/>
    </row>
    <row r="212" spans="1:15" s="2463" customFormat="1" ht="12.75">
      <c r="A212" s="2531"/>
      <c r="B212" s="2533"/>
      <c r="C212" s="2531"/>
      <c r="D212" s="2566"/>
      <c r="E212" s="2566"/>
      <c r="F212" s="2566"/>
      <c r="G212" s="2566"/>
      <c r="H212" s="2566"/>
      <c r="I212" s="2579"/>
      <c r="J212" s="2579"/>
      <c r="K212" s="2579"/>
      <c r="L212" s="2579"/>
      <c r="M212" s="2579"/>
      <c r="N212" s="2579"/>
      <c r="O212" s="2579"/>
    </row>
    <row r="213" spans="1:15" s="2463" customFormat="1" ht="12.75">
      <c r="A213" s="2531"/>
      <c r="B213" s="2533"/>
      <c r="C213" s="2531"/>
      <c r="D213" s="2566"/>
      <c r="E213" s="2566"/>
      <c r="F213" s="2566"/>
      <c r="G213" s="2566"/>
      <c r="H213" s="2566"/>
      <c r="I213" s="2579"/>
      <c r="J213" s="2579"/>
      <c r="K213" s="2579"/>
      <c r="L213" s="2579"/>
      <c r="M213" s="2579"/>
      <c r="N213" s="2579"/>
      <c r="O213" s="2579"/>
    </row>
    <row r="214" spans="1:15" s="2463" customFormat="1" ht="12.75">
      <c r="A214" s="2531"/>
      <c r="B214" s="2533"/>
      <c r="C214" s="2531"/>
      <c r="D214" s="2566"/>
      <c r="E214" s="2566"/>
      <c r="F214" s="2566"/>
      <c r="G214" s="2566"/>
      <c r="H214" s="2566"/>
      <c r="I214" s="2579"/>
      <c r="J214" s="2579"/>
      <c r="K214" s="2579"/>
      <c r="L214" s="2579"/>
      <c r="M214" s="2579"/>
      <c r="N214" s="2579"/>
      <c r="O214" s="2579"/>
    </row>
    <row r="215" spans="1:15" s="2463" customFormat="1" ht="12.75">
      <c r="A215" s="2531"/>
      <c r="B215" s="2533"/>
      <c r="C215" s="2531"/>
      <c r="D215" s="2566"/>
      <c r="E215" s="2566"/>
      <c r="F215" s="2566"/>
      <c r="G215" s="2566"/>
      <c r="H215" s="2566"/>
      <c r="I215" s="2579"/>
      <c r="J215" s="2579"/>
      <c r="K215" s="2579"/>
      <c r="L215" s="2579"/>
      <c r="M215" s="2579"/>
      <c r="N215" s="2579"/>
      <c r="O215" s="2579"/>
    </row>
    <row r="216" spans="1:15" s="2463" customFormat="1" ht="12.75">
      <c r="A216" s="2531"/>
      <c r="B216" s="2533"/>
      <c r="C216" s="2531"/>
      <c r="D216" s="2566"/>
      <c r="E216" s="2566"/>
      <c r="F216" s="2566"/>
      <c r="G216" s="2566"/>
      <c r="H216" s="2566"/>
      <c r="I216" s="2579"/>
      <c r="J216" s="2579"/>
      <c r="K216" s="2579"/>
      <c r="L216" s="2579"/>
      <c r="M216" s="2579"/>
      <c r="N216" s="2579"/>
      <c r="O216" s="2579"/>
    </row>
    <row r="217" spans="1:15" s="2463" customFormat="1" ht="12.75">
      <c r="A217" s="4876"/>
      <c r="B217" s="4876"/>
      <c r="C217" s="4876"/>
      <c r="D217" s="4876"/>
      <c r="E217" s="4876"/>
      <c r="F217" s="4876"/>
      <c r="G217" s="4876"/>
      <c r="H217" s="4876"/>
      <c r="I217" s="2579"/>
      <c r="J217" s="2579"/>
      <c r="K217" s="2579"/>
      <c r="L217" s="2579"/>
      <c r="M217" s="2579"/>
      <c r="N217" s="2579"/>
      <c r="O217" s="2579"/>
    </row>
    <row r="218" spans="1:15" s="2463" customFormat="1" ht="12.75">
      <c r="A218" s="4877"/>
      <c r="B218" s="4877"/>
      <c r="C218" s="4877"/>
      <c r="D218" s="4877"/>
      <c r="E218" s="4877"/>
      <c r="F218" s="4877"/>
      <c r="G218" s="4877"/>
      <c r="H218" s="4877"/>
      <c r="I218" s="2579"/>
      <c r="J218" s="2579"/>
      <c r="K218" s="2579"/>
      <c r="L218" s="2579"/>
      <c r="M218" s="2579"/>
      <c r="N218" s="2579"/>
      <c r="O218" s="2579"/>
    </row>
    <row r="219" spans="1:15" s="2463" customFormat="1">
      <c r="A219" s="2529"/>
      <c r="B219" s="2529"/>
      <c r="C219" s="2529"/>
      <c r="D219" s="2529"/>
      <c r="E219" s="2529"/>
      <c r="F219" s="2529"/>
      <c r="G219" s="2529"/>
      <c r="H219" s="2529"/>
      <c r="I219" s="2579"/>
      <c r="J219" s="2579"/>
      <c r="K219" s="2579"/>
      <c r="L219" s="2579"/>
      <c r="M219" s="2579"/>
      <c r="N219" s="2579"/>
      <c r="O219" s="2579"/>
    </row>
    <row r="220" spans="1:15" s="2463" customFormat="1">
      <c r="A220" s="2529"/>
      <c r="B220" s="2529"/>
      <c r="C220" s="2529"/>
      <c r="D220" s="2529"/>
      <c r="E220" s="2529"/>
      <c r="F220" s="2529"/>
      <c r="G220" s="2529"/>
      <c r="H220" s="2529"/>
      <c r="I220" s="2579"/>
      <c r="J220" s="2579"/>
      <c r="K220" s="2579"/>
      <c r="L220" s="2579"/>
      <c r="M220" s="2579"/>
      <c r="N220" s="2579"/>
      <c r="O220" s="2579"/>
    </row>
    <row r="221" spans="1:15" s="2463" customFormat="1">
      <c r="A221" s="2529"/>
      <c r="B221" s="2529"/>
      <c r="C221" s="2529"/>
      <c r="D221" s="2529"/>
      <c r="E221" s="2529"/>
      <c r="F221" s="2529"/>
      <c r="G221" s="2529"/>
      <c r="H221" s="2529"/>
      <c r="I221" s="2579"/>
      <c r="J221" s="2579"/>
      <c r="K221" s="2579"/>
      <c r="L221" s="2579"/>
      <c r="M221" s="2579"/>
      <c r="N221" s="2579"/>
      <c r="O221" s="2579"/>
    </row>
    <row r="222" spans="1:15" s="2463" customFormat="1">
      <c r="A222" s="2568"/>
      <c r="B222" s="2567"/>
      <c r="C222" s="2529"/>
      <c r="D222" s="2566"/>
      <c r="E222" s="2566"/>
      <c r="F222" s="2566"/>
      <c r="G222" s="2566"/>
      <c r="H222" s="2566"/>
      <c r="I222" s="2579"/>
      <c r="J222" s="2579"/>
      <c r="K222" s="2579"/>
      <c r="L222" s="2579"/>
      <c r="M222" s="2579"/>
      <c r="N222" s="2579"/>
      <c r="O222" s="2579"/>
    </row>
    <row r="223" spans="1:15" s="2463" customFormat="1" ht="12.75">
      <c r="A223" s="1269"/>
      <c r="B223" s="1269"/>
      <c r="C223" s="2542"/>
      <c r="D223" s="2541"/>
      <c r="E223" s="2561"/>
      <c r="F223" s="2540"/>
      <c r="G223" s="2565"/>
      <c r="H223" s="2561"/>
      <c r="I223" s="2579"/>
      <c r="J223" s="2579"/>
      <c r="K223" s="2579"/>
      <c r="L223" s="2579"/>
      <c r="M223" s="2579"/>
      <c r="N223" s="2579"/>
      <c r="O223" s="2579"/>
    </row>
    <row r="224" spans="1:15" s="2463" customFormat="1" ht="23.25">
      <c r="A224" s="2564"/>
      <c r="B224" s="2564"/>
      <c r="C224" s="2563"/>
      <c r="D224" s="2570"/>
      <c r="E224" s="2569"/>
      <c r="F224" s="2540"/>
      <c r="G224" s="2562"/>
      <c r="H224" s="2561"/>
      <c r="I224" s="2579"/>
      <c r="J224" s="2579"/>
      <c r="K224" s="2579"/>
      <c r="L224" s="2579"/>
      <c r="M224" s="2579"/>
      <c r="N224" s="2579"/>
      <c r="O224" s="2579"/>
    </row>
    <row r="225" spans="1:15" s="2463" customFormat="1" ht="12.75">
      <c r="A225" s="4879"/>
      <c r="B225" s="4879"/>
      <c r="C225" s="2559"/>
      <c r="D225" s="2560"/>
      <c r="E225" s="4880"/>
      <c r="F225" s="4880"/>
      <c r="G225" s="4880"/>
      <c r="H225" s="2557"/>
      <c r="I225" s="2579"/>
      <c r="J225" s="2579"/>
      <c r="K225" s="2579"/>
      <c r="L225" s="2579"/>
      <c r="M225" s="2579"/>
      <c r="N225" s="2579"/>
      <c r="O225" s="2579"/>
    </row>
    <row r="226" spans="1:15" s="2463" customFormat="1" ht="12.75">
      <c r="A226" s="4879"/>
      <c r="B226" s="4879"/>
      <c r="C226" s="2559"/>
      <c r="D226" s="2558"/>
      <c r="E226" s="2558"/>
      <c r="F226" s="2558"/>
      <c r="G226" s="2558"/>
      <c r="H226" s="2558"/>
      <c r="I226" s="2579"/>
      <c r="J226" s="2579"/>
      <c r="K226" s="2579"/>
      <c r="L226" s="2579"/>
      <c r="M226" s="2579"/>
      <c r="N226" s="2579"/>
      <c r="O226" s="2579"/>
    </row>
    <row r="227" spans="1:15" s="2463" customFormat="1" ht="12.75">
      <c r="A227" s="4879"/>
      <c r="B227" s="4879"/>
      <c r="C227" s="2557"/>
      <c r="D227" s="2555"/>
      <c r="E227" s="2555"/>
      <c r="F227" s="2555"/>
      <c r="G227" s="2556"/>
      <c r="H227" s="2555"/>
      <c r="I227" s="2579"/>
      <c r="J227" s="2579"/>
      <c r="K227" s="2579"/>
      <c r="L227" s="2579"/>
      <c r="M227" s="2579"/>
      <c r="N227" s="2579"/>
      <c r="O227" s="2579"/>
    </row>
    <row r="228" spans="1:15" s="2463" customFormat="1" ht="12.75">
      <c r="A228" s="2554"/>
      <c r="B228" s="2553"/>
      <c r="C228" s="2552"/>
      <c r="D228" s="2551"/>
      <c r="E228" s="2551"/>
      <c r="F228" s="2551"/>
      <c r="G228" s="2551"/>
      <c r="H228" s="2551"/>
      <c r="I228" s="2579"/>
      <c r="J228" s="2579"/>
      <c r="K228" s="2579"/>
      <c r="L228" s="2579"/>
      <c r="M228" s="2579"/>
      <c r="N228" s="2579"/>
      <c r="O228" s="2579"/>
    </row>
    <row r="229" spans="1:15" s="2463" customFormat="1" ht="12.75">
      <c r="A229" s="2549"/>
      <c r="B229" s="2549"/>
      <c r="C229" s="2545"/>
      <c r="D229" s="2548"/>
      <c r="E229" s="2548"/>
      <c r="F229" s="2540"/>
      <c r="G229" s="2548"/>
      <c r="H229" s="2548"/>
      <c r="I229" s="2579"/>
      <c r="J229" s="2579"/>
      <c r="K229" s="2579"/>
      <c r="L229" s="2579"/>
      <c r="M229" s="2579"/>
      <c r="N229" s="2579"/>
      <c r="O229" s="2579"/>
    </row>
    <row r="230" spans="1:15" s="2463" customFormat="1" ht="12.75">
      <c r="A230" s="2549"/>
      <c r="B230" s="2549"/>
      <c r="C230" s="2545"/>
      <c r="D230" s="2548"/>
      <c r="E230" s="2548"/>
      <c r="F230" s="2540"/>
      <c r="G230" s="2548"/>
      <c r="H230" s="2548"/>
      <c r="I230" s="2579"/>
      <c r="J230" s="2579"/>
      <c r="K230" s="2579"/>
      <c r="L230" s="2579"/>
      <c r="M230" s="2579"/>
      <c r="N230" s="2579"/>
      <c r="O230" s="2579"/>
    </row>
    <row r="231" spans="1:15" s="2463" customFormat="1" ht="12.75">
      <c r="A231" s="2546"/>
      <c r="B231" s="1269"/>
      <c r="C231" s="2545"/>
      <c r="D231" s="2541"/>
      <c r="E231" s="2544"/>
      <c r="F231" s="2540"/>
      <c r="G231" s="2544"/>
      <c r="H231" s="2544"/>
      <c r="I231" s="2579"/>
      <c r="J231" s="2579"/>
      <c r="K231" s="2579"/>
      <c r="L231" s="2579"/>
      <c r="M231" s="2579"/>
      <c r="N231" s="2579"/>
      <c r="O231" s="2579"/>
    </row>
    <row r="232" spans="1:15" s="2463" customFormat="1" ht="12.75">
      <c r="A232" s="2549"/>
      <c r="B232" s="2549"/>
      <c r="C232" s="2545"/>
      <c r="D232" s="2541"/>
      <c r="E232" s="2544"/>
      <c r="F232" s="2540"/>
      <c r="G232" s="2544"/>
      <c r="H232" s="2544"/>
      <c r="I232" s="2579"/>
      <c r="J232" s="2579"/>
      <c r="K232" s="2579"/>
      <c r="L232" s="2579"/>
      <c r="M232" s="2579"/>
      <c r="N232" s="2579"/>
      <c r="O232" s="2579"/>
    </row>
    <row r="233" spans="1:15" s="2463" customFormat="1" ht="12.75">
      <c r="A233" s="2546"/>
      <c r="B233" s="1269"/>
      <c r="C233" s="2545"/>
      <c r="D233" s="2541"/>
      <c r="E233" s="2544"/>
      <c r="F233" s="2540"/>
      <c r="G233" s="2544"/>
      <c r="H233" s="2544"/>
      <c r="I233" s="2579"/>
      <c r="J233" s="2579"/>
      <c r="K233" s="2579"/>
      <c r="L233" s="2579"/>
      <c r="M233" s="2579"/>
      <c r="N233" s="2579"/>
      <c r="O233" s="2579"/>
    </row>
    <row r="234" spans="1:15" s="2463" customFormat="1" ht="12.75">
      <c r="A234" s="2547"/>
      <c r="B234" s="2546"/>
      <c r="C234" s="2545"/>
      <c r="D234" s="2541"/>
      <c r="E234" s="2544"/>
      <c r="F234" s="2540"/>
      <c r="G234" s="2544"/>
      <c r="H234" s="2544"/>
      <c r="I234" s="2579"/>
      <c r="J234" s="2579"/>
      <c r="K234" s="2579"/>
      <c r="L234" s="2579"/>
      <c r="M234" s="2579"/>
      <c r="N234" s="2579"/>
      <c r="O234" s="2579"/>
    </row>
    <row r="235" spans="1:15" s="2463" customFormat="1" ht="12.75">
      <c r="A235" s="2543"/>
      <c r="B235" s="2543"/>
      <c r="C235" s="2542"/>
      <c r="D235" s="2541"/>
      <c r="E235" s="2539"/>
      <c r="F235" s="2540"/>
      <c r="G235" s="2539"/>
      <c r="H235" s="2539"/>
      <c r="I235" s="2579"/>
      <c r="J235" s="2579"/>
      <c r="K235" s="2579"/>
      <c r="L235" s="2579"/>
      <c r="M235" s="2579"/>
      <c r="N235" s="2579"/>
      <c r="O235" s="2579"/>
    </row>
    <row r="236" spans="1:15" s="2463" customFormat="1" ht="12.75">
      <c r="A236" s="2538"/>
      <c r="B236" s="2538"/>
      <c r="C236" s="2537"/>
      <c r="D236" s="2536"/>
      <c r="E236" s="2536"/>
      <c r="F236" s="2536"/>
      <c r="G236" s="2536"/>
      <c r="H236" s="2536"/>
      <c r="I236" s="2579"/>
      <c r="J236" s="2579"/>
      <c r="K236" s="2579"/>
      <c r="L236" s="2579"/>
      <c r="M236" s="2579"/>
      <c r="N236" s="2579"/>
      <c r="O236" s="2579"/>
    </row>
    <row r="237" spans="1:15" s="2463" customFormat="1" ht="12.75">
      <c r="A237" s="2538"/>
      <c r="B237" s="2538"/>
      <c r="C237" s="2537"/>
      <c r="D237" s="2536"/>
      <c r="E237" s="2536"/>
      <c r="F237" s="2536"/>
      <c r="G237" s="2536"/>
      <c r="H237" s="2536"/>
      <c r="I237" s="2579"/>
      <c r="J237" s="2579"/>
      <c r="K237" s="2579"/>
      <c r="L237" s="2579"/>
      <c r="M237" s="2579"/>
      <c r="N237" s="2579"/>
      <c r="O237" s="2579"/>
    </row>
    <row r="238" spans="1:15" s="2463" customFormat="1">
      <c r="A238" s="1269"/>
      <c r="B238" s="2529"/>
      <c r="C238" s="2535"/>
      <c r="D238" s="2529"/>
      <c r="E238" s="4877"/>
      <c r="F238" s="4877"/>
      <c r="G238" s="1269"/>
      <c r="H238" s="2529"/>
      <c r="I238" s="2579"/>
      <c r="J238" s="2579"/>
      <c r="K238" s="2579"/>
      <c r="L238" s="2579"/>
      <c r="M238" s="2579"/>
      <c r="N238" s="2579"/>
      <c r="O238" s="2579"/>
    </row>
    <row r="239" spans="1:15" s="2463" customFormat="1">
      <c r="A239" s="2529"/>
      <c r="B239" s="1269"/>
      <c r="C239" s="2535"/>
      <c r="D239" s="1269"/>
      <c r="E239" s="1269"/>
      <c r="F239" s="1269"/>
      <c r="G239" s="1269"/>
      <c r="H239" s="2529"/>
      <c r="I239" s="2579"/>
      <c r="J239" s="2579"/>
      <c r="K239" s="2579"/>
      <c r="L239" s="2579"/>
      <c r="M239" s="2579"/>
      <c r="N239" s="2579"/>
      <c r="O239" s="2579"/>
    </row>
    <row r="240" spans="1:15" s="2463" customFormat="1" ht="12.75">
      <c r="A240" s="2534"/>
      <c r="B240" s="1269"/>
      <c r="C240" s="4881"/>
      <c r="D240" s="4881"/>
      <c r="E240" s="4876"/>
      <c r="F240" s="4876"/>
      <c r="G240" s="4876"/>
      <c r="H240" s="4876"/>
      <c r="I240" s="2579"/>
      <c r="J240" s="2579"/>
      <c r="K240" s="2579"/>
      <c r="L240" s="2579"/>
      <c r="M240" s="2579"/>
      <c r="N240" s="2579"/>
      <c r="O240" s="2579"/>
    </row>
    <row r="241" spans="1:15">
      <c r="A241" s="2531"/>
      <c r="B241" s="2533"/>
      <c r="C241" s="4874"/>
      <c r="D241" s="4874"/>
      <c r="E241" s="4875"/>
      <c r="F241" s="4875"/>
      <c r="G241" s="4875"/>
      <c r="H241" s="4875"/>
    </row>
    <row r="242" spans="1:15">
      <c r="A242" s="2531"/>
      <c r="B242" s="2533"/>
      <c r="C242" s="2531"/>
      <c r="D242" s="2566"/>
      <c r="E242" s="2566"/>
      <c r="F242" s="2566"/>
      <c r="G242" s="2566"/>
      <c r="H242" s="2566"/>
    </row>
    <row r="243" spans="1:15">
      <c r="A243" s="2531"/>
      <c r="B243" s="2533"/>
      <c r="C243" s="2531"/>
      <c r="D243" s="2566"/>
      <c r="E243" s="2566"/>
      <c r="F243" s="2566"/>
      <c r="G243" s="2566"/>
      <c r="H243" s="2566"/>
    </row>
    <row r="244" spans="1:15">
      <c r="A244" s="2531"/>
      <c r="B244" s="2533"/>
      <c r="C244" s="2531"/>
      <c r="D244" s="2566"/>
      <c r="E244" s="2566"/>
      <c r="F244" s="2566"/>
      <c r="G244" s="2566"/>
      <c r="H244" s="2566"/>
    </row>
    <row r="245" spans="1:15">
      <c r="A245" s="2531"/>
      <c r="B245" s="2533"/>
      <c r="C245" s="2531"/>
      <c r="D245" s="2566"/>
      <c r="E245" s="2566"/>
      <c r="F245" s="2566"/>
      <c r="G245" s="2566"/>
      <c r="H245" s="2566"/>
    </row>
    <row r="246" spans="1:15" s="2463" customFormat="1" ht="12.75">
      <c r="A246" s="2531"/>
      <c r="B246" s="2533"/>
      <c r="C246" s="2531"/>
      <c r="D246" s="2566"/>
      <c r="E246" s="2566"/>
      <c r="F246" s="2566"/>
      <c r="G246" s="2566"/>
      <c r="H246" s="2566"/>
      <c r="I246" s="2579"/>
      <c r="J246" s="2579"/>
      <c r="K246" s="2579"/>
      <c r="L246" s="2579"/>
      <c r="M246" s="2579"/>
      <c r="N246" s="2579"/>
      <c r="O246" s="2579"/>
    </row>
    <row r="247" spans="1:15" s="2463" customFormat="1" ht="12.75">
      <c r="A247" s="2531"/>
      <c r="B247" s="2533"/>
      <c r="C247" s="2531"/>
      <c r="D247" s="2566"/>
      <c r="E247" s="2566"/>
      <c r="F247" s="2566"/>
      <c r="G247" s="2566"/>
      <c r="H247" s="2566"/>
      <c r="I247" s="2579"/>
      <c r="J247" s="2579"/>
      <c r="K247" s="2579"/>
      <c r="L247" s="2579"/>
      <c r="M247" s="2579"/>
      <c r="N247" s="2579"/>
      <c r="O247" s="2579"/>
    </row>
    <row r="248" spans="1:15" s="2463" customFormat="1" ht="12.75">
      <c r="A248" s="2531"/>
      <c r="B248" s="2533"/>
      <c r="C248" s="2531"/>
      <c r="D248" s="2566"/>
      <c r="E248" s="2566"/>
      <c r="F248" s="2566"/>
      <c r="G248" s="2566"/>
      <c r="H248" s="2566"/>
      <c r="I248" s="2579"/>
      <c r="J248" s="2579"/>
      <c r="K248" s="2579"/>
      <c r="L248" s="2579"/>
      <c r="M248" s="2579"/>
      <c r="N248" s="2579"/>
      <c r="O248" s="2579"/>
    </row>
    <row r="249" spans="1:15" s="2463" customFormat="1" ht="12.75">
      <c r="A249" s="2531"/>
      <c r="B249" s="2533"/>
      <c r="C249" s="2531"/>
      <c r="D249" s="2566"/>
      <c r="E249" s="2566"/>
      <c r="F249" s="2566"/>
      <c r="G249" s="2566"/>
      <c r="H249" s="2566"/>
      <c r="I249" s="2579"/>
      <c r="J249" s="2579"/>
      <c r="K249" s="2579"/>
      <c r="L249" s="2579"/>
      <c r="M249" s="2579"/>
      <c r="N249" s="2579"/>
      <c r="O249" s="2579"/>
    </row>
    <row r="250" spans="1:15" s="2463" customFormat="1" ht="12.75">
      <c r="A250" s="2531"/>
      <c r="B250" s="2533"/>
      <c r="C250" s="2531"/>
      <c r="D250" s="2566"/>
      <c r="E250" s="2566"/>
      <c r="F250" s="2566"/>
      <c r="G250" s="2566"/>
      <c r="H250" s="2566"/>
      <c r="I250" s="2579"/>
      <c r="J250" s="2579"/>
      <c r="K250" s="2579"/>
      <c r="L250" s="2579"/>
      <c r="M250" s="2579"/>
      <c r="N250" s="2579"/>
      <c r="O250" s="2579"/>
    </row>
    <row r="251" spans="1:15" s="2463" customFormat="1" ht="12.75">
      <c r="A251" s="2531"/>
      <c r="B251" s="2533"/>
      <c r="C251" s="2531"/>
      <c r="D251" s="2566"/>
      <c r="E251" s="2566"/>
      <c r="F251" s="2566"/>
      <c r="G251" s="2566"/>
      <c r="H251" s="2566"/>
      <c r="I251" s="2579"/>
      <c r="J251" s="2579"/>
      <c r="K251" s="2579"/>
      <c r="L251" s="2579"/>
      <c r="M251" s="2579"/>
      <c r="N251" s="2579"/>
      <c r="O251" s="2579"/>
    </row>
    <row r="252" spans="1:15" s="2463" customFormat="1" ht="12.75">
      <c r="A252" s="2531"/>
      <c r="B252" s="2533"/>
      <c r="C252" s="2531"/>
      <c r="D252" s="2566"/>
      <c r="E252" s="2566"/>
      <c r="F252" s="2566"/>
      <c r="G252" s="2566"/>
      <c r="H252" s="2566"/>
      <c r="I252" s="2579"/>
      <c r="J252" s="2579"/>
      <c r="K252" s="2579"/>
      <c r="L252" s="2579"/>
      <c r="M252" s="2579"/>
      <c r="N252" s="2579"/>
      <c r="O252" s="2579"/>
    </row>
    <row r="253" spans="1:15" s="2463" customFormat="1" ht="12.75">
      <c r="A253" s="2531"/>
      <c r="B253" s="2533"/>
      <c r="C253" s="2531"/>
      <c r="D253" s="2566"/>
      <c r="E253" s="2566"/>
      <c r="F253" s="2566"/>
      <c r="G253" s="2566"/>
      <c r="H253" s="2566"/>
      <c r="I253" s="2579"/>
      <c r="J253" s="2579"/>
      <c r="K253" s="2579"/>
      <c r="L253" s="2579"/>
      <c r="M253" s="2579"/>
      <c r="N253" s="2579"/>
      <c r="O253" s="2579"/>
    </row>
    <row r="254" spans="1:15" s="2463" customFormat="1" ht="12.75">
      <c r="A254" s="2531"/>
      <c r="B254" s="2533"/>
      <c r="C254" s="2531"/>
      <c r="D254" s="2566"/>
      <c r="E254" s="2566"/>
      <c r="F254" s="2566"/>
      <c r="G254" s="2566"/>
      <c r="H254" s="2566"/>
      <c r="I254" s="2579"/>
      <c r="J254" s="2579"/>
      <c r="K254" s="2579"/>
      <c r="L254" s="2579"/>
      <c r="M254" s="2579"/>
      <c r="N254" s="2579"/>
      <c r="O254" s="2579"/>
    </row>
    <row r="255" spans="1:15" s="2463" customFormat="1" ht="12.75">
      <c r="A255" s="2531"/>
      <c r="B255" s="2533"/>
      <c r="C255" s="2531"/>
      <c r="D255" s="2566"/>
      <c r="E255" s="2566"/>
      <c r="F255" s="2566"/>
      <c r="G255" s="2566"/>
      <c r="H255" s="2566"/>
      <c r="I255" s="2579"/>
      <c r="J255" s="2579"/>
      <c r="K255" s="2579"/>
      <c r="L255" s="2579"/>
      <c r="M255" s="2579"/>
      <c r="N255" s="2579"/>
      <c r="O255" s="2579"/>
    </row>
    <row r="256" spans="1:15" s="2463" customFormat="1" ht="12.75">
      <c r="A256" s="2531"/>
      <c r="B256" s="2533"/>
      <c r="C256" s="2531"/>
      <c r="D256" s="2566"/>
      <c r="E256" s="2566"/>
      <c r="F256" s="2566"/>
      <c r="G256" s="2566"/>
      <c r="H256" s="2566"/>
      <c r="I256" s="2579"/>
      <c r="J256" s="2579"/>
      <c r="K256" s="2579"/>
      <c r="L256" s="2579"/>
      <c r="M256" s="2579"/>
      <c r="N256" s="2579"/>
      <c r="O256" s="2579"/>
    </row>
    <row r="257" spans="1:15" s="2463" customFormat="1" ht="12.75">
      <c r="A257" s="2531"/>
      <c r="B257" s="2533"/>
      <c r="C257" s="2531"/>
      <c r="D257" s="2566"/>
      <c r="E257" s="2566"/>
      <c r="F257" s="2566"/>
      <c r="G257" s="2566"/>
      <c r="H257" s="2566"/>
      <c r="I257" s="2579"/>
      <c r="J257" s="2579"/>
      <c r="K257" s="2579"/>
      <c r="L257" s="2579"/>
      <c r="M257" s="2579"/>
      <c r="N257" s="2579"/>
      <c r="O257" s="2579"/>
    </row>
    <row r="258" spans="1:15" s="2463" customFormat="1" ht="12.75">
      <c r="A258" s="2531"/>
      <c r="B258" s="2533"/>
      <c r="C258" s="2531"/>
      <c r="D258" s="2566"/>
      <c r="E258" s="2566"/>
      <c r="F258" s="2566"/>
      <c r="G258" s="2566"/>
      <c r="H258" s="2566"/>
      <c r="I258" s="2579"/>
      <c r="J258" s="2579"/>
      <c r="K258" s="2579"/>
      <c r="L258" s="2579"/>
      <c r="M258" s="2579"/>
      <c r="N258" s="2579"/>
      <c r="O258" s="2579"/>
    </row>
    <row r="259" spans="1:15" s="2463" customFormat="1" ht="12.75">
      <c r="A259" s="2531"/>
      <c r="B259" s="2533"/>
      <c r="C259" s="2531"/>
      <c r="D259" s="2566"/>
      <c r="E259" s="2566"/>
      <c r="F259" s="2566"/>
      <c r="G259" s="2566"/>
      <c r="H259" s="2566"/>
      <c r="I259" s="2579"/>
      <c r="J259" s="2579"/>
      <c r="K259" s="2579"/>
      <c r="L259" s="2579"/>
      <c r="M259" s="2579"/>
      <c r="N259" s="2579"/>
      <c r="O259" s="2579"/>
    </row>
    <row r="260" spans="1:15" s="2463" customFormat="1" ht="12.75">
      <c r="A260" s="2531"/>
      <c r="B260" s="2533"/>
      <c r="C260" s="2531"/>
      <c r="D260" s="2566"/>
      <c r="E260" s="2566"/>
      <c r="F260" s="2566"/>
      <c r="G260" s="2566"/>
      <c r="H260" s="2566"/>
      <c r="I260" s="2579"/>
      <c r="J260" s="2579"/>
      <c r="K260" s="2579"/>
      <c r="L260" s="2579"/>
      <c r="M260" s="2579"/>
      <c r="N260" s="2579"/>
      <c r="O260" s="2579"/>
    </row>
    <row r="261" spans="1:15" s="2463" customFormat="1">
      <c r="A261" s="2529"/>
      <c r="B261" s="2529"/>
      <c r="C261" s="2529"/>
      <c r="D261" s="2529"/>
      <c r="E261" s="2529"/>
      <c r="F261" s="2529"/>
      <c r="G261" s="2529"/>
      <c r="H261" s="2529"/>
      <c r="I261" s="2579"/>
      <c r="J261" s="2579"/>
      <c r="K261" s="2579"/>
      <c r="L261" s="2579"/>
      <c r="M261" s="2579"/>
      <c r="N261" s="2579"/>
      <c r="O261" s="2579"/>
    </row>
    <row r="262" spans="1:15" s="2463" customFormat="1">
      <c r="A262" s="2529"/>
      <c r="B262" s="2529"/>
      <c r="C262" s="2529"/>
      <c r="D262" s="2529"/>
      <c r="E262" s="2529"/>
      <c r="F262" s="2529"/>
      <c r="G262" s="2529"/>
      <c r="H262" s="2529"/>
      <c r="I262" s="2579"/>
      <c r="J262" s="2579"/>
      <c r="K262" s="2579"/>
      <c r="L262" s="2579"/>
      <c r="M262" s="2579"/>
      <c r="N262" s="2579"/>
      <c r="O262" s="2579"/>
    </row>
    <row r="263" spans="1:15" s="2463" customFormat="1">
      <c r="A263" s="2529"/>
      <c r="B263" s="2529"/>
      <c r="C263" s="2529"/>
      <c r="D263" s="2529"/>
      <c r="E263" s="2529"/>
      <c r="F263" s="2529"/>
      <c r="G263" s="2529"/>
      <c r="H263" s="2529"/>
      <c r="I263" s="2579"/>
      <c r="J263" s="2579"/>
      <c r="K263" s="2579"/>
      <c r="L263" s="2579"/>
      <c r="M263" s="2579"/>
      <c r="N263" s="2579"/>
      <c r="O263" s="2579"/>
    </row>
    <row r="264" spans="1:15" s="2463" customFormat="1" ht="12.75">
      <c r="A264" s="4876"/>
      <c r="B264" s="4876"/>
      <c r="C264" s="4876"/>
      <c r="D264" s="4876"/>
      <c r="E264" s="4876"/>
      <c r="F264" s="4876"/>
      <c r="G264" s="4876"/>
      <c r="H264" s="4876"/>
      <c r="I264" s="2579"/>
      <c r="J264" s="2579"/>
      <c r="K264" s="2579"/>
      <c r="L264" s="2579"/>
      <c r="M264" s="2579"/>
      <c r="N264" s="2579"/>
      <c r="O264" s="2579"/>
    </row>
    <row r="265" spans="1:15" s="2463" customFormat="1" ht="12.75">
      <c r="A265" s="4877"/>
      <c r="B265" s="4877"/>
      <c r="C265" s="4877"/>
      <c r="D265" s="4877"/>
      <c r="E265" s="4877"/>
      <c r="F265" s="4877"/>
      <c r="G265" s="4877"/>
      <c r="H265" s="4877"/>
      <c r="I265" s="2579"/>
      <c r="J265" s="2579"/>
      <c r="K265" s="2579"/>
      <c r="L265" s="2579"/>
      <c r="M265" s="2579"/>
      <c r="N265" s="2579"/>
      <c r="O265" s="2579"/>
    </row>
    <row r="266" spans="1:15" s="2463" customFormat="1">
      <c r="A266" s="2529"/>
      <c r="B266" s="2529"/>
      <c r="C266" s="2529"/>
      <c r="D266" s="2529"/>
      <c r="E266" s="2529"/>
      <c r="F266" s="2529"/>
      <c r="G266" s="2529"/>
      <c r="H266" s="2529"/>
      <c r="I266" s="2579"/>
      <c r="J266" s="2579"/>
      <c r="K266" s="2579"/>
      <c r="L266" s="2579"/>
      <c r="M266" s="2579"/>
      <c r="N266" s="2579"/>
      <c r="O266" s="2579"/>
    </row>
    <row r="267" spans="1:15" s="2463" customFormat="1">
      <c r="A267" s="2568"/>
      <c r="B267" s="2567"/>
      <c r="C267" s="2529"/>
      <c r="D267" s="2566"/>
      <c r="E267" s="2566"/>
      <c r="F267" s="2566"/>
      <c r="G267" s="2566"/>
      <c r="H267" s="2566"/>
      <c r="I267" s="2579"/>
      <c r="J267" s="2579"/>
      <c r="K267" s="2579"/>
      <c r="L267" s="2579"/>
      <c r="M267" s="2579"/>
      <c r="N267" s="2579"/>
      <c r="O267" s="2579"/>
    </row>
    <row r="268" spans="1:15" s="2463" customFormat="1" ht="12.75">
      <c r="A268" s="1269"/>
      <c r="B268" s="1269"/>
      <c r="C268" s="2542"/>
      <c r="D268" s="2541"/>
      <c r="E268" s="2561"/>
      <c r="F268" s="2540"/>
      <c r="G268" s="2565"/>
      <c r="H268" s="2561"/>
      <c r="I268" s="2579"/>
      <c r="J268" s="2579"/>
      <c r="K268" s="2579"/>
      <c r="L268" s="2579"/>
      <c r="M268" s="2579"/>
      <c r="N268" s="2579"/>
      <c r="O268" s="2579"/>
    </row>
    <row r="269" spans="1:15" s="2463" customFormat="1" ht="23.25">
      <c r="A269" s="2564"/>
      <c r="B269" s="2564"/>
      <c r="C269" s="2563"/>
      <c r="D269" s="2541"/>
      <c r="E269" s="2561"/>
      <c r="F269" s="2540"/>
      <c r="G269" s="2562"/>
      <c r="H269" s="2561"/>
      <c r="I269" s="2579"/>
      <c r="J269" s="2579"/>
      <c r="K269" s="2579"/>
      <c r="L269" s="2579"/>
      <c r="M269" s="2579"/>
      <c r="N269" s="2579"/>
      <c r="O269" s="2579"/>
    </row>
    <row r="270" spans="1:15" s="2463" customFormat="1" ht="12.75">
      <c r="A270" s="4879"/>
      <c r="B270" s="4879"/>
      <c r="C270" s="2559"/>
      <c r="D270" s="2560"/>
      <c r="E270" s="4880"/>
      <c r="F270" s="4880"/>
      <c r="G270" s="4880"/>
      <c r="H270" s="2557"/>
      <c r="I270" s="2579"/>
      <c r="J270" s="2579"/>
      <c r="K270" s="2579"/>
      <c r="L270" s="2579"/>
      <c r="M270" s="2579"/>
      <c r="N270" s="2579"/>
      <c r="O270" s="2579"/>
    </row>
    <row r="271" spans="1:15" s="2463" customFormat="1" ht="12.75">
      <c r="A271" s="4879"/>
      <c r="B271" s="4879"/>
      <c r="C271" s="2559"/>
      <c r="D271" s="2558"/>
      <c r="E271" s="2558"/>
      <c r="F271" s="2558"/>
      <c r="G271" s="2558"/>
      <c r="H271" s="2558"/>
      <c r="I271" s="2579"/>
      <c r="J271" s="2579"/>
      <c r="K271" s="2579"/>
      <c r="L271" s="2579"/>
      <c r="M271" s="2579"/>
      <c r="N271" s="2579"/>
      <c r="O271" s="2579"/>
    </row>
    <row r="272" spans="1:15" s="2463" customFormat="1" ht="12.75">
      <c r="A272" s="4879"/>
      <c r="B272" s="4879"/>
      <c r="C272" s="2557"/>
      <c r="D272" s="2555"/>
      <c r="E272" s="2555"/>
      <c r="F272" s="2555"/>
      <c r="G272" s="2556"/>
      <c r="H272" s="2555"/>
      <c r="I272" s="2579"/>
      <c r="J272" s="2579"/>
      <c r="K272" s="2579"/>
      <c r="L272" s="2579"/>
      <c r="M272" s="2579"/>
      <c r="N272" s="2579"/>
      <c r="O272" s="2579"/>
    </row>
    <row r="273" spans="1:15" s="2463" customFormat="1" ht="12.75">
      <c r="A273" s="2554"/>
      <c r="B273" s="2553"/>
      <c r="C273" s="2552"/>
      <c r="D273" s="2551"/>
      <c r="E273" s="2551"/>
      <c r="F273" s="2551"/>
      <c r="G273" s="2551"/>
      <c r="H273" s="2551"/>
      <c r="I273" s="2579"/>
      <c r="J273" s="2579"/>
      <c r="K273" s="2579"/>
      <c r="L273" s="2579"/>
      <c r="M273" s="2579"/>
      <c r="N273" s="2579"/>
      <c r="O273" s="2579"/>
    </row>
    <row r="274" spans="1:15" s="2463" customFormat="1" ht="12.75">
      <c r="A274" s="2549"/>
      <c r="B274" s="2549"/>
      <c r="C274" s="2542"/>
      <c r="D274" s="2548"/>
      <c r="E274" s="2548"/>
      <c r="F274" s="2540"/>
      <c r="G274" s="2548"/>
      <c r="H274" s="2548"/>
      <c r="I274" s="2579"/>
      <c r="J274" s="2579"/>
      <c r="K274" s="2579"/>
      <c r="L274" s="2579"/>
      <c r="M274" s="2579"/>
      <c r="N274" s="2579"/>
      <c r="O274" s="2579"/>
    </row>
    <row r="275" spans="1:15" s="2463" customFormat="1" ht="12.75">
      <c r="A275" s="2549"/>
      <c r="B275" s="2549"/>
      <c r="C275" s="2545"/>
      <c r="D275" s="2548"/>
      <c r="E275" s="2548"/>
      <c r="F275" s="2540"/>
      <c r="G275" s="2548"/>
      <c r="H275" s="2548"/>
      <c r="I275" s="2579"/>
      <c r="J275" s="2579"/>
      <c r="K275" s="2579"/>
      <c r="L275" s="2579"/>
      <c r="M275" s="2579"/>
      <c r="N275" s="2579"/>
      <c r="O275" s="2579"/>
    </row>
    <row r="276" spans="1:15" s="2463" customFormat="1" ht="12.75">
      <c r="A276" s="2547"/>
      <c r="B276" s="2546"/>
      <c r="C276" s="2545"/>
      <c r="D276" s="2541"/>
      <c r="E276" s="2544"/>
      <c r="F276" s="2540"/>
      <c r="G276" s="2544"/>
      <c r="H276" s="2544"/>
      <c r="I276" s="2579"/>
      <c r="J276" s="2579"/>
      <c r="K276" s="2579"/>
      <c r="L276" s="2579"/>
      <c r="M276" s="2579"/>
      <c r="N276" s="2579"/>
      <c r="O276" s="2579"/>
    </row>
    <row r="277" spans="1:15" s="2463" customFormat="1" ht="12.75">
      <c r="A277" s="2543"/>
      <c r="B277" s="2543"/>
      <c r="C277" s="2542"/>
      <c r="D277" s="2541"/>
      <c r="E277" s="2539"/>
      <c r="F277" s="2540"/>
      <c r="G277" s="2539"/>
      <c r="H277" s="2539"/>
      <c r="I277" s="2579"/>
      <c r="J277" s="2579"/>
      <c r="K277" s="2579"/>
      <c r="L277" s="2579"/>
      <c r="M277" s="2579"/>
      <c r="N277" s="2579"/>
      <c r="O277" s="2579"/>
    </row>
    <row r="278" spans="1:15" s="2463" customFormat="1" ht="12.75">
      <c r="A278" s="2538"/>
      <c r="B278" s="2538"/>
      <c r="C278" s="2537"/>
      <c r="D278" s="2536"/>
      <c r="E278" s="2536"/>
      <c r="F278" s="2536"/>
      <c r="G278" s="2536"/>
      <c r="H278" s="2536"/>
      <c r="I278" s="2579"/>
      <c r="J278" s="2579"/>
      <c r="K278" s="2579"/>
      <c r="L278" s="2579"/>
      <c r="M278" s="2579"/>
      <c r="N278" s="2579"/>
      <c r="O278" s="2579"/>
    </row>
    <row r="279" spans="1:15" s="2463" customFormat="1" ht="12.75">
      <c r="A279" s="2538"/>
      <c r="B279" s="2538"/>
      <c r="C279" s="2537"/>
      <c r="D279" s="2536"/>
      <c r="E279" s="2536"/>
      <c r="F279" s="2536"/>
      <c r="G279" s="2536"/>
      <c r="H279" s="2536"/>
      <c r="I279" s="2579"/>
      <c r="J279" s="2579"/>
      <c r="K279" s="2579"/>
      <c r="L279" s="2579"/>
      <c r="M279" s="2579"/>
      <c r="N279" s="2579"/>
      <c r="O279" s="2579"/>
    </row>
    <row r="280" spans="1:15" s="2463" customFormat="1">
      <c r="A280" s="1269"/>
      <c r="B280" s="2529"/>
      <c r="C280" s="2535"/>
      <c r="D280" s="2529"/>
      <c r="E280" s="4877"/>
      <c r="F280" s="4877"/>
      <c r="G280" s="1269"/>
      <c r="H280" s="2529"/>
      <c r="I280" s="2579"/>
      <c r="J280" s="2579"/>
      <c r="K280" s="2579"/>
      <c r="L280" s="2579"/>
      <c r="M280" s="2579"/>
      <c r="N280" s="2579"/>
      <c r="O280" s="2579"/>
    </row>
    <row r="281" spans="1:15" s="2463" customFormat="1">
      <c r="A281" s="2529"/>
      <c r="B281" s="1269"/>
      <c r="C281" s="2535"/>
      <c r="D281" s="1269"/>
      <c r="E281" s="1269"/>
      <c r="F281" s="1269"/>
      <c r="G281" s="1269"/>
      <c r="H281" s="2529"/>
      <c r="I281" s="2579"/>
      <c r="J281" s="2579"/>
      <c r="K281" s="2579"/>
      <c r="L281" s="2579"/>
      <c r="M281" s="2579"/>
      <c r="N281" s="2579"/>
      <c r="O281" s="2579"/>
    </row>
    <row r="282" spans="1:15" s="2463" customFormat="1" ht="12.75">
      <c r="A282" s="2534"/>
      <c r="B282" s="1269"/>
      <c r="C282" s="4881"/>
      <c r="D282" s="4881"/>
      <c r="E282" s="4876"/>
      <c r="F282" s="4876"/>
      <c r="G282" s="4876"/>
      <c r="H282" s="4876"/>
      <c r="I282" s="2579"/>
      <c r="J282" s="2579"/>
      <c r="K282" s="2579"/>
      <c r="L282" s="2579"/>
      <c r="M282" s="2579"/>
      <c r="N282" s="2579"/>
      <c r="O282" s="2579"/>
    </row>
    <row r="283" spans="1:15" s="2463" customFormat="1" ht="12.75">
      <c r="A283" s="2531"/>
      <c r="B283" s="2533"/>
      <c r="C283" s="4874"/>
      <c r="D283" s="4874"/>
      <c r="E283" s="4875"/>
      <c r="F283" s="4875"/>
      <c r="G283" s="4875"/>
      <c r="H283" s="4875"/>
      <c r="I283" s="2579"/>
      <c r="J283" s="2579"/>
      <c r="K283" s="2579"/>
      <c r="L283" s="2579"/>
      <c r="M283" s="2579"/>
      <c r="N283" s="2579"/>
      <c r="O283" s="2579"/>
    </row>
    <row r="284" spans="1:15" s="2463" customFormat="1" ht="12.75">
      <c r="A284" s="2531"/>
      <c r="B284" s="2533"/>
      <c r="C284" s="2531"/>
      <c r="D284" s="2566"/>
      <c r="E284" s="2566"/>
      <c r="F284" s="2566"/>
      <c r="G284" s="2566"/>
      <c r="H284" s="2566"/>
      <c r="I284" s="2579"/>
      <c r="J284" s="2579"/>
      <c r="K284" s="2579"/>
      <c r="L284" s="2579"/>
      <c r="M284" s="2579"/>
      <c r="N284" s="2579"/>
      <c r="O284" s="2579"/>
    </row>
    <row r="285" spans="1:15">
      <c r="A285" s="2531"/>
      <c r="B285" s="2533"/>
      <c r="C285" s="2531"/>
      <c r="D285" s="2566"/>
      <c r="E285" s="2566"/>
      <c r="F285" s="2566"/>
      <c r="G285" s="2566"/>
      <c r="H285" s="2566"/>
    </row>
    <row r="286" spans="1:15">
      <c r="A286" s="2463"/>
      <c r="B286" s="2464"/>
      <c r="C286" s="2463"/>
      <c r="D286" s="2465"/>
      <c r="E286" s="2465"/>
      <c r="F286" s="2465"/>
      <c r="G286" s="2465"/>
      <c r="H286" s="2465"/>
    </row>
    <row r="287" spans="1:15">
      <c r="A287" s="2463"/>
      <c r="B287" s="2464"/>
      <c r="C287" s="2463"/>
      <c r="D287" s="2465"/>
      <c r="E287" s="2465"/>
      <c r="F287" s="2465"/>
      <c r="G287" s="2465"/>
      <c r="H287" s="2465"/>
    </row>
    <row r="288" spans="1:15">
      <c r="A288" s="2463"/>
      <c r="B288" s="2464"/>
      <c r="C288" s="2463"/>
      <c r="D288" s="2465"/>
      <c r="E288" s="2465"/>
      <c r="F288" s="2465"/>
      <c r="G288" s="2465"/>
      <c r="H288" s="2465"/>
    </row>
    <row r="289" spans="2:15" s="2463" customFormat="1" ht="12.75">
      <c r="B289" s="2464"/>
      <c r="D289" s="2465"/>
      <c r="E289" s="2465"/>
      <c r="F289" s="2465"/>
      <c r="G289" s="2465"/>
      <c r="H289" s="2465"/>
      <c r="I289" s="2579"/>
      <c r="J289" s="2579"/>
      <c r="K289" s="2579"/>
      <c r="L289" s="2579"/>
      <c r="M289" s="2579"/>
      <c r="N289" s="2579"/>
      <c r="O289" s="2579"/>
    </row>
    <row r="290" spans="2:15" s="2463" customFormat="1" ht="12.75">
      <c r="B290" s="2464"/>
      <c r="D290" s="2465"/>
      <c r="E290" s="2465"/>
      <c r="F290" s="2465"/>
      <c r="G290" s="2465"/>
      <c r="H290" s="2465"/>
      <c r="I290" s="2579"/>
      <c r="J290" s="2579"/>
      <c r="K290" s="2579"/>
      <c r="L290" s="2579"/>
      <c r="M290" s="2579"/>
      <c r="N290" s="2579"/>
      <c r="O290" s="2579"/>
    </row>
    <row r="291" spans="2:15" s="2463" customFormat="1" ht="12.75">
      <c r="B291" s="2464"/>
      <c r="D291" s="2465"/>
      <c r="E291" s="2465"/>
      <c r="F291" s="2465"/>
      <c r="G291" s="2465"/>
      <c r="H291" s="2465"/>
      <c r="I291" s="2579"/>
      <c r="J291" s="2579"/>
      <c r="K291" s="2579"/>
      <c r="L291" s="2579"/>
      <c r="M291" s="2579"/>
      <c r="N291" s="2579"/>
      <c r="O291" s="2579"/>
    </row>
    <row r="292" spans="2:15" s="2463" customFormat="1" ht="12.75">
      <c r="B292" s="2464"/>
      <c r="D292" s="2465"/>
      <c r="E292" s="2465"/>
      <c r="F292" s="2465"/>
      <c r="G292" s="2465"/>
      <c r="H292" s="2465"/>
      <c r="I292" s="2579"/>
      <c r="J292" s="2579"/>
      <c r="K292" s="2579"/>
      <c r="L292" s="2579"/>
      <c r="M292" s="2579"/>
      <c r="N292" s="2579"/>
      <c r="O292" s="2579"/>
    </row>
    <row r="293" spans="2:15" s="2463" customFormat="1" ht="12.75">
      <c r="B293" s="2464"/>
      <c r="D293" s="2465"/>
      <c r="E293" s="2465"/>
      <c r="F293" s="2465"/>
      <c r="G293" s="2465"/>
      <c r="H293" s="2465"/>
      <c r="I293" s="2579"/>
      <c r="J293" s="2579"/>
      <c r="K293" s="2579"/>
      <c r="L293" s="2579"/>
      <c r="M293" s="2579"/>
      <c r="N293" s="2579"/>
      <c r="O293" s="2579"/>
    </row>
    <row r="294" spans="2:15" s="2463" customFormat="1" ht="12.75">
      <c r="B294" s="2464"/>
      <c r="D294" s="2465"/>
      <c r="E294" s="2465"/>
      <c r="F294" s="2465"/>
      <c r="G294" s="2465"/>
      <c r="H294" s="2465"/>
      <c r="I294" s="2579"/>
      <c r="J294" s="2579"/>
      <c r="K294" s="2579"/>
      <c r="L294" s="2579"/>
      <c r="M294" s="2579"/>
      <c r="N294" s="2579"/>
      <c r="O294" s="2579"/>
    </row>
    <row r="295" spans="2:15" s="2463" customFormat="1" ht="12.75">
      <c r="B295" s="2464"/>
      <c r="D295" s="2465"/>
      <c r="E295" s="2465"/>
      <c r="F295" s="2465"/>
      <c r="G295" s="2465"/>
      <c r="H295" s="2465"/>
      <c r="I295" s="2579"/>
      <c r="J295" s="2579"/>
      <c r="K295" s="2579"/>
      <c r="L295" s="2579"/>
      <c r="M295" s="2579"/>
      <c r="N295" s="2579"/>
      <c r="O295" s="2579"/>
    </row>
    <row r="296" spans="2:15" s="2463" customFormat="1" ht="12.75">
      <c r="B296" s="2464"/>
      <c r="D296" s="2465"/>
      <c r="E296" s="2465"/>
      <c r="F296" s="2465"/>
      <c r="G296" s="2465"/>
      <c r="H296" s="2465"/>
      <c r="I296" s="2579"/>
      <c r="J296" s="2579"/>
      <c r="K296" s="2579"/>
      <c r="L296" s="2579"/>
      <c r="M296" s="2579"/>
      <c r="N296" s="2579"/>
      <c r="O296" s="2579"/>
    </row>
    <row r="297" spans="2:15" s="2463" customFormat="1" ht="12.75">
      <c r="B297" s="2464"/>
      <c r="D297" s="2465"/>
      <c r="E297" s="2465"/>
      <c r="F297" s="2465"/>
      <c r="G297" s="2465"/>
      <c r="H297" s="2465"/>
      <c r="I297" s="2579"/>
      <c r="J297" s="2579"/>
      <c r="K297" s="2579"/>
      <c r="L297" s="2579"/>
      <c r="M297" s="2579"/>
      <c r="N297" s="2579"/>
      <c r="O297" s="2579"/>
    </row>
    <row r="298" spans="2:15" s="2463" customFormat="1" ht="12.75">
      <c r="B298" s="2464"/>
      <c r="D298" s="2465"/>
      <c r="E298" s="2465"/>
      <c r="F298" s="2465"/>
      <c r="G298" s="2465"/>
      <c r="H298" s="2465"/>
      <c r="I298" s="2579"/>
      <c r="J298" s="2579"/>
      <c r="K298" s="2579"/>
      <c r="L298" s="2579"/>
      <c r="M298" s="2579"/>
      <c r="N298" s="2579"/>
      <c r="O298" s="2579"/>
    </row>
    <row r="299" spans="2:15" s="2463" customFormat="1" ht="12.75">
      <c r="B299" s="2464"/>
      <c r="D299" s="2465"/>
      <c r="E299" s="2465"/>
      <c r="F299" s="2465"/>
      <c r="G299" s="2465"/>
      <c r="H299" s="2465"/>
      <c r="I299" s="2579"/>
      <c r="J299" s="2579"/>
      <c r="K299" s="2579"/>
      <c r="L299" s="2579"/>
      <c r="M299" s="2579"/>
      <c r="N299" s="2579"/>
      <c r="O299" s="2579"/>
    </row>
    <row r="300" spans="2:15" s="2463" customFormat="1" ht="12.75">
      <c r="B300" s="2464"/>
      <c r="D300" s="2465"/>
      <c r="E300" s="2465"/>
      <c r="F300" s="2465"/>
      <c r="G300" s="2465"/>
      <c r="H300" s="2465"/>
      <c r="I300" s="2579"/>
      <c r="J300" s="2579"/>
      <c r="K300" s="2579"/>
      <c r="L300" s="2579"/>
      <c r="M300" s="2579"/>
      <c r="N300" s="2579"/>
      <c r="O300" s="2579"/>
    </row>
    <row r="301" spans="2:15" s="2463" customFormat="1" ht="12.75">
      <c r="B301" s="2464"/>
      <c r="D301" s="2465"/>
      <c r="E301" s="2465"/>
      <c r="F301" s="2465"/>
      <c r="G301" s="2465"/>
      <c r="H301" s="2465"/>
      <c r="I301" s="2579"/>
      <c r="J301" s="2579"/>
      <c r="K301" s="2579"/>
      <c r="L301" s="2579"/>
      <c r="M301" s="2579"/>
      <c r="N301" s="2579"/>
      <c r="O301" s="2579"/>
    </row>
    <row r="302" spans="2:15" s="2463" customFormat="1" ht="12.75">
      <c r="B302" s="2464"/>
      <c r="D302" s="2465"/>
      <c r="E302" s="2465"/>
      <c r="F302" s="2465"/>
      <c r="G302" s="2465"/>
      <c r="H302" s="2465"/>
      <c r="I302" s="2579"/>
      <c r="J302" s="2579"/>
      <c r="K302" s="2579"/>
      <c r="L302" s="2579"/>
      <c r="M302" s="2579"/>
      <c r="N302" s="2579"/>
      <c r="O302" s="2579"/>
    </row>
    <row r="303" spans="2:15" s="2463" customFormat="1" ht="12.75">
      <c r="B303" s="2464"/>
      <c r="D303" s="2465"/>
      <c r="E303" s="2465"/>
      <c r="F303" s="2465"/>
      <c r="G303" s="2465"/>
      <c r="H303" s="2465"/>
      <c r="I303" s="2579"/>
      <c r="J303" s="2579"/>
      <c r="K303" s="2579"/>
      <c r="L303" s="2579"/>
      <c r="M303" s="2579"/>
      <c r="N303" s="2579"/>
      <c r="O303" s="2579"/>
    </row>
    <row r="304" spans="2:15" s="2463" customFormat="1" ht="12.75">
      <c r="B304" s="2464"/>
      <c r="D304" s="2465"/>
      <c r="E304" s="2465"/>
      <c r="F304" s="2465"/>
      <c r="G304" s="2465"/>
      <c r="H304" s="2465"/>
      <c r="I304" s="2579"/>
      <c r="J304" s="2579"/>
      <c r="K304" s="2579"/>
      <c r="L304" s="2579"/>
      <c r="M304" s="2579"/>
      <c r="N304" s="2579"/>
      <c r="O304" s="2579"/>
    </row>
    <row r="305" spans="1:15" s="2463" customFormat="1" ht="12.75">
      <c r="B305" s="2464"/>
      <c r="D305" s="2465"/>
      <c r="E305" s="2465"/>
      <c r="F305" s="2465"/>
      <c r="G305" s="2465"/>
      <c r="H305" s="2465"/>
      <c r="I305" s="2579"/>
      <c r="J305" s="2579"/>
      <c r="K305" s="2579"/>
      <c r="L305" s="2579"/>
      <c r="M305" s="2579"/>
      <c r="N305" s="2579"/>
      <c r="O305" s="2579"/>
    </row>
    <row r="306" spans="1:15" s="2463" customFormat="1" ht="12.75">
      <c r="B306" s="2464"/>
      <c r="D306" s="2465"/>
      <c r="E306" s="2465"/>
      <c r="F306" s="2465"/>
      <c r="G306" s="2465"/>
      <c r="H306" s="2465"/>
      <c r="I306" s="2579"/>
      <c r="J306" s="2579"/>
      <c r="K306" s="2579"/>
      <c r="L306" s="2579"/>
      <c r="M306" s="2579"/>
      <c r="N306" s="2579"/>
      <c r="O306" s="2579"/>
    </row>
    <row r="307" spans="1:15" s="2463" customFormat="1" ht="12.75">
      <c r="B307" s="2464"/>
      <c r="D307" s="2465"/>
      <c r="E307" s="2465"/>
      <c r="F307" s="2465"/>
      <c r="G307" s="2465"/>
      <c r="H307" s="2465"/>
      <c r="I307" s="2579"/>
      <c r="J307" s="2579"/>
      <c r="K307" s="2579"/>
      <c r="L307" s="2579"/>
      <c r="M307" s="2579"/>
      <c r="N307" s="2579"/>
      <c r="O307" s="2579"/>
    </row>
    <row r="308" spans="1:15" s="2463" customFormat="1" ht="12.75">
      <c r="B308" s="2464"/>
      <c r="D308" s="2465"/>
      <c r="E308" s="2465"/>
      <c r="F308" s="2465"/>
      <c r="G308" s="2465"/>
      <c r="H308" s="2465"/>
      <c r="I308" s="2579"/>
      <c r="J308" s="2579"/>
      <c r="K308" s="2579"/>
      <c r="L308" s="2579"/>
      <c r="M308" s="2579"/>
      <c r="N308" s="2579"/>
      <c r="O308" s="2579"/>
    </row>
    <row r="309" spans="1:15" s="2463" customFormat="1" ht="12.75">
      <c r="B309" s="2464"/>
      <c r="D309" s="2465"/>
      <c r="E309" s="2465"/>
      <c r="F309" s="2465"/>
      <c r="G309" s="2465"/>
      <c r="H309" s="2465"/>
      <c r="I309" s="2579"/>
      <c r="J309" s="2579"/>
      <c r="K309" s="2579"/>
      <c r="L309" s="2579"/>
      <c r="M309" s="2579"/>
      <c r="N309" s="2579"/>
      <c r="O309" s="2579"/>
    </row>
    <row r="310" spans="1:15" s="2463" customFormat="1" ht="12.75">
      <c r="B310" s="2464"/>
      <c r="D310" s="2465"/>
      <c r="E310" s="2465"/>
      <c r="F310" s="2465"/>
      <c r="G310" s="2465"/>
      <c r="H310" s="2465"/>
      <c r="I310" s="2579"/>
      <c r="J310" s="2579"/>
      <c r="K310" s="2579"/>
      <c r="L310" s="2579"/>
      <c r="M310" s="2579"/>
      <c r="N310" s="2579"/>
      <c r="O310" s="2579"/>
    </row>
    <row r="311" spans="1:15" s="2463" customFormat="1" ht="12.75">
      <c r="B311" s="2464"/>
      <c r="D311" s="2465"/>
      <c r="E311" s="2465"/>
      <c r="F311" s="2465"/>
      <c r="G311" s="2465"/>
      <c r="H311" s="2465"/>
      <c r="I311" s="2579"/>
      <c r="J311" s="2579"/>
      <c r="K311" s="2579"/>
      <c r="L311" s="2579"/>
      <c r="M311" s="2579"/>
      <c r="N311" s="2579"/>
      <c r="O311" s="2579"/>
    </row>
    <row r="312" spans="1:15" s="2463" customFormat="1" ht="12.75">
      <c r="B312" s="2464"/>
      <c r="D312" s="2465"/>
      <c r="E312" s="2465"/>
      <c r="F312" s="2465"/>
      <c r="G312" s="2465"/>
      <c r="H312" s="2465"/>
      <c r="I312" s="2579"/>
      <c r="J312" s="2579"/>
      <c r="K312" s="2579"/>
      <c r="L312" s="2579"/>
      <c r="M312" s="2579"/>
      <c r="N312" s="2579"/>
      <c r="O312" s="2579"/>
    </row>
    <row r="313" spans="1:15" s="2463" customFormat="1" ht="12.75">
      <c r="B313" s="2464"/>
      <c r="D313" s="2465"/>
      <c r="E313" s="2465"/>
      <c r="F313" s="2465"/>
      <c r="G313" s="2465"/>
      <c r="H313" s="2465"/>
      <c r="I313" s="2579"/>
      <c r="J313" s="2579"/>
      <c r="K313" s="2579"/>
      <c r="L313" s="2579"/>
      <c r="M313" s="2579"/>
      <c r="N313" s="2579"/>
      <c r="O313" s="2579"/>
    </row>
    <row r="314" spans="1:15" s="2463" customFormat="1" ht="12.75">
      <c r="B314" s="2464"/>
      <c r="D314" s="2465"/>
      <c r="E314" s="2465"/>
      <c r="F314" s="2465"/>
      <c r="G314" s="2465"/>
      <c r="H314" s="2465"/>
      <c r="I314" s="2579"/>
      <c r="J314" s="2579"/>
      <c r="K314" s="2579"/>
      <c r="L314" s="2579"/>
      <c r="M314" s="2579"/>
      <c r="N314" s="2579"/>
      <c r="O314" s="2579"/>
    </row>
    <row r="315" spans="1:15" s="2463" customFormat="1" ht="12.75">
      <c r="B315" s="2464"/>
      <c r="D315" s="2465"/>
      <c r="E315" s="2465"/>
      <c r="F315" s="2465"/>
      <c r="G315" s="2465"/>
      <c r="H315" s="2465"/>
      <c r="I315" s="2579"/>
      <c r="J315" s="2579"/>
      <c r="K315" s="2579"/>
      <c r="L315" s="2579"/>
      <c r="M315" s="2579"/>
      <c r="N315" s="2579"/>
      <c r="O315" s="2579"/>
    </row>
    <row r="316" spans="1:15" s="2463" customFormat="1" ht="12.75">
      <c r="B316" s="2464"/>
      <c r="D316" s="2465"/>
      <c r="E316" s="2465"/>
      <c r="F316" s="2465"/>
      <c r="G316" s="2465"/>
      <c r="H316" s="2465"/>
      <c r="I316" s="2579"/>
      <c r="J316" s="2579"/>
      <c r="K316" s="2579"/>
      <c r="L316" s="2579"/>
      <c r="M316" s="2579"/>
      <c r="N316" s="2579"/>
      <c r="O316" s="2579"/>
    </row>
    <row r="317" spans="1:15" s="2463" customFormat="1" ht="12.75">
      <c r="B317" s="2464"/>
      <c r="D317" s="2465"/>
      <c r="E317" s="2465"/>
      <c r="F317" s="2465"/>
      <c r="G317" s="2465"/>
      <c r="H317" s="2465"/>
      <c r="I317" s="2579"/>
      <c r="J317" s="2579"/>
      <c r="K317" s="2579"/>
      <c r="L317" s="2579"/>
      <c r="M317" s="2579"/>
      <c r="N317" s="2579"/>
      <c r="O317" s="2579"/>
    </row>
    <row r="318" spans="1:15" s="2463" customFormat="1" ht="12.75">
      <c r="B318" s="2464"/>
      <c r="D318" s="2465"/>
      <c r="E318" s="2465"/>
      <c r="F318" s="2465"/>
      <c r="G318" s="2465"/>
      <c r="H318" s="2465"/>
      <c r="I318" s="2579"/>
      <c r="J318" s="2579"/>
      <c r="K318" s="2579"/>
      <c r="L318" s="2579"/>
      <c r="M318" s="2579"/>
      <c r="N318" s="2579"/>
      <c r="O318" s="2579"/>
    </row>
    <row r="319" spans="1:15" s="2463" customFormat="1" ht="12.75">
      <c r="B319" s="2464"/>
      <c r="D319" s="2465"/>
      <c r="E319" s="2465"/>
      <c r="F319" s="2465"/>
      <c r="G319" s="2465"/>
      <c r="H319" s="2465"/>
      <c r="I319" s="2579"/>
      <c r="J319" s="2579"/>
      <c r="K319" s="2579"/>
      <c r="L319" s="2579"/>
      <c r="M319" s="2579"/>
      <c r="N319" s="2579"/>
      <c r="O319" s="2579"/>
    </row>
    <row r="320" spans="1:15" s="2463" customFormat="1" ht="12.75">
      <c r="A320" s="4876"/>
      <c r="B320" s="4876"/>
      <c r="C320" s="4876"/>
      <c r="D320" s="4876"/>
      <c r="E320" s="4876"/>
      <c r="F320" s="4876"/>
      <c r="G320" s="4876"/>
      <c r="H320" s="4876"/>
      <c r="I320" s="2579"/>
      <c r="J320" s="2579"/>
      <c r="K320" s="2579"/>
      <c r="L320" s="2579"/>
      <c r="M320" s="2579"/>
      <c r="N320" s="2579"/>
      <c r="O320" s="2579"/>
    </row>
    <row r="321" spans="1:15" s="2463" customFormat="1" ht="12.75">
      <c r="A321" s="4877"/>
      <c r="B321" s="4877"/>
      <c r="C321" s="4877"/>
      <c r="D321" s="4877"/>
      <c r="E321" s="4877"/>
      <c r="F321" s="4877"/>
      <c r="G321" s="4877"/>
      <c r="H321" s="4877"/>
      <c r="I321" s="2579"/>
      <c r="J321" s="2579"/>
      <c r="K321" s="2579"/>
      <c r="L321" s="2579"/>
      <c r="M321" s="2579"/>
      <c r="N321" s="2579"/>
      <c r="O321" s="2579"/>
    </row>
    <row r="322" spans="1:15" s="2463" customFormat="1">
      <c r="A322" s="2529"/>
      <c r="B322" s="2529"/>
      <c r="C322" s="2529"/>
      <c r="D322" s="2529"/>
      <c r="E322" s="2529"/>
      <c r="F322" s="2529"/>
      <c r="G322" s="2529"/>
      <c r="H322" s="2529"/>
      <c r="I322" s="2579"/>
      <c r="J322" s="2579"/>
      <c r="K322" s="2579"/>
      <c r="L322" s="2579"/>
      <c r="M322" s="2579"/>
      <c r="N322" s="2579"/>
      <c r="O322" s="2579"/>
    </row>
    <row r="323" spans="1:15" s="2463" customFormat="1">
      <c r="A323" s="2568"/>
      <c r="B323" s="2567"/>
      <c r="C323" s="2529"/>
      <c r="D323" s="2566"/>
      <c r="E323" s="2566"/>
      <c r="F323" s="2566"/>
      <c r="G323" s="2566"/>
      <c r="H323" s="2566"/>
      <c r="I323" s="2579"/>
      <c r="J323" s="2579"/>
      <c r="K323" s="2579"/>
      <c r="L323" s="2579"/>
      <c r="M323" s="2579"/>
      <c r="N323" s="2579"/>
      <c r="O323" s="2579"/>
    </row>
    <row r="324" spans="1:15" s="2463" customFormat="1" ht="12.75">
      <c r="A324" s="1269"/>
      <c r="B324" s="1269"/>
      <c r="C324" s="2542"/>
      <c r="D324" s="2541"/>
      <c r="E324" s="2561"/>
      <c r="F324" s="2540"/>
      <c r="G324" s="2565"/>
      <c r="H324" s="2561"/>
      <c r="I324" s="2579"/>
      <c r="J324" s="2579"/>
      <c r="K324" s="2579"/>
      <c r="L324" s="2579"/>
      <c r="M324" s="2579"/>
      <c r="N324" s="2579"/>
      <c r="O324" s="2579"/>
    </row>
    <row r="325" spans="1:15" s="2463" customFormat="1" ht="23.25">
      <c r="A325" s="2564"/>
      <c r="B325" s="2564"/>
      <c r="C325" s="2563"/>
      <c r="D325" s="2541"/>
      <c r="E325" s="2561"/>
      <c r="F325" s="2540"/>
      <c r="G325" s="2562"/>
      <c r="H325" s="2561"/>
      <c r="I325" s="2579"/>
      <c r="J325" s="2579"/>
      <c r="K325" s="2579"/>
      <c r="L325" s="2579"/>
      <c r="M325" s="2579"/>
      <c r="N325" s="2579"/>
      <c r="O325" s="2579"/>
    </row>
    <row r="326" spans="1:15" s="2463" customFormat="1" ht="12.75">
      <c r="A326" s="4879"/>
      <c r="B326" s="4879"/>
      <c r="C326" s="2559"/>
      <c r="D326" s="2560"/>
      <c r="E326" s="4880"/>
      <c r="F326" s="4880"/>
      <c r="G326" s="4880"/>
      <c r="H326" s="2557"/>
      <c r="I326" s="2579"/>
      <c r="J326" s="2579"/>
      <c r="K326" s="2579"/>
      <c r="L326" s="2579"/>
      <c r="M326" s="2579"/>
      <c r="N326" s="2579"/>
      <c r="O326" s="2579"/>
    </row>
    <row r="327" spans="1:15" s="2463" customFormat="1" ht="12.75">
      <c r="A327" s="4879"/>
      <c r="B327" s="4879"/>
      <c r="C327" s="2559"/>
      <c r="D327" s="2558"/>
      <c r="E327" s="2558"/>
      <c r="F327" s="2558"/>
      <c r="G327" s="2558"/>
      <c r="H327" s="2558"/>
      <c r="I327" s="2579"/>
      <c r="J327" s="2579"/>
      <c r="K327" s="2579"/>
      <c r="L327" s="2579"/>
      <c r="M327" s="2579"/>
      <c r="N327" s="2579"/>
      <c r="O327" s="2579"/>
    </row>
    <row r="328" spans="1:15" s="2463" customFormat="1" ht="12.75">
      <c r="A328" s="4879"/>
      <c r="B328" s="4879"/>
      <c r="C328" s="2557"/>
      <c r="D328" s="2555"/>
      <c r="E328" s="2555"/>
      <c r="F328" s="2555"/>
      <c r="G328" s="2556"/>
      <c r="H328" s="2555"/>
      <c r="I328" s="2579"/>
      <c r="J328" s="2579"/>
      <c r="K328" s="2579"/>
      <c r="L328" s="2579"/>
      <c r="M328" s="2579"/>
      <c r="N328" s="2579"/>
      <c r="O328" s="2579"/>
    </row>
    <row r="329" spans="1:15">
      <c r="A329" s="2554"/>
      <c r="B329" s="2553"/>
      <c r="C329" s="2552"/>
      <c r="D329" s="2551"/>
      <c r="E329" s="2551"/>
      <c r="F329" s="2551"/>
      <c r="G329" s="2551"/>
      <c r="H329" s="2551"/>
    </row>
    <row r="330" spans="1:15">
      <c r="A330" s="2549"/>
      <c r="B330" s="2549"/>
      <c r="C330" s="2550"/>
      <c r="D330" s="2548"/>
      <c r="E330" s="2548"/>
      <c r="F330" s="2540"/>
      <c r="G330" s="2548"/>
      <c r="H330" s="2548"/>
    </row>
    <row r="331" spans="1:15">
      <c r="A331" s="2549"/>
      <c r="B331" s="2549"/>
      <c r="C331" s="2545"/>
      <c r="D331" s="2548"/>
      <c r="E331" s="2548"/>
      <c r="F331" s="2540"/>
      <c r="G331" s="2548"/>
      <c r="H331" s="2548"/>
    </row>
    <row r="332" spans="1:15">
      <c r="A332" s="2547"/>
      <c r="B332" s="2546"/>
      <c r="C332" s="2545"/>
      <c r="D332" s="2541"/>
      <c r="E332" s="2544"/>
      <c r="F332" s="2540"/>
      <c r="G332" s="2544"/>
      <c r="H332" s="2544"/>
    </row>
    <row r="333" spans="1:15" s="2463" customFormat="1" ht="12.75">
      <c r="A333" s="2543"/>
      <c r="B333" s="2543"/>
      <c r="C333" s="2542"/>
      <c r="D333" s="2541"/>
      <c r="E333" s="2539"/>
      <c r="F333" s="2540"/>
      <c r="G333" s="2539"/>
      <c r="H333" s="2539"/>
      <c r="I333" s="2579"/>
      <c r="J333" s="2579"/>
      <c r="K333" s="2579"/>
      <c r="L333" s="2579"/>
      <c r="M333" s="2579"/>
      <c r="N333" s="2579"/>
      <c r="O333" s="2579"/>
    </row>
    <row r="334" spans="1:15" s="2463" customFormat="1" ht="12.75">
      <c r="A334" s="2538"/>
      <c r="B334" s="2538"/>
      <c r="C334" s="2537"/>
      <c r="D334" s="2536"/>
      <c r="E334" s="2536"/>
      <c r="F334" s="2536"/>
      <c r="G334" s="2536"/>
      <c r="H334" s="2536"/>
      <c r="I334" s="2579"/>
      <c r="J334" s="2579"/>
      <c r="K334" s="2579"/>
      <c r="L334" s="2579"/>
      <c r="M334" s="2579"/>
      <c r="N334" s="2579"/>
      <c r="O334" s="2579"/>
    </row>
    <row r="335" spans="1:15" s="2463" customFormat="1" ht="12.75">
      <c r="A335" s="2538"/>
      <c r="B335" s="2538"/>
      <c r="C335" s="2537"/>
      <c r="D335" s="2536"/>
      <c r="E335" s="2536"/>
      <c r="F335" s="2536"/>
      <c r="G335" s="2536"/>
      <c r="H335" s="2536"/>
      <c r="I335" s="2579"/>
      <c r="J335" s="2579"/>
      <c r="K335" s="2579"/>
      <c r="L335" s="2579"/>
      <c r="M335" s="2579"/>
      <c r="N335" s="2579"/>
      <c r="O335" s="2579"/>
    </row>
    <row r="336" spans="1:15" s="2463" customFormat="1">
      <c r="A336" s="1269"/>
      <c r="B336" s="2529"/>
      <c r="C336" s="2535"/>
      <c r="D336" s="2529"/>
      <c r="E336" s="4877"/>
      <c r="F336" s="4877"/>
      <c r="G336" s="1269"/>
      <c r="H336" s="2529"/>
      <c r="I336" s="2579"/>
      <c r="J336" s="2579"/>
      <c r="K336" s="2579"/>
      <c r="L336" s="2579"/>
      <c r="M336" s="2579"/>
      <c r="N336" s="2579"/>
      <c r="O336" s="2579"/>
    </row>
    <row r="337" spans="1:15" s="2463" customFormat="1">
      <c r="A337" s="2529"/>
      <c r="B337" s="1269"/>
      <c r="C337" s="2535"/>
      <c r="D337" s="1269"/>
      <c r="E337" s="1269"/>
      <c r="F337" s="1269"/>
      <c r="G337" s="1269"/>
      <c r="H337" s="2529"/>
      <c r="I337" s="2579"/>
      <c r="J337" s="2579"/>
      <c r="K337" s="2579"/>
      <c r="L337" s="2579"/>
      <c r="M337" s="2579"/>
      <c r="N337" s="2579"/>
      <c r="O337" s="2579"/>
    </row>
    <row r="338" spans="1:15" s="2463" customFormat="1" ht="12.75">
      <c r="A338" s="2534"/>
      <c r="B338" s="1269"/>
      <c r="C338" s="4881"/>
      <c r="D338" s="4881"/>
      <c r="E338" s="4876"/>
      <c r="F338" s="4876"/>
      <c r="G338" s="4876"/>
      <c r="H338" s="4876"/>
      <c r="I338" s="2579"/>
      <c r="J338" s="2579"/>
      <c r="K338" s="2579"/>
      <c r="L338" s="2579"/>
      <c r="M338" s="2579"/>
      <c r="N338" s="2579"/>
      <c r="O338" s="2579"/>
    </row>
    <row r="339" spans="1:15" s="2463" customFormat="1" ht="12.75">
      <c r="A339" s="2531"/>
      <c r="B339" s="2533"/>
      <c r="C339" s="4874"/>
      <c r="D339" s="4874"/>
      <c r="E339" s="4875"/>
      <c r="F339" s="4875"/>
      <c r="G339" s="4875"/>
      <c r="H339" s="4875"/>
      <c r="I339" s="2579"/>
      <c r="J339" s="2579"/>
      <c r="K339" s="2579"/>
      <c r="L339" s="2579"/>
      <c r="M339" s="2579"/>
      <c r="N339" s="2579"/>
      <c r="O339" s="2579"/>
    </row>
    <row r="340" spans="1:15" s="2463" customFormat="1">
      <c r="A340" s="2462"/>
      <c r="B340" s="2462"/>
      <c r="C340" s="2462"/>
      <c r="D340" s="2462"/>
      <c r="E340" s="2462"/>
      <c r="F340" s="2462"/>
      <c r="G340" s="2462"/>
      <c r="H340" s="2462"/>
      <c r="I340" s="2579"/>
      <c r="J340" s="2579"/>
      <c r="K340" s="2579"/>
      <c r="L340" s="2579"/>
      <c r="M340" s="2579"/>
      <c r="N340" s="2579"/>
      <c r="O340" s="2579"/>
    </row>
    <row r="341" spans="1:15" s="2463" customFormat="1">
      <c r="A341" s="2462"/>
      <c r="B341" s="2462"/>
      <c r="C341" s="2462"/>
      <c r="D341" s="2462"/>
      <c r="E341" s="2462"/>
      <c r="F341" s="2462"/>
      <c r="G341" s="2462"/>
      <c r="H341" s="2462"/>
      <c r="I341" s="2579"/>
      <c r="J341" s="2579"/>
      <c r="K341" s="2579"/>
      <c r="L341" s="2579"/>
      <c r="M341" s="2579"/>
      <c r="N341" s="2579"/>
      <c r="O341" s="2579"/>
    </row>
    <row r="342" spans="1:15" s="2463" customFormat="1">
      <c r="A342" s="2462"/>
      <c r="B342" s="2462"/>
      <c r="C342" s="2462"/>
      <c r="D342" s="2462"/>
      <c r="E342" s="2462"/>
      <c r="F342" s="2462"/>
      <c r="G342" s="2462"/>
      <c r="H342" s="2462"/>
      <c r="I342" s="2579"/>
      <c r="J342" s="2579"/>
      <c r="K342" s="2579"/>
      <c r="L342" s="2579"/>
      <c r="M342" s="2579"/>
      <c r="N342" s="2579"/>
      <c r="O342" s="2579"/>
    </row>
    <row r="343" spans="1:15" s="2463" customFormat="1">
      <c r="A343" s="2462"/>
      <c r="B343" s="2462"/>
      <c r="C343" s="2462"/>
      <c r="D343" s="2462"/>
      <c r="E343" s="2462"/>
      <c r="F343" s="2462"/>
      <c r="G343" s="2462"/>
      <c r="H343" s="2462"/>
      <c r="I343" s="2579"/>
      <c r="J343" s="2579"/>
      <c r="K343" s="2579"/>
      <c r="L343" s="2579"/>
      <c r="M343" s="2579"/>
      <c r="N343" s="2579"/>
      <c r="O343" s="2579"/>
    </row>
    <row r="344" spans="1:15" s="2463" customFormat="1">
      <c r="A344" s="2462"/>
      <c r="B344" s="2462"/>
      <c r="C344" s="2462"/>
      <c r="D344" s="2462"/>
      <c r="E344" s="2462"/>
      <c r="F344" s="2462"/>
      <c r="G344" s="2462"/>
      <c r="H344" s="2462"/>
      <c r="I344" s="2579"/>
      <c r="J344" s="2579"/>
      <c r="K344" s="2579"/>
      <c r="L344" s="2579"/>
      <c r="M344" s="2579"/>
      <c r="N344" s="2579"/>
      <c r="O344" s="2579"/>
    </row>
    <row r="345" spans="1:15" s="2463" customFormat="1">
      <c r="A345" s="2462"/>
      <c r="B345" s="2462"/>
      <c r="C345" s="2462"/>
      <c r="D345" s="2462"/>
      <c r="E345" s="2462"/>
      <c r="F345" s="2462"/>
      <c r="G345" s="2462"/>
      <c r="H345" s="2462"/>
      <c r="I345" s="2579"/>
      <c r="J345" s="2579"/>
      <c r="K345" s="2579"/>
      <c r="L345" s="2579"/>
      <c r="M345" s="2579"/>
      <c r="N345" s="2579"/>
      <c r="O345" s="2579"/>
    </row>
    <row r="346" spans="1:15" s="2463" customFormat="1">
      <c r="A346" s="2462"/>
      <c r="B346" s="2462"/>
      <c r="C346" s="2462"/>
      <c r="D346" s="2462"/>
      <c r="E346" s="2462"/>
      <c r="F346" s="2462"/>
      <c r="G346" s="2462"/>
      <c r="H346" s="2462"/>
      <c r="I346" s="2579"/>
      <c r="J346" s="2579"/>
      <c r="K346" s="2579"/>
      <c r="L346" s="2579"/>
      <c r="M346" s="2579"/>
      <c r="N346" s="2579"/>
      <c r="O346" s="2579"/>
    </row>
    <row r="347" spans="1:15" s="2463" customFormat="1">
      <c r="A347" s="2462"/>
      <c r="B347" s="2462"/>
      <c r="C347" s="2462"/>
      <c r="D347" s="2462"/>
      <c r="E347" s="2462"/>
      <c r="F347" s="2462"/>
      <c r="G347" s="2462"/>
      <c r="H347" s="2462"/>
      <c r="I347" s="2579"/>
      <c r="J347" s="2579"/>
      <c r="K347" s="2579"/>
      <c r="L347" s="2579"/>
      <c r="M347" s="2579"/>
      <c r="N347" s="2579"/>
      <c r="O347" s="2579"/>
    </row>
    <row r="348" spans="1:15" s="2463" customFormat="1">
      <c r="A348" s="2462"/>
      <c r="B348" s="2462"/>
      <c r="C348" s="2462"/>
      <c r="D348" s="2462"/>
      <c r="E348" s="2462"/>
      <c r="F348" s="2462"/>
      <c r="G348" s="2462"/>
      <c r="H348" s="2462"/>
      <c r="I348" s="2579"/>
      <c r="J348" s="2579"/>
      <c r="K348" s="2579"/>
      <c r="L348" s="2579"/>
      <c r="M348" s="2579"/>
      <c r="N348" s="2579"/>
      <c r="O348" s="2579"/>
    </row>
    <row r="349" spans="1:15" s="2463" customFormat="1">
      <c r="A349" s="2462"/>
      <c r="B349" s="2462"/>
      <c r="C349" s="2462"/>
      <c r="D349" s="2462"/>
      <c r="E349" s="2462"/>
      <c r="F349" s="2462"/>
      <c r="G349" s="2462"/>
      <c r="H349" s="2462"/>
      <c r="I349" s="2579"/>
      <c r="J349" s="2579"/>
      <c r="K349" s="2579"/>
      <c r="L349" s="2579"/>
      <c r="M349" s="2579"/>
      <c r="N349" s="2579"/>
      <c r="O349" s="2579"/>
    </row>
    <row r="350" spans="1:15" s="2463" customFormat="1">
      <c r="A350" s="2462"/>
      <c r="B350" s="2462"/>
      <c r="C350" s="2462"/>
      <c r="D350" s="2462"/>
      <c r="E350" s="2462"/>
      <c r="F350" s="2462"/>
      <c r="G350" s="2462"/>
      <c r="H350" s="2462"/>
      <c r="I350" s="2579"/>
      <c r="J350" s="2579"/>
      <c r="K350" s="2579"/>
      <c r="L350" s="2579"/>
      <c r="M350" s="2579"/>
      <c r="N350" s="2579"/>
      <c r="O350" s="2579"/>
    </row>
    <row r="351" spans="1:15" s="2463" customFormat="1">
      <c r="A351" s="2462"/>
      <c r="B351" s="2462"/>
      <c r="C351" s="2462"/>
      <c r="D351" s="2462"/>
      <c r="E351" s="2462"/>
      <c r="F351" s="2462"/>
      <c r="G351" s="2462"/>
      <c r="H351" s="2462"/>
      <c r="I351" s="2579"/>
      <c r="J351" s="2579"/>
      <c r="K351" s="2579"/>
      <c r="L351" s="2579"/>
      <c r="M351" s="2579"/>
      <c r="N351" s="2579"/>
      <c r="O351" s="2579"/>
    </row>
    <row r="352" spans="1:15" s="2463" customFormat="1">
      <c r="A352" s="2462"/>
      <c r="B352" s="2462"/>
      <c r="C352" s="2462"/>
      <c r="D352" s="2462"/>
      <c r="E352" s="2462"/>
      <c r="F352" s="2462"/>
      <c r="G352" s="2462"/>
      <c r="H352" s="2462"/>
      <c r="I352" s="2579"/>
      <c r="J352" s="2579"/>
      <c r="K352" s="2579"/>
      <c r="L352" s="2579"/>
      <c r="M352" s="2579"/>
      <c r="N352" s="2579"/>
      <c r="O352" s="2579"/>
    </row>
    <row r="353" spans="1:15" s="2463" customFormat="1">
      <c r="A353" s="2462"/>
      <c r="B353" s="2462"/>
      <c r="C353" s="2462"/>
      <c r="D353" s="2462"/>
      <c r="E353" s="2462"/>
      <c r="F353" s="2462"/>
      <c r="G353" s="2462"/>
      <c r="H353" s="2462"/>
      <c r="I353" s="2579"/>
      <c r="J353" s="2579"/>
      <c r="K353" s="2579"/>
      <c r="L353" s="2579"/>
      <c r="M353" s="2579"/>
      <c r="N353" s="2579"/>
      <c r="O353" s="2579"/>
    </row>
    <row r="354" spans="1:15" s="2463" customFormat="1">
      <c r="A354" s="2462"/>
      <c r="B354" s="2462"/>
      <c r="C354" s="2462"/>
      <c r="D354" s="2462"/>
      <c r="E354" s="2462"/>
      <c r="F354" s="2462"/>
      <c r="G354" s="2462"/>
      <c r="H354" s="2462"/>
      <c r="I354" s="2579"/>
      <c r="J354" s="2579"/>
      <c r="K354" s="2579"/>
      <c r="L354" s="2579"/>
      <c r="M354" s="2579"/>
      <c r="N354" s="2579"/>
      <c r="O354" s="2579"/>
    </row>
    <row r="355" spans="1:15" s="2463" customFormat="1">
      <c r="A355" s="2462"/>
      <c r="B355" s="2462"/>
      <c r="C355" s="2462"/>
      <c r="D355" s="2462"/>
      <c r="E355" s="2462"/>
      <c r="F355" s="2462"/>
      <c r="G355" s="2462"/>
      <c r="H355" s="2462"/>
      <c r="I355" s="2579"/>
      <c r="J355" s="2579"/>
      <c r="K355" s="2579"/>
      <c r="L355" s="2579"/>
      <c r="M355" s="2579"/>
      <c r="N355" s="2579"/>
      <c r="O355" s="2579"/>
    </row>
    <row r="356" spans="1:15" s="2463" customFormat="1">
      <c r="A356" s="2462"/>
      <c r="B356" s="2462"/>
      <c r="C356" s="2462"/>
      <c r="D356" s="2462"/>
      <c r="E356" s="2462"/>
      <c r="F356" s="2462"/>
      <c r="G356" s="2462"/>
      <c r="H356" s="2462"/>
      <c r="I356" s="2579"/>
      <c r="J356" s="2579"/>
      <c r="K356" s="2579"/>
      <c r="L356" s="2579"/>
      <c r="M356" s="2579"/>
      <c r="N356" s="2579"/>
      <c r="O356" s="2579"/>
    </row>
    <row r="357" spans="1:15" s="2463" customFormat="1">
      <c r="A357" s="2462"/>
      <c r="B357" s="2462"/>
      <c r="C357" s="2462"/>
      <c r="D357" s="2462"/>
      <c r="E357" s="2462"/>
      <c r="F357" s="2462"/>
      <c r="G357" s="2462"/>
      <c r="H357" s="2462"/>
      <c r="I357" s="2579"/>
      <c r="J357" s="2579"/>
      <c r="K357" s="2579"/>
      <c r="L357" s="2579"/>
      <c r="M357" s="2579"/>
      <c r="N357" s="2579"/>
      <c r="O357" s="2579"/>
    </row>
    <row r="358" spans="1:15" s="2463" customFormat="1">
      <c r="A358" s="2462"/>
      <c r="B358" s="2462"/>
      <c r="C358" s="2462"/>
      <c r="D358" s="2462"/>
      <c r="E358" s="2462"/>
      <c r="F358" s="2462"/>
      <c r="G358" s="2462"/>
      <c r="H358" s="2462"/>
      <c r="I358" s="2579"/>
      <c r="J358" s="2579"/>
      <c r="K358" s="2579"/>
      <c r="L358" s="2579"/>
      <c r="M358" s="2579"/>
      <c r="N358" s="2579"/>
      <c r="O358" s="2579"/>
    </row>
    <row r="359" spans="1:15" s="2463" customFormat="1">
      <c r="A359" s="2462"/>
      <c r="B359" s="2462"/>
      <c r="C359" s="2462"/>
      <c r="D359" s="2462"/>
      <c r="E359" s="2462"/>
      <c r="F359" s="2462"/>
      <c r="G359" s="2462"/>
      <c r="H359" s="2462"/>
      <c r="I359" s="2579"/>
      <c r="J359" s="2579"/>
      <c r="K359" s="2579"/>
      <c r="L359" s="2579"/>
      <c r="M359" s="2579"/>
      <c r="N359" s="2579"/>
      <c r="O359" s="2579"/>
    </row>
    <row r="360" spans="1:15" s="2463" customFormat="1">
      <c r="A360" s="2462"/>
      <c r="B360" s="2462"/>
      <c r="C360" s="2462"/>
      <c r="D360" s="2462"/>
      <c r="E360" s="2462"/>
      <c r="F360" s="2462"/>
      <c r="G360" s="2462"/>
      <c r="H360" s="2462"/>
      <c r="I360" s="2579"/>
      <c r="J360" s="2579"/>
      <c r="K360" s="2579"/>
      <c r="L360" s="2579"/>
      <c r="M360" s="2579"/>
      <c r="N360" s="2579"/>
      <c r="O360" s="2579"/>
    </row>
    <row r="361" spans="1:15" s="2463" customFormat="1">
      <c r="A361" s="2462"/>
      <c r="B361" s="2462"/>
      <c r="C361" s="2462"/>
      <c r="D361" s="2462"/>
      <c r="E361" s="2462"/>
      <c r="F361" s="2462"/>
      <c r="G361" s="2462"/>
      <c r="H361" s="2462"/>
      <c r="I361" s="2579"/>
      <c r="J361" s="2579"/>
      <c r="K361" s="2579"/>
      <c r="L361" s="2579"/>
      <c r="M361" s="2579"/>
      <c r="N361" s="2579"/>
      <c r="O361" s="2579"/>
    </row>
    <row r="362" spans="1:15" s="2463" customFormat="1">
      <c r="A362" s="2462"/>
      <c r="B362" s="2462"/>
      <c r="C362" s="2462"/>
      <c r="D362" s="2462"/>
      <c r="E362" s="2462"/>
      <c r="F362" s="2462"/>
      <c r="G362" s="2462"/>
      <c r="H362" s="2462"/>
      <c r="I362" s="2579"/>
      <c r="J362" s="2579"/>
      <c r="K362" s="2579"/>
      <c r="L362" s="2579"/>
      <c r="M362" s="2579"/>
      <c r="N362" s="2579"/>
      <c r="O362" s="2579"/>
    </row>
    <row r="363" spans="1:15" s="2463" customFormat="1">
      <c r="A363" s="2462"/>
      <c r="B363" s="2462"/>
      <c r="C363" s="2462"/>
      <c r="D363" s="2462"/>
      <c r="E363" s="2462"/>
      <c r="F363" s="2462"/>
      <c r="G363" s="2462"/>
      <c r="H363" s="2462"/>
      <c r="I363" s="2579"/>
      <c r="J363" s="2579"/>
      <c r="K363" s="2579"/>
      <c r="L363" s="2579"/>
      <c r="M363" s="2579"/>
      <c r="N363" s="2579"/>
      <c r="O363" s="2579"/>
    </row>
    <row r="364" spans="1:15" s="2463" customFormat="1">
      <c r="A364" s="2462"/>
      <c r="B364" s="2462"/>
      <c r="C364" s="2462"/>
      <c r="D364" s="2462"/>
      <c r="E364" s="2462"/>
      <c r="F364" s="2462"/>
      <c r="G364" s="2462"/>
      <c r="H364" s="2462"/>
      <c r="I364" s="2579"/>
      <c r="J364" s="2579"/>
      <c r="K364" s="2579"/>
      <c r="L364" s="2579"/>
      <c r="M364" s="2579"/>
      <c r="N364" s="2579"/>
      <c r="O364" s="2579"/>
    </row>
    <row r="365" spans="1:15" s="2463" customFormat="1">
      <c r="A365" s="2462"/>
      <c r="B365" s="2462"/>
      <c r="C365" s="2462"/>
      <c r="D365" s="2462"/>
      <c r="E365" s="2462"/>
      <c r="F365" s="2462"/>
      <c r="G365" s="2462"/>
      <c r="H365" s="2462"/>
      <c r="I365" s="2579"/>
      <c r="J365" s="2579"/>
      <c r="K365" s="2579"/>
      <c r="L365" s="2579"/>
      <c r="M365" s="2579"/>
      <c r="N365" s="2579"/>
      <c r="O365" s="2579"/>
    </row>
    <row r="366" spans="1:15" s="2463" customFormat="1">
      <c r="A366" s="2462"/>
      <c r="B366" s="2462"/>
      <c r="C366" s="2462"/>
      <c r="D366" s="2462"/>
      <c r="E366" s="2462"/>
      <c r="F366" s="2462"/>
      <c r="G366" s="2462"/>
      <c r="H366" s="2462"/>
      <c r="I366" s="2579"/>
      <c r="J366" s="2579"/>
      <c r="K366" s="2579"/>
      <c r="L366" s="2579"/>
      <c r="M366" s="2579"/>
      <c r="N366" s="2579"/>
      <c r="O366" s="2579"/>
    </row>
    <row r="367" spans="1:15" s="2463" customFormat="1">
      <c r="A367" s="2462"/>
      <c r="B367" s="2462"/>
      <c r="C367" s="2462"/>
      <c r="D367" s="2462"/>
      <c r="E367" s="2462"/>
      <c r="F367" s="2462"/>
      <c r="G367" s="2462"/>
      <c r="H367" s="2462"/>
      <c r="I367" s="2579"/>
      <c r="J367" s="2579"/>
      <c r="K367" s="2579"/>
      <c r="L367" s="2579"/>
      <c r="M367" s="2579"/>
      <c r="N367" s="2579"/>
      <c r="O367" s="2579"/>
    </row>
    <row r="368" spans="1:15" s="2463" customFormat="1">
      <c r="A368" s="2462"/>
      <c r="B368" s="2462"/>
      <c r="C368" s="2462"/>
      <c r="D368" s="2462"/>
      <c r="E368" s="2462"/>
      <c r="F368" s="2462"/>
      <c r="G368" s="2462"/>
      <c r="H368" s="2462"/>
      <c r="I368" s="2579"/>
      <c r="J368" s="2579"/>
      <c r="K368" s="2579"/>
      <c r="L368" s="2579"/>
      <c r="M368" s="2579"/>
      <c r="N368" s="2579"/>
      <c r="O368" s="2579"/>
    </row>
    <row r="369" spans="1:15" s="2463" customFormat="1">
      <c r="A369" s="2462"/>
      <c r="B369" s="2462"/>
      <c r="C369" s="2462"/>
      <c r="D369" s="2462"/>
      <c r="E369" s="2462"/>
      <c r="F369" s="2462"/>
      <c r="G369" s="2462"/>
      <c r="H369" s="2462"/>
      <c r="I369" s="2579"/>
      <c r="J369" s="2579"/>
      <c r="K369" s="2579"/>
      <c r="L369" s="2579"/>
      <c r="M369" s="2579"/>
      <c r="N369" s="2579"/>
      <c r="O369" s="2579"/>
    </row>
    <row r="374" spans="1:15" s="2463" customFormat="1">
      <c r="A374" s="2462"/>
      <c r="B374" s="2462"/>
      <c r="C374" s="2462"/>
      <c r="D374" s="2462"/>
      <c r="E374" s="2462"/>
      <c r="F374" s="2462"/>
      <c r="G374" s="2462"/>
      <c r="H374" s="2462"/>
      <c r="I374" s="2579"/>
      <c r="J374" s="2579"/>
      <c r="K374" s="2579"/>
      <c r="L374" s="2579"/>
      <c r="M374" s="2579"/>
      <c r="N374" s="2579"/>
      <c r="O374" s="2579"/>
    </row>
    <row r="375" spans="1:15" s="2463" customFormat="1">
      <c r="A375" s="2462"/>
      <c r="B375" s="2462"/>
      <c r="C375" s="2462"/>
      <c r="D375" s="2462"/>
      <c r="E375" s="2462"/>
      <c r="F375" s="2462"/>
      <c r="G375" s="2462"/>
      <c r="H375" s="2462"/>
      <c r="I375" s="2579"/>
      <c r="J375" s="2579"/>
      <c r="K375" s="2579"/>
      <c r="L375" s="2579"/>
      <c r="M375" s="2579"/>
      <c r="N375" s="2579"/>
      <c r="O375" s="2579"/>
    </row>
    <row r="376" spans="1:15" s="2463" customFormat="1">
      <c r="A376" s="2462"/>
      <c r="B376" s="2462"/>
      <c r="C376" s="2462"/>
      <c r="D376" s="2462"/>
      <c r="E376" s="2462"/>
      <c r="F376" s="2462"/>
      <c r="G376" s="2462"/>
      <c r="H376" s="2462"/>
      <c r="I376" s="2579"/>
      <c r="J376" s="2579"/>
      <c r="K376" s="2579"/>
      <c r="L376" s="2579"/>
      <c r="M376" s="2579"/>
      <c r="N376" s="2579"/>
      <c r="O376" s="2579"/>
    </row>
    <row r="377" spans="1:15" s="2463" customFormat="1">
      <c r="A377" s="2462"/>
      <c r="B377" s="2462"/>
      <c r="C377" s="2462"/>
      <c r="D377" s="2462"/>
      <c r="E377" s="2462"/>
      <c r="F377" s="2462"/>
      <c r="G377" s="2462"/>
      <c r="H377" s="2462"/>
      <c r="I377" s="2579"/>
      <c r="J377" s="2579"/>
      <c r="K377" s="2579"/>
      <c r="L377" s="2579"/>
      <c r="M377" s="2579"/>
      <c r="N377" s="2579"/>
      <c r="O377" s="2579"/>
    </row>
    <row r="378" spans="1:15" s="2463" customFormat="1">
      <c r="A378" s="2462"/>
      <c r="B378" s="2462"/>
      <c r="C378" s="2462"/>
      <c r="D378" s="2462"/>
      <c r="E378" s="2462"/>
      <c r="F378" s="2462"/>
      <c r="G378" s="2462"/>
      <c r="H378" s="2462"/>
      <c r="I378" s="2579"/>
      <c r="J378" s="2579"/>
      <c r="K378" s="2579"/>
      <c r="L378" s="2579"/>
      <c r="M378" s="2579"/>
      <c r="N378" s="2579"/>
      <c r="O378" s="2579"/>
    </row>
    <row r="379" spans="1:15" s="2463" customFormat="1">
      <c r="A379" s="2462"/>
      <c r="B379" s="2462"/>
      <c r="C379" s="2462"/>
      <c r="D379" s="2462"/>
      <c r="E379" s="2462"/>
      <c r="F379" s="2462"/>
      <c r="G379" s="2462"/>
      <c r="H379" s="2462"/>
      <c r="I379" s="2579"/>
      <c r="J379" s="2579"/>
      <c r="K379" s="2579"/>
      <c r="L379" s="2579"/>
      <c r="M379" s="2579"/>
      <c r="N379" s="2579"/>
      <c r="O379" s="2579"/>
    </row>
    <row r="380" spans="1:15" s="2463" customFormat="1">
      <c r="A380" s="2462"/>
      <c r="B380" s="2462"/>
      <c r="C380" s="2462"/>
      <c r="D380" s="2462"/>
      <c r="E380" s="2462"/>
      <c r="F380" s="2462"/>
      <c r="G380" s="2462"/>
      <c r="H380" s="2462"/>
      <c r="I380" s="2579"/>
      <c r="J380" s="2579"/>
      <c r="K380" s="2579"/>
      <c r="L380" s="2579"/>
      <c r="M380" s="2579"/>
      <c r="N380" s="2579"/>
      <c r="O380" s="2579"/>
    </row>
    <row r="381" spans="1:15" s="2463" customFormat="1">
      <c r="A381" s="2462"/>
      <c r="B381" s="2462"/>
      <c r="C381" s="2462"/>
      <c r="D381" s="2462"/>
      <c r="E381" s="2462"/>
      <c r="F381" s="2462"/>
      <c r="G381" s="2462"/>
      <c r="H381" s="2462"/>
      <c r="I381" s="2579"/>
      <c r="J381" s="2579"/>
      <c r="K381" s="2579"/>
      <c r="L381" s="2579"/>
      <c r="M381" s="2579"/>
      <c r="N381" s="2579"/>
      <c r="O381" s="2579"/>
    </row>
    <row r="382" spans="1:15" s="2463" customFormat="1">
      <c r="A382" s="2462"/>
      <c r="B382" s="2462"/>
      <c r="C382" s="2462"/>
      <c r="D382" s="2462"/>
      <c r="E382" s="2462"/>
      <c r="F382" s="2462"/>
      <c r="G382" s="2462"/>
      <c r="H382" s="2462"/>
      <c r="I382" s="2579"/>
      <c r="J382" s="2579"/>
      <c r="K382" s="2579"/>
      <c r="L382" s="2579"/>
      <c r="M382" s="2579"/>
      <c r="N382" s="2579"/>
      <c r="O382" s="2579"/>
    </row>
    <row r="383" spans="1:15" s="2463" customFormat="1">
      <c r="A383" s="2462"/>
      <c r="B383" s="2462"/>
      <c r="C383" s="2462"/>
      <c r="D383" s="2462"/>
      <c r="E383" s="2462"/>
      <c r="F383" s="2462"/>
      <c r="G383" s="2462"/>
      <c r="H383" s="2462"/>
      <c r="I383" s="2579"/>
      <c r="J383" s="2579"/>
      <c r="K383" s="2579"/>
      <c r="L383" s="2579"/>
      <c r="M383" s="2579"/>
      <c r="N383" s="2579"/>
      <c r="O383" s="2579"/>
    </row>
    <row r="384" spans="1:15" s="2463" customFormat="1">
      <c r="A384" s="2462"/>
      <c r="B384" s="2462"/>
      <c r="C384" s="2462"/>
      <c r="D384" s="2462"/>
      <c r="E384" s="2462"/>
      <c r="F384" s="2462"/>
      <c r="G384" s="2462"/>
      <c r="H384" s="2462"/>
      <c r="I384" s="2579"/>
      <c r="J384" s="2579"/>
      <c r="K384" s="2579"/>
      <c r="L384" s="2579"/>
      <c r="M384" s="2579"/>
      <c r="N384" s="2579"/>
      <c r="O384" s="2579"/>
    </row>
    <row r="385" spans="1:15" s="2463" customFormat="1">
      <c r="A385" s="2462"/>
      <c r="B385" s="2462"/>
      <c r="C385" s="2462"/>
      <c r="D385" s="2462"/>
      <c r="E385" s="2462"/>
      <c r="F385" s="2462"/>
      <c r="G385" s="2462"/>
      <c r="H385" s="2462"/>
      <c r="I385" s="2579"/>
      <c r="J385" s="2579"/>
      <c r="K385" s="2579"/>
      <c r="L385" s="2579"/>
      <c r="M385" s="2579"/>
      <c r="N385" s="2579"/>
      <c r="O385" s="2579"/>
    </row>
    <row r="386" spans="1:15" s="2463" customFormat="1">
      <c r="A386" s="2462"/>
      <c r="B386" s="2462"/>
      <c r="C386" s="2462"/>
      <c r="D386" s="2462"/>
      <c r="E386" s="2462"/>
      <c r="F386" s="2462"/>
      <c r="G386" s="2462"/>
      <c r="H386" s="2462"/>
      <c r="I386" s="2579"/>
      <c r="J386" s="2579"/>
      <c r="K386" s="2579"/>
      <c r="L386" s="2579"/>
      <c r="M386" s="2579"/>
      <c r="N386" s="2579"/>
      <c r="O386" s="2579"/>
    </row>
    <row r="387" spans="1:15" s="2463" customFormat="1">
      <c r="A387" s="2462"/>
      <c r="B387" s="2462"/>
      <c r="C387" s="2462"/>
      <c r="D387" s="2462"/>
      <c r="E387" s="2462"/>
      <c r="F387" s="2462"/>
      <c r="G387" s="2462"/>
      <c r="H387" s="2462"/>
      <c r="I387" s="2579"/>
      <c r="J387" s="2579"/>
      <c r="K387" s="2579"/>
      <c r="L387" s="2579"/>
      <c r="M387" s="2579"/>
      <c r="N387" s="2579"/>
      <c r="O387" s="2579"/>
    </row>
    <row r="388" spans="1:15" s="2463" customFormat="1">
      <c r="A388" s="2462"/>
      <c r="B388" s="2462"/>
      <c r="C388" s="2462"/>
      <c r="D388" s="2462"/>
      <c r="E388" s="2462"/>
      <c r="F388" s="2462"/>
      <c r="G388" s="2462"/>
      <c r="H388" s="2462"/>
      <c r="I388" s="2579"/>
      <c r="J388" s="2579"/>
      <c r="K388" s="2579"/>
      <c r="L388" s="2579"/>
      <c r="M388" s="2579"/>
      <c r="N388" s="2579"/>
      <c r="O388" s="2579"/>
    </row>
    <row r="389" spans="1:15" s="2463" customFormat="1">
      <c r="A389" s="2462"/>
      <c r="B389" s="2462"/>
      <c r="C389" s="2462"/>
      <c r="D389" s="2462"/>
      <c r="E389" s="2462"/>
      <c r="F389" s="2462"/>
      <c r="G389" s="2462"/>
      <c r="H389" s="2462"/>
      <c r="I389" s="2579"/>
      <c r="J389" s="2579"/>
      <c r="K389" s="2579"/>
      <c r="L389" s="2579"/>
      <c r="M389" s="2579"/>
      <c r="N389" s="2579"/>
      <c r="O389" s="2579"/>
    </row>
    <row r="390" spans="1:15" s="2463" customFormat="1">
      <c r="A390" s="2462"/>
      <c r="B390" s="2462"/>
      <c r="C390" s="2462"/>
      <c r="D390" s="2462"/>
      <c r="E390" s="2462"/>
      <c r="F390" s="2462"/>
      <c r="G390" s="2462"/>
      <c r="H390" s="2462"/>
      <c r="I390" s="2579"/>
      <c r="J390" s="2579"/>
      <c r="K390" s="2579"/>
      <c r="L390" s="2579"/>
      <c r="M390" s="2579"/>
      <c r="N390" s="2579"/>
      <c r="O390" s="2579"/>
    </row>
    <row r="391" spans="1:15" s="2463" customFormat="1">
      <c r="A391" s="2462"/>
      <c r="B391" s="2462"/>
      <c r="C391" s="2462"/>
      <c r="D391" s="2462"/>
      <c r="E391" s="2462"/>
      <c r="F391" s="2462"/>
      <c r="G391" s="2462"/>
      <c r="H391" s="2462"/>
      <c r="I391" s="2579"/>
      <c r="J391" s="2579"/>
      <c r="K391" s="2579"/>
      <c r="L391" s="2579"/>
      <c r="M391" s="2579"/>
      <c r="N391" s="2579"/>
      <c r="O391" s="2579"/>
    </row>
    <row r="392" spans="1:15" s="2463" customFormat="1">
      <c r="A392" s="2462"/>
      <c r="B392" s="2462"/>
      <c r="C392" s="2462"/>
      <c r="D392" s="2462"/>
      <c r="E392" s="2462"/>
      <c r="F392" s="2462"/>
      <c r="G392" s="2462"/>
      <c r="H392" s="2462"/>
      <c r="I392" s="2579"/>
      <c r="J392" s="2579"/>
      <c r="K392" s="2579"/>
      <c r="L392" s="2579"/>
      <c r="M392" s="2579"/>
      <c r="N392" s="2579"/>
      <c r="O392" s="2579"/>
    </row>
    <row r="393" spans="1:15" s="2463" customFormat="1">
      <c r="A393" s="2462"/>
      <c r="B393" s="2462"/>
      <c r="C393" s="2462"/>
      <c r="D393" s="2462"/>
      <c r="E393" s="2462"/>
      <c r="F393" s="2462"/>
      <c r="G393" s="2462"/>
      <c r="H393" s="2462"/>
      <c r="I393" s="2579"/>
      <c r="J393" s="2579"/>
      <c r="K393" s="2579"/>
      <c r="L393" s="2579"/>
      <c r="M393" s="2579"/>
      <c r="N393" s="2579"/>
      <c r="O393" s="2579"/>
    </row>
    <row r="394" spans="1:15" s="2463" customFormat="1">
      <c r="A394" s="2462"/>
      <c r="B394" s="2462"/>
      <c r="C394" s="2462"/>
      <c r="D394" s="2462"/>
      <c r="E394" s="2462"/>
      <c r="F394" s="2462"/>
      <c r="G394" s="2462"/>
      <c r="H394" s="2462"/>
      <c r="I394" s="2579"/>
      <c r="J394" s="2579"/>
      <c r="K394" s="2579"/>
      <c r="L394" s="2579"/>
      <c r="M394" s="2579"/>
      <c r="N394" s="2579"/>
      <c r="O394" s="2579"/>
    </row>
    <row r="395" spans="1:15" s="2463" customFormat="1">
      <c r="A395" s="2462"/>
      <c r="B395" s="2462"/>
      <c r="C395" s="2462"/>
      <c r="D395" s="2462"/>
      <c r="E395" s="2462"/>
      <c r="F395" s="2462"/>
      <c r="G395" s="2462"/>
      <c r="H395" s="2462"/>
      <c r="I395" s="2579"/>
      <c r="J395" s="2579"/>
      <c r="K395" s="2579"/>
      <c r="L395" s="2579"/>
      <c r="M395" s="2579"/>
      <c r="N395" s="2579"/>
      <c r="O395" s="2579"/>
    </row>
    <row r="396" spans="1:15" s="2463" customFormat="1">
      <c r="A396" s="2462"/>
      <c r="B396" s="2462"/>
      <c r="C396" s="2462"/>
      <c r="D396" s="2462"/>
      <c r="E396" s="2462"/>
      <c r="F396" s="2462"/>
      <c r="G396" s="2462"/>
      <c r="H396" s="2462"/>
      <c r="I396" s="2579"/>
      <c r="J396" s="2579"/>
      <c r="K396" s="2579"/>
      <c r="L396" s="2579"/>
      <c r="M396" s="2579"/>
      <c r="N396" s="2579"/>
      <c r="O396" s="2579"/>
    </row>
    <row r="397" spans="1:15" s="2463" customFormat="1">
      <c r="A397" s="2462"/>
      <c r="B397" s="2462"/>
      <c r="C397" s="2462"/>
      <c r="D397" s="2462"/>
      <c r="E397" s="2462"/>
      <c r="F397" s="2462"/>
      <c r="G397" s="2462"/>
      <c r="H397" s="2462"/>
      <c r="I397" s="2579"/>
      <c r="J397" s="2579"/>
      <c r="K397" s="2579"/>
      <c r="L397" s="2579"/>
      <c r="M397" s="2579"/>
      <c r="N397" s="2579"/>
      <c r="O397" s="2579"/>
    </row>
    <row r="398" spans="1:15" s="2463" customFormat="1">
      <c r="A398" s="2462"/>
      <c r="B398" s="2462"/>
      <c r="C398" s="2462"/>
      <c r="D398" s="2462"/>
      <c r="E398" s="2462"/>
      <c r="F398" s="2462"/>
      <c r="G398" s="2462"/>
      <c r="H398" s="2462"/>
      <c r="I398" s="2579"/>
      <c r="J398" s="2579"/>
      <c r="K398" s="2579"/>
      <c r="L398" s="2579"/>
      <c r="M398" s="2579"/>
      <c r="N398" s="2579"/>
      <c r="O398" s="2579"/>
    </row>
    <row r="399" spans="1:15" s="2463" customFormat="1">
      <c r="A399" s="2462"/>
      <c r="B399" s="2462"/>
      <c r="C399" s="2462"/>
      <c r="D399" s="2462"/>
      <c r="E399" s="2462"/>
      <c r="F399" s="2462"/>
      <c r="G399" s="2462"/>
      <c r="H399" s="2462"/>
      <c r="I399" s="2579"/>
      <c r="J399" s="2579"/>
      <c r="K399" s="2579"/>
      <c r="L399" s="2579"/>
      <c r="M399" s="2579"/>
      <c r="N399" s="2579"/>
      <c r="O399" s="2579"/>
    </row>
    <row r="400" spans="1:15" s="2463" customFormat="1">
      <c r="A400" s="2462"/>
      <c r="B400" s="2462"/>
      <c r="C400" s="2462"/>
      <c r="D400" s="2462"/>
      <c r="E400" s="2462"/>
      <c r="F400" s="2462"/>
      <c r="G400" s="2462"/>
      <c r="H400" s="2462"/>
      <c r="I400" s="2579"/>
      <c r="J400" s="2579"/>
      <c r="K400" s="2579"/>
      <c r="L400" s="2579"/>
      <c r="M400" s="2579"/>
      <c r="N400" s="2579"/>
      <c r="O400" s="2579"/>
    </row>
    <row r="401" spans="1:15" s="2463" customFormat="1">
      <c r="A401" s="2462"/>
      <c r="B401" s="2462"/>
      <c r="C401" s="2462"/>
      <c r="D401" s="2462"/>
      <c r="E401" s="2462"/>
      <c r="F401" s="2462"/>
      <c r="G401" s="2462"/>
      <c r="H401" s="2462"/>
      <c r="I401" s="2579"/>
      <c r="J401" s="2579"/>
      <c r="K401" s="2579"/>
      <c r="L401" s="2579"/>
      <c r="M401" s="2579"/>
      <c r="N401" s="2579"/>
      <c r="O401" s="2579"/>
    </row>
    <row r="402" spans="1:15" s="2463" customFormat="1">
      <c r="A402" s="2462"/>
      <c r="B402" s="2462"/>
      <c r="C402" s="2462"/>
      <c r="D402" s="2462"/>
      <c r="E402" s="2462"/>
      <c r="F402" s="2462"/>
      <c r="G402" s="2462"/>
      <c r="H402" s="2462"/>
      <c r="I402" s="2579"/>
      <c r="J402" s="2579"/>
      <c r="K402" s="2579"/>
      <c r="L402" s="2579"/>
      <c r="M402" s="2579"/>
      <c r="N402" s="2579"/>
      <c r="O402" s="2579"/>
    </row>
    <row r="403" spans="1:15" s="2463" customFormat="1">
      <c r="A403" s="2462"/>
      <c r="B403" s="2462"/>
      <c r="C403" s="2462"/>
      <c r="D403" s="2462"/>
      <c r="E403" s="2462"/>
      <c r="F403" s="2462"/>
      <c r="G403" s="2462"/>
      <c r="H403" s="2462"/>
      <c r="I403" s="2579"/>
      <c r="J403" s="2579"/>
      <c r="K403" s="2579"/>
      <c r="L403" s="2579"/>
      <c r="M403" s="2579"/>
      <c r="N403" s="2579"/>
      <c r="O403" s="2579"/>
    </row>
    <row r="404" spans="1:15" s="2463" customFormat="1">
      <c r="A404" s="2462"/>
      <c r="B404" s="2462"/>
      <c r="C404" s="2462"/>
      <c r="D404" s="2462"/>
      <c r="E404" s="2462"/>
      <c r="F404" s="2462"/>
      <c r="G404" s="2462"/>
      <c r="H404" s="2462"/>
      <c r="I404" s="2579"/>
      <c r="J404" s="2579"/>
      <c r="K404" s="2579"/>
      <c r="L404" s="2579"/>
      <c r="M404" s="2579"/>
      <c r="N404" s="2579"/>
      <c r="O404" s="2579"/>
    </row>
    <row r="405" spans="1:15" s="2463" customFormat="1">
      <c r="A405" s="2462"/>
      <c r="B405" s="2462"/>
      <c r="C405" s="2462"/>
      <c r="D405" s="2462"/>
      <c r="E405" s="2462"/>
      <c r="F405" s="2462"/>
      <c r="G405" s="2462"/>
      <c r="H405" s="2462"/>
      <c r="I405" s="2579"/>
      <c r="J405" s="2579"/>
      <c r="K405" s="2579"/>
      <c r="L405" s="2579"/>
      <c r="M405" s="2579"/>
      <c r="N405" s="2579"/>
      <c r="O405" s="2579"/>
    </row>
    <row r="406" spans="1:15" s="2463" customFormat="1">
      <c r="A406" s="2462"/>
      <c r="B406" s="2462"/>
      <c r="C406" s="2462"/>
      <c r="D406" s="2462"/>
      <c r="E406" s="2462"/>
      <c r="F406" s="2462"/>
      <c r="G406" s="2462"/>
      <c r="H406" s="2462"/>
      <c r="I406" s="2579"/>
      <c r="J406" s="2579"/>
      <c r="K406" s="2579"/>
      <c r="L406" s="2579"/>
      <c r="M406" s="2579"/>
      <c r="N406" s="2579"/>
      <c r="O406" s="2579"/>
    </row>
    <row r="407" spans="1:15" s="2463" customFormat="1">
      <c r="A407" s="2462"/>
      <c r="B407" s="2462"/>
      <c r="C407" s="2462"/>
      <c r="D407" s="2462"/>
      <c r="E407" s="2462"/>
      <c r="F407" s="2462"/>
      <c r="G407" s="2462"/>
      <c r="H407" s="2462"/>
      <c r="I407" s="2579"/>
      <c r="J407" s="2579"/>
      <c r="K407" s="2579"/>
      <c r="L407" s="2579"/>
      <c r="M407" s="2579"/>
      <c r="N407" s="2579"/>
      <c r="O407" s="2579"/>
    </row>
    <row r="408" spans="1:15" s="2463" customFormat="1">
      <c r="A408" s="2462"/>
      <c r="B408" s="2462"/>
      <c r="C408" s="2462"/>
      <c r="D408" s="2462"/>
      <c r="E408" s="2462"/>
      <c r="F408" s="2462"/>
      <c r="G408" s="2462"/>
      <c r="H408" s="2462"/>
      <c r="I408" s="2579"/>
      <c r="J408" s="2579"/>
      <c r="K408" s="2579"/>
      <c r="L408" s="2579"/>
      <c r="M408" s="2579"/>
      <c r="N408" s="2579"/>
      <c r="O408" s="2579"/>
    </row>
    <row r="409" spans="1:15" s="2463" customFormat="1">
      <c r="A409" s="2462"/>
      <c r="B409" s="2462"/>
      <c r="C409" s="2462"/>
      <c r="D409" s="2462"/>
      <c r="E409" s="2462"/>
      <c r="F409" s="2462"/>
      <c r="G409" s="2462"/>
      <c r="H409" s="2462"/>
      <c r="I409" s="2579"/>
      <c r="J409" s="2579"/>
      <c r="K409" s="2579"/>
      <c r="L409" s="2579"/>
      <c r="M409" s="2579"/>
      <c r="N409" s="2579"/>
      <c r="O409" s="2579"/>
    </row>
    <row r="415" spans="1:15" s="2463" customFormat="1">
      <c r="A415" s="2462"/>
      <c r="B415" s="2462"/>
      <c r="C415" s="2462"/>
      <c r="D415" s="2462"/>
      <c r="E415" s="2462"/>
      <c r="F415" s="2462"/>
      <c r="G415" s="2462"/>
      <c r="H415" s="2462"/>
      <c r="I415" s="2579"/>
      <c r="J415" s="2579"/>
      <c r="K415" s="2579"/>
      <c r="L415" s="2579"/>
      <c r="M415" s="2579"/>
      <c r="N415" s="2579"/>
      <c r="O415" s="2579"/>
    </row>
    <row r="416" spans="1:15" s="2463" customFormat="1">
      <c r="A416" s="2462"/>
      <c r="B416" s="2462"/>
      <c r="C416" s="2462"/>
      <c r="D416" s="2462"/>
      <c r="E416" s="2462"/>
      <c r="F416" s="2462"/>
      <c r="G416" s="2462"/>
      <c r="H416" s="2462"/>
      <c r="I416" s="2579"/>
      <c r="J416" s="2579"/>
      <c r="K416" s="2579"/>
      <c r="L416" s="2579"/>
      <c r="M416" s="2579"/>
      <c r="N416" s="2579"/>
      <c r="O416" s="2579"/>
    </row>
    <row r="417" spans="1:15" s="2463" customFormat="1">
      <c r="A417" s="2462"/>
      <c r="B417" s="2462"/>
      <c r="C417" s="2462"/>
      <c r="D417" s="2462"/>
      <c r="E417" s="2462"/>
      <c r="F417" s="2462"/>
      <c r="G417" s="2462"/>
      <c r="H417" s="2462"/>
      <c r="I417" s="2579"/>
      <c r="J417" s="2579"/>
      <c r="K417" s="2579"/>
      <c r="L417" s="2579"/>
      <c r="M417" s="2579"/>
      <c r="N417" s="2579"/>
      <c r="O417" s="2579"/>
    </row>
    <row r="418" spans="1:15" s="2463" customFormat="1">
      <c r="A418" s="2462"/>
      <c r="B418" s="2462"/>
      <c r="C418" s="2462"/>
      <c r="D418" s="2462"/>
      <c r="E418" s="2462"/>
      <c r="F418" s="2462"/>
      <c r="G418" s="2462"/>
      <c r="H418" s="2462"/>
      <c r="I418" s="2579"/>
      <c r="J418" s="2579"/>
      <c r="K418" s="2579"/>
      <c r="L418" s="2579"/>
      <c r="M418" s="2579"/>
      <c r="N418" s="2579"/>
      <c r="O418" s="2579"/>
    </row>
    <row r="419" spans="1:15" s="2463" customFormat="1">
      <c r="A419" s="2462"/>
      <c r="B419" s="2462"/>
      <c r="C419" s="2462"/>
      <c r="D419" s="2462"/>
      <c r="E419" s="2462"/>
      <c r="F419" s="2462"/>
      <c r="G419" s="2462"/>
      <c r="H419" s="2462"/>
      <c r="I419" s="2579"/>
      <c r="J419" s="2579"/>
      <c r="K419" s="2579"/>
      <c r="L419" s="2579"/>
      <c r="M419" s="2579"/>
      <c r="N419" s="2579"/>
      <c r="O419" s="2579"/>
    </row>
    <row r="420" spans="1:15" s="2463" customFormat="1">
      <c r="A420" s="2462"/>
      <c r="B420" s="2462"/>
      <c r="C420" s="2462"/>
      <c r="D420" s="2462"/>
      <c r="E420" s="2462"/>
      <c r="F420" s="2462"/>
      <c r="G420" s="2462"/>
      <c r="H420" s="2462"/>
      <c r="I420" s="2579"/>
      <c r="J420" s="2579"/>
      <c r="K420" s="2579"/>
      <c r="L420" s="2579"/>
      <c r="M420" s="2579"/>
      <c r="N420" s="2579"/>
      <c r="O420" s="2579"/>
    </row>
    <row r="421" spans="1:15" s="2463" customFormat="1">
      <c r="A421" s="2462"/>
      <c r="B421" s="2462"/>
      <c r="C421" s="2462"/>
      <c r="D421" s="2462"/>
      <c r="E421" s="2462"/>
      <c r="F421" s="2462"/>
      <c r="G421" s="2462"/>
      <c r="H421" s="2462"/>
      <c r="I421" s="2579"/>
      <c r="J421" s="2579"/>
      <c r="K421" s="2579"/>
      <c r="L421" s="2579"/>
      <c r="M421" s="2579"/>
      <c r="N421" s="2579"/>
      <c r="O421" s="2579"/>
    </row>
    <row r="422" spans="1:15" s="2463" customFormat="1">
      <c r="A422" s="2462"/>
      <c r="B422" s="2462"/>
      <c r="C422" s="2462"/>
      <c r="D422" s="2462"/>
      <c r="E422" s="2462"/>
      <c r="F422" s="2462"/>
      <c r="G422" s="2462"/>
      <c r="H422" s="2462"/>
      <c r="I422" s="2579"/>
      <c r="J422" s="2579"/>
      <c r="K422" s="2579"/>
      <c r="L422" s="2579"/>
      <c r="M422" s="2579"/>
      <c r="N422" s="2579"/>
      <c r="O422" s="2579"/>
    </row>
    <row r="423" spans="1:15" s="2463" customFormat="1">
      <c r="A423" s="2462"/>
      <c r="B423" s="2462"/>
      <c r="C423" s="2462"/>
      <c r="D423" s="2462"/>
      <c r="E423" s="2462"/>
      <c r="F423" s="2462"/>
      <c r="G423" s="2462"/>
      <c r="H423" s="2462"/>
      <c r="I423" s="2579"/>
      <c r="J423" s="2579"/>
      <c r="K423" s="2579"/>
      <c r="L423" s="2579"/>
      <c r="M423" s="2579"/>
      <c r="N423" s="2579"/>
      <c r="O423" s="2579"/>
    </row>
    <row r="424" spans="1:15" s="2463" customFormat="1">
      <c r="A424" s="2462"/>
      <c r="B424" s="2462"/>
      <c r="C424" s="2462"/>
      <c r="D424" s="2462"/>
      <c r="E424" s="2462"/>
      <c r="F424" s="2462"/>
      <c r="G424" s="2462"/>
      <c r="H424" s="2462"/>
      <c r="I424" s="2579"/>
      <c r="J424" s="2579"/>
      <c r="K424" s="2579"/>
      <c r="L424" s="2579"/>
      <c r="M424" s="2579"/>
      <c r="N424" s="2579"/>
      <c r="O424" s="2579"/>
    </row>
    <row r="425" spans="1:15" s="2463" customFormat="1">
      <c r="A425" s="2462"/>
      <c r="B425" s="2462"/>
      <c r="C425" s="2462"/>
      <c r="D425" s="2462"/>
      <c r="E425" s="2462"/>
      <c r="F425" s="2462"/>
      <c r="G425" s="2462"/>
      <c r="H425" s="2462"/>
      <c r="I425" s="2579"/>
      <c r="J425" s="2579"/>
      <c r="K425" s="2579"/>
      <c r="L425" s="2579"/>
      <c r="M425" s="2579"/>
      <c r="N425" s="2579"/>
      <c r="O425" s="2579"/>
    </row>
    <row r="426" spans="1:15" s="2463" customFormat="1">
      <c r="A426" s="2462"/>
      <c r="B426" s="2462"/>
      <c r="C426" s="2462"/>
      <c r="D426" s="2462"/>
      <c r="E426" s="2462"/>
      <c r="F426" s="2462"/>
      <c r="G426" s="2462"/>
      <c r="H426" s="2462"/>
      <c r="I426" s="2579"/>
      <c r="J426" s="2579"/>
      <c r="K426" s="2579"/>
      <c r="L426" s="2579"/>
      <c r="M426" s="2579"/>
      <c r="N426" s="2579"/>
      <c r="O426" s="2579"/>
    </row>
    <row r="427" spans="1:15" s="2463" customFormat="1">
      <c r="A427" s="2462"/>
      <c r="B427" s="2462"/>
      <c r="C427" s="2462"/>
      <c r="D427" s="2462"/>
      <c r="E427" s="2462"/>
      <c r="F427" s="2462"/>
      <c r="G427" s="2462"/>
      <c r="H427" s="2462"/>
      <c r="I427" s="2579"/>
      <c r="J427" s="2579"/>
      <c r="K427" s="2579"/>
      <c r="L427" s="2579"/>
      <c r="M427" s="2579"/>
      <c r="N427" s="2579"/>
      <c r="O427" s="2579"/>
    </row>
    <row r="428" spans="1:15" s="2463" customFormat="1">
      <c r="A428" s="2462"/>
      <c r="B428" s="2462"/>
      <c r="C428" s="2462"/>
      <c r="D428" s="2462"/>
      <c r="E428" s="2462"/>
      <c r="F428" s="2462"/>
      <c r="G428" s="2462"/>
      <c r="H428" s="2462"/>
      <c r="I428" s="2579"/>
      <c r="J428" s="2579"/>
      <c r="K428" s="2579"/>
      <c r="L428" s="2579"/>
      <c r="M428" s="2579"/>
      <c r="N428" s="2579"/>
      <c r="O428" s="2579"/>
    </row>
    <row r="429" spans="1:15" s="2463" customFormat="1">
      <c r="A429" s="2462"/>
      <c r="B429" s="2462"/>
      <c r="C429" s="2462"/>
      <c r="D429" s="2462"/>
      <c r="E429" s="2462"/>
      <c r="F429" s="2462"/>
      <c r="G429" s="2462"/>
      <c r="H429" s="2462"/>
      <c r="I429" s="2579"/>
      <c r="J429" s="2579"/>
      <c r="K429" s="2579"/>
      <c r="L429" s="2579"/>
      <c r="M429" s="2579"/>
      <c r="N429" s="2579"/>
      <c r="O429" s="2579"/>
    </row>
    <row r="430" spans="1:15" s="2463" customFormat="1">
      <c r="A430" s="2462"/>
      <c r="B430" s="2462"/>
      <c r="C430" s="2462"/>
      <c r="D430" s="2462"/>
      <c r="E430" s="2462"/>
      <c r="F430" s="2462"/>
      <c r="G430" s="2462"/>
      <c r="H430" s="2462"/>
      <c r="I430" s="2579"/>
      <c r="J430" s="2579"/>
      <c r="K430" s="2579"/>
      <c r="L430" s="2579"/>
      <c r="M430" s="2579"/>
      <c r="N430" s="2579"/>
      <c r="O430" s="2579"/>
    </row>
    <row r="431" spans="1:15" s="2463" customFormat="1">
      <c r="A431" s="2462"/>
      <c r="B431" s="2462"/>
      <c r="C431" s="2462"/>
      <c r="D431" s="2462"/>
      <c r="E431" s="2462"/>
      <c r="F431" s="2462"/>
      <c r="G431" s="2462"/>
      <c r="H431" s="2462"/>
      <c r="I431" s="2579"/>
      <c r="J431" s="2579"/>
      <c r="K431" s="2579"/>
      <c r="L431" s="2579"/>
      <c r="M431" s="2579"/>
      <c r="N431" s="2579"/>
      <c r="O431" s="2579"/>
    </row>
    <row r="432" spans="1:15" s="2463" customFormat="1">
      <c r="A432" s="2462"/>
      <c r="B432" s="2462"/>
      <c r="C432" s="2462"/>
      <c r="D432" s="2462"/>
      <c r="E432" s="2462"/>
      <c r="F432" s="2462"/>
      <c r="G432" s="2462"/>
      <c r="H432" s="2462"/>
      <c r="I432" s="2579"/>
      <c r="J432" s="2579"/>
      <c r="K432" s="2579"/>
      <c r="L432" s="2579"/>
      <c r="M432" s="2579"/>
      <c r="N432" s="2579"/>
      <c r="O432" s="2579"/>
    </row>
    <row r="433" spans="1:15" s="2463" customFormat="1">
      <c r="A433" s="2462"/>
      <c r="B433" s="2462"/>
      <c r="C433" s="2462"/>
      <c r="D433" s="2462"/>
      <c r="E433" s="2462"/>
      <c r="F433" s="2462"/>
      <c r="G433" s="2462"/>
      <c r="H433" s="2462"/>
      <c r="I433" s="2579"/>
      <c r="J433" s="2579"/>
      <c r="K433" s="2579"/>
      <c r="L433" s="2579"/>
      <c r="M433" s="2579"/>
      <c r="N433" s="2579"/>
      <c r="O433" s="2579"/>
    </row>
    <row r="434" spans="1:15" s="2463" customFormat="1">
      <c r="A434" s="2462"/>
      <c r="B434" s="2462"/>
      <c r="C434" s="2462"/>
      <c r="D434" s="2462"/>
      <c r="E434" s="2462"/>
      <c r="F434" s="2462"/>
      <c r="G434" s="2462"/>
      <c r="H434" s="2462"/>
      <c r="I434" s="2579"/>
      <c r="J434" s="2579"/>
      <c r="K434" s="2579"/>
      <c r="L434" s="2579"/>
      <c r="M434" s="2579"/>
      <c r="N434" s="2579"/>
      <c r="O434" s="2579"/>
    </row>
    <row r="435" spans="1:15" s="2463" customFormat="1">
      <c r="A435" s="2462"/>
      <c r="B435" s="2462"/>
      <c r="C435" s="2462"/>
      <c r="D435" s="2462"/>
      <c r="E435" s="2462"/>
      <c r="F435" s="2462"/>
      <c r="G435" s="2462"/>
      <c r="H435" s="2462"/>
      <c r="I435" s="2579"/>
      <c r="J435" s="2579"/>
      <c r="K435" s="2579"/>
      <c r="L435" s="2579"/>
      <c r="M435" s="2579"/>
      <c r="N435" s="2579"/>
      <c r="O435" s="2579"/>
    </row>
    <row r="436" spans="1:15" s="2463" customFormat="1">
      <c r="A436" s="2462"/>
      <c r="B436" s="2462"/>
      <c r="C436" s="2462"/>
      <c r="D436" s="2462"/>
      <c r="E436" s="2462"/>
      <c r="F436" s="2462"/>
      <c r="G436" s="2462"/>
      <c r="H436" s="2462"/>
      <c r="I436" s="2579"/>
      <c r="J436" s="2579"/>
      <c r="K436" s="2579"/>
      <c r="L436" s="2579"/>
      <c r="M436" s="2579"/>
      <c r="N436" s="2579"/>
      <c r="O436" s="2579"/>
    </row>
    <row r="437" spans="1:15" s="2463" customFormat="1">
      <c r="A437" s="2462"/>
      <c r="B437" s="2462"/>
      <c r="C437" s="2462"/>
      <c r="D437" s="2462"/>
      <c r="E437" s="2462"/>
      <c r="F437" s="2462"/>
      <c r="G437" s="2462"/>
      <c r="H437" s="2462"/>
      <c r="I437" s="2579"/>
      <c r="J437" s="2579"/>
      <c r="K437" s="2579"/>
      <c r="L437" s="2579"/>
      <c r="M437" s="2579"/>
      <c r="N437" s="2579"/>
      <c r="O437" s="2579"/>
    </row>
    <row r="438" spans="1:15" s="2463" customFormat="1">
      <c r="A438" s="2462"/>
      <c r="B438" s="2462"/>
      <c r="C438" s="2462"/>
      <c r="D438" s="2462"/>
      <c r="E438" s="2462"/>
      <c r="F438" s="2462"/>
      <c r="G438" s="2462"/>
      <c r="H438" s="2462"/>
      <c r="I438" s="2579"/>
      <c r="J438" s="2579"/>
      <c r="K438" s="2579"/>
      <c r="L438" s="2579"/>
      <c r="M438" s="2579"/>
      <c r="N438" s="2579"/>
      <c r="O438" s="2579"/>
    </row>
    <row r="439" spans="1:15" s="2463" customFormat="1">
      <c r="A439" s="2462"/>
      <c r="B439" s="2462"/>
      <c r="C439" s="2462"/>
      <c r="D439" s="2462"/>
      <c r="E439" s="2462"/>
      <c r="F439" s="2462"/>
      <c r="G439" s="2462"/>
      <c r="H439" s="2462"/>
      <c r="I439" s="2579"/>
      <c r="J439" s="2579"/>
      <c r="K439" s="2579"/>
      <c r="L439" s="2579"/>
      <c r="M439" s="2579"/>
      <c r="N439" s="2579"/>
      <c r="O439" s="2579"/>
    </row>
    <row r="440" spans="1:15" s="2463" customFormat="1">
      <c r="A440" s="2462"/>
      <c r="B440" s="2462"/>
      <c r="C440" s="2462"/>
      <c r="D440" s="2462"/>
      <c r="E440" s="2462"/>
      <c r="F440" s="2462"/>
      <c r="G440" s="2462"/>
      <c r="H440" s="2462"/>
      <c r="I440" s="2579"/>
      <c r="J440" s="2579"/>
      <c r="K440" s="2579"/>
      <c r="L440" s="2579"/>
      <c r="M440" s="2579"/>
      <c r="N440" s="2579"/>
      <c r="O440" s="2579"/>
    </row>
    <row r="441" spans="1:15" s="2463" customFormat="1">
      <c r="A441" s="2462"/>
      <c r="B441" s="2462"/>
      <c r="C441" s="2462"/>
      <c r="D441" s="2462"/>
      <c r="E441" s="2462"/>
      <c r="F441" s="2462"/>
      <c r="G441" s="2462"/>
      <c r="H441" s="2462"/>
      <c r="I441" s="2579"/>
      <c r="J441" s="2579"/>
      <c r="K441" s="2579"/>
      <c r="L441" s="2579"/>
      <c r="M441" s="2579"/>
      <c r="N441" s="2579"/>
      <c r="O441" s="2579"/>
    </row>
    <row r="442" spans="1:15" s="2463" customFormat="1">
      <c r="A442" s="2462"/>
      <c r="B442" s="2462"/>
      <c r="C442" s="2462"/>
      <c r="D442" s="2462"/>
      <c r="E442" s="2462"/>
      <c r="F442" s="2462"/>
      <c r="G442" s="2462"/>
      <c r="H442" s="2462"/>
      <c r="I442" s="2579"/>
      <c r="J442" s="2579"/>
      <c r="K442" s="2579"/>
      <c r="L442" s="2579"/>
      <c r="M442" s="2579"/>
      <c r="N442" s="2579"/>
      <c r="O442" s="2579"/>
    </row>
    <row r="443" spans="1:15" s="2463" customFormat="1">
      <c r="A443" s="2462"/>
      <c r="B443" s="2462"/>
      <c r="C443" s="2462"/>
      <c r="D443" s="2462"/>
      <c r="E443" s="2462"/>
      <c r="F443" s="2462"/>
      <c r="G443" s="2462"/>
      <c r="H443" s="2462"/>
      <c r="I443" s="2579"/>
      <c r="J443" s="2579"/>
      <c r="K443" s="2579"/>
      <c r="L443" s="2579"/>
      <c r="M443" s="2579"/>
      <c r="N443" s="2579"/>
      <c r="O443" s="2579"/>
    </row>
    <row r="444" spans="1:15" s="2463" customFormat="1">
      <c r="A444" s="2462"/>
      <c r="B444" s="2462"/>
      <c r="C444" s="2462"/>
      <c r="D444" s="2462"/>
      <c r="E444" s="2462"/>
      <c r="F444" s="2462"/>
      <c r="G444" s="2462"/>
      <c r="H444" s="2462"/>
      <c r="I444" s="2579"/>
      <c r="J444" s="2579"/>
      <c r="K444" s="2579"/>
      <c r="L444" s="2579"/>
      <c r="M444" s="2579"/>
      <c r="N444" s="2579"/>
      <c r="O444" s="2579"/>
    </row>
    <row r="445" spans="1:15" s="2463" customFormat="1">
      <c r="A445" s="2462"/>
      <c r="B445" s="2462"/>
      <c r="C445" s="2462"/>
      <c r="D445" s="2462"/>
      <c r="E445" s="2462"/>
      <c r="F445" s="2462"/>
      <c r="G445" s="2462"/>
      <c r="H445" s="2462"/>
      <c r="I445" s="2579"/>
      <c r="J445" s="2579"/>
      <c r="K445" s="2579"/>
      <c r="L445" s="2579"/>
      <c r="M445" s="2579"/>
      <c r="N445" s="2579"/>
      <c r="O445" s="2579"/>
    </row>
    <row r="446" spans="1:15" s="2463" customFormat="1">
      <c r="A446" s="2462"/>
      <c r="B446" s="2462"/>
      <c r="C446" s="2462"/>
      <c r="D446" s="2462"/>
      <c r="E446" s="2462"/>
      <c r="F446" s="2462"/>
      <c r="G446" s="2462"/>
      <c r="H446" s="2462"/>
      <c r="I446" s="2579"/>
      <c r="J446" s="2579"/>
      <c r="K446" s="2579"/>
      <c r="L446" s="2579"/>
      <c r="M446" s="2579"/>
      <c r="N446" s="2579"/>
      <c r="O446" s="2579"/>
    </row>
    <row r="447" spans="1:15" s="2463" customFormat="1">
      <c r="A447" s="2462"/>
      <c r="B447" s="2462"/>
      <c r="C447" s="2462"/>
      <c r="D447" s="2462"/>
      <c r="E447" s="2462"/>
      <c r="F447" s="2462"/>
      <c r="G447" s="2462"/>
      <c r="H447" s="2462"/>
      <c r="I447" s="2579"/>
      <c r="J447" s="2579"/>
      <c r="K447" s="2579"/>
      <c r="L447" s="2579"/>
      <c r="M447" s="2579"/>
      <c r="N447" s="2579"/>
      <c r="O447" s="2579"/>
    </row>
    <row r="448" spans="1:15" s="2463" customFormat="1">
      <c r="A448" s="2462"/>
      <c r="B448" s="2462"/>
      <c r="C448" s="2462"/>
      <c r="D448" s="2462"/>
      <c r="E448" s="2462"/>
      <c r="F448" s="2462"/>
      <c r="G448" s="2462"/>
      <c r="H448" s="2462"/>
      <c r="I448" s="2579"/>
      <c r="J448" s="2579"/>
      <c r="K448" s="2579"/>
      <c r="L448" s="2579"/>
      <c r="M448" s="2579"/>
      <c r="N448" s="2579"/>
      <c r="O448" s="2579"/>
    </row>
    <row r="449" spans="1:15" s="2463" customFormat="1">
      <c r="A449" s="2462"/>
      <c r="B449" s="2462"/>
      <c r="C449" s="2462"/>
      <c r="D449" s="2462"/>
      <c r="E449" s="2462"/>
      <c r="F449" s="2462"/>
      <c r="G449" s="2462"/>
      <c r="H449" s="2462"/>
      <c r="I449" s="2579"/>
      <c r="J449" s="2579"/>
      <c r="K449" s="2579"/>
      <c r="L449" s="2579"/>
      <c r="M449" s="2579"/>
      <c r="N449" s="2579"/>
      <c r="O449" s="2579"/>
    </row>
    <row r="450" spans="1:15" s="2463" customFormat="1">
      <c r="A450" s="2462"/>
      <c r="B450" s="2462"/>
      <c r="C450" s="2462"/>
      <c r="D450" s="2462"/>
      <c r="E450" s="2462"/>
      <c r="F450" s="2462"/>
      <c r="G450" s="2462"/>
      <c r="H450" s="2462"/>
      <c r="I450" s="2579"/>
      <c r="J450" s="2579"/>
      <c r="K450" s="2579"/>
      <c r="L450" s="2579"/>
      <c r="M450" s="2579"/>
      <c r="N450" s="2579"/>
      <c r="O450" s="2579"/>
    </row>
    <row r="451" spans="1:15" s="2463" customFormat="1">
      <c r="A451" s="2462"/>
      <c r="B451" s="2462"/>
      <c r="C451" s="2462"/>
      <c r="D451" s="2462"/>
      <c r="E451" s="2462"/>
      <c r="F451" s="2462"/>
      <c r="G451" s="2462"/>
      <c r="H451" s="2462"/>
      <c r="I451" s="2579"/>
      <c r="J451" s="2579"/>
      <c r="K451" s="2579"/>
      <c r="L451" s="2579"/>
      <c r="M451" s="2579"/>
      <c r="N451" s="2579"/>
      <c r="O451" s="2579"/>
    </row>
    <row r="452" spans="1:15" s="2463" customFormat="1">
      <c r="A452" s="2462"/>
      <c r="B452" s="2462"/>
      <c r="C452" s="2462"/>
      <c r="D452" s="2462"/>
      <c r="E452" s="2462"/>
      <c r="F452" s="2462"/>
      <c r="G452" s="2462"/>
      <c r="H452" s="2462"/>
      <c r="I452" s="2579"/>
      <c r="J452" s="2579"/>
      <c r="K452" s="2579"/>
      <c r="L452" s="2579"/>
      <c r="M452" s="2579"/>
      <c r="N452" s="2579"/>
      <c r="O452" s="2579"/>
    </row>
    <row r="457" spans="1:15" s="2463" customFormat="1">
      <c r="A457" s="2462"/>
      <c r="B457" s="2462"/>
      <c r="C457" s="2462"/>
      <c r="D457" s="2462"/>
      <c r="E457" s="2462"/>
      <c r="F457" s="2462"/>
      <c r="G457" s="2462"/>
      <c r="H457" s="2462"/>
      <c r="I457" s="2579"/>
      <c r="J457" s="2579"/>
      <c r="K457" s="2579"/>
      <c r="L457" s="2579"/>
      <c r="M457" s="2579"/>
      <c r="N457" s="2579"/>
      <c r="O457" s="2579"/>
    </row>
    <row r="458" spans="1:15" s="2463" customFormat="1">
      <c r="A458" s="2462"/>
      <c r="B458" s="2462"/>
      <c r="C458" s="2462"/>
      <c r="D458" s="2462"/>
      <c r="E458" s="2462"/>
      <c r="F458" s="2462"/>
      <c r="G458" s="2462"/>
      <c r="H458" s="2462"/>
      <c r="I458" s="2579"/>
      <c r="J458" s="2579"/>
      <c r="K458" s="2579"/>
      <c r="L458" s="2579"/>
      <c r="M458" s="2579"/>
      <c r="N458" s="2579"/>
      <c r="O458" s="2579"/>
    </row>
    <row r="459" spans="1:15" s="2463" customFormat="1">
      <c r="A459" s="2462"/>
      <c r="B459" s="2462"/>
      <c r="C459" s="2462"/>
      <c r="D459" s="2462"/>
      <c r="E459" s="2462"/>
      <c r="F459" s="2462"/>
      <c r="G459" s="2462"/>
      <c r="H459" s="2462"/>
      <c r="I459" s="2579"/>
      <c r="J459" s="2579"/>
      <c r="K459" s="2579"/>
      <c r="L459" s="2579"/>
      <c r="M459" s="2579"/>
      <c r="N459" s="2579"/>
      <c r="O459" s="2579"/>
    </row>
    <row r="460" spans="1:15" s="2463" customFormat="1">
      <c r="A460" s="2462"/>
      <c r="B460" s="2462"/>
      <c r="C460" s="2462"/>
      <c r="D460" s="2462"/>
      <c r="E460" s="2462"/>
      <c r="F460" s="2462"/>
      <c r="G460" s="2462"/>
      <c r="H460" s="2462"/>
      <c r="I460" s="2579"/>
      <c r="J460" s="2579"/>
      <c r="K460" s="2579"/>
      <c r="L460" s="2579"/>
      <c r="M460" s="2579"/>
      <c r="N460" s="2579"/>
      <c r="O460" s="2579"/>
    </row>
    <row r="461" spans="1:15" s="2463" customFormat="1">
      <c r="A461" s="2462"/>
      <c r="B461" s="2462"/>
      <c r="C461" s="2462"/>
      <c r="D461" s="2462"/>
      <c r="E461" s="2462"/>
      <c r="F461" s="2462"/>
      <c r="G461" s="2462"/>
      <c r="H461" s="2462"/>
      <c r="I461" s="2579"/>
      <c r="J461" s="2579"/>
      <c r="K461" s="2579"/>
      <c r="L461" s="2579"/>
      <c r="M461" s="2579"/>
      <c r="N461" s="2579"/>
      <c r="O461" s="2579"/>
    </row>
    <row r="462" spans="1:15" s="2463" customFormat="1">
      <c r="A462" s="2462"/>
      <c r="B462" s="2462"/>
      <c r="C462" s="2462"/>
      <c r="D462" s="2462"/>
      <c r="E462" s="2462"/>
      <c r="F462" s="2462"/>
      <c r="G462" s="2462"/>
      <c r="H462" s="2462"/>
      <c r="I462" s="2579"/>
      <c r="J462" s="2579"/>
      <c r="K462" s="2579"/>
      <c r="L462" s="2579"/>
      <c r="M462" s="2579"/>
      <c r="N462" s="2579"/>
      <c r="O462" s="2579"/>
    </row>
    <row r="463" spans="1:15" s="2463" customFormat="1">
      <c r="A463" s="2462"/>
      <c r="B463" s="2462"/>
      <c r="C463" s="2462"/>
      <c r="D463" s="2462"/>
      <c r="E463" s="2462"/>
      <c r="F463" s="2462"/>
      <c r="G463" s="2462"/>
      <c r="H463" s="2462"/>
      <c r="I463" s="2579"/>
      <c r="J463" s="2579"/>
      <c r="K463" s="2579"/>
      <c r="L463" s="2579"/>
      <c r="M463" s="2579"/>
      <c r="N463" s="2579"/>
      <c r="O463" s="2579"/>
    </row>
    <row r="464" spans="1:15" s="2463" customFormat="1">
      <c r="A464" s="2462"/>
      <c r="B464" s="2462"/>
      <c r="C464" s="2462"/>
      <c r="D464" s="2462"/>
      <c r="E464" s="2462"/>
      <c r="F464" s="2462"/>
      <c r="G464" s="2462"/>
      <c r="H464" s="2462"/>
      <c r="I464" s="2579"/>
      <c r="J464" s="2579"/>
      <c r="K464" s="2579"/>
      <c r="L464" s="2579"/>
      <c r="M464" s="2579"/>
      <c r="N464" s="2579"/>
      <c r="O464" s="2579"/>
    </row>
    <row r="465" spans="1:15" s="2463" customFormat="1">
      <c r="A465" s="2462"/>
      <c r="B465" s="2462"/>
      <c r="C465" s="2462"/>
      <c r="D465" s="2462"/>
      <c r="E465" s="2462"/>
      <c r="F465" s="2462"/>
      <c r="G465" s="2462"/>
      <c r="H465" s="2462"/>
      <c r="I465" s="2579"/>
      <c r="J465" s="2579"/>
      <c r="K465" s="2579"/>
      <c r="L465" s="2579"/>
      <c r="M465" s="2579"/>
      <c r="N465" s="2579"/>
      <c r="O465" s="2579"/>
    </row>
    <row r="466" spans="1:15" s="2463" customFormat="1">
      <c r="A466" s="2462"/>
      <c r="B466" s="2462"/>
      <c r="C466" s="2462"/>
      <c r="D466" s="2462"/>
      <c r="E466" s="2462"/>
      <c r="F466" s="2462"/>
      <c r="G466" s="2462"/>
      <c r="H466" s="2462"/>
      <c r="I466" s="2579"/>
      <c r="J466" s="2579"/>
      <c r="K466" s="2579"/>
      <c r="L466" s="2579"/>
      <c r="M466" s="2579"/>
      <c r="N466" s="2579"/>
      <c r="O466" s="2579"/>
    </row>
    <row r="467" spans="1:15" s="2463" customFormat="1">
      <c r="A467" s="2462"/>
      <c r="B467" s="2462"/>
      <c r="C467" s="2462"/>
      <c r="D467" s="2462"/>
      <c r="E467" s="2462"/>
      <c r="F467" s="2462"/>
      <c r="G467" s="2462"/>
      <c r="H467" s="2462"/>
      <c r="I467" s="2579"/>
      <c r="J467" s="2579"/>
      <c r="K467" s="2579"/>
      <c r="L467" s="2579"/>
      <c r="M467" s="2579"/>
      <c r="N467" s="2579"/>
      <c r="O467" s="2579"/>
    </row>
    <row r="468" spans="1:15" s="2463" customFormat="1">
      <c r="A468" s="2462"/>
      <c r="B468" s="2462"/>
      <c r="C468" s="2462"/>
      <c r="D468" s="2462"/>
      <c r="E468" s="2462"/>
      <c r="F468" s="2462"/>
      <c r="G468" s="2462"/>
      <c r="H468" s="2462"/>
      <c r="I468" s="2579"/>
      <c r="J468" s="2579"/>
      <c r="K468" s="2579"/>
      <c r="L468" s="2579"/>
      <c r="M468" s="2579"/>
      <c r="N468" s="2579"/>
      <c r="O468" s="2579"/>
    </row>
    <row r="469" spans="1:15" s="2463" customFormat="1">
      <c r="A469" s="2462"/>
      <c r="B469" s="2462"/>
      <c r="C469" s="2462"/>
      <c r="D469" s="2462"/>
      <c r="E469" s="2462"/>
      <c r="F469" s="2462"/>
      <c r="G469" s="2462"/>
      <c r="H469" s="2462"/>
      <c r="I469" s="2579"/>
      <c r="J469" s="2579"/>
      <c r="K469" s="2579"/>
      <c r="L469" s="2579"/>
      <c r="M469" s="2579"/>
      <c r="N469" s="2579"/>
      <c r="O469" s="2579"/>
    </row>
    <row r="470" spans="1:15" s="2463" customFormat="1">
      <c r="A470" s="2462"/>
      <c r="B470" s="2462"/>
      <c r="C470" s="2462"/>
      <c r="D470" s="2462"/>
      <c r="E470" s="2462"/>
      <c r="F470" s="2462"/>
      <c r="G470" s="2462"/>
      <c r="H470" s="2462"/>
      <c r="I470" s="2579"/>
      <c r="J470" s="2579"/>
      <c r="K470" s="2579"/>
      <c r="L470" s="2579"/>
      <c r="M470" s="2579"/>
      <c r="N470" s="2579"/>
      <c r="O470" s="2579"/>
    </row>
    <row r="471" spans="1:15" s="2463" customFormat="1">
      <c r="A471" s="2462"/>
      <c r="B471" s="2462"/>
      <c r="C471" s="2462"/>
      <c r="D471" s="2462"/>
      <c r="E471" s="2462"/>
      <c r="F471" s="2462"/>
      <c r="G471" s="2462"/>
      <c r="H471" s="2462"/>
      <c r="I471" s="2579"/>
      <c r="J471" s="2579"/>
      <c r="K471" s="2579"/>
      <c r="L471" s="2579"/>
      <c r="M471" s="2579"/>
      <c r="N471" s="2579"/>
      <c r="O471" s="2579"/>
    </row>
    <row r="472" spans="1:15" s="2463" customFormat="1">
      <c r="A472" s="2462"/>
      <c r="B472" s="2462"/>
      <c r="C472" s="2462"/>
      <c r="D472" s="2462"/>
      <c r="E472" s="2462"/>
      <c r="F472" s="2462"/>
      <c r="G472" s="2462"/>
      <c r="H472" s="2462"/>
      <c r="I472" s="2579"/>
      <c r="J472" s="2579"/>
      <c r="K472" s="2579"/>
      <c r="L472" s="2579"/>
      <c r="M472" s="2579"/>
      <c r="N472" s="2579"/>
      <c r="O472" s="2579"/>
    </row>
    <row r="473" spans="1:15" s="2463" customFormat="1">
      <c r="A473" s="2462"/>
      <c r="B473" s="2462"/>
      <c r="C473" s="2462"/>
      <c r="D473" s="2462"/>
      <c r="E473" s="2462"/>
      <c r="F473" s="2462"/>
      <c r="G473" s="2462"/>
      <c r="H473" s="2462"/>
      <c r="I473" s="2579"/>
      <c r="J473" s="2579"/>
      <c r="K473" s="2579"/>
      <c r="L473" s="2579"/>
      <c r="M473" s="2579"/>
      <c r="N473" s="2579"/>
      <c r="O473" s="2579"/>
    </row>
    <row r="474" spans="1:15" s="2463" customFormat="1">
      <c r="A474" s="2462"/>
      <c r="B474" s="2462"/>
      <c r="C474" s="2462"/>
      <c r="D474" s="2462"/>
      <c r="E474" s="2462"/>
      <c r="F474" s="2462"/>
      <c r="G474" s="2462"/>
      <c r="H474" s="2462"/>
      <c r="I474" s="2579"/>
      <c r="J474" s="2579"/>
      <c r="K474" s="2579"/>
      <c r="L474" s="2579"/>
      <c r="M474" s="2579"/>
      <c r="N474" s="2579"/>
      <c r="O474" s="2579"/>
    </row>
    <row r="475" spans="1:15" s="2463" customFormat="1">
      <c r="A475" s="2462"/>
      <c r="B475" s="2462"/>
      <c r="C475" s="2462"/>
      <c r="D475" s="2462"/>
      <c r="E475" s="2462"/>
      <c r="F475" s="2462"/>
      <c r="G475" s="2462"/>
      <c r="H475" s="2462"/>
      <c r="I475" s="2579"/>
      <c r="J475" s="2579"/>
      <c r="K475" s="2579"/>
      <c r="L475" s="2579"/>
      <c r="M475" s="2579"/>
      <c r="N475" s="2579"/>
      <c r="O475" s="2579"/>
    </row>
    <row r="476" spans="1:15" s="2463" customFormat="1">
      <c r="A476" s="2462"/>
      <c r="B476" s="2462"/>
      <c r="C476" s="2462"/>
      <c r="D476" s="2462"/>
      <c r="E476" s="2462"/>
      <c r="F476" s="2462"/>
      <c r="G476" s="2462"/>
      <c r="H476" s="2462"/>
      <c r="I476" s="2579"/>
      <c r="J476" s="2579"/>
      <c r="K476" s="2579"/>
      <c r="L476" s="2579"/>
      <c r="M476" s="2579"/>
      <c r="N476" s="2579"/>
      <c r="O476" s="2579"/>
    </row>
    <row r="477" spans="1:15" s="2463" customFormat="1">
      <c r="A477" s="2462"/>
      <c r="B477" s="2462"/>
      <c r="C477" s="2462"/>
      <c r="D477" s="2462"/>
      <c r="E477" s="2462"/>
      <c r="F477" s="2462"/>
      <c r="G477" s="2462"/>
      <c r="H477" s="2462"/>
      <c r="I477" s="2579"/>
      <c r="J477" s="2579"/>
      <c r="K477" s="2579"/>
      <c r="L477" s="2579"/>
      <c r="M477" s="2579"/>
      <c r="N477" s="2579"/>
      <c r="O477" s="2579"/>
    </row>
    <row r="478" spans="1:15" s="2463" customFormat="1">
      <c r="A478" s="2462"/>
      <c r="B478" s="2462"/>
      <c r="C478" s="2462"/>
      <c r="D478" s="2462"/>
      <c r="E478" s="2462"/>
      <c r="F478" s="2462"/>
      <c r="G478" s="2462"/>
      <c r="H478" s="2462"/>
      <c r="I478" s="2579"/>
      <c r="J478" s="2579"/>
      <c r="K478" s="2579"/>
      <c r="L478" s="2579"/>
      <c r="M478" s="2579"/>
      <c r="N478" s="2579"/>
      <c r="O478" s="2579"/>
    </row>
    <row r="479" spans="1:15" s="2463" customFormat="1">
      <c r="A479" s="2462"/>
      <c r="B479" s="2462"/>
      <c r="C479" s="2462"/>
      <c r="D479" s="2462"/>
      <c r="E479" s="2462"/>
      <c r="F479" s="2462"/>
      <c r="G479" s="2462"/>
      <c r="H479" s="2462"/>
      <c r="I479" s="2579"/>
      <c r="J479" s="2579"/>
      <c r="K479" s="2579"/>
      <c r="L479" s="2579"/>
      <c r="M479" s="2579"/>
      <c r="N479" s="2579"/>
      <c r="O479" s="2579"/>
    </row>
    <row r="480" spans="1:15" s="2463" customFormat="1">
      <c r="A480" s="2462"/>
      <c r="B480" s="2462"/>
      <c r="C480" s="2462"/>
      <c r="D480" s="2462"/>
      <c r="E480" s="2462"/>
      <c r="F480" s="2462"/>
      <c r="G480" s="2462"/>
      <c r="H480" s="2462"/>
      <c r="I480" s="2579"/>
      <c r="J480" s="2579"/>
      <c r="K480" s="2579"/>
      <c r="L480" s="2579"/>
      <c r="M480" s="2579"/>
      <c r="N480" s="2579"/>
      <c r="O480" s="2579"/>
    </row>
    <row r="481" spans="1:15" s="2463" customFormat="1">
      <c r="A481" s="2462"/>
      <c r="B481" s="2462"/>
      <c r="C481" s="2462"/>
      <c r="D481" s="2462"/>
      <c r="E481" s="2462"/>
      <c r="F481" s="2462"/>
      <c r="G481" s="2462"/>
      <c r="H481" s="2462"/>
      <c r="I481" s="2579"/>
      <c r="J481" s="2579"/>
      <c r="K481" s="2579"/>
      <c r="L481" s="2579"/>
      <c r="M481" s="2579"/>
      <c r="N481" s="2579"/>
      <c r="O481" s="2579"/>
    </row>
    <row r="482" spans="1:15" s="2463" customFormat="1">
      <c r="A482" s="2462"/>
      <c r="B482" s="2462"/>
      <c r="C482" s="2462"/>
      <c r="D482" s="2462"/>
      <c r="E482" s="2462"/>
      <c r="F482" s="2462"/>
      <c r="G482" s="2462"/>
      <c r="H482" s="2462"/>
      <c r="I482" s="2579"/>
      <c r="J482" s="2579"/>
      <c r="K482" s="2579"/>
      <c r="L482" s="2579"/>
      <c r="M482" s="2579"/>
      <c r="N482" s="2579"/>
      <c r="O482" s="2579"/>
    </row>
    <row r="483" spans="1:15" s="2463" customFormat="1">
      <c r="A483" s="2462"/>
      <c r="B483" s="2462"/>
      <c r="C483" s="2462"/>
      <c r="D483" s="2462"/>
      <c r="E483" s="2462"/>
      <c r="F483" s="2462"/>
      <c r="G483" s="2462"/>
      <c r="H483" s="2462"/>
      <c r="I483" s="2579"/>
      <c r="J483" s="2579"/>
      <c r="K483" s="2579"/>
      <c r="L483" s="2579"/>
      <c r="M483" s="2579"/>
      <c r="N483" s="2579"/>
      <c r="O483" s="2579"/>
    </row>
    <row r="484" spans="1:15" s="2463" customFormat="1">
      <c r="A484" s="2462"/>
      <c r="B484" s="2462"/>
      <c r="C484" s="2462"/>
      <c r="D484" s="2462"/>
      <c r="E484" s="2462"/>
      <c r="F484" s="2462"/>
      <c r="G484" s="2462"/>
      <c r="H484" s="2462"/>
      <c r="I484" s="2579"/>
      <c r="J484" s="2579"/>
      <c r="K484" s="2579"/>
      <c r="L484" s="2579"/>
      <c r="M484" s="2579"/>
      <c r="N484" s="2579"/>
      <c r="O484" s="2579"/>
    </row>
    <row r="485" spans="1:15" s="2463" customFormat="1">
      <c r="A485" s="2462"/>
      <c r="B485" s="2462"/>
      <c r="C485" s="2462"/>
      <c r="D485" s="2462"/>
      <c r="E485" s="2462"/>
      <c r="F485" s="2462"/>
      <c r="G485" s="2462"/>
      <c r="H485" s="2462"/>
      <c r="I485" s="2579"/>
      <c r="J485" s="2579"/>
      <c r="K485" s="2579"/>
      <c r="L485" s="2579"/>
      <c r="M485" s="2579"/>
      <c r="N485" s="2579"/>
      <c r="O485" s="2579"/>
    </row>
    <row r="486" spans="1:15" s="2463" customFormat="1">
      <c r="A486" s="2462"/>
      <c r="B486" s="2462"/>
      <c r="C486" s="2462"/>
      <c r="D486" s="2462"/>
      <c r="E486" s="2462"/>
      <c r="F486" s="2462"/>
      <c r="G486" s="2462"/>
      <c r="H486" s="2462"/>
      <c r="I486" s="2579"/>
      <c r="J486" s="2579"/>
      <c r="K486" s="2579"/>
      <c r="L486" s="2579"/>
      <c r="M486" s="2579"/>
      <c r="N486" s="2579"/>
      <c r="O486" s="2579"/>
    </row>
    <row r="487" spans="1:15" s="2463" customFormat="1">
      <c r="A487" s="2462"/>
      <c r="B487" s="2462"/>
      <c r="C487" s="2462"/>
      <c r="D487" s="2462"/>
      <c r="E487" s="2462"/>
      <c r="F487" s="2462"/>
      <c r="G487" s="2462"/>
      <c r="H487" s="2462"/>
      <c r="I487" s="2579"/>
      <c r="J487" s="2579"/>
      <c r="K487" s="2579"/>
      <c r="L487" s="2579"/>
      <c r="M487" s="2579"/>
      <c r="N487" s="2579"/>
      <c r="O487" s="2579"/>
    </row>
    <row r="488" spans="1:15" s="2463" customFormat="1">
      <c r="A488" s="2462"/>
      <c r="B488" s="2462"/>
      <c r="C488" s="2462"/>
      <c r="D488" s="2462"/>
      <c r="E488" s="2462"/>
      <c r="F488" s="2462"/>
      <c r="G488" s="2462"/>
      <c r="H488" s="2462"/>
      <c r="I488" s="2579"/>
      <c r="J488" s="2579"/>
      <c r="K488" s="2579"/>
      <c r="L488" s="2579"/>
      <c r="M488" s="2579"/>
      <c r="N488" s="2579"/>
      <c r="O488" s="2579"/>
    </row>
    <row r="489" spans="1:15" s="2463" customFormat="1">
      <c r="A489" s="2462"/>
      <c r="B489" s="2462"/>
      <c r="C489" s="2462"/>
      <c r="D489" s="2462"/>
      <c r="E489" s="2462"/>
      <c r="F489" s="2462"/>
      <c r="G489" s="2462"/>
      <c r="H489" s="2462"/>
      <c r="I489" s="2579"/>
      <c r="J489" s="2579"/>
      <c r="K489" s="2579"/>
      <c r="L489" s="2579"/>
      <c r="M489" s="2579"/>
      <c r="N489" s="2579"/>
      <c r="O489" s="2579"/>
    </row>
    <row r="490" spans="1:15" s="2463" customFormat="1">
      <c r="A490" s="2462"/>
      <c r="B490" s="2462"/>
      <c r="C490" s="2462"/>
      <c r="D490" s="2462"/>
      <c r="E490" s="2462"/>
      <c r="F490" s="2462"/>
      <c r="G490" s="2462"/>
      <c r="H490" s="2462"/>
      <c r="I490" s="2579"/>
      <c r="J490" s="2579"/>
      <c r="K490" s="2579"/>
      <c r="L490" s="2579"/>
      <c r="M490" s="2579"/>
      <c r="N490" s="2579"/>
      <c r="O490" s="2579"/>
    </row>
    <row r="491" spans="1:15" s="2463" customFormat="1">
      <c r="A491" s="2462"/>
      <c r="B491" s="2462"/>
      <c r="C491" s="2462"/>
      <c r="D491" s="2462"/>
      <c r="E491" s="2462"/>
      <c r="F491" s="2462"/>
      <c r="G491" s="2462"/>
      <c r="H491" s="2462"/>
      <c r="I491" s="2579"/>
      <c r="J491" s="2579"/>
      <c r="K491" s="2579"/>
      <c r="L491" s="2579"/>
      <c r="M491" s="2579"/>
      <c r="N491" s="2579"/>
      <c r="O491" s="2579"/>
    </row>
    <row r="492" spans="1:15" s="2463" customFormat="1">
      <c r="A492" s="2462"/>
      <c r="B492" s="2462"/>
      <c r="C492" s="2462"/>
      <c r="D492" s="2462"/>
      <c r="E492" s="2462"/>
      <c r="F492" s="2462"/>
      <c r="G492" s="2462"/>
      <c r="H492" s="2462"/>
      <c r="I492" s="2579"/>
      <c r="J492" s="2579"/>
      <c r="K492" s="2579"/>
      <c r="L492" s="2579"/>
      <c r="M492" s="2579"/>
      <c r="N492" s="2579"/>
      <c r="O492" s="2579"/>
    </row>
    <row r="493" spans="1:15" s="2463" customFormat="1">
      <c r="A493" s="2462"/>
      <c r="B493" s="2462"/>
      <c r="C493" s="2462"/>
      <c r="D493" s="2462"/>
      <c r="E493" s="2462"/>
      <c r="F493" s="2462"/>
      <c r="G493" s="2462"/>
      <c r="H493" s="2462"/>
      <c r="I493" s="2579"/>
      <c r="J493" s="2579"/>
      <c r="K493" s="2579"/>
      <c r="L493" s="2579"/>
      <c r="M493" s="2579"/>
      <c r="N493" s="2579"/>
      <c r="O493" s="2579"/>
    </row>
    <row r="499" spans="1:15" s="2463" customFormat="1">
      <c r="A499" s="2462"/>
      <c r="B499" s="2462"/>
      <c r="C499" s="2462"/>
      <c r="D499" s="2462"/>
      <c r="E499" s="2462"/>
      <c r="F499" s="2462"/>
      <c r="G499" s="2462"/>
      <c r="H499" s="2462"/>
      <c r="I499" s="2579"/>
      <c r="J499" s="2579"/>
      <c r="K499" s="2579"/>
      <c r="L499" s="2579"/>
      <c r="M499" s="2579"/>
      <c r="N499" s="2579"/>
      <c r="O499" s="2579"/>
    </row>
    <row r="500" spans="1:15" s="2463" customFormat="1">
      <c r="A500" s="2462"/>
      <c r="B500" s="2462"/>
      <c r="C500" s="2462"/>
      <c r="D500" s="2462"/>
      <c r="E500" s="2462"/>
      <c r="F500" s="2462"/>
      <c r="G500" s="2462"/>
      <c r="H500" s="2462"/>
      <c r="I500" s="2579"/>
      <c r="J500" s="2579"/>
      <c r="K500" s="2579"/>
      <c r="L500" s="2579"/>
      <c r="M500" s="2579"/>
      <c r="N500" s="2579"/>
      <c r="O500" s="2579"/>
    </row>
    <row r="501" spans="1:15" s="2463" customFormat="1">
      <c r="A501" s="2462"/>
      <c r="B501" s="2462"/>
      <c r="C501" s="2462"/>
      <c r="D501" s="2462"/>
      <c r="E501" s="2462"/>
      <c r="F501" s="2462"/>
      <c r="G501" s="2462"/>
      <c r="H501" s="2462"/>
      <c r="I501" s="2579"/>
      <c r="J501" s="2579"/>
      <c r="K501" s="2579"/>
      <c r="L501" s="2579"/>
      <c r="M501" s="2579"/>
      <c r="N501" s="2579"/>
      <c r="O501" s="2579"/>
    </row>
    <row r="502" spans="1:15" s="2463" customFormat="1">
      <c r="A502" s="2462"/>
      <c r="B502" s="2462"/>
      <c r="C502" s="2462"/>
      <c r="D502" s="2462"/>
      <c r="E502" s="2462"/>
      <c r="F502" s="2462"/>
      <c r="G502" s="2462"/>
      <c r="H502" s="2462"/>
      <c r="I502" s="2579"/>
      <c r="J502" s="2579"/>
      <c r="K502" s="2579"/>
      <c r="L502" s="2579"/>
      <c r="M502" s="2579"/>
      <c r="N502" s="2579"/>
      <c r="O502" s="2579"/>
    </row>
    <row r="503" spans="1:15" s="2463" customFormat="1">
      <c r="A503" s="2462"/>
      <c r="B503" s="2462"/>
      <c r="C503" s="2462"/>
      <c r="D503" s="2462"/>
      <c r="E503" s="2462"/>
      <c r="F503" s="2462"/>
      <c r="G503" s="2462"/>
      <c r="H503" s="2462"/>
      <c r="I503" s="2579"/>
      <c r="J503" s="2579"/>
      <c r="K503" s="2579"/>
      <c r="L503" s="2579"/>
      <c r="M503" s="2579"/>
      <c r="N503" s="2579"/>
      <c r="O503" s="2579"/>
    </row>
    <row r="504" spans="1:15" s="2463" customFormat="1">
      <c r="A504" s="2462"/>
      <c r="B504" s="2462"/>
      <c r="C504" s="2462"/>
      <c r="D504" s="2462"/>
      <c r="E504" s="2462"/>
      <c r="F504" s="2462"/>
      <c r="G504" s="2462"/>
      <c r="H504" s="2462"/>
      <c r="I504" s="2579"/>
      <c r="J504" s="2579"/>
      <c r="K504" s="2579"/>
      <c r="L504" s="2579"/>
      <c r="M504" s="2579"/>
      <c r="N504" s="2579"/>
      <c r="O504" s="2579"/>
    </row>
    <row r="505" spans="1:15" s="2463" customFormat="1">
      <c r="A505" s="2462"/>
      <c r="B505" s="2462"/>
      <c r="C505" s="2462"/>
      <c r="D505" s="2462"/>
      <c r="E505" s="2462"/>
      <c r="F505" s="2462"/>
      <c r="G505" s="2462"/>
      <c r="H505" s="2462"/>
      <c r="I505" s="2579"/>
      <c r="J505" s="2579"/>
      <c r="K505" s="2579"/>
      <c r="L505" s="2579"/>
      <c r="M505" s="2579"/>
      <c r="N505" s="2579"/>
      <c r="O505" s="2579"/>
    </row>
    <row r="506" spans="1:15" s="2463" customFormat="1">
      <c r="A506" s="2462"/>
      <c r="B506" s="2462"/>
      <c r="C506" s="2462"/>
      <c r="D506" s="2462"/>
      <c r="E506" s="2462"/>
      <c r="F506" s="2462"/>
      <c r="G506" s="2462"/>
      <c r="H506" s="2462"/>
      <c r="I506" s="2579"/>
      <c r="J506" s="2579"/>
      <c r="K506" s="2579"/>
      <c r="L506" s="2579"/>
      <c r="M506" s="2579"/>
      <c r="N506" s="2579"/>
      <c r="O506" s="2579"/>
    </row>
    <row r="507" spans="1:15" s="2463" customFormat="1">
      <c r="A507" s="2462"/>
      <c r="B507" s="2462"/>
      <c r="C507" s="2462"/>
      <c r="D507" s="2462"/>
      <c r="E507" s="2462"/>
      <c r="F507" s="2462"/>
      <c r="G507" s="2462"/>
      <c r="H507" s="2462"/>
      <c r="I507" s="2579"/>
      <c r="J507" s="2579"/>
      <c r="K507" s="2579"/>
      <c r="L507" s="2579"/>
      <c r="M507" s="2579"/>
      <c r="N507" s="2579"/>
      <c r="O507" s="2579"/>
    </row>
    <row r="508" spans="1:15" s="2463" customFormat="1">
      <c r="A508" s="2462"/>
      <c r="B508" s="2462"/>
      <c r="C508" s="2462"/>
      <c r="D508" s="2462"/>
      <c r="E508" s="2462"/>
      <c r="F508" s="2462"/>
      <c r="G508" s="2462"/>
      <c r="H508" s="2462"/>
      <c r="I508" s="2579"/>
      <c r="J508" s="2579"/>
      <c r="K508" s="2579"/>
      <c r="L508" s="2579"/>
      <c r="M508" s="2579"/>
      <c r="N508" s="2579"/>
      <c r="O508" s="2579"/>
    </row>
    <row r="509" spans="1:15" s="2463" customFormat="1">
      <c r="A509" s="2462"/>
      <c r="B509" s="2462"/>
      <c r="C509" s="2462"/>
      <c r="D509" s="2462"/>
      <c r="E509" s="2462"/>
      <c r="F509" s="2462"/>
      <c r="G509" s="2462"/>
      <c r="H509" s="2462"/>
      <c r="I509" s="2579"/>
      <c r="J509" s="2579"/>
      <c r="K509" s="2579"/>
      <c r="L509" s="2579"/>
      <c r="M509" s="2579"/>
      <c r="N509" s="2579"/>
      <c r="O509" s="2579"/>
    </row>
    <row r="510" spans="1:15" s="2463" customFormat="1">
      <c r="A510" s="2462"/>
      <c r="B510" s="2462"/>
      <c r="C510" s="2462"/>
      <c r="D510" s="2462"/>
      <c r="E510" s="2462"/>
      <c r="F510" s="2462"/>
      <c r="G510" s="2462"/>
      <c r="H510" s="2462"/>
      <c r="I510" s="2579"/>
      <c r="J510" s="2579"/>
      <c r="K510" s="2579"/>
      <c r="L510" s="2579"/>
      <c r="M510" s="2579"/>
      <c r="N510" s="2579"/>
      <c r="O510" s="2579"/>
    </row>
    <row r="511" spans="1:15" s="2463" customFormat="1">
      <c r="A511" s="2462"/>
      <c r="B511" s="2462"/>
      <c r="C511" s="2462"/>
      <c r="D511" s="2462"/>
      <c r="E511" s="2462"/>
      <c r="F511" s="2462"/>
      <c r="G511" s="2462"/>
      <c r="H511" s="2462"/>
      <c r="I511" s="2579"/>
      <c r="J511" s="2579"/>
      <c r="K511" s="2579"/>
      <c r="L511" s="2579"/>
      <c r="M511" s="2579"/>
      <c r="N511" s="2579"/>
      <c r="O511" s="2579"/>
    </row>
    <row r="512" spans="1:15" s="2463" customFormat="1">
      <c r="A512" s="2462"/>
      <c r="B512" s="2462"/>
      <c r="C512" s="2462"/>
      <c r="D512" s="2462"/>
      <c r="E512" s="2462"/>
      <c r="F512" s="2462"/>
      <c r="G512" s="2462"/>
      <c r="H512" s="2462"/>
      <c r="I512" s="2579"/>
      <c r="J512" s="2579"/>
      <c r="K512" s="2579"/>
      <c r="L512" s="2579"/>
      <c r="M512" s="2579"/>
      <c r="N512" s="2579"/>
      <c r="O512" s="2579"/>
    </row>
    <row r="513" spans="1:15" s="2463" customFormat="1">
      <c r="A513" s="2462"/>
      <c r="B513" s="2462"/>
      <c r="C513" s="2462"/>
      <c r="D513" s="2462"/>
      <c r="E513" s="2462"/>
      <c r="F513" s="2462"/>
      <c r="G513" s="2462"/>
      <c r="H513" s="2462"/>
      <c r="I513" s="2579"/>
      <c r="J513" s="2579"/>
      <c r="K513" s="2579"/>
      <c r="L513" s="2579"/>
      <c r="M513" s="2579"/>
      <c r="N513" s="2579"/>
      <c r="O513" s="2579"/>
    </row>
    <row r="514" spans="1:15" s="2463" customFormat="1">
      <c r="A514" s="2462"/>
      <c r="B514" s="2462"/>
      <c r="C514" s="2462"/>
      <c r="D514" s="2462"/>
      <c r="E514" s="2462"/>
      <c r="F514" s="2462"/>
      <c r="G514" s="2462"/>
      <c r="H514" s="2462"/>
      <c r="I514" s="2579"/>
      <c r="J514" s="2579"/>
      <c r="K514" s="2579"/>
      <c r="L514" s="2579"/>
      <c r="M514" s="2579"/>
      <c r="N514" s="2579"/>
      <c r="O514" s="2579"/>
    </row>
    <row r="515" spans="1:15" s="2463" customFormat="1">
      <c r="A515" s="2462"/>
      <c r="B515" s="2462"/>
      <c r="C515" s="2462"/>
      <c r="D515" s="2462"/>
      <c r="E515" s="2462"/>
      <c r="F515" s="2462"/>
      <c r="G515" s="2462"/>
      <c r="H515" s="2462"/>
      <c r="I515" s="2579"/>
      <c r="J515" s="2579"/>
      <c r="K515" s="2579"/>
      <c r="L515" s="2579"/>
      <c r="M515" s="2579"/>
      <c r="N515" s="2579"/>
      <c r="O515" s="2579"/>
    </row>
    <row r="516" spans="1:15" s="2463" customFormat="1">
      <c r="A516" s="2462"/>
      <c r="B516" s="2462"/>
      <c r="C516" s="2462"/>
      <c r="D516" s="2462"/>
      <c r="E516" s="2462"/>
      <c r="F516" s="2462"/>
      <c r="G516" s="2462"/>
      <c r="H516" s="2462"/>
      <c r="I516" s="2579"/>
      <c r="J516" s="2579"/>
      <c r="K516" s="2579"/>
      <c r="L516" s="2579"/>
      <c r="M516" s="2579"/>
      <c r="N516" s="2579"/>
      <c r="O516" s="2579"/>
    </row>
    <row r="517" spans="1:15" s="2463" customFormat="1">
      <c r="A517" s="2462"/>
      <c r="B517" s="2462"/>
      <c r="C517" s="2462"/>
      <c r="D517" s="2462"/>
      <c r="E517" s="2462"/>
      <c r="F517" s="2462"/>
      <c r="G517" s="2462"/>
      <c r="H517" s="2462"/>
      <c r="I517" s="2579"/>
      <c r="J517" s="2579"/>
      <c r="K517" s="2579"/>
      <c r="L517" s="2579"/>
      <c r="M517" s="2579"/>
      <c r="N517" s="2579"/>
      <c r="O517" s="2579"/>
    </row>
    <row r="518" spans="1:15" s="2463" customFormat="1">
      <c r="A518" s="2462"/>
      <c r="B518" s="2462"/>
      <c r="C518" s="2462"/>
      <c r="D518" s="2462"/>
      <c r="E518" s="2462"/>
      <c r="F518" s="2462"/>
      <c r="G518" s="2462"/>
      <c r="H518" s="2462"/>
      <c r="I518" s="2579"/>
      <c r="J518" s="2579"/>
      <c r="K518" s="2579"/>
      <c r="L518" s="2579"/>
      <c r="M518" s="2579"/>
      <c r="N518" s="2579"/>
      <c r="O518" s="2579"/>
    </row>
    <row r="519" spans="1:15" s="2463" customFormat="1">
      <c r="A519" s="2462"/>
      <c r="B519" s="2462"/>
      <c r="C519" s="2462"/>
      <c r="D519" s="2462"/>
      <c r="E519" s="2462"/>
      <c r="F519" s="2462"/>
      <c r="G519" s="2462"/>
      <c r="H519" s="2462"/>
      <c r="I519" s="2579"/>
      <c r="J519" s="2579"/>
      <c r="K519" s="2579"/>
      <c r="L519" s="2579"/>
      <c r="M519" s="2579"/>
      <c r="N519" s="2579"/>
      <c r="O519" s="2579"/>
    </row>
    <row r="520" spans="1:15" s="2463" customFormat="1">
      <c r="A520" s="2462"/>
      <c r="B520" s="2462"/>
      <c r="C520" s="2462"/>
      <c r="D520" s="2462"/>
      <c r="E520" s="2462"/>
      <c r="F520" s="2462"/>
      <c r="G520" s="2462"/>
      <c r="H520" s="2462"/>
      <c r="I520" s="2579"/>
      <c r="J520" s="2579"/>
      <c r="K520" s="2579"/>
      <c r="L520" s="2579"/>
      <c r="M520" s="2579"/>
      <c r="N520" s="2579"/>
      <c r="O520" s="2579"/>
    </row>
    <row r="521" spans="1:15" s="2463" customFormat="1">
      <c r="A521" s="2462"/>
      <c r="B521" s="2462"/>
      <c r="C521" s="2462"/>
      <c r="D521" s="2462"/>
      <c r="E521" s="2462"/>
      <c r="F521" s="2462"/>
      <c r="G521" s="2462"/>
      <c r="H521" s="2462"/>
      <c r="I521" s="2579"/>
      <c r="J521" s="2579"/>
      <c r="K521" s="2579"/>
      <c r="L521" s="2579"/>
      <c r="M521" s="2579"/>
      <c r="N521" s="2579"/>
      <c r="O521" s="2579"/>
    </row>
    <row r="522" spans="1:15" s="2463" customFormat="1">
      <c r="A522" s="2462"/>
      <c r="B522" s="2462"/>
      <c r="C522" s="2462"/>
      <c r="D522" s="2462"/>
      <c r="E522" s="2462"/>
      <c r="F522" s="2462"/>
      <c r="G522" s="2462"/>
      <c r="H522" s="2462"/>
      <c r="I522" s="2579"/>
      <c r="J522" s="2579"/>
      <c r="K522" s="2579"/>
      <c r="L522" s="2579"/>
      <c r="M522" s="2579"/>
      <c r="N522" s="2579"/>
      <c r="O522" s="2579"/>
    </row>
    <row r="523" spans="1:15" s="2463" customFormat="1">
      <c r="A523" s="2462"/>
      <c r="B523" s="2462"/>
      <c r="C523" s="2462"/>
      <c r="D523" s="2462"/>
      <c r="E523" s="2462"/>
      <c r="F523" s="2462"/>
      <c r="G523" s="2462"/>
      <c r="H523" s="2462"/>
      <c r="I523" s="2579"/>
      <c r="J523" s="2579"/>
      <c r="K523" s="2579"/>
      <c r="L523" s="2579"/>
      <c r="M523" s="2579"/>
      <c r="N523" s="2579"/>
      <c r="O523" s="2579"/>
    </row>
    <row r="524" spans="1:15" s="2463" customFormat="1">
      <c r="A524" s="2462"/>
      <c r="B524" s="2462"/>
      <c r="C524" s="2462"/>
      <c r="D524" s="2462"/>
      <c r="E524" s="2462"/>
      <c r="F524" s="2462"/>
      <c r="G524" s="2462"/>
      <c r="H524" s="2462"/>
      <c r="I524" s="2579"/>
      <c r="J524" s="2579"/>
      <c r="K524" s="2579"/>
      <c r="L524" s="2579"/>
      <c r="M524" s="2579"/>
      <c r="N524" s="2579"/>
      <c r="O524" s="2579"/>
    </row>
    <row r="525" spans="1:15" s="2463" customFormat="1">
      <c r="A525" s="2462"/>
      <c r="B525" s="2462"/>
      <c r="C525" s="2462"/>
      <c r="D525" s="2462"/>
      <c r="E525" s="2462"/>
      <c r="F525" s="2462"/>
      <c r="G525" s="2462"/>
      <c r="H525" s="2462"/>
      <c r="I525" s="2579"/>
      <c r="J525" s="2579"/>
      <c r="K525" s="2579"/>
      <c r="L525" s="2579"/>
      <c r="M525" s="2579"/>
      <c r="N525" s="2579"/>
      <c r="O525" s="2579"/>
    </row>
    <row r="526" spans="1:15" s="2463" customFormat="1">
      <c r="A526" s="2462"/>
      <c r="B526" s="2462"/>
      <c r="C526" s="2462"/>
      <c r="D526" s="2462"/>
      <c r="E526" s="2462"/>
      <c r="F526" s="2462"/>
      <c r="G526" s="2462"/>
      <c r="H526" s="2462"/>
      <c r="I526" s="2579"/>
      <c r="J526" s="2579"/>
      <c r="K526" s="2579"/>
      <c r="L526" s="2579"/>
      <c r="M526" s="2579"/>
      <c r="N526" s="2579"/>
      <c r="O526" s="2579"/>
    </row>
    <row r="527" spans="1:15" s="2463" customFormat="1">
      <c r="A527" s="2462"/>
      <c r="B527" s="2462"/>
      <c r="C527" s="2462"/>
      <c r="D527" s="2462"/>
      <c r="E527" s="2462"/>
      <c r="F527" s="2462"/>
      <c r="G527" s="2462"/>
      <c r="H527" s="2462"/>
      <c r="I527" s="2579"/>
      <c r="J527" s="2579"/>
      <c r="K527" s="2579"/>
      <c r="L527" s="2579"/>
      <c r="M527" s="2579"/>
      <c r="N527" s="2579"/>
      <c r="O527" s="2579"/>
    </row>
    <row r="528" spans="1:15" s="2463" customFormat="1">
      <c r="A528" s="2462"/>
      <c r="B528" s="2462"/>
      <c r="C528" s="2462"/>
      <c r="D528" s="2462"/>
      <c r="E528" s="2462"/>
      <c r="F528" s="2462"/>
      <c r="G528" s="2462"/>
      <c r="H528" s="2462"/>
      <c r="I528" s="2579"/>
      <c r="J528" s="2579"/>
      <c r="K528" s="2579"/>
      <c r="L528" s="2579"/>
      <c r="M528" s="2579"/>
      <c r="N528" s="2579"/>
      <c r="O528" s="2579"/>
    </row>
    <row r="529" spans="1:15" s="2463" customFormat="1">
      <c r="A529" s="2462"/>
      <c r="B529" s="2462"/>
      <c r="C529" s="2462"/>
      <c r="D529" s="2462"/>
      <c r="E529" s="2462"/>
      <c r="F529" s="2462"/>
      <c r="G529" s="2462"/>
      <c r="H529" s="2462"/>
      <c r="I529" s="2579"/>
      <c r="J529" s="2579"/>
      <c r="K529" s="2579"/>
      <c r="L529" s="2579"/>
      <c r="M529" s="2579"/>
      <c r="N529" s="2579"/>
      <c r="O529" s="2579"/>
    </row>
    <row r="530" spans="1:15" s="2463" customFormat="1">
      <c r="A530" s="2462"/>
      <c r="B530" s="2462"/>
      <c r="C530" s="2462"/>
      <c r="D530" s="2462"/>
      <c r="E530" s="2462"/>
      <c r="F530" s="2462"/>
      <c r="G530" s="2462"/>
      <c r="H530" s="2462"/>
      <c r="I530" s="2579"/>
      <c r="J530" s="2579"/>
      <c r="K530" s="2579"/>
      <c r="L530" s="2579"/>
      <c r="M530" s="2579"/>
      <c r="N530" s="2579"/>
      <c r="O530" s="2579"/>
    </row>
    <row r="531" spans="1:15" s="2463" customFormat="1">
      <c r="A531" s="2462"/>
      <c r="B531" s="2462"/>
      <c r="C531" s="2462"/>
      <c r="D531" s="2462"/>
      <c r="E531" s="2462"/>
      <c r="F531" s="2462"/>
      <c r="G531" s="2462"/>
      <c r="H531" s="2462"/>
      <c r="I531" s="2579"/>
      <c r="J531" s="2579"/>
      <c r="K531" s="2579"/>
      <c r="L531" s="2579"/>
      <c r="M531" s="2579"/>
      <c r="N531" s="2579"/>
      <c r="O531" s="2579"/>
    </row>
    <row r="532" spans="1:15" s="2463" customFormat="1">
      <c r="A532" s="2462"/>
      <c r="B532" s="2462"/>
      <c r="C532" s="2462"/>
      <c r="D532" s="2462"/>
      <c r="E532" s="2462"/>
      <c r="F532" s="2462"/>
      <c r="G532" s="2462"/>
      <c r="H532" s="2462"/>
      <c r="I532" s="2579"/>
      <c r="J532" s="2579"/>
      <c r="K532" s="2579"/>
      <c r="L532" s="2579"/>
      <c r="M532" s="2579"/>
      <c r="N532" s="2579"/>
      <c r="O532" s="2579"/>
    </row>
    <row r="533" spans="1:15" s="2463" customFormat="1">
      <c r="A533" s="2462"/>
      <c r="B533" s="2462"/>
      <c r="C533" s="2462"/>
      <c r="D533" s="2462"/>
      <c r="E533" s="2462"/>
      <c r="F533" s="2462"/>
      <c r="G533" s="2462"/>
      <c r="H533" s="2462"/>
      <c r="I533" s="2579"/>
      <c r="J533" s="2579"/>
      <c r="K533" s="2579"/>
      <c r="L533" s="2579"/>
      <c r="M533" s="2579"/>
      <c r="N533" s="2579"/>
      <c r="O533" s="2579"/>
    </row>
    <row r="534" spans="1:15" s="2463" customFormat="1">
      <c r="A534" s="2462"/>
      <c r="B534" s="2462"/>
      <c r="C534" s="2462"/>
      <c r="D534" s="2462"/>
      <c r="E534" s="2462"/>
      <c r="F534" s="2462"/>
      <c r="G534" s="2462"/>
      <c r="H534" s="2462"/>
      <c r="I534" s="2579"/>
      <c r="J534" s="2579"/>
      <c r="K534" s="2579"/>
      <c r="L534" s="2579"/>
      <c r="M534" s="2579"/>
      <c r="N534" s="2579"/>
      <c r="O534" s="2579"/>
    </row>
    <row r="535" spans="1:15" s="2463" customFormat="1">
      <c r="A535" s="2462"/>
      <c r="B535" s="2462"/>
      <c r="C535" s="2462"/>
      <c r="D535" s="2462"/>
      <c r="E535" s="2462"/>
      <c r="F535" s="2462"/>
      <c r="G535" s="2462"/>
      <c r="H535" s="2462"/>
      <c r="I535" s="2579"/>
      <c r="J535" s="2579"/>
      <c r="K535" s="2579"/>
      <c r="L535" s="2579"/>
      <c r="M535" s="2579"/>
      <c r="N535" s="2579"/>
      <c r="O535" s="2579"/>
    </row>
    <row r="536" spans="1:15" s="2463" customFormat="1">
      <c r="A536" s="2462"/>
      <c r="B536" s="2462"/>
      <c r="C536" s="2462"/>
      <c r="D536" s="2462"/>
      <c r="E536" s="2462"/>
      <c r="F536" s="2462"/>
      <c r="G536" s="2462"/>
      <c r="H536" s="2462"/>
      <c r="I536" s="2579"/>
      <c r="J536" s="2579"/>
      <c r="K536" s="2579"/>
      <c r="L536" s="2579"/>
      <c r="M536" s="2579"/>
      <c r="N536" s="2579"/>
      <c r="O536" s="2579"/>
    </row>
    <row r="537" spans="1:15" s="2463" customFormat="1">
      <c r="A537" s="2462"/>
      <c r="B537" s="2462"/>
      <c r="C537" s="2462"/>
      <c r="D537" s="2462"/>
      <c r="E537" s="2462"/>
      <c r="F537" s="2462"/>
      <c r="G537" s="2462"/>
      <c r="H537" s="2462"/>
      <c r="I537" s="2579"/>
      <c r="J537" s="2579"/>
      <c r="K537" s="2579"/>
      <c r="L537" s="2579"/>
      <c r="M537" s="2579"/>
      <c r="N537" s="2579"/>
      <c r="O537" s="2579"/>
    </row>
    <row r="544" spans="1:15" s="2463" customFormat="1">
      <c r="A544" s="2462"/>
      <c r="B544" s="2462"/>
      <c r="C544" s="2462"/>
      <c r="D544" s="2462"/>
      <c r="E544" s="2462"/>
      <c r="F544" s="2462"/>
      <c r="G544" s="2462"/>
      <c r="H544" s="2462"/>
      <c r="I544" s="2579"/>
      <c r="J544" s="2579"/>
      <c r="K544" s="2579"/>
      <c r="L544" s="2579"/>
      <c r="M544" s="2579"/>
      <c r="N544" s="2579"/>
      <c r="O544" s="2579"/>
    </row>
    <row r="545" spans="1:15" s="2463" customFormat="1">
      <c r="A545" s="2462"/>
      <c r="B545" s="2462"/>
      <c r="C545" s="2462"/>
      <c r="D545" s="2462"/>
      <c r="E545" s="2462"/>
      <c r="F545" s="2462"/>
      <c r="G545" s="2462"/>
      <c r="H545" s="2462"/>
      <c r="I545" s="2579"/>
      <c r="J545" s="2579"/>
      <c r="K545" s="2579"/>
      <c r="L545" s="2579"/>
      <c r="M545" s="2579"/>
      <c r="N545" s="2579"/>
      <c r="O545" s="2579"/>
    </row>
    <row r="546" spans="1:15" s="2463" customFormat="1">
      <c r="A546" s="2462"/>
      <c r="B546" s="2462"/>
      <c r="C546" s="2462"/>
      <c r="D546" s="2462"/>
      <c r="E546" s="2462"/>
      <c r="F546" s="2462"/>
      <c r="G546" s="2462"/>
      <c r="H546" s="2462"/>
      <c r="I546" s="2579"/>
      <c r="J546" s="2579"/>
      <c r="K546" s="2579"/>
      <c r="L546" s="2579"/>
      <c r="M546" s="2579"/>
      <c r="N546" s="2579"/>
      <c r="O546" s="2579"/>
    </row>
    <row r="547" spans="1:15" s="2463" customFormat="1">
      <c r="A547" s="2462"/>
      <c r="B547" s="2462"/>
      <c r="C547" s="2462"/>
      <c r="D547" s="2462"/>
      <c r="E547" s="2462"/>
      <c r="F547" s="2462"/>
      <c r="G547" s="2462"/>
      <c r="H547" s="2462"/>
      <c r="I547" s="2579"/>
      <c r="J547" s="2579"/>
      <c r="K547" s="2579"/>
      <c r="L547" s="2579"/>
      <c r="M547" s="2579"/>
      <c r="N547" s="2579"/>
      <c r="O547" s="2579"/>
    </row>
    <row r="548" spans="1:15" s="2463" customFormat="1">
      <c r="A548" s="2462"/>
      <c r="B548" s="2462"/>
      <c r="C548" s="2462"/>
      <c r="D548" s="2462"/>
      <c r="E548" s="2462"/>
      <c r="F548" s="2462"/>
      <c r="G548" s="2462"/>
      <c r="H548" s="2462"/>
      <c r="I548" s="2579"/>
      <c r="J548" s="2579"/>
      <c r="K548" s="2579"/>
      <c r="L548" s="2579"/>
      <c r="M548" s="2579"/>
      <c r="N548" s="2579"/>
      <c r="O548" s="2579"/>
    </row>
    <row r="549" spans="1:15" s="2463" customFormat="1">
      <c r="A549" s="2462"/>
      <c r="B549" s="2462"/>
      <c r="C549" s="2462"/>
      <c r="D549" s="2462"/>
      <c r="E549" s="2462"/>
      <c r="F549" s="2462"/>
      <c r="G549" s="2462"/>
      <c r="H549" s="2462"/>
      <c r="I549" s="2579"/>
      <c r="J549" s="2579"/>
      <c r="K549" s="2579"/>
      <c r="L549" s="2579"/>
      <c r="M549" s="2579"/>
      <c r="N549" s="2579"/>
      <c r="O549" s="2579"/>
    </row>
    <row r="550" spans="1:15" s="2463" customFormat="1">
      <c r="A550" s="2462"/>
      <c r="B550" s="2462"/>
      <c r="C550" s="2462"/>
      <c r="D550" s="2462"/>
      <c r="E550" s="2462"/>
      <c r="F550" s="2462"/>
      <c r="G550" s="2462"/>
      <c r="H550" s="2462"/>
      <c r="I550" s="2579"/>
      <c r="J550" s="2579"/>
      <c r="K550" s="2579"/>
      <c r="L550" s="2579"/>
      <c r="M550" s="2579"/>
      <c r="N550" s="2579"/>
      <c r="O550" s="2579"/>
    </row>
    <row r="551" spans="1:15" s="2463" customFormat="1">
      <c r="A551" s="2462"/>
      <c r="B551" s="2462"/>
      <c r="C551" s="2462"/>
      <c r="D551" s="2462"/>
      <c r="E551" s="2462"/>
      <c r="F551" s="2462"/>
      <c r="G551" s="2462"/>
      <c r="H551" s="2462"/>
      <c r="I551" s="2579"/>
      <c r="J551" s="2579"/>
      <c r="K551" s="2579"/>
      <c r="L551" s="2579"/>
      <c r="M551" s="2579"/>
      <c r="N551" s="2579"/>
      <c r="O551" s="2579"/>
    </row>
    <row r="552" spans="1:15" s="2463" customFormat="1">
      <c r="A552" s="2462"/>
      <c r="B552" s="2462"/>
      <c r="C552" s="2462"/>
      <c r="D552" s="2462"/>
      <c r="E552" s="2462"/>
      <c r="F552" s="2462"/>
      <c r="G552" s="2462"/>
      <c r="H552" s="2462"/>
      <c r="I552" s="2579"/>
      <c r="J552" s="2579"/>
      <c r="K552" s="2579"/>
      <c r="L552" s="2579"/>
      <c r="M552" s="2579"/>
      <c r="N552" s="2579"/>
      <c r="O552" s="2579"/>
    </row>
    <row r="553" spans="1:15" s="2463" customFormat="1">
      <c r="A553" s="2462"/>
      <c r="B553" s="2462"/>
      <c r="C553" s="2462"/>
      <c r="D553" s="2462"/>
      <c r="E553" s="2462"/>
      <c r="F553" s="2462"/>
      <c r="G553" s="2462"/>
      <c r="H553" s="2462"/>
      <c r="I553" s="2579"/>
      <c r="J553" s="2579"/>
      <c r="K553" s="2579"/>
      <c r="L553" s="2579"/>
      <c r="M553" s="2579"/>
      <c r="N553" s="2579"/>
      <c r="O553" s="2579"/>
    </row>
    <row r="554" spans="1:15" s="2463" customFormat="1">
      <c r="A554" s="2462"/>
      <c r="B554" s="2462"/>
      <c r="C554" s="2462"/>
      <c r="D554" s="2462"/>
      <c r="E554" s="2462"/>
      <c r="F554" s="2462"/>
      <c r="G554" s="2462"/>
      <c r="H554" s="2462"/>
      <c r="I554" s="2579"/>
      <c r="J554" s="2579"/>
      <c r="K554" s="2579"/>
      <c r="L554" s="2579"/>
      <c r="M554" s="2579"/>
      <c r="N554" s="2579"/>
      <c r="O554" s="2579"/>
    </row>
    <row r="555" spans="1:15" s="2463" customFormat="1">
      <c r="A555" s="2462"/>
      <c r="B555" s="2462"/>
      <c r="C555" s="2462"/>
      <c r="D555" s="2462"/>
      <c r="E555" s="2462"/>
      <c r="F555" s="2462"/>
      <c r="G555" s="2462"/>
      <c r="H555" s="2462"/>
      <c r="I555" s="2579"/>
      <c r="J555" s="2579"/>
      <c r="K555" s="2579"/>
      <c r="L555" s="2579"/>
      <c r="M555" s="2579"/>
      <c r="N555" s="2579"/>
      <c r="O555" s="2579"/>
    </row>
    <row r="556" spans="1:15" s="2463" customFormat="1">
      <c r="A556" s="2462"/>
      <c r="B556" s="2462"/>
      <c r="C556" s="2462"/>
      <c r="D556" s="2462"/>
      <c r="E556" s="2462"/>
      <c r="F556" s="2462"/>
      <c r="G556" s="2462"/>
      <c r="H556" s="2462"/>
      <c r="I556" s="2579"/>
      <c r="J556" s="2579"/>
      <c r="K556" s="2579"/>
      <c r="L556" s="2579"/>
      <c r="M556" s="2579"/>
      <c r="N556" s="2579"/>
      <c r="O556" s="2579"/>
    </row>
    <row r="557" spans="1:15" s="2463" customFormat="1">
      <c r="A557" s="2462"/>
      <c r="B557" s="2462"/>
      <c r="C557" s="2462"/>
      <c r="D557" s="2462"/>
      <c r="E557" s="2462"/>
      <c r="F557" s="2462"/>
      <c r="G557" s="2462"/>
      <c r="H557" s="2462"/>
      <c r="I557" s="2579"/>
      <c r="J557" s="2579"/>
      <c r="K557" s="2579"/>
      <c r="L557" s="2579"/>
      <c r="M557" s="2579"/>
      <c r="N557" s="2579"/>
      <c r="O557" s="2579"/>
    </row>
    <row r="558" spans="1:15" s="2463" customFormat="1">
      <c r="A558" s="2462"/>
      <c r="B558" s="2462"/>
      <c r="C558" s="2462"/>
      <c r="D558" s="2462"/>
      <c r="E558" s="2462"/>
      <c r="F558" s="2462"/>
      <c r="G558" s="2462"/>
      <c r="H558" s="2462"/>
      <c r="I558" s="2579"/>
      <c r="J558" s="2579"/>
      <c r="K558" s="2579"/>
      <c r="L558" s="2579"/>
      <c r="M558" s="2579"/>
      <c r="N558" s="2579"/>
      <c r="O558" s="2579"/>
    </row>
    <row r="559" spans="1:15" s="2463" customFormat="1">
      <c r="A559" s="2462"/>
      <c r="B559" s="2462"/>
      <c r="C559" s="2462"/>
      <c r="D559" s="2462"/>
      <c r="E559" s="2462"/>
      <c r="F559" s="2462"/>
      <c r="G559" s="2462"/>
      <c r="H559" s="2462"/>
      <c r="I559" s="2579"/>
      <c r="J559" s="2579"/>
      <c r="K559" s="2579"/>
      <c r="L559" s="2579"/>
      <c r="M559" s="2579"/>
      <c r="N559" s="2579"/>
      <c r="O559" s="2579"/>
    </row>
    <row r="560" spans="1:15" s="2463" customFormat="1">
      <c r="A560" s="2462"/>
      <c r="B560" s="2462"/>
      <c r="C560" s="2462"/>
      <c r="D560" s="2462"/>
      <c r="E560" s="2462"/>
      <c r="F560" s="2462"/>
      <c r="G560" s="2462"/>
      <c r="H560" s="2462"/>
      <c r="I560" s="2579"/>
      <c r="J560" s="2579"/>
      <c r="K560" s="2579"/>
      <c r="L560" s="2579"/>
      <c r="M560" s="2579"/>
      <c r="N560" s="2579"/>
      <c r="O560" s="2579"/>
    </row>
    <row r="561" spans="1:15" s="2463" customFormat="1" ht="7.5" customHeight="1">
      <c r="A561" s="2462"/>
      <c r="B561" s="2462"/>
      <c r="C561" s="2462"/>
      <c r="D561" s="2462"/>
      <c r="E561" s="2462"/>
      <c r="F561" s="2462"/>
      <c r="G561" s="2462"/>
      <c r="H561" s="2462"/>
      <c r="I561" s="2579"/>
      <c r="J561" s="2579"/>
      <c r="K561" s="2579"/>
      <c r="L561" s="2579"/>
      <c r="M561" s="2579"/>
      <c r="N561" s="2579"/>
      <c r="O561" s="2579"/>
    </row>
    <row r="562" spans="1:15" s="2463" customFormat="1" ht="7.5" customHeight="1">
      <c r="A562" s="2462"/>
      <c r="B562" s="2462"/>
      <c r="C562" s="2462"/>
      <c r="D562" s="2462"/>
      <c r="E562" s="2462"/>
      <c r="F562" s="2462"/>
      <c r="G562" s="2462"/>
      <c r="H562" s="2462"/>
      <c r="I562" s="2579"/>
      <c r="J562" s="2579"/>
      <c r="K562" s="2579"/>
      <c r="L562" s="2579"/>
      <c r="M562" s="2579"/>
      <c r="N562" s="2579"/>
      <c r="O562" s="2579"/>
    </row>
    <row r="563" spans="1:15" s="2463" customFormat="1" ht="7.5" customHeight="1">
      <c r="A563" s="2462"/>
      <c r="B563" s="2462"/>
      <c r="C563" s="2462"/>
      <c r="D563" s="2462"/>
      <c r="E563" s="2462"/>
      <c r="F563" s="2462"/>
      <c r="G563" s="2462"/>
      <c r="H563" s="2462"/>
      <c r="I563" s="2579"/>
      <c r="J563" s="2579"/>
      <c r="K563" s="2579"/>
      <c r="L563" s="2579"/>
      <c r="M563" s="2579"/>
      <c r="N563" s="2579"/>
      <c r="O563" s="2579"/>
    </row>
    <row r="564" spans="1:15" s="2463" customFormat="1" ht="7.5" customHeight="1">
      <c r="A564" s="2462"/>
      <c r="B564" s="2462"/>
      <c r="C564" s="2462"/>
      <c r="D564" s="2462"/>
      <c r="E564" s="2462"/>
      <c r="F564" s="2462"/>
      <c r="G564" s="2462"/>
      <c r="H564" s="2462"/>
      <c r="I564" s="2579"/>
      <c r="J564" s="2579"/>
      <c r="K564" s="2579"/>
      <c r="L564" s="2579"/>
      <c r="M564" s="2579"/>
      <c r="N564" s="2579"/>
      <c r="O564" s="2579"/>
    </row>
    <row r="565" spans="1:15" s="2463" customFormat="1" ht="7.5" customHeight="1">
      <c r="A565" s="2462"/>
      <c r="B565" s="2462"/>
      <c r="C565" s="2462"/>
      <c r="D565" s="2462"/>
      <c r="E565" s="2462"/>
      <c r="F565" s="2462"/>
      <c r="G565" s="2462"/>
      <c r="H565" s="2462"/>
      <c r="I565" s="2579"/>
      <c r="J565" s="2579"/>
      <c r="K565" s="2579"/>
      <c r="L565" s="2579"/>
      <c r="M565" s="2579"/>
      <c r="N565" s="2579"/>
      <c r="O565" s="2579"/>
    </row>
    <row r="566" spans="1:15" s="2463" customFormat="1" ht="7.5" customHeight="1">
      <c r="A566" s="2462"/>
      <c r="B566" s="2462"/>
      <c r="C566" s="2462"/>
      <c r="D566" s="2462"/>
      <c r="E566" s="2462"/>
      <c r="F566" s="2462"/>
      <c r="G566" s="2462"/>
      <c r="H566" s="2462"/>
      <c r="I566" s="2579"/>
      <c r="J566" s="2579"/>
      <c r="K566" s="2579"/>
      <c r="L566" s="2579"/>
      <c r="M566" s="2579"/>
      <c r="N566" s="2579"/>
      <c r="O566" s="2579"/>
    </row>
    <row r="567" spans="1:15" s="2463" customFormat="1" ht="7.5" customHeight="1">
      <c r="A567" s="2462"/>
      <c r="B567" s="2462"/>
      <c r="C567" s="2462"/>
      <c r="D567" s="2462"/>
      <c r="E567" s="2462"/>
      <c r="F567" s="2462"/>
      <c r="G567" s="2462"/>
      <c r="H567" s="2462"/>
      <c r="I567" s="2579"/>
      <c r="J567" s="2579"/>
      <c r="K567" s="2579"/>
      <c r="L567" s="2579"/>
      <c r="M567" s="2579"/>
      <c r="N567" s="2579"/>
      <c r="O567" s="2579"/>
    </row>
    <row r="568" spans="1:15" s="2463" customFormat="1" ht="7.5" customHeight="1">
      <c r="A568" s="2462"/>
      <c r="B568" s="2462"/>
      <c r="C568" s="2462"/>
      <c r="D568" s="2462"/>
      <c r="E568" s="2462"/>
      <c r="F568" s="2462"/>
      <c r="G568" s="2462"/>
      <c r="H568" s="2462"/>
      <c r="I568" s="2579"/>
      <c r="J568" s="2579"/>
      <c r="K568" s="2579"/>
      <c r="L568" s="2579"/>
      <c r="M568" s="2579"/>
      <c r="N568" s="2579"/>
      <c r="O568" s="2579"/>
    </row>
    <row r="569" spans="1:15" s="2463" customFormat="1" ht="7.5" customHeight="1">
      <c r="A569" s="2462"/>
      <c r="B569" s="2462"/>
      <c r="C569" s="2462"/>
      <c r="D569" s="2462"/>
      <c r="E569" s="2462"/>
      <c r="F569" s="2462"/>
      <c r="G569" s="2462"/>
      <c r="H569" s="2462"/>
      <c r="I569" s="2579"/>
      <c r="J569" s="2579"/>
      <c r="K569" s="2579"/>
      <c r="L569" s="2579"/>
      <c r="M569" s="2579"/>
      <c r="N569" s="2579"/>
      <c r="O569" s="2579"/>
    </row>
    <row r="570" spans="1:15" s="2463" customFormat="1" ht="7.5" customHeight="1">
      <c r="A570" s="2462"/>
      <c r="B570" s="2462"/>
      <c r="C570" s="2462"/>
      <c r="D570" s="2462"/>
      <c r="E570" s="2462"/>
      <c r="F570" s="2462"/>
      <c r="G570" s="2462"/>
      <c r="H570" s="2462"/>
      <c r="I570" s="2579"/>
      <c r="J570" s="2579"/>
      <c r="K570" s="2579"/>
      <c r="L570" s="2579"/>
      <c r="M570" s="2579"/>
      <c r="N570" s="2579"/>
      <c r="O570" s="2579"/>
    </row>
    <row r="571" spans="1:15" s="2463" customFormat="1" ht="7.5" customHeight="1">
      <c r="A571" s="2462"/>
      <c r="B571" s="2462"/>
      <c r="C571" s="2462"/>
      <c r="D571" s="2462"/>
      <c r="E571" s="2462"/>
      <c r="F571" s="2462"/>
      <c r="G571" s="2462"/>
      <c r="H571" s="2462"/>
      <c r="I571" s="2579"/>
      <c r="J571" s="2579"/>
      <c r="K571" s="2579"/>
      <c r="L571" s="2579"/>
      <c r="M571" s="2579"/>
      <c r="N571" s="2579"/>
      <c r="O571" s="2579"/>
    </row>
    <row r="572" spans="1:15" s="2463" customFormat="1" ht="7.5" customHeight="1">
      <c r="A572" s="2462"/>
      <c r="B572" s="2462"/>
      <c r="C572" s="2462"/>
      <c r="D572" s="2462"/>
      <c r="E572" s="2462"/>
      <c r="F572" s="2462"/>
      <c r="G572" s="2462"/>
      <c r="H572" s="2462"/>
      <c r="I572" s="2579"/>
      <c r="J572" s="2579"/>
      <c r="K572" s="2579"/>
      <c r="L572" s="2579"/>
      <c r="M572" s="2579"/>
      <c r="N572" s="2579"/>
      <c r="O572" s="2579"/>
    </row>
    <row r="573" spans="1:15" s="2463" customFormat="1" ht="7.5" customHeight="1">
      <c r="A573" s="2462"/>
      <c r="B573" s="2462"/>
      <c r="C573" s="2462"/>
      <c r="D573" s="2462"/>
      <c r="E573" s="2462"/>
      <c r="F573" s="2462"/>
      <c r="G573" s="2462"/>
      <c r="H573" s="2462"/>
      <c r="I573" s="2579"/>
      <c r="J573" s="2579"/>
      <c r="K573" s="2579"/>
      <c r="L573" s="2579"/>
      <c r="M573" s="2579"/>
      <c r="N573" s="2579"/>
      <c r="O573" s="2579"/>
    </row>
    <row r="574" spans="1:15" s="2463" customFormat="1" ht="7.5" customHeight="1">
      <c r="A574" s="2462"/>
      <c r="B574" s="2462"/>
      <c r="C574" s="2462"/>
      <c r="D574" s="2462"/>
      <c r="E574" s="2462"/>
      <c r="F574" s="2462"/>
      <c r="G574" s="2462"/>
      <c r="H574" s="2462"/>
      <c r="I574" s="2579"/>
      <c r="J574" s="2579"/>
      <c r="K574" s="2579"/>
      <c r="L574" s="2579"/>
      <c r="M574" s="2579"/>
      <c r="N574" s="2579"/>
      <c r="O574" s="2579"/>
    </row>
    <row r="575" spans="1:15" s="2463" customFormat="1" ht="7.5" customHeight="1">
      <c r="A575" s="2462"/>
      <c r="B575" s="2462"/>
      <c r="C575" s="2462"/>
      <c r="D575" s="2462"/>
      <c r="E575" s="2462"/>
      <c r="F575" s="2462"/>
      <c r="G575" s="2462"/>
      <c r="H575" s="2462"/>
      <c r="I575" s="2579"/>
      <c r="J575" s="2579"/>
      <c r="K575" s="2579"/>
      <c r="L575" s="2579"/>
      <c r="M575" s="2579"/>
      <c r="N575" s="2579"/>
      <c r="O575" s="2579"/>
    </row>
    <row r="576" spans="1:15" s="2463" customFormat="1" ht="7.5" customHeight="1">
      <c r="A576" s="2462"/>
      <c r="B576" s="2462"/>
      <c r="C576" s="2462"/>
      <c r="D576" s="2462"/>
      <c r="E576" s="2462"/>
      <c r="F576" s="2462"/>
      <c r="G576" s="2462"/>
      <c r="H576" s="2462"/>
      <c r="I576" s="2579"/>
      <c r="J576" s="2579"/>
      <c r="K576" s="2579"/>
      <c r="L576" s="2579"/>
      <c r="M576" s="2579"/>
      <c r="N576" s="2579"/>
      <c r="O576" s="2579"/>
    </row>
    <row r="577" spans="1:15" s="2463" customFormat="1" ht="7.5" customHeight="1">
      <c r="A577" s="2462"/>
      <c r="B577" s="2462"/>
      <c r="C577" s="2462"/>
      <c r="D577" s="2462"/>
      <c r="E577" s="2462"/>
      <c r="F577" s="2462"/>
      <c r="G577" s="2462"/>
      <c r="H577" s="2462"/>
      <c r="I577" s="2579"/>
      <c r="J577" s="2579"/>
      <c r="K577" s="2579"/>
      <c r="L577" s="2579"/>
      <c r="M577" s="2579"/>
      <c r="N577" s="2579"/>
      <c r="O577" s="2579"/>
    </row>
    <row r="578" spans="1:15" s="2463" customFormat="1" ht="7.5" customHeight="1">
      <c r="A578" s="2462"/>
      <c r="B578" s="2462"/>
      <c r="C578" s="2462"/>
      <c r="D578" s="2462"/>
      <c r="E578" s="2462"/>
      <c r="F578" s="2462"/>
      <c r="G578" s="2462"/>
      <c r="H578" s="2462"/>
      <c r="I578" s="2579"/>
      <c r="J578" s="2579"/>
      <c r="K578" s="2579"/>
      <c r="L578" s="2579"/>
      <c r="M578" s="2579"/>
      <c r="N578" s="2579"/>
      <c r="O578" s="2579"/>
    </row>
    <row r="579" spans="1:15" s="2463" customFormat="1" ht="7.5" customHeight="1">
      <c r="A579" s="2462"/>
      <c r="B579" s="2462"/>
      <c r="C579" s="2462"/>
      <c r="D579" s="2462"/>
      <c r="E579" s="2462"/>
      <c r="F579" s="2462"/>
      <c r="G579" s="2462"/>
      <c r="H579" s="2462"/>
      <c r="I579" s="2579"/>
      <c r="J579" s="2579"/>
      <c r="K579" s="2579"/>
      <c r="L579" s="2579"/>
      <c r="M579" s="2579"/>
      <c r="N579" s="2579"/>
      <c r="O579" s="2579"/>
    </row>
    <row r="580" spans="1:15" s="2463" customFormat="1" ht="7.5" customHeight="1">
      <c r="A580" s="2462"/>
      <c r="B580" s="2462"/>
      <c r="C580" s="2462"/>
      <c r="D580" s="2462"/>
      <c r="E580" s="2462"/>
      <c r="F580" s="2462"/>
      <c r="G580" s="2462"/>
      <c r="H580" s="2462"/>
      <c r="I580" s="2579"/>
      <c r="J580" s="2579"/>
      <c r="K580" s="2579"/>
      <c r="L580" s="2579"/>
      <c r="M580" s="2579"/>
      <c r="N580" s="2579"/>
      <c r="O580" s="2579"/>
    </row>
    <row r="581" spans="1:15" s="2463" customFormat="1" ht="7.5" customHeight="1">
      <c r="A581" s="2462"/>
      <c r="B581" s="2462"/>
      <c r="C581" s="2462"/>
      <c r="D581" s="2462"/>
      <c r="E581" s="2462"/>
      <c r="F581" s="2462"/>
      <c r="G581" s="2462"/>
      <c r="H581" s="2462"/>
      <c r="I581" s="2579"/>
      <c r="J581" s="2579"/>
      <c r="K581" s="2579"/>
      <c r="L581" s="2579"/>
      <c r="M581" s="2579"/>
      <c r="N581" s="2579"/>
      <c r="O581" s="2579"/>
    </row>
    <row r="582" spans="1:15" s="2463" customFormat="1" ht="7.5" customHeight="1">
      <c r="A582" s="2462"/>
      <c r="B582" s="2462"/>
      <c r="C582" s="2462"/>
      <c r="D582" s="2462"/>
      <c r="E582" s="2462"/>
      <c r="F582" s="2462"/>
      <c r="G582" s="2462"/>
      <c r="H582" s="2462"/>
      <c r="I582" s="2579"/>
      <c r="J582" s="2579"/>
      <c r="K582" s="2579"/>
      <c r="L582" s="2579"/>
      <c r="M582" s="2579"/>
      <c r="N582" s="2579"/>
      <c r="O582" s="2579"/>
    </row>
    <row r="583" spans="1:15" s="2463" customFormat="1" ht="7.5" customHeight="1">
      <c r="A583" s="2462"/>
      <c r="B583" s="2462"/>
      <c r="C583" s="2462"/>
      <c r="D583" s="2462"/>
      <c r="E583" s="2462"/>
      <c r="F583" s="2462"/>
      <c r="G583" s="2462"/>
      <c r="H583" s="2462"/>
      <c r="I583" s="2579"/>
      <c r="J583" s="2579"/>
      <c r="K583" s="2579"/>
      <c r="L583" s="2579"/>
      <c r="M583" s="2579"/>
      <c r="N583" s="2579"/>
      <c r="O583" s="2579"/>
    </row>
    <row r="584" spans="1:15" s="2463" customFormat="1" ht="7.5" customHeight="1">
      <c r="A584" s="2462"/>
      <c r="B584" s="2462"/>
      <c r="C584" s="2462"/>
      <c r="D584" s="2462"/>
      <c r="E584" s="2462"/>
      <c r="F584" s="2462"/>
      <c r="G584" s="2462"/>
      <c r="H584" s="2462"/>
      <c r="I584" s="2579"/>
      <c r="J584" s="2579"/>
      <c r="K584" s="2579"/>
      <c r="L584" s="2579"/>
      <c r="M584" s="2579"/>
      <c r="N584" s="2579"/>
      <c r="O584" s="2579"/>
    </row>
    <row r="585" spans="1:15" s="2463" customFormat="1" ht="7.5" customHeight="1">
      <c r="A585" s="2462"/>
      <c r="B585" s="2462"/>
      <c r="C585" s="2462"/>
      <c r="D585" s="2462"/>
      <c r="E585" s="2462"/>
      <c r="F585" s="2462"/>
      <c r="G585" s="2462"/>
      <c r="H585" s="2462"/>
      <c r="I585" s="2579"/>
      <c r="J585" s="2579"/>
      <c r="K585" s="2579"/>
      <c r="L585" s="2579"/>
      <c r="M585" s="2579"/>
      <c r="N585" s="2579"/>
      <c r="O585" s="2579"/>
    </row>
    <row r="586" spans="1:15" s="2463" customFormat="1" ht="7.5" customHeight="1">
      <c r="A586" s="2462"/>
      <c r="B586" s="2462"/>
      <c r="C586" s="2462"/>
      <c r="D586" s="2462"/>
      <c r="E586" s="2462"/>
      <c r="F586" s="2462"/>
      <c r="G586" s="2462"/>
      <c r="H586" s="2462"/>
      <c r="I586" s="2579"/>
      <c r="J586" s="2579"/>
      <c r="K586" s="2579"/>
      <c r="L586" s="2579"/>
      <c r="M586" s="2579"/>
      <c r="N586" s="2579"/>
      <c r="O586" s="2579"/>
    </row>
    <row r="587" spans="1:15" s="2463" customFormat="1" ht="7.5" customHeight="1">
      <c r="A587" s="2462"/>
      <c r="B587" s="2462"/>
      <c r="C587" s="2462"/>
      <c r="D587" s="2462"/>
      <c r="E587" s="2462"/>
      <c r="F587" s="2462"/>
      <c r="G587" s="2462"/>
      <c r="H587" s="2462"/>
      <c r="I587" s="2579"/>
      <c r="J587" s="2579"/>
      <c r="K587" s="2579"/>
      <c r="L587" s="2579"/>
      <c r="M587" s="2579"/>
      <c r="N587" s="2579"/>
      <c r="O587" s="2579"/>
    </row>
    <row r="588" spans="1:15" s="2463" customFormat="1" ht="7.5" customHeight="1">
      <c r="A588" s="2462"/>
      <c r="B588" s="2462"/>
      <c r="C588" s="2462"/>
      <c r="D588" s="2462"/>
      <c r="E588" s="2462"/>
      <c r="F588" s="2462"/>
      <c r="G588" s="2462"/>
      <c r="H588" s="2462"/>
      <c r="I588" s="2579"/>
      <c r="J588" s="2579"/>
      <c r="K588" s="2579"/>
      <c r="L588" s="2579"/>
      <c r="M588" s="2579"/>
      <c r="N588" s="2579"/>
      <c r="O588" s="2579"/>
    </row>
    <row r="589" spans="1:15" s="2463" customFormat="1" ht="7.5" customHeight="1">
      <c r="A589" s="2462"/>
      <c r="B589" s="2462"/>
      <c r="C589" s="2462"/>
      <c r="D589" s="2462"/>
      <c r="E589" s="2462"/>
      <c r="F589" s="2462"/>
      <c r="G589" s="2462"/>
      <c r="H589" s="2462"/>
      <c r="I589" s="2579"/>
      <c r="J589" s="2579"/>
      <c r="K589" s="2579"/>
      <c r="L589" s="2579"/>
      <c r="M589" s="2579"/>
      <c r="N589" s="2579"/>
      <c r="O589" s="2579"/>
    </row>
    <row r="590" spans="1:15" s="2463" customFormat="1" ht="7.5" customHeight="1">
      <c r="A590" s="2462"/>
      <c r="B590" s="2462"/>
      <c r="C590" s="2462"/>
      <c r="D590" s="2462"/>
      <c r="E590" s="2462"/>
      <c r="F590" s="2462"/>
      <c r="G590" s="2462"/>
      <c r="H590" s="2462"/>
      <c r="I590" s="2579"/>
      <c r="J590" s="2579"/>
      <c r="K590" s="2579"/>
      <c r="L590" s="2579"/>
      <c r="M590" s="2579"/>
      <c r="N590" s="2579"/>
      <c r="O590" s="2579"/>
    </row>
    <row r="591" spans="1:15" s="2463" customFormat="1" ht="7.5" customHeight="1">
      <c r="A591" s="2462"/>
      <c r="B591" s="2462"/>
      <c r="C591" s="2462"/>
      <c r="D591" s="2462"/>
      <c r="E591" s="2462"/>
      <c r="F591" s="2462"/>
      <c r="G591" s="2462"/>
      <c r="H591" s="2462"/>
      <c r="I591" s="2579"/>
      <c r="J591" s="2579"/>
      <c r="K591" s="2579"/>
      <c r="L591" s="2579"/>
      <c r="M591" s="2579"/>
      <c r="N591" s="2579"/>
      <c r="O591" s="2579"/>
    </row>
    <row r="592" spans="1:15" s="2463" customFormat="1" ht="7.5" customHeight="1">
      <c r="A592" s="2462"/>
      <c r="B592" s="2462"/>
      <c r="C592" s="2462"/>
      <c r="D592" s="2462"/>
      <c r="E592" s="2462"/>
      <c r="F592" s="2462"/>
      <c r="G592" s="2462"/>
      <c r="H592" s="2462"/>
      <c r="I592" s="2579"/>
      <c r="J592" s="2579"/>
      <c r="K592" s="2579"/>
      <c r="L592" s="2579"/>
      <c r="M592" s="2579"/>
      <c r="N592" s="2579"/>
      <c r="O592" s="2579"/>
    </row>
    <row r="593" spans="1:15" s="2463" customFormat="1" ht="7.5" customHeight="1">
      <c r="A593" s="2462"/>
      <c r="B593" s="2462"/>
      <c r="C593" s="2462"/>
      <c r="D593" s="2462"/>
      <c r="E593" s="2462"/>
      <c r="F593" s="2462"/>
      <c r="G593" s="2462"/>
      <c r="H593" s="2462"/>
      <c r="I593" s="2579"/>
      <c r="J593" s="2579"/>
      <c r="K593" s="2579"/>
      <c r="L593" s="2579"/>
      <c r="M593" s="2579"/>
      <c r="N593" s="2579"/>
      <c r="O593" s="2579"/>
    </row>
    <row r="594" spans="1:15" s="2463" customFormat="1" ht="7.5" customHeight="1">
      <c r="A594" s="2462"/>
      <c r="B594" s="2462"/>
      <c r="C594" s="2462"/>
      <c r="D594" s="2462"/>
      <c r="E594" s="2462"/>
      <c r="F594" s="2462"/>
      <c r="G594" s="2462"/>
      <c r="H594" s="2462"/>
      <c r="I594" s="2579"/>
      <c r="J594" s="2579"/>
      <c r="K594" s="2579"/>
      <c r="L594" s="2579"/>
      <c r="M594" s="2579"/>
      <c r="N594" s="2579"/>
      <c r="O594" s="2579"/>
    </row>
    <row r="595" spans="1:15" s="2463" customFormat="1" ht="7.5" customHeight="1">
      <c r="A595" s="2462"/>
      <c r="B595" s="2462"/>
      <c r="C595" s="2462"/>
      <c r="D595" s="2462"/>
      <c r="E595" s="2462"/>
      <c r="F595" s="2462"/>
      <c r="G595" s="2462"/>
      <c r="H595" s="2462"/>
      <c r="I595" s="2579"/>
      <c r="J595" s="2579"/>
      <c r="K595" s="2579"/>
      <c r="L595" s="2579"/>
      <c r="M595" s="2579"/>
      <c r="N595" s="2579"/>
      <c r="O595" s="2579"/>
    </row>
    <row r="596" spans="1:15" s="2463" customFormat="1" ht="7.5" customHeight="1">
      <c r="A596" s="2462"/>
      <c r="B596" s="2462"/>
      <c r="C596" s="2462"/>
      <c r="D596" s="2462"/>
      <c r="E596" s="2462"/>
      <c r="F596" s="2462"/>
      <c r="G596" s="2462"/>
      <c r="H596" s="2462"/>
      <c r="I596" s="2579"/>
      <c r="J596" s="2579"/>
      <c r="K596" s="2579"/>
      <c r="L596" s="2579"/>
      <c r="M596" s="2579"/>
      <c r="N596" s="2579"/>
      <c r="O596" s="2579"/>
    </row>
    <row r="600" spans="1:15" s="2463" customFormat="1">
      <c r="A600" s="2462"/>
      <c r="B600" s="2462"/>
      <c r="C600" s="2462"/>
      <c r="D600" s="2462"/>
      <c r="E600" s="2462"/>
      <c r="F600" s="2462"/>
      <c r="G600" s="2462"/>
      <c r="H600" s="2462"/>
      <c r="I600" s="2579"/>
      <c r="J600" s="2579"/>
      <c r="K600" s="2579"/>
      <c r="L600" s="2579"/>
      <c r="M600" s="2579"/>
      <c r="N600" s="2579"/>
      <c r="O600" s="2579"/>
    </row>
    <row r="601" spans="1:15" s="2463" customFormat="1">
      <c r="A601" s="2462"/>
      <c r="B601" s="2462"/>
      <c r="C601" s="2462"/>
      <c r="D601" s="2462"/>
      <c r="E601" s="2462"/>
      <c r="F601" s="2462"/>
      <c r="G601" s="2462"/>
      <c r="H601" s="2462"/>
      <c r="I601" s="2579"/>
      <c r="J601" s="2579"/>
      <c r="K601" s="2579"/>
      <c r="L601" s="2579"/>
      <c r="M601" s="2579"/>
      <c r="N601" s="2579"/>
      <c r="O601" s="2579"/>
    </row>
    <row r="602" spans="1:15" s="2463" customFormat="1">
      <c r="A602" s="2462"/>
      <c r="B602" s="2462"/>
      <c r="C602" s="2462"/>
      <c r="D602" s="2462"/>
      <c r="E602" s="2462"/>
      <c r="F602" s="2462"/>
      <c r="G602" s="2462"/>
      <c r="H602" s="2462"/>
      <c r="I602" s="2579"/>
      <c r="J602" s="2579"/>
      <c r="K602" s="2579"/>
      <c r="L602" s="2579"/>
      <c r="M602" s="2579"/>
      <c r="N602" s="2579"/>
      <c r="O602" s="2579"/>
    </row>
    <row r="603" spans="1:15" s="2463" customFormat="1">
      <c r="A603" s="2462"/>
      <c r="B603" s="2462"/>
      <c r="C603" s="2462"/>
      <c r="D603" s="2462"/>
      <c r="E603" s="2462"/>
      <c r="F603" s="2462"/>
      <c r="G603" s="2462"/>
      <c r="H603" s="2462"/>
      <c r="I603" s="2579"/>
      <c r="J603" s="2579"/>
      <c r="K603" s="2579"/>
      <c r="L603" s="2579"/>
      <c r="M603" s="2579"/>
      <c r="N603" s="2579"/>
      <c r="O603" s="2579"/>
    </row>
    <row r="604" spans="1:15" s="2463" customFormat="1">
      <c r="A604" s="2462"/>
      <c r="B604" s="2462"/>
      <c r="C604" s="2462"/>
      <c r="D604" s="2462"/>
      <c r="E604" s="2462"/>
      <c r="F604" s="2462"/>
      <c r="G604" s="2462"/>
      <c r="H604" s="2462"/>
      <c r="I604" s="2579"/>
      <c r="J604" s="2579"/>
      <c r="K604" s="2579"/>
      <c r="L604" s="2579"/>
      <c r="M604" s="2579"/>
      <c r="N604" s="2579"/>
      <c r="O604" s="2579"/>
    </row>
    <row r="605" spans="1:15" s="2463" customFormat="1">
      <c r="A605" s="2462"/>
      <c r="B605" s="2462"/>
      <c r="C605" s="2462"/>
      <c r="D605" s="2462"/>
      <c r="E605" s="2462"/>
      <c r="F605" s="2462"/>
      <c r="G605" s="2462"/>
      <c r="H605" s="2462"/>
      <c r="I605" s="2579"/>
      <c r="J605" s="2579"/>
      <c r="K605" s="2579"/>
      <c r="L605" s="2579"/>
      <c r="M605" s="2579"/>
      <c r="N605" s="2579"/>
      <c r="O605" s="2579"/>
    </row>
    <row r="606" spans="1:15" s="2463" customFormat="1">
      <c r="A606" s="2462"/>
      <c r="B606" s="2462"/>
      <c r="C606" s="2462"/>
      <c r="D606" s="2462"/>
      <c r="E606" s="2462"/>
      <c r="F606" s="2462"/>
      <c r="G606" s="2462"/>
      <c r="H606" s="2462"/>
      <c r="I606" s="2579"/>
      <c r="J606" s="2579"/>
      <c r="K606" s="2579"/>
      <c r="L606" s="2579"/>
      <c r="M606" s="2579"/>
      <c r="N606" s="2579"/>
      <c r="O606" s="2579"/>
    </row>
    <row r="607" spans="1:15" s="2463" customFormat="1">
      <c r="A607" s="2462"/>
      <c r="B607" s="2462"/>
      <c r="C607" s="2462"/>
      <c r="D607" s="2462"/>
      <c r="E607" s="2462"/>
      <c r="F607" s="2462"/>
      <c r="G607" s="2462"/>
      <c r="H607" s="2462"/>
      <c r="I607" s="2579"/>
      <c r="J607" s="2579"/>
      <c r="K607" s="2579"/>
      <c r="L607" s="2579"/>
      <c r="M607" s="2579"/>
      <c r="N607" s="2579"/>
      <c r="O607" s="2579"/>
    </row>
    <row r="608" spans="1:15" s="2463" customFormat="1">
      <c r="A608" s="2462"/>
      <c r="B608" s="2462"/>
      <c r="C608" s="2462"/>
      <c r="D608" s="2462"/>
      <c r="E608" s="2462"/>
      <c r="F608" s="2462"/>
      <c r="G608" s="2462"/>
      <c r="H608" s="2462"/>
      <c r="I608" s="2579"/>
      <c r="J608" s="2579"/>
      <c r="K608" s="2579"/>
      <c r="L608" s="2579"/>
      <c r="M608" s="2579"/>
      <c r="N608" s="2579"/>
      <c r="O608" s="2579"/>
    </row>
    <row r="609" spans="1:15" s="2463" customFormat="1">
      <c r="A609" s="2462"/>
      <c r="B609" s="2462"/>
      <c r="C609" s="2462"/>
      <c r="D609" s="2462"/>
      <c r="E609" s="2462"/>
      <c r="F609" s="2462"/>
      <c r="G609" s="2462"/>
      <c r="H609" s="2462"/>
      <c r="I609" s="2579"/>
      <c r="J609" s="2579"/>
      <c r="K609" s="2579"/>
      <c r="L609" s="2579"/>
      <c r="M609" s="2579"/>
      <c r="N609" s="2579"/>
      <c r="O609" s="2579"/>
    </row>
    <row r="610" spans="1:15" s="2463" customFormat="1">
      <c r="A610" s="2462"/>
      <c r="B610" s="2462"/>
      <c r="C610" s="2462"/>
      <c r="D610" s="2462"/>
      <c r="E610" s="2462"/>
      <c r="F610" s="2462"/>
      <c r="G610" s="2462"/>
      <c r="H610" s="2462"/>
      <c r="I610" s="2579"/>
      <c r="J610" s="2579"/>
      <c r="K610" s="2579"/>
      <c r="L610" s="2579"/>
      <c r="M610" s="2579"/>
      <c r="N610" s="2579"/>
      <c r="O610" s="2579"/>
    </row>
    <row r="611" spans="1:15" s="2463" customFormat="1">
      <c r="A611" s="2462"/>
      <c r="B611" s="2462"/>
      <c r="C611" s="2462"/>
      <c r="D611" s="2462"/>
      <c r="E611" s="2462"/>
      <c r="F611" s="2462"/>
      <c r="G611" s="2462"/>
      <c r="H611" s="2462"/>
      <c r="I611" s="2579"/>
      <c r="J611" s="2579"/>
      <c r="K611" s="2579"/>
      <c r="L611" s="2579"/>
      <c r="M611" s="2579"/>
      <c r="N611" s="2579"/>
      <c r="O611" s="2579"/>
    </row>
    <row r="612" spans="1:15" s="2463" customFormat="1">
      <c r="A612" s="2462"/>
      <c r="B612" s="2462"/>
      <c r="C612" s="2462"/>
      <c r="D612" s="2462"/>
      <c r="E612" s="2462"/>
      <c r="F612" s="2462"/>
      <c r="G612" s="2462"/>
      <c r="H612" s="2462"/>
      <c r="I612" s="2579"/>
      <c r="J612" s="2579"/>
      <c r="K612" s="2579"/>
      <c r="L612" s="2579"/>
      <c r="M612" s="2579"/>
      <c r="N612" s="2579"/>
      <c r="O612" s="2579"/>
    </row>
    <row r="613" spans="1:15" s="2463" customFormat="1">
      <c r="A613" s="2462"/>
      <c r="B613" s="2462"/>
      <c r="C613" s="2462"/>
      <c r="D613" s="2462"/>
      <c r="E613" s="2462"/>
      <c r="F613" s="2462"/>
      <c r="G613" s="2462"/>
      <c r="H613" s="2462"/>
      <c r="I613" s="2579"/>
      <c r="J613" s="2579"/>
      <c r="K613" s="2579"/>
      <c r="L613" s="2579"/>
      <c r="M613" s="2579"/>
      <c r="N613" s="2579"/>
      <c r="O613" s="2579"/>
    </row>
    <row r="614" spans="1:15" s="2463" customFormat="1">
      <c r="A614" s="2462"/>
      <c r="B614" s="2462"/>
      <c r="C614" s="2462"/>
      <c r="D614" s="2462"/>
      <c r="E614" s="2462"/>
      <c r="F614" s="2462"/>
      <c r="G614" s="2462"/>
      <c r="H614" s="2462"/>
      <c r="I614" s="2579"/>
      <c r="J614" s="2579"/>
      <c r="K614" s="2579"/>
      <c r="L614" s="2579"/>
      <c r="M614" s="2579"/>
      <c r="N614" s="2579"/>
      <c r="O614" s="2579"/>
    </row>
    <row r="615" spans="1:15" s="2463" customFormat="1">
      <c r="A615" s="2462"/>
      <c r="B615" s="2462"/>
      <c r="C615" s="2462"/>
      <c r="D615" s="2462"/>
      <c r="E615" s="2462"/>
      <c r="F615" s="2462"/>
      <c r="G615" s="2462"/>
      <c r="H615" s="2462"/>
      <c r="I615" s="2579"/>
      <c r="J615" s="2579"/>
      <c r="K615" s="2579"/>
      <c r="L615" s="2579"/>
      <c r="M615" s="2579"/>
      <c r="N615" s="2579"/>
      <c r="O615" s="2579"/>
    </row>
    <row r="616" spans="1:15" s="2463" customFormat="1">
      <c r="A616" s="2462"/>
      <c r="B616" s="2462"/>
      <c r="C616" s="2462"/>
      <c r="D616" s="2462"/>
      <c r="E616" s="2462"/>
      <c r="F616" s="2462"/>
      <c r="G616" s="2462"/>
      <c r="H616" s="2462"/>
      <c r="I616" s="2579"/>
      <c r="J616" s="2579"/>
      <c r="K616" s="2579"/>
      <c r="L616" s="2579"/>
      <c r="M616" s="2579"/>
      <c r="N616" s="2579"/>
      <c r="O616" s="2579"/>
    </row>
  </sheetData>
  <mergeCells count="74">
    <mergeCell ref="C339:D339"/>
    <mergeCell ref="E339:H339"/>
    <mergeCell ref="C283:D283"/>
    <mergeCell ref="E283:H283"/>
    <mergeCell ref="A320:H320"/>
    <mergeCell ref="A321:H321"/>
    <mergeCell ref="C338:D338"/>
    <mergeCell ref="E338:H338"/>
    <mergeCell ref="A265:H265"/>
    <mergeCell ref="E197:F197"/>
    <mergeCell ref="C199:D199"/>
    <mergeCell ref="E199:H199"/>
    <mergeCell ref="E270:G270"/>
    <mergeCell ref="E280:F280"/>
    <mergeCell ref="C282:D282"/>
    <mergeCell ref="E282:H282"/>
    <mergeCell ref="E238:F238"/>
    <mergeCell ref="C240:D240"/>
    <mergeCell ref="E240:H240"/>
    <mergeCell ref="C241:D241"/>
    <mergeCell ref="E241:H241"/>
    <mergeCell ref="A264:H264"/>
    <mergeCell ref="E326:G326"/>
    <mergeCell ref="E336:F336"/>
    <mergeCell ref="A326:B328"/>
    <mergeCell ref="A270:B272"/>
    <mergeCell ref="A225:B227"/>
    <mergeCell ref="A183:B185"/>
    <mergeCell ref="E183:G183"/>
    <mergeCell ref="A177:H177"/>
    <mergeCell ref="A176:H176"/>
    <mergeCell ref="E158:H158"/>
    <mergeCell ref="E155:F155"/>
    <mergeCell ref="C157:D157"/>
    <mergeCell ref="E157:H157"/>
    <mergeCell ref="C158:D158"/>
    <mergeCell ref="A141:B143"/>
    <mergeCell ref="E141:G141"/>
    <mergeCell ref="C200:D200"/>
    <mergeCell ref="E200:H200"/>
    <mergeCell ref="A217:H217"/>
    <mergeCell ref="A218:H218"/>
    <mergeCell ref="E225:G225"/>
    <mergeCell ref="C119:D119"/>
    <mergeCell ref="E119:H119"/>
    <mergeCell ref="A134:H134"/>
    <mergeCell ref="A135:H135"/>
    <mergeCell ref="E70:F70"/>
    <mergeCell ref="C72:D72"/>
    <mergeCell ref="E72:H72"/>
    <mergeCell ref="C73:D73"/>
    <mergeCell ref="E73:H73"/>
    <mergeCell ref="A94:H94"/>
    <mergeCell ref="A100:B102"/>
    <mergeCell ref="E100:G100"/>
    <mergeCell ref="E116:F116"/>
    <mergeCell ref="C118:D118"/>
    <mergeCell ref="E118:H118"/>
    <mergeCell ref="A93:H93"/>
    <mergeCell ref="A53:H53"/>
    <mergeCell ref="A34:B34"/>
    <mergeCell ref="C34:E34"/>
    <mergeCell ref="A54:H54"/>
    <mergeCell ref="A59:B61"/>
    <mergeCell ref="E59:G59"/>
    <mergeCell ref="A5:H5"/>
    <mergeCell ref="A32:B32"/>
    <mergeCell ref="C32:E32"/>
    <mergeCell ref="F32:H32"/>
    <mergeCell ref="C33:E33"/>
    <mergeCell ref="F33:H33"/>
    <mergeCell ref="A6:H6"/>
    <mergeCell ref="A11:B13"/>
    <mergeCell ref="E11:G11"/>
  </mergeCells>
  <pageMargins left="0.5" right="0" top="0.25" bottom="0" header="0.5" footer="0"/>
  <pageSetup paperSize="5" orientation="portrait"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619"/>
  <sheetViews>
    <sheetView showGridLines="0" showOutlineSymbols="0" topLeftCell="A13" workbookViewId="0">
      <pane xSplit="18525" topLeftCell="ET1"/>
      <selection activeCell="K18" sqref="K18"/>
      <selection pane="topRight" activeCell="ET1" sqref="ET1"/>
    </sheetView>
  </sheetViews>
  <sheetFormatPr defaultColWidth="12.5703125" defaultRowHeight="15.75" outlineLevelRow="2" outlineLevelCol="2"/>
  <cols>
    <col min="1" max="1" width="1.85546875" style="2462" customWidth="1"/>
    <col min="2" max="2" width="30.5703125" style="2462" customWidth="1"/>
    <col min="3" max="3" width="10.5703125" style="2462" customWidth="1"/>
    <col min="4" max="4" width="9.28515625" style="2462" customWidth="1"/>
    <col min="5" max="5" width="11" style="2462" customWidth="1"/>
    <col min="6" max="6" width="11.7109375" style="2462" customWidth="1"/>
    <col min="7" max="7" width="10.42578125" style="2462" customWidth="1"/>
    <col min="8" max="8" width="12.42578125" style="2462" customWidth="1"/>
    <col min="9"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8" spans="1:15" s="1390" customFormat="1" ht="14.25" customHeight="1">
      <c r="A8" s="1577" t="s">
        <v>2120</v>
      </c>
      <c r="C8" s="2525"/>
      <c r="D8" s="1403"/>
      <c r="E8" s="1403"/>
      <c r="F8" s="1403"/>
      <c r="G8" s="1403"/>
      <c r="H8" s="1403"/>
    </row>
    <row r="9" spans="1:15" s="1390" customFormat="1" ht="14.25" customHeight="1">
      <c r="B9" s="2612" t="s">
        <v>2139</v>
      </c>
      <c r="C9" s="2525"/>
      <c r="D9" s="1403"/>
      <c r="E9" s="1403"/>
      <c r="F9" s="1403"/>
      <c r="G9" s="1403"/>
      <c r="H9" s="1403"/>
    </row>
    <row r="10" spans="1:15" ht="17.25" customHeight="1" outlineLevel="1">
      <c r="A10" s="2564"/>
      <c r="B10" s="2564"/>
      <c r="C10" s="2563"/>
      <c r="D10" s="2570"/>
      <c r="E10" s="2561"/>
      <c r="F10" s="2540"/>
      <c r="G10" s="1388"/>
      <c r="H10" s="2561"/>
      <c r="I10" s="2666"/>
      <c r="J10" s="2530"/>
      <c r="K10" s="2530"/>
      <c r="L10" s="2530"/>
    </row>
    <row r="11" spans="1:15" ht="16.7" customHeight="1" outlineLevel="1">
      <c r="A11" s="4883" t="s">
        <v>468</v>
      </c>
      <c r="B11" s="4884"/>
      <c r="C11" s="2607" t="s">
        <v>467</v>
      </c>
      <c r="D11" s="2608" t="s">
        <v>466</v>
      </c>
      <c r="E11" s="4869" t="s">
        <v>465</v>
      </c>
      <c r="F11" s="4870"/>
      <c r="G11" s="4871"/>
      <c r="H11" s="2607" t="s">
        <v>464</v>
      </c>
      <c r="I11" s="2666"/>
      <c r="J11" s="2663"/>
      <c r="K11" s="2530"/>
      <c r="L11" s="2530"/>
    </row>
    <row r="12" spans="1:15" ht="16.7" customHeight="1" outlineLevel="1">
      <c r="A12" s="4885"/>
      <c r="B12" s="4886"/>
      <c r="C12" s="2606" t="s">
        <v>463</v>
      </c>
      <c r="D12" s="2517" t="s">
        <v>573</v>
      </c>
      <c r="E12" s="2517" t="s">
        <v>2118</v>
      </c>
      <c r="F12" s="2517" t="s">
        <v>2117</v>
      </c>
      <c r="G12" s="2517" t="s">
        <v>244</v>
      </c>
      <c r="H12" s="2517" t="s">
        <v>652</v>
      </c>
      <c r="I12" s="2681"/>
      <c r="J12" s="1302"/>
      <c r="K12" s="2659"/>
      <c r="L12" s="2530"/>
    </row>
    <row r="13" spans="1:15" ht="16.7" customHeight="1" outlineLevel="1">
      <c r="A13" s="4887"/>
      <c r="B13" s="4888"/>
      <c r="C13" s="2604"/>
      <c r="D13" s="2602" t="s">
        <v>460</v>
      </c>
      <c r="E13" s="2602" t="s">
        <v>460</v>
      </c>
      <c r="F13" s="2602" t="s">
        <v>459</v>
      </c>
      <c r="G13" s="2623"/>
      <c r="H13" s="2602" t="s">
        <v>458</v>
      </c>
      <c r="I13" s="2668"/>
      <c r="J13" s="1302"/>
      <c r="K13" s="2659"/>
      <c r="L13" s="2530"/>
    </row>
    <row r="14" spans="1:15" s="1404" customFormat="1" ht="15.6" customHeight="1">
      <c r="A14" s="2601" t="s">
        <v>2011</v>
      </c>
      <c r="B14" s="2605"/>
      <c r="C14" s="2515"/>
      <c r="D14" s="2513"/>
      <c r="E14" s="2513"/>
      <c r="F14" s="2513"/>
      <c r="G14" s="2603"/>
      <c r="H14" s="2513"/>
      <c r="I14" s="2616"/>
      <c r="J14" s="2616"/>
      <c r="K14" s="2616"/>
      <c r="L14" s="2616"/>
      <c r="M14" s="2616"/>
      <c r="N14" s="2616"/>
      <c r="O14" s="2616"/>
    </row>
    <row r="15" spans="1:15" ht="16.7" customHeight="1" outlineLevel="1">
      <c r="A15" s="2680" t="s">
        <v>407</v>
      </c>
      <c r="B15" s="2686"/>
      <c r="C15" s="2629"/>
      <c r="D15" s="1433">
        <f>SUM(D16:D25)</f>
        <v>817301.87</v>
      </c>
      <c r="E15" s="1512">
        <f>SUM(E16:E25)</f>
        <v>363855</v>
      </c>
      <c r="F15" s="1512">
        <f>SUM(F16:F17)</f>
        <v>576145</v>
      </c>
      <c r="G15" s="1512">
        <f>SUM(G16:G17)</f>
        <v>940000</v>
      </c>
      <c r="H15" s="1512">
        <f>SUM(H16:H25)</f>
        <v>940000</v>
      </c>
      <c r="I15" s="2681"/>
      <c r="J15" s="1302"/>
      <c r="K15" s="2530"/>
      <c r="L15" s="2530"/>
    </row>
    <row r="16" spans="1:15" ht="16.5" customHeight="1" outlineLevel="1">
      <c r="A16" s="2591" t="s">
        <v>389</v>
      </c>
      <c r="B16" s="1519"/>
      <c r="C16" s="2620" t="s">
        <v>388</v>
      </c>
      <c r="D16" s="2684">
        <v>817301.87</v>
      </c>
      <c r="E16" s="2683">
        <v>363855</v>
      </c>
      <c r="F16" s="2685">
        <f>G16-E16</f>
        <v>563460</v>
      </c>
      <c r="G16" s="2683">
        <v>927315</v>
      </c>
      <c r="H16" s="2683">
        <v>927315</v>
      </c>
      <c r="I16" s="2676"/>
      <c r="J16" s="1302"/>
      <c r="K16" s="2530"/>
      <c r="L16" s="2530"/>
    </row>
    <row r="17" spans="1:16" ht="18" customHeight="1" outlineLevel="1">
      <c r="A17" s="2591" t="s">
        <v>368</v>
      </c>
      <c r="B17" s="1519"/>
      <c r="C17" s="2620" t="s">
        <v>367</v>
      </c>
      <c r="D17" s="2684">
        <v>0</v>
      </c>
      <c r="E17" s="2683">
        <v>0</v>
      </c>
      <c r="F17" s="2685">
        <f>G17-E17</f>
        <v>12685</v>
      </c>
      <c r="G17" s="2683">
        <v>12685</v>
      </c>
      <c r="H17" s="2683">
        <v>12685</v>
      </c>
      <c r="I17" s="2676"/>
      <c r="J17" s="1302"/>
      <c r="K17" s="2530"/>
      <c r="L17" s="2530"/>
    </row>
    <row r="18" spans="1:16" ht="20.100000000000001" customHeight="1" outlineLevel="1">
      <c r="A18" s="2591"/>
      <c r="B18" s="1519"/>
      <c r="C18" s="2620"/>
      <c r="D18" s="2684"/>
      <c r="E18" s="2683"/>
      <c r="F18" s="1454"/>
      <c r="G18" s="2683"/>
      <c r="H18" s="2683"/>
      <c r="I18" s="2676"/>
      <c r="J18" s="1302"/>
      <c r="K18" s="2530"/>
      <c r="L18" s="2530"/>
    </row>
    <row r="19" spans="1:16" ht="20.100000000000001" customHeight="1" outlineLevel="1">
      <c r="A19" s="2591"/>
      <c r="B19" s="1519"/>
      <c r="C19" s="2620"/>
      <c r="D19" s="2684"/>
      <c r="E19" s="2683"/>
      <c r="F19" s="1454"/>
      <c r="G19" s="2683"/>
      <c r="H19" s="2683"/>
      <c r="I19" s="2676"/>
      <c r="J19" s="1302"/>
      <c r="K19" s="2530"/>
      <c r="L19" s="2530"/>
    </row>
    <row r="20" spans="1:16" ht="20.100000000000001" customHeight="1" outlineLevel="1">
      <c r="A20" s="2591"/>
      <c r="B20" s="1519"/>
      <c r="C20" s="2620"/>
      <c r="D20" s="2684"/>
      <c r="E20" s="2683"/>
      <c r="F20" s="1454"/>
      <c r="G20" s="2683"/>
      <c r="H20" s="2683"/>
      <c r="I20" s="2676"/>
      <c r="J20" s="1302"/>
      <c r="K20" s="2530"/>
      <c r="L20" s="2530"/>
    </row>
    <row r="21" spans="1:16" ht="20.100000000000001" customHeight="1" outlineLevel="1">
      <c r="A21" s="2591"/>
      <c r="B21" s="1519"/>
      <c r="C21" s="2620"/>
      <c r="D21" s="2684"/>
      <c r="E21" s="2683"/>
      <c r="F21" s="1454"/>
      <c r="G21" s="2683"/>
      <c r="H21" s="2683"/>
      <c r="I21" s="2676"/>
      <c r="J21" s="1302"/>
      <c r="K21" s="2530"/>
      <c r="L21" s="2530"/>
    </row>
    <row r="22" spans="1:16" ht="20.100000000000001" customHeight="1" outlineLevel="1">
      <c r="A22" s="2591"/>
      <c r="B22" s="1519"/>
      <c r="C22" s="2620"/>
      <c r="D22" s="2684"/>
      <c r="E22" s="2683"/>
      <c r="F22" s="1454"/>
      <c r="G22" s="2683"/>
      <c r="H22" s="2683"/>
      <c r="I22" s="2676"/>
      <c r="J22" s="1302"/>
      <c r="K22" s="2530"/>
      <c r="L22" s="2530"/>
    </row>
    <row r="23" spans="1:16" ht="20.100000000000001" customHeight="1" outlineLevel="1">
      <c r="A23" s="2591"/>
      <c r="B23" s="1519"/>
      <c r="C23" s="2620"/>
      <c r="D23" s="2684"/>
      <c r="E23" s="2683"/>
      <c r="F23" s="1454"/>
      <c r="G23" s="2683"/>
      <c r="H23" s="2683"/>
      <c r="I23" s="2676"/>
      <c r="J23" s="1302"/>
      <c r="K23" s="2530"/>
      <c r="L23" s="2530"/>
    </row>
    <row r="24" spans="1:16" ht="20.100000000000001" customHeight="1" outlineLevel="1">
      <c r="A24" s="2591"/>
      <c r="B24" s="1519"/>
      <c r="C24" s="2620"/>
      <c r="D24" s="2684"/>
      <c r="E24" s="2683"/>
      <c r="F24" s="1454"/>
      <c r="G24" s="2683"/>
      <c r="H24" s="2683"/>
      <c r="I24" s="2676"/>
      <c r="J24" s="1302"/>
      <c r="K24" s="2530"/>
      <c r="L24" s="2530"/>
    </row>
    <row r="25" spans="1:16" ht="20.100000000000001" customHeight="1" outlineLevel="1">
      <c r="A25" s="2591"/>
      <c r="B25" s="1519"/>
      <c r="C25" s="2620"/>
      <c r="D25" s="2684"/>
      <c r="E25" s="2683"/>
      <c r="F25" s="1454"/>
      <c r="G25" s="2683"/>
      <c r="H25" s="2683"/>
      <c r="I25" s="2668"/>
      <c r="J25" s="2663"/>
      <c r="K25" s="2530"/>
      <c r="L25" s="2530"/>
      <c r="M25" s="2682"/>
      <c r="N25" s="2682"/>
      <c r="O25" s="2530"/>
      <c r="P25" s="2529"/>
    </row>
    <row r="26" spans="1:16" ht="20.100000000000001" customHeight="1" outlineLevel="1" thickBot="1">
      <c r="A26" s="2480" t="s">
        <v>366</v>
      </c>
      <c r="B26" s="2584"/>
      <c r="C26" s="2583"/>
      <c r="D26" s="2480">
        <f>SUM(D16:D25)</f>
        <v>817301.87</v>
      </c>
      <c r="E26" s="2480">
        <f>E15</f>
        <v>363855</v>
      </c>
      <c r="F26" s="2480">
        <f>F15</f>
        <v>576145</v>
      </c>
      <c r="G26" s="2480">
        <f>G15</f>
        <v>940000</v>
      </c>
      <c r="H26" s="2480">
        <f>H15</f>
        <v>940000</v>
      </c>
      <c r="I26" s="2666"/>
      <c r="J26" s="2656"/>
      <c r="K26" s="2530"/>
      <c r="L26" s="2530"/>
      <c r="M26" s="1302"/>
      <c r="N26" s="1302"/>
      <c r="O26" s="2530"/>
      <c r="P26" s="2529"/>
    </row>
    <row r="27" spans="1:16" s="2288" customFormat="1" ht="19.5" customHeight="1" outlineLevel="1" thickTop="1">
      <c r="A27" s="1403" t="s">
        <v>2112</v>
      </c>
      <c r="B27" s="1390"/>
      <c r="C27" s="1403" t="s">
        <v>2111</v>
      </c>
      <c r="D27" s="1390"/>
      <c r="F27" s="2582" t="s">
        <v>2110</v>
      </c>
      <c r="G27" s="1403"/>
      <c r="H27" s="1390"/>
    </row>
    <row r="28" spans="1:16" s="2288" customFormat="1" ht="15.95" customHeight="1" outlineLevel="1">
      <c r="A28" s="1403"/>
      <c r="B28" s="1390"/>
      <c r="C28" s="1403"/>
      <c r="D28" s="1390"/>
      <c r="E28" s="2471"/>
      <c r="F28" s="2471"/>
      <c r="G28" s="1403"/>
      <c r="H28" s="1390"/>
    </row>
    <row r="29" spans="1:16" s="2288" customFormat="1" ht="10.5" customHeight="1" outlineLevel="1">
      <c r="A29" s="1390"/>
      <c r="B29" s="1403"/>
      <c r="C29" s="2581"/>
      <c r="D29" s="1403"/>
      <c r="E29" s="1403"/>
      <c r="F29" s="1403"/>
      <c r="G29" s="1403"/>
      <c r="H29" s="1390"/>
    </row>
    <row r="30" spans="1:16" s="2288" customFormat="1" ht="15.95" customHeight="1" outlineLevel="1">
      <c r="A30" s="4873" t="s">
        <v>2109</v>
      </c>
      <c r="B30" s="4873"/>
      <c r="C30" s="4760" t="s">
        <v>360</v>
      </c>
      <c r="D30" s="4760"/>
      <c r="E30" s="4760"/>
      <c r="F30" s="4741" t="s">
        <v>359</v>
      </c>
      <c r="G30" s="4741"/>
      <c r="H30" s="4741"/>
    </row>
    <row r="31" spans="1:16" s="2288" customFormat="1" ht="15.75" customHeight="1" outlineLevel="1">
      <c r="A31" s="2580"/>
      <c r="B31" s="2464" t="s">
        <v>2108</v>
      </c>
      <c r="C31" s="4754" t="s">
        <v>357</v>
      </c>
      <c r="D31" s="4754"/>
      <c r="E31" s="4754"/>
      <c r="F31" s="4868" t="s">
        <v>356</v>
      </c>
      <c r="G31" s="4868"/>
      <c r="H31" s="4868"/>
    </row>
    <row r="32" spans="1:16" s="2288" customFormat="1" ht="12" customHeight="1" outlineLevel="1">
      <c r="A32" s="4878"/>
      <c r="B32" s="4878"/>
      <c r="C32" s="4754"/>
      <c r="D32" s="4754"/>
      <c r="E32" s="4754"/>
      <c r="F32" s="1406"/>
      <c r="G32" s="1406"/>
      <c r="H32" s="1406"/>
    </row>
    <row r="33" spans="1:16" s="2529" customFormat="1" ht="12" customHeight="1" outlineLevel="1">
      <c r="A33" s="2463"/>
      <c r="B33" s="2464"/>
      <c r="C33" s="2463"/>
      <c r="D33" s="2465"/>
      <c r="E33" s="2465"/>
      <c r="F33" s="2465"/>
      <c r="G33" s="2465"/>
      <c r="H33" s="2465"/>
      <c r="I33" s="2530"/>
      <c r="J33" s="2530"/>
      <c r="K33" s="2530"/>
      <c r="L33" s="2530"/>
      <c r="M33" s="2530"/>
      <c r="N33" s="2530"/>
      <c r="O33" s="2530"/>
    </row>
    <row r="34" spans="1:16" s="2529" customFormat="1" ht="12" customHeight="1" outlineLevel="1">
      <c r="A34" s="2463"/>
      <c r="B34" s="2464"/>
      <c r="C34" s="2463"/>
      <c r="D34" s="2465"/>
      <c r="E34" s="2465"/>
      <c r="F34" s="2465"/>
      <c r="G34" s="2465"/>
      <c r="H34" s="2465"/>
      <c r="I34" s="2530"/>
      <c r="J34" s="2530"/>
      <c r="K34" s="2530"/>
      <c r="L34" s="2530"/>
      <c r="M34" s="2530"/>
      <c r="N34" s="2530"/>
      <c r="O34" s="2530"/>
    </row>
    <row r="35" spans="1:16" s="2529" customFormat="1" ht="12" customHeight="1" outlineLevel="1">
      <c r="A35" s="2463"/>
      <c r="B35" s="2464"/>
      <c r="C35" s="2463"/>
      <c r="D35" s="2465"/>
      <c r="E35" s="2465"/>
      <c r="F35" s="2465"/>
      <c r="G35" s="2465"/>
      <c r="H35" s="2465"/>
      <c r="I35" s="2530"/>
      <c r="J35" s="2530"/>
      <c r="K35" s="2530"/>
      <c r="L35" s="2530"/>
      <c r="M35" s="2530"/>
      <c r="N35" s="2530"/>
      <c r="O35" s="2530"/>
    </row>
    <row r="36" spans="1:16" s="2529" customFormat="1" ht="12" customHeight="1" outlineLevel="1">
      <c r="A36" s="2463"/>
      <c r="B36" s="2464"/>
      <c r="C36" s="2463"/>
      <c r="D36" s="2465"/>
      <c r="E36" s="2465"/>
      <c r="F36" s="2465"/>
      <c r="G36" s="2465"/>
      <c r="H36" s="2465"/>
      <c r="I36" s="2530"/>
      <c r="J36" s="2530"/>
      <c r="K36" s="2530"/>
      <c r="L36" s="2530"/>
      <c r="M36" s="2530"/>
      <c r="N36" s="2530"/>
      <c r="O36" s="2530"/>
    </row>
    <row r="37" spans="1:16" s="2529" customFormat="1" ht="12" customHeight="1" outlineLevel="1">
      <c r="A37" s="2463"/>
      <c r="B37" s="2464"/>
      <c r="C37" s="2463"/>
      <c r="D37" s="2465"/>
      <c r="E37" s="2465"/>
      <c r="F37" s="2465"/>
      <c r="G37" s="2465"/>
      <c r="H37" s="2465"/>
      <c r="I37" s="2530"/>
      <c r="J37" s="2530"/>
      <c r="K37" s="2530"/>
      <c r="L37" s="2530"/>
      <c r="M37" s="2530"/>
      <c r="N37" s="2530"/>
      <c r="O37" s="2530"/>
    </row>
    <row r="38" spans="1:16" s="2529" customFormat="1" ht="12" customHeight="1" outlineLevel="1">
      <c r="A38" s="2463"/>
      <c r="B38" s="2464"/>
      <c r="C38" s="2463"/>
      <c r="D38" s="2465"/>
      <c r="E38" s="2465"/>
      <c r="F38" s="2465"/>
      <c r="G38" s="2465"/>
      <c r="H38" s="2465"/>
      <c r="I38" s="2530"/>
      <c r="J38" s="2530"/>
      <c r="K38" s="2530"/>
      <c r="L38" s="2530"/>
      <c r="M38" s="2530"/>
      <c r="N38" s="2530"/>
      <c r="O38" s="2530"/>
    </row>
    <row r="39" spans="1:16" s="2529" customFormat="1" ht="12" customHeight="1" outlineLevel="1">
      <c r="A39" s="2463"/>
      <c r="B39" s="2464"/>
      <c r="C39" s="2463"/>
      <c r="D39" s="2465"/>
      <c r="E39" s="2465"/>
      <c r="F39" s="2465"/>
      <c r="G39" s="2465"/>
      <c r="H39" s="2465"/>
      <c r="I39" s="2530"/>
      <c r="J39" s="2530"/>
      <c r="K39" s="2530"/>
      <c r="L39" s="2530"/>
      <c r="M39" s="2530"/>
      <c r="N39" s="2530"/>
      <c r="O39" s="2530"/>
    </row>
    <row r="40" spans="1:16" s="2529" customFormat="1" ht="12" customHeight="1" outlineLevel="1">
      <c r="A40" s="2463"/>
      <c r="B40" s="2464"/>
      <c r="C40" s="2463"/>
      <c r="D40" s="2465"/>
      <c r="E40" s="2465"/>
      <c r="F40" s="2465"/>
      <c r="G40" s="2465"/>
      <c r="H40" s="2465"/>
      <c r="I40" s="2530"/>
      <c r="J40" s="2530"/>
      <c r="K40" s="2530"/>
      <c r="L40" s="2530"/>
      <c r="M40" s="2530"/>
      <c r="N40" s="2530"/>
      <c r="O40" s="2530"/>
    </row>
    <row r="41" spans="1:16" s="2529" customFormat="1" ht="12" customHeight="1" outlineLevel="1">
      <c r="A41" s="2463"/>
      <c r="B41" s="2464"/>
      <c r="C41" s="2463"/>
      <c r="D41" s="2465"/>
      <c r="E41" s="2465"/>
      <c r="F41" s="2465"/>
      <c r="G41" s="2465"/>
      <c r="H41" s="2465"/>
      <c r="I41" s="2530"/>
      <c r="J41" s="2530"/>
      <c r="K41" s="2530"/>
      <c r="L41" s="2530"/>
      <c r="M41" s="2530"/>
      <c r="N41" s="2530"/>
      <c r="O41" s="2530"/>
    </row>
    <row r="42" spans="1:16" s="2529" customFormat="1" ht="12" customHeight="1" outlineLevel="1">
      <c r="A42" s="2463"/>
      <c r="B42" s="2464"/>
      <c r="C42" s="2463"/>
      <c r="D42" s="2465"/>
      <c r="E42" s="2465"/>
      <c r="F42" s="2465"/>
      <c r="G42" s="2465"/>
      <c r="H42" s="2465"/>
      <c r="I42" s="2530"/>
      <c r="J42" s="2530"/>
      <c r="K42" s="2530"/>
      <c r="L42" s="2530"/>
      <c r="M42" s="2530"/>
      <c r="N42" s="2530"/>
      <c r="O42" s="2530"/>
    </row>
    <row r="43" spans="1:16" ht="20.100000000000001" customHeight="1" outlineLevel="1">
      <c r="A43" s="2531"/>
      <c r="B43" s="2533"/>
      <c r="C43" s="2531"/>
      <c r="D43" s="2566"/>
      <c r="E43" s="2566"/>
      <c r="F43" s="2566"/>
      <c r="G43" s="2566"/>
      <c r="H43" s="2566"/>
      <c r="J43" s="2530"/>
      <c r="K43" s="2530"/>
      <c r="L43" s="2530"/>
      <c r="M43" s="2530"/>
      <c r="N43" s="2530"/>
      <c r="O43" s="2530"/>
      <c r="P43" s="2529"/>
    </row>
    <row r="44" spans="1:16" ht="20.100000000000001" customHeight="1" outlineLevel="1">
      <c r="A44" s="2531"/>
      <c r="B44" s="2533"/>
      <c r="C44" s="2531"/>
      <c r="D44" s="2566"/>
      <c r="E44" s="2566"/>
      <c r="F44" s="2566"/>
      <c r="G44" s="2566"/>
      <c r="H44" s="2566"/>
      <c r="J44" s="2530"/>
      <c r="K44" s="2530"/>
      <c r="L44" s="2530"/>
      <c r="M44" s="2530"/>
      <c r="N44" s="2530"/>
      <c r="O44" s="2530"/>
      <c r="P44" s="2529"/>
    </row>
    <row r="45" spans="1:16" s="2652" customFormat="1" ht="16.7" customHeight="1" outlineLevel="1">
      <c r="A45" s="2531"/>
      <c r="B45" s="2533"/>
      <c r="C45" s="2531"/>
      <c r="D45" s="2566"/>
      <c r="E45" s="2566"/>
      <c r="F45" s="2566"/>
      <c r="G45" s="2566"/>
      <c r="H45" s="2566"/>
      <c r="I45" s="2653"/>
      <c r="J45" s="2655"/>
      <c r="K45" s="2655"/>
      <c r="L45" s="2655"/>
      <c r="M45" s="2655"/>
      <c r="N45" s="2655"/>
      <c r="O45" s="2655"/>
      <c r="P45" s="2654"/>
    </row>
    <row r="46" spans="1:16" s="2652" customFormat="1" ht="16.7" customHeight="1" outlineLevel="1">
      <c r="A46" s="2531"/>
      <c r="B46" s="2533"/>
      <c r="C46" s="2531"/>
      <c r="D46" s="2566"/>
      <c r="E46" s="2566"/>
      <c r="F46" s="2566"/>
      <c r="G46" s="2566"/>
      <c r="H46" s="2566"/>
      <c r="I46" s="2653"/>
      <c r="J46" s="2655"/>
      <c r="K46" s="2655"/>
      <c r="L46" s="2655"/>
      <c r="M46" s="2655"/>
      <c r="N46" s="2655"/>
      <c r="O46" s="2655"/>
      <c r="P46" s="2654"/>
    </row>
    <row r="47" spans="1:16" s="2652" customFormat="1" ht="16.7" customHeight="1" outlineLevel="1">
      <c r="A47" s="2531"/>
      <c r="B47" s="2533"/>
      <c r="C47" s="2531"/>
      <c r="D47" s="2566"/>
      <c r="E47" s="2566"/>
      <c r="F47" s="2566"/>
      <c r="G47" s="2566"/>
      <c r="H47" s="2566"/>
      <c r="I47" s="2653"/>
      <c r="J47" s="2655"/>
      <c r="K47" s="2655"/>
      <c r="L47" s="2655"/>
      <c r="M47" s="2655"/>
      <c r="N47" s="2655"/>
      <c r="O47" s="2655"/>
      <c r="P47" s="2654"/>
    </row>
    <row r="48" spans="1:16" s="2652" customFormat="1" ht="16.7" customHeight="1" outlineLevel="1">
      <c r="A48" s="2531"/>
      <c r="B48" s="2533"/>
      <c r="C48" s="2531"/>
      <c r="D48" s="2566"/>
      <c r="E48" s="2566"/>
      <c r="F48" s="2566"/>
      <c r="G48" s="2566"/>
      <c r="H48" s="2566"/>
      <c r="I48" s="2653"/>
      <c r="J48" s="2655"/>
      <c r="K48" s="2655"/>
      <c r="L48" s="2655"/>
      <c r="M48" s="2655"/>
      <c r="N48" s="2655"/>
      <c r="O48" s="2655"/>
      <c r="P48" s="2654"/>
    </row>
    <row r="49" spans="1:16" s="2652" customFormat="1" ht="16.7" customHeight="1" outlineLevel="1">
      <c r="A49" s="2531"/>
      <c r="B49" s="2533"/>
      <c r="C49" s="2531"/>
      <c r="D49" s="2566"/>
      <c r="E49" s="2566"/>
      <c r="F49" s="2566"/>
      <c r="G49" s="2566"/>
      <c r="H49" s="2566"/>
      <c r="I49" s="2653"/>
      <c r="J49" s="2655"/>
      <c r="K49" s="2655"/>
      <c r="L49" s="2655"/>
      <c r="M49" s="2655"/>
      <c r="N49" s="2655"/>
      <c r="O49" s="2655"/>
      <c r="P49" s="2654"/>
    </row>
    <row r="50" spans="1:16" s="2652" customFormat="1" ht="16.7" customHeight="1" outlineLevel="1">
      <c r="A50" s="2531"/>
      <c r="B50" s="2533"/>
      <c r="C50" s="2531"/>
      <c r="D50" s="2566"/>
      <c r="E50" s="2566"/>
      <c r="F50" s="2566"/>
      <c r="G50" s="2566"/>
      <c r="H50" s="2566"/>
      <c r="I50" s="2653"/>
      <c r="J50" s="2655"/>
      <c r="K50" s="2655"/>
      <c r="L50" s="2655"/>
      <c r="M50" s="2655"/>
      <c r="N50" s="2655"/>
      <c r="O50" s="2655"/>
      <c r="P50" s="2654"/>
    </row>
    <row r="51" spans="1:16" s="2652" customFormat="1" ht="16.7" customHeight="1" outlineLevel="1">
      <c r="A51" s="4876"/>
      <c r="B51" s="4876"/>
      <c r="C51" s="4876"/>
      <c r="D51" s="4876"/>
      <c r="E51" s="4876"/>
      <c r="F51" s="4876"/>
      <c r="G51" s="4876"/>
      <c r="H51" s="4876"/>
      <c r="I51" s="2653"/>
      <c r="J51" s="2655"/>
      <c r="K51" s="2655"/>
      <c r="L51" s="2655"/>
      <c r="M51" s="2655"/>
      <c r="N51" s="2655"/>
      <c r="O51" s="2655"/>
      <c r="P51" s="2654"/>
    </row>
    <row r="52" spans="1:16" s="2652" customFormat="1" ht="16.7" customHeight="1" outlineLevel="1">
      <c r="A52" s="4877"/>
      <c r="B52" s="4877"/>
      <c r="C52" s="4877"/>
      <c r="D52" s="4877"/>
      <c r="E52" s="4877"/>
      <c r="F52" s="4877"/>
      <c r="G52" s="4877"/>
      <c r="H52" s="4877"/>
      <c r="I52" s="2653"/>
      <c r="J52" s="2655"/>
      <c r="K52" s="2655"/>
      <c r="L52" s="2655"/>
      <c r="M52" s="2655"/>
      <c r="N52" s="2655"/>
      <c r="O52" s="2655"/>
      <c r="P52" s="2654"/>
    </row>
    <row r="53" spans="1:16" s="2652" customFormat="1" ht="16.7" customHeight="1" outlineLevel="1">
      <c r="A53" s="2529"/>
      <c r="B53" s="2529"/>
      <c r="C53" s="2529"/>
      <c r="D53" s="2529"/>
      <c r="E53" s="2529"/>
      <c r="F53" s="2529"/>
      <c r="G53" s="2529"/>
      <c r="H53" s="2529"/>
      <c r="I53" s="2653"/>
      <c r="J53" s="2655"/>
      <c r="K53" s="2655"/>
      <c r="L53" s="2655"/>
      <c r="M53" s="2655"/>
      <c r="N53" s="2655"/>
      <c r="O53" s="2655"/>
      <c r="P53" s="2654"/>
    </row>
    <row r="54" spans="1:16" s="2652" customFormat="1" ht="16.7" customHeight="1" outlineLevel="1">
      <c r="A54" s="2529"/>
      <c r="B54" s="2529"/>
      <c r="C54" s="2529"/>
      <c r="D54" s="2529"/>
      <c r="E54" s="2529"/>
      <c r="F54" s="2529"/>
      <c r="G54" s="2529"/>
      <c r="H54" s="2529"/>
      <c r="I54" s="2653"/>
      <c r="J54" s="2655"/>
      <c r="K54" s="2655"/>
      <c r="L54" s="2655"/>
      <c r="M54" s="2655"/>
      <c r="N54" s="2655"/>
      <c r="O54" s="2655"/>
      <c r="P54" s="2654"/>
    </row>
    <row r="55" spans="1:16" s="2652" customFormat="1" ht="16.7" customHeight="1" outlineLevel="1">
      <c r="A55" s="2568"/>
      <c r="B55" s="2567"/>
      <c r="C55" s="2529"/>
      <c r="D55" s="2566"/>
      <c r="E55" s="2566"/>
      <c r="F55" s="2566"/>
      <c r="G55" s="2566"/>
      <c r="H55" s="2566"/>
      <c r="I55" s="2653"/>
      <c r="J55" s="2655"/>
      <c r="K55" s="2655"/>
      <c r="L55" s="2655"/>
      <c r="M55" s="2655"/>
      <c r="N55" s="2655"/>
      <c r="O55" s="2655"/>
      <c r="P55" s="2654"/>
    </row>
    <row r="56" spans="1:16" s="2652" customFormat="1" ht="16.7" customHeight="1" outlineLevel="1">
      <c r="A56" s="1269"/>
      <c r="B56" s="1269"/>
      <c r="C56" s="2542"/>
      <c r="D56" s="2541"/>
      <c r="E56" s="2561"/>
      <c r="F56" s="2540"/>
      <c r="G56" s="2565"/>
      <c r="H56" s="2561"/>
      <c r="I56" s="2653"/>
      <c r="J56" s="2655"/>
      <c r="K56" s="2655"/>
      <c r="L56" s="2655"/>
      <c r="M56" s="2655"/>
      <c r="N56" s="2655"/>
      <c r="O56" s="2655"/>
      <c r="P56" s="2654"/>
    </row>
    <row r="57" spans="1:16" s="2652" customFormat="1" ht="16.7" customHeight="1" outlineLevel="1">
      <c r="A57" s="2564"/>
      <c r="B57" s="2564"/>
      <c r="C57" s="2563"/>
      <c r="D57" s="2541"/>
      <c r="E57" s="2561"/>
      <c r="F57" s="2540"/>
      <c r="G57" s="2562"/>
      <c r="H57" s="2561"/>
      <c r="I57" s="2653"/>
      <c r="J57" s="2655"/>
      <c r="K57" s="2655"/>
      <c r="L57" s="2655"/>
      <c r="M57" s="2655"/>
      <c r="N57" s="2655"/>
      <c r="O57" s="2655"/>
      <c r="P57" s="2654"/>
    </row>
    <row r="58" spans="1:16" s="2652" customFormat="1" ht="16.7" customHeight="1" outlineLevel="1">
      <c r="A58" s="4879"/>
      <c r="B58" s="4879"/>
      <c r="C58" s="2559"/>
      <c r="D58" s="2560"/>
      <c r="E58" s="4880"/>
      <c r="F58" s="4880"/>
      <c r="G58" s="4880"/>
      <c r="H58" s="2557"/>
      <c r="I58" s="2653"/>
      <c r="J58" s="2655"/>
      <c r="K58" s="2655"/>
      <c r="L58" s="2655"/>
      <c r="M58" s="2655"/>
      <c r="N58" s="2655"/>
      <c r="O58" s="2655"/>
      <c r="P58" s="2654"/>
    </row>
    <row r="59" spans="1:16" s="2652" customFormat="1" ht="16.7" customHeight="1" outlineLevel="1">
      <c r="A59" s="4879"/>
      <c r="B59" s="4879"/>
      <c r="C59" s="2559"/>
      <c r="D59" s="2558"/>
      <c r="E59" s="2558"/>
      <c r="F59" s="2558"/>
      <c r="G59" s="2558"/>
      <c r="H59" s="2558"/>
      <c r="I59" s="2653"/>
      <c r="J59" s="2653"/>
      <c r="K59" s="2653"/>
      <c r="L59" s="2653"/>
      <c r="M59" s="2653"/>
      <c r="N59" s="2653"/>
      <c r="O59" s="2653"/>
    </row>
    <row r="60" spans="1:16" s="2652" customFormat="1" ht="16.7" customHeight="1" outlineLevel="1">
      <c r="A60" s="4879"/>
      <c r="B60" s="4879"/>
      <c r="C60" s="2557"/>
      <c r="D60" s="2555"/>
      <c r="E60" s="2555"/>
      <c r="F60" s="2555"/>
      <c r="G60" s="2556"/>
      <c r="H60" s="2555"/>
      <c r="I60" s="2653"/>
      <c r="J60" s="2653"/>
      <c r="K60" s="2653"/>
      <c r="L60" s="2653"/>
      <c r="M60" s="2653"/>
      <c r="N60" s="2653"/>
      <c r="O60" s="2653"/>
    </row>
    <row r="61" spans="1:16" s="2652" customFormat="1" ht="16.7" customHeight="1" outlineLevel="1">
      <c r="A61" s="2554"/>
      <c r="B61" s="2553"/>
      <c r="C61" s="2552"/>
      <c r="D61" s="2551"/>
      <c r="E61" s="2551"/>
      <c r="F61" s="2551"/>
      <c r="G61" s="2551"/>
      <c r="H61" s="2551"/>
      <c r="I61" s="2653"/>
      <c r="J61" s="2653"/>
      <c r="K61" s="2653"/>
      <c r="L61" s="2653"/>
      <c r="M61" s="2653"/>
      <c r="N61" s="2653"/>
      <c r="O61" s="2653"/>
    </row>
    <row r="62" spans="1:16" s="2652" customFormat="1" ht="16.7" customHeight="1" outlineLevel="1">
      <c r="A62" s="2546"/>
      <c r="B62" s="1269"/>
      <c r="C62" s="2545"/>
      <c r="D62" s="2548"/>
      <c r="E62" s="2548"/>
      <c r="F62" s="2540"/>
      <c r="G62" s="2548"/>
      <c r="H62" s="2548"/>
      <c r="I62" s="2653"/>
      <c r="J62" s="2653"/>
      <c r="K62" s="2653"/>
      <c r="L62" s="2653"/>
      <c r="M62" s="2653"/>
      <c r="N62" s="2653"/>
      <c r="O62" s="2653"/>
    </row>
    <row r="63" spans="1:16" ht="16.7" customHeight="1" outlineLevel="1">
      <c r="A63" s="2549"/>
      <c r="B63" s="2549"/>
      <c r="C63" s="2545"/>
      <c r="D63" s="2548"/>
      <c r="E63" s="2548"/>
      <c r="F63" s="2540"/>
      <c r="G63" s="2548"/>
      <c r="H63" s="2548"/>
    </row>
    <row r="64" spans="1:16" ht="20.100000000000001" customHeight="1" outlineLevel="2">
      <c r="A64" s="2546"/>
      <c r="B64" s="1269"/>
      <c r="C64" s="2542"/>
      <c r="D64" s="2541"/>
      <c r="E64" s="2544"/>
      <c r="F64" s="2540"/>
      <c r="G64" s="2544"/>
      <c r="H64" s="2544"/>
    </row>
    <row r="65" spans="1:15" ht="8.4499999999999993" customHeight="1" outlineLevel="2">
      <c r="A65" s="2549"/>
      <c r="B65" s="2549"/>
      <c r="C65" s="2545"/>
      <c r="D65" s="2541"/>
      <c r="E65" s="2544"/>
      <c r="F65" s="2540"/>
      <c r="G65" s="2544"/>
      <c r="H65" s="2544"/>
    </row>
    <row r="66" spans="1:15" ht="14.45" customHeight="1">
      <c r="A66" s="2549"/>
      <c r="B66" s="2549"/>
      <c r="C66" s="2542"/>
      <c r="D66" s="2541"/>
      <c r="E66" s="2544"/>
      <c r="F66" s="2540"/>
      <c r="G66" s="2544"/>
      <c r="H66" s="2544"/>
    </row>
    <row r="67" spans="1:15" ht="13.9" customHeight="1">
      <c r="A67" s="2549"/>
      <c r="B67" s="2549"/>
      <c r="C67" s="2542"/>
      <c r="D67" s="2541"/>
      <c r="E67" s="2544"/>
      <c r="F67" s="2540"/>
      <c r="G67" s="2544"/>
      <c r="H67" s="2544"/>
    </row>
    <row r="68" spans="1:15" s="1256" customFormat="1" ht="18" customHeight="1">
      <c r="A68" s="2546"/>
      <c r="B68" s="1269"/>
      <c r="C68" s="2545"/>
      <c r="D68" s="2541"/>
      <c r="E68" s="2544"/>
      <c r="F68" s="2540"/>
      <c r="G68" s="2544"/>
      <c r="H68" s="2544"/>
      <c r="I68" s="1257"/>
      <c r="J68" s="1257"/>
      <c r="K68" s="1257"/>
      <c r="L68" s="1257"/>
      <c r="M68" s="1257"/>
      <c r="N68" s="1257"/>
      <c r="O68" s="1257"/>
    </row>
    <row r="69" spans="1:15" s="2463" customFormat="1" ht="12.75">
      <c r="A69" s="2546"/>
      <c r="B69" s="1269"/>
      <c r="C69" s="2545"/>
      <c r="D69" s="2541"/>
      <c r="E69" s="2544"/>
      <c r="F69" s="2540"/>
      <c r="G69" s="2544"/>
      <c r="H69" s="2544"/>
      <c r="I69" s="2579"/>
      <c r="J69" s="2579"/>
      <c r="K69" s="2579"/>
      <c r="L69" s="2579"/>
      <c r="M69" s="2579"/>
      <c r="N69" s="2579"/>
      <c r="O69" s="2579"/>
    </row>
    <row r="70" spans="1:15" s="2463" customFormat="1" ht="12.75">
      <c r="A70" s="2547"/>
      <c r="B70" s="2546"/>
      <c r="C70" s="2545"/>
      <c r="D70" s="2541"/>
      <c r="E70" s="2544"/>
      <c r="F70" s="2540"/>
      <c r="G70" s="2544"/>
      <c r="H70" s="2544"/>
      <c r="I70" s="2579"/>
      <c r="J70" s="2579"/>
      <c r="K70" s="2579"/>
      <c r="L70" s="2579"/>
      <c r="M70" s="2579"/>
      <c r="N70" s="2579"/>
      <c r="O70" s="2579"/>
    </row>
    <row r="71" spans="1:15" s="2463" customFormat="1" ht="12.75">
      <c r="A71" s="2543"/>
      <c r="B71" s="2543"/>
      <c r="C71" s="2542"/>
      <c r="D71" s="2541"/>
      <c r="E71" s="2539"/>
      <c r="F71" s="2540"/>
      <c r="G71" s="2539"/>
      <c r="H71" s="2539"/>
      <c r="I71" s="2579"/>
      <c r="J71" s="2579"/>
      <c r="K71" s="2579"/>
      <c r="L71" s="2579"/>
      <c r="M71" s="2579"/>
      <c r="N71" s="2579"/>
      <c r="O71" s="2579"/>
    </row>
    <row r="72" spans="1:15" s="2463" customFormat="1" ht="12.75">
      <c r="A72" s="2538"/>
      <c r="B72" s="2538"/>
      <c r="C72" s="2537"/>
      <c r="D72" s="2536"/>
      <c r="E72" s="2536"/>
      <c r="F72" s="2536"/>
      <c r="G72" s="2536"/>
      <c r="H72" s="2536"/>
      <c r="I72" s="2579"/>
      <c r="J72" s="2579"/>
      <c r="K72" s="2579"/>
      <c r="L72" s="2579"/>
      <c r="M72" s="2579"/>
      <c r="N72" s="2579"/>
      <c r="O72" s="2579"/>
    </row>
    <row r="73" spans="1:15" s="2463" customFormat="1" ht="12.75">
      <c r="A73" s="2538"/>
      <c r="B73" s="2538"/>
      <c r="C73" s="2537"/>
      <c r="D73" s="2536"/>
      <c r="E73" s="2536"/>
      <c r="F73" s="2536"/>
      <c r="G73" s="2536"/>
      <c r="H73" s="2536"/>
      <c r="I73" s="2579"/>
      <c r="J73" s="2579"/>
      <c r="K73" s="2579"/>
      <c r="L73" s="2579"/>
      <c r="M73" s="2579"/>
      <c r="N73" s="2579"/>
      <c r="O73" s="2579"/>
    </row>
    <row r="74" spans="1:15" s="2463" customFormat="1">
      <c r="A74" s="1269"/>
      <c r="B74" s="2529"/>
      <c r="C74" s="2535"/>
      <c r="D74" s="2529"/>
      <c r="E74" s="4877"/>
      <c r="F74" s="4877"/>
      <c r="G74" s="1269"/>
      <c r="H74" s="2529"/>
      <c r="I74" s="2579"/>
      <c r="J74" s="2579"/>
      <c r="K74" s="2579"/>
      <c r="L74" s="2579"/>
      <c r="M74" s="2579"/>
      <c r="N74" s="2579"/>
      <c r="O74" s="2579"/>
    </row>
    <row r="75" spans="1:15" s="2463" customFormat="1">
      <c r="A75" s="2529"/>
      <c r="B75" s="1269"/>
      <c r="C75" s="2535"/>
      <c r="D75" s="1269"/>
      <c r="E75" s="1269"/>
      <c r="F75" s="1269"/>
      <c r="G75" s="1269"/>
      <c r="H75" s="2529"/>
      <c r="I75" s="2579"/>
      <c r="J75" s="2579"/>
      <c r="K75" s="2579"/>
      <c r="L75" s="2579"/>
      <c r="M75" s="2579"/>
      <c r="N75" s="2579"/>
      <c r="O75" s="2579"/>
    </row>
    <row r="76" spans="1:15" s="2463" customFormat="1" ht="12.75">
      <c r="A76" s="2534"/>
      <c r="B76" s="1269"/>
      <c r="C76" s="4881"/>
      <c r="D76" s="4881"/>
      <c r="E76" s="4876"/>
      <c r="F76" s="4876"/>
      <c r="G76" s="4876"/>
      <c r="H76" s="4876"/>
      <c r="I76" s="2579"/>
      <c r="J76" s="2579"/>
      <c r="K76" s="2579"/>
      <c r="L76" s="2579"/>
      <c r="M76" s="2579"/>
      <c r="N76" s="2579"/>
      <c r="O76" s="2579"/>
    </row>
    <row r="77" spans="1:15" s="2463" customFormat="1" ht="12.75">
      <c r="A77" s="2531"/>
      <c r="B77" s="2533"/>
      <c r="C77" s="4874"/>
      <c r="D77" s="4874"/>
      <c r="E77" s="4875"/>
      <c r="F77" s="4875"/>
      <c r="G77" s="4875"/>
      <c r="H77" s="4875"/>
      <c r="I77" s="2579"/>
      <c r="J77" s="2579"/>
      <c r="K77" s="2579"/>
      <c r="L77" s="2579"/>
      <c r="M77" s="2579"/>
      <c r="N77" s="2579"/>
      <c r="O77" s="2579"/>
    </row>
    <row r="78" spans="1:15" s="2463" customFormat="1" ht="12.75">
      <c r="A78" s="2531"/>
      <c r="B78" s="2533"/>
      <c r="C78" s="2531"/>
      <c r="D78" s="2566"/>
      <c r="E78" s="2566"/>
      <c r="F78" s="2566"/>
      <c r="G78" s="2566"/>
      <c r="H78" s="2566"/>
      <c r="I78" s="2579"/>
      <c r="J78" s="2579"/>
      <c r="K78" s="2579"/>
      <c r="L78" s="2579"/>
      <c r="M78" s="2579"/>
      <c r="N78" s="2579"/>
      <c r="O78" s="2579"/>
    </row>
    <row r="79" spans="1:15" s="2463" customFormat="1" ht="12.75">
      <c r="A79" s="2531"/>
      <c r="B79" s="2533"/>
      <c r="C79" s="2531"/>
      <c r="D79" s="2566"/>
      <c r="E79" s="2566"/>
      <c r="F79" s="2566"/>
      <c r="G79" s="2566"/>
      <c r="H79" s="2566"/>
      <c r="I79" s="2579"/>
      <c r="J79" s="2579"/>
      <c r="K79" s="2579"/>
      <c r="L79" s="2579"/>
      <c r="M79" s="2579"/>
      <c r="N79" s="2579"/>
      <c r="O79" s="2579"/>
    </row>
    <row r="80" spans="1:15" s="2463" customFormat="1" ht="12.75">
      <c r="A80" s="2531"/>
      <c r="B80" s="2533"/>
      <c r="C80" s="2531"/>
      <c r="D80" s="2566"/>
      <c r="E80" s="2566"/>
      <c r="F80" s="2566"/>
      <c r="G80" s="2566"/>
      <c r="H80" s="2566"/>
      <c r="I80" s="2579"/>
      <c r="J80" s="2579"/>
      <c r="K80" s="2579"/>
      <c r="L80" s="2579"/>
      <c r="M80" s="2579"/>
      <c r="N80" s="2579"/>
      <c r="O80" s="2579"/>
    </row>
    <row r="81" spans="1:15" s="2463" customFormat="1" ht="12.75">
      <c r="A81" s="2531"/>
      <c r="B81" s="2533"/>
      <c r="C81" s="2531"/>
      <c r="D81" s="2566"/>
      <c r="E81" s="2566"/>
      <c r="F81" s="2566"/>
      <c r="G81" s="2566"/>
      <c r="H81" s="2566"/>
      <c r="I81" s="2579"/>
      <c r="J81" s="2579"/>
      <c r="K81" s="2579"/>
      <c r="L81" s="2579"/>
      <c r="M81" s="2579"/>
      <c r="N81" s="2579"/>
      <c r="O81" s="2579"/>
    </row>
    <row r="82" spans="1:15" s="2463" customFormat="1" ht="12.75">
      <c r="A82" s="2531"/>
      <c r="B82" s="2533"/>
      <c r="C82" s="2531"/>
      <c r="D82" s="2566"/>
      <c r="E82" s="2566"/>
      <c r="F82" s="2566"/>
      <c r="G82" s="2566"/>
      <c r="H82" s="2566"/>
      <c r="I82" s="2579"/>
      <c r="J82" s="2579"/>
      <c r="K82" s="2579"/>
      <c r="L82" s="2579"/>
      <c r="M82" s="2579"/>
      <c r="N82" s="2579"/>
      <c r="O82" s="2579"/>
    </row>
    <row r="83" spans="1:15" s="2463" customFormat="1" ht="12.75">
      <c r="A83" s="2531"/>
      <c r="B83" s="2533"/>
      <c r="C83" s="2531"/>
      <c r="D83" s="2566"/>
      <c r="E83" s="2566"/>
      <c r="F83" s="2566"/>
      <c r="G83" s="2566"/>
      <c r="H83" s="2566"/>
      <c r="I83" s="2579"/>
      <c r="J83" s="2579"/>
      <c r="K83" s="2579"/>
      <c r="L83" s="2579"/>
      <c r="M83" s="2579"/>
      <c r="N83" s="2579"/>
      <c r="O83" s="2579"/>
    </row>
    <row r="84" spans="1:15" s="2463" customFormat="1" ht="12.75">
      <c r="A84" s="2531"/>
      <c r="B84" s="2533"/>
      <c r="C84" s="2531"/>
      <c r="D84" s="2566"/>
      <c r="E84" s="2566"/>
      <c r="F84" s="2566"/>
      <c r="G84" s="2566"/>
      <c r="H84" s="2566"/>
      <c r="I84" s="2579"/>
      <c r="J84" s="2579"/>
      <c r="K84" s="2579"/>
      <c r="L84" s="2579"/>
      <c r="M84" s="2579"/>
      <c r="N84" s="2579"/>
      <c r="O84" s="2579"/>
    </row>
    <row r="85" spans="1:15" s="2463" customFormat="1" ht="12.75">
      <c r="A85" s="2531"/>
      <c r="B85" s="2533"/>
      <c r="C85" s="2531"/>
      <c r="D85" s="2566"/>
      <c r="E85" s="2566"/>
      <c r="F85" s="2566"/>
      <c r="G85" s="2566"/>
      <c r="H85" s="2566"/>
      <c r="I85" s="2579"/>
      <c r="J85" s="2579"/>
      <c r="K85" s="2579"/>
      <c r="L85" s="2579"/>
      <c r="M85" s="2579"/>
      <c r="N85" s="2579"/>
      <c r="O85" s="2579"/>
    </row>
    <row r="86" spans="1:15" s="2463" customFormat="1" ht="12.75">
      <c r="A86" s="2531"/>
      <c r="B86" s="2533"/>
      <c r="C86" s="2531"/>
      <c r="D86" s="2566"/>
      <c r="E86" s="2566"/>
      <c r="F86" s="2566"/>
      <c r="G86" s="2566"/>
      <c r="H86" s="2566"/>
      <c r="I86" s="2579"/>
      <c r="J86" s="2579"/>
      <c r="K86" s="2579"/>
      <c r="L86" s="2579"/>
      <c r="M86" s="2579"/>
      <c r="N86" s="2579"/>
      <c r="O86" s="2579"/>
    </row>
    <row r="87" spans="1:15" s="2463" customFormat="1" ht="12.75">
      <c r="A87" s="2531"/>
      <c r="B87" s="2533"/>
      <c r="C87" s="2531"/>
      <c r="D87" s="2566"/>
      <c r="E87" s="2566"/>
      <c r="F87" s="2566"/>
      <c r="G87" s="2566"/>
      <c r="H87" s="2566"/>
      <c r="I87" s="2579"/>
      <c r="J87" s="2579"/>
      <c r="K87" s="2579"/>
      <c r="L87" s="2579"/>
      <c r="M87" s="2579"/>
      <c r="N87" s="2579"/>
      <c r="O87" s="2579"/>
    </row>
    <row r="88" spans="1:15" s="2463" customFormat="1" ht="12.75">
      <c r="A88" s="2531"/>
      <c r="B88" s="2533"/>
      <c r="C88" s="2531"/>
      <c r="D88" s="2566"/>
      <c r="E88" s="2566"/>
      <c r="F88" s="2566"/>
      <c r="G88" s="2566"/>
      <c r="H88" s="2566"/>
      <c r="I88" s="2579"/>
      <c r="J88" s="2579"/>
      <c r="K88" s="2579"/>
      <c r="L88" s="2579"/>
      <c r="M88" s="2579"/>
      <c r="N88" s="2579"/>
      <c r="O88" s="2579"/>
    </row>
    <row r="89" spans="1:15" s="2463" customFormat="1" ht="12.75">
      <c r="A89" s="2531"/>
      <c r="B89" s="2533"/>
      <c r="C89" s="2531"/>
      <c r="D89" s="2566"/>
      <c r="E89" s="2566"/>
      <c r="F89" s="2566"/>
      <c r="G89" s="2566"/>
      <c r="H89" s="2566"/>
      <c r="I89" s="2579"/>
      <c r="J89" s="2579"/>
      <c r="K89" s="2579"/>
      <c r="L89" s="2579"/>
      <c r="M89" s="2579"/>
      <c r="N89" s="2579"/>
      <c r="O89" s="2579"/>
    </row>
    <row r="90" spans="1:15" s="2463" customFormat="1" ht="12.75">
      <c r="A90" s="2531"/>
      <c r="B90" s="2533"/>
      <c r="C90" s="2531"/>
      <c r="D90" s="2566"/>
      <c r="E90" s="2566"/>
      <c r="F90" s="2566"/>
      <c r="G90" s="2566"/>
      <c r="H90" s="2566"/>
      <c r="I90" s="2579"/>
      <c r="J90" s="2579"/>
      <c r="K90" s="2579"/>
      <c r="L90" s="2579"/>
      <c r="M90" s="2579"/>
      <c r="N90" s="2579"/>
      <c r="O90" s="2579"/>
    </row>
    <row r="91" spans="1:15" s="2463" customFormat="1">
      <c r="A91" s="2529"/>
      <c r="B91" s="2529"/>
      <c r="C91" s="2529"/>
      <c r="D91" s="2529"/>
      <c r="E91" s="2529"/>
      <c r="F91" s="2529"/>
      <c r="G91" s="2529"/>
      <c r="H91" s="2529"/>
      <c r="I91" s="2579"/>
      <c r="J91" s="2579"/>
      <c r="K91" s="2579"/>
      <c r="L91" s="2579"/>
      <c r="M91" s="2579"/>
      <c r="N91" s="2579"/>
      <c r="O91" s="2579"/>
    </row>
    <row r="92" spans="1:15" s="2463" customFormat="1" ht="12.75">
      <c r="A92" s="4876"/>
      <c r="B92" s="4876"/>
      <c r="C92" s="4876"/>
      <c r="D92" s="4876"/>
      <c r="E92" s="4876"/>
      <c r="F92" s="4876"/>
      <c r="G92" s="4876"/>
      <c r="H92" s="4876"/>
      <c r="I92" s="2579"/>
      <c r="J92" s="2579"/>
      <c r="K92" s="2579"/>
      <c r="L92" s="2579"/>
      <c r="M92" s="2579"/>
      <c r="N92" s="2579"/>
      <c r="O92" s="2579"/>
    </row>
    <row r="93" spans="1:15" s="2463" customFormat="1" ht="12.75">
      <c r="A93" s="4877"/>
      <c r="B93" s="4877"/>
      <c r="C93" s="4877"/>
      <c r="D93" s="4877"/>
      <c r="E93" s="4877"/>
      <c r="F93" s="4877"/>
      <c r="G93" s="4877"/>
      <c r="H93" s="4877"/>
      <c r="I93" s="2579"/>
      <c r="J93" s="2579"/>
      <c r="K93" s="2579"/>
      <c r="L93" s="2579"/>
      <c r="M93" s="2579"/>
      <c r="N93" s="2579"/>
      <c r="O93" s="2579"/>
    </row>
    <row r="94" spans="1:15" s="2463" customFormat="1">
      <c r="A94" s="2529"/>
      <c r="B94" s="2529"/>
      <c r="C94" s="2529"/>
      <c r="D94" s="2529"/>
      <c r="E94" s="2529"/>
      <c r="F94" s="2529"/>
      <c r="G94" s="2529"/>
      <c r="H94" s="2529"/>
      <c r="I94" s="2579"/>
      <c r="J94" s="2579"/>
      <c r="K94" s="2579"/>
      <c r="L94" s="2579"/>
      <c r="M94" s="2579"/>
      <c r="N94" s="2579"/>
      <c r="O94" s="2579"/>
    </row>
    <row r="95" spans="1:15" s="2463" customFormat="1">
      <c r="A95" s="2529"/>
      <c r="B95" s="2529"/>
      <c r="C95" s="2529"/>
      <c r="D95" s="2529"/>
      <c r="E95" s="2529"/>
      <c r="F95" s="2529"/>
      <c r="G95" s="2529"/>
      <c r="H95" s="2529"/>
      <c r="I95" s="2579"/>
      <c r="J95" s="2579"/>
      <c r="K95" s="2579"/>
      <c r="L95" s="2579"/>
      <c r="M95" s="2579"/>
      <c r="N95" s="2579"/>
      <c r="O95" s="2579"/>
    </row>
    <row r="96" spans="1:15" s="2463" customFormat="1">
      <c r="A96" s="2568"/>
      <c r="B96" s="2567"/>
      <c r="C96" s="2529"/>
      <c r="D96" s="2566"/>
      <c r="E96" s="2566"/>
      <c r="F96" s="2566"/>
      <c r="G96" s="2566"/>
      <c r="H96" s="2566"/>
      <c r="I96" s="2579"/>
      <c r="J96" s="2579"/>
      <c r="K96" s="2579"/>
      <c r="L96" s="2579"/>
      <c r="M96" s="2579"/>
      <c r="N96" s="2579"/>
      <c r="O96" s="2579"/>
    </row>
    <row r="97" spans="1:15" s="2463" customFormat="1" ht="12.75">
      <c r="A97" s="1269"/>
      <c r="B97" s="1269"/>
      <c r="C97" s="2542"/>
      <c r="D97" s="2541"/>
      <c r="E97" s="2561"/>
      <c r="F97" s="2540"/>
      <c r="G97" s="2565"/>
      <c r="H97" s="2561"/>
      <c r="I97" s="2579"/>
      <c r="J97" s="2579"/>
      <c r="K97" s="2579"/>
      <c r="L97" s="2579"/>
      <c r="M97" s="2579"/>
      <c r="N97" s="2579"/>
      <c r="O97" s="2579"/>
    </row>
    <row r="98" spans="1:15" s="2463" customFormat="1" ht="23.25">
      <c r="A98" s="2564"/>
      <c r="B98" s="2564"/>
      <c r="C98" s="2563"/>
      <c r="D98" s="2541"/>
      <c r="E98" s="2561"/>
      <c r="F98" s="2540"/>
      <c r="G98" s="2562"/>
      <c r="H98" s="2561"/>
      <c r="I98" s="2579"/>
      <c r="J98" s="2579"/>
      <c r="K98" s="2579"/>
      <c r="L98" s="2579"/>
      <c r="M98" s="2579"/>
      <c r="N98" s="2579"/>
      <c r="O98" s="2579"/>
    </row>
    <row r="99" spans="1:15" s="2463" customFormat="1" ht="12.75">
      <c r="A99" s="4879"/>
      <c r="B99" s="4879"/>
      <c r="C99" s="2559"/>
      <c r="D99" s="2560"/>
      <c r="E99" s="4880"/>
      <c r="F99" s="4880"/>
      <c r="G99" s="4880"/>
      <c r="H99" s="2557"/>
      <c r="I99" s="2579"/>
      <c r="J99" s="2579"/>
      <c r="K99" s="2579"/>
      <c r="L99" s="2579"/>
      <c r="M99" s="2579"/>
      <c r="N99" s="2579"/>
      <c r="O99" s="2579"/>
    </row>
    <row r="100" spans="1:15" s="2463" customFormat="1" ht="12.75">
      <c r="A100" s="4879"/>
      <c r="B100" s="4879"/>
      <c r="C100" s="2559"/>
      <c r="D100" s="2558"/>
      <c r="E100" s="2558"/>
      <c r="F100" s="2558"/>
      <c r="G100" s="2558"/>
      <c r="H100" s="2558"/>
      <c r="I100" s="2579"/>
      <c r="J100" s="2579"/>
      <c r="K100" s="2579"/>
      <c r="L100" s="2579"/>
      <c r="M100" s="2579"/>
      <c r="N100" s="2579"/>
      <c r="O100" s="2579"/>
    </row>
    <row r="101" spans="1:15" s="2463" customFormat="1" ht="12.75">
      <c r="A101" s="4879"/>
      <c r="B101" s="4879"/>
      <c r="C101" s="2557"/>
      <c r="D101" s="2555"/>
      <c r="E101" s="2555"/>
      <c r="F101" s="2555"/>
      <c r="G101" s="2556"/>
      <c r="H101" s="2555"/>
      <c r="I101" s="2579"/>
      <c r="J101" s="2579"/>
      <c r="K101" s="2579"/>
      <c r="L101" s="2579"/>
      <c r="M101" s="2579"/>
      <c r="N101" s="2579"/>
      <c r="O101" s="2579"/>
    </row>
    <row r="102" spans="1:15" s="2463" customFormat="1" ht="12.75">
      <c r="A102" s="2554"/>
      <c r="B102" s="2553"/>
      <c r="C102" s="2552"/>
      <c r="D102" s="2551"/>
      <c r="E102" s="2551"/>
      <c r="F102" s="2551"/>
      <c r="G102" s="2551"/>
      <c r="H102" s="2551"/>
      <c r="I102" s="2579"/>
      <c r="J102" s="2579"/>
      <c r="K102" s="2579"/>
      <c r="L102" s="2579"/>
      <c r="M102" s="2579"/>
      <c r="N102" s="2579"/>
      <c r="O102" s="2579"/>
    </row>
    <row r="103" spans="1:15" s="2463" customFormat="1" ht="12.75">
      <c r="A103" s="2549"/>
      <c r="B103" s="2549"/>
      <c r="C103" s="2545"/>
      <c r="D103" s="2548"/>
      <c r="E103" s="2548"/>
      <c r="F103" s="2540"/>
      <c r="G103" s="2548"/>
      <c r="H103" s="2548"/>
      <c r="I103" s="2579"/>
      <c r="J103" s="2579"/>
      <c r="K103" s="2579"/>
      <c r="L103" s="2579"/>
      <c r="M103" s="2579"/>
      <c r="N103" s="2579"/>
      <c r="O103" s="2579"/>
    </row>
    <row r="104" spans="1:15" s="2463" customFormat="1" ht="12.75">
      <c r="A104" s="2549"/>
      <c r="B104" s="2549"/>
      <c r="C104" s="2545"/>
      <c r="D104" s="2548"/>
      <c r="E104" s="2548"/>
      <c r="F104" s="2540"/>
      <c r="G104" s="2548"/>
      <c r="H104" s="2548"/>
      <c r="I104" s="2579"/>
      <c r="J104" s="2579"/>
      <c r="K104" s="2579"/>
      <c r="L104" s="2579"/>
      <c r="M104" s="2579"/>
      <c r="N104" s="2579"/>
      <c r="O104" s="2579"/>
    </row>
    <row r="105" spans="1:15" s="2463" customFormat="1" ht="12.75">
      <c r="A105" s="2546"/>
      <c r="B105" s="1269"/>
      <c r="C105" s="2545"/>
      <c r="D105" s="2541"/>
      <c r="E105" s="2544"/>
      <c r="F105" s="2540"/>
      <c r="G105" s="2544"/>
      <c r="H105" s="2544"/>
      <c r="I105" s="2579"/>
      <c r="J105" s="2579"/>
      <c r="K105" s="2579"/>
      <c r="L105" s="2579"/>
      <c r="M105" s="2579"/>
      <c r="N105" s="2579"/>
      <c r="O105" s="2579"/>
    </row>
    <row r="106" spans="1:15" s="2463" customFormat="1" ht="12.75">
      <c r="A106" s="2549"/>
      <c r="B106" s="2549"/>
      <c r="C106" s="2545"/>
      <c r="D106" s="2541"/>
      <c r="E106" s="2544"/>
      <c r="F106" s="2540"/>
      <c r="G106" s="2544"/>
      <c r="H106" s="2544"/>
      <c r="I106" s="2579"/>
      <c r="J106" s="2579"/>
      <c r="K106" s="2579"/>
      <c r="L106" s="2579"/>
      <c r="M106" s="2579"/>
      <c r="N106" s="2579"/>
      <c r="O106" s="2579"/>
    </row>
    <row r="107" spans="1:15" s="2463" customFormat="1" ht="12.75">
      <c r="A107" s="2546"/>
      <c r="B107" s="1269"/>
      <c r="C107" s="2542"/>
      <c r="D107" s="2541"/>
      <c r="E107" s="2544"/>
      <c r="F107" s="2540"/>
      <c r="G107" s="2544"/>
      <c r="H107" s="2544"/>
      <c r="I107" s="2579"/>
      <c r="J107" s="2579"/>
      <c r="K107" s="2579"/>
      <c r="L107" s="2579"/>
      <c r="M107" s="2579"/>
      <c r="N107" s="2579"/>
      <c r="O107" s="2579"/>
    </row>
    <row r="108" spans="1:15" s="2463" customFormat="1" ht="12.75">
      <c r="A108" s="2549"/>
      <c r="B108" s="2549"/>
      <c r="C108" s="2542"/>
      <c r="D108" s="2541"/>
      <c r="E108" s="2544"/>
      <c r="F108" s="2540"/>
      <c r="G108" s="2544"/>
      <c r="H108" s="2544"/>
      <c r="I108" s="2579"/>
      <c r="J108" s="2579"/>
      <c r="K108" s="2579"/>
      <c r="L108" s="2579"/>
      <c r="M108" s="2579"/>
      <c r="N108" s="2579"/>
      <c r="O108" s="2579"/>
    </row>
    <row r="109" spans="1:15" s="2463" customFormat="1" ht="12.75">
      <c r="A109" s="2547"/>
      <c r="B109" s="2546"/>
      <c r="C109" s="2545"/>
      <c r="D109" s="2541"/>
      <c r="E109" s="2544"/>
      <c r="F109" s="2540"/>
      <c r="G109" s="2544"/>
      <c r="H109" s="2544"/>
      <c r="I109" s="2579"/>
      <c r="J109" s="2579"/>
      <c r="K109" s="2579"/>
      <c r="L109" s="2579"/>
      <c r="M109" s="2579"/>
      <c r="N109" s="2579"/>
      <c r="O109" s="2579"/>
    </row>
    <row r="110" spans="1:15" s="2463" customFormat="1" ht="12.75">
      <c r="A110" s="2543"/>
      <c r="B110" s="2543"/>
      <c r="C110" s="2542"/>
      <c r="D110" s="2541"/>
      <c r="E110" s="2539"/>
      <c r="F110" s="2540"/>
      <c r="G110" s="2539"/>
      <c r="H110" s="2539"/>
      <c r="I110" s="2579"/>
      <c r="J110" s="2579"/>
      <c r="K110" s="2579"/>
      <c r="L110" s="2579"/>
      <c r="M110" s="2579"/>
      <c r="N110" s="2579"/>
      <c r="O110" s="2579"/>
    </row>
    <row r="111" spans="1:15" s="2463" customFormat="1" ht="12.75">
      <c r="A111" s="2538"/>
      <c r="B111" s="2538"/>
      <c r="C111" s="2537"/>
      <c r="D111" s="2536"/>
      <c r="E111" s="2536"/>
      <c r="F111" s="2536"/>
      <c r="G111" s="2536"/>
      <c r="H111" s="2536"/>
      <c r="I111" s="2579"/>
      <c r="J111" s="2579"/>
      <c r="K111" s="2579"/>
      <c r="L111" s="2579"/>
      <c r="M111" s="2579"/>
      <c r="N111" s="2579"/>
      <c r="O111" s="2579"/>
    </row>
    <row r="112" spans="1:15" s="2463" customFormat="1" ht="12.75">
      <c r="A112" s="2538"/>
      <c r="B112" s="2538"/>
      <c r="C112" s="2537"/>
      <c r="D112" s="2536"/>
      <c r="E112" s="2536"/>
      <c r="F112" s="2536"/>
      <c r="G112" s="2536"/>
      <c r="H112" s="2536"/>
      <c r="I112" s="2579"/>
      <c r="J112" s="2579"/>
      <c r="K112" s="2579"/>
      <c r="L112" s="2579"/>
      <c r="M112" s="2579"/>
      <c r="N112" s="2579"/>
      <c r="O112" s="2579"/>
    </row>
    <row r="113" spans="1:15" s="2463" customFormat="1">
      <c r="A113" s="1269"/>
      <c r="B113" s="2529"/>
      <c r="C113" s="2535"/>
      <c r="D113" s="2529"/>
      <c r="E113" s="4877"/>
      <c r="F113" s="4877"/>
      <c r="G113" s="1269"/>
      <c r="H113" s="2529"/>
      <c r="I113" s="2579"/>
      <c r="J113" s="2579"/>
      <c r="K113" s="2579"/>
      <c r="L113" s="2579"/>
      <c r="M113" s="2579"/>
      <c r="N113" s="2579"/>
      <c r="O113" s="2579"/>
    </row>
    <row r="114" spans="1:15" s="2463" customFormat="1">
      <c r="A114" s="2529"/>
      <c r="B114" s="1269"/>
      <c r="C114" s="2535"/>
      <c r="D114" s="1269"/>
      <c r="E114" s="1269"/>
      <c r="F114" s="1269"/>
      <c r="G114" s="1269"/>
      <c r="H114" s="2529"/>
      <c r="I114" s="2579"/>
      <c r="J114" s="2579"/>
      <c r="K114" s="2579"/>
      <c r="L114" s="2579"/>
      <c r="M114" s="2579"/>
      <c r="N114" s="2579"/>
      <c r="O114" s="2579"/>
    </row>
    <row r="115" spans="1:15" s="2463" customFormat="1" ht="12.75">
      <c r="A115" s="2534"/>
      <c r="B115" s="1269"/>
      <c r="C115" s="4881"/>
      <c r="D115" s="4881"/>
      <c r="E115" s="4876"/>
      <c r="F115" s="4876"/>
      <c r="G115" s="4876"/>
      <c r="H115" s="4876"/>
      <c r="I115" s="2579"/>
      <c r="J115" s="2579"/>
      <c r="K115" s="2579"/>
      <c r="L115" s="2579"/>
      <c r="M115" s="2579"/>
      <c r="N115" s="2579"/>
      <c r="O115" s="2579"/>
    </row>
    <row r="116" spans="1:15" s="2463" customFormat="1" ht="12.75">
      <c r="A116" s="2531"/>
      <c r="B116" s="2533"/>
      <c r="C116" s="4874"/>
      <c r="D116" s="4874"/>
      <c r="E116" s="4875"/>
      <c r="F116" s="4875"/>
      <c r="G116" s="4875"/>
      <c r="H116" s="4875"/>
      <c r="I116" s="2579"/>
      <c r="J116" s="2579"/>
      <c r="K116" s="2579"/>
      <c r="L116" s="2579"/>
      <c r="M116" s="2579"/>
      <c r="N116" s="2579"/>
      <c r="O116" s="2579"/>
    </row>
    <row r="117" spans="1:15" s="2463" customFormat="1" ht="12.75">
      <c r="A117" s="2531"/>
      <c r="B117" s="2533"/>
      <c r="C117" s="2531"/>
      <c r="D117" s="2566"/>
      <c r="E117" s="2566"/>
      <c r="F117" s="2566"/>
      <c r="G117" s="2566"/>
      <c r="H117" s="2566"/>
      <c r="I117" s="2579"/>
      <c r="J117" s="2579"/>
      <c r="K117" s="2579"/>
      <c r="L117" s="2579"/>
      <c r="M117" s="2579"/>
      <c r="N117" s="2579"/>
      <c r="O117" s="2579"/>
    </row>
    <row r="118" spans="1:15" s="2463" customFormat="1" ht="12.75">
      <c r="A118" s="2531"/>
      <c r="B118" s="2533"/>
      <c r="C118" s="2531"/>
      <c r="D118" s="2566"/>
      <c r="E118" s="2566"/>
      <c r="F118" s="2566"/>
      <c r="G118" s="2566"/>
      <c r="H118" s="2566"/>
      <c r="I118" s="2579"/>
      <c r="J118" s="2579"/>
      <c r="K118" s="2579"/>
      <c r="L118" s="2579"/>
      <c r="M118" s="2579"/>
      <c r="N118" s="2579"/>
      <c r="O118" s="2579"/>
    </row>
    <row r="119" spans="1:15" s="2463" customFormat="1" ht="12.75">
      <c r="A119" s="2531"/>
      <c r="B119" s="2533"/>
      <c r="C119" s="2531"/>
      <c r="D119" s="2566"/>
      <c r="E119" s="2566"/>
      <c r="F119" s="2566"/>
      <c r="G119" s="2566"/>
      <c r="H119" s="2566"/>
      <c r="I119" s="2579"/>
      <c r="J119" s="2579"/>
      <c r="K119" s="2579"/>
      <c r="L119" s="2579"/>
      <c r="M119" s="2579"/>
      <c r="N119" s="2579"/>
      <c r="O119" s="2579"/>
    </row>
    <row r="120" spans="1:15" s="2463" customFormat="1" ht="12.75">
      <c r="A120" s="2531"/>
      <c r="B120" s="2533"/>
      <c r="C120" s="2531"/>
      <c r="D120" s="2566"/>
      <c r="E120" s="2566"/>
      <c r="F120" s="2566"/>
      <c r="G120" s="2566"/>
      <c r="H120" s="2566"/>
      <c r="I120" s="2579"/>
      <c r="J120" s="2579"/>
      <c r="K120" s="2579"/>
      <c r="L120" s="2579"/>
      <c r="M120" s="2579"/>
      <c r="N120" s="2579"/>
      <c r="O120" s="2579"/>
    </row>
    <row r="121" spans="1:15" s="2463" customFormat="1" ht="12.75">
      <c r="A121" s="2531"/>
      <c r="B121" s="2533"/>
      <c r="C121" s="2531"/>
      <c r="D121" s="2566"/>
      <c r="E121" s="2566"/>
      <c r="F121" s="2566"/>
      <c r="G121" s="2566"/>
      <c r="H121" s="2566"/>
      <c r="I121" s="2579"/>
      <c r="J121" s="2579"/>
      <c r="K121" s="2579"/>
      <c r="L121" s="2579"/>
      <c r="M121" s="2579"/>
      <c r="N121" s="2579"/>
      <c r="O121" s="2579"/>
    </row>
    <row r="122" spans="1:15" s="2463" customFormat="1" ht="12.75">
      <c r="A122" s="2531"/>
      <c r="B122" s="2533"/>
      <c r="C122" s="2531"/>
      <c r="D122" s="2566"/>
      <c r="E122" s="2566"/>
      <c r="F122" s="2566"/>
      <c r="G122" s="2566"/>
      <c r="H122" s="2566"/>
      <c r="I122" s="2579"/>
      <c r="J122" s="2579"/>
      <c r="K122" s="2579"/>
      <c r="L122" s="2579"/>
      <c r="M122" s="2579"/>
      <c r="N122" s="2579"/>
      <c r="O122" s="2579"/>
    </row>
    <row r="123" spans="1:15" s="2463" customFormat="1" ht="12.75">
      <c r="A123" s="2531"/>
      <c r="B123" s="2533"/>
      <c r="C123" s="2531"/>
      <c r="D123" s="2566"/>
      <c r="E123" s="2566"/>
      <c r="F123" s="2566"/>
      <c r="G123" s="2566"/>
      <c r="H123" s="2566"/>
      <c r="I123" s="2579"/>
      <c r="J123" s="2579"/>
      <c r="K123" s="2579"/>
      <c r="L123" s="2579"/>
      <c r="M123" s="2579"/>
      <c r="N123" s="2579"/>
      <c r="O123" s="2579"/>
    </row>
    <row r="124" spans="1:15" s="2463" customFormat="1" ht="12.75">
      <c r="A124" s="2531"/>
      <c r="B124" s="2533"/>
      <c r="C124" s="2531"/>
      <c r="D124" s="2566"/>
      <c r="E124" s="2566"/>
      <c r="F124" s="2566"/>
      <c r="G124" s="2566"/>
      <c r="H124" s="2566"/>
      <c r="I124" s="2579"/>
      <c r="J124" s="2579"/>
      <c r="K124" s="2579"/>
      <c r="L124" s="2579"/>
      <c r="M124" s="2579"/>
      <c r="N124" s="2579"/>
      <c r="O124" s="2579"/>
    </row>
    <row r="125" spans="1:15" s="2463" customFormat="1" ht="12.75">
      <c r="A125" s="2531"/>
      <c r="B125" s="2533"/>
      <c r="C125" s="2531"/>
      <c r="D125" s="2566"/>
      <c r="E125" s="2566"/>
      <c r="F125" s="2566"/>
      <c r="G125" s="2566"/>
      <c r="H125" s="2566"/>
      <c r="I125" s="2579"/>
      <c r="J125" s="2579"/>
      <c r="K125" s="2579"/>
      <c r="L125" s="2579"/>
      <c r="M125" s="2579"/>
      <c r="N125" s="2579"/>
      <c r="O125" s="2579"/>
    </row>
    <row r="126" spans="1:15" s="2463" customFormat="1" ht="12.75">
      <c r="A126" s="2531"/>
      <c r="B126" s="2533"/>
      <c r="C126" s="2531"/>
      <c r="D126" s="2566"/>
      <c r="E126" s="2566"/>
      <c r="F126" s="2566"/>
      <c r="G126" s="2566"/>
      <c r="H126" s="2566"/>
      <c r="I126" s="2579"/>
      <c r="J126" s="2579"/>
      <c r="K126" s="2579"/>
      <c r="L126" s="2579"/>
      <c r="M126" s="2579"/>
      <c r="N126" s="2579"/>
      <c r="O126" s="2579"/>
    </row>
    <row r="127" spans="1:15" s="2463" customFormat="1" ht="12.75">
      <c r="A127" s="2531"/>
      <c r="B127" s="2533"/>
      <c r="C127" s="2531"/>
      <c r="D127" s="2566"/>
      <c r="E127" s="2566"/>
      <c r="F127" s="2566"/>
      <c r="G127" s="2566"/>
      <c r="H127" s="2566"/>
      <c r="I127" s="2579"/>
      <c r="J127" s="2579"/>
      <c r="K127" s="2579"/>
      <c r="L127" s="2579"/>
      <c r="M127" s="2579"/>
      <c r="N127" s="2579"/>
      <c r="O127" s="2579"/>
    </row>
    <row r="128" spans="1:15" s="2463" customFormat="1" ht="12.75">
      <c r="A128" s="2531"/>
      <c r="B128" s="2533"/>
      <c r="C128" s="2531"/>
      <c r="D128" s="2566"/>
      <c r="E128" s="2566"/>
      <c r="F128" s="2566"/>
      <c r="G128" s="2566"/>
      <c r="H128" s="2566"/>
      <c r="I128" s="2579"/>
      <c r="J128" s="2579"/>
      <c r="K128" s="2579"/>
      <c r="L128" s="2579"/>
      <c r="M128" s="2579"/>
      <c r="N128" s="2579"/>
      <c r="O128" s="2579"/>
    </row>
    <row r="129" spans="1:15" s="2463" customFormat="1" ht="12.75">
      <c r="A129" s="2531"/>
      <c r="B129" s="2533"/>
      <c r="C129" s="2531"/>
      <c r="D129" s="2566"/>
      <c r="E129" s="2566"/>
      <c r="F129" s="2566"/>
      <c r="G129" s="2566"/>
      <c r="H129" s="2566"/>
      <c r="I129" s="2579"/>
      <c r="J129" s="2579"/>
      <c r="K129" s="2579"/>
      <c r="L129" s="2579"/>
      <c r="M129" s="2579"/>
      <c r="N129" s="2579"/>
      <c r="O129" s="2579"/>
    </row>
    <row r="130" spans="1:15" s="2463" customFormat="1" ht="12.75">
      <c r="A130" s="2531"/>
      <c r="B130" s="2533"/>
      <c r="C130" s="2531"/>
      <c r="D130" s="2566"/>
      <c r="E130" s="2566"/>
      <c r="F130" s="2566"/>
      <c r="G130" s="2566"/>
      <c r="H130" s="2566"/>
      <c r="I130" s="2579"/>
      <c r="J130" s="2579"/>
      <c r="K130" s="2579"/>
      <c r="L130" s="2579"/>
      <c r="M130" s="2579"/>
      <c r="N130" s="2579"/>
      <c r="O130" s="2579"/>
    </row>
    <row r="131" spans="1:15" s="2463" customFormat="1" ht="12.75">
      <c r="A131" s="2531"/>
      <c r="B131" s="2533"/>
      <c r="C131" s="2531"/>
      <c r="D131" s="2566"/>
      <c r="E131" s="2566"/>
      <c r="F131" s="2566"/>
      <c r="G131" s="2566"/>
      <c r="H131" s="2566"/>
      <c r="I131" s="2579"/>
      <c r="J131" s="2579"/>
      <c r="K131" s="2579"/>
      <c r="L131" s="2579"/>
      <c r="M131" s="2579"/>
      <c r="N131" s="2579"/>
      <c r="O131" s="2579"/>
    </row>
    <row r="132" spans="1:15" s="2463" customFormat="1" ht="12.75">
      <c r="A132" s="2531"/>
      <c r="B132" s="2533"/>
      <c r="C132" s="2531"/>
      <c r="D132" s="2566"/>
      <c r="E132" s="2566"/>
      <c r="F132" s="2566"/>
      <c r="G132" s="2566"/>
      <c r="H132" s="2566"/>
      <c r="I132" s="2579"/>
      <c r="J132" s="2579"/>
      <c r="K132" s="2579"/>
      <c r="L132" s="2579"/>
      <c r="M132" s="2579"/>
      <c r="N132" s="2579"/>
      <c r="O132" s="2579"/>
    </row>
    <row r="133" spans="1:15" s="2463" customFormat="1" ht="12.75">
      <c r="A133" s="2531"/>
      <c r="B133" s="2533"/>
      <c r="C133" s="2531"/>
      <c r="D133" s="2566"/>
      <c r="E133" s="2566"/>
      <c r="F133" s="2566"/>
      <c r="G133" s="2566"/>
      <c r="H133" s="2566"/>
      <c r="I133" s="2579"/>
      <c r="J133" s="2579"/>
      <c r="K133" s="2579"/>
      <c r="L133" s="2579"/>
      <c r="M133" s="2579"/>
      <c r="N133" s="2579"/>
      <c r="O133" s="2579"/>
    </row>
    <row r="134" spans="1:15" s="2463" customFormat="1" ht="12.75">
      <c r="A134" s="4876"/>
      <c r="B134" s="4876"/>
      <c r="C134" s="4876"/>
      <c r="D134" s="4876"/>
      <c r="E134" s="4876"/>
      <c r="F134" s="4876"/>
      <c r="G134" s="4876"/>
      <c r="H134" s="4876"/>
      <c r="I134" s="2579"/>
      <c r="J134" s="2579"/>
      <c r="K134" s="2579"/>
      <c r="L134" s="2579"/>
      <c r="M134" s="2579"/>
      <c r="N134" s="2579"/>
      <c r="O134" s="2579"/>
    </row>
    <row r="135" spans="1:15" s="2463" customFormat="1" ht="12.75">
      <c r="A135" s="4877"/>
      <c r="B135" s="4877"/>
      <c r="C135" s="4877"/>
      <c r="D135" s="4877"/>
      <c r="E135" s="4877"/>
      <c r="F135" s="4877"/>
      <c r="G135" s="4877"/>
      <c r="H135" s="4877"/>
      <c r="I135" s="2579"/>
      <c r="J135" s="2579"/>
      <c r="K135" s="2579"/>
      <c r="L135" s="2579"/>
      <c r="M135" s="2579"/>
      <c r="N135" s="2579"/>
      <c r="O135" s="2579"/>
    </row>
    <row r="136" spans="1:15" s="2463" customFormat="1">
      <c r="A136" s="2529"/>
      <c r="B136" s="2529"/>
      <c r="C136" s="2529"/>
      <c r="D136" s="2529"/>
      <c r="E136" s="2529"/>
      <c r="F136" s="2529"/>
      <c r="G136" s="2529"/>
      <c r="H136" s="2529"/>
      <c r="I136" s="2579"/>
      <c r="J136" s="2579"/>
      <c r="K136" s="2579"/>
      <c r="L136" s="2579"/>
      <c r="M136" s="2579"/>
      <c r="N136" s="2579"/>
      <c r="O136" s="2579"/>
    </row>
    <row r="137" spans="1:15" s="2463" customFormat="1">
      <c r="A137" s="2529"/>
      <c r="B137" s="2529"/>
      <c r="C137" s="2529"/>
      <c r="D137" s="2529"/>
      <c r="E137" s="2529"/>
      <c r="F137" s="2529"/>
      <c r="G137" s="2529"/>
      <c r="H137" s="2529"/>
      <c r="I137" s="2579"/>
      <c r="J137" s="2579"/>
      <c r="K137" s="2579"/>
      <c r="L137" s="2579"/>
      <c r="M137" s="2579"/>
      <c r="N137" s="2579"/>
      <c r="O137" s="2579"/>
    </row>
    <row r="138" spans="1:15" s="2463" customFormat="1">
      <c r="A138" s="2568"/>
      <c r="B138" s="2567"/>
      <c r="C138" s="2529"/>
      <c r="D138" s="2566"/>
      <c r="E138" s="2566"/>
      <c r="F138" s="2566"/>
      <c r="G138" s="2566"/>
      <c r="H138" s="2566"/>
      <c r="I138" s="2579"/>
      <c r="J138" s="2579"/>
      <c r="K138" s="2579"/>
      <c r="L138" s="2579"/>
      <c r="M138" s="2579"/>
      <c r="N138" s="2579"/>
      <c r="O138" s="2579"/>
    </row>
    <row r="139" spans="1:15" s="2463" customFormat="1" ht="12.75">
      <c r="A139" s="1269"/>
      <c r="B139" s="1269"/>
      <c r="C139" s="2542"/>
      <c r="D139" s="2541"/>
      <c r="E139" s="2561"/>
      <c r="F139" s="2540"/>
      <c r="G139" s="2565"/>
      <c r="H139" s="2561"/>
      <c r="I139" s="2579"/>
      <c r="J139" s="2579"/>
      <c r="K139" s="2579"/>
      <c r="L139" s="2579"/>
      <c r="M139" s="2579"/>
      <c r="N139" s="2579"/>
      <c r="O139" s="2579"/>
    </row>
    <row r="140" spans="1:15" s="2463" customFormat="1" ht="23.25">
      <c r="A140" s="2564"/>
      <c r="B140" s="2564"/>
      <c r="C140" s="2563"/>
      <c r="D140" s="2541"/>
      <c r="E140" s="2561"/>
      <c r="F140" s="2540"/>
      <c r="G140" s="2562"/>
      <c r="H140" s="2561"/>
      <c r="I140" s="2579"/>
      <c r="J140" s="2579"/>
      <c r="K140" s="2579"/>
      <c r="L140" s="2579"/>
      <c r="M140" s="2579"/>
      <c r="N140" s="2579"/>
      <c r="O140" s="2579"/>
    </row>
    <row r="141" spans="1:15" s="2463" customFormat="1" ht="12.75">
      <c r="A141" s="4879"/>
      <c r="B141" s="4879"/>
      <c r="C141" s="2559"/>
      <c r="D141" s="2560"/>
      <c r="E141" s="4880"/>
      <c r="F141" s="4880"/>
      <c r="G141" s="4880"/>
      <c r="H141" s="2557"/>
      <c r="I141" s="2579"/>
      <c r="J141" s="2579"/>
      <c r="K141" s="2579"/>
      <c r="L141" s="2579"/>
      <c r="M141" s="2579"/>
      <c r="N141" s="2579"/>
      <c r="O141" s="2579"/>
    </row>
    <row r="142" spans="1:15" s="2463" customFormat="1" ht="12.75">
      <c r="A142" s="4879"/>
      <c r="B142" s="4879"/>
      <c r="C142" s="2559"/>
      <c r="D142" s="2558"/>
      <c r="E142" s="2558"/>
      <c r="F142" s="2558"/>
      <c r="G142" s="2558"/>
      <c r="H142" s="2558"/>
      <c r="I142" s="2579"/>
      <c r="J142" s="2579"/>
      <c r="K142" s="2579"/>
      <c r="L142" s="2579"/>
      <c r="M142" s="2579"/>
      <c r="N142" s="2579"/>
      <c r="O142" s="2579"/>
    </row>
    <row r="143" spans="1:15" s="2463" customFormat="1" ht="12.75">
      <c r="A143" s="4879"/>
      <c r="B143" s="4879"/>
      <c r="C143" s="2557"/>
      <c r="D143" s="2555"/>
      <c r="E143" s="2555"/>
      <c r="F143" s="2555"/>
      <c r="G143" s="2556"/>
      <c r="H143" s="2555"/>
      <c r="I143" s="2579"/>
      <c r="J143" s="2579"/>
      <c r="K143" s="2579"/>
      <c r="L143" s="2579"/>
      <c r="M143" s="2579"/>
      <c r="N143" s="2579"/>
      <c r="O143" s="2579"/>
    </row>
    <row r="144" spans="1:15" s="2463" customFormat="1" ht="12.75">
      <c r="A144" s="2554"/>
      <c r="B144" s="2553"/>
      <c r="C144" s="2552"/>
      <c r="D144" s="2551"/>
      <c r="E144" s="2551"/>
      <c r="F144" s="2551"/>
      <c r="G144" s="2551"/>
      <c r="H144" s="2551"/>
      <c r="I144" s="2579"/>
      <c r="J144" s="2579"/>
      <c r="K144" s="2579"/>
      <c r="L144" s="2579"/>
      <c r="M144" s="2579"/>
      <c r="N144" s="2579"/>
      <c r="O144" s="2579"/>
    </row>
    <row r="145" spans="1:15" s="2463" customFormat="1" ht="12.75">
      <c r="A145" s="2549"/>
      <c r="B145" s="2549"/>
      <c r="C145" s="2545"/>
      <c r="D145" s="2548"/>
      <c r="E145" s="2548"/>
      <c r="F145" s="2540"/>
      <c r="G145" s="2548"/>
      <c r="H145" s="2548"/>
      <c r="I145" s="2579"/>
      <c r="J145" s="2579"/>
      <c r="K145" s="2579"/>
      <c r="L145" s="2579"/>
      <c r="M145" s="2579"/>
      <c r="N145" s="2579"/>
      <c r="O145" s="2579"/>
    </row>
    <row r="146" spans="1:15" s="2463" customFormat="1" ht="12.75">
      <c r="A146" s="2549"/>
      <c r="B146" s="2549"/>
      <c r="C146" s="2545"/>
      <c r="D146" s="2548"/>
      <c r="E146" s="2548"/>
      <c r="F146" s="2540"/>
      <c r="G146" s="2548"/>
      <c r="H146" s="2548"/>
      <c r="I146" s="2579"/>
      <c r="J146" s="2579"/>
      <c r="K146" s="2579"/>
      <c r="L146" s="2579"/>
      <c r="M146" s="2579"/>
      <c r="N146" s="2579"/>
      <c r="O146" s="2579"/>
    </row>
    <row r="147" spans="1:15" s="2463" customFormat="1" ht="12.75">
      <c r="A147" s="2546"/>
      <c r="B147" s="1269"/>
      <c r="C147" s="2545"/>
      <c r="D147" s="2541"/>
      <c r="E147" s="2544"/>
      <c r="F147" s="2540"/>
      <c r="G147" s="2544"/>
      <c r="H147" s="2544"/>
      <c r="I147" s="2579"/>
      <c r="J147" s="2579"/>
      <c r="K147" s="2579"/>
      <c r="L147" s="2579"/>
      <c r="M147" s="2579"/>
      <c r="N147" s="2579"/>
      <c r="O147" s="2579"/>
    </row>
    <row r="148" spans="1:15" s="2463" customFormat="1" ht="12.75">
      <c r="A148" s="2549"/>
      <c r="B148" s="2549"/>
      <c r="C148" s="2545"/>
      <c r="D148" s="2541"/>
      <c r="E148" s="2544"/>
      <c r="F148" s="2540"/>
      <c r="G148" s="2544"/>
      <c r="H148" s="2544"/>
      <c r="I148" s="2579"/>
      <c r="J148" s="2579"/>
      <c r="K148" s="2579"/>
      <c r="L148" s="2579"/>
      <c r="M148" s="2579"/>
      <c r="N148" s="2579"/>
      <c r="O148" s="2579"/>
    </row>
    <row r="149" spans="1:15" s="2463" customFormat="1" ht="12.75">
      <c r="A149" s="2546"/>
      <c r="B149" s="1269"/>
      <c r="C149" s="2542"/>
      <c r="D149" s="2541"/>
      <c r="E149" s="2544"/>
      <c r="F149" s="2540"/>
      <c r="G149" s="2544"/>
      <c r="H149" s="2544"/>
      <c r="I149" s="2579"/>
      <c r="J149" s="2579"/>
      <c r="K149" s="2579"/>
      <c r="L149" s="2579"/>
      <c r="M149" s="2579"/>
      <c r="N149" s="2579"/>
      <c r="O149" s="2579"/>
    </row>
    <row r="150" spans="1:15" s="2463" customFormat="1" ht="12.75">
      <c r="A150" s="2549"/>
      <c r="B150" s="2549"/>
      <c r="C150" s="2542"/>
      <c r="D150" s="2541"/>
      <c r="E150" s="2544"/>
      <c r="F150" s="2540"/>
      <c r="G150" s="2544"/>
      <c r="H150" s="2544"/>
      <c r="I150" s="2579"/>
      <c r="J150" s="2579"/>
      <c r="K150" s="2579"/>
      <c r="L150" s="2579"/>
      <c r="M150" s="2579"/>
      <c r="N150" s="2579"/>
      <c r="O150" s="2579"/>
    </row>
    <row r="151" spans="1:15" s="2463" customFormat="1" ht="12.75">
      <c r="A151" s="2547"/>
      <c r="B151" s="2546"/>
      <c r="C151" s="2545"/>
      <c r="D151" s="2541"/>
      <c r="E151" s="2544"/>
      <c r="F151" s="2540"/>
      <c r="G151" s="2544"/>
      <c r="H151" s="2544"/>
      <c r="I151" s="2579"/>
      <c r="J151" s="2579"/>
      <c r="K151" s="2579"/>
      <c r="L151" s="2579"/>
      <c r="M151" s="2579"/>
      <c r="N151" s="2579"/>
      <c r="O151" s="2579"/>
    </row>
    <row r="152" spans="1:15" s="2463" customFormat="1" ht="12.75">
      <c r="A152" s="2543"/>
      <c r="B152" s="2543"/>
      <c r="C152" s="2542"/>
      <c r="D152" s="2541"/>
      <c r="E152" s="2539"/>
      <c r="F152" s="2540"/>
      <c r="G152" s="2539"/>
      <c r="H152" s="2539"/>
      <c r="I152" s="2579"/>
      <c r="J152" s="2579"/>
      <c r="K152" s="2579"/>
      <c r="L152" s="2579"/>
      <c r="M152" s="2579"/>
      <c r="N152" s="2579"/>
      <c r="O152" s="2579"/>
    </row>
    <row r="153" spans="1:15" s="2463" customFormat="1" ht="12.75">
      <c r="A153" s="2538"/>
      <c r="B153" s="2538"/>
      <c r="C153" s="2537"/>
      <c r="D153" s="2536"/>
      <c r="E153" s="2536"/>
      <c r="F153" s="2536"/>
      <c r="G153" s="2536"/>
      <c r="H153" s="2536"/>
      <c r="I153" s="2579"/>
      <c r="J153" s="2579"/>
      <c r="K153" s="2579"/>
      <c r="L153" s="2579"/>
      <c r="M153" s="2579"/>
      <c r="N153" s="2579"/>
      <c r="O153" s="2579"/>
    </row>
    <row r="154" spans="1:15" s="2532" customFormat="1" ht="12.75">
      <c r="A154" s="2538"/>
      <c r="B154" s="2538"/>
      <c r="C154" s="2537"/>
      <c r="D154" s="2536"/>
      <c r="E154" s="2536"/>
      <c r="F154" s="2536"/>
      <c r="G154" s="2536"/>
      <c r="H154" s="2536"/>
    </row>
    <row r="155" spans="1:15" s="2532" customFormat="1">
      <c r="A155" s="1269"/>
      <c r="B155" s="2529"/>
      <c r="C155" s="2535"/>
      <c r="D155" s="2529"/>
      <c r="E155" s="4877"/>
      <c r="F155" s="4877"/>
      <c r="G155" s="1269"/>
      <c r="H155" s="2529"/>
    </row>
    <row r="156" spans="1:15" s="2532" customFormat="1">
      <c r="A156" s="2529"/>
      <c r="B156" s="1269"/>
      <c r="C156" s="2535"/>
      <c r="D156" s="1269"/>
      <c r="E156" s="1269"/>
      <c r="F156" s="1269"/>
      <c r="G156" s="1269"/>
      <c r="H156" s="2529"/>
    </row>
    <row r="157" spans="1:15" s="2532" customFormat="1" ht="12.75">
      <c r="A157" s="2534"/>
      <c r="B157" s="1269"/>
      <c r="C157" s="4881"/>
      <c r="D157" s="4881"/>
      <c r="E157" s="4876"/>
      <c r="F157" s="4876"/>
      <c r="G157" s="4876"/>
      <c r="H157" s="4876"/>
    </row>
    <row r="158" spans="1:15" s="2532" customFormat="1" ht="12.75">
      <c r="A158" s="2531"/>
      <c r="B158" s="2533"/>
      <c r="C158" s="4874"/>
      <c r="D158" s="4874"/>
      <c r="E158" s="4875"/>
      <c r="F158" s="4875"/>
      <c r="G158" s="4875"/>
      <c r="H158" s="4875"/>
    </row>
    <row r="159" spans="1:15" s="2532" customFormat="1" ht="12.75">
      <c r="A159" s="2531"/>
      <c r="B159" s="2533"/>
      <c r="C159" s="2531"/>
      <c r="D159" s="2566"/>
      <c r="E159" s="2566"/>
      <c r="F159" s="2566"/>
      <c r="G159" s="2566"/>
      <c r="H159" s="2566"/>
    </row>
    <row r="160" spans="1:15" s="2532" customFormat="1" ht="12.75">
      <c r="A160" s="2531"/>
      <c r="B160" s="2533"/>
      <c r="C160" s="2531"/>
      <c r="D160" s="2566"/>
      <c r="E160" s="2566"/>
      <c r="F160" s="2566"/>
      <c r="G160" s="2566"/>
      <c r="H160" s="2566"/>
    </row>
    <row r="161" spans="1:15" s="2532" customFormat="1" ht="12.75">
      <c r="A161" s="2531"/>
      <c r="B161" s="2533"/>
      <c r="C161" s="2531"/>
      <c r="D161" s="2566"/>
      <c r="E161" s="2566"/>
      <c r="F161" s="2566"/>
      <c r="G161" s="2566"/>
      <c r="H161" s="2566"/>
    </row>
    <row r="162" spans="1:15" s="2463" customFormat="1" ht="12.75">
      <c r="A162" s="2531"/>
      <c r="B162" s="2533"/>
      <c r="C162" s="2531"/>
      <c r="D162" s="2566"/>
      <c r="E162" s="2566"/>
      <c r="F162" s="2566"/>
      <c r="G162" s="2566"/>
      <c r="H162" s="2566"/>
      <c r="I162" s="2579"/>
      <c r="J162" s="2579"/>
      <c r="K162" s="2579"/>
      <c r="L162" s="2579"/>
      <c r="M162" s="2579"/>
      <c r="N162" s="2579"/>
      <c r="O162" s="2579"/>
    </row>
    <row r="163" spans="1:15" s="2463" customFormat="1" ht="12.75">
      <c r="A163" s="2531"/>
      <c r="B163" s="2533"/>
      <c r="C163" s="2531"/>
      <c r="D163" s="2566"/>
      <c r="E163" s="2566"/>
      <c r="F163" s="2566"/>
      <c r="G163" s="2566"/>
      <c r="H163" s="2566"/>
      <c r="I163" s="2579"/>
      <c r="J163" s="2579"/>
      <c r="K163" s="2579"/>
      <c r="L163" s="2579"/>
      <c r="M163" s="2579"/>
      <c r="N163" s="2579"/>
      <c r="O163" s="2579"/>
    </row>
    <row r="164" spans="1:15" s="2463" customFormat="1" ht="12.75">
      <c r="A164" s="2531"/>
      <c r="B164" s="2533"/>
      <c r="C164" s="2531"/>
      <c r="D164" s="2566"/>
      <c r="E164" s="2566"/>
      <c r="F164" s="2566"/>
      <c r="G164" s="2566"/>
      <c r="H164" s="2566"/>
      <c r="I164" s="2579"/>
      <c r="J164" s="2579"/>
      <c r="K164" s="2579"/>
      <c r="L164" s="2579"/>
      <c r="M164" s="2579"/>
      <c r="N164" s="2579"/>
      <c r="O164" s="2579"/>
    </row>
    <row r="165" spans="1:15" s="2463" customFormat="1" ht="12.75">
      <c r="A165" s="2531"/>
      <c r="B165" s="2533"/>
      <c r="C165" s="2531"/>
      <c r="D165" s="2566"/>
      <c r="E165" s="2566"/>
      <c r="F165" s="2566"/>
      <c r="G165" s="2566"/>
      <c r="H165" s="2566"/>
      <c r="I165" s="2579"/>
      <c r="J165" s="2579"/>
      <c r="K165" s="2579"/>
      <c r="L165" s="2579"/>
      <c r="M165" s="2579"/>
      <c r="N165" s="2579"/>
      <c r="O165" s="2579"/>
    </row>
    <row r="166" spans="1:15" s="2463" customFormat="1" ht="12.75">
      <c r="A166" s="2531"/>
      <c r="B166" s="2533"/>
      <c r="C166" s="2531"/>
      <c r="D166" s="2566"/>
      <c r="E166" s="2566"/>
      <c r="F166" s="2566"/>
      <c r="G166" s="2566"/>
      <c r="H166" s="2566"/>
      <c r="I166" s="2579"/>
      <c r="J166" s="2579"/>
      <c r="K166" s="2579"/>
      <c r="L166" s="2579"/>
      <c r="M166" s="2579"/>
      <c r="N166" s="2579"/>
      <c r="O166" s="2579"/>
    </row>
    <row r="167" spans="1:15" s="2463" customFormat="1" ht="12.75">
      <c r="A167" s="2531"/>
      <c r="B167" s="2533"/>
      <c r="C167" s="2531"/>
      <c r="D167" s="2566"/>
      <c r="E167" s="2566"/>
      <c r="F167" s="2566"/>
      <c r="G167" s="2566"/>
      <c r="H167" s="2566"/>
      <c r="I167" s="2579"/>
      <c r="J167" s="2579"/>
      <c r="K167" s="2579"/>
      <c r="L167" s="2579"/>
      <c r="M167" s="2579"/>
      <c r="N167" s="2579"/>
      <c r="O167" s="2579"/>
    </row>
    <row r="168" spans="1:15" s="2463" customFormat="1" ht="12.75">
      <c r="A168" s="2531"/>
      <c r="B168" s="2533"/>
      <c r="C168" s="2531"/>
      <c r="D168" s="2566"/>
      <c r="E168" s="2566"/>
      <c r="F168" s="2566"/>
      <c r="G168" s="2566"/>
      <c r="H168" s="2566"/>
      <c r="I168" s="2579"/>
      <c r="J168" s="2579"/>
      <c r="K168" s="2579"/>
      <c r="L168" s="2579"/>
      <c r="M168" s="2579"/>
      <c r="N168" s="2579"/>
      <c r="O168" s="2579"/>
    </row>
    <row r="169" spans="1:15" s="2463" customFormat="1" ht="12.75">
      <c r="A169" s="2531"/>
      <c r="B169" s="2533"/>
      <c r="C169" s="2531"/>
      <c r="D169" s="2566"/>
      <c r="E169" s="2566"/>
      <c r="F169" s="2566"/>
      <c r="G169" s="2566"/>
      <c r="H169" s="2566"/>
      <c r="I169" s="2579"/>
      <c r="J169" s="2579"/>
      <c r="K169" s="2579"/>
      <c r="L169" s="2579"/>
      <c r="M169" s="2579"/>
      <c r="N169" s="2579"/>
      <c r="O169" s="2579"/>
    </row>
    <row r="170" spans="1:15" s="2463" customFormat="1" ht="12.75">
      <c r="A170" s="2531"/>
      <c r="B170" s="2533"/>
      <c r="C170" s="2531"/>
      <c r="D170" s="2566"/>
      <c r="E170" s="2566"/>
      <c r="F170" s="2566"/>
      <c r="G170" s="2566"/>
      <c r="H170" s="2566"/>
      <c r="I170" s="2579"/>
      <c r="J170" s="2579"/>
      <c r="K170" s="2579"/>
      <c r="L170" s="2579"/>
      <c r="M170" s="2579"/>
      <c r="N170" s="2579"/>
      <c r="O170" s="2579"/>
    </row>
    <row r="171" spans="1:15" s="2463" customFormat="1" ht="12.75">
      <c r="A171" s="2531"/>
      <c r="B171" s="2533"/>
      <c r="C171" s="2531"/>
      <c r="D171" s="2566"/>
      <c r="E171" s="2566"/>
      <c r="F171" s="2566"/>
      <c r="G171" s="2566"/>
      <c r="H171" s="2566"/>
      <c r="I171" s="2579"/>
      <c r="J171" s="2579"/>
      <c r="K171" s="2579"/>
      <c r="L171" s="2579"/>
      <c r="M171" s="2579"/>
      <c r="N171" s="2579"/>
      <c r="O171" s="2579"/>
    </row>
    <row r="172" spans="1:15" s="2463" customFormat="1" ht="12.75">
      <c r="A172" s="2531"/>
      <c r="B172" s="2533"/>
      <c r="C172" s="2531"/>
      <c r="D172" s="2566"/>
      <c r="E172" s="2566"/>
      <c r="F172" s="2566"/>
      <c r="G172" s="2566"/>
      <c r="H172" s="2566"/>
      <c r="I172" s="2579"/>
      <c r="J172" s="2579"/>
      <c r="K172" s="2579"/>
      <c r="L172" s="2579"/>
      <c r="M172" s="2579"/>
      <c r="N172" s="2579"/>
      <c r="O172" s="2579"/>
    </row>
    <row r="173" spans="1:15" s="2463" customFormat="1" ht="12.75">
      <c r="A173" s="2531"/>
      <c r="B173" s="2533"/>
      <c r="C173" s="2531"/>
      <c r="D173" s="2566"/>
      <c r="E173" s="2566"/>
      <c r="F173" s="2566"/>
      <c r="G173" s="2566"/>
      <c r="H173" s="2566"/>
      <c r="I173" s="2579"/>
      <c r="J173" s="2579"/>
      <c r="K173" s="2579"/>
      <c r="L173" s="2579"/>
      <c r="M173" s="2579"/>
      <c r="N173" s="2579"/>
      <c r="O173" s="2579"/>
    </row>
    <row r="174" spans="1:15" s="2463" customFormat="1" ht="12.75">
      <c r="A174" s="2531"/>
      <c r="B174" s="2533"/>
      <c r="C174" s="2531"/>
      <c r="D174" s="2566"/>
      <c r="E174" s="2566"/>
      <c r="F174" s="2566"/>
      <c r="G174" s="2566"/>
      <c r="H174" s="2566"/>
      <c r="I174" s="2579"/>
      <c r="J174" s="2579"/>
      <c r="K174" s="2579"/>
      <c r="L174" s="2579"/>
      <c r="M174" s="2579"/>
      <c r="N174" s="2579"/>
      <c r="O174" s="2579"/>
    </row>
    <row r="175" spans="1:15" s="2463" customFormat="1" ht="12.75">
      <c r="A175" s="4876"/>
      <c r="B175" s="4876"/>
      <c r="C175" s="4876"/>
      <c r="D175" s="4876"/>
      <c r="E175" s="4876"/>
      <c r="F175" s="4876"/>
      <c r="G175" s="4876"/>
      <c r="H175" s="4876"/>
      <c r="I175" s="2579"/>
      <c r="J175" s="2579"/>
      <c r="K175" s="2579"/>
      <c r="L175" s="2579"/>
      <c r="M175" s="2579"/>
      <c r="N175" s="2579"/>
      <c r="O175" s="2579"/>
    </row>
    <row r="176" spans="1:15" s="2463" customFormat="1" ht="12.75">
      <c r="A176" s="4877"/>
      <c r="B176" s="4877"/>
      <c r="C176" s="4877"/>
      <c r="D176" s="4877"/>
      <c r="E176" s="4877"/>
      <c r="F176" s="4877"/>
      <c r="G176" s="4877"/>
      <c r="H176" s="4877"/>
      <c r="I176" s="2579"/>
      <c r="J176" s="2579"/>
      <c r="K176" s="2579"/>
      <c r="L176" s="2579"/>
      <c r="M176" s="2579"/>
      <c r="N176" s="2579"/>
      <c r="O176" s="2579"/>
    </row>
    <row r="177" spans="1:15" s="2463" customFormat="1">
      <c r="A177" s="2529"/>
      <c r="B177" s="2529"/>
      <c r="C177" s="2529"/>
      <c r="D177" s="2529"/>
      <c r="E177" s="2529"/>
      <c r="F177" s="2529"/>
      <c r="G177" s="2529"/>
      <c r="H177" s="2529"/>
      <c r="I177" s="2579"/>
      <c r="J177" s="2579"/>
      <c r="K177" s="2579"/>
      <c r="L177" s="2579"/>
      <c r="M177" s="2579"/>
      <c r="N177" s="2579"/>
      <c r="O177" s="2579"/>
    </row>
    <row r="178" spans="1:15" s="2463" customFormat="1">
      <c r="A178" s="2529"/>
      <c r="B178" s="2529"/>
      <c r="C178" s="2529"/>
      <c r="D178" s="2529"/>
      <c r="E178" s="2529"/>
      <c r="F178" s="2529"/>
      <c r="G178" s="2529"/>
      <c r="H178" s="2529"/>
      <c r="I178" s="2579"/>
      <c r="J178" s="2579"/>
      <c r="K178" s="2579"/>
      <c r="L178" s="2579"/>
      <c r="M178" s="2579"/>
      <c r="N178" s="2579"/>
      <c r="O178" s="2579"/>
    </row>
    <row r="179" spans="1:15" s="2463" customFormat="1">
      <c r="A179" s="2529"/>
      <c r="B179" s="2529"/>
      <c r="C179" s="2529"/>
      <c r="D179" s="2529"/>
      <c r="E179" s="2529"/>
      <c r="F179" s="2529"/>
      <c r="G179" s="2529"/>
      <c r="H179" s="2529"/>
      <c r="I179" s="2579"/>
      <c r="J179" s="2579"/>
      <c r="K179" s="2579"/>
      <c r="L179" s="2579"/>
      <c r="M179" s="2579"/>
      <c r="N179" s="2579"/>
      <c r="O179" s="2579"/>
    </row>
    <row r="180" spans="1:15" s="2463" customFormat="1">
      <c r="A180" s="2568"/>
      <c r="B180" s="2567"/>
      <c r="C180" s="2529"/>
      <c r="D180" s="2566"/>
      <c r="E180" s="2566"/>
      <c r="F180" s="2566"/>
      <c r="G180" s="2566"/>
      <c r="H180" s="2566"/>
      <c r="I180" s="2579"/>
      <c r="J180" s="2579"/>
      <c r="K180" s="2579"/>
      <c r="L180" s="2579"/>
      <c r="M180" s="2579"/>
      <c r="N180" s="2579"/>
      <c r="O180" s="2579"/>
    </row>
    <row r="181" spans="1:15" s="2463" customFormat="1" ht="12.75">
      <c r="A181" s="1269"/>
      <c r="B181" s="1269"/>
      <c r="C181" s="2542"/>
      <c r="D181" s="2541"/>
      <c r="E181" s="2561"/>
      <c r="F181" s="2540"/>
      <c r="G181" s="2565"/>
      <c r="H181" s="2561"/>
      <c r="I181" s="2579"/>
      <c r="J181" s="2579"/>
      <c r="K181" s="2579"/>
      <c r="L181" s="2579"/>
      <c r="M181" s="2579"/>
      <c r="N181" s="2579"/>
      <c r="O181" s="2579"/>
    </row>
    <row r="182" spans="1:15" s="2463" customFormat="1" ht="23.25">
      <c r="A182" s="2564"/>
      <c r="B182" s="2564"/>
      <c r="C182" s="2563"/>
      <c r="D182" s="2570"/>
      <c r="E182" s="2569"/>
      <c r="F182" s="2540"/>
      <c r="G182" s="2562"/>
      <c r="H182" s="2561"/>
      <c r="I182" s="2579"/>
      <c r="J182" s="2579"/>
      <c r="K182" s="2579"/>
      <c r="L182" s="2579"/>
      <c r="M182" s="2579"/>
      <c r="N182" s="2579"/>
      <c r="O182" s="2579"/>
    </row>
    <row r="183" spans="1:15" s="2463" customFormat="1" ht="12.75">
      <c r="A183" s="4879"/>
      <c r="B183" s="4879"/>
      <c r="C183" s="2559"/>
      <c r="D183" s="2560"/>
      <c r="E183" s="4880"/>
      <c r="F183" s="4880"/>
      <c r="G183" s="4880"/>
      <c r="H183" s="2557"/>
      <c r="I183" s="2579"/>
      <c r="J183" s="2579"/>
      <c r="K183" s="2579"/>
      <c r="L183" s="2579"/>
      <c r="M183" s="2579"/>
      <c r="N183" s="2579"/>
      <c r="O183" s="2579"/>
    </row>
    <row r="184" spans="1:15" s="2463" customFormat="1" ht="12.75">
      <c r="A184" s="4879"/>
      <c r="B184" s="4879"/>
      <c r="C184" s="2559"/>
      <c r="D184" s="2558"/>
      <c r="E184" s="2558"/>
      <c r="F184" s="2558"/>
      <c r="G184" s="2558"/>
      <c r="H184" s="2558"/>
      <c r="I184" s="2579"/>
      <c r="J184" s="2579"/>
      <c r="K184" s="2579"/>
      <c r="L184" s="2579"/>
      <c r="M184" s="2579"/>
      <c r="N184" s="2579"/>
      <c r="O184" s="2579"/>
    </row>
    <row r="185" spans="1:15" s="2463" customFormat="1" ht="12.75">
      <c r="A185" s="4879"/>
      <c r="B185" s="4879"/>
      <c r="C185" s="2557"/>
      <c r="D185" s="2555"/>
      <c r="E185" s="2555"/>
      <c r="F185" s="2555"/>
      <c r="G185" s="2556"/>
      <c r="H185" s="2555"/>
      <c r="I185" s="2579"/>
      <c r="J185" s="2579"/>
      <c r="K185" s="2579"/>
      <c r="L185" s="2579"/>
      <c r="M185" s="2579"/>
      <c r="N185" s="2579"/>
      <c r="O185" s="2579"/>
    </row>
    <row r="186" spans="1:15" s="2463" customFormat="1" ht="12.75">
      <c r="A186" s="2554"/>
      <c r="B186" s="2553"/>
      <c r="C186" s="2552"/>
      <c r="D186" s="2551"/>
      <c r="E186" s="2551"/>
      <c r="F186" s="2551"/>
      <c r="G186" s="2551"/>
      <c r="H186" s="2551"/>
      <c r="I186" s="2579"/>
      <c r="J186" s="2579"/>
      <c r="K186" s="2579"/>
      <c r="L186" s="2579"/>
      <c r="M186" s="2579"/>
      <c r="N186" s="2579"/>
      <c r="O186" s="2579"/>
    </row>
    <row r="187" spans="1:15" s="2463" customFormat="1" ht="12.75">
      <c r="A187" s="2549"/>
      <c r="B187" s="2549"/>
      <c r="C187" s="2545"/>
      <c r="D187" s="2548"/>
      <c r="E187" s="2548"/>
      <c r="F187" s="2540"/>
      <c r="G187" s="2548"/>
      <c r="H187" s="2548"/>
      <c r="I187" s="2579"/>
      <c r="J187" s="2579"/>
      <c r="K187" s="2579"/>
      <c r="L187" s="2579"/>
      <c r="M187" s="2579"/>
      <c r="N187" s="2579"/>
      <c r="O187" s="2579"/>
    </row>
    <row r="188" spans="1:15" s="2463" customFormat="1" ht="12.75">
      <c r="A188" s="2549"/>
      <c r="B188" s="2549"/>
      <c r="C188" s="2545"/>
      <c r="D188" s="2548"/>
      <c r="E188" s="2548"/>
      <c r="F188" s="2540"/>
      <c r="G188" s="2548"/>
      <c r="H188" s="2548"/>
      <c r="I188" s="2579"/>
      <c r="J188" s="2579"/>
      <c r="K188" s="2579"/>
      <c r="L188" s="2579"/>
      <c r="M188" s="2579"/>
      <c r="N188" s="2579"/>
      <c r="O188" s="2579"/>
    </row>
    <row r="189" spans="1:15" s="2463" customFormat="1" ht="12.75">
      <c r="A189" s="2546"/>
      <c r="B189" s="1269"/>
      <c r="C189" s="2545"/>
      <c r="D189" s="2541"/>
      <c r="E189" s="2544"/>
      <c r="F189" s="2540"/>
      <c r="G189" s="2544"/>
      <c r="H189" s="2544"/>
      <c r="I189" s="2579"/>
      <c r="J189" s="2579"/>
      <c r="K189" s="2579"/>
      <c r="L189" s="2579"/>
      <c r="M189" s="2579"/>
      <c r="N189" s="2579"/>
      <c r="O189" s="2579"/>
    </row>
    <row r="190" spans="1:15" s="2463" customFormat="1" ht="12.75">
      <c r="A190" s="2549"/>
      <c r="B190" s="2549"/>
      <c r="C190" s="2545"/>
      <c r="D190" s="2541"/>
      <c r="E190" s="2544"/>
      <c r="F190" s="2540"/>
      <c r="G190" s="2544"/>
      <c r="H190" s="2544"/>
      <c r="I190" s="2579"/>
      <c r="J190" s="2579"/>
      <c r="K190" s="2579"/>
      <c r="L190" s="2579"/>
      <c r="M190" s="2579"/>
      <c r="N190" s="2579"/>
      <c r="O190" s="2579"/>
    </row>
    <row r="191" spans="1:15" s="2463" customFormat="1" ht="12.75">
      <c r="A191" s="2546"/>
      <c r="B191" s="1269"/>
      <c r="C191" s="2545"/>
      <c r="D191" s="2541"/>
      <c r="E191" s="2544"/>
      <c r="F191" s="2540"/>
      <c r="G191" s="2544"/>
      <c r="H191" s="2544"/>
      <c r="I191" s="2579"/>
      <c r="J191" s="2579"/>
      <c r="K191" s="2579"/>
      <c r="L191" s="2579"/>
      <c r="M191" s="2579"/>
      <c r="N191" s="2579"/>
      <c r="O191" s="2579"/>
    </row>
    <row r="192" spans="1:15" s="2463" customFormat="1" ht="12.75">
      <c r="A192" s="2547"/>
      <c r="B192" s="2546"/>
      <c r="C192" s="2545"/>
      <c r="D192" s="2541"/>
      <c r="E192" s="2544"/>
      <c r="F192" s="2540"/>
      <c r="G192" s="2544"/>
      <c r="H192" s="2544"/>
      <c r="I192" s="2579"/>
      <c r="J192" s="2579"/>
      <c r="K192" s="2579"/>
      <c r="L192" s="2579"/>
      <c r="M192" s="2579"/>
      <c r="N192" s="2579"/>
      <c r="O192" s="2579"/>
    </row>
    <row r="193" spans="1:15" s="2463" customFormat="1" ht="12.75">
      <c r="A193" s="2543"/>
      <c r="B193" s="2543"/>
      <c r="C193" s="2542"/>
      <c r="D193" s="2541"/>
      <c r="E193" s="2539"/>
      <c r="F193" s="2540"/>
      <c r="G193" s="2539"/>
      <c r="H193" s="2539"/>
      <c r="I193" s="2579"/>
      <c r="J193" s="2579"/>
      <c r="K193" s="2579"/>
      <c r="L193" s="2579"/>
      <c r="M193" s="2579"/>
      <c r="N193" s="2579"/>
      <c r="O193" s="2579"/>
    </row>
    <row r="194" spans="1:15" s="2463" customFormat="1" ht="12.75">
      <c r="A194" s="2538"/>
      <c r="B194" s="2538"/>
      <c r="C194" s="2537"/>
      <c r="D194" s="2536"/>
      <c r="E194" s="2536"/>
      <c r="F194" s="2536"/>
      <c r="G194" s="2536"/>
      <c r="H194" s="2536"/>
      <c r="I194" s="2579"/>
      <c r="J194" s="2579"/>
      <c r="K194" s="2579"/>
      <c r="L194" s="2579"/>
      <c r="M194" s="2579"/>
      <c r="N194" s="2579"/>
      <c r="O194" s="2579"/>
    </row>
    <row r="195" spans="1:15" s="2463" customFormat="1" ht="12.75">
      <c r="A195" s="2538"/>
      <c r="B195" s="2538"/>
      <c r="C195" s="2537"/>
      <c r="D195" s="2536"/>
      <c r="E195" s="2536"/>
      <c r="F195" s="2536"/>
      <c r="G195" s="2536"/>
      <c r="H195" s="2536"/>
      <c r="I195" s="2579"/>
      <c r="J195" s="2579"/>
      <c r="K195" s="2579"/>
      <c r="L195" s="2579"/>
      <c r="M195" s="2579"/>
      <c r="N195" s="2579"/>
      <c r="O195" s="2579"/>
    </row>
    <row r="196" spans="1:15" s="2463" customFormat="1">
      <c r="A196" s="1269"/>
      <c r="B196" s="2529"/>
      <c r="C196" s="2535"/>
      <c r="D196" s="2529"/>
      <c r="E196" s="4877"/>
      <c r="F196" s="4877"/>
      <c r="G196" s="1269"/>
      <c r="H196" s="2529"/>
      <c r="I196" s="2579"/>
      <c r="J196" s="2579"/>
      <c r="K196" s="2579"/>
      <c r="L196" s="2579"/>
      <c r="M196" s="2579"/>
      <c r="N196" s="2579"/>
      <c r="O196" s="2579"/>
    </row>
    <row r="197" spans="1:15" s="2463" customFormat="1">
      <c r="A197" s="2529"/>
      <c r="B197" s="1269"/>
      <c r="C197" s="2535"/>
      <c r="D197" s="1269"/>
      <c r="E197" s="1269"/>
      <c r="F197" s="1269"/>
      <c r="G197" s="1269"/>
      <c r="H197" s="2529"/>
      <c r="I197" s="2579"/>
      <c r="J197" s="2579"/>
      <c r="K197" s="2579"/>
      <c r="L197" s="2579"/>
      <c r="M197" s="2579"/>
      <c r="N197" s="2579"/>
      <c r="O197" s="2579"/>
    </row>
    <row r="198" spans="1:15" s="2463" customFormat="1" ht="12.75">
      <c r="A198" s="2534"/>
      <c r="B198" s="1269"/>
      <c r="C198" s="4881"/>
      <c r="D198" s="4881"/>
      <c r="E198" s="4876"/>
      <c r="F198" s="4876"/>
      <c r="G198" s="4876"/>
      <c r="H198" s="4876"/>
      <c r="I198" s="2579"/>
      <c r="J198" s="2579"/>
      <c r="K198" s="2579"/>
      <c r="L198" s="2579"/>
      <c r="M198" s="2579"/>
      <c r="N198" s="2579"/>
      <c r="O198" s="2579"/>
    </row>
    <row r="199" spans="1:15" s="2463" customFormat="1" ht="12.75">
      <c r="A199" s="2531"/>
      <c r="B199" s="2533"/>
      <c r="C199" s="4874"/>
      <c r="D199" s="4874"/>
      <c r="E199" s="4875"/>
      <c r="F199" s="4875"/>
      <c r="G199" s="4875"/>
      <c r="H199" s="4875"/>
      <c r="I199" s="2579"/>
      <c r="J199" s="2579"/>
      <c r="K199" s="2579"/>
      <c r="L199" s="2579"/>
      <c r="M199" s="2579"/>
      <c r="N199" s="2579"/>
      <c r="O199" s="2579"/>
    </row>
    <row r="200" spans="1:15" s="2463" customFormat="1" ht="12.75">
      <c r="A200" s="2531"/>
      <c r="B200" s="2533"/>
      <c r="C200" s="2531"/>
      <c r="D200" s="2566"/>
      <c r="E200" s="2566"/>
      <c r="F200" s="2566"/>
      <c r="G200" s="2566"/>
      <c r="H200" s="2566"/>
      <c r="I200" s="2579"/>
      <c r="J200" s="2579"/>
      <c r="K200" s="2579"/>
      <c r="L200" s="2579"/>
      <c r="M200" s="2579"/>
      <c r="N200" s="2579"/>
      <c r="O200" s="2579"/>
    </row>
    <row r="201" spans="1:15" s="2463" customFormat="1" ht="12.75">
      <c r="A201" s="2531"/>
      <c r="B201" s="2533"/>
      <c r="C201" s="2531"/>
      <c r="D201" s="2566"/>
      <c r="E201" s="2566"/>
      <c r="F201" s="2566"/>
      <c r="G201" s="2566"/>
      <c r="H201" s="2566"/>
      <c r="I201" s="2579"/>
      <c r="J201" s="2579"/>
      <c r="K201" s="2579"/>
      <c r="L201" s="2579"/>
      <c r="M201" s="2579"/>
      <c r="N201" s="2579"/>
      <c r="O201" s="2579"/>
    </row>
    <row r="202" spans="1:15" s="2463" customFormat="1" ht="12.75">
      <c r="A202" s="2531"/>
      <c r="B202" s="2533"/>
      <c r="C202" s="2531"/>
      <c r="D202" s="2566"/>
      <c r="E202" s="2566"/>
      <c r="F202" s="2566"/>
      <c r="G202" s="2566"/>
      <c r="H202" s="2566"/>
      <c r="I202" s="2579"/>
      <c r="J202" s="2579"/>
      <c r="K202" s="2579"/>
      <c r="L202" s="2579"/>
      <c r="M202" s="2579"/>
      <c r="N202" s="2579"/>
      <c r="O202" s="2579"/>
    </row>
    <row r="203" spans="1:15">
      <c r="A203" s="2531"/>
      <c r="B203" s="2533"/>
      <c r="C203" s="2531"/>
      <c r="D203" s="2566"/>
      <c r="E203" s="2566"/>
      <c r="F203" s="2566"/>
      <c r="G203" s="2566"/>
      <c r="H203" s="2566"/>
    </row>
    <row r="204" spans="1:15">
      <c r="A204" s="2531"/>
      <c r="B204" s="2533"/>
      <c r="C204" s="2531"/>
      <c r="D204" s="2566"/>
      <c r="E204" s="2566"/>
      <c r="F204" s="2566"/>
      <c r="G204" s="2566"/>
      <c r="H204" s="2566"/>
    </row>
    <row r="205" spans="1:15">
      <c r="A205" s="2531"/>
      <c r="B205" s="2533"/>
      <c r="C205" s="2531"/>
      <c r="D205" s="2566"/>
      <c r="E205" s="2566"/>
      <c r="F205" s="2566"/>
      <c r="G205" s="2566"/>
      <c r="H205" s="2566"/>
    </row>
    <row r="206" spans="1:15" s="2463" customFormat="1" ht="12.75">
      <c r="A206" s="2531"/>
      <c r="B206" s="2533"/>
      <c r="C206" s="2531"/>
      <c r="D206" s="2566"/>
      <c r="E206" s="2566"/>
      <c r="F206" s="2566"/>
      <c r="G206" s="2566"/>
      <c r="H206" s="2566"/>
      <c r="I206" s="2579"/>
      <c r="J206" s="2579"/>
      <c r="K206" s="2579"/>
      <c r="L206" s="2579"/>
      <c r="M206" s="2579"/>
      <c r="N206" s="2579"/>
      <c r="O206" s="2579"/>
    </row>
    <row r="207" spans="1:15" s="2463" customFormat="1" ht="12.75">
      <c r="A207" s="2531"/>
      <c r="B207" s="2533"/>
      <c r="C207" s="2531"/>
      <c r="D207" s="2566"/>
      <c r="E207" s="2566"/>
      <c r="F207" s="2566"/>
      <c r="G207" s="2566"/>
      <c r="H207" s="2566"/>
      <c r="I207" s="2579"/>
      <c r="J207" s="2579"/>
      <c r="K207" s="2579"/>
      <c r="L207" s="2579"/>
      <c r="M207" s="2579"/>
      <c r="N207" s="2579"/>
      <c r="O207" s="2579"/>
    </row>
    <row r="208" spans="1:15" s="2463" customFormat="1" ht="12.75">
      <c r="A208" s="2531"/>
      <c r="B208" s="2533"/>
      <c r="C208" s="2531"/>
      <c r="D208" s="2566"/>
      <c r="E208" s="2566"/>
      <c r="F208" s="2566"/>
      <c r="G208" s="2566"/>
      <c r="H208" s="2566"/>
      <c r="I208" s="2579"/>
      <c r="J208" s="2579"/>
      <c r="K208" s="2579"/>
      <c r="L208" s="2579"/>
      <c r="M208" s="2579"/>
      <c r="N208" s="2579"/>
      <c r="O208" s="2579"/>
    </row>
    <row r="209" spans="1:15" s="2463" customFormat="1" ht="12.75">
      <c r="A209" s="2531"/>
      <c r="B209" s="2533"/>
      <c r="C209" s="2531"/>
      <c r="D209" s="2566"/>
      <c r="E209" s="2566"/>
      <c r="F209" s="2566"/>
      <c r="G209" s="2566"/>
      <c r="H209" s="2566"/>
      <c r="I209" s="2579"/>
      <c r="J209" s="2579"/>
      <c r="K209" s="2579"/>
      <c r="L209" s="2579"/>
      <c r="M209" s="2579"/>
      <c r="N209" s="2579"/>
      <c r="O209" s="2579"/>
    </row>
    <row r="210" spans="1:15" s="2463" customFormat="1" ht="12.75">
      <c r="A210" s="2531"/>
      <c r="B210" s="2533"/>
      <c r="C210" s="2531"/>
      <c r="D210" s="2566"/>
      <c r="E210" s="2566"/>
      <c r="F210" s="2566"/>
      <c r="G210" s="2566"/>
      <c r="H210" s="2566"/>
      <c r="I210" s="2579"/>
      <c r="J210" s="2579"/>
      <c r="K210" s="2579"/>
      <c r="L210" s="2579"/>
      <c r="M210" s="2579"/>
      <c r="N210" s="2579"/>
      <c r="O210" s="2579"/>
    </row>
    <row r="211" spans="1:15" s="2463" customFormat="1" ht="12.75">
      <c r="A211" s="2531"/>
      <c r="B211" s="2533"/>
      <c r="C211" s="2531"/>
      <c r="D211" s="2566"/>
      <c r="E211" s="2566"/>
      <c r="F211" s="2566"/>
      <c r="G211" s="2566"/>
      <c r="H211" s="2566"/>
      <c r="I211" s="2579"/>
      <c r="J211" s="2579"/>
      <c r="K211" s="2579"/>
      <c r="L211" s="2579"/>
      <c r="M211" s="2579"/>
      <c r="N211" s="2579"/>
      <c r="O211" s="2579"/>
    </row>
    <row r="212" spans="1:15" s="2463" customFormat="1" ht="12.75">
      <c r="A212" s="2531"/>
      <c r="B212" s="2533"/>
      <c r="C212" s="2531"/>
      <c r="D212" s="2566"/>
      <c r="E212" s="2566"/>
      <c r="F212" s="2566"/>
      <c r="G212" s="2566"/>
      <c r="H212" s="2566"/>
      <c r="I212" s="2579"/>
      <c r="J212" s="2579"/>
      <c r="K212" s="2579"/>
      <c r="L212" s="2579"/>
      <c r="M212" s="2579"/>
      <c r="N212" s="2579"/>
      <c r="O212" s="2579"/>
    </row>
    <row r="213" spans="1:15" s="2463" customFormat="1" ht="12.75">
      <c r="A213" s="2531"/>
      <c r="B213" s="2533"/>
      <c r="C213" s="2531"/>
      <c r="D213" s="2566"/>
      <c r="E213" s="2566"/>
      <c r="F213" s="2566"/>
      <c r="G213" s="2566"/>
      <c r="H213" s="2566"/>
      <c r="I213" s="2579"/>
      <c r="J213" s="2579"/>
      <c r="K213" s="2579"/>
      <c r="L213" s="2579"/>
      <c r="M213" s="2579"/>
      <c r="N213" s="2579"/>
      <c r="O213" s="2579"/>
    </row>
    <row r="214" spans="1:15" s="2463" customFormat="1" ht="12.75">
      <c r="A214" s="2531"/>
      <c r="B214" s="2533"/>
      <c r="C214" s="2531"/>
      <c r="D214" s="2566"/>
      <c r="E214" s="2566"/>
      <c r="F214" s="2566"/>
      <c r="G214" s="2566"/>
      <c r="H214" s="2566"/>
      <c r="I214" s="2579"/>
      <c r="J214" s="2579"/>
      <c r="K214" s="2579"/>
      <c r="L214" s="2579"/>
      <c r="M214" s="2579"/>
      <c r="N214" s="2579"/>
      <c r="O214" s="2579"/>
    </row>
    <row r="215" spans="1:15" s="2463" customFormat="1" ht="12.75">
      <c r="A215" s="2531"/>
      <c r="B215" s="2533"/>
      <c r="C215" s="2531"/>
      <c r="D215" s="2566"/>
      <c r="E215" s="2566"/>
      <c r="F215" s="2566"/>
      <c r="G215" s="2566"/>
      <c r="H215" s="2566"/>
      <c r="I215" s="2579"/>
      <c r="J215" s="2579"/>
      <c r="K215" s="2579"/>
      <c r="L215" s="2579"/>
      <c r="M215" s="2579"/>
      <c r="N215" s="2579"/>
      <c r="O215" s="2579"/>
    </row>
    <row r="216" spans="1:15" s="2463" customFormat="1" ht="12.75">
      <c r="A216" s="2531"/>
      <c r="B216" s="2533"/>
      <c r="C216" s="2531"/>
      <c r="D216" s="2566"/>
      <c r="E216" s="2566"/>
      <c r="F216" s="2566"/>
      <c r="G216" s="2566"/>
      <c r="H216" s="2566"/>
      <c r="I216" s="2579"/>
      <c r="J216" s="2579"/>
      <c r="K216" s="2579"/>
      <c r="L216" s="2579"/>
      <c r="M216" s="2579"/>
      <c r="N216" s="2579"/>
      <c r="O216" s="2579"/>
    </row>
    <row r="217" spans="1:15" s="2463" customFormat="1" ht="12.75">
      <c r="A217" s="2531"/>
      <c r="B217" s="2533"/>
      <c r="C217" s="2531"/>
      <c r="D217" s="2566"/>
      <c r="E217" s="2566"/>
      <c r="F217" s="2566"/>
      <c r="G217" s="2566"/>
      <c r="H217" s="2566"/>
      <c r="I217" s="2579"/>
      <c r="J217" s="2579"/>
      <c r="K217" s="2579"/>
      <c r="L217" s="2579"/>
      <c r="M217" s="2579"/>
      <c r="N217" s="2579"/>
      <c r="O217" s="2579"/>
    </row>
    <row r="218" spans="1:15" s="2463" customFormat="1" ht="12.75">
      <c r="A218" s="2531"/>
      <c r="B218" s="2533"/>
      <c r="C218" s="2531"/>
      <c r="D218" s="2566"/>
      <c r="E218" s="2566"/>
      <c r="F218" s="2566"/>
      <c r="G218" s="2566"/>
      <c r="H218" s="2566"/>
      <c r="I218" s="2579"/>
      <c r="J218" s="2579"/>
      <c r="K218" s="2579"/>
      <c r="L218" s="2579"/>
      <c r="M218" s="2579"/>
      <c r="N218" s="2579"/>
      <c r="O218" s="2579"/>
    </row>
    <row r="219" spans="1:15" s="2463" customFormat="1">
      <c r="A219" s="2529"/>
      <c r="B219" s="2529"/>
      <c r="C219" s="2529"/>
      <c r="D219" s="2529"/>
      <c r="E219" s="2529"/>
      <c r="F219" s="2529"/>
      <c r="G219" s="2529"/>
      <c r="H219" s="2529"/>
      <c r="I219" s="2579"/>
      <c r="J219" s="2579"/>
      <c r="K219" s="2579"/>
      <c r="L219" s="2579"/>
      <c r="M219" s="2579"/>
      <c r="N219" s="2579"/>
      <c r="O219" s="2579"/>
    </row>
    <row r="220" spans="1:15" s="2463" customFormat="1">
      <c r="A220" s="2529"/>
      <c r="B220" s="2529"/>
      <c r="C220" s="2529"/>
      <c r="D220" s="2529"/>
      <c r="E220" s="2529"/>
      <c r="F220" s="2529"/>
      <c r="G220" s="2529"/>
      <c r="H220" s="2529"/>
      <c r="I220" s="2579"/>
      <c r="J220" s="2579"/>
      <c r="K220" s="2579"/>
      <c r="L220" s="2579"/>
      <c r="M220" s="2579"/>
      <c r="N220" s="2579"/>
      <c r="O220" s="2579"/>
    </row>
    <row r="221" spans="1:15" s="2463" customFormat="1">
      <c r="A221" s="2529"/>
      <c r="B221" s="2529"/>
      <c r="C221" s="2529"/>
      <c r="D221" s="2529"/>
      <c r="E221" s="2529"/>
      <c r="F221" s="2529"/>
      <c r="G221" s="2529"/>
      <c r="H221" s="2529"/>
      <c r="I221" s="2579"/>
      <c r="J221" s="2579"/>
      <c r="K221" s="2579"/>
      <c r="L221" s="2579"/>
      <c r="M221" s="2579"/>
      <c r="N221" s="2579"/>
      <c r="O221" s="2579"/>
    </row>
    <row r="222" spans="1:15" s="2463" customFormat="1" ht="12.75">
      <c r="A222" s="4876"/>
      <c r="B222" s="4876"/>
      <c r="C222" s="4876"/>
      <c r="D222" s="4876"/>
      <c r="E222" s="4876"/>
      <c r="F222" s="4876"/>
      <c r="G222" s="4876"/>
      <c r="H222" s="4876"/>
      <c r="I222" s="2579"/>
      <c r="J222" s="2579"/>
      <c r="K222" s="2579"/>
      <c r="L222" s="2579"/>
      <c r="M222" s="2579"/>
      <c r="N222" s="2579"/>
      <c r="O222" s="2579"/>
    </row>
    <row r="223" spans="1:15" s="2463" customFormat="1" ht="12.75">
      <c r="A223" s="4877"/>
      <c r="B223" s="4877"/>
      <c r="C223" s="4877"/>
      <c r="D223" s="4877"/>
      <c r="E223" s="4877"/>
      <c r="F223" s="4877"/>
      <c r="G223" s="4877"/>
      <c r="H223" s="4877"/>
      <c r="I223" s="2579"/>
      <c r="J223" s="2579"/>
      <c r="K223" s="2579"/>
      <c r="L223" s="2579"/>
      <c r="M223" s="2579"/>
      <c r="N223" s="2579"/>
      <c r="O223" s="2579"/>
    </row>
    <row r="224" spans="1:15" s="2463" customFormat="1">
      <c r="A224" s="2529"/>
      <c r="B224" s="2529"/>
      <c r="C224" s="2529"/>
      <c r="D224" s="2529"/>
      <c r="E224" s="2529"/>
      <c r="F224" s="2529"/>
      <c r="G224" s="2529"/>
      <c r="H224" s="2529"/>
      <c r="I224" s="2579"/>
      <c r="J224" s="2579"/>
      <c r="K224" s="2579"/>
      <c r="L224" s="2579"/>
      <c r="M224" s="2579"/>
      <c r="N224" s="2579"/>
      <c r="O224" s="2579"/>
    </row>
    <row r="225" spans="1:15" s="2463" customFormat="1">
      <c r="A225" s="2568"/>
      <c r="B225" s="2567"/>
      <c r="C225" s="2529"/>
      <c r="D225" s="2566"/>
      <c r="E225" s="2566"/>
      <c r="F225" s="2566"/>
      <c r="G225" s="2566"/>
      <c r="H225" s="2566"/>
      <c r="I225" s="2579"/>
      <c r="J225" s="2579"/>
      <c r="K225" s="2579"/>
      <c r="L225" s="2579"/>
      <c r="M225" s="2579"/>
      <c r="N225" s="2579"/>
      <c r="O225" s="2579"/>
    </row>
    <row r="226" spans="1:15" s="2463" customFormat="1" ht="12.75">
      <c r="A226" s="1269"/>
      <c r="B226" s="1269"/>
      <c r="C226" s="2542"/>
      <c r="D226" s="2541"/>
      <c r="E226" s="2561"/>
      <c r="F226" s="2540"/>
      <c r="G226" s="2565"/>
      <c r="H226" s="2561"/>
      <c r="I226" s="2579"/>
      <c r="J226" s="2579"/>
      <c r="K226" s="2579"/>
      <c r="L226" s="2579"/>
      <c r="M226" s="2579"/>
      <c r="N226" s="2579"/>
      <c r="O226" s="2579"/>
    </row>
    <row r="227" spans="1:15" s="2463" customFormat="1" ht="23.25">
      <c r="A227" s="2564"/>
      <c r="B227" s="2564"/>
      <c r="C227" s="2563"/>
      <c r="D227" s="2541"/>
      <c r="E227" s="2561"/>
      <c r="F227" s="2540"/>
      <c r="G227" s="2562"/>
      <c r="H227" s="2561"/>
      <c r="I227" s="2579"/>
      <c r="J227" s="2579"/>
      <c r="K227" s="2579"/>
      <c r="L227" s="2579"/>
      <c r="M227" s="2579"/>
      <c r="N227" s="2579"/>
      <c r="O227" s="2579"/>
    </row>
    <row r="228" spans="1:15" s="2463" customFormat="1" ht="12.75">
      <c r="A228" s="4879"/>
      <c r="B228" s="4879"/>
      <c r="C228" s="2559"/>
      <c r="D228" s="2560"/>
      <c r="E228" s="4880"/>
      <c r="F228" s="4880"/>
      <c r="G228" s="4880"/>
      <c r="H228" s="2557"/>
      <c r="I228" s="2579"/>
      <c r="J228" s="2579"/>
      <c r="K228" s="2579"/>
      <c r="L228" s="2579"/>
      <c r="M228" s="2579"/>
      <c r="N228" s="2579"/>
      <c r="O228" s="2579"/>
    </row>
    <row r="229" spans="1:15" s="2463" customFormat="1" ht="12.75">
      <c r="A229" s="4879"/>
      <c r="B229" s="4879"/>
      <c r="C229" s="2559"/>
      <c r="D229" s="2558"/>
      <c r="E229" s="2558"/>
      <c r="F229" s="2558"/>
      <c r="G229" s="2558"/>
      <c r="H229" s="2558"/>
      <c r="I229" s="2579"/>
      <c r="J229" s="2579"/>
      <c r="K229" s="2579"/>
      <c r="L229" s="2579"/>
      <c r="M229" s="2579"/>
      <c r="N229" s="2579"/>
      <c r="O229" s="2579"/>
    </row>
    <row r="230" spans="1:15" s="2463" customFormat="1" ht="12.75">
      <c r="A230" s="4879"/>
      <c r="B230" s="4879"/>
      <c r="C230" s="2557"/>
      <c r="D230" s="2555"/>
      <c r="E230" s="2555"/>
      <c r="F230" s="2555"/>
      <c r="G230" s="2556"/>
      <c r="H230" s="2555"/>
      <c r="I230" s="2579"/>
      <c r="J230" s="2579"/>
      <c r="K230" s="2579"/>
      <c r="L230" s="2579"/>
      <c r="M230" s="2579"/>
      <c r="N230" s="2579"/>
      <c r="O230" s="2579"/>
    </row>
    <row r="231" spans="1:15" s="2463" customFormat="1" ht="12.75">
      <c r="A231" s="2554"/>
      <c r="B231" s="2553"/>
      <c r="C231" s="2552"/>
      <c r="D231" s="2551"/>
      <c r="E231" s="2551"/>
      <c r="F231" s="2551"/>
      <c r="G231" s="2551"/>
      <c r="H231" s="2551"/>
      <c r="I231" s="2579"/>
      <c r="J231" s="2579"/>
      <c r="K231" s="2579"/>
      <c r="L231" s="2579"/>
      <c r="M231" s="2579"/>
      <c r="N231" s="2579"/>
      <c r="O231" s="2579"/>
    </row>
    <row r="232" spans="1:15" s="2463" customFormat="1" ht="12.75">
      <c r="A232" s="2549"/>
      <c r="B232" s="2549"/>
      <c r="C232" s="2542"/>
      <c r="D232" s="2548"/>
      <c r="E232" s="2548"/>
      <c r="F232" s="2540"/>
      <c r="G232" s="2548"/>
      <c r="H232" s="2548"/>
      <c r="I232" s="2579"/>
      <c r="J232" s="2579"/>
      <c r="K232" s="2579"/>
      <c r="L232" s="2579"/>
      <c r="M232" s="2579"/>
      <c r="N232" s="2579"/>
      <c r="O232" s="2579"/>
    </row>
    <row r="233" spans="1:15" s="2463" customFormat="1" ht="12.75">
      <c r="A233" s="2549"/>
      <c r="B233" s="2549"/>
      <c r="C233" s="2545"/>
      <c r="D233" s="2548"/>
      <c r="E233" s="2548"/>
      <c r="F233" s="2540"/>
      <c r="G233" s="2548"/>
      <c r="H233" s="2548"/>
      <c r="I233" s="2579"/>
      <c r="J233" s="2579"/>
      <c r="K233" s="2579"/>
      <c r="L233" s="2579"/>
      <c r="M233" s="2579"/>
      <c r="N233" s="2579"/>
      <c r="O233" s="2579"/>
    </row>
    <row r="234" spans="1:15" s="2463" customFormat="1" ht="12.75">
      <c r="A234" s="2547"/>
      <c r="B234" s="2546"/>
      <c r="C234" s="2545"/>
      <c r="D234" s="2541"/>
      <c r="E234" s="2544"/>
      <c r="F234" s="2540"/>
      <c r="G234" s="2544"/>
      <c r="H234" s="2544"/>
      <c r="I234" s="2579"/>
      <c r="J234" s="2579"/>
      <c r="K234" s="2579"/>
      <c r="L234" s="2579"/>
      <c r="M234" s="2579"/>
      <c r="N234" s="2579"/>
      <c r="O234" s="2579"/>
    </row>
    <row r="235" spans="1:15" s="2463" customFormat="1" ht="12.75">
      <c r="A235" s="2543"/>
      <c r="B235" s="2543"/>
      <c r="C235" s="2542"/>
      <c r="D235" s="2541"/>
      <c r="E235" s="2539"/>
      <c r="F235" s="2540"/>
      <c r="G235" s="2539"/>
      <c r="H235" s="2539"/>
      <c r="I235" s="2579"/>
      <c r="J235" s="2579"/>
      <c r="K235" s="2579"/>
      <c r="L235" s="2579"/>
      <c r="M235" s="2579"/>
      <c r="N235" s="2579"/>
      <c r="O235" s="2579"/>
    </row>
    <row r="236" spans="1:15" s="2463" customFormat="1" ht="12.75">
      <c r="A236" s="2538"/>
      <c r="B236" s="2538"/>
      <c r="C236" s="2537"/>
      <c r="D236" s="2536"/>
      <c r="E236" s="2536"/>
      <c r="F236" s="2536"/>
      <c r="G236" s="2536"/>
      <c r="H236" s="2536"/>
      <c r="I236" s="2579"/>
      <c r="J236" s="2579"/>
      <c r="K236" s="2579"/>
      <c r="L236" s="2579"/>
      <c r="M236" s="2579"/>
      <c r="N236" s="2579"/>
      <c r="O236" s="2579"/>
    </row>
    <row r="237" spans="1:15" s="2463" customFormat="1" ht="12.75">
      <c r="A237" s="2538"/>
      <c r="B237" s="2538"/>
      <c r="C237" s="2537"/>
      <c r="D237" s="2536"/>
      <c r="E237" s="2536"/>
      <c r="F237" s="2536"/>
      <c r="G237" s="2536"/>
      <c r="H237" s="2536"/>
      <c r="I237" s="2579"/>
      <c r="J237" s="2579"/>
      <c r="K237" s="2579"/>
      <c r="L237" s="2579"/>
      <c r="M237" s="2579"/>
      <c r="N237" s="2579"/>
      <c r="O237" s="2579"/>
    </row>
    <row r="238" spans="1:15" s="2463" customFormat="1">
      <c r="A238" s="1269"/>
      <c r="B238" s="2529"/>
      <c r="C238" s="2535"/>
      <c r="D238" s="2529"/>
      <c r="E238" s="4877"/>
      <c r="F238" s="4877"/>
      <c r="G238" s="1269"/>
      <c r="H238" s="2529"/>
      <c r="I238" s="2579"/>
      <c r="J238" s="2579"/>
      <c r="K238" s="2579"/>
      <c r="L238" s="2579"/>
      <c r="M238" s="2579"/>
      <c r="N238" s="2579"/>
      <c r="O238" s="2579"/>
    </row>
    <row r="239" spans="1:15" s="2463" customFormat="1">
      <c r="A239" s="2529"/>
      <c r="B239" s="1269"/>
      <c r="C239" s="2535"/>
      <c r="D239" s="1269"/>
      <c r="E239" s="1269"/>
      <c r="F239" s="1269"/>
      <c r="G239" s="1269"/>
      <c r="H239" s="2529"/>
      <c r="I239" s="2579"/>
      <c r="J239" s="2579"/>
      <c r="K239" s="2579"/>
      <c r="L239" s="2579"/>
      <c r="M239" s="2579"/>
      <c r="N239" s="2579"/>
      <c r="O239" s="2579"/>
    </row>
    <row r="240" spans="1:15" s="2463" customFormat="1" ht="12.75">
      <c r="A240" s="2534"/>
      <c r="B240" s="1269"/>
      <c r="C240" s="4881"/>
      <c r="D240" s="4881"/>
      <c r="E240" s="4876"/>
      <c r="F240" s="4876"/>
      <c r="G240" s="4876"/>
      <c r="H240" s="4876"/>
      <c r="I240" s="2579"/>
      <c r="J240" s="2579"/>
      <c r="K240" s="2579"/>
      <c r="L240" s="2579"/>
      <c r="M240" s="2579"/>
      <c r="N240" s="2579"/>
      <c r="O240" s="2579"/>
    </row>
    <row r="241" spans="1:15" s="2463" customFormat="1" ht="12.75">
      <c r="A241" s="2531"/>
      <c r="B241" s="2533"/>
      <c r="C241" s="4874"/>
      <c r="D241" s="4874"/>
      <c r="E241" s="4875"/>
      <c r="F241" s="4875"/>
      <c r="G241" s="4875"/>
      <c r="H241" s="4875"/>
      <c r="I241" s="2579"/>
      <c r="J241" s="2579"/>
      <c r="K241" s="2579"/>
      <c r="L241" s="2579"/>
      <c r="M241" s="2579"/>
      <c r="N241" s="2579"/>
      <c r="O241" s="2579"/>
    </row>
    <row r="242" spans="1:15" s="2463" customFormat="1" ht="12.75">
      <c r="B242" s="2464"/>
      <c r="D242" s="2465"/>
      <c r="E242" s="2465"/>
      <c r="F242" s="2465"/>
      <c r="G242" s="2465"/>
      <c r="H242" s="2465"/>
      <c r="I242" s="2579"/>
      <c r="J242" s="2579"/>
      <c r="K242" s="2579"/>
      <c r="L242" s="2579"/>
      <c r="M242" s="2579"/>
      <c r="N242" s="2579"/>
      <c r="O242" s="2579"/>
    </row>
    <row r="243" spans="1:15" s="2463" customFormat="1" ht="12.75">
      <c r="B243" s="2464"/>
      <c r="D243" s="2465"/>
      <c r="E243" s="2465"/>
      <c r="F243" s="2465"/>
      <c r="G243" s="2465"/>
      <c r="H243" s="2465"/>
      <c r="I243" s="2579"/>
      <c r="J243" s="2579"/>
      <c r="K243" s="2579"/>
      <c r="L243" s="2579"/>
      <c r="M243" s="2579"/>
      <c r="N243" s="2579"/>
      <c r="O243" s="2579"/>
    </row>
    <row r="244" spans="1:15">
      <c r="A244" s="2463"/>
      <c r="B244" s="2464"/>
      <c r="C244" s="2463"/>
      <c r="D244" s="2465"/>
      <c r="E244" s="2465"/>
      <c r="F244" s="2465"/>
      <c r="G244" s="2465"/>
      <c r="H244" s="2465"/>
    </row>
    <row r="245" spans="1:15">
      <c r="A245" s="2463"/>
      <c r="B245" s="2464"/>
      <c r="C245" s="2463"/>
      <c r="D245" s="2465"/>
      <c r="E245" s="2465"/>
      <c r="F245" s="2465"/>
      <c r="G245" s="2465"/>
      <c r="H245" s="2465"/>
    </row>
    <row r="246" spans="1:15">
      <c r="A246" s="2463"/>
      <c r="B246" s="2464"/>
      <c r="C246" s="2463"/>
      <c r="D246" s="2465"/>
      <c r="E246" s="2465"/>
      <c r="F246" s="2465"/>
      <c r="G246" s="2465"/>
      <c r="H246" s="2465"/>
    </row>
    <row r="247" spans="1:15">
      <c r="A247" s="2463"/>
      <c r="B247" s="2464"/>
      <c r="C247" s="2463"/>
      <c r="D247" s="2465"/>
      <c r="E247" s="2465"/>
      <c r="F247" s="2465"/>
      <c r="G247" s="2465"/>
      <c r="H247" s="2465"/>
    </row>
    <row r="248" spans="1:15">
      <c r="A248" s="2463"/>
      <c r="B248" s="2464"/>
      <c r="C248" s="2463"/>
      <c r="D248" s="2465"/>
      <c r="E248" s="2465"/>
      <c r="F248" s="2465"/>
      <c r="G248" s="2465"/>
      <c r="H248" s="2465"/>
    </row>
    <row r="249" spans="1:15" s="2463" customFormat="1" ht="12.75">
      <c r="B249" s="2464"/>
      <c r="D249" s="2465"/>
      <c r="E249" s="2465"/>
      <c r="F249" s="2465"/>
      <c r="G249" s="2465"/>
      <c r="H249" s="2465"/>
      <c r="I249" s="2579"/>
      <c r="J249" s="2579"/>
      <c r="K249" s="2579"/>
      <c r="L249" s="2579"/>
      <c r="M249" s="2579"/>
      <c r="N249" s="2579"/>
      <c r="O249" s="2579"/>
    </row>
    <row r="250" spans="1:15" s="2463" customFormat="1" ht="12.75">
      <c r="B250" s="2464"/>
      <c r="D250" s="2465"/>
      <c r="E250" s="2465"/>
      <c r="F250" s="2465"/>
      <c r="G250" s="2465"/>
      <c r="H250" s="2465"/>
      <c r="I250" s="2579"/>
      <c r="J250" s="2579"/>
      <c r="K250" s="2579"/>
      <c r="L250" s="2579"/>
      <c r="M250" s="2579"/>
      <c r="N250" s="2579"/>
      <c r="O250" s="2579"/>
    </row>
    <row r="251" spans="1:15" s="2463" customFormat="1" ht="12.75">
      <c r="B251" s="2464"/>
      <c r="D251" s="2465"/>
      <c r="E251" s="2465"/>
      <c r="F251" s="2465"/>
      <c r="G251" s="2465"/>
      <c r="H251" s="2465"/>
      <c r="I251" s="2579"/>
      <c r="J251" s="2579"/>
      <c r="K251" s="2579"/>
      <c r="L251" s="2579"/>
      <c r="M251" s="2579"/>
      <c r="N251" s="2579"/>
      <c r="O251" s="2579"/>
    </row>
    <row r="252" spans="1:15" s="2463" customFormat="1" ht="12.75">
      <c r="B252" s="2464"/>
      <c r="D252" s="2465"/>
      <c r="E252" s="2465"/>
      <c r="F252" s="2465"/>
      <c r="G252" s="2465"/>
      <c r="H252" s="2465"/>
      <c r="I252" s="2579"/>
      <c r="J252" s="2579"/>
      <c r="K252" s="2579"/>
      <c r="L252" s="2579"/>
      <c r="M252" s="2579"/>
      <c r="N252" s="2579"/>
      <c r="O252" s="2579"/>
    </row>
    <row r="253" spans="1:15" s="2463" customFormat="1" ht="12.75">
      <c r="B253" s="2464"/>
      <c r="D253" s="2465"/>
      <c r="E253" s="2465"/>
      <c r="F253" s="2465"/>
      <c r="G253" s="2465"/>
      <c r="H253" s="2465"/>
      <c r="I253" s="2579"/>
      <c r="J253" s="2579"/>
      <c r="K253" s="2579"/>
      <c r="L253" s="2579"/>
      <c r="M253" s="2579"/>
      <c r="N253" s="2579"/>
      <c r="O253" s="2579"/>
    </row>
    <row r="254" spans="1:15" s="2463" customFormat="1" ht="12.75">
      <c r="B254" s="2464"/>
      <c r="D254" s="2465"/>
      <c r="E254" s="2465"/>
      <c r="F254" s="2465"/>
      <c r="G254" s="2465"/>
      <c r="H254" s="2465"/>
      <c r="I254" s="2579"/>
      <c r="J254" s="2579"/>
      <c r="K254" s="2579"/>
      <c r="L254" s="2579"/>
      <c r="M254" s="2579"/>
      <c r="N254" s="2579"/>
      <c r="O254" s="2579"/>
    </row>
    <row r="255" spans="1:15" s="2463" customFormat="1" ht="12.75">
      <c r="B255" s="2464"/>
      <c r="D255" s="2465"/>
      <c r="E255" s="2465"/>
      <c r="F255" s="2465"/>
      <c r="G255" s="2465"/>
      <c r="H255" s="2465"/>
      <c r="I255" s="2579"/>
      <c r="J255" s="2579"/>
      <c r="K255" s="2579"/>
      <c r="L255" s="2579"/>
      <c r="M255" s="2579"/>
      <c r="N255" s="2579"/>
      <c r="O255" s="2579"/>
    </row>
    <row r="256" spans="1:15" s="2463" customFormat="1" ht="12.75">
      <c r="B256" s="2464"/>
      <c r="D256" s="2465"/>
      <c r="E256" s="2465"/>
      <c r="F256" s="2465"/>
      <c r="G256" s="2465"/>
      <c r="H256" s="2465"/>
      <c r="I256" s="2579"/>
      <c r="J256" s="2579"/>
      <c r="K256" s="2579"/>
      <c r="L256" s="2579"/>
      <c r="M256" s="2579"/>
      <c r="N256" s="2579"/>
      <c r="O256" s="2579"/>
    </row>
    <row r="257" spans="2:15" s="2463" customFormat="1" ht="12.75">
      <c r="B257" s="2464"/>
      <c r="D257" s="2465"/>
      <c r="E257" s="2465"/>
      <c r="F257" s="2465"/>
      <c r="G257" s="2465"/>
      <c r="H257" s="2465"/>
      <c r="I257" s="2579"/>
      <c r="J257" s="2579"/>
      <c r="K257" s="2579"/>
      <c r="L257" s="2579"/>
      <c r="M257" s="2579"/>
      <c r="N257" s="2579"/>
      <c r="O257" s="2579"/>
    </row>
    <row r="258" spans="2:15" s="2463" customFormat="1" ht="12.75">
      <c r="B258" s="2464"/>
      <c r="D258" s="2465"/>
      <c r="E258" s="2465"/>
      <c r="F258" s="2465"/>
      <c r="G258" s="2465"/>
      <c r="H258" s="2465"/>
      <c r="I258" s="2579"/>
      <c r="J258" s="2579"/>
      <c r="K258" s="2579"/>
      <c r="L258" s="2579"/>
      <c r="M258" s="2579"/>
      <c r="N258" s="2579"/>
      <c r="O258" s="2579"/>
    </row>
    <row r="259" spans="2:15" s="2463" customFormat="1" ht="12.75">
      <c r="B259" s="2464"/>
      <c r="D259" s="2465"/>
      <c r="E259" s="2465"/>
      <c r="F259" s="2465"/>
      <c r="G259" s="2465"/>
      <c r="H259" s="2465"/>
      <c r="I259" s="2579"/>
      <c r="J259" s="2579"/>
      <c r="K259" s="2579"/>
      <c r="L259" s="2579"/>
      <c r="M259" s="2579"/>
      <c r="N259" s="2579"/>
      <c r="O259" s="2579"/>
    </row>
    <row r="260" spans="2:15" s="2463" customFormat="1" ht="12.75">
      <c r="B260" s="2464"/>
      <c r="D260" s="2465"/>
      <c r="E260" s="2465"/>
      <c r="F260" s="2465"/>
      <c r="G260" s="2465"/>
      <c r="H260" s="2465"/>
      <c r="I260" s="2579"/>
      <c r="J260" s="2579"/>
      <c r="K260" s="2579"/>
      <c r="L260" s="2579"/>
      <c r="M260" s="2579"/>
      <c r="N260" s="2579"/>
      <c r="O260" s="2579"/>
    </row>
    <row r="261" spans="2:15" s="2463" customFormat="1" ht="12.75">
      <c r="B261" s="2464"/>
      <c r="D261" s="2465"/>
      <c r="E261" s="2465"/>
      <c r="F261" s="2465"/>
      <c r="G261" s="2465"/>
      <c r="H261" s="2465"/>
      <c r="I261" s="2579"/>
      <c r="J261" s="2579"/>
      <c r="K261" s="2579"/>
      <c r="L261" s="2579"/>
      <c r="M261" s="2579"/>
      <c r="N261" s="2579"/>
      <c r="O261" s="2579"/>
    </row>
    <row r="262" spans="2:15" s="2463" customFormat="1" ht="12.75">
      <c r="B262" s="2464"/>
      <c r="D262" s="2465"/>
      <c r="E262" s="2465"/>
      <c r="F262" s="2465"/>
      <c r="G262" s="2465"/>
      <c r="H262" s="2465"/>
      <c r="I262" s="2579"/>
      <c r="J262" s="2579"/>
      <c r="K262" s="2579"/>
      <c r="L262" s="2579"/>
      <c r="M262" s="2579"/>
      <c r="N262" s="2579"/>
      <c r="O262" s="2579"/>
    </row>
    <row r="263" spans="2:15" s="2463" customFormat="1" ht="12.75">
      <c r="B263" s="2464"/>
      <c r="D263" s="2465"/>
      <c r="E263" s="2465"/>
      <c r="F263" s="2465"/>
      <c r="G263" s="2465"/>
      <c r="H263" s="2465"/>
      <c r="I263" s="2579"/>
      <c r="J263" s="2579"/>
      <c r="K263" s="2579"/>
      <c r="L263" s="2579"/>
      <c r="M263" s="2579"/>
      <c r="N263" s="2579"/>
      <c r="O263" s="2579"/>
    </row>
    <row r="264" spans="2:15" s="2463" customFormat="1" ht="12.75">
      <c r="B264" s="2464"/>
      <c r="D264" s="2465"/>
      <c r="E264" s="2465"/>
      <c r="F264" s="2465"/>
      <c r="G264" s="2465"/>
      <c r="H264" s="2465"/>
      <c r="I264" s="2579"/>
      <c r="J264" s="2579"/>
      <c r="K264" s="2579"/>
      <c r="L264" s="2579"/>
      <c r="M264" s="2579"/>
      <c r="N264" s="2579"/>
      <c r="O264" s="2579"/>
    </row>
    <row r="265" spans="2:15" s="2463" customFormat="1" ht="12.75">
      <c r="B265" s="2464"/>
      <c r="D265" s="2465"/>
      <c r="E265" s="2465"/>
      <c r="F265" s="2465"/>
      <c r="G265" s="2465"/>
      <c r="H265" s="2465"/>
      <c r="I265" s="2579"/>
      <c r="J265" s="2579"/>
      <c r="K265" s="2579"/>
      <c r="L265" s="2579"/>
      <c r="M265" s="2579"/>
      <c r="N265" s="2579"/>
      <c r="O265" s="2579"/>
    </row>
    <row r="266" spans="2:15" s="2463" customFormat="1" ht="12.75">
      <c r="B266" s="2464"/>
      <c r="D266" s="2465"/>
      <c r="E266" s="2465"/>
      <c r="F266" s="2465"/>
      <c r="G266" s="2465"/>
      <c r="H266" s="2465"/>
      <c r="I266" s="2579"/>
      <c r="J266" s="2579"/>
      <c r="K266" s="2579"/>
      <c r="L266" s="2579"/>
      <c r="M266" s="2579"/>
      <c r="N266" s="2579"/>
      <c r="O266" s="2579"/>
    </row>
    <row r="267" spans="2:15" s="2463" customFormat="1" ht="12.75">
      <c r="B267" s="2464"/>
      <c r="D267" s="2465"/>
      <c r="E267" s="2465"/>
      <c r="F267" s="2465"/>
      <c r="G267" s="2465"/>
      <c r="H267" s="2465"/>
      <c r="I267" s="2579"/>
      <c r="J267" s="2579"/>
      <c r="K267" s="2579"/>
      <c r="L267" s="2579"/>
      <c r="M267" s="2579"/>
      <c r="N267" s="2579"/>
      <c r="O267" s="2579"/>
    </row>
    <row r="268" spans="2:15" s="2463" customFormat="1" ht="12.75">
      <c r="B268" s="2464"/>
      <c r="D268" s="2465"/>
      <c r="E268" s="2465"/>
      <c r="F268" s="2465"/>
      <c r="G268" s="2465"/>
      <c r="H268" s="2465"/>
      <c r="I268" s="2579"/>
      <c r="J268" s="2579"/>
      <c r="K268" s="2579"/>
      <c r="L268" s="2579"/>
      <c r="M268" s="2579"/>
      <c r="N268" s="2579"/>
      <c r="O268" s="2579"/>
    </row>
    <row r="269" spans="2:15" s="2463" customFormat="1" ht="12.75">
      <c r="B269" s="2464"/>
      <c r="D269" s="2465"/>
      <c r="E269" s="2465"/>
      <c r="F269" s="2465"/>
      <c r="G269" s="2465"/>
      <c r="H269" s="2465"/>
      <c r="I269" s="2579"/>
      <c r="J269" s="2579"/>
      <c r="K269" s="2579"/>
      <c r="L269" s="2579"/>
      <c r="M269" s="2579"/>
      <c r="N269" s="2579"/>
      <c r="O269" s="2579"/>
    </row>
    <row r="270" spans="2:15" s="2463" customFormat="1" ht="12.75">
      <c r="B270" s="2464"/>
      <c r="D270" s="2465"/>
      <c r="E270" s="2465"/>
      <c r="F270" s="2465"/>
      <c r="G270" s="2465"/>
      <c r="H270" s="2465"/>
      <c r="I270" s="2579"/>
      <c r="J270" s="2579"/>
      <c r="K270" s="2579"/>
      <c r="L270" s="2579"/>
      <c r="M270" s="2579"/>
      <c r="N270" s="2579"/>
      <c r="O270" s="2579"/>
    </row>
    <row r="271" spans="2:15" s="2463" customFormat="1" ht="12.75">
      <c r="B271" s="2464"/>
      <c r="D271" s="2465"/>
      <c r="E271" s="2465"/>
      <c r="F271" s="2465"/>
      <c r="G271" s="2465"/>
      <c r="H271" s="2465"/>
      <c r="I271" s="2579"/>
      <c r="J271" s="2579"/>
      <c r="K271" s="2579"/>
      <c r="L271" s="2579"/>
      <c r="M271" s="2579"/>
      <c r="N271" s="2579"/>
      <c r="O271" s="2579"/>
    </row>
    <row r="272" spans="2:15" s="2463" customFormat="1" ht="12.75">
      <c r="B272" s="2464"/>
      <c r="D272" s="2465"/>
      <c r="E272" s="2465"/>
      <c r="F272" s="2465"/>
      <c r="G272" s="2465"/>
      <c r="H272" s="2465"/>
      <c r="I272" s="2579"/>
      <c r="J272" s="2579"/>
      <c r="K272" s="2579"/>
      <c r="L272" s="2579"/>
      <c r="M272" s="2579"/>
      <c r="N272" s="2579"/>
      <c r="O272" s="2579"/>
    </row>
    <row r="273" spans="1:15" s="2463" customFormat="1" ht="12.75">
      <c r="B273" s="2464"/>
      <c r="D273" s="2465"/>
      <c r="E273" s="2465"/>
      <c r="F273" s="2465"/>
      <c r="G273" s="2465"/>
      <c r="H273" s="2465"/>
      <c r="I273" s="2579"/>
      <c r="J273" s="2579"/>
      <c r="K273" s="2579"/>
      <c r="L273" s="2579"/>
      <c r="M273" s="2579"/>
      <c r="N273" s="2579"/>
      <c r="O273" s="2579"/>
    </row>
    <row r="274" spans="1:15" s="2463" customFormat="1" ht="12.75">
      <c r="B274" s="2464"/>
      <c r="D274" s="2465"/>
      <c r="E274" s="2465"/>
      <c r="F274" s="2465"/>
      <c r="G274" s="2465"/>
      <c r="H274" s="2465"/>
      <c r="I274" s="2579"/>
      <c r="J274" s="2579"/>
      <c r="K274" s="2579"/>
      <c r="L274" s="2579"/>
      <c r="M274" s="2579"/>
      <c r="N274" s="2579"/>
      <c r="O274" s="2579"/>
    </row>
    <row r="275" spans="1:15" s="2463" customFormat="1" ht="12.75">
      <c r="B275" s="2464"/>
      <c r="D275" s="2465"/>
      <c r="E275" s="2465"/>
      <c r="F275" s="2465"/>
      <c r="G275" s="2465"/>
      <c r="H275" s="2465"/>
      <c r="I275" s="2579"/>
      <c r="J275" s="2579"/>
      <c r="K275" s="2579"/>
      <c r="L275" s="2579"/>
      <c r="M275" s="2579"/>
      <c r="N275" s="2579"/>
      <c r="O275" s="2579"/>
    </row>
    <row r="276" spans="1:15" s="2463" customFormat="1" ht="12.75">
      <c r="B276" s="2464"/>
      <c r="D276" s="2465"/>
      <c r="E276" s="2465"/>
      <c r="F276" s="2465"/>
      <c r="G276" s="2465"/>
      <c r="H276" s="2465"/>
      <c r="I276" s="2579"/>
      <c r="J276" s="2579"/>
      <c r="K276" s="2579"/>
      <c r="L276" s="2579"/>
      <c r="M276" s="2579"/>
      <c r="N276" s="2579"/>
      <c r="O276" s="2579"/>
    </row>
    <row r="277" spans="1:15" s="2463" customFormat="1" ht="12.75">
      <c r="B277" s="2464"/>
      <c r="D277" s="2465"/>
      <c r="E277" s="2465"/>
      <c r="F277" s="2465"/>
      <c r="G277" s="2465"/>
      <c r="H277" s="2465"/>
      <c r="I277" s="2579"/>
      <c r="J277" s="2579"/>
      <c r="K277" s="2579"/>
      <c r="L277" s="2579"/>
      <c r="M277" s="2579"/>
      <c r="N277" s="2579"/>
      <c r="O277" s="2579"/>
    </row>
    <row r="278" spans="1:15" s="2463" customFormat="1" ht="12.75">
      <c r="A278" s="4876"/>
      <c r="B278" s="4876"/>
      <c r="C278" s="4876"/>
      <c r="D278" s="4876"/>
      <c r="E278" s="4876"/>
      <c r="F278" s="4876"/>
      <c r="G278" s="4876"/>
      <c r="H278" s="4876"/>
      <c r="I278" s="2579"/>
      <c r="J278" s="2579"/>
      <c r="K278" s="2579"/>
      <c r="L278" s="2579"/>
      <c r="M278" s="2579"/>
      <c r="N278" s="2579"/>
      <c r="O278" s="2579"/>
    </row>
    <row r="279" spans="1:15" s="2463" customFormat="1" ht="12.75">
      <c r="A279" s="4877"/>
      <c r="B279" s="4877"/>
      <c r="C279" s="4877"/>
      <c r="D279" s="4877"/>
      <c r="E279" s="4877"/>
      <c r="F279" s="4877"/>
      <c r="G279" s="4877"/>
      <c r="H279" s="4877"/>
      <c r="I279" s="2579"/>
      <c r="J279" s="2579"/>
      <c r="K279" s="2579"/>
      <c r="L279" s="2579"/>
      <c r="M279" s="2579"/>
      <c r="N279" s="2579"/>
      <c r="O279" s="2579"/>
    </row>
    <row r="280" spans="1:15" s="2463" customFormat="1">
      <c r="A280" s="2529"/>
      <c r="B280" s="2529"/>
      <c r="C280" s="2529"/>
      <c r="D280" s="2529"/>
      <c r="E280" s="2529"/>
      <c r="F280" s="2529"/>
      <c r="G280" s="2529"/>
      <c r="H280" s="2529"/>
      <c r="I280" s="2579"/>
      <c r="J280" s="2579"/>
      <c r="K280" s="2579"/>
      <c r="L280" s="2579"/>
      <c r="M280" s="2579"/>
      <c r="N280" s="2579"/>
      <c r="O280" s="2579"/>
    </row>
    <row r="281" spans="1:15" s="2463" customFormat="1">
      <c r="A281" s="2568"/>
      <c r="B281" s="2567"/>
      <c r="C281" s="2529"/>
      <c r="D281" s="2566"/>
      <c r="E281" s="2566"/>
      <c r="F281" s="2566"/>
      <c r="G281" s="2566"/>
      <c r="H281" s="2566"/>
      <c r="I281" s="2579"/>
      <c r="J281" s="2579"/>
      <c r="K281" s="2579"/>
      <c r="L281" s="2579"/>
      <c r="M281" s="2579"/>
      <c r="N281" s="2579"/>
      <c r="O281" s="2579"/>
    </row>
    <row r="282" spans="1:15" s="2463" customFormat="1" ht="12.75">
      <c r="A282" s="1269"/>
      <c r="B282" s="1269"/>
      <c r="C282" s="2542"/>
      <c r="D282" s="2541"/>
      <c r="E282" s="2561"/>
      <c r="F282" s="2540"/>
      <c r="G282" s="2565"/>
      <c r="H282" s="2561"/>
      <c r="I282" s="2579"/>
      <c r="J282" s="2579"/>
      <c r="K282" s="2579"/>
      <c r="L282" s="2579"/>
      <c r="M282" s="2579"/>
      <c r="N282" s="2579"/>
      <c r="O282" s="2579"/>
    </row>
    <row r="283" spans="1:15" s="2463" customFormat="1" ht="23.25">
      <c r="A283" s="2564"/>
      <c r="B283" s="2564"/>
      <c r="C283" s="2563"/>
      <c r="D283" s="2541"/>
      <c r="E283" s="2561"/>
      <c r="F283" s="2540"/>
      <c r="G283" s="2562"/>
      <c r="H283" s="2561"/>
      <c r="I283" s="2579"/>
      <c r="J283" s="2579"/>
      <c r="K283" s="2579"/>
      <c r="L283" s="2579"/>
      <c r="M283" s="2579"/>
      <c r="N283" s="2579"/>
      <c r="O283" s="2579"/>
    </row>
    <row r="284" spans="1:15" s="2463" customFormat="1" ht="12.75">
      <c r="A284" s="4879"/>
      <c r="B284" s="4879"/>
      <c r="C284" s="2559"/>
      <c r="D284" s="2560"/>
      <c r="E284" s="4880"/>
      <c r="F284" s="4880"/>
      <c r="G284" s="4880"/>
      <c r="H284" s="2557"/>
      <c r="I284" s="2579"/>
      <c r="J284" s="2579"/>
      <c r="K284" s="2579"/>
      <c r="L284" s="2579"/>
      <c r="M284" s="2579"/>
      <c r="N284" s="2579"/>
      <c r="O284" s="2579"/>
    </row>
    <row r="285" spans="1:15" s="2463" customFormat="1" ht="12.75">
      <c r="A285" s="4879"/>
      <c r="B285" s="4879"/>
      <c r="C285" s="2559"/>
      <c r="D285" s="2558"/>
      <c r="E285" s="2558"/>
      <c r="F285" s="2558"/>
      <c r="G285" s="2558"/>
      <c r="H285" s="2558"/>
      <c r="I285" s="2579"/>
      <c r="J285" s="2579"/>
      <c r="K285" s="2579"/>
      <c r="L285" s="2579"/>
      <c r="M285" s="2579"/>
      <c r="N285" s="2579"/>
      <c r="O285" s="2579"/>
    </row>
    <row r="286" spans="1:15" s="2463" customFormat="1" ht="12.75">
      <c r="A286" s="4879"/>
      <c r="B286" s="4879"/>
      <c r="C286" s="2557"/>
      <c r="D286" s="2555"/>
      <c r="E286" s="2555"/>
      <c r="F286" s="2555"/>
      <c r="G286" s="2556"/>
      <c r="H286" s="2555"/>
      <c r="I286" s="2579"/>
      <c r="J286" s="2579"/>
      <c r="K286" s="2579"/>
      <c r="L286" s="2579"/>
      <c r="M286" s="2579"/>
      <c r="N286" s="2579"/>
      <c r="O286" s="2579"/>
    </row>
    <row r="287" spans="1:15" s="2463" customFormat="1" ht="12.75">
      <c r="A287" s="2554"/>
      <c r="B287" s="2553"/>
      <c r="C287" s="2552"/>
      <c r="D287" s="2551"/>
      <c r="E287" s="2551"/>
      <c r="F287" s="2551"/>
      <c r="G287" s="2551"/>
      <c r="H287" s="2551"/>
      <c r="I287" s="2579"/>
      <c r="J287" s="2579"/>
      <c r="K287" s="2579"/>
      <c r="L287" s="2579"/>
      <c r="M287" s="2579"/>
      <c r="N287" s="2579"/>
      <c r="O287" s="2579"/>
    </row>
    <row r="288" spans="1:15">
      <c r="A288" s="2549"/>
      <c r="B288" s="2549"/>
      <c r="C288" s="2550"/>
      <c r="D288" s="2548"/>
      <c r="E288" s="2548"/>
      <c r="F288" s="2540"/>
      <c r="G288" s="2548"/>
      <c r="H288" s="2548"/>
    </row>
    <row r="289" spans="1:15">
      <c r="A289" s="2549"/>
      <c r="B289" s="2549"/>
      <c r="C289" s="2545"/>
      <c r="D289" s="2548"/>
      <c r="E289" s="2548"/>
      <c r="F289" s="2540"/>
      <c r="G289" s="2548"/>
      <c r="H289" s="2548"/>
    </row>
    <row r="290" spans="1:15">
      <c r="A290" s="2547"/>
      <c r="B290" s="2546"/>
      <c r="C290" s="2545"/>
      <c r="D290" s="2541"/>
      <c r="E290" s="2544"/>
      <c r="F290" s="2540"/>
      <c r="G290" s="2544"/>
      <c r="H290" s="2544"/>
    </row>
    <row r="291" spans="1:15">
      <c r="A291" s="2543"/>
      <c r="B291" s="2543"/>
      <c r="C291" s="2542"/>
      <c r="D291" s="2541"/>
      <c r="E291" s="2539"/>
      <c r="F291" s="2540"/>
      <c r="G291" s="2539"/>
      <c r="H291" s="2539"/>
    </row>
    <row r="292" spans="1:15" s="2463" customFormat="1" ht="12.75">
      <c r="A292" s="2538"/>
      <c r="B292" s="2538"/>
      <c r="C292" s="2537"/>
      <c r="D292" s="2536"/>
      <c r="E292" s="2536"/>
      <c r="F292" s="2536"/>
      <c r="G292" s="2536"/>
      <c r="H292" s="2536"/>
      <c r="I292" s="2579"/>
      <c r="J292" s="2579"/>
      <c r="K292" s="2579"/>
      <c r="L292" s="2579"/>
      <c r="M292" s="2579"/>
      <c r="N292" s="2579"/>
      <c r="O292" s="2579"/>
    </row>
    <row r="293" spans="1:15" s="2463" customFormat="1" ht="12.75">
      <c r="A293" s="2538"/>
      <c r="B293" s="2538"/>
      <c r="C293" s="2537"/>
      <c r="D293" s="2536"/>
      <c r="E293" s="2536"/>
      <c r="F293" s="2536"/>
      <c r="G293" s="2536"/>
      <c r="H293" s="2536"/>
      <c r="I293" s="2579"/>
      <c r="J293" s="2579"/>
      <c r="K293" s="2579"/>
      <c r="L293" s="2579"/>
      <c r="M293" s="2579"/>
      <c r="N293" s="2579"/>
      <c r="O293" s="2579"/>
    </row>
    <row r="294" spans="1:15" s="2463" customFormat="1">
      <c r="A294" s="1269"/>
      <c r="B294" s="2529"/>
      <c r="C294" s="2535"/>
      <c r="D294" s="2529"/>
      <c r="E294" s="4877"/>
      <c r="F294" s="4877"/>
      <c r="G294" s="1269"/>
      <c r="H294" s="2529"/>
      <c r="I294" s="2579"/>
      <c r="J294" s="2579"/>
      <c r="K294" s="2579"/>
      <c r="L294" s="2579"/>
      <c r="M294" s="2579"/>
      <c r="N294" s="2579"/>
      <c r="O294" s="2579"/>
    </row>
    <row r="295" spans="1:15" s="2463" customFormat="1">
      <c r="A295" s="2529"/>
      <c r="B295" s="1269"/>
      <c r="C295" s="2535"/>
      <c r="D295" s="1269"/>
      <c r="E295" s="1269"/>
      <c r="F295" s="1269"/>
      <c r="G295" s="1269"/>
      <c r="H295" s="2529"/>
      <c r="I295" s="2579"/>
      <c r="J295" s="2579"/>
      <c r="K295" s="2579"/>
      <c r="L295" s="2579"/>
      <c r="M295" s="2579"/>
      <c r="N295" s="2579"/>
      <c r="O295" s="2579"/>
    </row>
    <row r="296" spans="1:15" s="2463" customFormat="1" ht="12.75">
      <c r="A296" s="2534"/>
      <c r="B296" s="1269"/>
      <c r="C296" s="4881"/>
      <c r="D296" s="4881"/>
      <c r="E296" s="4876"/>
      <c r="F296" s="4876"/>
      <c r="G296" s="4876"/>
      <c r="H296" s="4876"/>
      <c r="I296" s="2579"/>
      <c r="J296" s="2579"/>
      <c r="K296" s="2579"/>
      <c r="L296" s="2579"/>
      <c r="M296" s="2579"/>
      <c r="N296" s="2579"/>
      <c r="O296" s="2579"/>
    </row>
    <row r="297" spans="1:15" s="2463" customFormat="1" ht="12.75">
      <c r="A297" s="2531"/>
      <c r="B297" s="2533"/>
      <c r="C297" s="4874"/>
      <c r="D297" s="4874"/>
      <c r="E297" s="4875"/>
      <c r="F297" s="4875"/>
      <c r="G297" s="4875"/>
      <c r="H297" s="4875"/>
      <c r="I297" s="2579"/>
      <c r="J297" s="2579"/>
      <c r="K297" s="2579"/>
      <c r="L297" s="2579"/>
      <c r="M297" s="2579"/>
      <c r="N297" s="2579"/>
      <c r="O297" s="2579"/>
    </row>
    <row r="298" spans="1:15" s="2463" customFormat="1">
      <c r="A298" s="2529"/>
      <c r="B298" s="2529"/>
      <c r="C298" s="2529"/>
      <c r="D298" s="2529"/>
      <c r="E298" s="2529"/>
      <c r="F298" s="2529"/>
      <c r="G298" s="2529"/>
      <c r="H298" s="2529"/>
      <c r="I298" s="2579"/>
      <c r="J298" s="2579"/>
      <c r="K298" s="2579"/>
      <c r="L298" s="2579"/>
      <c r="M298" s="2579"/>
      <c r="N298" s="2579"/>
      <c r="O298" s="2579"/>
    </row>
    <row r="299" spans="1:15" s="2463" customFormat="1">
      <c r="A299" s="2462"/>
      <c r="B299" s="2462"/>
      <c r="C299" s="2462"/>
      <c r="D299" s="2462"/>
      <c r="E299" s="2462"/>
      <c r="F299" s="2462"/>
      <c r="G299" s="2462"/>
      <c r="H299" s="2462"/>
      <c r="I299" s="2579"/>
      <c r="J299" s="2579"/>
      <c r="K299" s="2579"/>
      <c r="L299" s="2579"/>
      <c r="M299" s="2579"/>
      <c r="N299" s="2579"/>
      <c r="O299" s="2579"/>
    </row>
    <row r="300" spans="1:15" s="2463" customFormat="1">
      <c r="A300" s="2462"/>
      <c r="B300" s="2462"/>
      <c r="C300" s="2462"/>
      <c r="D300" s="2462"/>
      <c r="E300" s="2462"/>
      <c r="F300" s="2462"/>
      <c r="G300" s="2462"/>
      <c r="H300" s="2462"/>
      <c r="I300" s="2579"/>
      <c r="J300" s="2579"/>
      <c r="K300" s="2579"/>
      <c r="L300" s="2579"/>
      <c r="M300" s="2579"/>
      <c r="N300" s="2579"/>
      <c r="O300" s="2579"/>
    </row>
    <row r="301" spans="1:15" s="2463" customFormat="1">
      <c r="A301" s="2462"/>
      <c r="B301" s="2462"/>
      <c r="C301" s="2462"/>
      <c r="D301" s="2462"/>
      <c r="E301" s="2462"/>
      <c r="F301" s="2462"/>
      <c r="G301" s="2462"/>
      <c r="H301" s="2462"/>
      <c r="I301" s="2579"/>
      <c r="J301" s="2579"/>
      <c r="K301" s="2579"/>
      <c r="L301" s="2579"/>
      <c r="M301" s="2579"/>
      <c r="N301" s="2579"/>
      <c r="O301" s="2579"/>
    </row>
    <row r="302" spans="1:15" s="2463" customFormat="1">
      <c r="A302" s="2462"/>
      <c r="B302" s="2462"/>
      <c r="C302" s="2462"/>
      <c r="D302" s="2462"/>
      <c r="E302" s="2462"/>
      <c r="F302" s="2462"/>
      <c r="G302" s="2462"/>
      <c r="H302" s="2462"/>
      <c r="I302" s="2579"/>
      <c r="J302" s="2579"/>
      <c r="K302" s="2579"/>
      <c r="L302" s="2579"/>
      <c r="M302" s="2579"/>
      <c r="N302" s="2579"/>
      <c r="O302" s="2579"/>
    </row>
    <row r="303" spans="1:15" s="2463" customFormat="1">
      <c r="A303" s="2462"/>
      <c r="B303" s="2462"/>
      <c r="C303" s="2462"/>
      <c r="D303" s="2462"/>
      <c r="E303" s="2462"/>
      <c r="F303" s="2462"/>
      <c r="G303" s="2462"/>
      <c r="H303" s="2462"/>
      <c r="I303" s="2579"/>
      <c r="J303" s="2579"/>
      <c r="K303" s="2579"/>
      <c r="L303" s="2579"/>
      <c r="M303" s="2579"/>
      <c r="N303" s="2579"/>
      <c r="O303" s="2579"/>
    </row>
    <row r="304" spans="1:15" s="2463" customFormat="1">
      <c r="A304" s="2462"/>
      <c r="B304" s="2462"/>
      <c r="C304" s="2462"/>
      <c r="D304" s="2462"/>
      <c r="E304" s="2462"/>
      <c r="F304" s="2462"/>
      <c r="G304" s="2462"/>
      <c r="H304" s="2462"/>
      <c r="I304" s="2579"/>
      <c r="J304" s="2579"/>
      <c r="K304" s="2579"/>
      <c r="L304" s="2579"/>
      <c r="M304" s="2579"/>
      <c r="N304" s="2579"/>
      <c r="O304" s="2579"/>
    </row>
    <row r="305" spans="1:15" s="2463" customFormat="1">
      <c r="A305" s="2462"/>
      <c r="B305" s="2462"/>
      <c r="C305" s="2462"/>
      <c r="D305" s="2462"/>
      <c r="E305" s="2462"/>
      <c r="F305" s="2462"/>
      <c r="G305" s="2462"/>
      <c r="H305" s="2462"/>
      <c r="I305" s="2579"/>
      <c r="J305" s="2579"/>
      <c r="K305" s="2579"/>
      <c r="L305" s="2579"/>
      <c r="M305" s="2579"/>
      <c r="N305" s="2579"/>
      <c r="O305" s="2579"/>
    </row>
    <row r="306" spans="1:15" s="2463" customFormat="1">
      <c r="A306" s="2462"/>
      <c r="B306" s="2462"/>
      <c r="C306" s="2462"/>
      <c r="D306" s="2462"/>
      <c r="E306" s="2462"/>
      <c r="F306" s="2462"/>
      <c r="G306" s="2462"/>
      <c r="H306" s="2462"/>
      <c r="I306" s="2579"/>
      <c r="J306" s="2579"/>
      <c r="K306" s="2579"/>
      <c r="L306" s="2579"/>
      <c r="M306" s="2579"/>
      <c r="N306" s="2579"/>
      <c r="O306" s="2579"/>
    </row>
    <row r="307" spans="1:15" s="2463" customFormat="1">
      <c r="A307" s="2462"/>
      <c r="B307" s="2462"/>
      <c r="C307" s="2462"/>
      <c r="D307" s="2462"/>
      <c r="E307" s="2462"/>
      <c r="F307" s="2462"/>
      <c r="G307" s="2462"/>
      <c r="H307" s="2462"/>
      <c r="I307" s="2579"/>
      <c r="J307" s="2579"/>
      <c r="K307" s="2579"/>
      <c r="L307" s="2579"/>
      <c r="M307" s="2579"/>
      <c r="N307" s="2579"/>
      <c r="O307" s="2579"/>
    </row>
    <row r="308" spans="1:15" s="2463" customFormat="1">
      <c r="A308" s="2462"/>
      <c r="B308" s="2462"/>
      <c r="C308" s="2462"/>
      <c r="D308" s="2462"/>
      <c r="E308" s="2462"/>
      <c r="F308" s="2462"/>
      <c r="G308" s="2462"/>
      <c r="H308" s="2462"/>
      <c r="I308" s="2579"/>
      <c r="J308" s="2579"/>
      <c r="K308" s="2579"/>
      <c r="L308" s="2579"/>
      <c r="M308" s="2579"/>
      <c r="N308" s="2579"/>
      <c r="O308" s="2579"/>
    </row>
    <row r="309" spans="1:15" s="2463" customFormat="1">
      <c r="A309" s="2462"/>
      <c r="B309" s="2462"/>
      <c r="C309" s="2462"/>
      <c r="D309" s="2462"/>
      <c r="E309" s="2462"/>
      <c r="F309" s="2462"/>
      <c r="G309" s="2462"/>
      <c r="H309" s="2462"/>
      <c r="I309" s="2579"/>
      <c r="J309" s="2579"/>
      <c r="K309" s="2579"/>
      <c r="L309" s="2579"/>
      <c r="M309" s="2579"/>
      <c r="N309" s="2579"/>
      <c r="O309" s="2579"/>
    </row>
    <row r="310" spans="1:15" s="2463" customFormat="1">
      <c r="A310" s="2462"/>
      <c r="B310" s="2462"/>
      <c r="C310" s="2462"/>
      <c r="D310" s="2462"/>
      <c r="E310" s="2462"/>
      <c r="F310" s="2462"/>
      <c r="G310" s="2462"/>
      <c r="H310" s="2462"/>
      <c r="I310" s="2579"/>
      <c r="J310" s="2579"/>
      <c r="K310" s="2579"/>
      <c r="L310" s="2579"/>
      <c r="M310" s="2579"/>
      <c r="N310" s="2579"/>
      <c r="O310" s="2579"/>
    </row>
    <row r="311" spans="1:15" s="2463" customFormat="1">
      <c r="A311" s="2462"/>
      <c r="B311" s="2462"/>
      <c r="C311" s="2462"/>
      <c r="D311" s="2462"/>
      <c r="E311" s="2462"/>
      <c r="F311" s="2462"/>
      <c r="G311" s="2462"/>
      <c r="H311" s="2462"/>
      <c r="I311" s="2579"/>
      <c r="J311" s="2579"/>
      <c r="K311" s="2579"/>
      <c r="L311" s="2579"/>
      <c r="M311" s="2579"/>
      <c r="N311" s="2579"/>
      <c r="O311" s="2579"/>
    </row>
    <row r="312" spans="1:15" s="2463" customFormat="1">
      <c r="A312" s="2462"/>
      <c r="B312" s="2462"/>
      <c r="C312" s="2462"/>
      <c r="D312" s="2462"/>
      <c r="E312" s="2462"/>
      <c r="F312" s="2462"/>
      <c r="G312" s="2462"/>
      <c r="H312" s="2462"/>
      <c r="I312" s="2579"/>
      <c r="J312" s="2579"/>
      <c r="K312" s="2579"/>
      <c r="L312" s="2579"/>
      <c r="M312" s="2579"/>
      <c r="N312" s="2579"/>
      <c r="O312" s="2579"/>
    </row>
    <row r="313" spans="1:15" s="2463" customFormat="1">
      <c r="A313" s="2462"/>
      <c r="B313" s="2462"/>
      <c r="C313" s="2462"/>
      <c r="D313" s="2462"/>
      <c r="E313" s="2462"/>
      <c r="F313" s="2462"/>
      <c r="G313" s="2462"/>
      <c r="H313" s="2462"/>
      <c r="I313" s="2579"/>
      <c r="J313" s="2579"/>
      <c r="K313" s="2579"/>
      <c r="L313" s="2579"/>
      <c r="M313" s="2579"/>
      <c r="N313" s="2579"/>
      <c r="O313" s="2579"/>
    </row>
    <row r="314" spans="1:15" s="2463" customFormat="1">
      <c r="A314" s="2462"/>
      <c r="B314" s="2462"/>
      <c r="C314" s="2462"/>
      <c r="D314" s="2462"/>
      <c r="E314" s="2462"/>
      <c r="F314" s="2462"/>
      <c r="G314" s="2462"/>
      <c r="H314" s="2462"/>
      <c r="I314" s="2579"/>
      <c r="J314" s="2579"/>
      <c r="K314" s="2579"/>
      <c r="L314" s="2579"/>
      <c r="M314" s="2579"/>
      <c r="N314" s="2579"/>
      <c r="O314" s="2579"/>
    </row>
    <row r="315" spans="1:15" s="2463" customFormat="1">
      <c r="A315" s="2462"/>
      <c r="B315" s="2462"/>
      <c r="C315" s="2462"/>
      <c r="D315" s="2462"/>
      <c r="E315" s="2462"/>
      <c r="F315" s="2462"/>
      <c r="G315" s="2462"/>
      <c r="H315" s="2462"/>
      <c r="I315" s="2579"/>
      <c r="J315" s="2579"/>
      <c r="K315" s="2579"/>
      <c r="L315" s="2579"/>
      <c r="M315" s="2579"/>
      <c r="N315" s="2579"/>
      <c r="O315" s="2579"/>
    </row>
    <row r="316" spans="1:15" s="2463" customFormat="1">
      <c r="A316" s="2462"/>
      <c r="B316" s="2462"/>
      <c r="C316" s="2462"/>
      <c r="D316" s="2462"/>
      <c r="E316" s="2462"/>
      <c r="F316" s="2462"/>
      <c r="G316" s="2462"/>
      <c r="H316" s="2462"/>
      <c r="I316" s="2579"/>
      <c r="J316" s="2579"/>
      <c r="K316" s="2579"/>
      <c r="L316" s="2579"/>
      <c r="M316" s="2579"/>
      <c r="N316" s="2579"/>
      <c r="O316" s="2579"/>
    </row>
    <row r="317" spans="1:15" s="2463" customFormat="1">
      <c r="A317" s="2462"/>
      <c r="B317" s="2462"/>
      <c r="C317" s="2462"/>
      <c r="D317" s="2462"/>
      <c r="E317" s="2462"/>
      <c r="F317" s="2462"/>
      <c r="G317" s="2462"/>
      <c r="H317" s="2462"/>
      <c r="I317" s="2579"/>
      <c r="J317" s="2579"/>
      <c r="K317" s="2579"/>
      <c r="L317" s="2579"/>
      <c r="M317" s="2579"/>
      <c r="N317" s="2579"/>
      <c r="O317" s="2579"/>
    </row>
    <row r="318" spans="1:15" s="2463" customFormat="1">
      <c r="A318" s="2462"/>
      <c r="B318" s="2462"/>
      <c r="C318" s="2462"/>
      <c r="D318" s="2462"/>
      <c r="E318" s="2462"/>
      <c r="F318" s="2462"/>
      <c r="G318" s="2462"/>
      <c r="H318" s="2462"/>
      <c r="I318" s="2579"/>
      <c r="J318" s="2579"/>
      <c r="K318" s="2579"/>
      <c r="L318" s="2579"/>
      <c r="M318" s="2579"/>
      <c r="N318" s="2579"/>
      <c r="O318" s="2579"/>
    </row>
    <row r="319" spans="1:15" s="2463" customFormat="1">
      <c r="A319" s="2462"/>
      <c r="B319" s="2462"/>
      <c r="C319" s="2462"/>
      <c r="D319" s="2462"/>
      <c r="E319" s="2462"/>
      <c r="F319" s="2462"/>
      <c r="G319" s="2462"/>
      <c r="H319" s="2462"/>
      <c r="I319" s="2579"/>
      <c r="J319" s="2579"/>
      <c r="K319" s="2579"/>
      <c r="L319" s="2579"/>
      <c r="M319" s="2579"/>
      <c r="N319" s="2579"/>
      <c r="O319" s="2579"/>
    </row>
    <row r="320" spans="1:15" s="2463" customFormat="1">
      <c r="A320" s="2462"/>
      <c r="B320" s="2462"/>
      <c r="C320" s="2462"/>
      <c r="D320" s="2462"/>
      <c r="E320" s="2462"/>
      <c r="F320" s="2462"/>
      <c r="G320" s="2462"/>
      <c r="H320" s="2462"/>
      <c r="I320" s="2579"/>
      <c r="J320" s="2579"/>
      <c r="K320" s="2579"/>
      <c r="L320" s="2579"/>
      <c r="M320" s="2579"/>
      <c r="N320" s="2579"/>
      <c r="O320" s="2579"/>
    </row>
    <row r="321" spans="1:15" s="2463" customFormat="1">
      <c r="A321" s="2462"/>
      <c r="B321" s="2462"/>
      <c r="C321" s="2462"/>
      <c r="D321" s="2462"/>
      <c r="E321" s="2462"/>
      <c r="F321" s="2462"/>
      <c r="G321" s="2462"/>
      <c r="H321" s="2462"/>
      <c r="I321" s="2579"/>
      <c r="J321" s="2579"/>
      <c r="K321" s="2579"/>
      <c r="L321" s="2579"/>
      <c r="M321" s="2579"/>
      <c r="N321" s="2579"/>
      <c r="O321" s="2579"/>
    </row>
    <row r="322" spans="1:15" s="2463" customFormat="1">
      <c r="A322" s="2462"/>
      <c r="B322" s="2462"/>
      <c r="C322" s="2462"/>
      <c r="D322" s="2462"/>
      <c r="E322" s="2462"/>
      <c r="F322" s="2462"/>
      <c r="G322" s="2462"/>
      <c r="H322" s="2462"/>
      <c r="I322" s="2579"/>
      <c r="J322" s="2579"/>
      <c r="K322" s="2579"/>
      <c r="L322" s="2579"/>
      <c r="M322" s="2579"/>
      <c r="N322" s="2579"/>
      <c r="O322" s="2579"/>
    </row>
    <row r="323" spans="1:15" s="2463" customFormat="1">
      <c r="A323" s="2462"/>
      <c r="B323" s="2462"/>
      <c r="C323" s="2462"/>
      <c r="D323" s="2462"/>
      <c r="E323" s="2462"/>
      <c r="F323" s="2462"/>
      <c r="G323" s="2462"/>
      <c r="H323" s="2462"/>
      <c r="I323" s="2579"/>
      <c r="J323" s="2579"/>
      <c r="K323" s="2579"/>
      <c r="L323" s="2579"/>
      <c r="M323" s="2579"/>
      <c r="N323" s="2579"/>
      <c r="O323" s="2579"/>
    </row>
    <row r="324" spans="1:15" s="2463" customFormat="1">
      <c r="A324" s="2462"/>
      <c r="B324" s="2462"/>
      <c r="C324" s="2462"/>
      <c r="D324" s="2462"/>
      <c r="E324" s="2462"/>
      <c r="F324" s="2462"/>
      <c r="G324" s="2462"/>
      <c r="H324" s="2462"/>
      <c r="I324" s="2579"/>
      <c r="J324" s="2579"/>
      <c r="K324" s="2579"/>
      <c r="L324" s="2579"/>
      <c r="M324" s="2579"/>
      <c r="N324" s="2579"/>
      <c r="O324" s="2579"/>
    </row>
    <row r="325" spans="1:15" s="2463" customFormat="1">
      <c r="A325" s="2462"/>
      <c r="B325" s="2462"/>
      <c r="C325" s="2462"/>
      <c r="D325" s="2462"/>
      <c r="E325" s="2462"/>
      <c r="F325" s="2462"/>
      <c r="G325" s="2462"/>
      <c r="H325" s="2462"/>
      <c r="I325" s="2579"/>
      <c r="J325" s="2579"/>
      <c r="K325" s="2579"/>
      <c r="L325" s="2579"/>
      <c r="M325" s="2579"/>
      <c r="N325" s="2579"/>
      <c r="O325" s="2579"/>
    </row>
    <row r="326" spans="1:15" s="2463" customFormat="1">
      <c r="A326" s="2462"/>
      <c r="B326" s="2462"/>
      <c r="C326" s="2462"/>
      <c r="D326" s="2462"/>
      <c r="E326" s="2462"/>
      <c r="F326" s="2462"/>
      <c r="G326" s="2462"/>
      <c r="H326" s="2462"/>
      <c r="I326" s="2579"/>
      <c r="J326" s="2579"/>
      <c r="K326" s="2579"/>
      <c r="L326" s="2579"/>
      <c r="M326" s="2579"/>
      <c r="N326" s="2579"/>
      <c r="O326" s="2579"/>
    </row>
    <row r="327" spans="1:15" s="2463" customFormat="1">
      <c r="A327" s="2462"/>
      <c r="B327" s="2462"/>
      <c r="C327" s="2462"/>
      <c r="D327" s="2462"/>
      <c r="E327" s="2462"/>
      <c r="F327" s="2462"/>
      <c r="G327" s="2462"/>
      <c r="H327" s="2462"/>
      <c r="I327" s="2579"/>
      <c r="J327" s="2579"/>
      <c r="K327" s="2579"/>
      <c r="L327" s="2579"/>
      <c r="M327" s="2579"/>
      <c r="N327" s="2579"/>
      <c r="O327" s="2579"/>
    </row>
    <row r="328" spans="1:15" s="2463" customFormat="1">
      <c r="A328" s="2462"/>
      <c r="B328" s="2462"/>
      <c r="C328" s="2462"/>
      <c r="D328" s="2462"/>
      <c r="E328" s="2462"/>
      <c r="F328" s="2462"/>
      <c r="G328" s="2462"/>
      <c r="H328" s="2462"/>
      <c r="I328" s="2579"/>
      <c r="J328" s="2579"/>
      <c r="K328" s="2579"/>
      <c r="L328" s="2579"/>
      <c r="M328" s="2579"/>
      <c r="N328" s="2579"/>
      <c r="O328" s="2579"/>
    </row>
    <row r="329" spans="1:15" s="2463" customFormat="1">
      <c r="A329" s="2462"/>
      <c r="B329" s="2462"/>
      <c r="C329" s="2462"/>
      <c r="D329" s="2462"/>
      <c r="E329" s="2462"/>
      <c r="F329" s="2462"/>
      <c r="G329" s="2462"/>
      <c r="H329" s="2462"/>
      <c r="I329" s="2579"/>
      <c r="J329" s="2579"/>
      <c r="K329" s="2579"/>
      <c r="L329" s="2579"/>
      <c r="M329" s="2579"/>
      <c r="N329" s="2579"/>
      <c r="O329" s="2579"/>
    </row>
    <row r="330" spans="1:15" s="2463" customFormat="1">
      <c r="A330" s="2462"/>
      <c r="B330" s="2462"/>
      <c r="C330" s="2462"/>
      <c r="D330" s="2462"/>
      <c r="E330" s="2462"/>
      <c r="F330" s="2462"/>
      <c r="G330" s="2462"/>
      <c r="H330" s="2462"/>
      <c r="I330" s="2579"/>
      <c r="J330" s="2579"/>
      <c r="K330" s="2579"/>
      <c r="L330" s="2579"/>
      <c r="M330" s="2579"/>
      <c r="N330" s="2579"/>
      <c r="O330" s="2579"/>
    </row>
    <row r="331" spans="1:15" s="2463" customFormat="1">
      <c r="A331" s="2462"/>
      <c r="B331" s="2462"/>
      <c r="C331" s="2462"/>
      <c r="D331" s="2462"/>
      <c r="E331" s="2462"/>
      <c r="F331" s="2462"/>
      <c r="G331" s="2462"/>
      <c r="H331" s="2462"/>
      <c r="I331" s="2579"/>
      <c r="J331" s="2579"/>
      <c r="K331" s="2579"/>
      <c r="L331" s="2579"/>
      <c r="M331" s="2579"/>
      <c r="N331" s="2579"/>
      <c r="O331" s="2579"/>
    </row>
    <row r="336" spans="1:15" s="2463" customFormat="1">
      <c r="A336" s="2462"/>
      <c r="B336" s="2462"/>
      <c r="C336" s="2462"/>
      <c r="D336" s="2462"/>
      <c r="E336" s="2462"/>
      <c r="F336" s="2462"/>
      <c r="G336" s="2462"/>
      <c r="H336" s="2462"/>
      <c r="I336" s="2579"/>
      <c r="J336" s="2579"/>
      <c r="K336" s="2579"/>
      <c r="L336" s="2579"/>
      <c r="M336" s="2579"/>
      <c r="N336" s="2579"/>
      <c r="O336" s="2579"/>
    </row>
    <row r="337" spans="1:15" s="2463" customFormat="1">
      <c r="A337" s="2462"/>
      <c r="B337" s="2462"/>
      <c r="C337" s="2462"/>
      <c r="D337" s="2462"/>
      <c r="E337" s="2462"/>
      <c r="F337" s="2462"/>
      <c r="G337" s="2462"/>
      <c r="H337" s="2462"/>
      <c r="I337" s="2579"/>
      <c r="J337" s="2579"/>
      <c r="K337" s="2579"/>
      <c r="L337" s="2579"/>
      <c r="M337" s="2579"/>
      <c r="N337" s="2579"/>
      <c r="O337" s="2579"/>
    </row>
    <row r="338" spans="1:15" s="2463" customFormat="1">
      <c r="A338" s="2462"/>
      <c r="B338" s="2462"/>
      <c r="C338" s="2462"/>
      <c r="D338" s="2462"/>
      <c r="E338" s="2462"/>
      <c r="F338" s="2462"/>
      <c r="G338" s="2462"/>
      <c r="H338" s="2462"/>
      <c r="I338" s="2579"/>
      <c r="J338" s="2579"/>
      <c r="K338" s="2579"/>
      <c r="L338" s="2579"/>
      <c r="M338" s="2579"/>
      <c r="N338" s="2579"/>
      <c r="O338" s="2579"/>
    </row>
    <row r="339" spans="1:15" s="2463" customFormat="1">
      <c r="A339" s="2462"/>
      <c r="B339" s="2462"/>
      <c r="C339" s="2462"/>
      <c r="D339" s="2462"/>
      <c r="E339" s="2462"/>
      <c r="F339" s="2462"/>
      <c r="G339" s="2462"/>
      <c r="H339" s="2462"/>
      <c r="I339" s="2579"/>
      <c r="J339" s="2579"/>
      <c r="K339" s="2579"/>
      <c r="L339" s="2579"/>
      <c r="M339" s="2579"/>
      <c r="N339" s="2579"/>
      <c r="O339" s="2579"/>
    </row>
    <row r="340" spans="1:15" s="2463" customFormat="1">
      <c r="A340" s="2462"/>
      <c r="B340" s="2462"/>
      <c r="C340" s="2462"/>
      <c r="D340" s="2462"/>
      <c r="E340" s="2462"/>
      <c r="F340" s="2462"/>
      <c r="G340" s="2462"/>
      <c r="H340" s="2462"/>
      <c r="I340" s="2579"/>
      <c r="J340" s="2579"/>
      <c r="K340" s="2579"/>
      <c r="L340" s="2579"/>
      <c r="M340" s="2579"/>
      <c r="N340" s="2579"/>
      <c r="O340" s="2579"/>
    </row>
    <row r="341" spans="1:15" s="2463" customFormat="1">
      <c r="A341" s="2462"/>
      <c r="B341" s="2462"/>
      <c r="C341" s="2462"/>
      <c r="D341" s="2462"/>
      <c r="E341" s="2462"/>
      <c r="F341" s="2462"/>
      <c r="G341" s="2462"/>
      <c r="H341" s="2462"/>
      <c r="I341" s="2579"/>
      <c r="J341" s="2579"/>
      <c r="K341" s="2579"/>
      <c r="L341" s="2579"/>
      <c r="M341" s="2579"/>
      <c r="N341" s="2579"/>
      <c r="O341" s="2579"/>
    </row>
    <row r="342" spans="1:15" s="2463" customFormat="1">
      <c r="A342" s="2462"/>
      <c r="B342" s="2462"/>
      <c r="C342" s="2462"/>
      <c r="D342" s="2462"/>
      <c r="E342" s="2462"/>
      <c r="F342" s="2462"/>
      <c r="G342" s="2462"/>
      <c r="H342" s="2462"/>
      <c r="I342" s="2579"/>
      <c r="J342" s="2579"/>
      <c r="K342" s="2579"/>
      <c r="L342" s="2579"/>
      <c r="M342" s="2579"/>
      <c r="N342" s="2579"/>
      <c r="O342" s="2579"/>
    </row>
    <row r="343" spans="1:15" s="2463" customFormat="1">
      <c r="A343" s="2462"/>
      <c r="B343" s="2462"/>
      <c r="C343" s="2462"/>
      <c r="D343" s="2462"/>
      <c r="E343" s="2462"/>
      <c r="F343" s="2462"/>
      <c r="G343" s="2462"/>
      <c r="H343" s="2462"/>
      <c r="I343" s="2579"/>
      <c r="J343" s="2579"/>
      <c r="K343" s="2579"/>
      <c r="L343" s="2579"/>
      <c r="M343" s="2579"/>
      <c r="N343" s="2579"/>
      <c r="O343" s="2579"/>
    </row>
    <row r="344" spans="1:15" s="2463" customFormat="1">
      <c r="A344" s="2462"/>
      <c r="B344" s="2462"/>
      <c r="C344" s="2462"/>
      <c r="D344" s="2462"/>
      <c r="E344" s="2462"/>
      <c r="F344" s="2462"/>
      <c r="G344" s="2462"/>
      <c r="H344" s="2462"/>
      <c r="I344" s="2579"/>
      <c r="J344" s="2579"/>
      <c r="K344" s="2579"/>
      <c r="L344" s="2579"/>
      <c r="M344" s="2579"/>
      <c r="N344" s="2579"/>
      <c r="O344" s="2579"/>
    </row>
    <row r="345" spans="1:15" s="2463" customFormat="1">
      <c r="A345" s="2462"/>
      <c r="B345" s="2462"/>
      <c r="C345" s="2462"/>
      <c r="D345" s="2462"/>
      <c r="E345" s="2462"/>
      <c r="F345" s="2462"/>
      <c r="G345" s="2462"/>
      <c r="H345" s="2462"/>
      <c r="I345" s="2579"/>
      <c r="J345" s="2579"/>
      <c r="K345" s="2579"/>
      <c r="L345" s="2579"/>
      <c r="M345" s="2579"/>
      <c r="N345" s="2579"/>
      <c r="O345" s="2579"/>
    </row>
    <row r="346" spans="1:15" s="2463" customFormat="1">
      <c r="A346" s="2462"/>
      <c r="B346" s="2462"/>
      <c r="C346" s="2462"/>
      <c r="D346" s="2462"/>
      <c r="E346" s="2462"/>
      <c r="F346" s="2462"/>
      <c r="G346" s="2462"/>
      <c r="H346" s="2462"/>
      <c r="I346" s="2579"/>
      <c r="J346" s="2579"/>
      <c r="K346" s="2579"/>
      <c r="L346" s="2579"/>
      <c r="M346" s="2579"/>
      <c r="N346" s="2579"/>
      <c r="O346" s="2579"/>
    </row>
    <row r="347" spans="1:15" s="2463" customFormat="1">
      <c r="A347" s="2462"/>
      <c r="B347" s="2462"/>
      <c r="C347" s="2462"/>
      <c r="D347" s="2462"/>
      <c r="E347" s="2462"/>
      <c r="F347" s="2462"/>
      <c r="G347" s="2462"/>
      <c r="H347" s="2462"/>
      <c r="I347" s="2579"/>
      <c r="J347" s="2579"/>
      <c r="K347" s="2579"/>
      <c r="L347" s="2579"/>
      <c r="M347" s="2579"/>
      <c r="N347" s="2579"/>
      <c r="O347" s="2579"/>
    </row>
    <row r="348" spans="1:15" s="2463" customFormat="1">
      <c r="A348" s="2462"/>
      <c r="B348" s="2462"/>
      <c r="C348" s="2462"/>
      <c r="D348" s="2462"/>
      <c r="E348" s="2462"/>
      <c r="F348" s="2462"/>
      <c r="G348" s="2462"/>
      <c r="H348" s="2462"/>
      <c r="I348" s="2579"/>
      <c r="J348" s="2579"/>
      <c r="K348" s="2579"/>
      <c r="L348" s="2579"/>
      <c r="M348" s="2579"/>
      <c r="N348" s="2579"/>
      <c r="O348" s="2579"/>
    </row>
    <row r="349" spans="1:15" s="2463" customFormat="1">
      <c r="A349" s="2462"/>
      <c r="B349" s="2462"/>
      <c r="C349" s="2462"/>
      <c r="D349" s="2462"/>
      <c r="E349" s="2462"/>
      <c r="F349" s="2462"/>
      <c r="G349" s="2462"/>
      <c r="H349" s="2462"/>
      <c r="I349" s="2579"/>
      <c r="J349" s="2579"/>
      <c r="K349" s="2579"/>
      <c r="L349" s="2579"/>
      <c r="M349" s="2579"/>
      <c r="N349" s="2579"/>
      <c r="O349" s="2579"/>
    </row>
    <row r="350" spans="1:15" s="2463" customFormat="1">
      <c r="A350" s="2462"/>
      <c r="B350" s="2462"/>
      <c r="C350" s="2462"/>
      <c r="D350" s="2462"/>
      <c r="E350" s="2462"/>
      <c r="F350" s="2462"/>
      <c r="G350" s="2462"/>
      <c r="H350" s="2462"/>
      <c r="I350" s="2579"/>
      <c r="J350" s="2579"/>
      <c r="K350" s="2579"/>
      <c r="L350" s="2579"/>
      <c r="M350" s="2579"/>
      <c r="N350" s="2579"/>
      <c r="O350" s="2579"/>
    </row>
    <row r="351" spans="1:15" s="2463" customFormat="1">
      <c r="A351" s="2462"/>
      <c r="B351" s="2462"/>
      <c r="C351" s="2462"/>
      <c r="D351" s="2462"/>
      <c r="E351" s="2462"/>
      <c r="F351" s="2462"/>
      <c r="G351" s="2462"/>
      <c r="H351" s="2462"/>
      <c r="I351" s="2579"/>
      <c r="J351" s="2579"/>
      <c r="K351" s="2579"/>
      <c r="L351" s="2579"/>
      <c r="M351" s="2579"/>
      <c r="N351" s="2579"/>
      <c r="O351" s="2579"/>
    </row>
    <row r="352" spans="1:15" s="2463" customFormat="1">
      <c r="A352" s="2462"/>
      <c r="B352" s="2462"/>
      <c r="C352" s="2462"/>
      <c r="D352" s="2462"/>
      <c r="E352" s="2462"/>
      <c r="F352" s="2462"/>
      <c r="G352" s="2462"/>
      <c r="H352" s="2462"/>
      <c r="I352" s="2579"/>
      <c r="J352" s="2579"/>
      <c r="K352" s="2579"/>
      <c r="L352" s="2579"/>
      <c r="M352" s="2579"/>
      <c r="N352" s="2579"/>
      <c r="O352" s="2579"/>
    </row>
    <row r="353" spans="1:15" s="2463" customFormat="1">
      <c r="A353" s="2462"/>
      <c r="B353" s="2462"/>
      <c r="C353" s="2462"/>
      <c r="D353" s="2462"/>
      <c r="E353" s="2462"/>
      <c r="F353" s="2462"/>
      <c r="G353" s="2462"/>
      <c r="H353" s="2462"/>
      <c r="I353" s="2579"/>
      <c r="J353" s="2579"/>
      <c r="K353" s="2579"/>
      <c r="L353" s="2579"/>
      <c r="M353" s="2579"/>
      <c r="N353" s="2579"/>
      <c r="O353" s="2579"/>
    </row>
    <row r="354" spans="1:15" s="2463" customFormat="1">
      <c r="A354" s="2462"/>
      <c r="B354" s="2462"/>
      <c r="C354" s="2462"/>
      <c r="D354" s="2462"/>
      <c r="E354" s="2462"/>
      <c r="F354" s="2462"/>
      <c r="G354" s="2462"/>
      <c r="H354" s="2462"/>
      <c r="I354" s="2579"/>
      <c r="J354" s="2579"/>
      <c r="K354" s="2579"/>
      <c r="L354" s="2579"/>
      <c r="M354" s="2579"/>
      <c r="N354" s="2579"/>
      <c r="O354" s="2579"/>
    </row>
    <row r="355" spans="1:15" s="2463" customFormat="1">
      <c r="A355" s="2462"/>
      <c r="B355" s="2462"/>
      <c r="C355" s="2462"/>
      <c r="D355" s="2462"/>
      <c r="E355" s="2462"/>
      <c r="F355" s="2462"/>
      <c r="G355" s="2462"/>
      <c r="H355" s="2462"/>
      <c r="I355" s="2579"/>
      <c r="J355" s="2579"/>
      <c r="K355" s="2579"/>
      <c r="L355" s="2579"/>
      <c r="M355" s="2579"/>
      <c r="N355" s="2579"/>
      <c r="O355" s="2579"/>
    </row>
    <row r="356" spans="1:15" s="2463" customFormat="1">
      <c r="A356" s="2462"/>
      <c r="B356" s="2462"/>
      <c r="C356" s="2462"/>
      <c r="D356" s="2462"/>
      <c r="E356" s="2462"/>
      <c r="F356" s="2462"/>
      <c r="G356" s="2462"/>
      <c r="H356" s="2462"/>
      <c r="I356" s="2579"/>
      <c r="J356" s="2579"/>
      <c r="K356" s="2579"/>
      <c r="L356" s="2579"/>
      <c r="M356" s="2579"/>
      <c r="N356" s="2579"/>
      <c r="O356" s="2579"/>
    </row>
    <row r="357" spans="1:15" s="2463" customFormat="1">
      <c r="A357" s="2462"/>
      <c r="B357" s="2462"/>
      <c r="C357" s="2462"/>
      <c r="D357" s="2462"/>
      <c r="E357" s="2462"/>
      <c r="F357" s="2462"/>
      <c r="G357" s="2462"/>
      <c r="H357" s="2462"/>
      <c r="I357" s="2579"/>
      <c r="J357" s="2579"/>
      <c r="K357" s="2579"/>
      <c r="L357" s="2579"/>
      <c r="M357" s="2579"/>
      <c r="N357" s="2579"/>
      <c r="O357" s="2579"/>
    </row>
    <row r="358" spans="1:15" s="2463" customFormat="1">
      <c r="A358" s="2462"/>
      <c r="B358" s="2462"/>
      <c r="C358" s="2462"/>
      <c r="D358" s="2462"/>
      <c r="E358" s="2462"/>
      <c r="F358" s="2462"/>
      <c r="G358" s="2462"/>
      <c r="H358" s="2462"/>
      <c r="I358" s="2579"/>
      <c r="J358" s="2579"/>
      <c r="K358" s="2579"/>
      <c r="L358" s="2579"/>
      <c r="M358" s="2579"/>
      <c r="N358" s="2579"/>
      <c r="O358" s="2579"/>
    </row>
    <row r="359" spans="1:15" s="2463" customFormat="1">
      <c r="A359" s="2462"/>
      <c r="B359" s="2462"/>
      <c r="C359" s="2462"/>
      <c r="D359" s="2462"/>
      <c r="E359" s="2462"/>
      <c r="F359" s="2462"/>
      <c r="G359" s="2462"/>
      <c r="H359" s="2462"/>
      <c r="I359" s="2579"/>
      <c r="J359" s="2579"/>
      <c r="K359" s="2579"/>
      <c r="L359" s="2579"/>
      <c r="M359" s="2579"/>
      <c r="N359" s="2579"/>
      <c r="O359" s="2579"/>
    </row>
    <row r="360" spans="1:15" s="2463" customFormat="1">
      <c r="A360" s="2462"/>
      <c r="B360" s="2462"/>
      <c r="C360" s="2462"/>
      <c r="D360" s="2462"/>
      <c r="E360" s="2462"/>
      <c r="F360" s="2462"/>
      <c r="G360" s="2462"/>
      <c r="H360" s="2462"/>
      <c r="I360" s="2579"/>
      <c r="J360" s="2579"/>
      <c r="K360" s="2579"/>
      <c r="L360" s="2579"/>
      <c r="M360" s="2579"/>
      <c r="N360" s="2579"/>
      <c r="O360" s="2579"/>
    </row>
    <row r="361" spans="1:15" s="2463" customFormat="1">
      <c r="A361" s="2462"/>
      <c r="B361" s="2462"/>
      <c r="C361" s="2462"/>
      <c r="D361" s="2462"/>
      <c r="E361" s="2462"/>
      <c r="F361" s="2462"/>
      <c r="G361" s="2462"/>
      <c r="H361" s="2462"/>
      <c r="I361" s="2579"/>
      <c r="J361" s="2579"/>
      <c r="K361" s="2579"/>
      <c r="L361" s="2579"/>
      <c r="M361" s="2579"/>
      <c r="N361" s="2579"/>
      <c r="O361" s="2579"/>
    </row>
    <row r="362" spans="1:15" s="2463" customFormat="1">
      <c r="A362" s="2462"/>
      <c r="B362" s="2462"/>
      <c r="C362" s="2462"/>
      <c r="D362" s="2462"/>
      <c r="E362" s="2462"/>
      <c r="F362" s="2462"/>
      <c r="G362" s="2462"/>
      <c r="H362" s="2462"/>
      <c r="I362" s="2579"/>
      <c r="J362" s="2579"/>
      <c r="K362" s="2579"/>
      <c r="L362" s="2579"/>
      <c r="M362" s="2579"/>
      <c r="N362" s="2579"/>
      <c r="O362" s="2579"/>
    </row>
    <row r="363" spans="1:15" s="2463" customFormat="1">
      <c r="A363" s="2462"/>
      <c r="B363" s="2462"/>
      <c r="C363" s="2462"/>
      <c r="D363" s="2462"/>
      <c r="E363" s="2462"/>
      <c r="F363" s="2462"/>
      <c r="G363" s="2462"/>
      <c r="H363" s="2462"/>
      <c r="I363" s="2579"/>
      <c r="J363" s="2579"/>
      <c r="K363" s="2579"/>
      <c r="L363" s="2579"/>
      <c r="M363" s="2579"/>
      <c r="N363" s="2579"/>
      <c r="O363" s="2579"/>
    </row>
    <row r="364" spans="1:15" s="2463" customFormat="1">
      <c r="A364" s="2462"/>
      <c r="B364" s="2462"/>
      <c r="C364" s="2462"/>
      <c r="D364" s="2462"/>
      <c r="E364" s="2462"/>
      <c r="F364" s="2462"/>
      <c r="G364" s="2462"/>
      <c r="H364" s="2462"/>
      <c r="I364" s="2579"/>
      <c r="J364" s="2579"/>
      <c r="K364" s="2579"/>
      <c r="L364" s="2579"/>
      <c r="M364" s="2579"/>
      <c r="N364" s="2579"/>
      <c r="O364" s="2579"/>
    </row>
    <row r="365" spans="1:15" s="2463" customFormat="1">
      <c r="A365" s="2462"/>
      <c r="B365" s="2462"/>
      <c r="C365" s="2462"/>
      <c r="D365" s="2462"/>
      <c r="E365" s="2462"/>
      <c r="F365" s="2462"/>
      <c r="G365" s="2462"/>
      <c r="H365" s="2462"/>
      <c r="I365" s="2579"/>
      <c r="J365" s="2579"/>
      <c r="K365" s="2579"/>
      <c r="L365" s="2579"/>
      <c r="M365" s="2579"/>
      <c r="N365" s="2579"/>
      <c r="O365" s="2579"/>
    </row>
    <row r="366" spans="1:15" s="2463" customFormat="1">
      <c r="A366" s="2462"/>
      <c r="B366" s="2462"/>
      <c r="C366" s="2462"/>
      <c r="D366" s="2462"/>
      <c r="E366" s="2462"/>
      <c r="F366" s="2462"/>
      <c r="G366" s="2462"/>
      <c r="H366" s="2462"/>
      <c r="I366" s="2579"/>
      <c r="J366" s="2579"/>
      <c r="K366" s="2579"/>
      <c r="L366" s="2579"/>
      <c r="M366" s="2579"/>
      <c r="N366" s="2579"/>
      <c r="O366" s="2579"/>
    </row>
    <row r="367" spans="1:15" s="2463" customFormat="1">
      <c r="A367" s="2462"/>
      <c r="B367" s="2462"/>
      <c r="C367" s="2462"/>
      <c r="D367" s="2462"/>
      <c r="E367" s="2462"/>
      <c r="F367" s="2462"/>
      <c r="G367" s="2462"/>
      <c r="H367" s="2462"/>
      <c r="I367" s="2579"/>
      <c r="J367" s="2579"/>
      <c r="K367" s="2579"/>
      <c r="L367" s="2579"/>
      <c r="M367" s="2579"/>
      <c r="N367" s="2579"/>
      <c r="O367" s="2579"/>
    </row>
    <row r="368" spans="1:15" s="2463" customFormat="1">
      <c r="A368" s="2462"/>
      <c r="B368" s="2462"/>
      <c r="C368" s="2462"/>
      <c r="D368" s="2462"/>
      <c r="E368" s="2462"/>
      <c r="F368" s="2462"/>
      <c r="G368" s="2462"/>
      <c r="H368" s="2462"/>
      <c r="I368" s="2579"/>
      <c r="J368" s="2579"/>
      <c r="K368" s="2579"/>
      <c r="L368" s="2579"/>
      <c r="M368" s="2579"/>
      <c r="N368" s="2579"/>
      <c r="O368" s="2579"/>
    </row>
    <row r="369" spans="1:15" s="2463" customFormat="1">
      <c r="A369" s="2462"/>
      <c r="B369" s="2462"/>
      <c r="C369" s="2462"/>
      <c r="D369" s="2462"/>
      <c r="E369" s="2462"/>
      <c r="F369" s="2462"/>
      <c r="G369" s="2462"/>
      <c r="H369" s="2462"/>
      <c r="I369" s="2579"/>
      <c r="J369" s="2579"/>
      <c r="K369" s="2579"/>
      <c r="L369" s="2579"/>
      <c r="M369" s="2579"/>
      <c r="N369" s="2579"/>
      <c r="O369" s="2579"/>
    </row>
    <row r="370" spans="1:15" s="2463" customFormat="1">
      <c r="A370" s="2462"/>
      <c r="B370" s="2462"/>
      <c r="C370" s="2462"/>
      <c r="D370" s="2462"/>
      <c r="E370" s="2462"/>
      <c r="F370" s="2462"/>
      <c r="G370" s="2462"/>
      <c r="H370" s="2462"/>
      <c r="I370" s="2579"/>
      <c r="J370" s="2579"/>
      <c r="K370" s="2579"/>
      <c r="L370" s="2579"/>
      <c r="M370" s="2579"/>
      <c r="N370" s="2579"/>
      <c r="O370" s="2579"/>
    </row>
    <row r="371" spans="1:15" s="2463" customFormat="1">
      <c r="A371" s="2462"/>
      <c r="B371" s="2462"/>
      <c r="C371" s="2462"/>
      <c r="D371" s="2462"/>
      <c r="E371" s="2462"/>
      <c r="F371" s="2462"/>
      <c r="G371" s="2462"/>
      <c r="H371" s="2462"/>
      <c r="I371" s="2579"/>
      <c r="J371" s="2579"/>
      <c r="K371" s="2579"/>
      <c r="L371" s="2579"/>
      <c r="M371" s="2579"/>
      <c r="N371" s="2579"/>
      <c r="O371" s="2579"/>
    </row>
    <row r="372" spans="1:15" s="2463" customFormat="1">
      <c r="A372" s="2462"/>
      <c r="B372" s="2462"/>
      <c r="C372" s="2462"/>
      <c r="D372" s="2462"/>
      <c r="E372" s="2462"/>
      <c r="F372" s="2462"/>
      <c r="G372" s="2462"/>
      <c r="H372" s="2462"/>
      <c r="I372" s="2579"/>
      <c r="J372" s="2579"/>
      <c r="K372" s="2579"/>
      <c r="L372" s="2579"/>
      <c r="M372" s="2579"/>
      <c r="N372" s="2579"/>
      <c r="O372" s="2579"/>
    </row>
    <row r="377" spans="1:15" s="2463" customFormat="1">
      <c r="A377" s="2462"/>
      <c r="B377" s="2462"/>
      <c r="C377" s="2462"/>
      <c r="D377" s="2462"/>
      <c r="E377" s="2462"/>
      <c r="F377" s="2462"/>
      <c r="G377" s="2462"/>
      <c r="H377" s="2462"/>
      <c r="I377" s="2579"/>
      <c r="J377" s="2579"/>
      <c r="K377" s="2579"/>
      <c r="L377" s="2579"/>
      <c r="M377" s="2579"/>
      <c r="N377" s="2579"/>
      <c r="O377" s="2579"/>
    </row>
    <row r="378" spans="1:15" s="2463" customFormat="1">
      <c r="A378" s="2462"/>
      <c r="B378" s="2462"/>
      <c r="C378" s="2462"/>
      <c r="D378" s="2462"/>
      <c r="E378" s="2462"/>
      <c r="F378" s="2462"/>
      <c r="G378" s="2462"/>
      <c r="H378" s="2462"/>
      <c r="I378" s="2579"/>
      <c r="J378" s="2579"/>
      <c r="K378" s="2579"/>
      <c r="L378" s="2579"/>
      <c r="M378" s="2579"/>
      <c r="N378" s="2579"/>
      <c r="O378" s="2579"/>
    </row>
    <row r="379" spans="1:15" s="2463" customFormat="1">
      <c r="A379" s="2462"/>
      <c r="B379" s="2462"/>
      <c r="C379" s="2462"/>
      <c r="D379" s="2462"/>
      <c r="E379" s="2462"/>
      <c r="F379" s="2462"/>
      <c r="G379" s="2462"/>
      <c r="H379" s="2462"/>
      <c r="I379" s="2579"/>
      <c r="J379" s="2579"/>
      <c r="K379" s="2579"/>
      <c r="L379" s="2579"/>
      <c r="M379" s="2579"/>
      <c r="N379" s="2579"/>
      <c r="O379" s="2579"/>
    </row>
    <row r="380" spans="1:15" s="2463" customFormat="1">
      <c r="A380" s="2462"/>
      <c r="B380" s="2462"/>
      <c r="C380" s="2462"/>
      <c r="D380" s="2462"/>
      <c r="E380" s="2462"/>
      <c r="F380" s="2462"/>
      <c r="G380" s="2462"/>
      <c r="H380" s="2462"/>
      <c r="I380" s="2579"/>
      <c r="J380" s="2579"/>
      <c r="K380" s="2579"/>
      <c r="L380" s="2579"/>
      <c r="M380" s="2579"/>
      <c r="N380" s="2579"/>
      <c r="O380" s="2579"/>
    </row>
    <row r="381" spans="1:15" s="2463" customFormat="1">
      <c r="A381" s="2462"/>
      <c r="B381" s="2462"/>
      <c r="C381" s="2462"/>
      <c r="D381" s="2462"/>
      <c r="E381" s="2462"/>
      <c r="F381" s="2462"/>
      <c r="G381" s="2462"/>
      <c r="H381" s="2462"/>
      <c r="I381" s="2579"/>
      <c r="J381" s="2579"/>
      <c r="K381" s="2579"/>
      <c r="L381" s="2579"/>
      <c r="M381" s="2579"/>
      <c r="N381" s="2579"/>
      <c r="O381" s="2579"/>
    </row>
    <row r="382" spans="1:15" s="2463" customFormat="1">
      <c r="A382" s="2462"/>
      <c r="B382" s="2462"/>
      <c r="C382" s="2462"/>
      <c r="D382" s="2462"/>
      <c r="E382" s="2462"/>
      <c r="F382" s="2462"/>
      <c r="G382" s="2462"/>
      <c r="H382" s="2462"/>
      <c r="I382" s="2579"/>
      <c r="J382" s="2579"/>
      <c r="K382" s="2579"/>
      <c r="L382" s="2579"/>
      <c r="M382" s="2579"/>
      <c r="N382" s="2579"/>
      <c r="O382" s="2579"/>
    </row>
    <row r="383" spans="1:15" s="2463" customFormat="1">
      <c r="A383" s="2462"/>
      <c r="B383" s="2462"/>
      <c r="C383" s="2462"/>
      <c r="D383" s="2462"/>
      <c r="E383" s="2462"/>
      <c r="F383" s="2462"/>
      <c r="G383" s="2462"/>
      <c r="H383" s="2462"/>
      <c r="I383" s="2579"/>
      <c r="J383" s="2579"/>
      <c r="K383" s="2579"/>
      <c r="L383" s="2579"/>
      <c r="M383" s="2579"/>
      <c r="N383" s="2579"/>
      <c r="O383" s="2579"/>
    </row>
    <row r="384" spans="1:15" s="2463" customFormat="1">
      <c r="A384" s="2462"/>
      <c r="B384" s="2462"/>
      <c r="C384" s="2462"/>
      <c r="D384" s="2462"/>
      <c r="E384" s="2462"/>
      <c r="F384" s="2462"/>
      <c r="G384" s="2462"/>
      <c r="H384" s="2462"/>
      <c r="I384" s="2579"/>
      <c r="J384" s="2579"/>
      <c r="K384" s="2579"/>
      <c r="L384" s="2579"/>
      <c r="M384" s="2579"/>
      <c r="N384" s="2579"/>
      <c r="O384" s="2579"/>
    </row>
    <row r="385" spans="1:15" s="2463" customFormat="1">
      <c r="A385" s="2462"/>
      <c r="B385" s="2462"/>
      <c r="C385" s="2462"/>
      <c r="D385" s="2462"/>
      <c r="E385" s="2462"/>
      <c r="F385" s="2462"/>
      <c r="G385" s="2462"/>
      <c r="H385" s="2462"/>
      <c r="I385" s="2579"/>
      <c r="J385" s="2579"/>
      <c r="K385" s="2579"/>
      <c r="L385" s="2579"/>
      <c r="M385" s="2579"/>
      <c r="N385" s="2579"/>
      <c r="O385" s="2579"/>
    </row>
    <row r="386" spans="1:15" s="2463" customFormat="1">
      <c r="A386" s="2462"/>
      <c r="B386" s="2462"/>
      <c r="C386" s="2462"/>
      <c r="D386" s="2462"/>
      <c r="E386" s="2462"/>
      <c r="F386" s="2462"/>
      <c r="G386" s="2462"/>
      <c r="H386" s="2462"/>
      <c r="I386" s="2579"/>
      <c r="J386" s="2579"/>
      <c r="K386" s="2579"/>
      <c r="L386" s="2579"/>
      <c r="M386" s="2579"/>
      <c r="N386" s="2579"/>
      <c r="O386" s="2579"/>
    </row>
    <row r="387" spans="1:15" s="2463" customFormat="1">
      <c r="A387" s="2462"/>
      <c r="B387" s="2462"/>
      <c r="C387" s="2462"/>
      <c r="D387" s="2462"/>
      <c r="E387" s="2462"/>
      <c r="F387" s="2462"/>
      <c r="G387" s="2462"/>
      <c r="H387" s="2462"/>
      <c r="I387" s="2579"/>
      <c r="J387" s="2579"/>
      <c r="K387" s="2579"/>
      <c r="L387" s="2579"/>
      <c r="M387" s="2579"/>
      <c r="N387" s="2579"/>
      <c r="O387" s="2579"/>
    </row>
    <row r="388" spans="1:15" s="2463" customFormat="1">
      <c r="A388" s="2462"/>
      <c r="B388" s="2462"/>
      <c r="C388" s="2462"/>
      <c r="D388" s="2462"/>
      <c r="E388" s="2462"/>
      <c r="F388" s="2462"/>
      <c r="G388" s="2462"/>
      <c r="H388" s="2462"/>
      <c r="I388" s="2579"/>
      <c r="J388" s="2579"/>
      <c r="K388" s="2579"/>
      <c r="L388" s="2579"/>
      <c r="M388" s="2579"/>
      <c r="N388" s="2579"/>
      <c r="O388" s="2579"/>
    </row>
    <row r="389" spans="1:15" s="2463" customFormat="1">
      <c r="A389" s="2462"/>
      <c r="B389" s="2462"/>
      <c r="C389" s="2462"/>
      <c r="D389" s="2462"/>
      <c r="E389" s="2462"/>
      <c r="F389" s="2462"/>
      <c r="G389" s="2462"/>
      <c r="H389" s="2462"/>
      <c r="I389" s="2579"/>
      <c r="J389" s="2579"/>
      <c r="K389" s="2579"/>
      <c r="L389" s="2579"/>
      <c r="M389" s="2579"/>
      <c r="N389" s="2579"/>
      <c r="O389" s="2579"/>
    </row>
    <row r="390" spans="1:15" s="2463" customFormat="1">
      <c r="A390" s="2462"/>
      <c r="B390" s="2462"/>
      <c r="C390" s="2462"/>
      <c r="D390" s="2462"/>
      <c r="E390" s="2462"/>
      <c r="F390" s="2462"/>
      <c r="G390" s="2462"/>
      <c r="H390" s="2462"/>
      <c r="I390" s="2579"/>
      <c r="J390" s="2579"/>
      <c r="K390" s="2579"/>
      <c r="L390" s="2579"/>
      <c r="M390" s="2579"/>
      <c r="N390" s="2579"/>
      <c r="O390" s="2579"/>
    </row>
    <row r="391" spans="1:15" s="2463" customFormat="1">
      <c r="A391" s="2462"/>
      <c r="B391" s="2462"/>
      <c r="C391" s="2462"/>
      <c r="D391" s="2462"/>
      <c r="E391" s="2462"/>
      <c r="F391" s="2462"/>
      <c r="G391" s="2462"/>
      <c r="H391" s="2462"/>
      <c r="I391" s="2579"/>
      <c r="J391" s="2579"/>
      <c r="K391" s="2579"/>
      <c r="L391" s="2579"/>
      <c r="M391" s="2579"/>
      <c r="N391" s="2579"/>
      <c r="O391" s="2579"/>
    </row>
    <row r="392" spans="1:15" s="2463" customFormat="1">
      <c r="A392" s="2462"/>
      <c r="B392" s="2462"/>
      <c r="C392" s="2462"/>
      <c r="D392" s="2462"/>
      <c r="E392" s="2462"/>
      <c r="F392" s="2462"/>
      <c r="G392" s="2462"/>
      <c r="H392" s="2462"/>
      <c r="I392" s="2579"/>
      <c r="J392" s="2579"/>
      <c r="K392" s="2579"/>
      <c r="L392" s="2579"/>
      <c r="M392" s="2579"/>
      <c r="N392" s="2579"/>
      <c r="O392" s="2579"/>
    </row>
    <row r="393" spans="1:15" s="2463" customFormat="1">
      <c r="A393" s="2462"/>
      <c r="B393" s="2462"/>
      <c r="C393" s="2462"/>
      <c r="D393" s="2462"/>
      <c r="E393" s="2462"/>
      <c r="F393" s="2462"/>
      <c r="G393" s="2462"/>
      <c r="H393" s="2462"/>
      <c r="I393" s="2579"/>
      <c r="J393" s="2579"/>
      <c r="K393" s="2579"/>
      <c r="L393" s="2579"/>
      <c r="M393" s="2579"/>
      <c r="N393" s="2579"/>
      <c r="O393" s="2579"/>
    </row>
    <row r="394" spans="1:15" s="2463" customFormat="1">
      <c r="A394" s="2462"/>
      <c r="B394" s="2462"/>
      <c r="C394" s="2462"/>
      <c r="D394" s="2462"/>
      <c r="E394" s="2462"/>
      <c r="F394" s="2462"/>
      <c r="G394" s="2462"/>
      <c r="H394" s="2462"/>
      <c r="I394" s="2579"/>
      <c r="J394" s="2579"/>
      <c r="K394" s="2579"/>
      <c r="L394" s="2579"/>
      <c r="M394" s="2579"/>
      <c r="N394" s="2579"/>
      <c r="O394" s="2579"/>
    </row>
    <row r="395" spans="1:15" s="2463" customFormat="1">
      <c r="A395" s="2462"/>
      <c r="B395" s="2462"/>
      <c r="C395" s="2462"/>
      <c r="D395" s="2462"/>
      <c r="E395" s="2462"/>
      <c r="F395" s="2462"/>
      <c r="G395" s="2462"/>
      <c r="H395" s="2462"/>
      <c r="I395" s="2579"/>
      <c r="J395" s="2579"/>
      <c r="K395" s="2579"/>
      <c r="L395" s="2579"/>
      <c r="M395" s="2579"/>
      <c r="N395" s="2579"/>
      <c r="O395" s="2579"/>
    </row>
    <row r="396" spans="1:15" s="2463" customFormat="1">
      <c r="A396" s="2462"/>
      <c r="B396" s="2462"/>
      <c r="C396" s="2462"/>
      <c r="D396" s="2462"/>
      <c r="E396" s="2462"/>
      <c r="F396" s="2462"/>
      <c r="G396" s="2462"/>
      <c r="H396" s="2462"/>
      <c r="I396" s="2579"/>
      <c r="J396" s="2579"/>
      <c r="K396" s="2579"/>
      <c r="L396" s="2579"/>
      <c r="M396" s="2579"/>
      <c r="N396" s="2579"/>
      <c r="O396" s="2579"/>
    </row>
    <row r="397" spans="1:15" s="2463" customFormat="1">
      <c r="A397" s="2462"/>
      <c r="B397" s="2462"/>
      <c r="C397" s="2462"/>
      <c r="D397" s="2462"/>
      <c r="E397" s="2462"/>
      <c r="F397" s="2462"/>
      <c r="G397" s="2462"/>
      <c r="H397" s="2462"/>
      <c r="I397" s="2579"/>
      <c r="J397" s="2579"/>
      <c r="K397" s="2579"/>
      <c r="L397" s="2579"/>
      <c r="M397" s="2579"/>
      <c r="N397" s="2579"/>
      <c r="O397" s="2579"/>
    </row>
    <row r="398" spans="1:15" s="2463" customFormat="1">
      <c r="A398" s="2462"/>
      <c r="B398" s="2462"/>
      <c r="C398" s="2462"/>
      <c r="D398" s="2462"/>
      <c r="E398" s="2462"/>
      <c r="F398" s="2462"/>
      <c r="G398" s="2462"/>
      <c r="H398" s="2462"/>
      <c r="I398" s="2579"/>
      <c r="J398" s="2579"/>
      <c r="K398" s="2579"/>
      <c r="L398" s="2579"/>
      <c r="M398" s="2579"/>
      <c r="N398" s="2579"/>
      <c r="O398" s="2579"/>
    </row>
    <row r="399" spans="1:15" s="2463" customFormat="1">
      <c r="A399" s="2462"/>
      <c r="B399" s="2462"/>
      <c r="C399" s="2462"/>
      <c r="D399" s="2462"/>
      <c r="E399" s="2462"/>
      <c r="F399" s="2462"/>
      <c r="G399" s="2462"/>
      <c r="H399" s="2462"/>
      <c r="I399" s="2579"/>
      <c r="J399" s="2579"/>
      <c r="K399" s="2579"/>
      <c r="L399" s="2579"/>
      <c r="M399" s="2579"/>
      <c r="N399" s="2579"/>
      <c r="O399" s="2579"/>
    </row>
    <row r="400" spans="1:15" s="2463" customFormat="1">
      <c r="A400" s="2462"/>
      <c r="B400" s="2462"/>
      <c r="C400" s="2462"/>
      <c r="D400" s="2462"/>
      <c r="E400" s="2462"/>
      <c r="F400" s="2462"/>
      <c r="G400" s="2462"/>
      <c r="H400" s="2462"/>
      <c r="I400" s="2579"/>
      <c r="J400" s="2579"/>
      <c r="K400" s="2579"/>
      <c r="L400" s="2579"/>
      <c r="M400" s="2579"/>
      <c r="N400" s="2579"/>
      <c r="O400" s="2579"/>
    </row>
    <row r="401" spans="1:15" s="2463" customFormat="1">
      <c r="A401" s="2462"/>
      <c r="B401" s="2462"/>
      <c r="C401" s="2462"/>
      <c r="D401" s="2462"/>
      <c r="E401" s="2462"/>
      <c r="F401" s="2462"/>
      <c r="G401" s="2462"/>
      <c r="H401" s="2462"/>
      <c r="I401" s="2579"/>
      <c r="J401" s="2579"/>
      <c r="K401" s="2579"/>
      <c r="L401" s="2579"/>
      <c r="M401" s="2579"/>
      <c r="N401" s="2579"/>
      <c r="O401" s="2579"/>
    </row>
    <row r="402" spans="1:15" s="2463" customFormat="1">
      <c r="A402" s="2462"/>
      <c r="B402" s="2462"/>
      <c r="C402" s="2462"/>
      <c r="D402" s="2462"/>
      <c r="E402" s="2462"/>
      <c r="F402" s="2462"/>
      <c r="G402" s="2462"/>
      <c r="H402" s="2462"/>
      <c r="I402" s="2579"/>
      <c r="J402" s="2579"/>
      <c r="K402" s="2579"/>
      <c r="L402" s="2579"/>
      <c r="M402" s="2579"/>
      <c r="N402" s="2579"/>
      <c r="O402" s="2579"/>
    </row>
    <row r="403" spans="1:15" s="2463" customFormat="1">
      <c r="A403" s="2462"/>
      <c r="B403" s="2462"/>
      <c r="C403" s="2462"/>
      <c r="D403" s="2462"/>
      <c r="E403" s="2462"/>
      <c r="F403" s="2462"/>
      <c r="G403" s="2462"/>
      <c r="H403" s="2462"/>
      <c r="I403" s="2579"/>
      <c r="J403" s="2579"/>
      <c r="K403" s="2579"/>
      <c r="L403" s="2579"/>
      <c r="M403" s="2579"/>
      <c r="N403" s="2579"/>
      <c r="O403" s="2579"/>
    </row>
    <row r="404" spans="1:15" s="2463" customFormat="1">
      <c r="A404" s="2462"/>
      <c r="B404" s="2462"/>
      <c r="C404" s="2462"/>
      <c r="D404" s="2462"/>
      <c r="E404" s="2462"/>
      <c r="F404" s="2462"/>
      <c r="G404" s="2462"/>
      <c r="H404" s="2462"/>
      <c r="I404" s="2579"/>
      <c r="J404" s="2579"/>
      <c r="K404" s="2579"/>
      <c r="L404" s="2579"/>
      <c r="M404" s="2579"/>
      <c r="N404" s="2579"/>
      <c r="O404" s="2579"/>
    </row>
    <row r="405" spans="1:15" s="2463" customFormat="1">
      <c r="A405" s="2462"/>
      <c r="B405" s="2462"/>
      <c r="C405" s="2462"/>
      <c r="D405" s="2462"/>
      <c r="E405" s="2462"/>
      <c r="F405" s="2462"/>
      <c r="G405" s="2462"/>
      <c r="H405" s="2462"/>
      <c r="I405" s="2579"/>
      <c r="J405" s="2579"/>
      <c r="K405" s="2579"/>
      <c r="L405" s="2579"/>
      <c r="M405" s="2579"/>
      <c r="N405" s="2579"/>
      <c r="O405" s="2579"/>
    </row>
    <row r="406" spans="1:15" s="2463" customFormat="1">
      <c r="A406" s="2462"/>
      <c r="B406" s="2462"/>
      <c r="C406" s="2462"/>
      <c r="D406" s="2462"/>
      <c r="E406" s="2462"/>
      <c r="F406" s="2462"/>
      <c r="G406" s="2462"/>
      <c r="H406" s="2462"/>
      <c r="I406" s="2579"/>
      <c r="J406" s="2579"/>
      <c r="K406" s="2579"/>
      <c r="L406" s="2579"/>
      <c r="M406" s="2579"/>
      <c r="N406" s="2579"/>
      <c r="O406" s="2579"/>
    </row>
    <row r="407" spans="1:15" s="2463" customFormat="1">
      <c r="A407" s="2462"/>
      <c r="B407" s="2462"/>
      <c r="C407" s="2462"/>
      <c r="D407" s="2462"/>
      <c r="E407" s="2462"/>
      <c r="F407" s="2462"/>
      <c r="G407" s="2462"/>
      <c r="H407" s="2462"/>
      <c r="I407" s="2579"/>
      <c r="J407" s="2579"/>
      <c r="K407" s="2579"/>
      <c r="L407" s="2579"/>
      <c r="M407" s="2579"/>
      <c r="N407" s="2579"/>
      <c r="O407" s="2579"/>
    </row>
    <row r="408" spans="1:15" s="2463" customFormat="1">
      <c r="A408" s="2462"/>
      <c r="B408" s="2462"/>
      <c r="C408" s="2462"/>
      <c r="D408" s="2462"/>
      <c r="E408" s="2462"/>
      <c r="F408" s="2462"/>
      <c r="G408" s="2462"/>
      <c r="H408" s="2462"/>
      <c r="I408" s="2579"/>
      <c r="J408" s="2579"/>
      <c r="K408" s="2579"/>
      <c r="L408" s="2579"/>
      <c r="M408" s="2579"/>
      <c r="N408" s="2579"/>
      <c r="O408" s="2579"/>
    </row>
    <row r="409" spans="1:15" s="2463" customFormat="1">
      <c r="A409" s="2462"/>
      <c r="B409" s="2462"/>
      <c r="C409" s="2462"/>
      <c r="D409" s="2462"/>
      <c r="E409" s="2462"/>
      <c r="F409" s="2462"/>
      <c r="G409" s="2462"/>
      <c r="H409" s="2462"/>
      <c r="I409" s="2579"/>
      <c r="J409" s="2579"/>
      <c r="K409" s="2579"/>
      <c r="L409" s="2579"/>
      <c r="M409" s="2579"/>
      <c r="N409" s="2579"/>
      <c r="O409" s="2579"/>
    </row>
    <row r="410" spans="1:15" s="2463" customFormat="1">
      <c r="A410" s="2462"/>
      <c r="B410" s="2462"/>
      <c r="C410" s="2462"/>
      <c r="D410" s="2462"/>
      <c r="E410" s="2462"/>
      <c r="F410" s="2462"/>
      <c r="G410" s="2462"/>
      <c r="H410" s="2462"/>
      <c r="I410" s="2579"/>
      <c r="J410" s="2579"/>
      <c r="K410" s="2579"/>
      <c r="L410" s="2579"/>
      <c r="M410" s="2579"/>
      <c r="N410" s="2579"/>
      <c r="O410" s="2579"/>
    </row>
    <row r="411" spans="1:15" s="2463" customFormat="1">
      <c r="A411" s="2462"/>
      <c r="B411" s="2462"/>
      <c r="C411" s="2462"/>
      <c r="D411" s="2462"/>
      <c r="E411" s="2462"/>
      <c r="F411" s="2462"/>
      <c r="G411" s="2462"/>
      <c r="H411" s="2462"/>
      <c r="I411" s="2579"/>
      <c r="J411" s="2579"/>
      <c r="K411" s="2579"/>
      <c r="L411" s="2579"/>
      <c r="M411" s="2579"/>
      <c r="N411" s="2579"/>
      <c r="O411" s="2579"/>
    </row>
    <row r="412" spans="1:15" s="2463" customFormat="1">
      <c r="A412" s="2462"/>
      <c r="B412" s="2462"/>
      <c r="C412" s="2462"/>
      <c r="D412" s="2462"/>
      <c r="E412" s="2462"/>
      <c r="F412" s="2462"/>
      <c r="G412" s="2462"/>
      <c r="H412" s="2462"/>
      <c r="I412" s="2579"/>
      <c r="J412" s="2579"/>
      <c r="K412" s="2579"/>
      <c r="L412" s="2579"/>
      <c r="M412" s="2579"/>
      <c r="N412" s="2579"/>
      <c r="O412" s="2579"/>
    </row>
    <row r="418" spans="1:15" s="2463" customFormat="1">
      <c r="A418" s="2462"/>
      <c r="B418" s="2462"/>
      <c r="C418" s="2462"/>
      <c r="D418" s="2462"/>
      <c r="E418" s="2462"/>
      <c r="F418" s="2462"/>
      <c r="G418" s="2462"/>
      <c r="H418" s="2462"/>
      <c r="I418" s="2579"/>
      <c r="J418" s="2579"/>
      <c r="K418" s="2579"/>
      <c r="L418" s="2579"/>
      <c r="M418" s="2579"/>
      <c r="N418" s="2579"/>
      <c r="O418" s="2579"/>
    </row>
    <row r="419" spans="1:15" s="2463" customFormat="1">
      <c r="A419" s="2462"/>
      <c r="B419" s="2462"/>
      <c r="C419" s="2462"/>
      <c r="D419" s="2462"/>
      <c r="E419" s="2462"/>
      <c r="F419" s="2462"/>
      <c r="G419" s="2462"/>
      <c r="H419" s="2462"/>
      <c r="I419" s="2579"/>
      <c r="J419" s="2579"/>
      <c r="K419" s="2579"/>
      <c r="L419" s="2579"/>
      <c r="M419" s="2579"/>
      <c r="N419" s="2579"/>
      <c r="O419" s="2579"/>
    </row>
    <row r="420" spans="1:15" s="2463" customFormat="1">
      <c r="A420" s="2462"/>
      <c r="B420" s="2462"/>
      <c r="C420" s="2462"/>
      <c r="D420" s="2462"/>
      <c r="E420" s="2462"/>
      <c r="F420" s="2462"/>
      <c r="G420" s="2462"/>
      <c r="H420" s="2462"/>
      <c r="I420" s="2579"/>
      <c r="J420" s="2579"/>
      <c r="K420" s="2579"/>
      <c r="L420" s="2579"/>
      <c r="M420" s="2579"/>
      <c r="N420" s="2579"/>
      <c r="O420" s="2579"/>
    </row>
    <row r="421" spans="1:15" s="2463" customFormat="1">
      <c r="A421" s="2462"/>
      <c r="B421" s="2462"/>
      <c r="C421" s="2462"/>
      <c r="D421" s="2462"/>
      <c r="E421" s="2462"/>
      <c r="F421" s="2462"/>
      <c r="G421" s="2462"/>
      <c r="H421" s="2462"/>
      <c r="I421" s="2579"/>
      <c r="J421" s="2579"/>
      <c r="K421" s="2579"/>
      <c r="L421" s="2579"/>
      <c r="M421" s="2579"/>
      <c r="N421" s="2579"/>
      <c r="O421" s="2579"/>
    </row>
    <row r="422" spans="1:15" s="2463" customFormat="1">
      <c r="A422" s="2462"/>
      <c r="B422" s="2462"/>
      <c r="C422" s="2462"/>
      <c r="D422" s="2462"/>
      <c r="E422" s="2462"/>
      <c r="F422" s="2462"/>
      <c r="G422" s="2462"/>
      <c r="H422" s="2462"/>
      <c r="I422" s="2579"/>
      <c r="J422" s="2579"/>
      <c r="K422" s="2579"/>
      <c r="L422" s="2579"/>
      <c r="M422" s="2579"/>
      <c r="N422" s="2579"/>
      <c r="O422" s="2579"/>
    </row>
    <row r="423" spans="1:15" s="2463" customFormat="1">
      <c r="A423" s="2462"/>
      <c r="B423" s="2462"/>
      <c r="C423" s="2462"/>
      <c r="D423" s="2462"/>
      <c r="E423" s="2462"/>
      <c r="F423" s="2462"/>
      <c r="G423" s="2462"/>
      <c r="H423" s="2462"/>
      <c r="I423" s="2579"/>
      <c r="J423" s="2579"/>
      <c r="K423" s="2579"/>
      <c r="L423" s="2579"/>
      <c r="M423" s="2579"/>
      <c r="N423" s="2579"/>
      <c r="O423" s="2579"/>
    </row>
    <row r="424" spans="1:15" s="2463" customFormat="1">
      <c r="A424" s="2462"/>
      <c r="B424" s="2462"/>
      <c r="C424" s="2462"/>
      <c r="D424" s="2462"/>
      <c r="E424" s="2462"/>
      <c r="F424" s="2462"/>
      <c r="G424" s="2462"/>
      <c r="H424" s="2462"/>
      <c r="I424" s="2579"/>
      <c r="J424" s="2579"/>
      <c r="K424" s="2579"/>
      <c r="L424" s="2579"/>
      <c r="M424" s="2579"/>
      <c r="N424" s="2579"/>
      <c r="O424" s="2579"/>
    </row>
    <row r="425" spans="1:15" s="2463" customFormat="1">
      <c r="A425" s="2462"/>
      <c r="B425" s="2462"/>
      <c r="C425" s="2462"/>
      <c r="D425" s="2462"/>
      <c r="E425" s="2462"/>
      <c r="F425" s="2462"/>
      <c r="G425" s="2462"/>
      <c r="H425" s="2462"/>
      <c r="I425" s="2579"/>
      <c r="J425" s="2579"/>
      <c r="K425" s="2579"/>
      <c r="L425" s="2579"/>
      <c r="M425" s="2579"/>
      <c r="N425" s="2579"/>
      <c r="O425" s="2579"/>
    </row>
    <row r="426" spans="1:15" s="2463" customFormat="1">
      <c r="A426" s="2462"/>
      <c r="B426" s="2462"/>
      <c r="C426" s="2462"/>
      <c r="D426" s="2462"/>
      <c r="E426" s="2462"/>
      <c r="F426" s="2462"/>
      <c r="G426" s="2462"/>
      <c r="H426" s="2462"/>
      <c r="I426" s="2579"/>
      <c r="J426" s="2579"/>
      <c r="K426" s="2579"/>
      <c r="L426" s="2579"/>
      <c r="M426" s="2579"/>
      <c r="N426" s="2579"/>
      <c r="O426" s="2579"/>
    </row>
    <row r="427" spans="1:15" s="2463" customFormat="1">
      <c r="A427" s="2462"/>
      <c r="B427" s="2462"/>
      <c r="C427" s="2462"/>
      <c r="D427" s="2462"/>
      <c r="E427" s="2462"/>
      <c r="F427" s="2462"/>
      <c r="G427" s="2462"/>
      <c r="H427" s="2462"/>
      <c r="I427" s="2579"/>
      <c r="J427" s="2579"/>
      <c r="K427" s="2579"/>
      <c r="L427" s="2579"/>
      <c r="M427" s="2579"/>
      <c r="N427" s="2579"/>
      <c r="O427" s="2579"/>
    </row>
    <row r="428" spans="1:15" s="2463" customFormat="1">
      <c r="A428" s="2462"/>
      <c r="B428" s="2462"/>
      <c r="C428" s="2462"/>
      <c r="D428" s="2462"/>
      <c r="E428" s="2462"/>
      <c r="F428" s="2462"/>
      <c r="G428" s="2462"/>
      <c r="H428" s="2462"/>
      <c r="I428" s="2579"/>
      <c r="J428" s="2579"/>
      <c r="K428" s="2579"/>
      <c r="L428" s="2579"/>
      <c r="M428" s="2579"/>
      <c r="N428" s="2579"/>
      <c r="O428" s="2579"/>
    </row>
    <row r="429" spans="1:15" s="2463" customFormat="1">
      <c r="A429" s="2462"/>
      <c r="B429" s="2462"/>
      <c r="C429" s="2462"/>
      <c r="D429" s="2462"/>
      <c r="E429" s="2462"/>
      <c r="F429" s="2462"/>
      <c r="G429" s="2462"/>
      <c r="H429" s="2462"/>
      <c r="I429" s="2579"/>
      <c r="J429" s="2579"/>
      <c r="K429" s="2579"/>
      <c r="L429" s="2579"/>
      <c r="M429" s="2579"/>
      <c r="N429" s="2579"/>
      <c r="O429" s="2579"/>
    </row>
    <row r="430" spans="1:15" s="2463" customFormat="1">
      <c r="A430" s="2462"/>
      <c r="B430" s="2462"/>
      <c r="C430" s="2462"/>
      <c r="D430" s="2462"/>
      <c r="E430" s="2462"/>
      <c r="F430" s="2462"/>
      <c r="G430" s="2462"/>
      <c r="H430" s="2462"/>
      <c r="I430" s="2579"/>
      <c r="J430" s="2579"/>
      <c r="K430" s="2579"/>
      <c r="L430" s="2579"/>
      <c r="M430" s="2579"/>
      <c r="N430" s="2579"/>
      <c r="O430" s="2579"/>
    </row>
    <row r="431" spans="1:15" s="2463" customFormat="1">
      <c r="A431" s="2462"/>
      <c r="B431" s="2462"/>
      <c r="C431" s="2462"/>
      <c r="D431" s="2462"/>
      <c r="E431" s="2462"/>
      <c r="F431" s="2462"/>
      <c r="G431" s="2462"/>
      <c r="H431" s="2462"/>
      <c r="I431" s="2579"/>
      <c r="J431" s="2579"/>
      <c r="K431" s="2579"/>
      <c r="L431" s="2579"/>
      <c r="M431" s="2579"/>
      <c r="N431" s="2579"/>
      <c r="O431" s="2579"/>
    </row>
    <row r="432" spans="1:15" s="2463" customFormat="1">
      <c r="A432" s="2462"/>
      <c r="B432" s="2462"/>
      <c r="C432" s="2462"/>
      <c r="D432" s="2462"/>
      <c r="E432" s="2462"/>
      <c r="F432" s="2462"/>
      <c r="G432" s="2462"/>
      <c r="H432" s="2462"/>
      <c r="I432" s="2579"/>
      <c r="J432" s="2579"/>
      <c r="K432" s="2579"/>
      <c r="L432" s="2579"/>
      <c r="M432" s="2579"/>
      <c r="N432" s="2579"/>
      <c r="O432" s="2579"/>
    </row>
    <row r="433" spans="1:15" s="2463" customFormat="1">
      <c r="A433" s="2462"/>
      <c r="B433" s="2462"/>
      <c r="C433" s="2462"/>
      <c r="D433" s="2462"/>
      <c r="E433" s="2462"/>
      <c r="F433" s="2462"/>
      <c r="G433" s="2462"/>
      <c r="H433" s="2462"/>
      <c r="I433" s="2579"/>
      <c r="J433" s="2579"/>
      <c r="K433" s="2579"/>
      <c r="L433" s="2579"/>
      <c r="M433" s="2579"/>
      <c r="N433" s="2579"/>
      <c r="O433" s="2579"/>
    </row>
    <row r="434" spans="1:15" s="2463" customFormat="1">
      <c r="A434" s="2462"/>
      <c r="B434" s="2462"/>
      <c r="C434" s="2462"/>
      <c r="D434" s="2462"/>
      <c r="E434" s="2462"/>
      <c r="F434" s="2462"/>
      <c r="G434" s="2462"/>
      <c r="H434" s="2462"/>
      <c r="I434" s="2579"/>
      <c r="J434" s="2579"/>
      <c r="K434" s="2579"/>
      <c r="L434" s="2579"/>
      <c r="M434" s="2579"/>
      <c r="N434" s="2579"/>
      <c r="O434" s="2579"/>
    </row>
    <row r="435" spans="1:15" s="2463" customFormat="1">
      <c r="A435" s="2462"/>
      <c r="B435" s="2462"/>
      <c r="C435" s="2462"/>
      <c r="D435" s="2462"/>
      <c r="E435" s="2462"/>
      <c r="F435" s="2462"/>
      <c r="G435" s="2462"/>
      <c r="H435" s="2462"/>
      <c r="I435" s="2579"/>
      <c r="J435" s="2579"/>
      <c r="K435" s="2579"/>
      <c r="L435" s="2579"/>
      <c r="M435" s="2579"/>
      <c r="N435" s="2579"/>
      <c r="O435" s="2579"/>
    </row>
    <row r="436" spans="1:15" s="2463" customFormat="1">
      <c r="A436" s="2462"/>
      <c r="B436" s="2462"/>
      <c r="C436" s="2462"/>
      <c r="D436" s="2462"/>
      <c r="E436" s="2462"/>
      <c r="F436" s="2462"/>
      <c r="G436" s="2462"/>
      <c r="H436" s="2462"/>
      <c r="I436" s="2579"/>
      <c r="J436" s="2579"/>
      <c r="K436" s="2579"/>
      <c r="L436" s="2579"/>
      <c r="M436" s="2579"/>
      <c r="N436" s="2579"/>
      <c r="O436" s="2579"/>
    </row>
    <row r="437" spans="1:15" s="2463" customFormat="1">
      <c r="A437" s="2462"/>
      <c r="B437" s="2462"/>
      <c r="C437" s="2462"/>
      <c r="D437" s="2462"/>
      <c r="E437" s="2462"/>
      <c r="F437" s="2462"/>
      <c r="G437" s="2462"/>
      <c r="H437" s="2462"/>
      <c r="I437" s="2579"/>
      <c r="J437" s="2579"/>
      <c r="K437" s="2579"/>
      <c r="L437" s="2579"/>
      <c r="M437" s="2579"/>
      <c r="N437" s="2579"/>
      <c r="O437" s="2579"/>
    </row>
    <row r="438" spans="1:15" s="2463" customFormat="1">
      <c r="A438" s="2462"/>
      <c r="B438" s="2462"/>
      <c r="C438" s="2462"/>
      <c r="D438" s="2462"/>
      <c r="E438" s="2462"/>
      <c r="F438" s="2462"/>
      <c r="G438" s="2462"/>
      <c r="H438" s="2462"/>
      <c r="I438" s="2579"/>
      <c r="J438" s="2579"/>
      <c r="K438" s="2579"/>
      <c r="L438" s="2579"/>
      <c r="M438" s="2579"/>
      <c r="N438" s="2579"/>
      <c r="O438" s="2579"/>
    </row>
    <row r="439" spans="1:15" s="2463" customFormat="1">
      <c r="A439" s="2462"/>
      <c r="B439" s="2462"/>
      <c r="C439" s="2462"/>
      <c r="D439" s="2462"/>
      <c r="E439" s="2462"/>
      <c r="F439" s="2462"/>
      <c r="G439" s="2462"/>
      <c r="H439" s="2462"/>
      <c r="I439" s="2579"/>
      <c r="J439" s="2579"/>
      <c r="K439" s="2579"/>
      <c r="L439" s="2579"/>
      <c r="M439" s="2579"/>
      <c r="N439" s="2579"/>
      <c r="O439" s="2579"/>
    </row>
    <row r="440" spans="1:15" s="2463" customFormat="1">
      <c r="A440" s="2462"/>
      <c r="B440" s="2462"/>
      <c r="C440" s="2462"/>
      <c r="D440" s="2462"/>
      <c r="E440" s="2462"/>
      <c r="F440" s="2462"/>
      <c r="G440" s="2462"/>
      <c r="H440" s="2462"/>
      <c r="I440" s="2579"/>
      <c r="J440" s="2579"/>
      <c r="K440" s="2579"/>
      <c r="L440" s="2579"/>
      <c r="M440" s="2579"/>
      <c r="N440" s="2579"/>
      <c r="O440" s="2579"/>
    </row>
    <row r="441" spans="1:15" s="2463" customFormat="1">
      <c r="A441" s="2462"/>
      <c r="B441" s="2462"/>
      <c r="C441" s="2462"/>
      <c r="D441" s="2462"/>
      <c r="E441" s="2462"/>
      <c r="F441" s="2462"/>
      <c r="G441" s="2462"/>
      <c r="H441" s="2462"/>
      <c r="I441" s="2579"/>
      <c r="J441" s="2579"/>
      <c r="K441" s="2579"/>
      <c r="L441" s="2579"/>
      <c r="M441" s="2579"/>
      <c r="N441" s="2579"/>
      <c r="O441" s="2579"/>
    </row>
    <row r="442" spans="1:15" s="2463" customFormat="1">
      <c r="A442" s="2462"/>
      <c r="B442" s="2462"/>
      <c r="C442" s="2462"/>
      <c r="D442" s="2462"/>
      <c r="E442" s="2462"/>
      <c r="F442" s="2462"/>
      <c r="G442" s="2462"/>
      <c r="H442" s="2462"/>
      <c r="I442" s="2579"/>
      <c r="J442" s="2579"/>
      <c r="K442" s="2579"/>
      <c r="L442" s="2579"/>
      <c r="M442" s="2579"/>
      <c r="N442" s="2579"/>
      <c r="O442" s="2579"/>
    </row>
    <row r="443" spans="1:15" s="2463" customFormat="1">
      <c r="A443" s="2462"/>
      <c r="B443" s="2462"/>
      <c r="C443" s="2462"/>
      <c r="D443" s="2462"/>
      <c r="E443" s="2462"/>
      <c r="F443" s="2462"/>
      <c r="G443" s="2462"/>
      <c r="H443" s="2462"/>
      <c r="I443" s="2579"/>
      <c r="J443" s="2579"/>
      <c r="K443" s="2579"/>
      <c r="L443" s="2579"/>
      <c r="M443" s="2579"/>
      <c r="N443" s="2579"/>
      <c r="O443" s="2579"/>
    </row>
    <row r="444" spans="1:15" s="2463" customFormat="1">
      <c r="A444" s="2462"/>
      <c r="B444" s="2462"/>
      <c r="C444" s="2462"/>
      <c r="D444" s="2462"/>
      <c r="E444" s="2462"/>
      <c r="F444" s="2462"/>
      <c r="G444" s="2462"/>
      <c r="H444" s="2462"/>
      <c r="I444" s="2579"/>
      <c r="J444" s="2579"/>
      <c r="K444" s="2579"/>
      <c r="L444" s="2579"/>
      <c r="M444" s="2579"/>
      <c r="N444" s="2579"/>
      <c r="O444" s="2579"/>
    </row>
    <row r="445" spans="1:15" s="2463" customFormat="1">
      <c r="A445" s="2462"/>
      <c r="B445" s="2462"/>
      <c r="C445" s="2462"/>
      <c r="D445" s="2462"/>
      <c r="E445" s="2462"/>
      <c r="F445" s="2462"/>
      <c r="G445" s="2462"/>
      <c r="H445" s="2462"/>
      <c r="I445" s="2579"/>
      <c r="J445" s="2579"/>
      <c r="K445" s="2579"/>
      <c r="L445" s="2579"/>
      <c r="M445" s="2579"/>
      <c r="N445" s="2579"/>
      <c r="O445" s="2579"/>
    </row>
    <row r="446" spans="1:15" s="2463" customFormat="1">
      <c r="A446" s="2462"/>
      <c r="B446" s="2462"/>
      <c r="C446" s="2462"/>
      <c r="D446" s="2462"/>
      <c r="E446" s="2462"/>
      <c r="F446" s="2462"/>
      <c r="G446" s="2462"/>
      <c r="H446" s="2462"/>
      <c r="I446" s="2579"/>
      <c r="J446" s="2579"/>
      <c r="K446" s="2579"/>
      <c r="L446" s="2579"/>
      <c r="M446" s="2579"/>
      <c r="N446" s="2579"/>
      <c r="O446" s="2579"/>
    </row>
    <row r="447" spans="1:15" s="2463" customFormat="1">
      <c r="A447" s="2462"/>
      <c r="B447" s="2462"/>
      <c r="C447" s="2462"/>
      <c r="D447" s="2462"/>
      <c r="E447" s="2462"/>
      <c r="F447" s="2462"/>
      <c r="G447" s="2462"/>
      <c r="H447" s="2462"/>
      <c r="I447" s="2579"/>
      <c r="J447" s="2579"/>
      <c r="K447" s="2579"/>
      <c r="L447" s="2579"/>
      <c r="M447" s="2579"/>
      <c r="N447" s="2579"/>
      <c r="O447" s="2579"/>
    </row>
    <row r="448" spans="1:15" s="2463" customFormat="1">
      <c r="A448" s="2462"/>
      <c r="B448" s="2462"/>
      <c r="C448" s="2462"/>
      <c r="D448" s="2462"/>
      <c r="E448" s="2462"/>
      <c r="F448" s="2462"/>
      <c r="G448" s="2462"/>
      <c r="H448" s="2462"/>
      <c r="I448" s="2579"/>
      <c r="J448" s="2579"/>
      <c r="K448" s="2579"/>
      <c r="L448" s="2579"/>
      <c r="M448" s="2579"/>
      <c r="N448" s="2579"/>
      <c r="O448" s="2579"/>
    </row>
    <row r="449" spans="1:15" s="2463" customFormat="1">
      <c r="A449" s="2462"/>
      <c r="B449" s="2462"/>
      <c r="C449" s="2462"/>
      <c r="D449" s="2462"/>
      <c r="E449" s="2462"/>
      <c r="F449" s="2462"/>
      <c r="G449" s="2462"/>
      <c r="H449" s="2462"/>
      <c r="I449" s="2579"/>
      <c r="J449" s="2579"/>
      <c r="K449" s="2579"/>
      <c r="L449" s="2579"/>
      <c r="M449" s="2579"/>
      <c r="N449" s="2579"/>
      <c r="O449" s="2579"/>
    </row>
    <row r="450" spans="1:15" s="2463" customFormat="1">
      <c r="A450" s="2462"/>
      <c r="B450" s="2462"/>
      <c r="C450" s="2462"/>
      <c r="D450" s="2462"/>
      <c r="E450" s="2462"/>
      <c r="F450" s="2462"/>
      <c r="G450" s="2462"/>
      <c r="H450" s="2462"/>
      <c r="I450" s="2579"/>
      <c r="J450" s="2579"/>
      <c r="K450" s="2579"/>
      <c r="L450" s="2579"/>
      <c r="M450" s="2579"/>
      <c r="N450" s="2579"/>
      <c r="O450" s="2579"/>
    </row>
    <row r="451" spans="1:15" s="2463" customFormat="1">
      <c r="A451" s="2462"/>
      <c r="B451" s="2462"/>
      <c r="C451" s="2462"/>
      <c r="D451" s="2462"/>
      <c r="E451" s="2462"/>
      <c r="F451" s="2462"/>
      <c r="G451" s="2462"/>
      <c r="H451" s="2462"/>
      <c r="I451" s="2579"/>
      <c r="J451" s="2579"/>
      <c r="K451" s="2579"/>
      <c r="L451" s="2579"/>
      <c r="M451" s="2579"/>
      <c r="N451" s="2579"/>
      <c r="O451" s="2579"/>
    </row>
    <row r="452" spans="1:15" s="2463" customFormat="1">
      <c r="A452" s="2462"/>
      <c r="B452" s="2462"/>
      <c r="C452" s="2462"/>
      <c r="D452" s="2462"/>
      <c r="E452" s="2462"/>
      <c r="F452" s="2462"/>
      <c r="G452" s="2462"/>
      <c r="H452" s="2462"/>
      <c r="I452" s="2579"/>
      <c r="J452" s="2579"/>
      <c r="K452" s="2579"/>
      <c r="L452" s="2579"/>
      <c r="M452" s="2579"/>
      <c r="N452" s="2579"/>
      <c r="O452" s="2579"/>
    </row>
    <row r="453" spans="1:15" s="2463" customFormat="1">
      <c r="A453" s="2462"/>
      <c r="B453" s="2462"/>
      <c r="C453" s="2462"/>
      <c r="D453" s="2462"/>
      <c r="E453" s="2462"/>
      <c r="F453" s="2462"/>
      <c r="G453" s="2462"/>
      <c r="H453" s="2462"/>
      <c r="I453" s="2579"/>
      <c r="J453" s="2579"/>
      <c r="K453" s="2579"/>
      <c r="L453" s="2579"/>
      <c r="M453" s="2579"/>
      <c r="N453" s="2579"/>
      <c r="O453" s="2579"/>
    </row>
    <row r="454" spans="1:15" s="2463" customFormat="1">
      <c r="A454" s="2462"/>
      <c r="B454" s="2462"/>
      <c r="C454" s="2462"/>
      <c r="D454" s="2462"/>
      <c r="E454" s="2462"/>
      <c r="F454" s="2462"/>
      <c r="G454" s="2462"/>
      <c r="H454" s="2462"/>
      <c r="I454" s="2579"/>
      <c r="J454" s="2579"/>
      <c r="K454" s="2579"/>
      <c r="L454" s="2579"/>
      <c r="M454" s="2579"/>
      <c r="N454" s="2579"/>
      <c r="O454" s="2579"/>
    </row>
    <row r="455" spans="1:15" s="2463" customFormat="1">
      <c r="A455" s="2462"/>
      <c r="B455" s="2462"/>
      <c r="C455" s="2462"/>
      <c r="D455" s="2462"/>
      <c r="E455" s="2462"/>
      <c r="F455" s="2462"/>
      <c r="G455" s="2462"/>
      <c r="H455" s="2462"/>
      <c r="I455" s="2579"/>
      <c r="J455" s="2579"/>
      <c r="K455" s="2579"/>
      <c r="L455" s="2579"/>
      <c r="M455" s="2579"/>
      <c r="N455" s="2579"/>
      <c r="O455" s="2579"/>
    </row>
    <row r="460" spans="1:15" s="2463" customFormat="1">
      <c r="A460" s="2462"/>
      <c r="B460" s="2462"/>
      <c r="C460" s="2462"/>
      <c r="D460" s="2462"/>
      <c r="E460" s="2462"/>
      <c r="F460" s="2462"/>
      <c r="G460" s="2462"/>
      <c r="H460" s="2462"/>
      <c r="I460" s="2579"/>
      <c r="J460" s="2579"/>
      <c r="K460" s="2579"/>
      <c r="L460" s="2579"/>
      <c r="M460" s="2579"/>
      <c r="N460" s="2579"/>
      <c r="O460" s="2579"/>
    </row>
    <row r="461" spans="1:15" s="2463" customFormat="1">
      <c r="A461" s="2462"/>
      <c r="B461" s="2462"/>
      <c r="C461" s="2462"/>
      <c r="D461" s="2462"/>
      <c r="E461" s="2462"/>
      <c r="F461" s="2462"/>
      <c r="G461" s="2462"/>
      <c r="H461" s="2462"/>
      <c r="I461" s="2579"/>
      <c r="J461" s="2579"/>
      <c r="K461" s="2579"/>
      <c r="L461" s="2579"/>
      <c r="M461" s="2579"/>
      <c r="N461" s="2579"/>
      <c r="O461" s="2579"/>
    </row>
    <row r="462" spans="1:15" s="2463" customFormat="1">
      <c r="A462" s="2462"/>
      <c r="B462" s="2462"/>
      <c r="C462" s="2462"/>
      <c r="D462" s="2462"/>
      <c r="E462" s="2462"/>
      <c r="F462" s="2462"/>
      <c r="G462" s="2462"/>
      <c r="H462" s="2462"/>
      <c r="I462" s="2579"/>
      <c r="J462" s="2579"/>
      <c r="K462" s="2579"/>
      <c r="L462" s="2579"/>
      <c r="M462" s="2579"/>
      <c r="N462" s="2579"/>
      <c r="O462" s="2579"/>
    </row>
    <row r="463" spans="1:15" s="2463" customFormat="1">
      <c r="A463" s="2462"/>
      <c r="B463" s="2462"/>
      <c r="C463" s="2462"/>
      <c r="D463" s="2462"/>
      <c r="E463" s="2462"/>
      <c r="F463" s="2462"/>
      <c r="G463" s="2462"/>
      <c r="H463" s="2462"/>
      <c r="I463" s="2579"/>
      <c r="J463" s="2579"/>
      <c r="K463" s="2579"/>
      <c r="L463" s="2579"/>
      <c r="M463" s="2579"/>
      <c r="N463" s="2579"/>
      <c r="O463" s="2579"/>
    </row>
    <row r="464" spans="1:15" s="2463" customFormat="1">
      <c r="A464" s="2462"/>
      <c r="B464" s="2462"/>
      <c r="C464" s="2462"/>
      <c r="D464" s="2462"/>
      <c r="E464" s="2462"/>
      <c r="F464" s="2462"/>
      <c r="G464" s="2462"/>
      <c r="H464" s="2462"/>
      <c r="I464" s="2579"/>
      <c r="J464" s="2579"/>
      <c r="K464" s="2579"/>
      <c r="L464" s="2579"/>
      <c r="M464" s="2579"/>
      <c r="N464" s="2579"/>
      <c r="O464" s="2579"/>
    </row>
    <row r="465" spans="1:15" s="2463" customFormat="1">
      <c r="A465" s="2462"/>
      <c r="B465" s="2462"/>
      <c r="C465" s="2462"/>
      <c r="D465" s="2462"/>
      <c r="E465" s="2462"/>
      <c r="F465" s="2462"/>
      <c r="G465" s="2462"/>
      <c r="H465" s="2462"/>
      <c r="I465" s="2579"/>
      <c r="J465" s="2579"/>
      <c r="K465" s="2579"/>
      <c r="L465" s="2579"/>
      <c r="M465" s="2579"/>
      <c r="N465" s="2579"/>
      <c r="O465" s="2579"/>
    </row>
    <row r="466" spans="1:15" s="2463" customFormat="1">
      <c r="A466" s="2462"/>
      <c r="B466" s="2462"/>
      <c r="C466" s="2462"/>
      <c r="D466" s="2462"/>
      <c r="E466" s="2462"/>
      <c r="F466" s="2462"/>
      <c r="G466" s="2462"/>
      <c r="H466" s="2462"/>
      <c r="I466" s="2579"/>
      <c r="J466" s="2579"/>
      <c r="K466" s="2579"/>
      <c r="L466" s="2579"/>
      <c r="M466" s="2579"/>
      <c r="N466" s="2579"/>
      <c r="O466" s="2579"/>
    </row>
    <row r="467" spans="1:15" s="2463" customFormat="1">
      <c r="A467" s="2462"/>
      <c r="B467" s="2462"/>
      <c r="C467" s="2462"/>
      <c r="D467" s="2462"/>
      <c r="E467" s="2462"/>
      <c r="F467" s="2462"/>
      <c r="G467" s="2462"/>
      <c r="H467" s="2462"/>
      <c r="I467" s="2579"/>
      <c r="J467" s="2579"/>
      <c r="K467" s="2579"/>
      <c r="L467" s="2579"/>
      <c r="M467" s="2579"/>
      <c r="N467" s="2579"/>
      <c r="O467" s="2579"/>
    </row>
    <row r="468" spans="1:15" s="2463" customFormat="1">
      <c r="A468" s="2462"/>
      <c r="B468" s="2462"/>
      <c r="C468" s="2462"/>
      <c r="D468" s="2462"/>
      <c r="E468" s="2462"/>
      <c r="F468" s="2462"/>
      <c r="G468" s="2462"/>
      <c r="H468" s="2462"/>
      <c r="I468" s="2579"/>
      <c r="J468" s="2579"/>
      <c r="K468" s="2579"/>
      <c r="L468" s="2579"/>
      <c r="M468" s="2579"/>
      <c r="N468" s="2579"/>
      <c r="O468" s="2579"/>
    </row>
    <row r="469" spans="1:15" s="2463" customFormat="1">
      <c r="A469" s="2462"/>
      <c r="B469" s="2462"/>
      <c r="C469" s="2462"/>
      <c r="D469" s="2462"/>
      <c r="E469" s="2462"/>
      <c r="F469" s="2462"/>
      <c r="G469" s="2462"/>
      <c r="H469" s="2462"/>
      <c r="I469" s="2579"/>
      <c r="J469" s="2579"/>
      <c r="K469" s="2579"/>
      <c r="L469" s="2579"/>
      <c r="M469" s="2579"/>
      <c r="N469" s="2579"/>
      <c r="O469" s="2579"/>
    </row>
    <row r="470" spans="1:15" s="2463" customFormat="1">
      <c r="A470" s="2462"/>
      <c r="B470" s="2462"/>
      <c r="C470" s="2462"/>
      <c r="D470" s="2462"/>
      <c r="E470" s="2462"/>
      <c r="F470" s="2462"/>
      <c r="G470" s="2462"/>
      <c r="H470" s="2462"/>
      <c r="I470" s="2579"/>
      <c r="J470" s="2579"/>
      <c r="K470" s="2579"/>
      <c r="L470" s="2579"/>
      <c r="M470" s="2579"/>
      <c r="N470" s="2579"/>
      <c r="O470" s="2579"/>
    </row>
    <row r="471" spans="1:15" s="2463" customFormat="1">
      <c r="A471" s="2462"/>
      <c r="B471" s="2462"/>
      <c r="C471" s="2462"/>
      <c r="D471" s="2462"/>
      <c r="E471" s="2462"/>
      <c r="F471" s="2462"/>
      <c r="G471" s="2462"/>
      <c r="H471" s="2462"/>
      <c r="I471" s="2579"/>
      <c r="J471" s="2579"/>
      <c r="K471" s="2579"/>
      <c r="L471" s="2579"/>
      <c r="M471" s="2579"/>
      <c r="N471" s="2579"/>
      <c r="O471" s="2579"/>
    </row>
    <row r="472" spans="1:15" s="2463" customFormat="1">
      <c r="A472" s="2462"/>
      <c r="B472" s="2462"/>
      <c r="C472" s="2462"/>
      <c r="D472" s="2462"/>
      <c r="E472" s="2462"/>
      <c r="F472" s="2462"/>
      <c r="G472" s="2462"/>
      <c r="H472" s="2462"/>
      <c r="I472" s="2579"/>
      <c r="J472" s="2579"/>
      <c r="K472" s="2579"/>
      <c r="L472" s="2579"/>
      <c r="M472" s="2579"/>
      <c r="N472" s="2579"/>
      <c r="O472" s="2579"/>
    </row>
    <row r="473" spans="1:15" s="2463" customFormat="1">
      <c r="A473" s="2462"/>
      <c r="B473" s="2462"/>
      <c r="C473" s="2462"/>
      <c r="D473" s="2462"/>
      <c r="E473" s="2462"/>
      <c r="F473" s="2462"/>
      <c r="G473" s="2462"/>
      <c r="H473" s="2462"/>
      <c r="I473" s="2579"/>
      <c r="J473" s="2579"/>
      <c r="K473" s="2579"/>
      <c r="L473" s="2579"/>
      <c r="M473" s="2579"/>
      <c r="N473" s="2579"/>
      <c r="O473" s="2579"/>
    </row>
    <row r="474" spans="1:15" s="2463" customFormat="1">
      <c r="A474" s="2462"/>
      <c r="B474" s="2462"/>
      <c r="C474" s="2462"/>
      <c r="D474" s="2462"/>
      <c r="E474" s="2462"/>
      <c r="F474" s="2462"/>
      <c r="G474" s="2462"/>
      <c r="H474" s="2462"/>
      <c r="I474" s="2579"/>
      <c r="J474" s="2579"/>
      <c r="K474" s="2579"/>
      <c r="L474" s="2579"/>
      <c r="M474" s="2579"/>
      <c r="N474" s="2579"/>
      <c r="O474" s="2579"/>
    </row>
    <row r="475" spans="1:15" s="2463" customFormat="1">
      <c r="A475" s="2462"/>
      <c r="B475" s="2462"/>
      <c r="C475" s="2462"/>
      <c r="D475" s="2462"/>
      <c r="E475" s="2462"/>
      <c r="F475" s="2462"/>
      <c r="G475" s="2462"/>
      <c r="H475" s="2462"/>
      <c r="I475" s="2579"/>
      <c r="J475" s="2579"/>
      <c r="K475" s="2579"/>
      <c r="L475" s="2579"/>
      <c r="M475" s="2579"/>
      <c r="N475" s="2579"/>
      <c r="O475" s="2579"/>
    </row>
    <row r="476" spans="1:15" s="2463" customFormat="1">
      <c r="A476" s="2462"/>
      <c r="B476" s="2462"/>
      <c r="C476" s="2462"/>
      <c r="D476" s="2462"/>
      <c r="E476" s="2462"/>
      <c r="F476" s="2462"/>
      <c r="G476" s="2462"/>
      <c r="H476" s="2462"/>
      <c r="I476" s="2579"/>
      <c r="J476" s="2579"/>
      <c r="K476" s="2579"/>
      <c r="L476" s="2579"/>
      <c r="M476" s="2579"/>
      <c r="N476" s="2579"/>
      <c r="O476" s="2579"/>
    </row>
    <row r="477" spans="1:15" s="2463" customFormat="1">
      <c r="A477" s="2462"/>
      <c r="B477" s="2462"/>
      <c r="C477" s="2462"/>
      <c r="D477" s="2462"/>
      <c r="E477" s="2462"/>
      <c r="F477" s="2462"/>
      <c r="G477" s="2462"/>
      <c r="H477" s="2462"/>
      <c r="I477" s="2579"/>
      <c r="J477" s="2579"/>
      <c r="K477" s="2579"/>
      <c r="L477" s="2579"/>
      <c r="M477" s="2579"/>
      <c r="N477" s="2579"/>
      <c r="O477" s="2579"/>
    </row>
    <row r="478" spans="1:15" s="2463" customFormat="1">
      <c r="A478" s="2462"/>
      <c r="B478" s="2462"/>
      <c r="C478" s="2462"/>
      <c r="D478" s="2462"/>
      <c r="E478" s="2462"/>
      <c r="F478" s="2462"/>
      <c r="G478" s="2462"/>
      <c r="H478" s="2462"/>
      <c r="I478" s="2579"/>
      <c r="J478" s="2579"/>
      <c r="K478" s="2579"/>
      <c r="L478" s="2579"/>
      <c r="M478" s="2579"/>
      <c r="N478" s="2579"/>
      <c r="O478" s="2579"/>
    </row>
    <row r="479" spans="1:15" s="2463" customFormat="1">
      <c r="A479" s="2462"/>
      <c r="B479" s="2462"/>
      <c r="C479" s="2462"/>
      <c r="D479" s="2462"/>
      <c r="E479" s="2462"/>
      <c r="F479" s="2462"/>
      <c r="G479" s="2462"/>
      <c r="H479" s="2462"/>
      <c r="I479" s="2579"/>
      <c r="J479" s="2579"/>
      <c r="K479" s="2579"/>
      <c r="L479" s="2579"/>
      <c r="M479" s="2579"/>
      <c r="N479" s="2579"/>
      <c r="O479" s="2579"/>
    </row>
    <row r="480" spans="1:15" s="2463" customFormat="1">
      <c r="A480" s="2462"/>
      <c r="B480" s="2462"/>
      <c r="C480" s="2462"/>
      <c r="D480" s="2462"/>
      <c r="E480" s="2462"/>
      <c r="F480" s="2462"/>
      <c r="G480" s="2462"/>
      <c r="H480" s="2462"/>
      <c r="I480" s="2579"/>
      <c r="J480" s="2579"/>
      <c r="K480" s="2579"/>
      <c r="L480" s="2579"/>
      <c r="M480" s="2579"/>
      <c r="N480" s="2579"/>
      <c r="O480" s="2579"/>
    </row>
    <row r="481" spans="1:15" s="2463" customFormat="1">
      <c r="A481" s="2462"/>
      <c r="B481" s="2462"/>
      <c r="C481" s="2462"/>
      <c r="D481" s="2462"/>
      <c r="E481" s="2462"/>
      <c r="F481" s="2462"/>
      <c r="G481" s="2462"/>
      <c r="H481" s="2462"/>
      <c r="I481" s="2579"/>
      <c r="J481" s="2579"/>
      <c r="K481" s="2579"/>
      <c r="L481" s="2579"/>
      <c r="M481" s="2579"/>
      <c r="N481" s="2579"/>
      <c r="O481" s="2579"/>
    </row>
    <row r="482" spans="1:15" s="2463" customFormat="1">
      <c r="A482" s="2462"/>
      <c r="B482" s="2462"/>
      <c r="C482" s="2462"/>
      <c r="D482" s="2462"/>
      <c r="E482" s="2462"/>
      <c r="F482" s="2462"/>
      <c r="G482" s="2462"/>
      <c r="H482" s="2462"/>
      <c r="I482" s="2579"/>
      <c r="J482" s="2579"/>
      <c r="K482" s="2579"/>
      <c r="L482" s="2579"/>
      <c r="M482" s="2579"/>
      <c r="N482" s="2579"/>
      <c r="O482" s="2579"/>
    </row>
    <row r="483" spans="1:15" s="2463" customFormat="1">
      <c r="A483" s="2462"/>
      <c r="B483" s="2462"/>
      <c r="C483" s="2462"/>
      <c r="D483" s="2462"/>
      <c r="E483" s="2462"/>
      <c r="F483" s="2462"/>
      <c r="G483" s="2462"/>
      <c r="H483" s="2462"/>
      <c r="I483" s="2579"/>
      <c r="J483" s="2579"/>
      <c r="K483" s="2579"/>
      <c r="L483" s="2579"/>
      <c r="M483" s="2579"/>
      <c r="N483" s="2579"/>
      <c r="O483" s="2579"/>
    </row>
    <row r="484" spans="1:15" s="2463" customFormat="1">
      <c r="A484" s="2462"/>
      <c r="B484" s="2462"/>
      <c r="C484" s="2462"/>
      <c r="D484" s="2462"/>
      <c r="E484" s="2462"/>
      <c r="F484" s="2462"/>
      <c r="G484" s="2462"/>
      <c r="H484" s="2462"/>
      <c r="I484" s="2579"/>
      <c r="J484" s="2579"/>
      <c r="K484" s="2579"/>
      <c r="L484" s="2579"/>
      <c r="M484" s="2579"/>
      <c r="N484" s="2579"/>
      <c r="O484" s="2579"/>
    </row>
    <row r="485" spans="1:15" s="2463" customFormat="1">
      <c r="A485" s="2462"/>
      <c r="B485" s="2462"/>
      <c r="C485" s="2462"/>
      <c r="D485" s="2462"/>
      <c r="E485" s="2462"/>
      <c r="F485" s="2462"/>
      <c r="G485" s="2462"/>
      <c r="H485" s="2462"/>
      <c r="I485" s="2579"/>
      <c r="J485" s="2579"/>
      <c r="K485" s="2579"/>
      <c r="L485" s="2579"/>
      <c r="M485" s="2579"/>
      <c r="N485" s="2579"/>
      <c r="O485" s="2579"/>
    </row>
    <row r="486" spans="1:15" s="2463" customFormat="1">
      <c r="A486" s="2462"/>
      <c r="B486" s="2462"/>
      <c r="C486" s="2462"/>
      <c r="D486" s="2462"/>
      <c r="E486" s="2462"/>
      <c r="F486" s="2462"/>
      <c r="G486" s="2462"/>
      <c r="H486" s="2462"/>
      <c r="I486" s="2579"/>
      <c r="J486" s="2579"/>
      <c r="K486" s="2579"/>
      <c r="L486" s="2579"/>
      <c r="M486" s="2579"/>
      <c r="N486" s="2579"/>
      <c r="O486" s="2579"/>
    </row>
    <row r="487" spans="1:15" s="2463" customFormat="1">
      <c r="A487" s="2462"/>
      <c r="B487" s="2462"/>
      <c r="C487" s="2462"/>
      <c r="D487" s="2462"/>
      <c r="E487" s="2462"/>
      <c r="F487" s="2462"/>
      <c r="G487" s="2462"/>
      <c r="H487" s="2462"/>
      <c r="I487" s="2579"/>
      <c r="J487" s="2579"/>
      <c r="K487" s="2579"/>
      <c r="L487" s="2579"/>
      <c r="M487" s="2579"/>
      <c r="N487" s="2579"/>
      <c r="O487" s="2579"/>
    </row>
    <row r="488" spans="1:15" s="2463" customFormat="1">
      <c r="A488" s="2462"/>
      <c r="B488" s="2462"/>
      <c r="C488" s="2462"/>
      <c r="D488" s="2462"/>
      <c r="E488" s="2462"/>
      <c r="F488" s="2462"/>
      <c r="G488" s="2462"/>
      <c r="H488" s="2462"/>
      <c r="I488" s="2579"/>
      <c r="J488" s="2579"/>
      <c r="K488" s="2579"/>
      <c r="L488" s="2579"/>
      <c r="M488" s="2579"/>
      <c r="N488" s="2579"/>
      <c r="O488" s="2579"/>
    </row>
    <row r="489" spans="1:15" s="2463" customFormat="1">
      <c r="A489" s="2462"/>
      <c r="B489" s="2462"/>
      <c r="C489" s="2462"/>
      <c r="D489" s="2462"/>
      <c r="E489" s="2462"/>
      <c r="F489" s="2462"/>
      <c r="G489" s="2462"/>
      <c r="H489" s="2462"/>
      <c r="I489" s="2579"/>
      <c r="J489" s="2579"/>
      <c r="K489" s="2579"/>
      <c r="L489" s="2579"/>
      <c r="M489" s="2579"/>
      <c r="N489" s="2579"/>
      <c r="O489" s="2579"/>
    </row>
    <row r="490" spans="1:15" s="2463" customFormat="1">
      <c r="A490" s="2462"/>
      <c r="B490" s="2462"/>
      <c r="C490" s="2462"/>
      <c r="D490" s="2462"/>
      <c r="E490" s="2462"/>
      <c r="F490" s="2462"/>
      <c r="G490" s="2462"/>
      <c r="H490" s="2462"/>
      <c r="I490" s="2579"/>
      <c r="J490" s="2579"/>
      <c r="K490" s="2579"/>
      <c r="L490" s="2579"/>
      <c r="M490" s="2579"/>
      <c r="N490" s="2579"/>
      <c r="O490" s="2579"/>
    </row>
    <row r="491" spans="1:15" s="2463" customFormat="1">
      <c r="A491" s="2462"/>
      <c r="B491" s="2462"/>
      <c r="C491" s="2462"/>
      <c r="D491" s="2462"/>
      <c r="E491" s="2462"/>
      <c r="F491" s="2462"/>
      <c r="G491" s="2462"/>
      <c r="H491" s="2462"/>
      <c r="I491" s="2579"/>
      <c r="J491" s="2579"/>
      <c r="K491" s="2579"/>
      <c r="L491" s="2579"/>
      <c r="M491" s="2579"/>
      <c r="N491" s="2579"/>
      <c r="O491" s="2579"/>
    </row>
    <row r="492" spans="1:15" s="2463" customFormat="1">
      <c r="A492" s="2462"/>
      <c r="B492" s="2462"/>
      <c r="C492" s="2462"/>
      <c r="D492" s="2462"/>
      <c r="E492" s="2462"/>
      <c r="F492" s="2462"/>
      <c r="G492" s="2462"/>
      <c r="H492" s="2462"/>
      <c r="I492" s="2579"/>
      <c r="J492" s="2579"/>
      <c r="K492" s="2579"/>
      <c r="L492" s="2579"/>
      <c r="M492" s="2579"/>
      <c r="N492" s="2579"/>
      <c r="O492" s="2579"/>
    </row>
    <row r="493" spans="1:15" s="2463" customFormat="1">
      <c r="A493" s="2462"/>
      <c r="B493" s="2462"/>
      <c r="C493" s="2462"/>
      <c r="D493" s="2462"/>
      <c r="E493" s="2462"/>
      <c r="F493" s="2462"/>
      <c r="G493" s="2462"/>
      <c r="H493" s="2462"/>
      <c r="I493" s="2579"/>
      <c r="J493" s="2579"/>
      <c r="K493" s="2579"/>
      <c r="L493" s="2579"/>
      <c r="M493" s="2579"/>
      <c r="N493" s="2579"/>
      <c r="O493" s="2579"/>
    </row>
    <row r="494" spans="1:15" s="2463" customFormat="1">
      <c r="A494" s="2462"/>
      <c r="B494" s="2462"/>
      <c r="C494" s="2462"/>
      <c r="D494" s="2462"/>
      <c r="E494" s="2462"/>
      <c r="F494" s="2462"/>
      <c r="G494" s="2462"/>
      <c r="H494" s="2462"/>
      <c r="I494" s="2579"/>
      <c r="J494" s="2579"/>
      <c r="K494" s="2579"/>
      <c r="L494" s="2579"/>
      <c r="M494" s="2579"/>
      <c r="N494" s="2579"/>
      <c r="O494" s="2579"/>
    </row>
    <row r="495" spans="1:15" s="2463" customFormat="1">
      <c r="A495" s="2462"/>
      <c r="B495" s="2462"/>
      <c r="C495" s="2462"/>
      <c r="D495" s="2462"/>
      <c r="E495" s="2462"/>
      <c r="F495" s="2462"/>
      <c r="G495" s="2462"/>
      <c r="H495" s="2462"/>
      <c r="I495" s="2579"/>
      <c r="J495" s="2579"/>
      <c r="K495" s="2579"/>
      <c r="L495" s="2579"/>
      <c r="M495" s="2579"/>
      <c r="N495" s="2579"/>
      <c r="O495" s="2579"/>
    </row>
    <row r="496" spans="1:15" s="2463" customFormat="1">
      <c r="A496" s="2462"/>
      <c r="B496" s="2462"/>
      <c r="C496" s="2462"/>
      <c r="D496" s="2462"/>
      <c r="E496" s="2462"/>
      <c r="F496" s="2462"/>
      <c r="G496" s="2462"/>
      <c r="H496" s="2462"/>
      <c r="I496" s="2579"/>
      <c r="J496" s="2579"/>
      <c r="K496" s="2579"/>
      <c r="L496" s="2579"/>
      <c r="M496" s="2579"/>
      <c r="N496" s="2579"/>
      <c r="O496" s="2579"/>
    </row>
    <row r="502" spans="1:15" s="2463" customFormat="1">
      <c r="A502" s="2462"/>
      <c r="B502" s="2462"/>
      <c r="C502" s="2462"/>
      <c r="D502" s="2462"/>
      <c r="E502" s="2462"/>
      <c r="F502" s="2462"/>
      <c r="G502" s="2462"/>
      <c r="H502" s="2462"/>
      <c r="I502" s="2579"/>
      <c r="J502" s="2579"/>
      <c r="K502" s="2579"/>
      <c r="L502" s="2579"/>
      <c r="M502" s="2579"/>
      <c r="N502" s="2579"/>
      <c r="O502" s="2579"/>
    </row>
    <row r="503" spans="1:15" s="2463" customFormat="1">
      <c r="A503" s="2462"/>
      <c r="B503" s="2462"/>
      <c r="C503" s="2462"/>
      <c r="D503" s="2462"/>
      <c r="E503" s="2462"/>
      <c r="F503" s="2462"/>
      <c r="G503" s="2462"/>
      <c r="H503" s="2462"/>
      <c r="I503" s="2579"/>
      <c r="J503" s="2579"/>
      <c r="K503" s="2579"/>
      <c r="L503" s="2579"/>
      <c r="M503" s="2579"/>
      <c r="N503" s="2579"/>
      <c r="O503" s="2579"/>
    </row>
    <row r="504" spans="1:15" s="2463" customFormat="1">
      <c r="A504" s="2462"/>
      <c r="B504" s="2462"/>
      <c r="C504" s="2462"/>
      <c r="D504" s="2462"/>
      <c r="E504" s="2462"/>
      <c r="F504" s="2462"/>
      <c r="G504" s="2462"/>
      <c r="H504" s="2462"/>
      <c r="I504" s="2579"/>
      <c r="J504" s="2579"/>
      <c r="K504" s="2579"/>
      <c r="L504" s="2579"/>
      <c r="M504" s="2579"/>
      <c r="N504" s="2579"/>
      <c r="O504" s="2579"/>
    </row>
    <row r="505" spans="1:15" s="2463" customFormat="1">
      <c r="A505" s="2462"/>
      <c r="B505" s="2462"/>
      <c r="C505" s="2462"/>
      <c r="D505" s="2462"/>
      <c r="E505" s="2462"/>
      <c r="F505" s="2462"/>
      <c r="G505" s="2462"/>
      <c r="H505" s="2462"/>
      <c r="I505" s="2579"/>
      <c r="J505" s="2579"/>
      <c r="K505" s="2579"/>
      <c r="L505" s="2579"/>
      <c r="M505" s="2579"/>
      <c r="N505" s="2579"/>
      <c r="O505" s="2579"/>
    </row>
    <row r="506" spans="1:15" s="2463" customFormat="1">
      <c r="A506" s="2462"/>
      <c r="B506" s="2462"/>
      <c r="C506" s="2462"/>
      <c r="D506" s="2462"/>
      <c r="E506" s="2462"/>
      <c r="F506" s="2462"/>
      <c r="G506" s="2462"/>
      <c r="H506" s="2462"/>
      <c r="I506" s="2579"/>
      <c r="J506" s="2579"/>
      <c r="K506" s="2579"/>
      <c r="L506" s="2579"/>
      <c r="M506" s="2579"/>
      <c r="N506" s="2579"/>
      <c r="O506" s="2579"/>
    </row>
    <row r="507" spans="1:15" s="2463" customFormat="1">
      <c r="A507" s="2462"/>
      <c r="B507" s="2462"/>
      <c r="C507" s="2462"/>
      <c r="D507" s="2462"/>
      <c r="E507" s="2462"/>
      <c r="F507" s="2462"/>
      <c r="G507" s="2462"/>
      <c r="H507" s="2462"/>
      <c r="I507" s="2579"/>
      <c r="J507" s="2579"/>
      <c r="K507" s="2579"/>
      <c r="L507" s="2579"/>
      <c r="M507" s="2579"/>
      <c r="N507" s="2579"/>
      <c r="O507" s="2579"/>
    </row>
    <row r="508" spans="1:15" s="2463" customFormat="1">
      <c r="A508" s="2462"/>
      <c r="B508" s="2462"/>
      <c r="C508" s="2462"/>
      <c r="D508" s="2462"/>
      <c r="E508" s="2462"/>
      <c r="F508" s="2462"/>
      <c r="G508" s="2462"/>
      <c r="H508" s="2462"/>
      <c r="I508" s="2579"/>
      <c r="J508" s="2579"/>
      <c r="K508" s="2579"/>
      <c r="L508" s="2579"/>
      <c r="M508" s="2579"/>
      <c r="N508" s="2579"/>
      <c r="O508" s="2579"/>
    </row>
    <row r="509" spans="1:15" s="2463" customFormat="1">
      <c r="A509" s="2462"/>
      <c r="B509" s="2462"/>
      <c r="C509" s="2462"/>
      <c r="D509" s="2462"/>
      <c r="E509" s="2462"/>
      <c r="F509" s="2462"/>
      <c r="G509" s="2462"/>
      <c r="H509" s="2462"/>
      <c r="I509" s="2579"/>
      <c r="J509" s="2579"/>
      <c r="K509" s="2579"/>
      <c r="L509" s="2579"/>
      <c r="M509" s="2579"/>
      <c r="N509" s="2579"/>
      <c r="O509" s="2579"/>
    </row>
    <row r="510" spans="1:15" s="2463" customFormat="1">
      <c r="A510" s="2462"/>
      <c r="B510" s="2462"/>
      <c r="C510" s="2462"/>
      <c r="D510" s="2462"/>
      <c r="E510" s="2462"/>
      <c r="F510" s="2462"/>
      <c r="G510" s="2462"/>
      <c r="H510" s="2462"/>
      <c r="I510" s="2579"/>
      <c r="J510" s="2579"/>
      <c r="K510" s="2579"/>
      <c r="L510" s="2579"/>
      <c r="M510" s="2579"/>
      <c r="N510" s="2579"/>
      <c r="O510" s="2579"/>
    </row>
    <row r="511" spans="1:15" s="2463" customFormat="1">
      <c r="A511" s="2462"/>
      <c r="B511" s="2462"/>
      <c r="C511" s="2462"/>
      <c r="D511" s="2462"/>
      <c r="E511" s="2462"/>
      <c r="F511" s="2462"/>
      <c r="G511" s="2462"/>
      <c r="H511" s="2462"/>
      <c r="I511" s="2579"/>
      <c r="J511" s="2579"/>
      <c r="K511" s="2579"/>
      <c r="L511" s="2579"/>
      <c r="M511" s="2579"/>
      <c r="N511" s="2579"/>
      <c r="O511" s="2579"/>
    </row>
    <row r="512" spans="1:15" s="2463" customFormat="1">
      <c r="A512" s="2462"/>
      <c r="B512" s="2462"/>
      <c r="C512" s="2462"/>
      <c r="D512" s="2462"/>
      <c r="E512" s="2462"/>
      <c r="F512" s="2462"/>
      <c r="G512" s="2462"/>
      <c r="H512" s="2462"/>
      <c r="I512" s="2579"/>
      <c r="J512" s="2579"/>
      <c r="K512" s="2579"/>
      <c r="L512" s="2579"/>
      <c r="M512" s="2579"/>
      <c r="N512" s="2579"/>
      <c r="O512" s="2579"/>
    </row>
    <row r="513" spans="1:15" s="2463" customFormat="1">
      <c r="A513" s="2462"/>
      <c r="B513" s="2462"/>
      <c r="C513" s="2462"/>
      <c r="D513" s="2462"/>
      <c r="E513" s="2462"/>
      <c r="F513" s="2462"/>
      <c r="G513" s="2462"/>
      <c r="H513" s="2462"/>
      <c r="I513" s="2579"/>
      <c r="J513" s="2579"/>
      <c r="K513" s="2579"/>
      <c r="L513" s="2579"/>
      <c r="M513" s="2579"/>
      <c r="N513" s="2579"/>
      <c r="O513" s="2579"/>
    </row>
    <row r="514" spans="1:15" s="2463" customFormat="1">
      <c r="A514" s="2462"/>
      <c r="B514" s="2462"/>
      <c r="C514" s="2462"/>
      <c r="D514" s="2462"/>
      <c r="E514" s="2462"/>
      <c r="F514" s="2462"/>
      <c r="G514" s="2462"/>
      <c r="H514" s="2462"/>
      <c r="I514" s="2579"/>
      <c r="J514" s="2579"/>
      <c r="K514" s="2579"/>
      <c r="L514" s="2579"/>
      <c r="M514" s="2579"/>
      <c r="N514" s="2579"/>
      <c r="O514" s="2579"/>
    </row>
    <row r="515" spans="1:15" s="2463" customFormat="1">
      <c r="A515" s="2462"/>
      <c r="B515" s="2462"/>
      <c r="C515" s="2462"/>
      <c r="D515" s="2462"/>
      <c r="E515" s="2462"/>
      <c r="F515" s="2462"/>
      <c r="G515" s="2462"/>
      <c r="H515" s="2462"/>
      <c r="I515" s="2579"/>
      <c r="J515" s="2579"/>
      <c r="K515" s="2579"/>
      <c r="L515" s="2579"/>
      <c r="M515" s="2579"/>
      <c r="N515" s="2579"/>
      <c r="O515" s="2579"/>
    </row>
    <row r="516" spans="1:15" s="2463" customFormat="1">
      <c r="A516" s="2462"/>
      <c r="B516" s="2462"/>
      <c r="C516" s="2462"/>
      <c r="D516" s="2462"/>
      <c r="E516" s="2462"/>
      <c r="F516" s="2462"/>
      <c r="G516" s="2462"/>
      <c r="H516" s="2462"/>
      <c r="I516" s="2579"/>
      <c r="J516" s="2579"/>
      <c r="K516" s="2579"/>
      <c r="L516" s="2579"/>
      <c r="M516" s="2579"/>
      <c r="N516" s="2579"/>
      <c r="O516" s="2579"/>
    </row>
    <row r="517" spans="1:15" s="2463" customFormat="1">
      <c r="A517" s="2462"/>
      <c r="B517" s="2462"/>
      <c r="C517" s="2462"/>
      <c r="D517" s="2462"/>
      <c r="E517" s="2462"/>
      <c r="F517" s="2462"/>
      <c r="G517" s="2462"/>
      <c r="H517" s="2462"/>
      <c r="I517" s="2579"/>
      <c r="J517" s="2579"/>
      <c r="K517" s="2579"/>
      <c r="L517" s="2579"/>
      <c r="M517" s="2579"/>
      <c r="N517" s="2579"/>
      <c r="O517" s="2579"/>
    </row>
    <row r="518" spans="1:15" s="2463" customFormat="1">
      <c r="A518" s="2462"/>
      <c r="B518" s="2462"/>
      <c r="C518" s="2462"/>
      <c r="D518" s="2462"/>
      <c r="E518" s="2462"/>
      <c r="F518" s="2462"/>
      <c r="G518" s="2462"/>
      <c r="H518" s="2462"/>
      <c r="I518" s="2579"/>
      <c r="J518" s="2579"/>
      <c r="K518" s="2579"/>
      <c r="L518" s="2579"/>
      <c r="M518" s="2579"/>
      <c r="N518" s="2579"/>
      <c r="O518" s="2579"/>
    </row>
    <row r="519" spans="1:15" s="2463" customFormat="1">
      <c r="A519" s="2462"/>
      <c r="B519" s="2462"/>
      <c r="C519" s="2462"/>
      <c r="D519" s="2462"/>
      <c r="E519" s="2462"/>
      <c r="F519" s="2462"/>
      <c r="G519" s="2462"/>
      <c r="H519" s="2462"/>
      <c r="I519" s="2579"/>
      <c r="J519" s="2579"/>
      <c r="K519" s="2579"/>
      <c r="L519" s="2579"/>
      <c r="M519" s="2579"/>
      <c r="N519" s="2579"/>
      <c r="O519" s="2579"/>
    </row>
    <row r="520" spans="1:15" s="2463" customFormat="1">
      <c r="A520" s="2462"/>
      <c r="B520" s="2462"/>
      <c r="C520" s="2462"/>
      <c r="D520" s="2462"/>
      <c r="E520" s="2462"/>
      <c r="F520" s="2462"/>
      <c r="G520" s="2462"/>
      <c r="H520" s="2462"/>
      <c r="I520" s="2579"/>
      <c r="J520" s="2579"/>
      <c r="K520" s="2579"/>
      <c r="L520" s="2579"/>
      <c r="M520" s="2579"/>
      <c r="N520" s="2579"/>
      <c r="O520" s="2579"/>
    </row>
    <row r="521" spans="1:15" s="2463" customFormat="1">
      <c r="A521" s="2462"/>
      <c r="B521" s="2462"/>
      <c r="C521" s="2462"/>
      <c r="D521" s="2462"/>
      <c r="E521" s="2462"/>
      <c r="F521" s="2462"/>
      <c r="G521" s="2462"/>
      <c r="H521" s="2462"/>
      <c r="I521" s="2579"/>
      <c r="J521" s="2579"/>
      <c r="K521" s="2579"/>
      <c r="L521" s="2579"/>
      <c r="M521" s="2579"/>
      <c r="N521" s="2579"/>
      <c r="O521" s="2579"/>
    </row>
    <row r="522" spans="1:15" s="2463" customFormat="1">
      <c r="A522" s="2462"/>
      <c r="B522" s="2462"/>
      <c r="C522" s="2462"/>
      <c r="D522" s="2462"/>
      <c r="E522" s="2462"/>
      <c r="F522" s="2462"/>
      <c r="G522" s="2462"/>
      <c r="H522" s="2462"/>
      <c r="I522" s="2579"/>
      <c r="J522" s="2579"/>
      <c r="K522" s="2579"/>
      <c r="L522" s="2579"/>
      <c r="M522" s="2579"/>
      <c r="N522" s="2579"/>
      <c r="O522" s="2579"/>
    </row>
    <row r="523" spans="1:15" s="2463" customFormat="1">
      <c r="A523" s="2462"/>
      <c r="B523" s="2462"/>
      <c r="C523" s="2462"/>
      <c r="D523" s="2462"/>
      <c r="E523" s="2462"/>
      <c r="F523" s="2462"/>
      <c r="G523" s="2462"/>
      <c r="H523" s="2462"/>
      <c r="I523" s="2579"/>
      <c r="J523" s="2579"/>
      <c r="K523" s="2579"/>
      <c r="L523" s="2579"/>
      <c r="M523" s="2579"/>
      <c r="N523" s="2579"/>
      <c r="O523" s="2579"/>
    </row>
    <row r="524" spans="1:15" s="2463" customFormat="1">
      <c r="A524" s="2462"/>
      <c r="B524" s="2462"/>
      <c r="C524" s="2462"/>
      <c r="D524" s="2462"/>
      <c r="E524" s="2462"/>
      <c r="F524" s="2462"/>
      <c r="G524" s="2462"/>
      <c r="H524" s="2462"/>
      <c r="I524" s="2579"/>
      <c r="J524" s="2579"/>
      <c r="K524" s="2579"/>
      <c r="L524" s="2579"/>
      <c r="M524" s="2579"/>
      <c r="N524" s="2579"/>
      <c r="O524" s="2579"/>
    </row>
    <row r="525" spans="1:15" s="2463" customFormat="1">
      <c r="A525" s="2462"/>
      <c r="B525" s="2462"/>
      <c r="C525" s="2462"/>
      <c r="D525" s="2462"/>
      <c r="E525" s="2462"/>
      <c r="F525" s="2462"/>
      <c r="G525" s="2462"/>
      <c r="H525" s="2462"/>
      <c r="I525" s="2579"/>
      <c r="J525" s="2579"/>
      <c r="K525" s="2579"/>
      <c r="L525" s="2579"/>
      <c r="M525" s="2579"/>
      <c r="N525" s="2579"/>
      <c r="O525" s="2579"/>
    </row>
    <row r="526" spans="1:15" s="2463" customFormat="1">
      <c r="A526" s="2462"/>
      <c r="B526" s="2462"/>
      <c r="C526" s="2462"/>
      <c r="D526" s="2462"/>
      <c r="E526" s="2462"/>
      <c r="F526" s="2462"/>
      <c r="G526" s="2462"/>
      <c r="H526" s="2462"/>
      <c r="I526" s="2579"/>
      <c r="J526" s="2579"/>
      <c r="K526" s="2579"/>
      <c r="L526" s="2579"/>
      <c r="M526" s="2579"/>
      <c r="N526" s="2579"/>
      <c r="O526" s="2579"/>
    </row>
    <row r="527" spans="1:15" s="2463" customFormat="1">
      <c r="A527" s="2462"/>
      <c r="B527" s="2462"/>
      <c r="C527" s="2462"/>
      <c r="D527" s="2462"/>
      <c r="E527" s="2462"/>
      <c r="F527" s="2462"/>
      <c r="G527" s="2462"/>
      <c r="H527" s="2462"/>
      <c r="I527" s="2579"/>
      <c r="J527" s="2579"/>
      <c r="K527" s="2579"/>
      <c r="L527" s="2579"/>
      <c r="M527" s="2579"/>
      <c r="N527" s="2579"/>
      <c r="O527" s="2579"/>
    </row>
    <row r="528" spans="1:15" s="2463" customFormat="1">
      <c r="A528" s="2462"/>
      <c r="B528" s="2462"/>
      <c r="C528" s="2462"/>
      <c r="D528" s="2462"/>
      <c r="E528" s="2462"/>
      <c r="F528" s="2462"/>
      <c r="G528" s="2462"/>
      <c r="H528" s="2462"/>
      <c r="I528" s="2579"/>
      <c r="J528" s="2579"/>
      <c r="K528" s="2579"/>
      <c r="L528" s="2579"/>
      <c r="M528" s="2579"/>
      <c r="N528" s="2579"/>
      <c r="O528" s="2579"/>
    </row>
    <row r="529" spans="1:15" s="2463" customFormat="1">
      <c r="A529" s="2462"/>
      <c r="B529" s="2462"/>
      <c r="C529" s="2462"/>
      <c r="D529" s="2462"/>
      <c r="E529" s="2462"/>
      <c r="F529" s="2462"/>
      <c r="G529" s="2462"/>
      <c r="H529" s="2462"/>
      <c r="I529" s="2579"/>
      <c r="J529" s="2579"/>
      <c r="K529" s="2579"/>
      <c r="L529" s="2579"/>
      <c r="M529" s="2579"/>
      <c r="N529" s="2579"/>
      <c r="O529" s="2579"/>
    </row>
    <row r="530" spans="1:15" s="2463" customFormat="1">
      <c r="A530" s="2462"/>
      <c r="B530" s="2462"/>
      <c r="C530" s="2462"/>
      <c r="D530" s="2462"/>
      <c r="E530" s="2462"/>
      <c r="F530" s="2462"/>
      <c r="G530" s="2462"/>
      <c r="H530" s="2462"/>
      <c r="I530" s="2579"/>
      <c r="J530" s="2579"/>
      <c r="K530" s="2579"/>
      <c r="L530" s="2579"/>
      <c r="M530" s="2579"/>
      <c r="N530" s="2579"/>
      <c r="O530" s="2579"/>
    </row>
    <row r="531" spans="1:15" s="2463" customFormat="1">
      <c r="A531" s="2462"/>
      <c r="B531" s="2462"/>
      <c r="C531" s="2462"/>
      <c r="D531" s="2462"/>
      <c r="E531" s="2462"/>
      <c r="F531" s="2462"/>
      <c r="G531" s="2462"/>
      <c r="H531" s="2462"/>
      <c r="I531" s="2579"/>
      <c r="J531" s="2579"/>
      <c r="K531" s="2579"/>
      <c r="L531" s="2579"/>
      <c r="M531" s="2579"/>
      <c r="N531" s="2579"/>
      <c r="O531" s="2579"/>
    </row>
    <row r="532" spans="1:15" s="2463" customFormat="1">
      <c r="A532" s="2462"/>
      <c r="B532" s="2462"/>
      <c r="C532" s="2462"/>
      <c r="D532" s="2462"/>
      <c r="E532" s="2462"/>
      <c r="F532" s="2462"/>
      <c r="G532" s="2462"/>
      <c r="H532" s="2462"/>
      <c r="I532" s="2579"/>
      <c r="J532" s="2579"/>
      <c r="K532" s="2579"/>
      <c r="L532" s="2579"/>
      <c r="M532" s="2579"/>
      <c r="N532" s="2579"/>
      <c r="O532" s="2579"/>
    </row>
    <row r="533" spans="1:15" s="2463" customFormat="1">
      <c r="A533" s="2462"/>
      <c r="B533" s="2462"/>
      <c r="C533" s="2462"/>
      <c r="D533" s="2462"/>
      <c r="E533" s="2462"/>
      <c r="F533" s="2462"/>
      <c r="G533" s="2462"/>
      <c r="H533" s="2462"/>
      <c r="I533" s="2579"/>
      <c r="J533" s="2579"/>
      <c r="K533" s="2579"/>
      <c r="L533" s="2579"/>
      <c r="M533" s="2579"/>
      <c r="N533" s="2579"/>
      <c r="O533" s="2579"/>
    </row>
    <row r="534" spans="1:15" s="2463" customFormat="1">
      <c r="A534" s="2462"/>
      <c r="B534" s="2462"/>
      <c r="C534" s="2462"/>
      <c r="D534" s="2462"/>
      <c r="E534" s="2462"/>
      <c r="F534" s="2462"/>
      <c r="G534" s="2462"/>
      <c r="H534" s="2462"/>
      <c r="I534" s="2579"/>
      <c r="J534" s="2579"/>
      <c r="K534" s="2579"/>
      <c r="L534" s="2579"/>
      <c r="M534" s="2579"/>
      <c r="N534" s="2579"/>
      <c r="O534" s="2579"/>
    </row>
    <row r="535" spans="1:15" s="2463" customFormat="1">
      <c r="A535" s="2462"/>
      <c r="B535" s="2462"/>
      <c r="C535" s="2462"/>
      <c r="D535" s="2462"/>
      <c r="E535" s="2462"/>
      <c r="F535" s="2462"/>
      <c r="G535" s="2462"/>
      <c r="H535" s="2462"/>
      <c r="I535" s="2579"/>
      <c r="J535" s="2579"/>
      <c r="K535" s="2579"/>
      <c r="L535" s="2579"/>
      <c r="M535" s="2579"/>
      <c r="N535" s="2579"/>
      <c r="O535" s="2579"/>
    </row>
    <row r="536" spans="1:15" s="2463" customFormat="1">
      <c r="A536" s="2462"/>
      <c r="B536" s="2462"/>
      <c r="C536" s="2462"/>
      <c r="D536" s="2462"/>
      <c r="E536" s="2462"/>
      <c r="F536" s="2462"/>
      <c r="G536" s="2462"/>
      <c r="H536" s="2462"/>
      <c r="I536" s="2579"/>
      <c r="J536" s="2579"/>
      <c r="K536" s="2579"/>
      <c r="L536" s="2579"/>
      <c r="M536" s="2579"/>
      <c r="N536" s="2579"/>
      <c r="O536" s="2579"/>
    </row>
    <row r="537" spans="1:15" s="2463" customFormat="1">
      <c r="A537" s="2462"/>
      <c r="B537" s="2462"/>
      <c r="C537" s="2462"/>
      <c r="D537" s="2462"/>
      <c r="E537" s="2462"/>
      <c r="F537" s="2462"/>
      <c r="G537" s="2462"/>
      <c r="H537" s="2462"/>
      <c r="I537" s="2579"/>
      <c r="J537" s="2579"/>
      <c r="K537" s="2579"/>
      <c r="L537" s="2579"/>
      <c r="M537" s="2579"/>
      <c r="N537" s="2579"/>
      <c r="O537" s="2579"/>
    </row>
    <row r="538" spans="1:15" s="2463" customFormat="1">
      <c r="A538" s="2462"/>
      <c r="B538" s="2462"/>
      <c r="C538" s="2462"/>
      <c r="D538" s="2462"/>
      <c r="E538" s="2462"/>
      <c r="F538" s="2462"/>
      <c r="G538" s="2462"/>
      <c r="H538" s="2462"/>
      <c r="I538" s="2579"/>
      <c r="J538" s="2579"/>
      <c r="K538" s="2579"/>
      <c r="L538" s="2579"/>
      <c r="M538" s="2579"/>
      <c r="N538" s="2579"/>
      <c r="O538" s="2579"/>
    </row>
    <row r="539" spans="1:15" s="2463" customFormat="1">
      <c r="A539" s="2462"/>
      <c r="B539" s="2462"/>
      <c r="C539" s="2462"/>
      <c r="D539" s="2462"/>
      <c r="E539" s="2462"/>
      <c r="F539" s="2462"/>
      <c r="G539" s="2462"/>
      <c r="H539" s="2462"/>
      <c r="I539" s="2579"/>
      <c r="J539" s="2579"/>
      <c r="K539" s="2579"/>
      <c r="L539" s="2579"/>
      <c r="M539" s="2579"/>
      <c r="N539" s="2579"/>
      <c r="O539" s="2579"/>
    </row>
    <row r="540" spans="1:15" s="2463" customFormat="1">
      <c r="A540" s="2462"/>
      <c r="B540" s="2462"/>
      <c r="C540" s="2462"/>
      <c r="D540" s="2462"/>
      <c r="E540" s="2462"/>
      <c r="F540" s="2462"/>
      <c r="G540" s="2462"/>
      <c r="H540" s="2462"/>
      <c r="I540" s="2579"/>
      <c r="J540" s="2579"/>
      <c r="K540" s="2579"/>
      <c r="L540" s="2579"/>
      <c r="M540" s="2579"/>
      <c r="N540" s="2579"/>
      <c r="O540" s="2579"/>
    </row>
    <row r="547" spans="1:15" s="2463" customFormat="1">
      <c r="A547" s="2462"/>
      <c r="B547" s="2462"/>
      <c r="C547" s="2462"/>
      <c r="D547" s="2462"/>
      <c r="E547" s="2462"/>
      <c r="F547" s="2462"/>
      <c r="G547" s="2462"/>
      <c r="H547" s="2462"/>
      <c r="I547" s="2579"/>
      <c r="J547" s="2579"/>
      <c r="K547" s="2579"/>
      <c r="L547" s="2579"/>
      <c r="M547" s="2579"/>
      <c r="N547" s="2579"/>
      <c r="O547" s="2579"/>
    </row>
    <row r="548" spans="1:15" s="2463" customFormat="1">
      <c r="A548" s="2462"/>
      <c r="B548" s="2462"/>
      <c r="C548" s="2462"/>
      <c r="D548" s="2462"/>
      <c r="E548" s="2462"/>
      <c r="F548" s="2462"/>
      <c r="G548" s="2462"/>
      <c r="H548" s="2462"/>
      <c r="I548" s="2579"/>
      <c r="J548" s="2579"/>
      <c r="K548" s="2579"/>
      <c r="L548" s="2579"/>
      <c r="M548" s="2579"/>
      <c r="N548" s="2579"/>
      <c r="O548" s="2579"/>
    </row>
    <row r="549" spans="1:15" s="2463" customFormat="1">
      <c r="A549" s="2462"/>
      <c r="B549" s="2462"/>
      <c r="C549" s="2462"/>
      <c r="D549" s="2462"/>
      <c r="E549" s="2462"/>
      <c r="F549" s="2462"/>
      <c r="G549" s="2462"/>
      <c r="H549" s="2462"/>
      <c r="I549" s="2579"/>
      <c r="J549" s="2579"/>
      <c r="K549" s="2579"/>
      <c r="L549" s="2579"/>
      <c r="M549" s="2579"/>
      <c r="N549" s="2579"/>
      <c r="O549" s="2579"/>
    </row>
    <row r="550" spans="1:15" s="2463" customFormat="1">
      <c r="A550" s="2462"/>
      <c r="B550" s="2462"/>
      <c r="C550" s="2462"/>
      <c r="D550" s="2462"/>
      <c r="E550" s="2462"/>
      <c r="F550" s="2462"/>
      <c r="G550" s="2462"/>
      <c r="H550" s="2462"/>
      <c r="I550" s="2579"/>
      <c r="J550" s="2579"/>
      <c r="K550" s="2579"/>
      <c r="L550" s="2579"/>
      <c r="M550" s="2579"/>
      <c r="N550" s="2579"/>
      <c r="O550" s="2579"/>
    </row>
    <row r="551" spans="1:15" s="2463" customFormat="1">
      <c r="A551" s="2462"/>
      <c r="B551" s="2462"/>
      <c r="C551" s="2462"/>
      <c r="D551" s="2462"/>
      <c r="E551" s="2462"/>
      <c r="F551" s="2462"/>
      <c r="G551" s="2462"/>
      <c r="H551" s="2462"/>
      <c r="I551" s="2579"/>
      <c r="J551" s="2579"/>
      <c r="K551" s="2579"/>
      <c r="L551" s="2579"/>
      <c r="M551" s="2579"/>
      <c r="N551" s="2579"/>
      <c r="O551" s="2579"/>
    </row>
    <row r="552" spans="1:15" s="2463" customFormat="1">
      <c r="A552" s="2462"/>
      <c r="B552" s="2462"/>
      <c r="C552" s="2462"/>
      <c r="D552" s="2462"/>
      <c r="E552" s="2462"/>
      <c r="F552" s="2462"/>
      <c r="G552" s="2462"/>
      <c r="H552" s="2462"/>
      <c r="I552" s="2579"/>
      <c r="J552" s="2579"/>
      <c r="K552" s="2579"/>
      <c r="L552" s="2579"/>
      <c r="M552" s="2579"/>
      <c r="N552" s="2579"/>
      <c r="O552" s="2579"/>
    </row>
    <row r="553" spans="1:15" s="2463" customFormat="1">
      <c r="A553" s="2462"/>
      <c r="B553" s="2462"/>
      <c r="C553" s="2462"/>
      <c r="D553" s="2462"/>
      <c r="E553" s="2462"/>
      <c r="F553" s="2462"/>
      <c r="G553" s="2462"/>
      <c r="H553" s="2462"/>
      <c r="I553" s="2579"/>
      <c r="J553" s="2579"/>
      <c r="K553" s="2579"/>
      <c r="L553" s="2579"/>
      <c r="M553" s="2579"/>
      <c r="N553" s="2579"/>
      <c r="O553" s="2579"/>
    </row>
    <row r="554" spans="1:15" s="2463" customFormat="1">
      <c r="A554" s="2462"/>
      <c r="B554" s="2462"/>
      <c r="C554" s="2462"/>
      <c r="D554" s="2462"/>
      <c r="E554" s="2462"/>
      <c r="F554" s="2462"/>
      <c r="G554" s="2462"/>
      <c r="H554" s="2462"/>
      <c r="I554" s="2579"/>
      <c r="J554" s="2579"/>
      <c r="K554" s="2579"/>
      <c r="L554" s="2579"/>
      <c r="M554" s="2579"/>
      <c r="N554" s="2579"/>
      <c r="O554" s="2579"/>
    </row>
    <row r="555" spans="1:15" s="2463" customFormat="1">
      <c r="A555" s="2462"/>
      <c r="B555" s="2462"/>
      <c r="C555" s="2462"/>
      <c r="D555" s="2462"/>
      <c r="E555" s="2462"/>
      <c r="F555" s="2462"/>
      <c r="G555" s="2462"/>
      <c r="H555" s="2462"/>
      <c r="I555" s="2579"/>
      <c r="J555" s="2579"/>
      <c r="K555" s="2579"/>
      <c r="L555" s="2579"/>
      <c r="M555" s="2579"/>
      <c r="N555" s="2579"/>
      <c r="O555" s="2579"/>
    </row>
    <row r="556" spans="1:15" s="2463" customFormat="1">
      <c r="A556" s="2462"/>
      <c r="B556" s="2462"/>
      <c r="C556" s="2462"/>
      <c r="D556" s="2462"/>
      <c r="E556" s="2462"/>
      <c r="F556" s="2462"/>
      <c r="G556" s="2462"/>
      <c r="H556" s="2462"/>
      <c r="I556" s="2579"/>
      <c r="J556" s="2579"/>
      <c r="K556" s="2579"/>
      <c r="L556" s="2579"/>
      <c r="M556" s="2579"/>
      <c r="N556" s="2579"/>
      <c r="O556" s="2579"/>
    </row>
    <row r="557" spans="1:15" s="2463" customFormat="1">
      <c r="A557" s="2462"/>
      <c r="B557" s="2462"/>
      <c r="C557" s="2462"/>
      <c r="D557" s="2462"/>
      <c r="E557" s="2462"/>
      <c r="F557" s="2462"/>
      <c r="G557" s="2462"/>
      <c r="H557" s="2462"/>
      <c r="I557" s="2579"/>
      <c r="J557" s="2579"/>
      <c r="K557" s="2579"/>
      <c r="L557" s="2579"/>
      <c r="M557" s="2579"/>
      <c r="N557" s="2579"/>
      <c r="O557" s="2579"/>
    </row>
    <row r="558" spans="1:15" s="2463" customFormat="1">
      <c r="A558" s="2462"/>
      <c r="B558" s="2462"/>
      <c r="C558" s="2462"/>
      <c r="D558" s="2462"/>
      <c r="E558" s="2462"/>
      <c r="F558" s="2462"/>
      <c r="G558" s="2462"/>
      <c r="H558" s="2462"/>
      <c r="I558" s="2579"/>
      <c r="J558" s="2579"/>
      <c r="K558" s="2579"/>
      <c r="L558" s="2579"/>
      <c r="M558" s="2579"/>
      <c r="N558" s="2579"/>
      <c r="O558" s="2579"/>
    </row>
    <row r="559" spans="1:15" s="2463" customFormat="1">
      <c r="A559" s="2462"/>
      <c r="B559" s="2462"/>
      <c r="C559" s="2462"/>
      <c r="D559" s="2462"/>
      <c r="E559" s="2462"/>
      <c r="F559" s="2462"/>
      <c r="G559" s="2462"/>
      <c r="H559" s="2462"/>
      <c r="I559" s="2579"/>
      <c r="J559" s="2579"/>
      <c r="K559" s="2579"/>
      <c r="L559" s="2579"/>
      <c r="M559" s="2579"/>
      <c r="N559" s="2579"/>
      <c r="O559" s="2579"/>
    </row>
    <row r="560" spans="1:15" s="2463" customFormat="1">
      <c r="A560" s="2462"/>
      <c r="B560" s="2462"/>
      <c r="C560" s="2462"/>
      <c r="D560" s="2462"/>
      <c r="E560" s="2462"/>
      <c r="F560" s="2462"/>
      <c r="G560" s="2462"/>
      <c r="H560" s="2462"/>
      <c r="I560" s="2579"/>
      <c r="J560" s="2579"/>
      <c r="K560" s="2579"/>
      <c r="L560" s="2579"/>
      <c r="M560" s="2579"/>
      <c r="N560" s="2579"/>
      <c r="O560" s="2579"/>
    </row>
    <row r="561" spans="1:15" s="2463" customFormat="1">
      <c r="A561" s="2462"/>
      <c r="B561" s="2462"/>
      <c r="C561" s="2462"/>
      <c r="D561" s="2462"/>
      <c r="E561" s="2462"/>
      <c r="F561" s="2462"/>
      <c r="G561" s="2462"/>
      <c r="H561" s="2462"/>
      <c r="I561" s="2579"/>
      <c r="J561" s="2579"/>
      <c r="K561" s="2579"/>
      <c r="L561" s="2579"/>
      <c r="M561" s="2579"/>
      <c r="N561" s="2579"/>
      <c r="O561" s="2579"/>
    </row>
    <row r="562" spans="1:15" s="2463" customFormat="1">
      <c r="A562" s="2462"/>
      <c r="B562" s="2462"/>
      <c r="C562" s="2462"/>
      <c r="D562" s="2462"/>
      <c r="E562" s="2462"/>
      <c r="F562" s="2462"/>
      <c r="G562" s="2462"/>
      <c r="H562" s="2462"/>
      <c r="I562" s="2579"/>
      <c r="J562" s="2579"/>
      <c r="K562" s="2579"/>
      <c r="L562" s="2579"/>
      <c r="M562" s="2579"/>
      <c r="N562" s="2579"/>
      <c r="O562" s="2579"/>
    </row>
    <row r="563" spans="1:15" s="2463" customFormat="1">
      <c r="A563" s="2462"/>
      <c r="B563" s="2462"/>
      <c r="C563" s="2462"/>
      <c r="D563" s="2462"/>
      <c r="E563" s="2462"/>
      <c r="F563" s="2462"/>
      <c r="G563" s="2462"/>
      <c r="H563" s="2462"/>
      <c r="I563" s="2579"/>
      <c r="J563" s="2579"/>
      <c r="K563" s="2579"/>
      <c r="L563" s="2579"/>
      <c r="M563" s="2579"/>
      <c r="N563" s="2579"/>
      <c r="O563" s="2579"/>
    </row>
    <row r="564" spans="1:15" s="2463" customFormat="1" ht="7.5" customHeight="1">
      <c r="A564" s="2462"/>
      <c r="B564" s="2462"/>
      <c r="C564" s="2462"/>
      <c r="D564" s="2462"/>
      <c r="E564" s="2462"/>
      <c r="F564" s="2462"/>
      <c r="G564" s="2462"/>
      <c r="H564" s="2462"/>
      <c r="I564" s="2579"/>
      <c r="J564" s="2579"/>
      <c r="K564" s="2579"/>
      <c r="L564" s="2579"/>
      <c r="M564" s="2579"/>
      <c r="N564" s="2579"/>
      <c r="O564" s="2579"/>
    </row>
    <row r="565" spans="1:15" s="2463" customFormat="1" ht="7.5" customHeight="1">
      <c r="A565" s="2462"/>
      <c r="B565" s="2462"/>
      <c r="C565" s="2462"/>
      <c r="D565" s="2462"/>
      <c r="E565" s="2462"/>
      <c r="F565" s="2462"/>
      <c r="G565" s="2462"/>
      <c r="H565" s="2462"/>
      <c r="I565" s="2579"/>
      <c r="J565" s="2579"/>
      <c r="K565" s="2579"/>
      <c r="L565" s="2579"/>
      <c r="M565" s="2579"/>
      <c r="N565" s="2579"/>
      <c r="O565" s="2579"/>
    </row>
    <row r="566" spans="1:15" s="2463" customFormat="1" ht="7.5" customHeight="1">
      <c r="A566" s="2462"/>
      <c r="B566" s="2462"/>
      <c r="C566" s="2462"/>
      <c r="D566" s="2462"/>
      <c r="E566" s="2462"/>
      <c r="F566" s="2462"/>
      <c r="G566" s="2462"/>
      <c r="H566" s="2462"/>
      <c r="I566" s="2579"/>
      <c r="J566" s="2579"/>
      <c r="K566" s="2579"/>
      <c r="L566" s="2579"/>
      <c r="M566" s="2579"/>
      <c r="N566" s="2579"/>
      <c r="O566" s="2579"/>
    </row>
    <row r="567" spans="1:15" s="2463" customFormat="1" ht="7.5" customHeight="1">
      <c r="A567" s="2462"/>
      <c r="B567" s="2462"/>
      <c r="C567" s="2462"/>
      <c r="D567" s="2462"/>
      <c r="E567" s="2462"/>
      <c r="F567" s="2462"/>
      <c r="G567" s="2462"/>
      <c r="H567" s="2462"/>
      <c r="I567" s="2579"/>
      <c r="J567" s="2579"/>
      <c r="K567" s="2579"/>
      <c r="L567" s="2579"/>
      <c r="M567" s="2579"/>
      <c r="N567" s="2579"/>
      <c r="O567" s="2579"/>
    </row>
    <row r="568" spans="1:15" s="2463" customFormat="1" ht="7.5" customHeight="1">
      <c r="A568" s="2462"/>
      <c r="B568" s="2462"/>
      <c r="C568" s="2462"/>
      <c r="D568" s="2462"/>
      <c r="E568" s="2462"/>
      <c r="F568" s="2462"/>
      <c r="G568" s="2462"/>
      <c r="H568" s="2462"/>
      <c r="I568" s="2579"/>
      <c r="J568" s="2579"/>
      <c r="K568" s="2579"/>
      <c r="L568" s="2579"/>
      <c r="M568" s="2579"/>
      <c r="N568" s="2579"/>
      <c r="O568" s="2579"/>
    </row>
    <row r="569" spans="1:15" s="2463" customFormat="1" ht="7.5" customHeight="1">
      <c r="A569" s="2462"/>
      <c r="B569" s="2462"/>
      <c r="C569" s="2462"/>
      <c r="D569" s="2462"/>
      <c r="E569" s="2462"/>
      <c r="F569" s="2462"/>
      <c r="G569" s="2462"/>
      <c r="H569" s="2462"/>
      <c r="I569" s="2579"/>
      <c r="J569" s="2579"/>
      <c r="K569" s="2579"/>
      <c r="L569" s="2579"/>
      <c r="M569" s="2579"/>
      <c r="N569" s="2579"/>
      <c r="O569" s="2579"/>
    </row>
    <row r="570" spans="1:15" s="2463" customFormat="1" ht="7.5" customHeight="1">
      <c r="A570" s="2462"/>
      <c r="B570" s="2462"/>
      <c r="C570" s="2462"/>
      <c r="D570" s="2462"/>
      <c r="E570" s="2462"/>
      <c r="F570" s="2462"/>
      <c r="G570" s="2462"/>
      <c r="H570" s="2462"/>
      <c r="I570" s="2579"/>
      <c r="J570" s="2579"/>
      <c r="K570" s="2579"/>
      <c r="L570" s="2579"/>
      <c r="M570" s="2579"/>
      <c r="N570" s="2579"/>
      <c r="O570" s="2579"/>
    </row>
    <row r="571" spans="1:15" s="2463" customFormat="1" ht="7.5" customHeight="1">
      <c r="A571" s="2462"/>
      <c r="B571" s="2462"/>
      <c r="C571" s="2462"/>
      <c r="D571" s="2462"/>
      <c r="E571" s="2462"/>
      <c r="F571" s="2462"/>
      <c r="G571" s="2462"/>
      <c r="H571" s="2462"/>
      <c r="I571" s="2579"/>
      <c r="J571" s="2579"/>
      <c r="K571" s="2579"/>
      <c r="L571" s="2579"/>
      <c r="M571" s="2579"/>
      <c r="N571" s="2579"/>
      <c r="O571" s="2579"/>
    </row>
    <row r="572" spans="1:15" s="2463" customFormat="1" ht="7.5" customHeight="1">
      <c r="A572" s="2462"/>
      <c r="B572" s="2462"/>
      <c r="C572" s="2462"/>
      <c r="D572" s="2462"/>
      <c r="E572" s="2462"/>
      <c r="F572" s="2462"/>
      <c r="G572" s="2462"/>
      <c r="H572" s="2462"/>
      <c r="I572" s="2579"/>
      <c r="J572" s="2579"/>
      <c r="K572" s="2579"/>
      <c r="L572" s="2579"/>
      <c r="M572" s="2579"/>
      <c r="N572" s="2579"/>
      <c r="O572" s="2579"/>
    </row>
    <row r="573" spans="1:15" s="2463" customFormat="1" ht="7.5" customHeight="1">
      <c r="A573" s="2462"/>
      <c r="B573" s="2462"/>
      <c r="C573" s="2462"/>
      <c r="D573" s="2462"/>
      <c r="E573" s="2462"/>
      <c r="F573" s="2462"/>
      <c r="G573" s="2462"/>
      <c r="H573" s="2462"/>
      <c r="I573" s="2579"/>
      <c r="J573" s="2579"/>
      <c r="K573" s="2579"/>
      <c r="L573" s="2579"/>
      <c r="M573" s="2579"/>
      <c r="N573" s="2579"/>
      <c r="O573" s="2579"/>
    </row>
    <row r="574" spans="1:15" s="2463" customFormat="1" ht="7.5" customHeight="1">
      <c r="A574" s="2462"/>
      <c r="B574" s="2462"/>
      <c r="C574" s="2462"/>
      <c r="D574" s="2462"/>
      <c r="E574" s="2462"/>
      <c r="F574" s="2462"/>
      <c r="G574" s="2462"/>
      <c r="H574" s="2462"/>
      <c r="I574" s="2579"/>
      <c r="J574" s="2579"/>
      <c r="K574" s="2579"/>
      <c r="L574" s="2579"/>
      <c r="M574" s="2579"/>
      <c r="N574" s="2579"/>
      <c r="O574" s="2579"/>
    </row>
    <row r="575" spans="1:15" s="2463" customFormat="1" ht="7.5" customHeight="1">
      <c r="A575" s="2462"/>
      <c r="B575" s="2462"/>
      <c r="C575" s="2462"/>
      <c r="D575" s="2462"/>
      <c r="E575" s="2462"/>
      <c r="F575" s="2462"/>
      <c r="G575" s="2462"/>
      <c r="H575" s="2462"/>
      <c r="I575" s="2579"/>
      <c r="J575" s="2579"/>
      <c r="K575" s="2579"/>
      <c r="L575" s="2579"/>
      <c r="M575" s="2579"/>
      <c r="N575" s="2579"/>
      <c r="O575" s="2579"/>
    </row>
    <row r="576" spans="1:15" s="2463" customFormat="1" ht="7.5" customHeight="1">
      <c r="A576" s="2462"/>
      <c r="B576" s="2462"/>
      <c r="C576" s="2462"/>
      <c r="D576" s="2462"/>
      <c r="E576" s="2462"/>
      <c r="F576" s="2462"/>
      <c r="G576" s="2462"/>
      <c r="H576" s="2462"/>
      <c r="I576" s="2579"/>
      <c r="J576" s="2579"/>
      <c r="K576" s="2579"/>
      <c r="L576" s="2579"/>
      <c r="M576" s="2579"/>
      <c r="N576" s="2579"/>
      <c r="O576" s="2579"/>
    </row>
    <row r="577" spans="1:15" s="2463" customFormat="1" ht="7.5" customHeight="1">
      <c r="A577" s="2462"/>
      <c r="B577" s="2462"/>
      <c r="C577" s="2462"/>
      <c r="D577" s="2462"/>
      <c r="E577" s="2462"/>
      <c r="F577" s="2462"/>
      <c r="G577" s="2462"/>
      <c r="H577" s="2462"/>
      <c r="I577" s="2579"/>
      <c r="J577" s="2579"/>
      <c r="K577" s="2579"/>
      <c r="L577" s="2579"/>
      <c r="M577" s="2579"/>
      <c r="N577" s="2579"/>
      <c r="O577" s="2579"/>
    </row>
    <row r="578" spans="1:15" s="2463" customFormat="1" ht="7.5" customHeight="1">
      <c r="A578" s="2462"/>
      <c r="B578" s="2462"/>
      <c r="C578" s="2462"/>
      <c r="D578" s="2462"/>
      <c r="E578" s="2462"/>
      <c r="F578" s="2462"/>
      <c r="G578" s="2462"/>
      <c r="H578" s="2462"/>
      <c r="I578" s="2579"/>
      <c r="J578" s="2579"/>
      <c r="K578" s="2579"/>
      <c r="L578" s="2579"/>
      <c r="M578" s="2579"/>
      <c r="N578" s="2579"/>
      <c r="O578" s="2579"/>
    </row>
    <row r="579" spans="1:15" s="2463" customFormat="1" ht="7.5" customHeight="1">
      <c r="A579" s="2462"/>
      <c r="B579" s="2462"/>
      <c r="C579" s="2462"/>
      <c r="D579" s="2462"/>
      <c r="E579" s="2462"/>
      <c r="F579" s="2462"/>
      <c r="G579" s="2462"/>
      <c r="H579" s="2462"/>
      <c r="I579" s="2579"/>
      <c r="J579" s="2579"/>
      <c r="K579" s="2579"/>
      <c r="L579" s="2579"/>
      <c r="M579" s="2579"/>
      <c r="N579" s="2579"/>
      <c r="O579" s="2579"/>
    </row>
    <row r="580" spans="1:15" s="2463" customFormat="1" ht="7.5" customHeight="1">
      <c r="A580" s="2462"/>
      <c r="B580" s="2462"/>
      <c r="C580" s="2462"/>
      <c r="D580" s="2462"/>
      <c r="E580" s="2462"/>
      <c r="F580" s="2462"/>
      <c r="G580" s="2462"/>
      <c r="H580" s="2462"/>
      <c r="I580" s="2579"/>
      <c r="J580" s="2579"/>
      <c r="K580" s="2579"/>
      <c r="L580" s="2579"/>
      <c r="M580" s="2579"/>
      <c r="N580" s="2579"/>
      <c r="O580" s="2579"/>
    </row>
    <row r="581" spans="1:15" s="2463" customFormat="1" ht="7.5" customHeight="1">
      <c r="A581" s="2462"/>
      <c r="B581" s="2462"/>
      <c r="C581" s="2462"/>
      <c r="D581" s="2462"/>
      <c r="E581" s="2462"/>
      <c r="F581" s="2462"/>
      <c r="G581" s="2462"/>
      <c r="H581" s="2462"/>
      <c r="I581" s="2579"/>
      <c r="J581" s="2579"/>
      <c r="K581" s="2579"/>
      <c r="L581" s="2579"/>
      <c r="M581" s="2579"/>
      <c r="N581" s="2579"/>
      <c r="O581" s="2579"/>
    </row>
    <row r="582" spans="1:15" s="2463" customFormat="1" ht="7.5" customHeight="1">
      <c r="A582" s="2462"/>
      <c r="B582" s="2462"/>
      <c r="C582" s="2462"/>
      <c r="D582" s="2462"/>
      <c r="E582" s="2462"/>
      <c r="F582" s="2462"/>
      <c r="G582" s="2462"/>
      <c r="H582" s="2462"/>
      <c r="I582" s="2579"/>
      <c r="J582" s="2579"/>
      <c r="K582" s="2579"/>
      <c r="L582" s="2579"/>
      <c r="M582" s="2579"/>
      <c r="N582" s="2579"/>
      <c r="O582" s="2579"/>
    </row>
    <row r="583" spans="1:15" s="2463" customFormat="1" ht="7.5" customHeight="1">
      <c r="A583" s="2462"/>
      <c r="B583" s="2462"/>
      <c r="C583" s="2462"/>
      <c r="D583" s="2462"/>
      <c r="E583" s="2462"/>
      <c r="F583" s="2462"/>
      <c r="G583" s="2462"/>
      <c r="H583" s="2462"/>
      <c r="I583" s="2579"/>
      <c r="J583" s="2579"/>
      <c r="K583" s="2579"/>
      <c r="L583" s="2579"/>
      <c r="M583" s="2579"/>
      <c r="N583" s="2579"/>
      <c r="O583" s="2579"/>
    </row>
    <row r="584" spans="1:15" s="2463" customFormat="1" ht="7.5" customHeight="1">
      <c r="A584" s="2462"/>
      <c r="B584" s="2462"/>
      <c r="C584" s="2462"/>
      <c r="D584" s="2462"/>
      <c r="E584" s="2462"/>
      <c r="F584" s="2462"/>
      <c r="G584" s="2462"/>
      <c r="H584" s="2462"/>
      <c r="I584" s="2579"/>
      <c r="J584" s="2579"/>
      <c r="K584" s="2579"/>
      <c r="L584" s="2579"/>
      <c r="M584" s="2579"/>
      <c r="N584" s="2579"/>
      <c r="O584" s="2579"/>
    </row>
    <row r="585" spans="1:15" s="2463" customFormat="1" ht="7.5" customHeight="1">
      <c r="A585" s="2462"/>
      <c r="B585" s="2462"/>
      <c r="C585" s="2462"/>
      <c r="D585" s="2462"/>
      <c r="E585" s="2462"/>
      <c r="F585" s="2462"/>
      <c r="G585" s="2462"/>
      <c r="H585" s="2462"/>
      <c r="I585" s="2579"/>
      <c r="J585" s="2579"/>
      <c r="K585" s="2579"/>
      <c r="L585" s="2579"/>
      <c r="M585" s="2579"/>
      <c r="N585" s="2579"/>
      <c r="O585" s="2579"/>
    </row>
    <row r="586" spans="1:15" s="2463" customFormat="1" ht="7.5" customHeight="1">
      <c r="A586" s="2462"/>
      <c r="B586" s="2462"/>
      <c r="C586" s="2462"/>
      <c r="D586" s="2462"/>
      <c r="E586" s="2462"/>
      <c r="F586" s="2462"/>
      <c r="G586" s="2462"/>
      <c r="H586" s="2462"/>
      <c r="I586" s="2579"/>
      <c r="J586" s="2579"/>
      <c r="K586" s="2579"/>
      <c r="L586" s="2579"/>
      <c r="M586" s="2579"/>
      <c r="N586" s="2579"/>
      <c r="O586" s="2579"/>
    </row>
    <row r="587" spans="1:15" s="2463" customFormat="1" ht="7.5" customHeight="1">
      <c r="A587" s="2462"/>
      <c r="B587" s="2462"/>
      <c r="C587" s="2462"/>
      <c r="D587" s="2462"/>
      <c r="E587" s="2462"/>
      <c r="F587" s="2462"/>
      <c r="G587" s="2462"/>
      <c r="H587" s="2462"/>
      <c r="I587" s="2579"/>
      <c r="J587" s="2579"/>
      <c r="K587" s="2579"/>
      <c r="L587" s="2579"/>
      <c r="M587" s="2579"/>
      <c r="N587" s="2579"/>
      <c r="O587" s="2579"/>
    </row>
    <row r="588" spans="1:15" s="2463" customFormat="1" ht="7.5" customHeight="1">
      <c r="A588" s="2462"/>
      <c r="B588" s="2462"/>
      <c r="C588" s="2462"/>
      <c r="D588" s="2462"/>
      <c r="E588" s="2462"/>
      <c r="F588" s="2462"/>
      <c r="G588" s="2462"/>
      <c r="H588" s="2462"/>
      <c r="I588" s="2579"/>
      <c r="J588" s="2579"/>
      <c r="K588" s="2579"/>
      <c r="L588" s="2579"/>
      <c r="M588" s="2579"/>
      <c r="N588" s="2579"/>
      <c r="O588" s="2579"/>
    </row>
    <row r="589" spans="1:15" s="2463" customFormat="1" ht="7.5" customHeight="1">
      <c r="A589" s="2462"/>
      <c r="B589" s="2462"/>
      <c r="C589" s="2462"/>
      <c r="D589" s="2462"/>
      <c r="E589" s="2462"/>
      <c r="F589" s="2462"/>
      <c r="G589" s="2462"/>
      <c r="H589" s="2462"/>
      <c r="I589" s="2579"/>
      <c r="J589" s="2579"/>
      <c r="K589" s="2579"/>
      <c r="L589" s="2579"/>
      <c r="M589" s="2579"/>
      <c r="N589" s="2579"/>
      <c r="O589" s="2579"/>
    </row>
    <row r="590" spans="1:15" s="2463" customFormat="1" ht="7.5" customHeight="1">
      <c r="A590" s="2462"/>
      <c r="B590" s="2462"/>
      <c r="C590" s="2462"/>
      <c r="D590" s="2462"/>
      <c r="E590" s="2462"/>
      <c r="F590" s="2462"/>
      <c r="G590" s="2462"/>
      <c r="H590" s="2462"/>
      <c r="I590" s="2579"/>
      <c r="J590" s="2579"/>
      <c r="K590" s="2579"/>
      <c r="L590" s="2579"/>
      <c r="M590" s="2579"/>
      <c r="N590" s="2579"/>
      <c r="O590" s="2579"/>
    </row>
    <row r="591" spans="1:15" s="2463" customFormat="1" ht="7.5" customHeight="1">
      <c r="A591" s="2462"/>
      <c r="B591" s="2462"/>
      <c r="C591" s="2462"/>
      <c r="D591" s="2462"/>
      <c r="E591" s="2462"/>
      <c r="F591" s="2462"/>
      <c r="G591" s="2462"/>
      <c r="H591" s="2462"/>
      <c r="I591" s="2579"/>
      <c r="J591" s="2579"/>
      <c r="K591" s="2579"/>
      <c r="L591" s="2579"/>
      <c r="M591" s="2579"/>
      <c r="N591" s="2579"/>
      <c r="O591" s="2579"/>
    </row>
    <row r="592" spans="1:15" s="2463" customFormat="1" ht="7.5" customHeight="1">
      <c r="A592" s="2462"/>
      <c r="B592" s="2462"/>
      <c r="C592" s="2462"/>
      <c r="D592" s="2462"/>
      <c r="E592" s="2462"/>
      <c r="F592" s="2462"/>
      <c r="G592" s="2462"/>
      <c r="H592" s="2462"/>
      <c r="I592" s="2579"/>
      <c r="J592" s="2579"/>
      <c r="K592" s="2579"/>
      <c r="L592" s="2579"/>
      <c r="M592" s="2579"/>
      <c r="N592" s="2579"/>
      <c r="O592" s="2579"/>
    </row>
    <row r="593" spans="1:15" s="2463" customFormat="1" ht="7.5" customHeight="1">
      <c r="A593" s="2462"/>
      <c r="B593" s="2462"/>
      <c r="C593" s="2462"/>
      <c r="D593" s="2462"/>
      <c r="E593" s="2462"/>
      <c r="F593" s="2462"/>
      <c r="G593" s="2462"/>
      <c r="H593" s="2462"/>
      <c r="I593" s="2579"/>
      <c r="J593" s="2579"/>
      <c r="K593" s="2579"/>
      <c r="L593" s="2579"/>
      <c r="M593" s="2579"/>
      <c r="N593" s="2579"/>
      <c r="O593" s="2579"/>
    </row>
    <row r="594" spans="1:15" s="2463" customFormat="1" ht="7.5" customHeight="1">
      <c r="A594" s="2462"/>
      <c r="B594" s="2462"/>
      <c r="C594" s="2462"/>
      <c r="D594" s="2462"/>
      <c r="E594" s="2462"/>
      <c r="F594" s="2462"/>
      <c r="G594" s="2462"/>
      <c r="H594" s="2462"/>
      <c r="I594" s="2579"/>
      <c r="J594" s="2579"/>
      <c r="K594" s="2579"/>
      <c r="L594" s="2579"/>
      <c r="M594" s="2579"/>
      <c r="N594" s="2579"/>
      <c r="O594" s="2579"/>
    </row>
    <row r="595" spans="1:15" s="2463" customFormat="1" ht="7.5" customHeight="1">
      <c r="A595" s="2462"/>
      <c r="B595" s="2462"/>
      <c r="C595" s="2462"/>
      <c r="D595" s="2462"/>
      <c r="E595" s="2462"/>
      <c r="F595" s="2462"/>
      <c r="G595" s="2462"/>
      <c r="H595" s="2462"/>
      <c r="I595" s="2579"/>
      <c r="J595" s="2579"/>
      <c r="K595" s="2579"/>
      <c r="L595" s="2579"/>
      <c r="M595" s="2579"/>
      <c r="N595" s="2579"/>
      <c r="O595" s="2579"/>
    </row>
    <row r="596" spans="1:15" s="2463" customFormat="1" ht="7.5" customHeight="1">
      <c r="A596" s="2462"/>
      <c r="B596" s="2462"/>
      <c r="C596" s="2462"/>
      <c r="D596" s="2462"/>
      <c r="E596" s="2462"/>
      <c r="F596" s="2462"/>
      <c r="G596" s="2462"/>
      <c r="H596" s="2462"/>
      <c r="I596" s="2579"/>
      <c r="J596" s="2579"/>
      <c r="K596" s="2579"/>
      <c r="L596" s="2579"/>
      <c r="M596" s="2579"/>
      <c r="N596" s="2579"/>
      <c r="O596" s="2579"/>
    </row>
    <row r="597" spans="1:15" s="2463" customFormat="1" ht="7.5" customHeight="1">
      <c r="A597" s="2462"/>
      <c r="B597" s="2462"/>
      <c r="C597" s="2462"/>
      <c r="D597" s="2462"/>
      <c r="E597" s="2462"/>
      <c r="F597" s="2462"/>
      <c r="G597" s="2462"/>
      <c r="H597" s="2462"/>
      <c r="I597" s="2579"/>
      <c r="J597" s="2579"/>
      <c r="K597" s="2579"/>
      <c r="L597" s="2579"/>
      <c r="M597" s="2579"/>
      <c r="N597" s="2579"/>
      <c r="O597" s="2579"/>
    </row>
    <row r="598" spans="1:15" s="2463" customFormat="1" ht="7.5" customHeight="1">
      <c r="A598" s="2462"/>
      <c r="B598" s="2462"/>
      <c r="C598" s="2462"/>
      <c r="D598" s="2462"/>
      <c r="E598" s="2462"/>
      <c r="F598" s="2462"/>
      <c r="G598" s="2462"/>
      <c r="H598" s="2462"/>
      <c r="I598" s="2579"/>
      <c r="J598" s="2579"/>
      <c r="K598" s="2579"/>
      <c r="L598" s="2579"/>
      <c r="M598" s="2579"/>
      <c r="N598" s="2579"/>
      <c r="O598" s="2579"/>
    </row>
    <row r="599" spans="1:15" s="2463" customFormat="1" ht="7.5" customHeight="1">
      <c r="A599" s="2462"/>
      <c r="B599" s="2462"/>
      <c r="C599" s="2462"/>
      <c r="D599" s="2462"/>
      <c r="E599" s="2462"/>
      <c r="F599" s="2462"/>
      <c r="G599" s="2462"/>
      <c r="H599" s="2462"/>
      <c r="I599" s="2579"/>
      <c r="J599" s="2579"/>
      <c r="K599" s="2579"/>
      <c r="L599" s="2579"/>
      <c r="M599" s="2579"/>
      <c r="N599" s="2579"/>
      <c r="O599" s="2579"/>
    </row>
    <row r="603" spans="1:15" s="2463" customFormat="1">
      <c r="A603" s="2462"/>
      <c r="B603" s="2462"/>
      <c r="C603" s="2462"/>
      <c r="D603" s="2462"/>
      <c r="E603" s="2462"/>
      <c r="F603" s="2462"/>
      <c r="G603" s="2462"/>
      <c r="H603" s="2462"/>
      <c r="I603" s="2579"/>
      <c r="J603" s="2579"/>
      <c r="K603" s="2579"/>
      <c r="L603" s="2579"/>
      <c r="M603" s="2579"/>
      <c r="N603" s="2579"/>
      <c r="O603" s="2579"/>
    </row>
    <row r="604" spans="1:15" s="2463" customFormat="1">
      <c r="A604" s="2462"/>
      <c r="B604" s="2462"/>
      <c r="C604" s="2462"/>
      <c r="D604" s="2462"/>
      <c r="E604" s="2462"/>
      <c r="F604" s="2462"/>
      <c r="G604" s="2462"/>
      <c r="H604" s="2462"/>
      <c r="I604" s="2579"/>
      <c r="J604" s="2579"/>
      <c r="K604" s="2579"/>
      <c r="L604" s="2579"/>
      <c r="M604" s="2579"/>
      <c r="N604" s="2579"/>
      <c r="O604" s="2579"/>
    </row>
    <row r="605" spans="1:15" s="2463" customFormat="1">
      <c r="A605" s="2462"/>
      <c r="B605" s="2462"/>
      <c r="C605" s="2462"/>
      <c r="D605" s="2462"/>
      <c r="E605" s="2462"/>
      <c r="F605" s="2462"/>
      <c r="G605" s="2462"/>
      <c r="H605" s="2462"/>
      <c r="I605" s="2579"/>
      <c r="J605" s="2579"/>
      <c r="K605" s="2579"/>
      <c r="L605" s="2579"/>
      <c r="M605" s="2579"/>
      <c r="N605" s="2579"/>
      <c r="O605" s="2579"/>
    </row>
    <row r="606" spans="1:15" s="2463" customFormat="1">
      <c r="A606" s="2462"/>
      <c r="B606" s="2462"/>
      <c r="C606" s="2462"/>
      <c r="D606" s="2462"/>
      <c r="E606" s="2462"/>
      <c r="F606" s="2462"/>
      <c r="G606" s="2462"/>
      <c r="H606" s="2462"/>
      <c r="I606" s="2579"/>
      <c r="J606" s="2579"/>
      <c r="K606" s="2579"/>
      <c r="L606" s="2579"/>
      <c r="M606" s="2579"/>
      <c r="N606" s="2579"/>
      <c r="O606" s="2579"/>
    </row>
    <row r="607" spans="1:15" s="2463" customFormat="1">
      <c r="A607" s="2462"/>
      <c r="B607" s="2462"/>
      <c r="C607" s="2462"/>
      <c r="D607" s="2462"/>
      <c r="E607" s="2462"/>
      <c r="F607" s="2462"/>
      <c r="G607" s="2462"/>
      <c r="H607" s="2462"/>
      <c r="I607" s="2579"/>
      <c r="J607" s="2579"/>
      <c r="K607" s="2579"/>
      <c r="L607" s="2579"/>
      <c r="M607" s="2579"/>
      <c r="N607" s="2579"/>
      <c r="O607" s="2579"/>
    </row>
    <row r="608" spans="1:15" s="2463" customFormat="1">
      <c r="A608" s="2462"/>
      <c r="B608" s="2462"/>
      <c r="C608" s="2462"/>
      <c r="D608" s="2462"/>
      <c r="E608" s="2462"/>
      <c r="F608" s="2462"/>
      <c r="G608" s="2462"/>
      <c r="H608" s="2462"/>
      <c r="I608" s="2579"/>
      <c r="J608" s="2579"/>
      <c r="K608" s="2579"/>
      <c r="L608" s="2579"/>
      <c r="M608" s="2579"/>
      <c r="N608" s="2579"/>
      <c r="O608" s="2579"/>
    </row>
    <row r="609" spans="1:15" s="2463" customFormat="1">
      <c r="A609" s="2462"/>
      <c r="B609" s="2462"/>
      <c r="C609" s="2462"/>
      <c r="D609" s="2462"/>
      <c r="E609" s="2462"/>
      <c r="F609" s="2462"/>
      <c r="G609" s="2462"/>
      <c r="H609" s="2462"/>
      <c r="I609" s="2579"/>
      <c r="J609" s="2579"/>
      <c r="K609" s="2579"/>
      <c r="L609" s="2579"/>
      <c r="M609" s="2579"/>
      <c r="N609" s="2579"/>
      <c r="O609" s="2579"/>
    </row>
    <row r="610" spans="1:15" s="2463" customFormat="1">
      <c r="A610" s="2462"/>
      <c r="B610" s="2462"/>
      <c r="C610" s="2462"/>
      <c r="D610" s="2462"/>
      <c r="E610" s="2462"/>
      <c r="F610" s="2462"/>
      <c r="G610" s="2462"/>
      <c r="H610" s="2462"/>
      <c r="I610" s="2579"/>
      <c r="J610" s="2579"/>
      <c r="K610" s="2579"/>
      <c r="L610" s="2579"/>
      <c r="M610" s="2579"/>
      <c r="N610" s="2579"/>
      <c r="O610" s="2579"/>
    </row>
    <row r="611" spans="1:15" s="2463" customFormat="1">
      <c r="A611" s="2462"/>
      <c r="B611" s="2462"/>
      <c r="C611" s="2462"/>
      <c r="D611" s="2462"/>
      <c r="E611" s="2462"/>
      <c r="F611" s="2462"/>
      <c r="G611" s="2462"/>
      <c r="H611" s="2462"/>
      <c r="I611" s="2579"/>
      <c r="J611" s="2579"/>
      <c r="K611" s="2579"/>
      <c r="L611" s="2579"/>
      <c r="M611" s="2579"/>
      <c r="N611" s="2579"/>
      <c r="O611" s="2579"/>
    </row>
    <row r="612" spans="1:15" s="2463" customFormat="1">
      <c r="A612" s="2462"/>
      <c r="B612" s="2462"/>
      <c r="C612" s="2462"/>
      <c r="D612" s="2462"/>
      <c r="E612" s="2462"/>
      <c r="F612" s="2462"/>
      <c r="G612" s="2462"/>
      <c r="H612" s="2462"/>
      <c r="I612" s="2579"/>
      <c r="J612" s="2579"/>
      <c r="K612" s="2579"/>
      <c r="L612" s="2579"/>
      <c r="M612" s="2579"/>
      <c r="N612" s="2579"/>
      <c r="O612" s="2579"/>
    </row>
    <row r="613" spans="1:15" s="2463" customFormat="1">
      <c r="A613" s="2462"/>
      <c r="B613" s="2462"/>
      <c r="C613" s="2462"/>
      <c r="D613" s="2462"/>
      <c r="E613" s="2462"/>
      <c r="F613" s="2462"/>
      <c r="G613" s="2462"/>
      <c r="H613" s="2462"/>
      <c r="I613" s="2579"/>
      <c r="J613" s="2579"/>
      <c r="K613" s="2579"/>
      <c r="L613" s="2579"/>
      <c r="M613" s="2579"/>
      <c r="N613" s="2579"/>
      <c r="O613" s="2579"/>
    </row>
    <row r="614" spans="1:15" s="2463" customFormat="1">
      <c r="A614" s="2462"/>
      <c r="B614" s="2462"/>
      <c r="C614" s="2462"/>
      <c r="D614" s="2462"/>
      <c r="E614" s="2462"/>
      <c r="F614" s="2462"/>
      <c r="G614" s="2462"/>
      <c r="H614" s="2462"/>
      <c r="I614" s="2579"/>
      <c r="J614" s="2579"/>
      <c r="K614" s="2579"/>
      <c r="L614" s="2579"/>
      <c r="M614" s="2579"/>
      <c r="N614" s="2579"/>
      <c r="O614" s="2579"/>
    </row>
    <row r="615" spans="1:15" s="2463" customFormat="1">
      <c r="A615" s="2462"/>
      <c r="B615" s="2462"/>
      <c r="C615" s="2462"/>
      <c r="D615" s="2462"/>
      <c r="E615" s="2462"/>
      <c r="F615" s="2462"/>
      <c r="G615" s="2462"/>
      <c r="H615" s="2462"/>
      <c r="I615" s="2579"/>
      <c r="J615" s="2579"/>
      <c r="K615" s="2579"/>
      <c r="L615" s="2579"/>
      <c r="M615" s="2579"/>
      <c r="N615" s="2579"/>
      <c r="O615" s="2579"/>
    </row>
    <row r="616" spans="1:15" s="2463" customFormat="1">
      <c r="A616" s="2462"/>
      <c r="B616" s="2462"/>
      <c r="C616" s="2462"/>
      <c r="D616" s="2462"/>
      <c r="E616" s="2462"/>
      <c r="F616" s="2462"/>
      <c r="G616" s="2462"/>
      <c r="H616" s="2462"/>
      <c r="I616" s="2579"/>
      <c r="J616" s="2579"/>
      <c r="K616" s="2579"/>
      <c r="L616" s="2579"/>
      <c r="M616" s="2579"/>
      <c r="N616" s="2579"/>
      <c r="O616" s="2579"/>
    </row>
    <row r="617" spans="1:15" s="2463" customFormat="1">
      <c r="A617" s="2462"/>
      <c r="B617" s="2462"/>
      <c r="C617" s="2462"/>
      <c r="D617" s="2462"/>
      <c r="E617" s="2462"/>
      <c r="F617" s="2462"/>
      <c r="G617" s="2462"/>
      <c r="H617" s="2462"/>
      <c r="I617" s="2579"/>
      <c r="J617" s="2579"/>
      <c r="K617" s="2579"/>
      <c r="L617" s="2579"/>
      <c r="M617" s="2579"/>
      <c r="N617" s="2579"/>
      <c r="O617" s="2579"/>
    </row>
    <row r="618" spans="1:15" s="2463" customFormat="1">
      <c r="A618" s="2462"/>
      <c r="B618" s="2462"/>
      <c r="C618" s="2462"/>
      <c r="D618" s="2462"/>
      <c r="E618" s="2462"/>
      <c r="F618" s="2462"/>
      <c r="G618" s="2462"/>
      <c r="H618" s="2462"/>
      <c r="I618" s="2579"/>
      <c r="J618" s="2579"/>
      <c r="K618" s="2579"/>
      <c r="L618" s="2579"/>
      <c r="M618" s="2579"/>
      <c r="N618" s="2579"/>
      <c r="O618" s="2579"/>
    </row>
    <row r="619" spans="1:15" s="2463" customFormat="1">
      <c r="A619" s="2462"/>
      <c r="B619" s="2462"/>
      <c r="C619" s="2462"/>
      <c r="D619" s="2462"/>
      <c r="E619" s="2462"/>
      <c r="F619" s="2462"/>
      <c r="G619" s="2462"/>
      <c r="H619" s="2462"/>
      <c r="I619" s="2579"/>
      <c r="J619" s="2579"/>
      <c r="K619" s="2579"/>
      <c r="L619" s="2579"/>
      <c r="M619" s="2579"/>
      <c r="N619" s="2579"/>
      <c r="O619" s="2579"/>
    </row>
  </sheetData>
  <mergeCells count="65">
    <mergeCell ref="A51:H51"/>
    <mergeCell ref="A11:B13"/>
    <mergeCell ref="E11:G11"/>
    <mergeCell ref="C31:E31"/>
    <mergeCell ref="F31:H31"/>
    <mergeCell ref="A32:B32"/>
    <mergeCell ref="C32:E32"/>
    <mergeCell ref="A52:H52"/>
    <mergeCell ref="A58:B60"/>
    <mergeCell ref="E58:G58"/>
    <mergeCell ref="E74:F74"/>
    <mergeCell ref="C76:D76"/>
    <mergeCell ref="E76:H76"/>
    <mergeCell ref="E155:F155"/>
    <mergeCell ref="A134:H134"/>
    <mergeCell ref="C77:D77"/>
    <mergeCell ref="E77:H77"/>
    <mergeCell ref="A92:H92"/>
    <mergeCell ref="A93:H93"/>
    <mergeCell ref="A99:B101"/>
    <mergeCell ref="E99:G99"/>
    <mergeCell ref="E113:F113"/>
    <mergeCell ref="C115:D115"/>
    <mergeCell ref="E115:H115"/>
    <mergeCell ref="C116:D116"/>
    <mergeCell ref="E116:H116"/>
    <mergeCell ref="A135:H135"/>
    <mergeCell ref="A141:B143"/>
    <mergeCell ref="E141:G141"/>
    <mergeCell ref="C157:D157"/>
    <mergeCell ref="E157:H157"/>
    <mergeCell ref="A222:H222"/>
    <mergeCell ref="C158:D158"/>
    <mergeCell ref="E158:H158"/>
    <mergeCell ref="A175:H175"/>
    <mergeCell ref="A176:H176"/>
    <mergeCell ref="A183:B185"/>
    <mergeCell ref="E183:G183"/>
    <mergeCell ref="E196:F196"/>
    <mergeCell ref="C241:D241"/>
    <mergeCell ref="E241:H241"/>
    <mergeCell ref="A278:H278"/>
    <mergeCell ref="C198:D198"/>
    <mergeCell ref="E198:H198"/>
    <mergeCell ref="C199:D199"/>
    <mergeCell ref="E199:H199"/>
    <mergeCell ref="A223:H223"/>
    <mergeCell ref="A228:B230"/>
    <mergeCell ref="E228:G228"/>
    <mergeCell ref="C297:D297"/>
    <mergeCell ref="E297:H297"/>
    <mergeCell ref="A5:H5"/>
    <mergeCell ref="A6:H6"/>
    <mergeCell ref="A30:B30"/>
    <mergeCell ref="C30:E30"/>
    <mergeCell ref="F30:H30"/>
    <mergeCell ref="A279:H279"/>
    <mergeCell ref="A284:B286"/>
    <mergeCell ref="E284:G284"/>
    <mergeCell ref="E294:F294"/>
    <mergeCell ref="C296:D296"/>
    <mergeCell ref="E296:H296"/>
    <mergeCell ref="E238:F238"/>
    <mergeCell ref="C240:D240"/>
    <mergeCell ref="E240:H240"/>
  </mergeCells>
  <pageMargins left="0.5" right="0" top="0.25" bottom="0" header="0.5" footer="0"/>
  <pageSetup paperSize="5" orientation="portrait"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615"/>
  <sheetViews>
    <sheetView showGridLines="0" showOutlineSymbols="0" topLeftCell="A13" workbookViewId="0">
      <pane xSplit="18525" topLeftCell="ET1"/>
      <selection activeCell="K17" sqref="K17"/>
      <selection pane="topRight" activeCell="ET1" sqref="ET1"/>
    </sheetView>
  </sheetViews>
  <sheetFormatPr defaultColWidth="12.5703125" defaultRowHeight="15.75" outlineLevelRow="2" outlineLevelCol="2"/>
  <cols>
    <col min="1" max="1" width="1.85546875" style="2462" customWidth="1"/>
    <col min="2" max="2" width="34.42578125" style="2462" customWidth="1"/>
    <col min="3" max="3" width="11.42578125" style="2462" customWidth="1"/>
    <col min="4" max="4" width="10.42578125" style="2462" customWidth="1"/>
    <col min="5" max="5" width="10.28515625" style="2462" customWidth="1"/>
    <col min="6" max="6" width="11" style="2462" customWidth="1"/>
    <col min="7" max="8" width="10.85546875" style="2462" customWidth="1"/>
    <col min="9"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6" s="1390" customFormat="1" ht="19.5" customHeight="1">
      <c r="A1" s="2615" t="s">
        <v>473</v>
      </c>
      <c r="D1" s="1477"/>
      <c r="E1" s="1477"/>
      <c r="F1" s="1478"/>
      <c r="H1" s="1477"/>
    </row>
    <row r="2" spans="1:16" s="1390" customFormat="1" ht="14.25" customHeight="1">
      <c r="A2" s="2614" t="s">
        <v>584</v>
      </c>
      <c r="D2" s="1477"/>
      <c r="E2" s="1477"/>
      <c r="F2" s="1477"/>
      <c r="H2" s="1477"/>
    </row>
    <row r="3" spans="1:16" s="1390" customFormat="1" ht="14.25" customHeight="1">
      <c r="A3" s="1403"/>
      <c r="B3" s="1403"/>
      <c r="C3" s="2525"/>
      <c r="E3" s="1477"/>
      <c r="G3" s="1478"/>
      <c r="H3" s="1477"/>
    </row>
    <row r="4" spans="1:16" s="1390" customFormat="1" ht="14.25" customHeight="1">
      <c r="A4" s="1403"/>
      <c r="B4" s="1403"/>
      <c r="C4" s="2525"/>
      <c r="E4" s="1477"/>
      <c r="G4" s="1478"/>
      <c r="H4" s="1477"/>
    </row>
    <row r="5" spans="1:16" s="1390" customFormat="1" ht="14.25" customHeight="1">
      <c r="A5" s="4872" t="s">
        <v>471</v>
      </c>
      <c r="B5" s="4872"/>
      <c r="C5" s="4872"/>
      <c r="D5" s="4872"/>
      <c r="E5" s="4872"/>
      <c r="F5" s="4872"/>
      <c r="G5" s="4872"/>
      <c r="H5" s="4872"/>
    </row>
    <row r="6" spans="1:16" s="1390" customFormat="1" ht="14.25" customHeight="1">
      <c r="A6" s="4742" t="s">
        <v>470</v>
      </c>
      <c r="B6" s="4742"/>
      <c r="C6" s="4742"/>
      <c r="D6" s="4742"/>
      <c r="E6" s="4742"/>
      <c r="F6" s="4742"/>
      <c r="G6" s="4742"/>
      <c r="H6" s="4742"/>
    </row>
    <row r="8" spans="1:16" s="1390" customFormat="1" ht="14.25" customHeight="1">
      <c r="A8" s="1577" t="s">
        <v>2120</v>
      </c>
      <c r="C8" s="2525"/>
      <c r="D8" s="1403"/>
      <c r="E8" s="1403"/>
      <c r="F8" s="1403"/>
      <c r="G8" s="1403"/>
      <c r="H8" s="1403"/>
    </row>
    <row r="9" spans="1:16" s="1390" customFormat="1" ht="14.25" customHeight="1">
      <c r="B9" s="2612" t="s">
        <v>2144</v>
      </c>
      <c r="C9" s="2525"/>
      <c r="D9" s="1403"/>
      <c r="E9" s="1403"/>
      <c r="F9" s="1403"/>
      <c r="G9" s="1403"/>
      <c r="H9" s="1403"/>
    </row>
    <row r="10" spans="1:16" ht="16.7" customHeight="1" outlineLevel="1">
      <c r="A10" s="2564"/>
      <c r="B10" s="2564"/>
      <c r="C10" s="2563"/>
      <c r="D10" s="2541"/>
      <c r="E10" s="2561"/>
      <c r="F10" s="2540"/>
      <c r="G10" s="1388"/>
      <c r="H10" s="2561"/>
      <c r="I10" s="2681"/>
      <c r="J10" s="1302"/>
      <c r="K10" s="2659"/>
      <c r="L10" s="2530"/>
    </row>
    <row r="11" spans="1:16" ht="16.7" customHeight="1" outlineLevel="1">
      <c r="A11" s="4890" t="s">
        <v>468</v>
      </c>
      <c r="B11" s="4891"/>
      <c r="C11" s="2607" t="s">
        <v>467</v>
      </c>
      <c r="D11" s="2608" t="s">
        <v>466</v>
      </c>
      <c r="E11" s="4869" t="s">
        <v>2143</v>
      </c>
      <c r="F11" s="4870"/>
      <c r="G11" s="4871"/>
      <c r="H11" s="2607" t="s">
        <v>464</v>
      </c>
      <c r="I11" s="2668"/>
      <c r="J11" s="1302"/>
      <c r="K11" s="2659"/>
      <c r="L11" s="2530"/>
    </row>
    <row r="12" spans="1:16" ht="16.7" customHeight="1" outlineLevel="1">
      <c r="A12" s="4892"/>
      <c r="B12" s="4893"/>
      <c r="C12" s="2606" t="s">
        <v>463</v>
      </c>
      <c r="D12" s="2517" t="s">
        <v>2142</v>
      </c>
      <c r="E12" s="2517" t="s">
        <v>2118</v>
      </c>
      <c r="F12" s="2517" t="s">
        <v>2117</v>
      </c>
      <c r="G12" s="2517" t="s">
        <v>244</v>
      </c>
      <c r="H12" s="2517" t="s">
        <v>2141</v>
      </c>
      <c r="I12" s="2681"/>
      <c r="J12" s="1302"/>
      <c r="K12" s="2530"/>
      <c r="L12" s="2530"/>
    </row>
    <row r="13" spans="1:16" ht="11.25" customHeight="1" outlineLevel="1">
      <c r="A13" s="4894"/>
      <c r="B13" s="4895"/>
      <c r="C13" s="2604"/>
      <c r="D13" s="2602" t="s">
        <v>460</v>
      </c>
      <c r="E13" s="2602" t="s">
        <v>460</v>
      </c>
      <c r="F13" s="2602" t="s">
        <v>459</v>
      </c>
      <c r="G13" s="2623"/>
      <c r="H13" s="2602" t="s">
        <v>458</v>
      </c>
      <c r="I13" s="2676"/>
      <c r="J13" s="1302"/>
      <c r="K13" s="2530"/>
      <c r="L13" s="2530"/>
    </row>
    <row r="14" spans="1:16" s="1404" customFormat="1" ht="15.6" customHeight="1">
      <c r="A14" s="2601" t="s">
        <v>2011</v>
      </c>
      <c r="B14" s="2605"/>
      <c r="C14" s="2515"/>
      <c r="D14" s="2513"/>
      <c r="E14" s="2513"/>
      <c r="F14" s="2513"/>
      <c r="G14" s="2603"/>
      <c r="H14" s="2513"/>
      <c r="I14" s="2616"/>
      <c r="J14" s="2616"/>
      <c r="K14" s="2616"/>
      <c r="L14" s="2616"/>
      <c r="M14" s="2616"/>
      <c r="N14" s="2616"/>
      <c r="O14" s="2616"/>
    </row>
    <row r="15" spans="1:16" ht="16.7" customHeight="1" outlineLevel="1">
      <c r="A15" s="2680" t="s">
        <v>407</v>
      </c>
      <c r="B15" s="2394"/>
      <c r="C15" s="2391"/>
      <c r="D15" s="2598">
        <f>SUM(D16:D28)</f>
        <v>390953.3</v>
      </c>
      <c r="E15" s="2598">
        <f>SUM(E16:E28)</f>
        <v>97880</v>
      </c>
      <c r="F15" s="2598">
        <f>SUM(F16:F28)</f>
        <v>377120</v>
      </c>
      <c r="G15" s="2598">
        <f>SUM(G16:G28)</f>
        <v>475000</v>
      </c>
      <c r="H15" s="2598">
        <f>SUM(H16:H28)</f>
        <v>475000</v>
      </c>
      <c r="I15" s="2676"/>
      <c r="J15" s="1302"/>
      <c r="K15" s="2530"/>
      <c r="L15" s="2530"/>
    </row>
    <row r="16" spans="1:16" s="1256" customFormat="1" ht="20.100000000000001" customHeight="1" outlineLevel="1">
      <c r="A16" s="2591" t="s">
        <v>674</v>
      </c>
      <c r="B16" s="1519"/>
      <c r="C16" s="978" t="s">
        <v>396</v>
      </c>
      <c r="D16" s="2684">
        <v>179868.3</v>
      </c>
      <c r="E16" s="2683">
        <v>0</v>
      </c>
      <c r="F16" s="2683">
        <f>G16-E16</f>
        <v>180000</v>
      </c>
      <c r="G16" s="2683">
        <v>180000</v>
      </c>
      <c r="H16" s="2683">
        <v>180000</v>
      </c>
      <c r="I16" s="2664"/>
      <c r="J16" s="2663"/>
      <c r="K16" s="1302"/>
      <c r="L16" s="1302"/>
      <c r="M16" s="2662"/>
      <c r="N16" s="2662"/>
      <c r="O16" s="1302"/>
      <c r="P16" s="1269"/>
    </row>
    <row r="17" spans="1:16" s="1256" customFormat="1" ht="20.100000000000001" customHeight="1" outlineLevel="1">
      <c r="A17" s="2591" t="s">
        <v>389</v>
      </c>
      <c r="B17" s="1519"/>
      <c r="C17" s="978" t="s">
        <v>388</v>
      </c>
      <c r="D17" s="1428">
        <v>199785</v>
      </c>
      <c r="E17" s="1427">
        <v>86640</v>
      </c>
      <c r="F17" s="1454">
        <f>G17-E17</f>
        <v>155610</v>
      </c>
      <c r="G17" s="1427">
        <v>242250</v>
      </c>
      <c r="H17" s="1427">
        <v>242250</v>
      </c>
      <c r="I17" s="2659"/>
      <c r="J17" s="2656"/>
      <c r="K17" s="1302"/>
      <c r="L17" s="1302"/>
      <c r="M17" s="1302"/>
      <c r="N17" s="1302"/>
      <c r="O17" s="1302"/>
      <c r="P17" s="1269"/>
    </row>
    <row r="18" spans="1:16" s="1269" customFormat="1" ht="20.100000000000001" customHeight="1" outlineLevel="1">
      <c r="A18" s="1536" t="s">
        <v>383</v>
      </c>
      <c r="B18" s="1552"/>
      <c r="C18" s="2590" t="s">
        <v>1920</v>
      </c>
      <c r="D18" s="1428">
        <v>0</v>
      </c>
      <c r="E18" s="1427">
        <v>0</v>
      </c>
      <c r="F18" s="1454">
        <f>SUM(G18-E18)</f>
        <v>35000</v>
      </c>
      <c r="G18" s="1427">
        <v>35000</v>
      </c>
      <c r="H18" s="1427">
        <v>35000</v>
      </c>
      <c r="I18" s="1257"/>
      <c r="J18" s="2656"/>
      <c r="K18" s="1302"/>
      <c r="L18" s="1302"/>
      <c r="M18" s="1302"/>
      <c r="N18" s="1302"/>
      <c r="O18" s="1302"/>
    </row>
    <row r="19" spans="1:16" s="1269" customFormat="1" ht="20.100000000000001" customHeight="1" outlineLevel="1">
      <c r="A19" s="1536" t="s">
        <v>2140</v>
      </c>
      <c r="B19" s="1552"/>
      <c r="C19" s="2620"/>
      <c r="D19" s="1428"/>
      <c r="E19" s="1427"/>
      <c r="F19" s="1454"/>
      <c r="G19" s="1427"/>
      <c r="H19" s="1427"/>
      <c r="I19" s="1302"/>
      <c r="J19" s="2656"/>
      <c r="K19" s="1302"/>
      <c r="L19" s="1302"/>
      <c r="M19" s="1302"/>
      <c r="N19" s="2659"/>
      <c r="O19" s="1302"/>
    </row>
    <row r="20" spans="1:16" s="1269" customFormat="1" ht="20.100000000000001" customHeight="1" outlineLevel="1">
      <c r="A20" s="2591" t="s">
        <v>368</v>
      </c>
      <c r="B20" s="1519"/>
      <c r="C20" s="978" t="s">
        <v>367</v>
      </c>
      <c r="D20" s="1428">
        <v>11300</v>
      </c>
      <c r="E20" s="1427">
        <v>11240</v>
      </c>
      <c r="F20" s="1454">
        <f>G20-E20</f>
        <v>6510</v>
      </c>
      <c r="G20" s="1427">
        <v>17750</v>
      </c>
      <c r="H20" s="1427">
        <v>17750</v>
      </c>
      <c r="I20" s="1302"/>
      <c r="J20" s="2656"/>
      <c r="K20" s="1302"/>
      <c r="L20" s="1302"/>
      <c r="M20" s="1302"/>
      <c r="N20" s="2659"/>
      <c r="O20" s="1302"/>
    </row>
    <row r="21" spans="1:16" s="1269" customFormat="1" ht="20.100000000000001" customHeight="1" outlineLevel="1">
      <c r="A21" s="2591"/>
      <c r="B21" s="1519"/>
      <c r="C21" s="978"/>
      <c r="D21" s="1428"/>
      <c r="E21" s="1427"/>
      <c r="F21" s="1454"/>
      <c r="G21" s="1427"/>
      <c r="H21" s="1427"/>
      <c r="I21" s="1302"/>
      <c r="J21" s="2663"/>
      <c r="K21" s="2663"/>
      <c r="L21" s="2663"/>
      <c r="M21" s="2663"/>
      <c r="N21" s="2663"/>
      <c r="O21" s="1302"/>
    </row>
    <row r="22" spans="1:16" s="1269" customFormat="1" ht="20.100000000000001" customHeight="1" outlineLevel="1">
      <c r="A22" s="1553"/>
      <c r="B22" s="2628"/>
      <c r="C22" s="978"/>
      <c r="D22" s="1428"/>
      <c r="E22" s="1427"/>
      <c r="F22" s="1454"/>
      <c r="G22" s="1427"/>
      <c r="H22" s="1427"/>
      <c r="I22" s="1302"/>
      <c r="J22" s="1302"/>
      <c r="K22" s="1302"/>
      <c r="L22" s="1302"/>
      <c r="M22" s="1302"/>
      <c r="N22" s="1302"/>
      <c r="O22" s="1302"/>
    </row>
    <row r="23" spans="1:16" s="1269" customFormat="1" ht="20.100000000000001" customHeight="1" outlineLevel="1">
      <c r="A23" s="1553"/>
      <c r="B23" s="2628"/>
      <c r="C23" s="978"/>
      <c r="D23" s="1428"/>
      <c r="E23" s="1427"/>
      <c r="F23" s="1454"/>
      <c r="G23" s="1427"/>
      <c r="H23" s="1427"/>
      <c r="I23" s="1302"/>
      <c r="J23" s="1302"/>
      <c r="K23" s="1302"/>
      <c r="L23" s="1302"/>
      <c r="M23" s="1302"/>
      <c r="N23" s="1302"/>
      <c r="O23" s="1302"/>
    </row>
    <row r="24" spans="1:16" s="1269" customFormat="1" ht="20.100000000000001" customHeight="1" outlineLevel="1">
      <c r="A24" s="1553"/>
      <c r="B24" s="2628"/>
      <c r="C24" s="978"/>
      <c r="D24" s="1428"/>
      <c r="E24" s="1427"/>
      <c r="F24" s="1454"/>
      <c r="G24" s="1427"/>
      <c r="H24" s="1427"/>
      <c r="I24" s="1302"/>
      <c r="J24" s="1302"/>
      <c r="K24" s="1302"/>
      <c r="L24" s="1302"/>
      <c r="M24" s="1302"/>
      <c r="N24" s="1302"/>
      <c r="O24" s="1302"/>
    </row>
    <row r="25" spans="1:16" s="1269" customFormat="1" ht="20.100000000000001" customHeight="1" outlineLevel="1">
      <c r="A25" s="1553"/>
      <c r="B25" s="2628"/>
      <c r="C25" s="978"/>
      <c r="D25" s="1428"/>
      <c r="E25" s="1427"/>
      <c r="F25" s="1454"/>
      <c r="G25" s="1427"/>
      <c r="H25" s="1427"/>
      <c r="I25" s="1302"/>
      <c r="J25" s="1302"/>
      <c r="K25" s="1302"/>
      <c r="L25" s="1302"/>
      <c r="M25" s="1302"/>
      <c r="N25" s="1302"/>
      <c r="O25" s="1302"/>
    </row>
    <row r="26" spans="1:16" s="1269" customFormat="1" ht="20.100000000000001" customHeight="1" outlineLevel="1">
      <c r="A26" s="1553"/>
      <c r="B26" s="2628"/>
      <c r="C26" s="978"/>
      <c r="D26" s="1428"/>
      <c r="E26" s="1427"/>
      <c r="F26" s="1454"/>
      <c r="G26" s="1427"/>
      <c r="H26" s="1427"/>
      <c r="I26" s="1302"/>
      <c r="J26" s="1302"/>
      <c r="K26" s="1302"/>
      <c r="L26" s="1302"/>
      <c r="M26" s="1302"/>
      <c r="N26" s="1302"/>
      <c r="O26" s="1302"/>
    </row>
    <row r="27" spans="1:16" s="1269" customFormat="1" ht="20.100000000000001" customHeight="1" outlineLevel="1">
      <c r="A27" s="1553"/>
      <c r="B27" s="2628"/>
      <c r="C27" s="978"/>
      <c r="D27" s="1428"/>
      <c r="E27" s="1427"/>
      <c r="F27" s="1454"/>
      <c r="G27" s="1427"/>
      <c r="H27" s="1427"/>
      <c r="I27" s="1302"/>
      <c r="J27" s="1302"/>
      <c r="K27" s="1302"/>
      <c r="L27" s="1302"/>
      <c r="M27" s="1302"/>
      <c r="N27" s="1302"/>
      <c r="O27" s="1302"/>
    </row>
    <row r="28" spans="1:16" s="1269" customFormat="1" ht="20.100000000000001" customHeight="1" outlineLevel="1">
      <c r="A28" s="2587"/>
      <c r="B28" s="2586"/>
      <c r="C28" s="2585"/>
      <c r="D28" s="1428"/>
      <c r="E28" s="1424"/>
      <c r="F28" s="1454"/>
      <c r="G28" s="1424"/>
      <c r="H28" s="1424"/>
      <c r="I28" s="1302"/>
      <c r="J28" s="1302"/>
      <c r="K28" s="1302"/>
      <c r="L28" s="1302"/>
      <c r="M28" s="1302"/>
      <c r="N28" s="1302"/>
      <c r="O28" s="1302"/>
    </row>
    <row r="29" spans="1:16" s="1269" customFormat="1" ht="20.100000000000001" customHeight="1" outlineLevel="1" thickBot="1">
      <c r="A29" s="2617" t="s">
        <v>366</v>
      </c>
      <c r="B29" s="2584"/>
      <c r="C29" s="2583"/>
      <c r="D29" s="2480">
        <f>SUM(D16:D21)</f>
        <v>390953.3</v>
      </c>
      <c r="E29" s="2480">
        <f>SUM(E16:E21)</f>
        <v>97880</v>
      </c>
      <c r="F29" s="2480">
        <f>SUM(F16:F21)</f>
        <v>377120</v>
      </c>
      <c r="G29" s="2480">
        <f>SUM(G16:G21)</f>
        <v>475000</v>
      </c>
      <c r="H29" s="2480">
        <f>SUM(H16:H21)</f>
        <v>475000</v>
      </c>
      <c r="I29" s="1302"/>
      <c r="J29" s="1302"/>
      <c r="K29" s="1302"/>
      <c r="L29" s="1302"/>
      <c r="M29" s="1302"/>
      <c r="N29" s="1302"/>
      <c r="O29" s="1302"/>
    </row>
    <row r="30" spans="1:16" s="2288" customFormat="1" ht="19.5" customHeight="1" outlineLevel="1" thickTop="1">
      <c r="A30" s="1403" t="s">
        <v>2112</v>
      </c>
      <c r="B30" s="1390"/>
      <c r="C30" s="1403" t="s">
        <v>2111</v>
      </c>
      <c r="D30" s="1390"/>
      <c r="F30" s="2582" t="s">
        <v>2110</v>
      </c>
      <c r="G30" s="1403"/>
      <c r="H30" s="1390"/>
    </row>
    <row r="31" spans="1:16" s="2288" customFormat="1" ht="15.95" customHeight="1" outlineLevel="1">
      <c r="A31" s="1403"/>
      <c r="B31" s="1390"/>
      <c r="C31" s="1403"/>
      <c r="D31" s="1390"/>
      <c r="E31" s="2471"/>
      <c r="F31" s="2471"/>
      <c r="G31" s="1403"/>
      <c r="H31" s="1390"/>
    </row>
    <row r="32" spans="1:16" s="2288" customFormat="1" ht="10.5" customHeight="1" outlineLevel="1">
      <c r="A32" s="1390"/>
      <c r="B32" s="1403"/>
      <c r="C32" s="2581"/>
      <c r="D32" s="1403"/>
      <c r="E32" s="1403"/>
      <c r="F32" s="1403"/>
      <c r="G32" s="1403"/>
      <c r="H32" s="1390"/>
    </row>
    <row r="33" spans="1:16" s="2288" customFormat="1" ht="15.95" customHeight="1" outlineLevel="1">
      <c r="A33" s="4873" t="s">
        <v>2109</v>
      </c>
      <c r="B33" s="4873"/>
      <c r="C33" s="4760" t="s">
        <v>360</v>
      </c>
      <c r="D33" s="4760"/>
      <c r="E33" s="4760"/>
      <c r="F33" s="4741" t="s">
        <v>359</v>
      </c>
      <c r="G33" s="4741"/>
      <c r="H33" s="4741"/>
    </row>
    <row r="34" spans="1:16" s="2288" customFormat="1" ht="15.75" customHeight="1" outlineLevel="1">
      <c r="A34" s="2580"/>
      <c r="B34" s="2464" t="s">
        <v>2108</v>
      </c>
      <c r="C34" s="4754" t="s">
        <v>357</v>
      </c>
      <c r="D34" s="4754"/>
      <c r="E34" s="4754"/>
      <c r="F34" s="4868" t="s">
        <v>356</v>
      </c>
      <c r="G34" s="4868"/>
      <c r="H34" s="4868"/>
    </row>
    <row r="35" spans="1:16" s="2288" customFormat="1" ht="12" customHeight="1" outlineLevel="1">
      <c r="A35" s="4878"/>
      <c r="B35" s="4878"/>
      <c r="C35" s="4754"/>
      <c r="D35" s="4754"/>
      <c r="E35" s="4754"/>
      <c r="F35" s="1406"/>
      <c r="G35" s="1406"/>
      <c r="H35" s="1406"/>
    </row>
    <row r="36" spans="1:16" s="2529" customFormat="1" ht="12" customHeight="1" outlineLevel="1">
      <c r="A36" s="2463"/>
      <c r="B36" s="2464"/>
      <c r="C36" s="2463"/>
      <c r="D36" s="2465"/>
      <c r="E36" s="2465"/>
      <c r="F36" s="2465"/>
      <c r="G36" s="2465"/>
      <c r="H36" s="2465"/>
      <c r="I36" s="2530"/>
      <c r="J36" s="2530"/>
      <c r="K36" s="2530"/>
      <c r="L36" s="2530"/>
      <c r="M36" s="2530"/>
      <c r="N36" s="2530"/>
      <c r="O36" s="2530"/>
    </row>
    <row r="37" spans="1:16" s="2529" customFormat="1" ht="12" customHeight="1" outlineLevel="1">
      <c r="A37" s="2463"/>
      <c r="B37" s="2464"/>
      <c r="C37" s="2463"/>
      <c r="D37" s="2465"/>
      <c r="E37" s="2465"/>
      <c r="F37" s="2465"/>
      <c r="G37" s="2465"/>
      <c r="H37" s="2465"/>
      <c r="I37" s="2530"/>
      <c r="J37" s="2530"/>
      <c r="K37" s="2530"/>
      <c r="L37" s="2530"/>
      <c r="M37" s="2530"/>
      <c r="N37" s="2530"/>
      <c r="O37" s="2530"/>
    </row>
    <row r="38" spans="1:16" s="2529" customFormat="1" ht="12" customHeight="1" outlineLevel="1">
      <c r="A38" s="2463"/>
      <c r="B38" s="2464"/>
      <c r="C38" s="2463"/>
      <c r="D38" s="2465"/>
      <c r="E38" s="2465"/>
      <c r="F38" s="2465"/>
      <c r="G38" s="2465"/>
      <c r="H38" s="2465"/>
      <c r="I38" s="2530"/>
      <c r="J38" s="2530"/>
      <c r="K38" s="2530"/>
      <c r="L38" s="2530"/>
      <c r="M38" s="2530"/>
      <c r="N38" s="2530"/>
      <c r="O38" s="2530"/>
    </row>
    <row r="39" spans="1:16" ht="20.100000000000001" customHeight="1" outlineLevel="1">
      <c r="A39" s="2463"/>
      <c r="B39" s="2464"/>
      <c r="C39" s="2463"/>
      <c r="D39" s="2465"/>
      <c r="E39" s="2465"/>
      <c r="F39" s="2465"/>
      <c r="G39" s="2465"/>
      <c r="H39" s="2465"/>
      <c r="J39" s="2530"/>
      <c r="K39" s="2530"/>
      <c r="L39" s="2530"/>
      <c r="M39" s="2530"/>
      <c r="N39" s="2530"/>
      <c r="O39" s="2530"/>
      <c r="P39" s="2529"/>
    </row>
    <row r="40" spans="1:16" ht="20.100000000000001" customHeight="1" outlineLevel="1">
      <c r="A40" s="2463"/>
      <c r="B40" s="2464"/>
      <c r="C40" s="2463"/>
      <c r="D40" s="2465"/>
      <c r="E40" s="2465"/>
      <c r="F40" s="2465"/>
      <c r="G40" s="2465"/>
      <c r="H40" s="2465"/>
      <c r="J40" s="2530"/>
      <c r="K40" s="2530"/>
      <c r="L40" s="2530"/>
      <c r="M40" s="2530"/>
      <c r="N40" s="2530"/>
      <c r="O40" s="2530"/>
      <c r="P40" s="2529"/>
    </row>
    <row r="41" spans="1:16" s="2652" customFormat="1" ht="16.7" customHeight="1" outlineLevel="1">
      <c r="A41" s="2463"/>
      <c r="B41" s="2464"/>
      <c r="C41" s="2463"/>
      <c r="D41" s="2465"/>
      <c r="E41" s="2465"/>
      <c r="F41" s="2465"/>
      <c r="G41" s="2465"/>
      <c r="H41" s="2465"/>
      <c r="I41" s="2653"/>
      <c r="J41" s="2655"/>
      <c r="K41" s="2655"/>
      <c r="L41" s="2655"/>
      <c r="M41" s="2655"/>
      <c r="N41" s="2655"/>
      <c r="O41" s="2655"/>
      <c r="P41" s="2654"/>
    </row>
    <row r="42" spans="1:16" s="2652" customFormat="1" ht="16.7" customHeight="1" outlineLevel="1">
      <c r="A42" s="2463"/>
      <c r="B42" s="2464"/>
      <c r="C42" s="2463"/>
      <c r="D42" s="2465"/>
      <c r="E42" s="2465"/>
      <c r="F42" s="2465"/>
      <c r="G42" s="2465"/>
      <c r="H42" s="2465"/>
      <c r="I42" s="2653"/>
      <c r="J42" s="2655"/>
      <c r="K42" s="2655"/>
      <c r="L42" s="2655"/>
      <c r="M42" s="2655"/>
      <c r="N42" s="2655"/>
      <c r="O42" s="2655"/>
      <c r="P42" s="2654"/>
    </row>
    <row r="43" spans="1:16" s="2652" customFormat="1" ht="16.7" customHeight="1" outlineLevel="1">
      <c r="A43" s="2531"/>
      <c r="B43" s="2533"/>
      <c r="C43" s="2531"/>
      <c r="D43" s="2566"/>
      <c r="E43" s="2566"/>
      <c r="F43" s="2566"/>
      <c r="G43" s="2566"/>
      <c r="H43" s="2566"/>
      <c r="I43" s="2653"/>
      <c r="J43" s="2655"/>
      <c r="K43" s="2655"/>
      <c r="L43" s="2655"/>
      <c r="M43" s="2655"/>
      <c r="N43" s="2655"/>
      <c r="O43" s="2655"/>
      <c r="P43" s="2654"/>
    </row>
    <row r="44" spans="1:16" s="2652" customFormat="1" ht="16.7" customHeight="1" outlineLevel="1">
      <c r="A44" s="2531"/>
      <c r="B44" s="2533"/>
      <c r="C44" s="2531"/>
      <c r="D44" s="2566"/>
      <c r="E44" s="2566"/>
      <c r="F44" s="2566"/>
      <c r="G44" s="2566"/>
      <c r="H44" s="2566"/>
      <c r="I44" s="2653"/>
      <c r="J44" s="2655"/>
      <c r="K44" s="2655"/>
      <c r="L44" s="2655"/>
      <c r="M44" s="2655"/>
      <c r="N44" s="2655"/>
      <c r="O44" s="2655"/>
      <c r="P44" s="2654"/>
    </row>
    <row r="45" spans="1:16" s="2652" customFormat="1" ht="16.7" customHeight="1" outlineLevel="1">
      <c r="A45" s="2531"/>
      <c r="B45" s="2533"/>
      <c r="C45" s="2531"/>
      <c r="D45" s="2566"/>
      <c r="E45" s="2566"/>
      <c r="F45" s="2566"/>
      <c r="G45" s="2566"/>
      <c r="H45" s="2566"/>
      <c r="I45" s="2653"/>
      <c r="J45" s="2655"/>
      <c r="K45" s="2655"/>
      <c r="L45" s="2655"/>
      <c r="M45" s="2655"/>
      <c r="N45" s="2655"/>
      <c r="O45" s="2655"/>
      <c r="P45" s="2654"/>
    </row>
    <row r="46" spans="1:16" s="2652" customFormat="1" ht="16.7" customHeight="1" outlineLevel="1">
      <c r="A46" s="2531"/>
      <c r="B46" s="2533"/>
      <c r="C46" s="2531"/>
      <c r="D46" s="2566"/>
      <c r="E46" s="2566"/>
      <c r="F46" s="2566"/>
      <c r="G46" s="2566"/>
      <c r="H46" s="2566"/>
      <c r="I46" s="2653"/>
      <c r="J46" s="2655"/>
      <c r="K46" s="2655"/>
      <c r="L46" s="2655"/>
      <c r="M46" s="2655"/>
      <c r="N46" s="2655"/>
      <c r="O46" s="2655"/>
      <c r="P46" s="2654"/>
    </row>
    <row r="47" spans="1:16" s="2652" customFormat="1" ht="16.7" customHeight="1" outlineLevel="1">
      <c r="A47" s="2531"/>
      <c r="B47" s="2533"/>
      <c r="C47" s="2531"/>
      <c r="D47" s="2566"/>
      <c r="E47" s="2566"/>
      <c r="F47" s="2566"/>
      <c r="G47" s="2566"/>
      <c r="H47" s="2566"/>
      <c r="I47" s="2653"/>
      <c r="J47" s="2655"/>
      <c r="K47" s="2655"/>
      <c r="L47" s="2655"/>
      <c r="M47" s="2655"/>
      <c r="N47" s="2655"/>
      <c r="O47" s="2655"/>
      <c r="P47" s="2654"/>
    </row>
    <row r="48" spans="1:16" s="2652" customFormat="1" ht="16.7" customHeight="1" outlineLevel="1">
      <c r="A48" s="2529"/>
      <c r="B48" s="2529"/>
      <c r="C48" s="2529"/>
      <c r="D48" s="2529"/>
      <c r="E48" s="2529"/>
      <c r="F48" s="2529"/>
      <c r="G48" s="2529"/>
      <c r="H48" s="2529"/>
      <c r="I48" s="2653"/>
      <c r="J48" s="2655"/>
      <c r="K48" s="2655"/>
      <c r="L48" s="2655"/>
      <c r="M48" s="2655"/>
      <c r="N48" s="2655"/>
      <c r="O48" s="2655"/>
      <c r="P48" s="2654"/>
    </row>
    <row r="49" spans="1:16" s="2652" customFormat="1" ht="16.7" customHeight="1" outlineLevel="1">
      <c r="A49" s="4876"/>
      <c r="B49" s="4876"/>
      <c r="C49" s="4876"/>
      <c r="D49" s="4876"/>
      <c r="E49" s="4876"/>
      <c r="F49" s="4876"/>
      <c r="G49" s="4876"/>
      <c r="H49" s="4876"/>
      <c r="I49" s="2653"/>
      <c r="J49" s="2655"/>
      <c r="K49" s="2655"/>
      <c r="L49" s="2655"/>
      <c r="M49" s="2655"/>
      <c r="N49" s="2655"/>
      <c r="O49" s="2655"/>
      <c r="P49" s="2654"/>
    </row>
    <row r="50" spans="1:16" s="2652" customFormat="1" ht="16.7" customHeight="1" outlineLevel="1">
      <c r="A50" s="4877"/>
      <c r="B50" s="4877"/>
      <c r="C50" s="4877"/>
      <c r="D50" s="4877"/>
      <c r="E50" s="4877"/>
      <c r="F50" s="4877"/>
      <c r="G50" s="4877"/>
      <c r="H50" s="4877"/>
      <c r="I50" s="2653"/>
      <c r="J50" s="2655"/>
      <c r="K50" s="2655"/>
      <c r="L50" s="2655"/>
      <c r="M50" s="2655"/>
      <c r="N50" s="2655"/>
      <c r="O50" s="2655"/>
      <c r="P50" s="2654"/>
    </row>
    <row r="51" spans="1:16" s="2652" customFormat="1" ht="16.7" customHeight="1" outlineLevel="1">
      <c r="A51" s="2529"/>
      <c r="B51" s="2529"/>
      <c r="C51" s="2529"/>
      <c r="D51" s="2529"/>
      <c r="E51" s="2529"/>
      <c r="F51" s="2529"/>
      <c r="G51" s="2529"/>
      <c r="H51" s="2529"/>
      <c r="I51" s="2653"/>
      <c r="J51" s="2655"/>
      <c r="K51" s="2655"/>
      <c r="L51" s="2655"/>
      <c r="M51" s="2655"/>
      <c r="N51" s="2655"/>
      <c r="O51" s="2655"/>
      <c r="P51" s="2654"/>
    </row>
    <row r="52" spans="1:16" s="2652" customFormat="1" ht="16.7" customHeight="1" outlineLevel="1">
      <c r="A52" s="2529"/>
      <c r="B52" s="2529"/>
      <c r="C52" s="2529"/>
      <c r="D52" s="2529"/>
      <c r="E52" s="2529"/>
      <c r="F52" s="2529"/>
      <c r="G52" s="2529"/>
      <c r="H52" s="2529"/>
      <c r="I52" s="2653"/>
      <c r="J52" s="2655"/>
      <c r="K52" s="2655"/>
      <c r="L52" s="2655"/>
      <c r="M52" s="2655"/>
      <c r="N52" s="2655"/>
      <c r="O52" s="2655"/>
      <c r="P52" s="2654"/>
    </row>
    <row r="53" spans="1:16" s="2652" customFormat="1" ht="16.7" customHeight="1" outlineLevel="1">
      <c r="A53" s="2568"/>
      <c r="B53" s="2567"/>
      <c r="C53" s="2529"/>
      <c r="D53" s="2566"/>
      <c r="E53" s="2566"/>
      <c r="F53" s="2566"/>
      <c r="G53" s="2566"/>
      <c r="H53" s="2566"/>
      <c r="I53" s="2653"/>
      <c r="J53" s="2655"/>
      <c r="K53" s="2655"/>
      <c r="L53" s="2655"/>
      <c r="M53" s="2655"/>
      <c r="N53" s="2655"/>
      <c r="O53" s="2655"/>
      <c r="P53" s="2654"/>
    </row>
    <row r="54" spans="1:16" s="2652" customFormat="1" ht="16.7" customHeight="1" outlineLevel="1">
      <c r="A54" s="1269"/>
      <c r="B54" s="1269"/>
      <c r="C54" s="2542"/>
      <c r="D54" s="2541"/>
      <c r="E54" s="2561"/>
      <c r="F54" s="2540"/>
      <c r="G54" s="2565"/>
      <c r="H54" s="2561"/>
      <c r="I54" s="2653"/>
      <c r="J54" s="2655"/>
      <c r="K54" s="2655"/>
      <c r="L54" s="2655"/>
      <c r="M54" s="2655"/>
      <c r="N54" s="2655"/>
      <c r="O54" s="2655"/>
      <c r="P54" s="2654"/>
    </row>
    <row r="55" spans="1:16" s="2652" customFormat="1" ht="16.7" customHeight="1" outlineLevel="1">
      <c r="A55" s="2564"/>
      <c r="B55" s="2564"/>
      <c r="C55" s="2563"/>
      <c r="D55" s="2541"/>
      <c r="E55" s="2561"/>
      <c r="F55" s="2540"/>
      <c r="G55" s="2562"/>
      <c r="H55" s="2561"/>
      <c r="I55" s="2653"/>
      <c r="J55" s="2653"/>
      <c r="K55" s="2653"/>
      <c r="L55" s="2653"/>
      <c r="M55" s="2653"/>
      <c r="N55" s="2653"/>
      <c r="O55" s="2653"/>
    </row>
    <row r="56" spans="1:16" s="2652" customFormat="1" ht="16.7" customHeight="1" outlineLevel="1">
      <c r="A56" s="4879"/>
      <c r="B56" s="4879"/>
      <c r="C56" s="2559"/>
      <c r="D56" s="2560"/>
      <c r="E56" s="4880"/>
      <c r="F56" s="4880"/>
      <c r="G56" s="4880"/>
      <c r="H56" s="2557"/>
      <c r="I56" s="2653"/>
      <c r="J56" s="2653"/>
      <c r="K56" s="2653"/>
      <c r="L56" s="2653"/>
      <c r="M56" s="2653"/>
      <c r="N56" s="2653"/>
      <c r="O56" s="2653"/>
    </row>
    <row r="57" spans="1:16" s="2652" customFormat="1" ht="16.7" customHeight="1" outlineLevel="1">
      <c r="A57" s="4879"/>
      <c r="B57" s="4879"/>
      <c r="C57" s="2559"/>
      <c r="D57" s="2558"/>
      <c r="E57" s="2558"/>
      <c r="F57" s="2558"/>
      <c r="G57" s="2558"/>
      <c r="H57" s="2558"/>
      <c r="I57" s="2653"/>
      <c r="J57" s="2653"/>
      <c r="K57" s="2653"/>
      <c r="L57" s="2653"/>
      <c r="M57" s="2653"/>
      <c r="N57" s="2653"/>
      <c r="O57" s="2653"/>
    </row>
    <row r="58" spans="1:16" s="2652" customFormat="1" ht="16.7" customHeight="1" outlineLevel="1">
      <c r="A58" s="4879"/>
      <c r="B58" s="4879"/>
      <c r="C58" s="2557"/>
      <c r="D58" s="2555"/>
      <c r="E58" s="2555"/>
      <c r="F58" s="2555"/>
      <c r="G58" s="2556"/>
      <c r="H58" s="2555"/>
      <c r="I58" s="2653"/>
      <c r="J58" s="2653"/>
      <c r="K58" s="2653"/>
      <c r="L58" s="2653"/>
      <c r="M58" s="2653"/>
      <c r="N58" s="2653"/>
      <c r="O58" s="2653"/>
    </row>
    <row r="59" spans="1:16" ht="16.7" customHeight="1" outlineLevel="1">
      <c r="A59" s="2554"/>
      <c r="B59" s="2553"/>
      <c r="C59" s="2552"/>
      <c r="D59" s="2551"/>
      <c r="E59" s="2551"/>
      <c r="F59" s="2551"/>
      <c r="G59" s="2551"/>
      <c r="H59" s="2551"/>
    </row>
    <row r="60" spans="1:16" ht="20.100000000000001" customHeight="1" outlineLevel="2">
      <c r="A60" s="2549"/>
      <c r="B60" s="2549"/>
      <c r="C60" s="2545"/>
      <c r="D60" s="2548"/>
      <c r="E60" s="2548"/>
      <c r="F60" s="2540"/>
      <c r="G60" s="2548"/>
      <c r="H60" s="2548"/>
    </row>
    <row r="61" spans="1:16" ht="8.4499999999999993" customHeight="1" outlineLevel="2">
      <c r="A61" s="2549"/>
      <c r="B61" s="2549"/>
      <c r="C61" s="2545"/>
      <c r="D61" s="2548"/>
      <c r="E61" s="2548"/>
      <c r="F61" s="2540"/>
      <c r="G61" s="2548"/>
      <c r="H61" s="2548"/>
    </row>
    <row r="62" spans="1:16" ht="14.45" customHeight="1">
      <c r="A62" s="2546"/>
      <c r="B62" s="1269"/>
      <c r="C62" s="2545"/>
      <c r="D62" s="2541"/>
      <c r="E62" s="2544"/>
      <c r="F62" s="2540"/>
      <c r="G62" s="2544"/>
      <c r="H62" s="2544"/>
    </row>
    <row r="63" spans="1:16" ht="13.9" customHeight="1">
      <c r="A63" s="2549"/>
      <c r="B63" s="2549"/>
      <c r="C63" s="2545"/>
      <c r="D63" s="2541"/>
      <c r="E63" s="2544"/>
      <c r="F63" s="2540"/>
      <c r="G63" s="2544"/>
      <c r="H63" s="2544"/>
    </row>
    <row r="64" spans="1:16" s="1256" customFormat="1" ht="18" customHeight="1">
      <c r="A64" s="2546"/>
      <c r="B64" s="1269"/>
      <c r="C64" s="2542"/>
      <c r="D64" s="2541"/>
      <c r="E64" s="2544"/>
      <c r="F64" s="2540"/>
      <c r="G64" s="2544"/>
      <c r="H64" s="2544"/>
      <c r="I64" s="1257"/>
      <c r="J64" s="1257"/>
      <c r="K64" s="1257"/>
      <c r="L64" s="1257"/>
      <c r="M64" s="1257"/>
      <c r="N64" s="1257"/>
      <c r="O64" s="1257"/>
    </row>
    <row r="65" spans="1:15" s="2463" customFormat="1" ht="12.75">
      <c r="A65" s="2549"/>
      <c r="B65" s="2549"/>
      <c r="C65" s="2542"/>
      <c r="D65" s="2541"/>
      <c r="E65" s="2544"/>
      <c r="F65" s="2540"/>
      <c r="G65" s="2544"/>
      <c r="H65" s="2544"/>
      <c r="I65" s="2579"/>
      <c r="J65" s="2579"/>
      <c r="K65" s="2579"/>
      <c r="L65" s="2579"/>
      <c r="M65" s="2579"/>
      <c r="N65" s="2579"/>
      <c r="O65" s="2579"/>
    </row>
    <row r="66" spans="1:15" s="2463" customFormat="1" ht="12.75">
      <c r="A66" s="2547"/>
      <c r="B66" s="2546"/>
      <c r="C66" s="2545"/>
      <c r="D66" s="2541"/>
      <c r="E66" s="2544"/>
      <c r="F66" s="2540"/>
      <c r="G66" s="2544"/>
      <c r="H66" s="2544"/>
      <c r="I66" s="2579"/>
      <c r="J66" s="2579"/>
      <c r="K66" s="2579"/>
      <c r="L66" s="2579"/>
      <c r="M66" s="2579"/>
      <c r="N66" s="2579"/>
      <c r="O66" s="2579"/>
    </row>
    <row r="67" spans="1:15" s="2463" customFormat="1" ht="12.75">
      <c r="A67" s="2543"/>
      <c r="B67" s="2543"/>
      <c r="C67" s="2542"/>
      <c r="D67" s="2541"/>
      <c r="E67" s="2539"/>
      <c r="F67" s="2540"/>
      <c r="G67" s="2539"/>
      <c r="H67" s="2539"/>
      <c r="I67" s="2579"/>
      <c r="J67" s="2579"/>
      <c r="K67" s="2579"/>
      <c r="L67" s="2579"/>
      <c r="M67" s="2579"/>
      <c r="N67" s="2579"/>
      <c r="O67" s="2579"/>
    </row>
    <row r="68" spans="1:15" s="2463" customFormat="1" ht="12.75">
      <c r="A68" s="2538"/>
      <c r="B68" s="2538"/>
      <c r="C68" s="2537"/>
      <c r="D68" s="2536"/>
      <c r="E68" s="2536"/>
      <c r="F68" s="2536"/>
      <c r="G68" s="2536"/>
      <c r="H68" s="2536"/>
      <c r="I68" s="2579"/>
      <c r="J68" s="2579"/>
      <c r="K68" s="2579"/>
      <c r="L68" s="2579"/>
      <c r="M68" s="2579"/>
      <c r="N68" s="2579"/>
      <c r="O68" s="2579"/>
    </row>
    <row r="69" spans="1:15" s="2463" customFormat="1" ht="12.75">
      <c r="A69" s="2538"/>
      <c r="B69" s="2538"/>
      <c r="C69" s="2537"/>
      <c r="D69" s="2536"/>
      <c r="E69" s="2536"/>
      <c r="F69" s="2536"/>
      <c r="G69" s="2536"/>
      <c r="H69" s="2536"/>
      <c r="I69" s="2579"/>
      <c r="J69" s="2579"/>
      <c r="K69" s="2579"/>
      <c r="L69" s="2579"/>
      <c r="M69" s="2579"/>
      <c r="N69" s="2579"/>
      <c r="O69" s="2579"/>
    </row>
    <row r="70" spans="1:15" s="2463" customFormat="1">
      <c r="A70" s="1269"/>
      <c r="B70" s="2529"/>
      <c r="C70" s="2535"/>
      <c r="D70" s="2529"/>
      <c r="E70" s="4877"/>
      <c r="F70" s="4877"/>
      <c r="G70" s="1269"/>
      <c r="H70" s="2529"/>
      <c r="I70" s="2579"/>
      <c r="J70" s="2579"/>
      <c r="K70" s="2579"/>
      <c r="L70" s="2579"/>
      <c r="M70" s="2579"/>
      <c r="N70" s="2579"/>
      <c r="O70" s="2579"/>
    </row>
    <row r="71" spans="1:15" s="2463" customFormat="1">
      <c r="A71" s="2529"/>
      <c r="B71" s="1269"/>
      <c r="C71" s="2535"/>
      <c r="D71" s="1269"/>
      <c r="E71" s="1269"/>
      <c r="F71" s="1269"/>
      <c r="G71" s="1269"/>
      <c r="H71" s="2529"/>
      <c r="I71" s="2579"/>
      <c r="J71" s="2579"/>
      <c r="K71" s="2579"/>
      <c r="L71" s="2579"/>
      <c r="M71" s="2579"/>
      <c r="N71" s="2579"/>
      <c r="O71" s="2579"/>
    </row>
    <row r="72" spans="1:15" s="2463" customFormat="1" ht="12.75">
      <c r="A72" s="2534"/>
      <c r="B72" s="1269"/>
      <c r="C72" s="4881"/>
      <c r="D72" s="4881"/>
      <c r="E72" s="4876"/>
      <c r="F72" s="4876"/>
      <c r="G72" s="4876"/>
      <c r="H72" s="4876"/>
      <c r="I72" s="2579"/>
      <c r="J72" s="2579"/>
      <c r="K72" s="2579"/>
      <c r="L72" s="2579"/>
      <c r="M72" s="2579"/>
      <c r="N72" s="2579"/>
      <c r="O72" s="2579"/>
    </row>
    <row r="73" spans="1:15" s="2463" customFormat="1" ht="12.75">
      <c r="A73" s="2531"/>
      <c r="B73" s="2533"/>
      <c r="C73" s="4874"/>
      <c r="D73" s="4874"/>
      <c r="E73" s="4875"/>
      <c r="F73" s="4875"/>
      <c r="G73" s="4875"/>
      <c r="H73" s="4875"/>
      <c r="I73" s="2579"/>
      <c r="J73" s="2579"/>
      <c r="K73" s="2579"/>
      <c r="L73" s="2579"/>
      <c r="M73" s="2579"/>
      <c r="N73" s="2579"/>
      <c r="O73" s="2579"/>
    </row>
    <row r="74" spans="1:15" s="2463" customFormat="1" ht="12.75">
      <c r="A74" s="2531"/>
      <c r="B74" s="2533"/>
      <c r="C74" s="2531"/>
      <c r="D74" s="2566"/>
      <c r="E74" s="2566"/>
      <c r="F74" s="2566"/>
      <c r="G74" s="2566"/>
      <c r="H74" s="2566"/>
      <c r="I74" s="2579"/>
      <c r="J74" s="2579"/>
      <c r="K74" s="2579"/>
      <c r="L74" s="2579"/>
      <c r="M74" s="2579"/>
      <c r="N74" s="2579"/>
      <c r="O74" s="2579"/>
    </row>
    <row r="75" spans="1:15" s="2463" customFormat="1" ht="12.75">
      <c r="A75" s="2531"/>
      <c r="B75" s="2533"/>
      <c r="C75" s="2531"/>
      <c r="D75" s="2566"/>
      <c r="E75" s="2566"/>
      <c r="F75" s="2566"/>
      <c r="G75" s="2566"/>
      <c r="H75" s="2566"/>
      <c r="I75" s="2579"/>
      <c r="J75" s="2579"/>
      <c r="K75" s="2579"/>
      <c r="L75" s="2579"/>
      <c r="M75" s="2579"/>
      <c r="N75" s="2579"/>
      <c r="O75" s="2579"/>
    </row>
    <row r="76" spans="1:15" s="2463" customFormat="1" ht="12.75">
      <c r="A76" s="2531"/>
      <c r="B76" s="2533"/>
      <c r="C76" s="2531"/>
      <c r="D76" s="2566"/>
      <c r="E76" s="2566"/>
      <c r="F76" s="2566"/>
      <c r="G76" s="2566"/>
      <c r="H76" s="2566"/>
      <c r="I76" s="2579"/>
      <c r="J76" s="2579"/>
      <c r="K76" s="2579"/>
      <c r="L76" s="2579"/>
      <c r="M76" s="2579"/>
      <c r="N76" s="2579"/>
      <c r="O76" s="2579"/>
    </row>
    <row r="77" spans="1:15" s="2463" customFormat="1" ht="12.75">
      <c r="A77" s="2531"/>
      <c r="B77" s="2533"/>
      <c r="C77" s="2531"/>
      <c r="D77" s="2566"/>
      <c r="E77" s="2566"/>
      <c r="F77" s="2566"/>
      <c r="G77" s="2566"/>
      <c r="H77" s="2566"/>
      <c r="I77" s="2579"/>
      <c r="J77" s="2579"/>
      <c r="K77" s="2579"/>
      <c r="L77" s="2579"/>
      <c r="M77" s="2579"/>
      <c r="N77" s="2579"/>
      <c r="O77" s="2579"/>
    </row>
    <row r="78" spans="1:15" s="2463" customFormat="1" ht="12.75">
      <c r="A78" s="2531"/>
      <c r="B78" s="2533"/>
      <c r="C78" s="2531"/>
      <c r="D78" s="2566"/>
      <c r="E78" s="2566"/>
      <c r="F78" s="2566"/>
      <c r="G78" s="2566"/>
      <c r="H78" s="2566"/>
      <c r="I78" s="2579"/>
      <c r="J78" s="2579"/>
      <c r="K78" s="2579"/>
      <c r="L78" s="2579"/>
      <c r="M78" s="2579"/>
      <c r="N78" s="2579"/>
      <c r="O78" s="2579"/>
    </row>
    <row r="79" spans="1:15" s="2463" customFormat="1" ht="12.75">
      <c r="A79" s="2531"/>
      <c r="B79" s="2533"/>
      <c r="C79" s="2531"/>
      <c r="D79" s="2566"/>
      <c r="E79" s="2566"/>
      <c r="F79" s="2566"/>
      <c r="G79" s="2566"/>
      <c r="H79" s="2566"/>
      <c r="I79" s="2579"/>
      <c r="J79" s="2579"/>
      <c r="K79" s="2579"/>
      <c r="L79" s="2579"/>
      <c r="M79" s="2579"/>
      <c r="N79" s="2579"/>
      <c r="O79" s="2579"/>
    </row>
    <row r="80" spans="1:15" s="2463" customFormat="1" ht="12.75">
      <c r="A80" s="2531"/>
      <c r="B80" s="2533"/>
      <c r="C80" s="2531"/>
      <c r="D80" s="2566"/>
      <c r="E80" s="2566"/>
      <c r="F80" s="2566"/>
      <c r="G80" s="2566"/>
      <c r="H80" s="2566"/>
      <c r="I80" s="2579"/>
      <c r="J80" s="2579"/>
      <c r="K80" s="2579"/>
      <c r="L80" s="2579"/>
      <c r="M80" s="2579"/>
      <c r="N80" s="2579"/>
      <c r="O80" s="2579"/>
    </row>
    <row r="81" spans="1:15" s="2463" customFormat="1" ht="12.75">
      <c r="A81" s="2531"/>
      <c r="B81" s="2533"/>
      <c r="C81" s="2531"/>
      <c r="D81" s="2566"/>
      <c r="E81" s="2566"/>
      <c r="F81" s="2566"/>
      <c r="G81" s="2566"/>
      <c r="H81" s="2566"/>
      <c r="I81" s="2579"/>
      <c r="J81" s="2579"/>
      <c r="K81" s="2579"/>
      <c r="L81" s="2579"/>
      <c r="M81" s="2579"/>
      <c r="N81" s="2579"/>
      <c r="O81" s="2579"/>
    </row>
    <row r="82" spans="1:15" s="2463" customFormat="1" ht="12.75">
      <c r="A82" s="2531"/>
      <c r="B82" s="2533"/>
      <c r="C82" s="2531"/>
      <c r="D82" s="2566"/>
      <c r="E82" s="2566"/>
      <c r="F82" s="2566"/>
      <c r="G82" s="2566"/>
      <c r="H82" s="2566"/>
      <c r="I82" s="2579"/>
      <c r="J82" s="2579"/>
      <c r="K82" s="2579"/>
      <c r="L82" s="2579"/>
      <c r="M82" s="2579"/>
      <c r="N82" s="2579"/>
      <c r="O82" s="2579"/>
    </row>
    <row r="83" spans="1:15" s="2463" customFormat="1" ht="12.75">
      <c r="A83" s="2531"/>
      <c r="B83" s="2533"/>
      <c r="C83" s="2531"/>
      <c r="D83" s="2566"/>
      <c r="E83" s="2566"/>
      <c r="F83" s="2566"/>
      <c r="G83" s="2566"/>
      <c r="H83" s="2566"/>
      <c r="I83" s="2579"/>
      <c r="J83" s="2579"/>
      <c r="K83" s="2579"/>
      <c r="L83" s="2579"/>
      <c r="M83" s="2579"/>
      <c r="N83" s="2579"/>
      <c r="O83" s="2579"/>
    </row>
    <row r="84" spans="1:15" s="2463" customFormat="1" ht="12.75">
      <c r="A84" s="2531"/>
      <c r="B84" s="2533"/>
      <c r="C84" s="2531"/>
      <c r="D84" s="2566"/>
      <c r="E84" s="2566"/>
      <c r="F84" s="2566"/>
      <c r="G84" s="2566"/>
      <c r="H84" s="2566"/>
      <c r="I84" s="2579"/>
      <c r="J84" s="2579"/>
      <c r="K84" s="2579"/>
      <c r="L84" s="2579"/>
      <c r="M84" s="2579"/>
      <c r="N84" s="2579"/>
      <c r="O84" s="2579"/>
    </row>
    <row r="85" spans="1:15" s="2463" customFormat="1" ht="12.75">
      <c r="A85" s="2531"/>
      <c r="B85" s="2533"/>
      <c r="C85" s="2531"/>
      <c r="D85" s="2566"/>
      <c r="E85" s="2566"/>
      <c r="F85" s="2566"/>
      <c r="G85" s="2566"/>
      <c r="H85" s="2566"/>
      <c r="I85" s="2579"/>
      <c r="J85" s="2579"/>
      <c r="K85" s="2579"/>
      <c r="L85" s="2579"/>
      <c r="M85" s="2579"/>
      <c r="N85" s="2579"/>
      <c r="O85" s="2579"/>
    </row>
    <row r="86" spans="1:15" s="2463" customFormat="1" ht="12.75">
      <c r="A86" s="2531"/>
      <c r="B86" s="2533"/>
      <c r="C86" s="2531"/>
      <c r="D86" s="2566"/>
      <c r="E86" s="2566"/>
      <c r="F86" s="2566"/>
      <c r="G86" s="2566"/>
      <c r="H86" s="2566"/>
      <c r="I86" s="2579"/>
      <c r="J86" s="2579"/>
      <c r="K86" s="2579"/>
      <c r="L86" s="2579"/>
      <c r="M86" s="2579"/>
      <c r="N86" s="2579"/>
      <c r="O86" s="2579"/>
    </row>
    <row r="87" spans="1:15" s="2463" customFormat="1" ht="12.75">
      <c r="A87" s="2531"/>
      <c r="B87" s="2533"/>
      <c r="C87" s="2531"/>
      <c r="D87" s="2566"/>
      <c r="E87" s="2566"/>
      <c r="F87" s="2566"/>
      <c r="G87" s="2566"/>
      <c r="H87" s="2566"/>
      <c r="I87" s="2579"/>
      <c r="J87" s="2579"/>
      <c r="K87" s="2579"/>
      <c r="L87" s="2579"/>
      <c r="M87" s="2579"/>
      <c r="N87" s="2579"/>
      <c r="O87" s="2579"/>
    </row>
    <row r="88" spans="1:15" s="2463" customFormat="1" ht="12.75">
      <c r="A88" s="2531"/>
      <c r="B88" s="2533"/>
      <c r="C88" s="2531"/>
      <c r="D88" s="2566"/>
      <c r="E88" s="2566"/>
      <c r="F88" s="2566"/>
      <c r="G88" s="2566"/>
      <c r="H88" s="2566"/>
      <c r="I88" s="2579"/>
      <c r="J88" s="2579"/>
      <c r="K88" s="2579"/>
      <c r="L88" s="2579"/>
      <c r="M88" s="2579"/>
      <c r="N88" s="2579"/>
      <c r="O88" s="2579"/>
    </row>
    <row r="89" spans="1:15" s="2463" customFormat="1" ht="12.75">
      <c r="A89" s="2531"/>
      <c r="B89" s="2533"/>
      <c r="C89" s="2531"/>
      <c r="D89" s="2566"/>
      <c r="E89" s="2566"/>
      <c r="F89" s="2566"/>
      <c r="G89" s="2566"/>
      <c r="H89" s="2566"/>
      <c r="I89" s="2579"/>
      <c r="J89" s="2579"/>
      <c r="K89" s="2579"/>
      <c r="L89" s="2579"/>
      <c r="M89" s="2579"/>
      <c r="N89" s="2579"/>
      <c r="O89" s="2579"/>
    </row>
    <row r="90" spans="1:15" s="2463" customFormat="1" ht="12.75">
      <c r="A90" s="2531"/>
      <c r="B90" s="2533"/>
      <c r="C90" s="2531"/>
      <c r="D90" s="2566"/>
      <c r="E90" s="2566"/>
      <c r="F90" s="2566"/>
      <c r="G90" s="2566"/>
      <c r="H90" s="2566"/>
      <c r="I90" s="2579"/>
      <c r="J90" s="2579"/>
      <c r="K90" s="2579"/>
      <c r="L90" s="2579"/>
      <c r="M90" s="2579"/>
      <c r="N90" s="2579"/>
      <c r="O90" s="2579"/>
    </row>
    <row r="91" spans="1:15" s="2463" customFormat="1" ht="12.75">
      <c r="A91" s="4876"/>
      <c r="B91" s="4876"/>
      <c r="C91" s="4876"/>
      <c r="D91" s="4876"/>
      <c r="E91" s="4876"/>
      <c r="F91" s="4876"/>
      <c r="G91" s="4876"/>
      <c r="H91" s="4876"/>
      <c r="I91" s="2579"/>
      <c r="J91" s="2579"/>
      <c r="K91" s="2579"/>
      <c r="L91" s="2579"/>
      <c r="M91" s="2579"/>
      <c r="N91" s="2579"/>
      <c r="O91" s="2579"/>
    </row>
    <row r="92" spans="1:15" s="2463" customFormat="1" ht="12.75">
      <c r="A92" s="4877"/>
      <c r="B92" s="4877"/>
      <c r="C92" s="4877"/>
      <c r="D92" s="4877"/>
      <c r="E92" s="4877"/>
      <c r="F92" s="4877"/>
      <c r="G92" s="4877"/>
      <c r="H92" s="4877"/>
      <c r="I92" s="2579"/>
      <c r="J92" s="2579"/>
      <c r="K92" s="2579"/>
      <c r="L92" s="2579"/>
      <c r="M92" s="2579"/>
      <c r="N92" s="2579"/>
      <c r="O92" s="2579"/>
    </row>
    <row r="93" spans="1:15" s="2463" customFormat="1">
      <c r="A93" s="2529"/>
      <c r="B93" s="2529"/>
      <c r="C93" s="2529"/>
      <c r="D93" s="2529"/>
      <c r="E93" s="2529"/>
      <c r="F93" s="2529"/>
      <c r="G93" s="2529"/>
      <c r="H93" s="2529"/>
      <c r="I93" s="2579"/>
      <c r="J93" s="2579"/>
      <c r="K93" s="2579"/>
      <c r="L93" s="2579"/>
      <c r="M93" s="2579"/>
      <c r="N93" s="2579"/>
      <c r="O93" s="2579"/>
    </row>
    <row r="94" spans="1:15" s="2463" customFormat="1">
      <c r="A94" s="2529"/>
      <c r="B94" s="2529"/>
      <c r="C94" s="2529"/>
      <c r="D94" s="2529"/>
      <c r="E94" s="2529"/>
      <c r="F94" s="2529"/>
      <c r="G94" s="2529"/>
      <c r="H94" s="2529"/>
      <c r="I94" s="2579"/>
      <c r="J94" s="2579"/>
      <c r="K94" s="2579"/>
      <c r="L94" s="2579"/>
      <c r="M94" s="2579"/>
      <c r="N94" s="2579"/>
      <c r="O94" s="2579"/>
    </row>
    <row r="95" spans="1:15" s="2463" customFormat="1">
      <c r="A95" s="2568"/>
      <c r="B95" s="2567"/>
      <c r="C95" s="2529"/>
      <c r="D95" s="2566"/>
      <c r="E95" s="2566"/>
      <c r="F95" s="2566"/>
      <c r="G95" s="2566"/>
      <c r="H95" s="2566"/>
      <c r="I95" s="2579"/>
      <c r="J95" s="2579"/>
      <c r="K95" s="2579"/>
      <c r="L95" s="2579"/>
      <c r="M95" s="2579"/>
      <c r="N95" s="2579"/>
      <c r="O95" s="2579"/>
    </row>
    <row r="96" spans="1:15" s="2463" customFormat="1" ht="12.75">
      <c r="A96" s="1269"/>
      <c r="B96" s="1269"/>
      <c r="C96" s="2542"/>
      <c r="D96" s="2541"/>
      <c r="E96" s="2561"/>
      <c r="F96" s="2540"/>
      <c r="G96" s="2565"/>
      <c r="H96" s="2561"/>
      <c r="I96" s="2579"/>
      <c r="J96" s="2579"/>
      <c r="K96" s="2579"/>
      <c r="L96" s="2579"/>
      <c r="M96" s="2579"/>
      <c r="N96" s="2579"/>
      <c r="O96" s="2579"/>
    </row>
    <row r="97" spans="1:15" s="2463" customFormat="1" ht="23.25">
      <c r="A97" s="2564"/>
      <c r="B97" s="2564"/>
      <c r="C97" s="2563"/>
      <c r="D97" s="2541"/>
      <c r="E97" s="2561"/>
      <c r="F97" s="2540"/>
      <c r="G97" s="2562"/>
      <c r="H97" s="2561"/>
      <c r="I97" s="2579"/>
      <c r="J97" s="2579"/>
      <c r="K97" s="2579"/>
      <c r="L97" s="2579"/>
      <c r="M97" s="2579"/>
      <c r="N97" s="2579"/>
      <c r="O97" s="2579"/>
    </row>
    <row r="98" spans="1:15" s="2463" customFormat="1" ht="12.75">
      <c r="A98" s="4879"/>
      <c r="B98" s="4879"/>
      <c r="C98" s="2559"/>
      <c r="D98" s="2560"/>
      <c r="E98" s="4880"/>
      <c r="F98" s="4880"/>
      <c r="G98" s="4880"/>
      <c r="H98" s="2557"/>
      <c r="I98" s="2579"/>
      <c r="J98" s="2579"/>
      <c r="K98" s="2579"/>
      <c r="L98" s="2579"/>
      <c r="M98" s="2579"/>
      <c r="N98" s="2579"/>
      <c r="O98" s="2579"/>
    </row>
    <row r="99" spans="1:15" s="2463" customFormat="1" ht="12.75">
      <c r="A99" s="4879"/>
      <c r="B99" s="4879"/>
      <c r="C99" s="2559"/>
      <c r="D99" s="2558"/>
      <c r="E99" s="2558"/>
      <c r="F99" s="2558"/>
      <c r="G99" s="2558"/>
      <c r="H99" s="2558"/>
      <c r="I99" s="2579"/>
      <c r="J99" s="2579"/>
      <c r="K99" s="2579"/>
      <c r="L99" s="2579"/>
      <c r="M99" s="2579"/>
      <c r="N99" s="2579"/>
      <c r="O99" s="2579"/>
    </row>
    <row r="100" spans="1:15" s="2463" customFormat="1" ht="12.75">
      <c r="A100" s="4879"/>
      <c r="B100" s="4879"/>
      <c r="C100" s="2557"/>
      <c r="D100" s="2555"/>
      <c r="E100" s="2555"/>
      <c r="F100" s="2555"/>
      <c r="G100" s="2556"/>
      <c r="H100" s="2555"/>
      <c r="I100" s="2579"/>
      <c r="J100" s="2579"/>
      <c r="K100" s="2579"/>
      <c r="L100" s="2579"/>
      <c r="M100" s="2579"/>
      <c r="N100" s="2579"/>
      <c r="O100" s="2579"/>
    </row>
    <row r="101" spans="1:15" s="2463" customFormat="1" ht="12.75">
      <c r="A101" s="2554"/>
      <c r="B101" s="2553"/>
      <c r="C101" s="2552"/>
      <c r="D101" s="2551"/>
      <c r="E101" s="2551"/>
      <c r="F101" s="2551"/>
      <c r="G101" s="2551"/>
      <c r="H101" s="2551"/>
      <c r="I101" s="2579"/>
      <c r="J101" s="2579"/>
      <c r="K101" s="2579"/>
      <c r="L101" s="2579"/>
      <c r="M101" s="2579"/>
      <c r="N101" s="2579"/>
      <c r="O101" s="2579"/>
    </row>
    <row r="102" spans="1:15" s="2463" customFormat="1" ht="12.75">
      <c r="A102" s="2549"/>
      <c r="B102" s="2549"/>
      <c r="C102" s="2545"/>
      <c r="D102" s="2548"/>
      <c r="E102" s="2548"/>
      <c r="F102" s="2540"/>
      <c r="G102" s="2548"/>
      <c r="H102" s="2548"/>
      <c r="I102" s="2579"/>
      <c r="J102" s="2579"/>
      <c r="K102" s="2579"/>
      <c r="L102" s="2579"/>
      <c r="M102" s="2579"/>
      <c r="N102" s="2579"/>
      <c r="O102" s="2579"/>
    </row>
    <row r="103" spans="1:15" s="2463" customFormat="1" ht="12.75">
      <c r="A103" s="2549"/>
      <c r="B103" s="2549"/>
      <c r="C103" s="2545"/>
      <c r="D103" s="2548"/>
      <c r="E103" s="2548"/>
      <c r="F103" s="2540"/>
      <c r="G103" s="2548"/>
      <c r="H103" s="2548"/>
      <c r="I103" s="2579"/>
      <c r="J103" s="2579"/>
      <c r="K103" s="2579"/>
      <c r="L103" s="2579"/>
      <c r="M103" s="2579"/>
      <c r="N103" s="2579"/>
      <c r="O103" s="2579"/>
    </row>
    <row r="104" spans="1:15" s="2463" customFormat="1" ht="12.75">
      <c r="A104" s="2546"/>
      <c r="B104" s="1269"/>
      <c r="C104" s="2545"/>
      <c r="D104" s="2541"/>
      <c r="E104" s="2544"/>
      <c r="F104" s="2540"/>
      <c r="G104" s="2544"/>
      <c r="H104" s="2544"/>
      <c r="I104" s="2579"/>
      <c r="J104" s="2579"/>
      <c r="K104" s="2579"/>
      <c r="L104" s="2579"/>
      <c r="M104" s="2579"/>
      <c r="N104" s="2579"/>
      <c r="O104" s="2579"/>
    </row>
    <row r="105" spans="1:15" s="2463" customFormat="1" ht="12.75">
      <c r="A105" s="2549"/>
      <c r="B105" s="2549"/>
      <c r="C105" s="2545"/>
      <c r="D105" s="2541"/>
      <c r="E105" s="2544"/>
      <c r="F105" s="2540"/>
      <c r="G105" s="2544"/>
      <c r="H105" s="2544"/>
      <c r="I105" s="2579"/>
      <c r="J105" s="2579"/>
      <c r="K105" s="2579"/>
      <c r="L105" s="2579"/>
      <c r="M105" s="2579"/>
      <c r="N105" s="2579"/>
      <c r="O105" s="2579"/>
    </row>
    <row r="106" spans="1:15" s="2463" customFormat="1" ht="12.75">
      <c r="A106" s="2546"/>
      <c r="B106" s="1269"/>
      <c r="C106" s="2542"/>
      <c r="D106" s="2541"/>
      <c r="E106" s="2544"/>
      <c r="F106" s="2540"/>
      <c r="G106" s="2544"/>
      <c r="H106" s="2544"/>
      <c r="I106" s="2579"/>
      <c r="J106" s="2579"/>
      <c r="K106" s="2579"/>
      <c r="L106" s="2579"/>
      <c r="M106" s="2579"/>
      <c r="N106" s="2579"/>
      <c r="O106" s="2579"/>
    </row>
    <row r="107" spans="1:15" s="2463" customFormat="1" ht="12.75">
      <c r="A107" s="2549"/>
      <c r="B107" s="2549"/>
      <c r="C107" s="2542"/>
      <c r="D107" s="2541"/>
      <c r="E107" s="2544"/>
      <c r="F107" s="2540"/>
      <c r="G107" s="2544"/>
      <c r="H107" s="2544"/>
      <c r="I107" s="2579"/>
      <c r="J107" s="2579"/>
      <c r="K107" s="2579"/>
      <c r="L107" s="2579"/>
      <c r="M107" s="2579"/>
      <c r="N107" s="2579"/>
      <c r="O107" s="2579"/>
    </row>
    <row r="108" spans="1:15" s="2463" customFormat="1" ht="12.75">
      <c r="A108" s="2547"/>
      <c r="B108" s="2546"/>
      <c r="C108" s="2545"/>
      <c r="D108" s="2541"/>
      <c r="E108" s="2544"/>
      <c r="F108" s="2540"/>
      <c r="G108" s="2544"/>
      <c r="H108" s="2544"/>
      <c r="I108" s="2579"/>
      <c r="J108" s="2579"/>
      <c r="K108" s="2579"/>
      <c r="L108" s="2579"/>
      <c r="M108" s="2579"/>
      <c r="N108" s="2579"/>
      <c r="O108" s="2579"/>
    </row>
    <row r="109" spans="1:15" s="2463" customFormat="1" ht="12.75">
      <c r="A109" s="2543"/>
      <c r="B109" s="2543"/>
      <c r="C109" s="2542"/>
      <c r="D109" s="2541"/>
      <c r="E109" s="2539"/>
      <c r="F109" s="2540"/>
      <c r="G109" s="2539"/>
      <c r="H109" s="2539"/>
      <c r="I109" s="2579"/>
      <c r="J109" s="2579"/>
      <c r="K109" s="2579"/>
      <c r="L109" s="2579"/>
      <c r="M109" s="2579"/>
      <c r="N109" s="2579"/>
      <c r="O109" s="2579"/>
    </row>
    <row r="110" spans="1:15" s="2463" customFormat="1" ht="12.75">
      <c r="A110" s="2538"/>
      <c r="B110" s="2538"/>
      <c r="C110" s="2537"/>
      <c r="D110" s="2536"/>
      <c r="E110" s="2536"/>
      <c r="F110" s="2536"/>
      <c r="G110" s="2536"/>
      <c r="H110" s="2536"/>
      <c r="I110" s="2579"/>
      <c r="J110" s="2579"/>
      <c r="K110" s="2579"/>
      <c r="L110" s="2579"/>
      <c r="M110" s="2579"/>
      <c r="N110" s="2579"/>
      <c r="O110" s="2579"/>
    </row>
    <row r="111" spans="1:15" s="2463" customFormat="1" ht="12.75">
      <c r="A111" s="2538"/>
      <c r="B111" s="2538"/>
      <c r="C111" s="2537"/>
      <c r="D111" s="2536"/>
      <c r="E111" s="2536"/>
      <c r="F111" s="2536"/>
      <c r="G111" s="2536"/>
      <c r="H111" s="2536"/>
      <c r="I111" s="2579"/>
      <c r="J111" s="2579"/>
      <c r="K111" s="2579"/>
      <c r="L111" s="2579"/>
      <c r="M111" s="2579"/>
      <c r="N111" s="2579"/>
      <c r="O111" s="2579"/>
    </row>
    <row r="112" spans="1:15" s="2463" customFormat="1">
      <c r="A112" s="1269"/>
      <c r="B112" s="2529"/>
      <c r="C112" s="2535"/>
      <c r="D112" s="2529"/>
      <c r="E112" s="4877"/>
      <c r="F112" s="4877"/>
      <c r="G112" s="1269"/>
      <c r="H112" s="2529"/>
      <c r="I112" s="2579"/>
      <c r="J112" s="2579"/>
      <c r="K112" s="2579"/>
      <c r="L112" s="2579"/>
      <c r="M112" s="2579"/>
      <c r="N112" s="2579"/>
      <c r="O112" s="2579"/>
    </row>
    <row r="113" spans="1:15" s="2463" customFormat="1">
      <c r="A113" s="2529"/>
      <c r="B113" s="1269"/>
      <c r="C113" s="2535"/>
      <c r="D113" s="1269"/>
      <c r="E113" s="1269"/>
      <c r="F113" s="1269"/>
      <c r="G113" s="1269"/>
      <c r="H113" s="2529"/>
      <c r="I113" s="2579"/>
      <c r="J113" s="2579"/>
      <c r="K113" s="2579"/>
      <c r="L113" s="2579"/>
      <c r="M113" s="2579"/>
      <c r="N113" s="2579"/>
      <c r="O113" s="2579"/>
    </row>
    <row r="114" spans="1:15" s="2463" customFormat="1" ht="12.75">
      <c r="A114" s="2534"/>
      <c r="B114" s="1269"/>
      <c r="C114" s="4881"/>
      <c r="D114" s="4881"/>
      <c r="E114" s="4876"/>
      <c r="F114" s="4876"/>
      <c r="G114" s="4876"/>
      <c r="H114" s="4876"/>
      <c r="I114" s="2579"/>
      <c r="J114" s="2579"/>
      <c r="K114" s="2579"/>
      <c r="L114" s="2579"/>
      <c r="M114" s="2579"/>
      <c r="N114" s="2579"/>
      <c r="O114" s="2579"/>
    </row>
    <row r="115" spans="1:15" s="2463" customFormat="1" ht="12.75">
      <c r="A115" s="2531"/>
      <c r="B115" s="2533"/>
      <c r="C115" s="4874"/>
      <c r="D115" s="4874"/>
      <c r="E115" s="4875"/>
      <c r="F115" s="4875"/>
      <c r="G115" s="4875"/>
      <c r="H115" s="4875"/>
      <c r="I115" s="2579"/>
      <c r="J115" s="2579"/>
      <c r="K115" s="2579"/>
      <c r="L115" s="2579"/>
      <c r="M115" s="2579"/>
      <c r="N115" s="2579"/>
      <c r="O115" s="2579"/>
    </row>
    <row r="116" spans="1:15" s="2463" customFormat="1" ht="12.75">
      <c r="A116" s="2531"/>
      <c r="B116" s="2533"/>
      <c r="C116" s="2531"/>
      <c r="D116" s="2566"/>
      <c r="E116" s="2566"/>
      <c r="F116" s="2566"/>
      <c r="G116" s="2566"/>
      <c r="H116" s="2566"/>
      <c r="I116" s="2579"/>
      <c r="J116" s="2579"/>
      <c r="K116" s="2579"/>
      <c r="L116" s="2579"/>
      <c r="M116" s="2579"/>
      <c r="N116" s="2579"/>
      <c r="O116" s="2579"/>
    </row>
    <row r="117" spans="1:15" s="2463" customFormat="1" ht="12.75">
      <c r="A117" s="2531"/>
      <c r="B117" s="2533"/>
      <c r="C117" s="2531"/>
      <c r="D117" s="2566"/>
      <c r="E117" s="2566"/>
      <c r="F117" s="2566"/>
      <c r="G117" s="2566"/>
      <c r="H117" s="2566"/>
      <c r="I117" s="2579"/>
      <c r="J117" s="2579"/>
      <c r="K117" s="2579"/>
      <c r="L117" s="2579"/>
      <c r="M117" s="2579"/>
      <c r="N117" s="2579"/>
      <c r="O117" s="2579"/>
    </row>
    <row r="118" spans="1:15" s="2463" customFormat="1" ht="12.75">
      <c r="A118" s="2531"/>
      <c r="B118" s="2533"/>
      <c r="C118" s="2531"/>
      <c r="D118" s="2566"/>
      <c r="E118" s="2566"/>
      <c r="F118" s="2566"/>
      <c r="G118" s="2566"/>
      <c r="H118" s="2566"/>
      <c r="I118" s="2579"/>
      <c r="J118" s="2579"/>
      <c r="K118" s="2579"/>
      <c r="L118" s="2579"/>
      <c r="M118" s="2579"/>
      <c r="N118" s="2579"/>
      <c r="O118" s="2579"/>
    </row>
    <row r="119" spans="1:15" s="2463" customFormat="1" ht="12.75">
      <c r="A119" s="2531"/>
      <c r="B119" s="2533"/>
      <c r="C119" s="2531"/>
      <c r="D119" s="2566"/>
      <c r="E119" s="2566"/>
      <c r="F119" s="2566"/>
      <c r="G119" s="2566"/>
      <c r="H119" s="2566"/>
      <c r="I119" s="2579"/>
      <c r="J119" s="2579"/>
      <c r="K119" s="2579"/>
      <c r="L119" s="2579"/>
      <c r="M119" s="2579"/>
      <c r="N119" s="2579"/>
      <c r="O119" s="2579"/>
    </row>
    <row r="120" spans="1:15" s="2463" customFormat="1" ht="12.75">
      <c r="A120" s="2531"/>
      <c r="B120" s="2533"/>
      <c r="C120" s="2531"/>
      <c r="D120" s="2566"/>
      <c r="E120" s="2566"/>
      <c r="F120" s="2566"/>
      <c r="G120" s="2566"/>
      <c r="H120" s="2566"/>
      <c r="I120" s="2579"/>
      <c r="J120" s="2579"/>
      <c r="K120" s="2579"/>
      <c r="L120" s="2579"/>
      <c r="M120" s="2579"/>
      <c r="N120" s="2579"/>
      <c r="O120" s="2579"/>
    </row>
    <row r="121" spans="1:15" s="2463" customFormat="1" ht="12.75">
      <c r="A121" s="2531"/>
      <c r="B121" s="2533"/>
      <c r="C121" s="2531"/>
      <c r="D121" s="2566"/>
      <c r="E121" s="2566"/>
      <c r="F121" s="2566"/>
      <c r="G121" s="2566"/>
      <c r="H121" s="2566"/>
      <c r="I121" s="2579"/>
      <c r="J121" s="2579"/>
      <c r="K121" s="2579"/>
      <c r="L121" s="2579"/>
      <c r="M121" s="2579"/>
      <c r="N121" s="2579"/>
      <c r="O121" s="2579"/>
    </row>
    <row r="122" spans="1:15" s="2463" customFormat="1" ht="12.75">
      <c r="A122" s="2531"/>
      <c r="B122" s="2533"/>
      <c r="C122" s="2531"/>
      <c r="D122" s="2566"/>
      <c r="E122" s="2566"/>
      <c r="F122" s="2566"/>
      <c r="G122" s="2566"/>
      <c r="H122" s="2566"/>
      <c r="I122" s="2579"/>
      <c r="J122" s="2579"/>
      <c r="K122" s="2579"/>
      <c r="L122" s="2579"/>
      <c r="M122" s="2579"/>
      <c r="N122" s="2579"/>
      <c r="O122" s="2579"/>
    </row>
    <row r="123" spans="1:15" s="2463" customFormat="1" ht="12.75">
      <c r="A123" s="2531"/>
      <c r="B123" s="2533"/>
      <c r="C123" s="2531"/>
      <c r="D123" s="2566"/>
      <c r="E123" s="2566"/>
      <c r="F123" s="2566"/>
      <c r="G123" s="2566"/>
      <c r="H123" s="2566"/>
      <c r="I123" s="2579"/>
      <c r="J123" s="2579"/>
      <c r="K123" s="2579"/>
      <c r="L123" s="2579"/>
      <c r="M123" s="2579"/>
      <c r="N123" s="2579"/>
      <c r="O123" s="2579"/>
    </row>
    <row r="124" spans="1:15" s="2463" customFormat="1" ht="12.75">
      <c r="A124" s="2531"/>
      <c r="B124" s="2533"/>
      <c r="C124" s="2531"/>
      <c r="D124" s="2566"/>
      <c r="E124" s="2566"/>
      <c r="F124" s="2566"/>
      <c r="G124" s="2566"/>
      <c r="H124" s="2566"/>
      <c r="I124" s="2579"/>
      <c r="J124" s="2579"/>
      <c r="K124" s="2579"/>
      <c r="L124" s="2579"/>
      <c r="M124" s="2579"/>
      <c r="N124" s="2579"/>
      <c r="O124" s="2579"/>
    </row>
    <row r="125" spans="1:15" s="2463" customFormat="1" ht="12.75">
      <c r="A125" s="2531"/>
      <c r="B125" s="2533"/>
      <c r="C125" s="2531"/>
      <c r="D125" s="2566"/>
      <c r="E125" s="2566"/>
      <c r="F125" s="2566"/>
      <c r="G125" s="2566"/>
      <c r="H125" s="2566"/>
      <c r="I125" s="2579"/>
      <c r="J125" s="2579"/>
      <c r="K125" s="2579"/>
      <c r="L125" s="2579"/>
      <c r="M125" s="2579"/>
      <c r="N125" s="2579"/>
      <c r="O125" s="2579"/>
    </row>
    <row r="126" spans="1:15" s="2463" customFormat="1" ht="12.75">
      <c r="A126" s="2531"/>
      <c r="B126" s="2533"/>
      <c r="C126" s="2531"/>
      <c r="D126" s="2566"/>
      <c r="E126" s="2566"/>
      <c r="F126" s="2566"/>
      <c r="G126" s="2566"/>
      <c r="H126" s="2566"/>
      <c r="I126" s="2579"/>
      <c r="J126" s="2579"/>
      <c r="K126" s="2579"/>
      <c r="L126" s="2579"/>
      <c r="M126" s="2579"/>
      <c r="N126" s="2579"/>
      <c r="O126" s="2579"/>
    </row>
    <row r="127" spans="1:15" s="2463" customFormat="1" ht="12.75">
      <c r="A127" s="2531"/>
      <c r="B127" s="2533"/>
      <c r="C127" s="2531"/>
      <c r="D127" s="2566"/>
      <c r="E127" s="2566"/>
      <c r="F127" s="2566"/>
      <c r="G127" s="2566"/>
      <c r="H127" s="2566"/>
      <c r="I127" s="2579"/>
      <c r="J127" s="2579"/>
      <c r="K127" s="2579"/>
      <c r="L127" s="2579"/>
      <c r="M127" s="2579"/>
      <c r="N127" s="2579"/>
      <c r="O127" s="2579"/>
    </row>
    <row r="128" spans="1:15" s="2463" customFormat="1" ht="12.75">
      <c r="A128" s="2531"/>
      <c r="B128" s="2533"/>
      <c r="C128" s="2531"/>
      <c r="D128" s="2566"/>
      <c r="E128" s="2566"/>
      <c r="F128" s="2566"/>
      <c r="G128" s="2566"/>
      <c r="H128" s="2566"/>
      <c r="I128" s="2579"/>
      <c r="J128" s="2579"/>
      <c r="K128" s="2579"/>
      <c r="L128" s="2579"/>
      <c r="M128" s="2579"/>
      <c r="N128" s="2579"/>
      <c r="O128" s="2579"/>
    </row>
    <row r="129" spans="1:15" s="2463" customFormat="1" ht="12.75">
      <c r="A129" s="2531"/>
      <c r="B129" s="2533"/>
      <c r="C129" s="2531"/>
      <c r="D129" s="2566"/>
      <c r="E129" s="2566"/>
      <c r="F129" s="2566"/>
      <c r="G129" s="2566"/>
      <c r="H129" s="2566"/>
      <c r="I129" s="2579"/>
      <c r="J129" s="2579"/>
      <c r="K129" s="2579"/>
      <c r="L129" s="2579"/>
      <c r="M129" s="2579"/>
      <c r="N129" s="2579"/>
      <c r="O129" s="2579"/>
    </row>
    <row r="130" spans="1:15" s="2463" customFormat="1" ht="12.75">
      <c r="A130" s="2531"/>
      <c r="B130" s="2533"/>
      <c r="C130" s="2531"/>
      <c r="D130" s="2566"/>
      <c r="E130" s="2566"/>
      <c r="F130" s="2566"/>
      <c r="G130" s="2566"/>
      <c r="H130" s="2566"/>
      <c r="I130" s="2579"/>
      <c r="J130" s="2579"/>
      <c r="K130" s="2579"/>
      <c r="L130" s="2579"/>
      <c r="M130" s="2579"/>
      <c r="N130" s="2579"/>
      <c r="O130" s="2579"/>
    </row>
    <row r="131" spans="1:15" s="2463" customFormat="1" ht="12.75">
      <c r="A131" s="2531"/>
      <c r="B131" s="2533"/>
      <c r="C131" s="2531"/>
      <c r="D131" s="2566"/>
      <c r="E131" s="2566"/>
      <c r="F131" s="2566"/>
      <c r="G131" s="2566"/>
      <c r="H131" s="2566"/>
      <c r="I131" s="2579"/>
      <c r="J131" s="2579"/>
      <c r="K131" s="2579"/>
      <c r="L131" s="2579"/>
      <c r="M131" s="2579"/>
      <c r="N131" s="2579"/>
      <c r="O131" s="2579"/>
    </row>
    <row r="132" spans="1:15" s="2463" customFormat="1" ht="12.75">
      <c r="A132" s="4876"/>
      <c r="B132" s="4876"/>
      <c r="C132" s="4876"/>
      <c r="D132" s="4876"/>
      <c r="E132" s="4876"/>
      <c r="F132" s="4876"/>
      <c r="G132" s="4876"/>
      <c r="H132" s="4876"/>
      <c r="I132" s="2579"/>
      <c r="J132" s="2579"/>
      <c r="K132" s="2579"/>
      <c r="L132" s="2579"/>
      <c r="M132" s="2579"/>
      <c r="N132" s="2579"/>
      <c r="O132" s="2579"/>
    </row>
    <row r="133" spans="1:15" s="2463" customFormat="1" ht="12.75">
      <c r="A133" s="4877"/>
      <c r="B133" s="4877"/>
      <c r="C133" s="4877"/>
      <c r="D133" s="4877"/>
      <c r="E133" s="4877"/>
      <c r="F133" s="4877"/>
      <c r="G133" s="4877"/>
      <c r="H133" s="4877"/>
      <c r="I133" s="2579"/>
      <c r="J133" s="2579"/>
      <c r="K133" s="2579"/>
      <c r="L133" s="2579"/>
      <c r="M133" s="2579"/>
      <c r="N133" s="2579"/>
      <c r="O133" s="2579"/>
    </row>
    <row r="134" spans="1:15" s="2463" customFormat="1">
      <c r="A134" s="2529"/>
      <c r="B134" s="2529"/>
      <c r="C134" s="2529"/>
      <c r="D134" s="2529"/>
      <c r="E134" s="2529"/>
      <c r="F134" s="2529"/>
      <c r="G134" s="2529"/>
      <c r="H134" s="2529"/>
      <c r="I134" s="2579"/>
      <c r="J134" s="2579"/>
      <c r="K134" s="2579"/>
      <c r="L134" s="2579"/>
      <c r="M134" s="2579"/>
      <c r="N134" s="2579"/>
      <c r="O134" s="2579"/>
    </row>
    <row r="135" spans="1:15" s="2463" customFormat="1">
      <c r="A135" s="2529"/>
      <c r="B135" s="2529"/>
      <c r="C135" s="2529"/>
      <c r="D135" s="2529"/>
      <c r="E135" s="2529"/>
      <c r="F135" s="2529"/>
      <c r="G135" s="2529"/>
      <c r="H135" s="2529"/>
      <c r="I135" s="2579"/>
      <c r="J135" s="2579"/>
      <c r="K135" s="2579"/>
      <c r="L135" s="2579"/>
      <c r="M135" s="2579"/>
      <c r="N135" s="2579"/>
      <c r="O135" s="2579"/>
    </row>
    <row r="136" spans="1:15" s="2463" customFormat="1">
      <c r="A136" s="2529"/>
      <c r="B136" s="2529"/>
      <c r="C136" s="2529"/>
      <c r="D136" s="2529"/>
      <c r="E136" s="2529"/>
      <c r="F136" s="2529"/>
      <c r="G136" s="2529"/>
      <c r="H136" s="2529"/>
      <c r="I136" s="2579"/>
      <c r="J136" s="2579"/>
      <c r="K136" s="2579"/>
      <c r="L136" s="2579"/>
      <c r="M136" s="2579"/>
      <c r="N136" s="2579"/>
      <c r="O136" s="2579"/>
    </row>
    <row r="137" spans="1:15" s="2463" customFormat="1">
      <c r="A137" s="2568"/>
      <c r="B137" s="2567"/>
      <c r="C137" s="2529"/>
      <c r="D137" s="2566"/>
      <c r="E137" s="2566"/>
      <c r="F137" s="2566"/>
      <c r="G137" s="2566"/>
      <c r="H137" s="2566"/>
      <c r="I137" s="2579"/>
      <c r="J137" s="2579"/>
      <c r="K137" s="2579"/>
      <c r="L137" s="2579"/>
      <c r="M137" s="2579"/>
      <c r="N137" s="2579"/>
      <c r="O137" s="2579"/>
    </row>
    <row r="138" spans="1:15" s="2463" customFormat="1" ht="12.75">
      <c r="A138" s="1269"/>
      <c r="B138" s="1269"/>
      <c r="C138" s="2542"/>
      <c r="D138" s="2541"/>
      <c r="E138" s="2561"/>
      <c r="F138" s="2540"/>
      <c r="G138" s="2565"/>
      <c r="H138" s="2561"/>
      <c r="I138" s="2579"/>
      <c r="J138" s="2579"/>
      <c r="K138" s="2579"/>
      <c r="L138" s="2579"/>
      <c r="M138" s="2579"/>
      <c r="N138" s="2579"/>
      <c r="O138" s="2579"/>
    </row>
    <row r="139" spans="1:15" s="2463" customFormat="1" ht="23.25">
      <c r="A139" s="2564"/>
      <c r="B139" s="2564"/>
      <c r="C139" s="2563"/>
      <c r="D139" s="2570"/>
      <c r="E139" s="2569"/>
      <c r="F139" s="2540"/>
      <c r="G139" s="2562"/>
      <c r="H139" s="2561"/>
      <c r="I139" s="2579"/>
      <c r="J139" s="2579"/>
      <c r="K139" s="2579"/>
      <c r="L139" s="2579"/>
      <c r="M139" s="2579"/>
      <c r="N139" s="2579"/>
      <c r="O139" s="2579"/>
    </row>
    <row r="140" spans="1:15" s="2463" customFormat="1" ht="12.75">
      <c r="A140" s="4879"/>
      <c r="B140" s="4879"/>
      <c r="C140" s="2559"/>
      <c r="D140" s="2560"/>
      <c r="E140" s="4880"/>
      <c r="F140" s="4880"/>
      <c r="G140" s="4880"/>
      <c r="H140" s="2557"/>
      <c r="I140" s="2579"/>
      <c r="J140" s="2579"/>
      <c r="K140" s="2579"/>
      <c r="L140" s="2579"/>
      <c r="M140" s="2579"/>
      <c r="N140" s="2579"/>
      <c r="O140" s="2579"/>
    </row>
    <row r="141" spans="1:15" s="2463" customFormat="1" ht="12.75">
      <c r="A141" s="4879"/>
      <c r="B141" s="4879"/>
      <c r="C141" s="2559"/>
      <c r="D141" s="2558"/>
      <c r="E141" s="2558"/>
      <c r="F141" s="2558"/>
      <c r="G141" s="2558"/>
      <c r="H141" s="2558"/>
      <c r="I141" s="2579"/>
      <c r="J141" s="2579"/>
      <c r="K141" s="2579"/>
      <c r="L141" s="2579"/>
      <c r="M141" s="2579"/>
      <c r="N141" s="2579"/>
      <c r="O141" s="2579"/>
    </row>
    <row r="142" spans="1:15" s="2463" customFormat="1" ht="12.75">
      <c r="A142" s="4879"/>
      <c r="B142" s="4879"/>
      <c r="C142" s="2557"/>
      <c r="D142" s="2555"/>
      <c r="E142" s="2555"/>
      <c r="F142" s="2555"/>
      <c r="G142" s="2556"/>
      <c r="H142" s="2555"/>
      <c r="I142" s="2579"/>
      <c r="J142" s="2579"/>
      <c r="K142" s="2579"/>
      <c r="L142" s="2579"/>
      <c r="M142" s="2579"/>
      <c r="N142" s="2579"/>
      <c r="O142" s="2579"/>
    </row>
    <row r="143" spans="1:15" s="2463" customFormat="1" ht="12.75">
      <c r="A143" s="2554"/>
      <c r="B143" s="2553"/>
      <c r="C143" s="2552"/>
      <c r="D143" s="2551"/>
      <c r="E143" s="2551"/>
      <c r="F143" s="2551"/>
      <c r="G143" s="2551"/>
      <c r="H143" s="2551"/>
      <c r="I143" s="2579"/>
      <c r="J143" s="2579"/>
      <c r="K143" s="2579"/>
      <c r="L143" s="2579"/>
      <c r="M143" s="2579"/>
      <c r="N143" s="2579"/>
      <c r="O143" s="2579"/>
    </row>
    <row r="144" spans="1:15" s="2463" customFormat="1" ht="12.75">
      <c r="A144" s="2549"/>
      <c r="B144" s="2549"/>
      <c r="C144" s="2545"/>
      <c r="D144" s="2548"/>
      <c r="E144" s="2548"/>
      <c r="F144" s="2540"/>
      <c r="G144" s="2548"/>
      <c r="H144" s="2548"/>
      <c r="I144" s="2579"/>
      <c r="J144" s="2579"/>
      <c r="K144" s="2579"/>
      <c r="L144" s="2579"/>
      <c r="M144" s="2579"/>
      <c r="N144" s="2579"/>
      <c r="O144" s="2579"/>
    </row>
    <row r="145" spans="1:15" s="2463" customFormat="1" ht="12.75">
      <c r="A145" s="2549"/>
      <c r="B145" s="2549"/>
      <c r="C145" s="2545"/>
      <c r="D145" s="2548"/>
      <c r="E145" s="2548"/>
      <c r="F145" s="2540"/>
      <c r="G145" s="2548"/>
      <c r="H145" s="2548"/>
      <c r="I145" s="2579"/>
      <c r="J145" s="2579"/>
      <c r="K145" s="2579"/>
      <c r="L145" s="2579"/>
      <c r="M145" s="2579"/>
      <c r="N145" s="2579"/>
      <c r="O145" s="2579"/>
    </row>
    <row r="146" spans="1:15" s="2463" customFormat="1" ht="12.75">
      <c r="A146" s="2546"/>
      <c r="B146" s="1269"/>
      <c r="C146" s="2545"/>
      <c r="D146" s="2541"/>
      <c r="E146" s="2544"/>
      <c r="F146" s="2540"/>
      <c r="G146" s="2544"/>
      <c r="H146" s="2544"/>
      <c r="I146" s="2579"/>
      <c r="J146" s="2579"/>
      <c r="K146" s="2579"/>
      <c r="L146" s="2579"/>
      <c r="M146" s="2579"/>
      <c r="N146" s="2579"/>
      <c r="O146" s="2579"/>
    </row>
    <row r="147" spans="1:15" s="2463" customFormat="1" ht="12.75">
      <c r="A147" s="2549"/>
      <c r="B147" s="2549"/>
      <c r="C147" s="2545"/>
      <c r="D147" s="2541"/>
      <c r="E147" s="2544"/>
      <c r="F147" s="2540"/>
      <c r="G147" s="2544"/>
      <c r="H147" s="2544"/>
      <c r="I147" s="2579"/>
      <c r="J147" s="2579"/>
      <c r="K147" s="2579"/>
      <c r="L147" s="2579"/>
      <c r="M147" s="2579"/>
      <c r="N147" s="2579"/>
      <c r="O147" s="2579"/>
    </row>
    <row r="148" spans="1:15" s="2463" customFormat="1" ht="12.75">
      <c r="A148" s="2546"/>
      <c r="B148" s="1269"/>
      <c r="C148" s="2545"/>
      <c r="D148" s="2541"/>
      <c r="E148" s="2544"/>
      <c r="F148" s="2540"/>
      <c r="G148" s="2544"/>
      <c r="H148" s="2544"/>
      <c r="I148" s="2579"/>
      <c r="J148" s="2579"/>
      <c r="K148" s="2579"/>
      <c r="L148" s="2579"/>
      <c r="M148" s="2579"/>
      <c r="N148" s="2579"/>
      <c r="O148" s="2579"/>
    </row>
    <row r="149" spans="1:15" s="2463" customFormat="1" ht="12.75">
      <c r="A149" s="2547"/>
      <c r="B149" s="2546"/>
      <c r="C149" s="2545"/>
      <c r="D149" s="2541"/>
      <c r="E149" s="2544"/>
      <c r="F149" s="2540"/>
      <c r="G149" s="2544"/>
      <c r="H149" s="2544"/>
      <c r="I149" s="2579"/>
      <c r="J149" s="2579"/>
      <c r="K149" s="2579"/>
      <c r="L149" s="2579"/>
      <c r="M149" s="2579"/>
      <c r="N149" s="2579"/>
      <c r="O149" s="2579"/>
    </row>
    <row r="150" spans="1:15" s="2532" customFormat="1" ht="12.75">
      <c r="A150" s="2543"/>
      <c r="B150" s="2543"/>
      <c r="C150" s="2542"/>
      <c r="D150" s="2541"/>
      <c r="E150" s="2539"/>
      <c r="F150" s="2540"/>
      <c r="G150" s="2539"/>
      <c r="H150" s="2539"/>
    </row>
    <row r="151" spans="1:15" s="2532" customFormat="1" ht="12.75">
      <c r="A151" s="2538"/>
      <c r="B151" s="2538"/>
      <c r="C151" s="2537"/>
      <c r="D151" s="2536"/>
      <c r="E151" s="2536"/>
      <c r="F151" s="2536"/>
      <c r="G151" s="2536"/>
      <c r="H151" s="2536"/>
    </row>
    <row r="152" spans="1:15" s="2532" customFormat="1" ht="12.75">
      <c r="A152" s="2538"/>
      <c r="B152" s="2538"/>
      <c r="C152" s="2537"/>
      <c r="D152" s="2536"/>
      <c r="E152" s="2536"/>
      <c r="F152" s="2536"/>
      <c r="G152" s="2536"/>
      <c r="H152" s="2536"/>
    </row>
    <row r="153" spans="1:15" s="2532" customFormat="1">
      <c r="A153" s="1269"/>
      <c r="B153" s="2529"/>
      <c r="C153" s="2535"/>
      <c r="D153" s="2529"/>
      <c r="E153" s="4877"/>
      <c r="F153" s="4877"/>
      <c r="G153" s="1269"/>
      <c r="H153" s="2529"/>
    </row>
    <row r="154" spans="1:15" s="2532" customFormat="1">
      <c r="A154" s="2529"/>
      <c r="B154" s="1269"/>
      <c r="C154" s="2535"/>
      <c r="D154" s="1269"/>
      <c r="E154" s="1269"/>
      <c r="F154" s="1269"/>
      <c r="G154" s="1269"/>
      <c r="H154" s="2529"/>
    </row>
    <row r="155" spans="1:15" s="2532" customFormat="1" ht="12.75">
      <c r="A155" s="2534"/>
      <c r="B155" s="1269"/>
      <c r="C155" s="4881"/>
      <c r="D155" s="4881"/>
      <c r="E155" s="4876"/>
      <c r="F155" s="4876"/>
      <c r="G155" s="4876"/>
      <c r="H155" s="4876"/>
    </row>
    <row r="156" spans="1:15" s="2532" customFormat="1" ht="12.75">
      <c r="A156" s="2531"/>
      <c r="B156" s="2533"/>
      <c r="C156" s="4874"/>
      <c r="D156" s="4874"/>
      <c r="E156" s="4875"/>
      <c r="F156" s="4875"/>
      <c r="G156" s="4875"/>
      <c r="H156" s="4875"/>
    </row>
    <row r="157" spans="1:15" s="2532" customFormat="1" ht="12.75">
      <c r="A157" s="2531"/>
      <c r="B157" s="2533"/>
      <c r="C157" s="2531"/>
      <c r="D157" s="2566"/>
      <c r="E157" s="2566"/>
      <c r="F157" s="2566"/>
      <c r="G157" s="2566"/>
      <c r="H157" s="2566"/>
    </row>
    <row r="158" spans="1:15" s="2463" customFormat="1" ht="12.75">
      <c r="A158" s="2531"/>
      <c r="B158" s="2533"/>
      <c r="C158" s="2531"/>
      <c r="D158" s="2566"/>
      <c r="E158" s="2566"/>
      <c r="F158" s="2566"/>
      <c r="G158" s="2566"/>
      <c r="H158" s="2566"/>
      <c r="I158" s="2579"/>
      <c r="J158" s="2579"/>
      <c r="K158" s="2579"/>
      <c r="L158" s="2579"/>
      <c r="M158" s="2579"/>
      <c r="N158" s="2579"/>
      <c r="O158" s="2579"/>
    </row>
    <row r="159" spans="1:15" s="2463" customFormat="1" ht="12.75">
      <c r="A159" s="2531"/>
      <c r="B159" s="2533"/>
      <c r="C159" s="2531"/>
      <c r="D159" s="2566"/>
      <c r="E159" s="2566"/>
      <c r="F159" s="2566"/>
      <c r="G159" s="2566"/>
      <c r="H159" s="2566"/>
      <c r="I159" s="2579"/>
      <c r="J159" s="2579"/>
      <c r="K159" s="2579"/>
      <c r="L159" s="2579"/>
      <c r="M159" s="2579"/>
      <c r="N159" s="2579"/>
      <c r="O159" s="2579"/>
    </row>
    <row r="160" spans="1:15" s="2463" customFormat="1" ht="12.75">
      <c r="A160" s="2531"/>
      <c r="B160" s="2533"/>
      <c r="C160" s="2531"/>
      <c r="D160" s="2566"/>
      <c r="E160" s="2566"/>
      <c r="F160" s="2566"/>
      <c r="G160" s="2566"/>
      <c r="H160" s="2566"/>
      <c r="I160" s="2579"/>
      <c r="J160" s="2579"/>
      <c r="K160" s="2579"/>
      <c r="L160" s="2579"/>
      <c r="M160" s="2579"/>
      <c r="N160" s="2579"/>
      <c r="O160" s="2579"/>
    </row>
    <row r="161" spans="1:15" s="2463" customFormat="1" ht="12.75">
      <c r="A161" s="2531"/>
      <c r="B161" s="2533"/>
      <c r="C161" s="2531"/>
      <c r="D161" s="2566"/>
      <c r="E161" s="2566"/>
      <c r="F161" s="2566"/>
      <c r="G161" s="2566"/>
      <c r="H161" s="2566"/>
      <c r="I161" s="2579"/>
      <c r="J161" s="2579"/>
      <c r="K161" s="2579"/>
      <c r="L161" s="2579"/>
      <c r="M161" s="2579"/>
      <c r="N161" s="2579"/>
      <c r="O161" s="2579"/>
    </row>
    <row r="162" spans="1:15" s="2463" customFormat="1" ht="12.75">
      <c r="A162" s="2531"/>
      <c r="B162" s="2533"/>
      <c r="C162" s="2531"/>
      <c r="D162" s="2566"/>
      <c r="E162" s="2566"/>
      <c r="F162" s="2566"/>
      <c r="G162" s="2566"/>
      <c r="H162" s="2566"/>
      <c r="I162" s="2579"/>
      <c r="J162" s="2579"/>
      <c r="K162" s="2579"/>
      <c r="L162" s="2579"/>
      <c r="M162" s="2579"/>
      <c r="N162" s="2579"/>
      <c r="O162" s="2579"/>
    </row>
    <row r="163" spans="1:15" s="2463" customFormat="1" ht="12.75">
      <c r="A163" s="2531"/>
      <c r="B163" s="2533"/>
      <c r="C163" s="2531"/>
      <c r="D163" s="2566"/>
      <c r="E163" s="2566"/>
      <c r="F163" s="2566"/>
      <c r="G163" s="2566"/>
      <c r="H163" s="2566"/>
      <c r="I163" s="2579"/>
      <c r="J163" s="2579"/>
      <c r="K163" s="2579"/>
      <c r="L163" s="2579"/>
      <c r="M163" s="2579"/>
      <c r="N163" s="2579"/>
      <c r="O163" s="2579"/>
    </row>
    <row r="164" spans="1:15" s="2463" customFormat="1" ht="12.75">
      <c r="A164" s="2531"/>
      <c r="B164" s="2533"/>
      <c r="C164" s="2531"/>
      <c r="D164" s="2566"/>
      <c r="E164" s="2566"/>
      <c r="F164" s="2566"/>
      <c r="G164" s="2566"/>
      <c r="H164" s="2566"/>
      <c r="I164" s="2579"/>
      <c r="J164" s="2579"/>
      <c r="K164" s="2579"/>
      <c r="L164" s="2579"/>
      <c r="M164" s="2579"/>
      <c r="N164" s="2579"/>
      <c r="O164" s="2579"/>
    </row>
    <row r="165" spans="1:15" s="2463" customFormat="1" ht="12.75">
      <c r="A165" s="2531"/>
      <c r="B165" s="2533"/>
      <c r="C165" s="2531"/>
      <c r="D165" s="2566"/>
      <c r="E165" s="2566"/>
      <c r="F165" s="2566"/>
      <c r="G165" s="2566"/>
      <c r="H165" s="2566"/>
      <c r="I165" s="2579"/>
      <c r="J165" s="2579"/>
      <c r="K165" s="2579"/>
      <c r="L165" s="2579"/>
      <c r="M165" s="2579"/>
      <c r="N165" s="2579"/>
      <c r="O165" s="2579"/>
    </row>
    <row r="166" spans="1:15" s="2463" customFormat="1" ht="12.75">
      <c r="A166" s="2531"/>
      <c r="B166" s="2533"/>
      <c r="C166" s="2531"/>
      <c r="D166" s="2566"/>
      <c r="E166" s="2566"/>
      <c r="F166" s="2566"/>
      <c r="G166" s="2566"/>
      <c r="H166" s="2566"/>
      <c r="I166" s="2579"/>
      <c r="J166" s="2579"/>
      <c r="K166" s="2579"/>
      <c r="L166" s="2579"/>
      <c r="M166" s="2579"/>
      <c r="N166" s="2579"/>
      <c r="O166" s="2579"/>
    </row>
    <row r="167" spans="1:15" s="2463" customFormat="1" ht="12.75">
      <c r="A167" s="2531"/>
      <c r="B167" s="2533"/>
      <c r="C167" s="2531"/>
      <c r="D167" s="2566"/>
      <c r="E167" s="2566"/>
      <c r="F167" s="2566"/>
      <c r="G167" s="2566"/>
      <c r="H167" s="2566"/>
      <c r="I167" s="2579"/>
      <c r="J167" s="2579"/>
      <c r="K167" s="2579"/>
      <c r="L167" s="2579"/>
      <c r="M167" s="2579"/>
      <c r="N167" s="2579"/>
      <c r="O167" s="2579"/>
    </row>
    <row r="168" spans="1:15" s="2463" customFormat="1" ht="12.75">
      <c r="A168" s="2531"/>
      <c r="B168" s="2533"/>
      <c r="C168" s="2531"/>
      <c r="D168" s="2566"/>
      <c r="E168" s="2566"/>
      <c r="F168" s="2566"/>
      <c r="G168" s="2566"/>
      <c r="H168" s="2566"/>
      <c r="I168" s="2579"/>
      <c r="J168" s="2579"/>
      <c r="K168" s="2579"/>
      <c r="L168" s="2579"/>
      <c r="M168" s="2579"/>
      <c r="N168" s="2579"/>
      <c r="O168" s="2579"/>
    </row>
    <row r="169" spans="1:15" s="2463" customFormat="1" ht="12.75">
      <c r="A169" s="2531"/>
      <c r="B169" s="2533"/>
      <c r="C169" s="2531"/>
      <c r="D169" s="2566"/>
      <c r="E169" s="2566"/>
      <c r="F169" s="2566"/>
      <c r="G169" s="2566"/>
      <c r="H169" s="2566"/>
      <c r="I169" s="2579"/>
      <c r="J169" s="2579"/>
      <c r="K169" s="2579"/>
      <c r="L169" s="2579"/>
      <c r="M169" s="2579"/>
      <c r="N169" s="2579"/>
      <c r="O169" s="2579"/>
    </row>
    <row r="170" spans="1:15" s="2463" customFormat="1" ht="12.75">
      <c r="A170" s="2531"/>
      <c r="B170" s="2533"/>
      <c r="C170" s="2531"/>
      <c r="D170" s="2566"/>
      <c r="E170" s="2566"/>
      <c r="F170" s="2566"/>
      <c r="G170" s="2566"/>
      <c r="H170" s="2566"/>
      <c r="I170" s="2579"/>
      <c r="J170" s="2579"/>
      <c r="K170" s="2579"/>
      <c r="L170" s="2579"/>
      <c r="M170" s="2579"/>
      <c r="N170" s="2579"/>
      <c r="O170" s="2579"/>
    </row>
    <row r="171" spans="1:15" s="2463" customFormat="1" ht="12.75">
      <c r="A171" s="2531"/>
      <c r="B171" s="2533"/>
      <c r="C171" s="2531"/>
      <c r="D171" s="2566"/>
      <c r="E171" s="2566"/>
      <c r="F171" s="2566"/>
      <c r="G171" s="2566"/>
      <c r="H171" s="2566"/>
      <c r="I171" s="2579"/>
      <c r="J171" s="2579"/>
      <c r="K171" s="2579"/>
      <c r="L171" s="2579"/>
      <c r="M171" s="2579"/>
      <c r="N171" s="2579"/>
      <c r="O171" s="2579"/>
    </row>
    <row r="172" spans="1:15" s="2463" customFormat="1" ht="12.75">
      <c r="A172" s="2531"/>
      <c r="B172" s="2533"/>
      <c r="C172" s="2531"/>
      <c r="D172" s="2566"/>
      <c r="E172" s="2566"/>
      <c r="F172" s="2566"/>
      <c r="G172" s="2566"/>
      <c r="H172" s="2566"/>
      <c r="I172" s="2579"/>
      <c r="J172" s="2579"/>
      <c r="K172" s="2579"/>
      <c r="L172" s="2579"/>
      <c r="M172" s="2579"/>
      <c r="N172" s="2579"/>
      <c r="O172" s="2579"/>
    </row>
    <row r="173" spans="1:15" s="2463" customFormat="1" ht="12.75">
      <c r="A173" s="2531"/>
      <c r="B173" s="2533"/>
      <c r="C173" s="2531"/>
      <c r="D173" s="2566"/>
      <c r="E173" s="2566"/>
      <c r="F173" s="2566"/>
      <c r="G173" s="2566"/>
      <c r="H173" s="2566"/>
      <c r="I173" s="2579"/>
      <c r="J173" s="2579"/>
      <c r="K173" s="2579"/>
      <c r="L173" s="2579"/>
      <c r="M173" s="2579"/>
      <c r="N173" s="2579"/>
      <c r="O173" s="2579"/>
    </row>
    <row r="174" spans="1:15" s="2463" customFormat="1" ht="12.75">
      <c r="A174" s="2531"/>
      <c r="B174" s="2533"/>
      <c r="C174" s="2531"/>
      <c r="D174" s="2566"/>
      <c r="E174" s="2566"/>
      <c r="F174" s="2566"/>
      <c r="G174" s="2566"/>
      <c r="H174" s="2566"/>
      <c r="I174" s="2579"/>
      <c r="J174" s="2579"/>
      <c r="K174" s="2579"/>
      <c r="L174" s="2579"/>
      <c r="M174" s="2579"/>
      <c r="N174" s="2579"/>
      <c r="O174" s="2579"/>
    </row>
    <row r="175" spans="1:15" s="2463" customFormat="1" ht="12.75">
      <c r="A175" s="2531"/>
      <c r="B175" s="2533"/>
      <c r="C175" s="2531"/>
      <c r="D175" s="2566"/>
      <c r="E175" s="2566"/>
      <c r="F175" s="2566"/>
      <c r="G175" s="2566"/>
      <c r="H175" s="2566"/>
      <c r="I175" s="2579"/>
      <c r="J175" s="2579"/>
      <c r="K175" s="2579"/>
      <c r="L175" s="2579"/>
      <c r="M175" s="2579"/>
      <c r="N175" s="2579"/>
      <c r="O175" s="2579"/>
    </row>
    <row r="176" spans="1:15" s="2463" customFormat="1">
      <c r="A176" s="2529"/>
      <c r="B176" s="2529"/>
      <c r="C176" s="2529"/>
      <c r="D176" s="2529"/>
      <c r="E176" s="2529"/>
      <c r="F176" s="2529"/>
      <c r="G176" s="2529"/>
      <c r="H176" s="2529"/>
      <c r="I176" s="2579"/>
      <c r="J176" s="2579"/>
      <c r="K176" s="2579"/>
      <c r="L176" s="2579"/>
      <c r="M176" s="2579"/>
      <c r="N176" s="2579"/>
      <c r="O176" s="2579"/>
    </row>
    <row r="177" spans="1:15" s="2463" customFormat="1">
      <c r="A177" s="2529"/>
      <c r="B177" s="2529"/>
      <c r="C177" s="2529"/>
      <c r="D177" s="2529"/>
      <c r="E177" s="2529"/>
      <c r="F177" s="2529"/>
      <c r="G177" s="2529"/>
      <c r="H177" s="2529"/>
      <c r="I177" s="2579"/>
      <c r="J177" s="2579"/>
      <c r="K177" s="2579"/>
      <c r="L177" s="2579"/>
      <c r="M177" s="2579"/>
      <c r="N177" s="2579"/>
      <c r="O177" s="2579"/>
    </row>
    <row r="178" spans="1:15" s="2463" customFormat="1">
      <c r="A178" s="2529"/>
      <c r="B178" s="2529"/>
      <c r="C178" s="2529"/>
      <c r="D178" s="2529"/>
      <c r="E178" s="2529"/>
      <c r="F178" s="2529"/>
      <c r="G178" s="2529"/>
      <c r="H178" s="2529"/>
      <c r="I178" s="2579"/>
      <c r="J178" s="2579"/>
      <c r="K178" s="2579"/>
      <c r="L178" s="2579"/>
      <c r="M178" s="2579"/>
      <c r="N178" s="2579"/>
      <c r="O178" s="2579"/>
    </row>
    <row r="179" spans="1:15" s="2463" customFormat="1" ht="12.75">
      <c r="A179" s="4876"/>
      <c r="B179" s="4876"/>
      <c r="C179" s="4876"/>
      <c r="D179" s="4876"/>
      <c r="E179" s="4876"/>
      <c r="F179" s="4876"/>
      <c r="G179" s="4876"/>
      <c r="H179" s="4876"/>
      <c r="I179" s="2579"/>
      <c r="J179" s="2579"/>
      <c r="K179" s="2579"/>
      <c r="L179" s="2579"/>
      <c r="M179" s="2579"/>
      <c r="N179" s="2579"/>
      <c r="O179" s="2579"/>
    </row>
    <row r="180" spans="1:15" s="2463" customFormat="1" ht="12.75">
      <c r="A180" s="4877"/>
      <c r="B180" s="4877"/>
      <c r="C180" s="4877"/>
      <c r="D180" s="4877"/>
      <c r="E180" s="4877"/>
      <c r="F180" s="4877"/>
      <c r="G180" s="4877"/>
      <c r="H180" s="4877"/>
      <c r="I180" s="2579"/>
      <c r="J180" s="2579"/>
      <c r="K180" s="2579"/>
      <c r="L180" s="2579"/>
      <c r="M180" s="2579"/>
      <c r="N180" s="2579"/>
      <c r="O180" s="2579"/>
    </row>
    <row r="181" spans="1:15" s="2463" customFormat="1">
      <c r="A181" s="2529"/>
      <c r="B181" s="2529"/>
      <c r="C181" s="2529"/>
      <c r="D181" s="2529"/>
      <c r="E181" s="2529"/>
      <c r="F181" s="2529"/>
      <c r="G181" s="2529"/>
      <c r="H181" s="2529"/>
      <c r="I181" s="2579"/>
      <c r="J181" s="2579"/>
      <c r="K181" s="2579"/>
      <c r="L181" s="2579"/>
      <c r="M181" s="2579"/>
      <c r="N181" s="2579"/>
      <c r="O181" s="2579"/>
    </row>
    <row r="182" spans="1:15" s="2463" customFormat="1">
      <c r="A182" s="2568"/>
      <c r="B182" s="2567"/>
      <c r="C182" s="2529"/>
      <c r="D182" s="2566"/>
      <c r="E182" s="2566"/>
      <c r="F182" s="2566"/>
      <c r="G182" s="2566"/>
      <c r="H182" s="2566"/>
      <c r="I182" s="2579"/>
      <c r="J182" s="2579"/>
      <c r="K182" s="2579"/>
      <c r="L182" s="2579"/>
      <c r="M182" s="2579"/>
      <c r="N182" s="2579"/>
      <c r="O182" s="2579"/>
    </row>
    <row r="183" spans="1:15" s="2463" customFormat="1" ht="12.75">
      <c r="A183" s="1269"/>
      <c r="B183" s="1269"/>
      <c r="C183" s="2542"/>
      <c r="D183" s="2541"/>
      <c r="E183" s="2561"/>
      <c r="F183" s="2540"/>
      <c r="G183" s="2565"/>
      <c r="H183" s="2561"/>
      <c r="I183" s="2579"/>
      <c r="J183" s="2579"/>
      <c r="K183" s="2579"/>
      <c r="L183" s="2579"/>
      <c r="M183" s="2579"/>
      <c r="N183" s="2579"/>
      <c r="O183" s="2579"/>
    </row>
    <row r="184" spans="1:15" s="2463" customFormat="1" ht="23.25">
      <c r="A184" s="2564"/>
      <c r="B184" s="2564"/>
      <c r="C184" s="2563"/>
      <c r="D184" s="2541"/>
      <c r="E184" s="2561"/>
      <c r="F184" s="2540"/>
      <c r="G184" s="2562"/>
      <c r="H184" s="2561"/>
      <c r="I184" s="2579"/>
      <c r="J184" s="2579"/>
      <c r="K184" s="2579"/>
      <c r="L184" s="2579"/>
      <c r="M184" s="2579"/>
      <c r="N184" s="2579"/>
      <c r="O184" s="2579"/>
    </row>
    <row r="185" spans="1:15" s="2463" customFormat="1" ht="12.75">
      <c r="A185" s="4879"/>
      <c r="B185" s="4879"/>
      <c r="C185" s="2559"/>
      <c r="D185" s="2560"/>
      <c r="E185" s="4880"/>
      <c r="F185" s="4880"/>
      <c r="G185" s="4880"/>
      <c r="H185" s="2557"/>
      <c r="I185" s="2579"/>
      <c r="J185" s="2579"/>
      <c r="K185" s="2579"/>
      <c r="L185" s="2579"/>
      <c r="M185" s="2579"/>
      <c r="N185" s="2579"/>
      <c r="O185" s="2579"/>
    </row>
    <row r="186" spans="1:15" s="2463" customFormat="1" ht="12.75">
      <c r="A186" s="4879"/>
      <c r="B186" s="4879"/>
      <c r="C186" s="2559"/>
      <c r="D186" s="2558"/>
      <c r="E186" s="2558"/>
      <c r="F186" s="2558"/>
      <c r="G186" s="2558"/>
      <c r="H186" s="2558"/>
      <c r="I186" s="2579"/>
      <c r="J186" s="2579"/>
      <c r="K186" s="2579"/>
      <c r="L186" s="2579"/>
      <c r="M186" s="2579"/>
      <c r="N186" s="2579"/>
      <c r="O186" s="2579"/>
    </row>
    <row r="187" spans="1:15" s="2463" customFormat="1" ht="12.75">
      <c r="A187" s="4879"/>
      <c r="B187" s="4879"/>
      <c r="C187" s="2557"/>
      <c r="D187" s="2555"/>
      <c r="E187" s="2555"/>
      <c r="F187" s="2555"/>
      <c r="G187" s="2556"/>
      <c r="H187" s="2555"/>
      <c r="I187" s="2579"/>
      <c r="J187" s="2579"/>
      <c r="K187" s="2579"/>
      <c r="L187" s="2579"/>
      <c r="M187" s="2579"/>
      <c r="N187" s="2579"/>
      <c r="O187" s="2579"/>
    </row>
    <row r="188" spans="1:15" s="2463" customFormat="1" ht="12.75">
      <c r="A188" s="2554"/>
      <c r="B188" s="2553"/>
      <c r="C188" s="2552"/>
      <c r="D188" s="2551"/>
      <c r="E188" s="2551"/>
      <c r="F188" s="2551"/>
      <c r="G188" s="2551"/>
      <c r="H188" s="2551"/>
      <c r="I188" s="2579"/>
      <c r="J188" s="2579"/>
      <c r="K188" s="2579"/>
      <c r="L188" s="2579"/>
      <c r="M188" s="2579"/>
      <c r="N188" s="2579"/>
      <c r="O188" s="2579"/>
    </row>
    <row r="189" spans="1:15" s="2463" customFormat="1" ht="12.75">
      <c r="A189" s="2549"/>
      <c r="B189" s="2549"/>
      <c r="C189" s="2542"/>
      <c r="D189" s="2548"/>
      <c r="E189" s="2548"/>
      <c r="F189" s="2540"/>
      <c r="G189" s="2548"/>
      <c r="H189" s="2548"/>
      <c r="I189" s="2579"/>
      <c r="J189" s="2579"/>
      <c r="K189" s="2579"/>
      <c r="L189" s="2579"/>
      <c r="M189" s="2579"/>
      <c r="N189" s="2579"/>
      <c r="O189" s="2579"/>
    </row>
    <row r="190" spans="1:15" s="2463" customFormat="1" ht="12.75">
      <c r="A190" s="2549"/>
      <c r="B190" s="2549"/>
      <c r="C190" s="2545"/>
      <c r="D190" s="2548"/>
      <c r="E190" s="2548"/>
      <c r="F190" s="2540"/>
      <c r="G190" s="2548"/>
      <c r="H190" s="2548"/>
      <c r="I190" s="2579"/>
      <c r="J190" s="2579"/>
      <c r="K190" s="2579"/>
      <c r="L190" s="2579"/>
      <c r="M190" s="2579"/>
      <c r="N190" s="2579"/>
      <c r="O190" s="2579"/>
    </row>
    <row r="191" spans="1:15" s="2463" customFormat="1" ht="12.75">
      <c r="A191" s="2547"/>
      <c r="B191" s="2546"/>
      <c r="C191" s="2545"/>
      <c r="D191" s="2541"/>
      <c r="E191" s="2544"/>
      <c r="F191" s="2540"/>
      <c r="G191" s="2544"/>
      <c r="H191" s="2544"/>
      <c r="I191" s="2579"/>
      <c r="J191" s="2579"/>
      <c r="K191" s="2579"/>
      <c r="L191" s="2579"/>
      <c r="M191" s="2579"/>
      <c r="N191" s="2579"/>
      <c r="O191" s="2579"/>
    </row>
    <row r="192" spans="1:15" s="2463" customFormat="1" ht="12.75">
      <c r="A192" s="2543"/>
      <c r="B192" s="2543"/>
      <c r="C192" s="2542"/>
      <c r="D192" s="2541"/>
      <c r="E192" s="2539"/>
      <c r="F192" s="2540"/>
      <c r="G192" s="2539"/>
      <c r="H192" s="2539"/>
      <c r="I192" s="2579"/>
      <c r="J192" s="2579"/>
      <c r="K192" s="2579"/>
      <c r="L192" s="2579"/>
      <c r="M192" s="2579"/>
      <c r="N192" s="2579"/>
      <c r="O192" s="2579"/>
    </row>
    <row r="193" spans="1:15" s="2463" customFormat="1" ht="12.75">
      <c r="A193" s="2538"/>
      <c r="B193" s="2538"/>
      <c r="C193" s="2537"/>
      <c r="D193" s="2536"/>
      <c r="E193" s="2536"/>
      <c r="F193" s="2536"/>
      <c r="G193" s="2536"/>
      <c r="H193" s="2536"/>
      <c r="I193" s="2579"/>
      <c r="J193" s="2579"/>
      <c r="K193" s="2579"/>
      <c r="L193" s="2579"/>
      <c r="M193" s="2579"/>
      <c r="N193" s="2579"/>
      <c r="O193" s="2579"/>
    </row>
    <row r="194" spans="1:15" s="2463" customFormat="1" ht="12.75">
      <c r="A194" s="2538"/>
      <c r="B194" s="2538"/>
      <c r="C194" s="2537"/>
      <c r="D194" s="2536"/>
      <c r="E194" s="2536"/>
      <c r="F194" s="2536"/>
      <c r="G194" s="2536"/>
      <c r="H194" s="2536"/>
      <c r="I194" s="2579"/>
      <c r="J194" s="2579"/>
      <c r="K194" s="2579"/>
      <c r="L194" s="2579"/>
      <c r="M194" s="2579"/>
      <c r="N194" s="2579"/>
      <c r="O194" s="2579"/>
    </row>
    <row r="195" spans="1:15" s="2463" customFormat="1">
      <c r="A195" s="1269"/>
      <c r="B195" s="2529"/>
      <c r="C195" s="2535"/>
      <c r="D195" s="2529"/>
      <c r="E195" s="4877"/>
      <c r="F195" s="4877"/>
      <c r="G195" s="1269"/>
      <c r="H195" s="2529"/>
      <c r="I195" s="2579"/>
      <c r="J195" s="2579"/>
      <c r="K195" s="2579"/>
      <c r="L195" s="2579"/>
      <c r="M195" s="2579"/>
      <c r="N195" s="2579"/>
      <c r="O195" s="2579"/>
    </row>
    <row r="196" spans="1:15" s="2463" customFormat="1">
      <c r="A196" s="2529"/>
      <c r="B196" s="1269"/>
      <c r="C196" s="2535"/>
      <c r="D196" s="1269"/>
      <c r="E196" s="1269"/>
      <c r="F196" s="1269"/>
      <c r="G196" s="1269"/>
      <c r="H196" s="2529"/>
      <c r="I196" s="2579"/>
      <c r="J196" s="2579"/>
      <c r="K196" s="2579"/>
      <c r="L196" s="2579"/>
      <c r="M196" s="2579"/>
      <c r="N196" s="2579"/>
      <c r="O196" s="2579"/>
    </row>
    <row r="197" spans="1:15" s="2463" customFormat="1" ht="12.75">
      <c r="A197" s="2534"/>
      <c r="B197" s="1269"/>
      <c r="C197" s="4881"/>
      <c r="D197" s="4881"/>
      <c r="E197" s="4876"/>
      <c r="F197" s="4876"/>
      <c r="G197" s="4876"/>
      <c r="H197" s="4876"/>
      <c r="I197" s="2579"/>
      <c r="J197" s="2579"/>
      <c r="K197" s="2579"/>
      <c r="L197" s="2579"/>
      <c r="M197" s="2579"/>
      <c r="N197" s="2579"/>
      <c r="O197" s="2579"/>
    </row>
    <row r="198" spans="1:15" s="2463" customFormat="1" ht="12.75">
      <c r="A198" s="2531"/>
      <c r="B198" s="2533"/>
      <c r="C198" s="4874"/>
      <c r="D198" s="4874"/>
      <c r="E198" s="4875"/>
      <c r="F198" s="4875"/>
      <c r="G198" s="4875"/>
      <c r="H198" s="4875"/>
      <c r="I198" s="2579"/>
      <c r="J198" s="2579"/>
      <c r="K198" s="2579"/>
      <c r="L198" s="2579"/>
      <c r="M198" s="2579"/>
      <c r="N198" s="2579"/>
      <c r="O198" s="2579"/>
    </row>
    <row r="199" spans="1:15">
      <c r="A199" s="2463"/>
      <c r="B199" s="2464"/>
      <c r="C199" s="2463"/>
      <c r="D199" s="2465"/>
      <c r="E199" s="2465"/>
      <c r="F199" s="2465"/>
      <c r="G199" s="2465"/>
      <c r="H199" s="2465"/>
    </row>
    <row r="200" spans="1:15">
      <c r="A200" s="2463"/>
      <c r="B200" s="2464"/>
      <c r="C200" s="2463"/>
      <c r="D200" s="2465"/>
      <c r="E200" s="2465"/>
      <c r="F200" s="2465"/>
      <c r="G200" s="2465"/>
      <c r="H200" s="2465"/>
    </row>
    <row r="201" spans="1:15">
      <c r="A201" s="2463"/>
      <c r="B201" s="2464"/>
      <c r="C201" s="2463"/>
      <c r="D201" s="2465"/>
      <c r="E201" s="2465"/>
      <c r="F201" s="2465"/>
      <c r="G201" s="2465"/>
      <c r="H201" s="2465"/>
    </row>
    <row r="202" spans="1:15" s="2463" customFormat="1" ht="12.75">
      <c r="B202" s="2464"/>
      <c r="D202" s="2465"/>
      <c r="E202" s="2465"/>
      <c r="F202" s="2465"/>
      <c r="G202" s="2465"/>
      <c r="H202" s="2465"/>
      <c r="I202" s="2579"/>
      <c r="J202" s="2579"/>
      <c r="K202" s="2579"/>
      <c r="L202" s="2579"/>
      <c r="M202" s="2579"/>
      <c r="N202" s="2579"/>
      <c r="O202" s="2579"/>
    </row>
    <row r="203" spans="1:15" s="2463" customFormat="1" ht="12.75">
      <c r="B203" s="2464"/>
      <c r="D203" s="2465"/>
      <c r="E203" s="2465"/>
      <c r="F203" s="2465"/>
      <c r="G203" s="2465"/>
      <c r="H203" s="2465"/>
      <c r="I203" s="2579"/>
      <c r="J203" s="2579"/>
      <c r="K203" s="2579"/>
      <c r="L203" s="2579"/>
      <c r="M203" s="2579"/>
      <c r="N203" s="2579"/>
      <c r="O203" s="2579"/>
    </row>
    <row r="204" spans="1:15" s="2463" customFormat="1" ht="12.75">
      <c r="B204" s="2464"/>
      <c r="D204" s="2465"/>
      <c r="E204" s="2465"/>
      <c r="F204" s="2465"/>
      <c r="G204" s="2465"/>
      <c r="H204" s="2465"/>
      <c r="I204" s="2579"/>
      <c r="J204" s="2579"/>
      <c r="K204" s="2579"/>
      <c r="L204" s="2579"/>
      <c r="M204" s="2579"/>
      <c r="N204" s="2579"/>
      <c r="O204" s="2579"/>
    </row>
    <row r="205" spans="1:15" s="2463" customFormat="1" ht="12.75">
      <c r="B205" s="2464"/>
      <c r="D205" s="2465"/>
      <c r="E205" s="2465"/>
      <c r="F205" s="2465"/>
      <c r="G205" s="2465"/>
      <c r="H205" s="2465"/>
      <c r="I205" s="2579"/>
      <c r="J205" s="2579"/>
      <c r="K205" s="2579"/>
      <c r="L205" s="2579"/>
      <c r="M205" s="2579"/>
      <c r="N205" s="2579"/>
      <c r="O205" s="2579"/>
    </row>
    <row r="206" spans="1:15" s="2463" customFormat="1" ht="12.75">
      <c r="B206" s="2464"/>
      <c r="D206" s="2465"/>
      <c r="E206" s="2465"/>
      <c r="F206" s="2465"/>
      <c r="G206" s="2465"/>
      <c r="H206" s="2465"/>
      <c r="I206" s="2579"/>
      <c r="J206" s="2579"/>
      <c r="K206" s="2579"/>
      <c r="L206" s="2579"/>
      <c r="M206" s="2579"/>
      <c r="N206" s="2579"/>
      <c r="O206" s="2579"/>
    </row>
    <row r="207" spans="1:15" s="2463" customFormat="1" ht="12.75">
      <c r="B207" s="2464"/>
      <c r="D207" s="2465"/>
      <c r="E207" s="2465"/>
      <c r="F207" s="2465"/>
      <c r="G207" s="2465"/>
      <c r="H207" s="2465"/>
      <c r="I207" s="2579"/>
      <c r="J207" s="2579"/>
      <c r="K207" s="2579"/>
      <c r="L207" s="2579"/>
      <c r="M207" s="2579"/>
      <c r="N207" s="2579"/>
      <c r="O207" s="2579"/>
    </row>
    <row r="208" spans="1:15" s="2463" customFormat="1" ht="12.75">
      <c r="B208" s="2464"/>
      <c r="D208" s="2465"/>
      <c r="E208" s="2465"/>
      <c r="F208" s="2465"/>
      <c r="G208" s="2465"/>
      <c r="H208" s="2465"/>
      <c r="I208" s="2579"/>
      <c r="J208" s="2579"/>
      <c r="K208" s="2579"/>
      <c r="L208" s="2579"/>
      <c r="M208" s="2579"/>
      <c r="N208" s="2579"/>
      <c r="O208" s="2579"/>
    </row>
    <row r="209" spans="2:15" s="2463" customFormat="1" ht="12.75">
      <c r="B209" s="2464"/>
      <c r="D209" s="2465"/>
      <c r="E209" s="2465"/>
      <c r="F209" s="2465"/>
      <c r="G209" s="2465"/>
      <c r="H209" s="2465"/>
      <c r="I209" s="2579"/>
      <c r="J209" s="2579"/>
      <c r="K209" s="2579"/>
      <c r="L209" s="2579"/>
      <c r="M209" s="2579"/>
      <c r="N209" s="2579"/>
      <c r="O209" s="2579"/>
    </row>
    <row r="210" spans="2:15" s="2463" customFormat="1" ht="12.75">
      <c r="B210" s="2464"/>
      <c r="D210" s="2465"/>
      <c r="E210" s="2465"/>
      <c r="F210" s="2465"/>
      <c r="G210" s="2465"/>
      <c r="H210" s="2465"/>
      <c r="I210" s="2579"/>
      <c r="J210" s="2579"/>
      <c r="K210" s="2579"/>
      <c r="L210" s="2579"/>
      <c r="M210" s="2579"/>
      <c r="N210" s="2579"/>
      <c r="O210" s="2579"/>
    </row>
    <row r="211" spans="2:15" s="2463" customFormat="1" ht="12.75">
      <c r="B211" s="2464"/>
      <c r="D211" s="2465"/>
      <c r="E211" s="2465"/>
      <c r="F211" s="2465"/>
      <c r="G211" s="2465"/>
      <c r="H211" s="2465"/>
      <c r="I211" s="2579"/>
      <c r="J211" s="2579"/>
      <c r="K211" s="2579"/>
      <c r="L211" s="2579"/>
      <c r="M211" s="2579"/>
      <c r="N211" s="2579"/>
      <c r="O211" s="2579"/>
    </row>
    <row r="212" spans="2:15" s="2463" customFormat="1" ht="12.75">
      <c r="B212" s="2464"/>
      <c r="D212" s="2465"/>
      <c r="E212" s="2465"/>
      <c r="F212" s="2465"/>
      <c r="G212" s="2465"/>
      <c r="H212" s="2465"/>
      <c r="I212" s="2579"/>
      <c r="J212" s="2579"/>
      <c r="K212" s="2579"/>
      <c r="L212" s="2579"/>
      <c r="M212" s="2579"/>
      <c r="N212" s="2579"/>
      <c r="O212" s="2579"/>
    </row>
    <row r="213" spans="2:15" s="2463" customFormat="1" ht="12.75">
      <c r="B213" s="2464"/>
      <c r="D213" s="2465"/>
      <c r="E213" s="2465"/>
      <c r="F213" s="2465"/>
      <c r="G213" s="2465"/>
      <c r="H213" s="2465"/>
      <c r="I213" s="2579"/>
      <c r="J213" s="2579"/>
      <c r="K213" s="2579"/>
      <c r="L213" s="2579"/>
      <c r="M213" s="2579"/>
      <c r="N213" s="2579"/>
      <c r="O213" s="2579"/>
    </row>
    <row r="214" spans="2:15" s="2463" customFormat="1" ht="12.75">
      <c r="B214" s="2464"/>
      <c r="D214" s="2465"/>
      <c r="E214" s="2465"/>
      <c r="F214" s="2465"/>
      <c r="G214" s="2465"/>
      <c r="H214" s="2465"/>
      <c r="I214" s="2579"/>
      <c r="J214" s="2579"/>
      <c r="K214" s="2579"/>
      <c r="L214" s="2579"/>
      <c r="M214" s="2579"/>
      <c r="N214" s="2579"/>
      <c r="O214" s="2579"/>
    </row>
    <row r="215" spans="2:15" s="2463" customFormat="1" ht="12.75">
      <c r="B215" s="2464"/>
      <c r="D215" s="2465"/>
      <c r="E215" s="2465"/>
      <c r="F215" s="2465"/>
      <c r="G215" s="2465"/>
      <c r="H215" s="2465"/>
      <c r="I215" s="2579"/>
      <c r="J215" s="2579"/>
      <c r="K215" s="2579"/>
      <c r="L215" s="2579"/>
      <c r="M215" s="2579"/>
      <c r="N215" s="2579"/>
      <c r="O215" s="2579"/>
    </row>
    <row r="216" spans="2:15" s="2463" customFormat="1" ht="12.75">
      <c r="B216" s="2464"/>
      <c r="D216" s="2465"/>
      <c r="E216" s="2465"/>
      <c r="F216" s="2465"/>
      <c r="G216" s="2465"/>
      <c r="H216" s="2465"/>
      <c r="I216" s="2579"/>
      <c r="J216" s="2579"/>
      <c r="K216" s="2579"/>
      <c r="L216" s="2579"/>
      <c r="M216" s="2579"/>
      <c r="N216" s="2579"/>
      <c r="O216" s="2579"/>
    </row>
    <row r="217" spans="2:15" s="2463" customFormat="1" ht="12.75">
      <c r="B217" s="2464"/>
      <c r="D217" s="2465"/>
      <c r="E217" s="2465"/>
      <c r="F217" s="2465"/>
      <c r="G217" s="2465"/>
      <c r="H217" s="2465"/>
      <c r="I217" s="2579"/>
      <c r="J217" s="2579"/>
      <c r="K217" s="2579"/>
      <c r="L217" s="2579"/>
      <c r="M217" s="2579"/>
      <c r="N217" s="2579"/>
      <c r="O217" s="2579"/>
    </row>
    <row r="218" spans="2:15" s="2463" customFormat="1" ht="12.75">
      <c r="B218" s="2464"/>
      <c r="D218" s="2465"/>
      <c r="E218" s="2465"/>
      <c r="F218" s="2465"/>
      <c r="G218" s="2465"/>
      <c r="H218" s="2465"/>
      <c r="I218" s="2579"/>
      <c r="J218" s="2579"/>
      <c r="K218" s="2579"/>
      <c r="L218" s="2579"/>
      <c r="M218" s="2579"/>
      <c r="N218" s="2579"/>
      <c r="O218" s="2579"/>
    </row>
    <row r="219" spans="2:15" s="2463" customFormat="1" ht="12.75">
      <c r="B219" s="2464"/>
      <c r="D219" s="2465"/>
      <c r="E219" s="2465"/>
      <c r="F219" s="2465"/>
      <c r="G219" s="2465"/>
      <c r="H219" s="2465"/>
      <c r="I219" s="2579"/>
      <c r="J219" s="2579"/>
      <c r="K219" s="2579"/>
      <c r="L219" s="2579"/>
      <c r="M219" s="2579"/>
      <c r="N219" s="2579"/>
      <c r="O219" s="2579"/>
    </row>
    <row r="220" spans="2:15" s="2463" customFormat="1" ht="12.75">
      <c r="B220" s="2464"/>
      <c r="D220" s="2465"/>
      <c r="E220" s="2465"/>
      <c r="F220" s="2465"/>
      <c r="G220" s="2465"/>
      <c r="H220" s="2465"/>
      <c r="I220" s="2579"/>
      <c r="J220" s="2579"/>
      <c r="K220" s="2579"/>
      <c r="L220" s="2579"/>
      <c r="M220" s="2579"/>
      <c r="N220" s="2579"/>
      <c r="O220" s="2579"/>
    </row>
    <row r="221" spans="2:15" s="2463" customFormat="1" ht="12.75">
      <c r="B221" s="2464"/>
      <c r="D221" s="2465"/>
      <c r="E221" s="2465"/>
      <c r="F221" s="2465"/>
      <c r="G221" s="2465"/>
      <c r="H221" s="2465"/>
      <c r="I221" s="2579"/>
      <c r="J221" s="2579"/>
      <c r="K221" s="2579"/>
      <c r="L221" s="2579"/>
      <c r="M221" s="2579"/>
      <c r="N221" s="2579"/>
      <c r="O221" s="2579"/>
    </row>
    <row r="222" spans="2:15" s="2463" customFormat="1" ht="12.75">
      <c r="B222" s="2464"/>
      <c r="D222" s="2465"/>
      <c r="E222" s="2465"/>
      <c r="F222" s="2465"/>
      <c r="G222" s="2465"/>
      <c r="H222" s="2465"/>
      <c r="I222" s="2579"/>
      <c r="J222" s="2579"/>
      <c r="K222" s="2579"/>
      <c r="L222" s="2579"/>
      <c r="M222" s="2579"/>
      <c r="N222" s="2579"/>
      <c r="O222" s="2579"/>
    </row>
    <row r="223" spans="2:15" s="2463" customFormat="1" ht="12.75">
      <c r="B223" s="2464"/>
      <c r="D223" s="2465"/>
      <c r="E223" s="2465"/>
      <c r="F223" s="2465"/>
      <c r="G223" s="2465"/>
      <c r="H223" s="2465"/>
      <c r="I223" s="2579"/>
      <c r="J223" s="2579"/>
      <c r="K223" s="2579"/>
      <c r="L223" s="2579"/>
      <c r="M223" s="2579"/>
      <c r="N223" s="2579"/>
      <c r="O223" s="2579"/>
    </row>
    <row r="224" spans="2:15" s="2463" customFormat="1" ht="12.75">
      <c r="B224" s="2464"/>
      <c r="D224" s="2465"/>
      <c r="E224" s="2465"/>
      <c r="F224" s="2465"/>
      <c r="G224" s="2465"/>
      <c r="H224" s="2465"/>
      <c r="I224" s="2579"/>
      <c r="J224" s="2579"/>
      <c r="K224" s="2579"/>
      <c r="L224" s="2579"/>
      <c r="M224" s="2579"/>
      <c r="N224" s="2579"/>
      <c r="O224" s="2579"/>
    </row>
    <row r="225" spans="1:15" s="2463" customFormat="1" ht="12.75">
      <c r="B225" s="2464"/>
      <c r="D225" s="2465"/>
      <c r="E225" s="2465"/>
      <c r="F225" s="2465"/>
      <c r="G225" s="2465"/>
      <c r="H225" s="2465"/>
      <c r="I225" s="2579"/>
      <c r="J225" s="2579"/>
      <c r="K225" s="2579"/>
      <c r="L225" s="2579"/>
      <c r="M225" s="2579"/>
      <c r="N225" s="2579"/>
      <c r="O225" s="2579"/>
    </row>
    <row r="226" spans="1:15" s="2463" customFormat="1" ht="12.75">
      <c r="B226" s="2464"/>
      <c r="D226" s="2465"/>
      <c r="E226" s="2465"/>
      <c r="F226" s="2465"/>
      <c r="G226" s="2465"/>
      <c r="H226" s="2465"/>
      <c r="I226" s="2579"/>
      <c r="J226" s="2579"/>
      <c r="K226" s="2579"/>
      <c r="L226" s="2579"/>
      <c r="M226" s="2579"/>
      <c r="N226" s="2579"/>
      <c r="O226" s="2579"/>
    </row>
    <row r="227" spans="1:15" s="2463" customFormat="1" ht="12.75">
      <c r="B227" s="2464"/>
      <c r="D227" s="2465"/>
      <c r="E227" s="2465"/>
      <c r="F227" s="2465"/>
      <c r="G227" s="2465"/>
      <c r="H227" s="2465"/>
      <c r="I227" s="2579"/>
      <c r="J227" s="2579"/>
      <c r="K227" s="2579"/>
      <c r="L227" s="2579"/>
      <c r="M227" s="2579"/>
      <c r="N227" s="2579"/>
      <c r="O227" s="2579"/>
    </row>
    <row r="228" spans="1:15" s="2463" customFormat="1" ht="12.75">
      <c r="B228" s="2464"/>
      <c r="D228" s="2465"/>
      <c r="E228" s="2465"/>
      <c r="F228" s="2465"/>
      <c r="G228" s="2465"/>
      <c r="H228" s="2465"/>
      <c r="I228" s="2579"/>
      <c r="J228" s="2579"/>
      <c r="K228" s="2579"/>
      <c r="L228" s="2579"/>
      <c r="M228" s="2579"/>
      <c r="N228" s="2579"/>
      <c r="O228" s="2579"/>
    </row>
    <row r="229" spans="1:15" s="2463" customFormat="1" ht="12.75">
      <c r="B229" s="2464"/>
      <c r="D229" s="2465"/>
      <c r="E229" s="2465"/>
      <c r="F229" s="2465"/>
      <c r="G229" s="2465"/>
      <c r="H229" s="2465"/>
      <c r="I229" s="2579"/>
      <c r="J229" s="2579"/>
      <c r="K229" s="2579"/>
      <c r="L229" s="2579"/>
      <c r="M229" s="2579"/>
      <c r="N229" s="2579"/>
      <c r="O229" s="2579"/>
    </row>
    <row r="230" spans="1:15" s="2463" customFormat="1" ht="12.75">
      <c r="B230" s="2464"/>
      <c r="D230" s="2465"/>
      <c r="E230" s="2465"/>
      <c r="F230" s="2465"/>
      <c r="G230" s="2465"/>
      <c r="H230" s="2465"/>
      <c r="I230" s="2579"/>
      <c r="J230" s="2579"/>
      <c r="K230" s="2579"/>
      <c r="L230" s="2579"/>
      <c r="M230" s="2579"/>
      <c r="N230" s="2579"/>
      <c r="O230" s="2579"/>
    </row>
    <row r="231" spans="1:15" s="2463" customFormat="1" ht="12.75">
      <c r="B231" s="2464"/>
      <c r="D231" s="2465"/>
      <c r="E231" s="2465"/>
      <c r="F231" s="2465"/>
      <c r="G231" s="2465"/>
      <c r="H231" s="2465"/>
      <c r="I231" s="2579"/>
      <c r="J231" s="2579"/>
      <c r="K231" s="2579"/>
      <c r="L231" s="2579"/>
      <c r="M231" s="2579"/>
      <c r="N231" s="2579"/>
      <c r="O231" s="2579"/>
    </row>
    <row r="232" spans="1:15" s="2463" customFormat="1" ht="12.75">
      <c r="B232" s="2464"/>
      <c r="D232" s="2465"/>
      <c r="E232" s="2465"/>
      <c r="F232" s="2465"/>
      <c r="G232" s="2465"/>
      <c r="H232" s="2465"/>
      <c r="I232" s="2579"/>
      <c r="J232" s="2579"/>
      <c r="K232" s="2579"/>
      <c r="L232" s="2579"/>
      <c r="M232" s="2579"/>
      <c r="N232" s="2579"/>
      <c r="O232" s="2579"/>
    </row>
    <row r="233" spans="1:15" s="2463" customFormat="1" ht="12.75">
      <c r="B233" s="2464"/>
      <c r="D233" s="2465"/>
      <c r="E233" s="2465"/>
      <c r="F233" s="2465"/>
      <c r="G233" s="2465"/>
      <c r="H233" s="2465"/>
      <c r="I233" s="2579"/>
      <c r="J233" s="2579"/>
      <c r="K233" s="2579"/>
      <c r="L233" s="2579"/>
      <c r="M233" s="2579"/>
      <c r="N233" s="2579"/>
      <c r="O233" s="2579"/>
    </row>
    <row r="234" spans="1:15" s="2463" customFormat="1" ht="12.75">
      <c r="B234" s="2464"/>
      <c r="D234" s="2465"/>
      <c r="E234" s="2465"/>
      <c r="F234" s="2465"/>
      <c r="G234" s="2465"/>
      <c r="H234" s="2465"/>
      <c r="I234" s="2579"/>
      <c r="J234" s="2579"/>
      <c r="K234" s="2579"/>
      <c r="L234" s="2579"/>
      <c r="M234" s="2579"/>
      <c r="N234" s="2579"/>
      <c r="O234" s="2579"/>
    </row>
    <row r="235" spans="1:15" s="2463" customFormat="1" ht="12.75">
      <c r="A235" s="4876"/>
      <c r="B235" s="4876"/>
      <c r="C235" s="4876"/>
      <c r="D235" s="4876"/>
      <c r="E235" s="4876"/>
      <c r="F235" s="4876"/>
      <c r="G235" s="4876"/>
      <c r="H235" s="4876"/>
      <c r="I235" s="2579"/>
      <c r="J235" s="2579"/>
      <c r="K235" s="2579"/>
      <c r="L235" s="2579"/>
      <c r="M235" s="2579"/>
      <c r="N235" s="2579"/>
      <c r="O235" s="2579"/>
    </row>
    <row r="236" spans="1:15" s="2463" customFormat="1" ht="12.75">
      <c r="A236" s="4877"/>
      <c r="B236" s="4877"/>
      <c r="C236" s="4877"/>
      <c r="D236" s="4877"/>
      <c r="E236" s="4877"/>
      <c r="F236" s="4877"/>
      <c r="G236" s="4877"/>
      <c r="H236" s="4877"/>
      <c r="I236" s="2579"/>
      <c r="J236" s="2579"/>
      <c r="K236" s="2579"/>
      <c r="L236" s="2579"/>
      <c r="M236" s="2579"/>
      <c r="N236" s="2579"/>
      <c r="O236" s="2579"/>
    </row>
    <row r="237" spans="1:15" s="2463" customFormat="1">
      <c r="A237" s="2529"/>
      <c r="B237" s="2529"/>
      <c r="C237" s="2529"/>
      <c r="D237" s="2529"/>
      <c r="E237" s="2529"/>
      <c r="F237" s="2529"/>
      <c r="G237" s="2529"/>
      <c r="H237" s="2529"/>
      <c r="I237" s="2579"/>
      <c r="J237" s="2579"/>
      <c r="K237" s="2579"/>
      <c r="L237" s="2579"/>
      <c r="M237" s="2579"/>
      <c r="N237" s="2579"/>
      <c r="O237" s="2579"/>
    </row>
    <row r="238" spans="1:15" s="2463" customFormat="1">
      <c r="A238" s="2568"/>
      <c r="B238" s="2567"/>
      <c r="C238" s="2529"/>
      <c r="D238" s="2566"/>
      <c r="E238" s="2566"/>
      <c r="F238" s="2566"/>
      <c r="G238" s="2566"/>
      <c r="H238" s="2566"/>
      <c r="I238" s="2579"/>
      <c r="J238" s="2579"/>
      <c r="K238" s="2579"/>
      <c r="L238" s="2579"/>
      <c r="M238" s="2579"/>
      <c r="N238" s="2579"/>
      <c r="O238" s="2579"/>
    </row>
    <row r="239" spans="1:15" s="2463" customFormat="1" ht="12.75">
      <c r="A239" s="1269"/>
      <c r="B239" s="1269"/>
      <c r="C239" s="2542"/>
      <c r="D239" s="2541"/>
      <c r="E239" s="2561"/>
      <c r="F239" s="2540"/>
      <c r="G239" s="2565"/>
      <c r="H239" s="2561"/>
      <c r="I239" s="2579"/>
      <c r="J239" s="2579"/>
      <c r="K239" s="2579"/>
      <c r="L239" s="2579"/>
      <c r="M239" s="2579"/>
      <c r="N239" s="2579"/>
      <c r="O239" s="2579"/>
    </row>
    <row r="240" spans="1:15" ht="23.25">
      <c r="A240" s="2564"/>
      <c r="B240" s="2564"/>
      <c r="C240" s="2563"/>
      <c r="D240" s="2541"/>
      <c r="E240" s="2561"/>
      <c r="F240" s="2540"/>
      <c r="G240" s="2562"/>
      <c r="H240" s="2561"/>
    </row>
    <row r="241" spans="1:15">
      <c r="A241" s="4879"/>
      <c r="B241" s="4879"/>
      <c r="C241" s="2559"/>
      <c r="D241" s="2560"/>
      <c r="E241" s="4880"/>
      <c r="F241" s="4880"/>
      <c r="G241" s="4880"/>
      <c r="H241" s="2557"/>
    </row>
    <row r="242" spans="1:15">
      <c r="A242" s="4879"/>
      <c r="B242" s="4879"/>
      <c r="C242" s="2559"/>
      <c r="D242" s="2558"/>
      <c r="E242" s="2558"/>
      <c r="F242" s="2558"/>
      <c r="G242" s="2558"/>
      <c r="H242" s="2558"/>
    </row>
    <row r="243" spans="1:15">
      <c r="A243" s="4879"/>
      <c r="B243" s="4879"/>
      <c r="C243" s="2557"/>
      <c r="D243" s="2555"/>
      <c r="E243" s="2555"/>
      <c r="F243" s="2555"/>
      <c r="G243" s="2556"/>
      <c r="H243" s="2555"/>
    </row>
    <row r="244" spans="1:15">
      <c r="A244" s="2554"/>
      <c r="B244" s="2553"/>
      <c r="C244" s="2552"/>
      <c r="D244" s="2551"/>
      <c r="E244" s="2551"/>
      <c r="F244" s="2551"/>
      <c r="G244" s="2551"/>
      <c r="H244" s="2551"/>
    </row>
    <row r="245" spans="1:15" s="2463" customFormat="1" ht="12.75">
      <c r="A245" s="2549"/>
      <c r="B245" s="2549"/>
      <c r="C245" s="2550"/>
      <c r="D245" s="2548"/>
      <c r="E245" s="2548"/>
      <c r="F245" s="2540"/>
      <c r="G245" s="2548"/>
      <c r="H245" s="2548"/>
      <c r="I245" s="2579"/>
      <c r="J245" s="2579"/>
      <c r="K245" s="2579"/>
      <c r="L245" s="2579"/>
      <c r="M245" s="2579"/>
      <c r="N245" s="2579"/>
      <c r="O245" s="2579"/>
    </row>
    <row r="246" spans="1:15" s="2463" customFormat="1" ht="12.75">
      <c r="A246" s="2549"/>
      <c r="B246" s="2549"/>
      <c r="C246" s="2545"/>
      <c r="D246" s="2548"/>
      <c r="E246" s="2548"/>
      <c r="F246" s="2540"/>
      <c r="G246" s="2548"/>
      <c r="H246" s="2548"/>
      <c r="I246" s="2579"/>
      <c r="J246" s="2579"/>
      <c r="K246" s="2579"/>
      <c r="L246" s="2579"/>
      <c r="M246" s="2579"/>
      <c r="N246" s="2579"/>
      <c r="O246" s="2579"/>
    </row>
    <row r="247" spans="1:15" s="2463" customFormat="1" ht="12.75">
      <c r="A247" s="2547"/>
      <c r="B247" s="2546"/>
      <c r="C247" s="2545"/>
      <c r="D247" s="2541"/>
      <c r="E247" s="2544"/>
      <c r="F247" s="2540"/>
      <c r="G247" s="2544"/>
      <c r="H247" s="2544"/>
      <c r="I247" s="2579"/>
      <c r="J247" s="2579"/>
      <c r="K247" s="2579"/>
      <c r="L247" s="2579"/>
      <c r="M247" s="2579"/>
      <c r="N247" s="2579"/>
      <c r="O247" s="2579"/>
    </row>
    <row r="248" spans="1:15" s="2463" customFormat="1" ht="12.75">
      <c r="A248" s="2543"/>
      <c r="B248" s="2543"/>
      <c r="C248" s="2542"/>
      <c r="D248" s="2541"/>
      <c r="E248" s="2539"/>
      <c r="F248" s="2540"/>
      <c r="G248" s="2539"/>
      <c r="H248" s="2539"/>
      <c r="I248" s="2579"/>
      <c r="J248" s="2579"/>
      <c r="K248" s="2579"/>
      <c r="L248" s="2579"/>
      <c r="M248" s="2579"/>
      <c r="N248" s="2579"/>
      <c r="O248" s="2579"/>
    </row>
    <row r="249" spans="1:15" s="2463" customFormat="1" ht="12.75">
      <c r="A249" s="2538"/>
      <c r="B249" s="2538"/>
      <c r="C249" s="2537"/>
      <c r="D249" s="2536"/>
      <c r="E249" s="2536"/>
      <c r="F249" s="2536"/>
      <c r="G249" s="2536"/>
      <c r="H249" s="2536"/>
      <c r="I249" s="2579"/>
      <c r="J249" s="2579"/>
      <c r="K249" s="2579"/>
      <c r="L249" s="2579"/>
      <c r="M249" s="2579"/>
      <c r="N249" s="2579"/>
      <c r="O249" s="2579"/>
    </row>
    <row r="250" spans="1:15" s="2463" customFormat="1" ht="12.75">
      <c r="A250" s="2538"/>
      <c r="B250" s="2538"/>
      <c r="C250" s="2537"/>
      <c r="D250" s="2536"/>
      <c r="E250" s="2536"/>
      <c r="F250" s="2536"/>
      <c r="G250" s="2536"/>
      <c r="H250" s="2536"/>
      <c r="I250" s="2579"/>
      <c r="J250" s="2579"/>
      <c r="K250" s="2579"/>
      <c r="L250" s="2579"/>
      <c r="M250" s="2579"/>
      <c r="N250" s="2579"/>
      <c r="O250" s="2579"/>
    </row>
    <row r="251" spans="1:15" s="2463" customFormat="1">
      <c r="A251" s="1269"/>
      <c r="B251" s="2529"/>
      <c r="C251" s="2535"/>
      <c r="D251" s="2529"/>
      <c r="E251" s="4877"/>
      <c r="F251" s="4877"/>
      <c r="G251" s="1269"/>
      <c r="H251" s="2529"/>
      <c r="I251" s="2579"/>
      <c r="J251" s="2579"/>
      <c r="K251" s="2579"/>
      <c r="L251" s="2579"/>
      <c r="M251" s="2579"/>
      <c r="N251" s="2579"/>
      <c r="O251" s="2579"/>
    </row>
    <row r="252" spans="1:15" s="2463" customFormat="1">
      <c r="A252" s="2529"/>
      <c r="B252" s="1269"/>
      <c r="C252" s="2535"/>
      <c r="D252" s="1269"/>
      <c r="E252" s="1269"/>
      <c r="F252" s="1269"/>
      <c r="G252" s="1269"/>
      <c r="H252" s="2529"/>
      <c r="I252" s="2579"/>
      <c r="J252" s="2579"/>
      <c r="K252" s="2579"/>
      <c r="L252" s="2579"/>
      <c r="M252" s="2579"/>
      <c r="N252" s="2579"/>
      <c r="O252" s="2579"/>
    </row>
    <row r="253" spans="1:15" s="2463" customFormat="1" ht="12.75">
      <c r="A253" s="2534"/>
      <c r="B253" s="1269"/>
      <c r="C253" s="4881"/>
      <c r="D253" s="4881"/>
      <c r="E253" s="4876"/>
      <c r="F253" s="4876"/>
      <c r="G253" s="4876"/>
      <c r="H253" s="4876"/>
      <c r="I253" s="2579"/>
      <c r="J253" s="2579"/>
      <c r="K253" s="2579"/>
      <c r="L253" s="2579"/>
      <c r="M253" s="2579"/>
      <c r="N253" s="2579"/>
      <c r="O253" s="2579"/>
    </row>
    <row r="254" spans="1:15" s="2463" customFormat="1" ht="12.75">
      <c r="A254" s="2531"/>
      <c r="B254" s="2533"/>
      <c r="C254" s="4874"/>
      <c r="D254" s="4874"/>
      <c r="E254" s="4875"/>
      <c r="F254" s="4875"/>
      <c r="G254" s="4875"/>
      <c r="H254" s="4875"/>
      <c r="I254" s="2579"/>
      <c r="J254" s="2579"/>
      <c r="K254" s="2579"/>
      <c r="L254" s="2579"/>
      <c r="M254" s="2579"/>
      <c r="N254" s="2579"/>
      <c r="O254" s="2579"/>
    </row>
    <row r="255" spans="1:15" s="2463" customFormat="1">
      <c r="A255" s="2462"/>
      <c r="B255" s="2462"/>
      <c r="C255" s="2462"/>
      <c r="D255" s="2462"/>
      <c r="E255" s="2462"/>
      <c r="F255" s="2462"/>
      <c r="G255" s="2462"/>
      <c r="H255" s="2462"/>
      <c r="I255" s="2579"/>
      <c r="J255" s="2579"/>
      <c r="K255" s="2579"/>
      <c r="L255" s="2579"/>
      <c r="M255" s="2579"/>
      <c r="N255" s="2579"/>
      <c r="O255" s="2579"/>
    </row>
    <row r="256" spans="1:15" s="2463" customFormat="1">
      <c r="A256" s="2462"/>
      <c r="B256" s="2462"/>
      <c r="C256" s="2462"/>
      <c r="D256" s="2462"/>
      <c r="E256" s="2462"/>
      <c r="F256" s="2462"/>
      <c r="G256" s="2462"/>
      <c r="H256" s="2462"/>
      <c r="I256" s="2579"/>
      <c r="J256" s="2579"/>
      <c r="K256" s="2579"/>
      <c r="L256" s="2579"/>
      <c r="M256" s="2579"/>
      <c r="N256" s="2579"/>
      <c r="O256" s="2579"/>
    </row>
    <row r="257" spans="1:15" s="2463" customFormat="1">
      <c r="A257" s="2462"/>
      <c r="B257" s="2462"/>
      <c r="C257" s="2462"/>
      <c r="D257" s="2462"/>
      <c r="E257" s="2462"/>
      <c r="F257" s="2462"/>
      <c r="G257" s="2462"/>
      <c r="H257" s="2462"/>
      <c r="I257" s="2579"/>
      <c r="J257" s="2579"/>
      <c r="K257" s="2579"/>
      <c r="L257" s="2579"/>
      <c r="M257" s="2579"/>
      <c r="N257" s="2579"/>
      <c r="O257" s="2579"/>
    </row>
    <row r="258" spans="1:15" s="2463" customFormat="1">
      <c r="A258" s="2462"/>
      <c r="B258" s="2462"/>
      <c r="C258" s="2462"/>
      <c r="D258" s="2462"/>
      <c r="E258" s="2462"/>
      <c r="F258" s="2462"/>
      <c r="G258" s="2462"/>
      <c r="H258" s="2462"/>
      <c r="I258" s="2579"/>
      <c r="J258" s="2579"/>
      <c r="K258" s="2579"/>
      <c r="L258" s="2579"/>
      <c r="M258" s="2579"/>
      <c r="N258" s="2579"/>
      <c r="O258" s="2579"/>
    </row>
    <row r="259" spans="1:15" s="2463" customFormat="1">
      <c r="A259" s="2462"/>
      <c r="B259" s="2462"/>
      <c r="C259" s="2462"/>
      <c r="D259" s="2462"/>
      <c r="E259" s="2462"/>
      <c r="F259" s="2462"/>
      <c r="G259" s="2462"/>
      <c r="H259" s="2462"/>
      <c r="I259" s="2579"/>
      <c r="J259" s="2579"/>
      <c r="K259" s="2579"/>
      <c r="L259" s="2579"/>
      <c r="M259" s="2579"/>
      <c r="N259" s="2579"/>
      <c r="O259" s="2579"/>
    </row>
    <row r="260" spans="1:15" s="2463" customFormat="1">
      <c r="A260" s="2462"/>
      <c r="B260" s="2462"/>
      <c r="C260" s="2462"/>
      <c r="D260" s="2462"/>
      <c r="E260" s="2462"/>
      <c r="F260" s="2462"/>
      <c r="G260" s="2462"/>
      <c r="H260" s="2462"/>
      <c r="I260" s="2579"/>
      <c r="J260" s="2579"/>
      <c r="K260" s="2579"/>
      <c r="L260" s="2579"/>
      <c r="M260" s="2579"/>
      <c r="N260" s="2579"/>
      <c r="O260" s="2579"/>
    </row>
    <row r="261" spans="1:15" s="2463" customFormat="1">
      <c r="A261" s="2462"/>
      <c r="B261" s="2462"/>
      <c r="C261" s="2462"/>
      <c r="D261" s="2462"/>
      <c r="E261" s="2462"/>
      <c r="F261" s="2462"/>
      <c r="G261" s="2462"/>
      <c r="H261" s="2462"/>
      <c r="I261" s="2579"/>
      <c r="J261" s="2579"/>
      <c r="K261" s="2579"/>
      <c r="L261" s="2579"/>
      <c r="M261" s="2579"/>
      <c r="N261" s="2579"/>
      <c r="O261" s="2579"/>
    </row>
    <row r="262" spans="1:15" s="2463" customFormat="1">
      <c r="A262" s="2462"/>
      <c r="B262" s="2462"/>
      <c r="C262" s="2462"/>
      <c r="D262" s="2462"/>
      <c r="E262" s="2462"/>
      <c r="F262" s="2462"/>
      <c r="G262" s="2462"/>
      <c r="H262" s="2462"/>
      <c r="I262" s="2579"/>
      <c r="J262" s="2579"/>
      <c r="K262" s="2579"/>
      <c r="L262" s="2579"/>
      <c r="M262" s="2579"/>
      <c r="N262" s="2579"/>
      <c r="O262" s="2579"/>
    </row>
    <row r="263" spans="1:15" s="2463" customFormat="1">
      <c r="A263" s="2462"/>
      <c r="B263" s="2462"/>
      <c r="C263" s="2462"/>
      <c r="D263" s="2462"/>
      <c r="E263" s="2462"/>
      <c r="F263" s="2462"/>
      <c r="G263" s="2462"/>
      <c r="H263" s="2462"/>
      <c r="I263" s="2579"/>
      <c r="J263" s="2579"/>
      <c r="K263" s="2579"/>
      <c r="L263" s="2579"/>
      <c r="M263" s="2579"/>
      <c r="N263" s="2579"/>
      <c r="O263" s="2579"/>
    </row>
    <row r="264" spans="1:15" s="2463" customFormat="1">
      <c r="A264" s="2462"/>
      <c r="B264" s="2462"/>
      <c r="C264" s="2462"/>
      <c r="D264" s="2462"/>
      <c r="E264" s="2462"/>
      <c r="F264" s="2462"/>
      <c r="G264" s="2462"/>
      <c r="H264" s="2462"/>
      <c r="I264" s="2579"/>
      <c r="J264" s="2579"/>
      <c r="K264" s="2579"/>
      <c r="L264" s="2579"/>
      <c r="M264" s="2579"/>
      <c r="N264" s="2579"/>
      <c r="O264" s="2579"/>
    </row>
    <row r="265" spans="1:15" s="2463" customFormat="1">
      <c r="A265" s="2462"/>
      <c r="B265" s="2462"/>
      <c r="C265" s="2462"/>
      <c r="D265" s="2462"/>
      <c r="E265" s="2462"/>
      <c r="F265" s="2462"/>
      <c r="G265" s="2462"/>
      <c r="H265" s="2462"/>
      <c r="I265" s="2579"/>
      <c r="J265" s="2579"/>
      <c r="K265" s="2579"/>
      <c r="L265" s="2579"/>
      <c r="M265" s="2579"/>
      <c r="N265" s="2579"/>
      <c r="O265" s="2579"/>
    </row>
    <row r="266" spans="1:15" s="2463" customFormat="1">
      <c r="A266" s="2462"/>
      <c r="B266" s="2462"/>
      <c r="C266" s="2462"/>
      <c r="D266" s="2462"/>
      <c r="E266" s="2462"/>
      <c r="F266" s="2462"/>
      <c r="G266" s="2462"/>
      <c r="H266" s="2462"/>
      <c r="I266" s="2579"/>
      <c r="J266" s="2579"/>
      <c r="K266" s="2579"/>
      <c r="L266" s="2579"/>
      <c r="M266" s="2579"/>
      <c r="N266" s="2579"/>
      <c r="O266" s="2579"/>
    </row>
    <row r="267" spans="1:15" s="2463" customFormat="1">
      <c r="A267" s="2462"/>
      <c r="B267" s="2462"/>
      <c r="C267" s="2462"/>
      <c r="D267" s="2462"/>
      <c r="E267" s="2462"/>
      <c r="F267" s="2462"/>
      <c r="G267" s="2462"/>
      <c r="H267" s="2462"/>
      <c r="I267" s="2579"/>
      <c r="J267" s="2579"/>
      <c r="K267" s="2579"/>
      <c r="L267" s="2579"/>
      <c r="M267" s="2579"/>
      <c r="N267" s="2579"/>
      <c r="O267" s="2579"/>
    </row>
    <row r="268" spans="1:15" s="2463" customFormat="1">
      <c r="A268" s="2462"/>
      <c r="B268" s="2462"/>
      <c r="C268" s="2462"/>
      <c r="D268" s="2462"/>
      <c r="E268" s="2462"/>
      <c r="F268" s="2462"/>
      <c r="G268" s="2462"/>
      <c r="H268" s="2462"/>
      <c r="I268" s="2579"/>
      <c r="J268" s="2579"/>
      <c r="K268" s="2579"/>
      <c r="L268" s="2579"/>
      <c r="M268" s="2579"/>
      <c r="N268" s="2579"/>
      <c r="O268" s="2579"/>
    </row>
    <row r="269" spans="1:15" s="2463" customFormat="1">
      <c r="A269" s="2462"/>
      <c r="B269" s="2462"/>
      <c r="C269" s="2462"/>
      <c r="D269" s="2462"/>
      <c r="E269" s="2462"/>
      <c r="F269" s="2462"/>
      <c r="G269" s="2462"/>
      <c r="H269" s="2462"/>
      <c r="I269" s="2579"/>
      <c r="J269" s="2579"/>
      <c r="K269" s="2579"/>
      <c r="L269" s="2579"/>
      <c r="M269" s="2579"/>
      <c r="N269" s="2579"/>
      <c r="O269" s="2579"/>
    </row>
    <row r="270" spans="1:15" s="2463" customFormat="1">
      <c r="A270" s="2462"/>
      <c r="B270" s="2462"/>
      <c r="C270" s="2462"/>
      <c r="D270" s="2462"/>
      <c r="E270" s="2462"/>
      <c r="F270" s="2462"/>
      <c r="G270" s="2462"/>
      <c r="H270" s="2462"/>
      <c r="I270" s="2579"/>
      <c r="J270" s="2579"/>
      <c r="K270" s="2579"/>
      <c r="L270" s="2579"/>
      <c r="M270" s="2579"/>
      <c r="N270" s="2579"/>
      <c r="O270" s="2579"/>
    </row>
    <row r="271" spans="1:15" s="2463" customFormat="1">
      <c r="A271" s="2462"/>
      <c r="B271" s="2462"/>
      <c r="C271" s="2462"/>
      <c r="D271" s="2462"/>
      <c r="E271" s="2462"/>
      <c r="F271" s="2462"/>
      <c r="G271" s="2462"/>
      <c r="H271" s="2462"/>
      <c r="I271" s="2579"/>
      <c r="J271" s="2579"/>
      <c r="K271" s="2579"/>
      <c r="L271" s="2579"/>
      <c r="M271" s="2579"/>
      <c r="N271" s="2579"/>
      <c r="O271" s="2579"/>
    </row>
    <row r="272" spans="1:15" s="2463" customFormat="1">
      <c r="A272" s="2462"/>
      <c r="B272" s="2462"/>
      <c r="C272" s="2462"/>
      <c r="D272" s="2462"/>
      <c r="E272" s="2462"/>
      <c r="F272" s="2462"/>
      <c r="G272" s="2462"/>
      <c r="H272" s="2462"/>
      <c r="I272" s="2579"/>
      <c r="J272" s="2579"/>
      <c r="K272" s="2579"/>
      <c r="L272" s="2579"/>
      <c r="M272" s="2579"/>
      <c r="N272" s="2579"/>
      <c r="O272" s="2579"/>
    </row>
    <row r="273" spans="1:15" s="2463" customFormat="1">
      <c r="A273" s="2462"/>
      <c r="B273" s="2462"/>
      <c r="C273" s="2462"/>
      <c r="D273" s="2462"/>
      <c r="E273" s="2462"/>
      <c r="F273" s="2462"/>
      <c r="G273" s="2462"/>
      <c r="H273" s="2462"/>
      <c r="I273" s="2579"/>
      <c r="J273" s="2579"/>
      <c r="K273" s="2579"/>
      <c r="L273" s="2579"/>
      <c r="M273" s="2579"/>
      <c r="N273" s="2579"/>
      <c r="O273" s="2579"/>
    </row>
    <row r="274" spans="1:15" s="2463" customFormat="1">
      <c r="A274" s="2462"/>
      <c r="B274" s="2462"/>
      <c r="C274" s="2462"/>
      <c r="D274" s="2462"/>
      <c r="E274" s="2462"/>
      <c r="F274" s="2462"/>
      <c r="G274" s="2462"/>
      <c r="H274" s="2462"/>
      <c r="I274" s="2579"/>
      <c r="J274" s="2579"/>
      <c r="K274" s="2579"/>
      <c r="L274" s="2579"/>
      <c r="M274" s="2579"/>
      <c r="N274" s="2579"/>
      <c r="O274" s="2579"/>
    </row>
    <row r="275" spans="1:15" s="2463" customFormat="1">
      <c r="A275" s="2462"/>
      <c r="B275" s="2462"/>
      <c r="C275" s="2462"/>
      <c r="D275" s="2462"/>
      <c r="E275" s="2462"/>
      <c r="F275" s="2462"/>
      <c r="G275" s="2462"/>
      <c r="H275" s="2462"/>
      <c r="I275" s="2579"/>
      <c r="J275" s="2579"/>
      <c r="K275" s="2579"/>
      <c r="L275" s="2579"/>
      <c r="M275" s="2579"/>
      <c r="N275" s="2579"/>
      <c r="O275" s="2579"/>
    </row>
    <row r="276" spans="1:15" s="2463" customFormat="1">
      <c r="A276" s="2462"/>
      <c r="B276" s="2462"/>
      <c r="C276" s="2462"/>
      <c r="D276" s="2462"/>
      <c r="E276" s="2462"/>
      <c r="F276" s="2462"/>
      <c r="G276" s="2462"/>
      <c r="H276" s="2462"/>
      <c r="I276" s="2579"/>
      <c r="J276" s="2579"/>
      <c r="K276" s="2579"/>
      <c r="L276" s="2579"/>
      <c r="M276" s="2579"/>
      <c r="N276" s="2579"/>
      <c r="O276" s="2579"/>
    </row>
    <row r="277" spans="1:15" s="2463" customFormat="1">
      <c r="A277" s="2462"/>
      <c r="B277" s="2462"/>
      <c r="C277" s="2462"/>
      <c r="D277" s="2462"/>
      <c r="E277" s="2462"/>
      <c r="F277" s="2462"/>
      <c r="G277" s="2462"/>
      <c r="H277" s="2462"/>
      <c r="I277" s="2579"/>
      <c r="J277" s="2579"/>
      <c r="K277" s="2579"/>
      <c r="L277" s="2579"/>
      <c r="M277" s="2579"/>
      <c r="N277" s="2579"/>
      <c r="O277" s="2579"/>
    </row>
    <row r="278" spans="1:15" s="2463" customFormat="1">
      <c r="A278" s="2462"/>
      <c r="B278" s="2462"/>
      <c r="C278" s="2462"/>
      <c r="D278" s="2462"/>
      <c r="E278" s="2462"/>
      <c r="F278" s="2462"/>
      <c r="G278" s="2462"/>
      <c r="H278" s="2462"/>
      <c r="I278" s="2579"/>
      <c r="J278" s="2579"/>
      <c r="K278" s="2579"/>
      <c r="L278" s="2579"/>
      <c r="M278" s="2579"/>
      <c r="N278" s="2579"/>
      <c r="O278" s="2579"/>
    </row>
    <row r="279" spans="1:15" s="2463" customFormat="1">
      <c r="A279" s="2462"/>
      <c r="B279" s="2462"/>
      <c r="C279" s="2462"/>
      <c r="D279" s="2462"/>
      <c r="E279" s="2462"/>
      <c r="F279" s="2462"/>
      <c r="G279" s="2462"/>
      <c r="H279" s="2462"/>
      <c r="I279" s="2579"/>
      <c r="J279" s="2579"/>
      <c r="K279" s="2579"/>
      <c r="L279" s="2579"/>
      <c r="M279" s="2579"/>
      <c r="N279" s="2579"/>
      <c r="O279" s="2579"/>
    </row>
    <row r="280" spans="1:15" s="2463" customFormat="1">
      <c r="A280" s="2462"/>
      <c r="B280" s="2462"/>
      <c r="C280" s="2462"/>
      <c r="D280" s="2462"/>
      <c r="E280" s="2462"/>
      <c r="F280" s="2462"/>
      <c r="G280" s="2462"/>
      <c r="H280" s="2462"/>
      <c r="I280" s="2579"/>
      <c r="J280" s="2579"/>
      <c r="K280" s="2579"/>
      <c r="L280" s="2579"/>
      <c r="M280" s="2579"/>
      <c r="N280" s="2579"/>
      <c r="O280" s="2579"/>
    </row>
    <row r="281" spans="1:15" s="2463" customFormat="1">
      <c r="A281" s="2462"/>
      <c r="B281" s="2462"/>
      <c r="C281" s="2462"/>
      <c r="D281" s="2462"/>
      <c r="E281" s="2462"/>
      <c r="F281" s="2462"/>
      <c r="G281" s="2462"/>
      <c r="H281" s="2462"/>
      <c r="I281" s="2579"/>
      <c r="J281" s="2579"/>
      <c r="K281" s="2579"/>
      <c r="L281" s="2579"/>
      <c r="M281" s="2579"/>
      <c r="N281" s="2579"/>
      <c r="O281" s="2579"/>
    </row>
    <row r="282" spans="1:15" s="2463" customFormat="1">
      <c r="A282" s="2462"/>
      <c r="B282" s="2462"/>
      <c r="C282" s="2462"/>
      <c r="D282" s="2462"/>
      <c r="E282" s="2462"/>
      <c r="F282" s="2462"/>
      <c r="G282" s="2462"/>
      <c r="H282" s="2462"/>
      <c r="I282" s="2579"/>
      <c r="J282" s="2579"/>
      <c r="K282" s="2579"/>
      <c r="L282" s="2579"/>
      <c r="M282" s="2579"/>
      <c r="N282" s="2579"/>
      <c r="O282" s="2579"/>
    </row>
    <row r="283" spans="1:15" s="2463" customFormat="1">
      <c r="A283" s="2462"/>
      <c r="B283" s="2462"/>
      <c r="C283" s="2462"/>
      <c r="D283" s="2462"/>
      <c r="E283" s="2462"/>
      <c r="F283" s="2462"/>
      <c r="G283" s="2462"/>
      <c r="H283" s="2462"/>
      <c r="I283" s="2579"/>
      <c r="J283" s="2579"/>
      <c r="K283" s="2579"/>
      <c r="L283" s="2579"/>
      <c r="M283" s="2579"/>
      <c r="N283" s="2579"/>
      <c r="O283" s="2579"/>
    </row>
    <row r="288" spans="1:15" s="2463" customFormat="1">
      <c r="A288" s="2462"/>
      <c r="B288" s="2462"/>
      <c r="C288" s="2462"/>
      <c r="D288" s="2462"/>
      <c r="E288" s="2462"/>
      <c r="F288" s="2462"/>
      <c r="G288" s="2462"/>
      <c r="H288" s="2462"/>
      <c r="I288" s="2579"/>
      <c r="J288" s="2579"/>
      <c r="K288" s="2579"/>
      <c r="L288" s="2579"/>
      <c r="M288" s="2579"/>
      <c r="N288" s="2579"/>
      <c r="O288" s="2579"/>
    </row>
    <row r="289" spans="1:15" s="2463" customFormat="1">
      <c r="A289" s="2462"/>
      <c r="B289" s="2462"/>
      <c r="C289" s="2462"/>
      <c r="D289" s="2462"/>
      <c r="E289" s="2462"/>
      <c r="F289" s="2462"/>
      <c r="G289" s="2462"/>
      <c r="H289" s="2462"/>
      <c r="I289" s="2579"/>
      <c r="J289" s="2579"/>
      <c r="K289" s="2579"/>
      <c r="L289" s="2579"/>
      <c r="M289" s="2579"/>
      <c r="N289" s="2579"/>
      <c r="O289" s="2579"/>
    </row>
    <row r="290" spans="1:15" s="2463" customFormat="1">
      <c r="A290" s="2462"/>
      <c r="B290" s="2462"/>
      <c r="C290" s="2462"/>
      <c r="D290" s="2462"/>
      <c r="E290" s="2462"/>
      <c r="F290" s="2462"/>
      <c r="G290" s="2462"/>
      <c r="H290" s="2462"/>
      <c r="I290" s="2579"/>
      <c r="J290" s="2579"/>
      <c r="K290" s="2579"/>
      <c r="L290" s="2579"/>
      <c r="M290" s="2579"/>
      <c r="N290" s="2579"/>
      <c r="O290" s="2579"/>
    </row>
    <row r="291" spans="1:15" s="2463" customFormat="1">
      <c r="A291" s="2462"/>
      <c r="B291" s="2462"/>
      <c r="C291" s="2462"/>
      <c r="D291" s="2462"/>
      <c r="E291" s="2462"/>
      <c r="F291" s="2462"/>
      <c r="G291" s="2462"/>
      <c r="H291" s="2462"/>
      <c r="I291" s="2579"/>
      <c r="J291" s="2579"/>
      <c r="K291" s="2579"/>
      <c r="L291" s="2579"/>
      <c r="M291" s="2579"/>
      <c r="N291" s="2579"/>
      <c r="O291" s="2579"/>
    </row>
    <row r="292" spans="1:15" s="2463" customFormat="1">
      <c r="A292" s="2462"/>
      <c r="B292" s="2462"/>
      <c r="C292" s="2462"/>
      <c r="D292" s="2462"/>
      <c r="E292" s="2462"/>
      <c r="F292" s="2462"/>
      <c r="G292" s="2462"/>
      <c r="H292" s="2462"/>
      <c r="I292" s="2579"/>
      <c r="J292" s="2579"/>
      <c r="K292" s="2579"/>
      <c r="L292" s="2579"/>
      <c r="M292" s="2579"/>
      <c r="N292" s="2579"/>
      <c r="O292" s="2579"/>
    </row>
    <row r="293" spans="1:15" s="2463" customFormat="1">
      <c r="A293" s="2462"/>
      <c r="B293" s="2462"/>
      <c r="C293" s="2462"/>
      <c r="D293" s="2462"/>
      <c r="E293" s="2462"/>
      <c r="F293" s="2462"/>
      <c r="G293" s="2462"/>
      <c r="H293" s="2462"/>
      <c r="I293" s="2579"/>
      <c r="J293" s="2579"/>
      <c r="K293" s="2579"/>
      <c r="L293" s="2579"/>
      <c r="M293" s="2579"/>
      <c r="N293" s="2579"/>
      <c r="O293" s="2579"/>
    </row>
    <row r="294" spans="1:15" s="2463" customFormat="1">
      <c r="A294" s="2462"/>
      <c r="B294" s="2462"/>
      <c r="C294" s="2462"/>
      <c r="D294" s="2462"/>
      <c r="E294" s="2462"/>
      <c r="F294" s="2462"/>
      <c r="G294" s="2462"/>
      <c r="H294" s="2462"/>
      <c r="I294" s="2579"/>
      <c r="J294" s="2579"/>
      <c r="K294" s="2579"/>
      <c r="L294" s="2579"/>
      <c r="M294" s="2579"/>
      <c r="N294" s="2579"/>
      <c r="O294" s="2579"/>
    </row>
    <row r="295" spans="1:15" s="2463" customFormat="1">
      <c r="A295" s="2462"/>
      <c r="B295" s="2462"/>
      <c r="C295" s="2462"/>
      <c r="D295" s="2462"/>
      <c r="E295" s="2462"/>
      <c r="F295" s="2462"/>
      <c r="G295" s="2462"/>
      <c r="H295" s="2462"/>
      <c r="I295" s="2579"/>
      <c r="J295" s="2579"/>
      <c r="K295" s="2579"/>
      <c r="L295" s="2579"/>
      <c r="M295" s="2579"/>
      <c r="N295" s="2579"/>
      <c r="O295" s="2579"/>
    </row>
    <row r="296" spans="1:15" s="2463" customFormat="1">
      <c r="A296" s="2462"/>
      <c r="B296" s="2462"/>
      <c r="C296" s="2462"/>
      <c r="D296" s="2462"/>
      <c r="E296" s="2462"/>
      <c r="F296" s="2462"/>
      <c r="G296" s="2462"/>
      <c r="H296" s="2462"/>
      <c r="I296" s="2579"/>
      <c r="J296" s="2579"/>
      <c r="K296" s="2579"/>
      <c r="L296" s="2579"/>
      <c r="M296" s="2579"/>
      <c r="N296" s="2579"/>
      <c r="O296" s="2579"/>
    </row>
    <row r="297" spans="1:15" s="2463" customFormat="1">
      <c r="A297" s="2462"/>
      <c r="B297" s="2462"/>
      <c r="C297" s="2462"/>
      <c r="D297" s="2462"/>
      <c r="E297" s="2462"/>
      <c r="F297" s="2462"/>
      <c r="G297" s="2462"/>
      <c r="H297" s="2462"/>
      <c r="I297" s="2579"/>
      <c r="J297" s="2579"/>
      <c r="K297" s="2579"/>
      <c r="L297" s="2579"/>
      <c r="M297" s="2579"/>
      <c r="N297" s="2579"/>
      <c r="O297" s="2579"/>
    </row>
    <row r="298" spans="1:15" s="2463" customFormat="1">
      <c r="A298" s="2462"/>
      <c r="B298" s="2462"/>
      <c r="C298" s="2462"/>
      <c r="D298" s="2462"/>
      <c r="E298" s="2462"/>
      <c r="F298" s="2462"/>
      <c r="G298" s="2462"/>
      <c r="H298" s="2462"/>
      <c r="I298" s="2579"/>
      <c r="J298" s="2579"/>
      <c r="K298" s="2579"/>
      <c r="L298" s="2579"/>
      <c r="M298" s="2579"/>
      <c r="N298" s="2579"/>
      <c r="O298" s="2579"/>
    </row>
    <row r="299" spans="1:15" s="2463" customFormat="1">
      <c r="A299" s="2462"/>
      <c r="B299" s="2462"/>
      <c r="C299" s="2462"/>
      <c r="D299" s="2462"/>
      <c r="E299" s="2462"/>
      <c r="F299" s="2462"/>
      <c r="G299" s="2462"/>
      <c r="H299" s="2462"/>
      <c r="I299" s="2579"/>
      <c r="J299" s="2579"/>
      <c r="K299" s="2579"/>
      <c r="L299" s="2579"/>
      <c r="M299" s="2579"/>
      <c r="N299" s="2579"/>
      <c r="O299" s="2579"/>
    </row>
    <row r="300" spans="1:15" s="2463" customFormat="1">
      <c r="A300" s="2462"/>
      <c r="B300" s="2462"/>
      <c r="C300" s="2462"/>
      <c r="D300" s="2462"/>
      <c r="E300" s="2462"/>
      <c r="F300" s="2462"/>
      <c r="G300" s="2462"/>
      <c r="H300" s="2462"/>
      <c r="I300" s="2579"/>
      <c r="J300" s="2579"/>
      <c r="K300" s="2579"/>
      <c r="L300" s="2579"/>
      <c r="M300" s="2579"/>
      <c r="N300" s="2579"/>
      <c r="O300" s="2579"/>
    </row>
    <row r="301" spans="1:15" s="2463" customFormat="1">
      <c r="A301" s="2462"/>
      <c r="B301" s="2462"/>
      <c r="C301" s="2462"/>
      <c r="D301" s="2462"/>
      <c r="E301" s="2462"/>
      <c r="F301" s="2462"/>
      <c r="G301" s="2462"/>
      <c r="H301" s="2462"/>
      <c r="I301" s="2579"/>
      <c r="J301" s="2579"/>
      <c r="K301" s="2579"/>
      <c r="L301" s="2579"/>
      <c r="M301" s="2579"/>
      <c r="N301" s="2579"/>
      <c r="O301" s="2579"/>
    </row>
    <row r="302" spans="1:15" s="2463" customFormat="1">
      <c r="A302" s="2462"/>
      <c r="B302" s="2462"/>
      <c r="C302" s="2462"/>
      <c r="D302" s="2462"/>
      <c r="E302" s="2462"/>
      <c r="F302" s="2462"/>
      <c r="G302" s="2462"/>
      <c r="H302" s="2462"/>
      <c r="I302" s="2579"/>
      <c r="J302" s="2579"/>
      <c r="K302" s="2579"/>
      <c r="L302" s="2579"/>
      <c r="M302" s="2579"/>
      <c r="N302" s="2579"/>
      <c r="O302" s="2579"/>
    </row>
    <row r="303" spans="1:15" s="2463" customFormat="1">
      <c r="A303" s="2462"/>
      <c r="B303" s="2462"/>
      <c r="C303" s="2462"/>
      <c r="D303" s="2462"/>
      <c r="E303" s="2462"/>
      <c r="F303" s="2462"/>
      <c r="G303" s="2462"/>
      <c r="H303" s="2462"/>
      <c r="I303" s="2579"/>
      <c r="J303" s="2579"/>
      <c r="K303" s="2579"/>
      <c r="L303" s="2579"/>
      <c r="M303" s="2579"/>
      <c r="N303" s="2579"/>
      <c r="O303" s="2579"/>
    </row>
    <row r="304" spans="1:15" s="2463" customFormat="1">
      <c r="A304" s="2462"/>
      <c r="B304" s="2462"/>
      <c r="C304" s="2462"/>
      <c r="D304" s="2462"/>
      <c r="E304" s="2462"/>
      <c r="F304" s="2462"/>
      <c r="G304" s="2462"/>
      <c r="H304" s="2462"/>
      <c r="I304" s="2579"/>
      <c r="J304" s="2579"/>
      <c r="K304" s="2579"/>
      <c r="L304" s="2579"/>
      <c r="M304" s="2579"/>
      <c r="N304" s="2579"/>
      <c r="O304" s="2579"/>
    </row>
    <row r="305" spans="1:15" s="2463" customFormat="1">
      <c r="A305" s="2462"/>
      <c r="B305" s="2462"/>
      <c r="C305" s="2462"/>
      <c r="D305" s="2462"/>
      <c r="E305" s="2462"/>
      <c r="F305" s="2462"/>
      <c r="G305" s="2462"/>
      <c r="H305" s="2462"/>
      <c r="I305" s="2579"/>
      <c r="J305" s="2579"/>
      <c r="K305" s="2579"/>
      <c r="L305" s="2579"/>
      <c r="M305" s="2579"/>
      <c r="N305" s="2579"/>
      <c r="O305" s="2579"/>
    </row>
    <row r="306" spans="1:15" s="2463" customFormat="1">
      <c r="A306" s="2462"/>
      <c r="B306" s="2462"/>
      <c r="C306" s="2462"/>
      <c r="D306" s="2462"/>
      <c r="E306" s="2462"/>
      <c r="F306" s="2462"/>
      <c r="G306" s="2462"/>
      <c r="H306" s="2462"/>
      <c r="I306" s="2579"/>
      <c r="J306" s="2579"/>
      <c r="K306" s="2579"/>
      <c r="L306" s="2579"/>
      <c r="M306" s="2579"/>
      <c r="N306" s="2579"/>
      <c r="O306" s="2579"/>
    </row>
    <row r="307" spans="1:15" s="2463" customFormat="1">
      <c r="A307" s="2462"/>
      <c r="B307" s="2462"/>
      <c r="C307" s="2462"/>
      <c r="D307" s="2462"/>
      <c r="E307" s="2462"/>
      <c r="F307" s="2462"/>
      <c r="G307" s="2462"/>
      <c r="H307" s="2462"/>
      <c r="I307" s="2579"/>
      <c r="J307" s="2579"/>
      <c r="K307" s="2579"/>
      <c r="L307" s="2579"/>
      <c r="M307" s="2579"/>
      <c r="N307" s="2579"/>
      <c r="O307" s="2579"/>
    </row>
    <row r="308" spans="1:15" s="2463" customFormat="1">
      <c r="A308" s="2462"/>
      <c r="B308" s="2462"/>
      <c r="C308" s="2462"/>
      <c r="D308" s="2462"/>
      <c r="E308" s="2462"/>
      <c r="F308" s="2462"/>
      <c r="G308" s="2462"/>
      <c r="H308" s="2462"/>
      <c r="I308" s="2579"/>
      <c r="J308" s="2579"/>
      <c r="K308" s="2579"/>
      <c r="L308" s="2579"/>
      <c r="M308" s="2579"/>
      <c r="N308" s="2579"/>
      <c r="O308" s="2579"/>
    </row>
    <row r="309" spans="1:15" s="2463" customFormat="1">
      <c r="A309" s="2462"/>
      <c r="B309" s="2462"/>
      <c r="C309" s="2462"/>
      <c r="D309" s="2462"/>
      <c r="E309" s="2462"/>
      <c r="F309" s="2462"/>
      <c r="G309" s="2462"/>
      <c r="H309" s="2462"/>
      <c r="I309" s="2579"/>
      <c r="J309" s="2579"/>
      <c r="K309" s="2579"/>
      <c r="L309" s="2579"/>
      <c r="M309" s="2579"/>
      <c r="N309" s="2579"/>
      <c r="O309" s="2579"/>
    </row>
    <row r="310" spans="1:15" s="2463" customFormat="1">
      <c r="A310" s="2462"/>
      <c r="B310" s="2462"/>
      <c r="C310" s="2462"/>
      <c r="D310" s="2462"/>
      <c r="E310" s="2462"/>
      <c r="F310" s="2462"/>
      <c r="G310" s="2462"/>
      <c r="H310" s="2462"/>
      <c r="I310" s="2579"/>
      <c r="J310" s="2579"/>
      <c r="K310" s="2579"/>
      <c r="L310" s="2579"/>
      <c r="M310" s="2579"/>
      <c r="N310" s="2579"/>
      <c r="O310" s="2579"/>
    </row>
    <row r="311" spans="1:15" s="2463" customFormat="1">
      <c r="A311" s="2462"/>
      <c r="B311" s="2462"/>
      <c r="C311" s="2462"/>
      <c r="D311" s="2462"/>
      <c r="E311" s="2462"/>
      <c r="F311" s="2462"/>
      <c r="G311" s="2462"/>
      <c r="H311" s="2462"/>
      <c r="I311" s="2579"/>
      <c r="J311" s="2579"/>
      <c r="K311" s="2579"/>
      <c r="L311" s="2579"/>
      <c r="M311" s="2579"/>
      <c r="N311" s="2579"/>
      <c r="O311" s="2579"/>
    </row>
    <row r="312" spans="1:15" s="2463" customFormat="1">
      <c r="A312" s="2462"/>
      <c r="B312" s="2462"/>
      <c r="C312" s="2462"/>
      <c r="D312" s="2462"/>
      <c r="E312" s="2462"/>
      <c r="F312" s="2462"/>
      <c r="G312" s="2462"/>
      <c r="H312" s="2462"/>
      <c r="I312" s="2579"/>
      <c r="J312" s="2579"/>
      <c r="K312" s="2579"/>
      <c r="L312" s="2579"/>
      <c r="M312" s="2579"/>
      <c r="N312" s="2579"/>
      <c r="O312" s="2579"/>
    </row>
    <row r="313" spans="1:15" s="2463" customFormat="1">
      <c r="A313" s="2462"/>
      <c r="B313" s="2462"/>
      <c r="C313" s="2462"/>
      <c r="D313" s="2462"/>
      <c r="E313" s="2462"/>
      <c r="F313" s="2462"/>
      <c r="G313" s="2462"/>
      <c r="H313" s="2462"/>
      <c r="I313" s="2579"/>
      <c r="J313" s="2579"/>
      <c r="K313" s="2579"/>
      <c r="L313" s="2579"/>
      <c r="M313" s="2579"/>
      <c r="N313" s="2579"/>
      <c r="O313" s="2579"/>
    </row>
    <row r="314" spans="1:15" s="2463" customFormat="1">
      <c r="A314" s="2462"/>
      <c r="B314" s="2462"/>
      <c r="C314" s="2462"/>
      <c r="D314" s="2462"/>
      <c r="E314" s="2462"/>
      <c r="F314" s="2462"/>
      <c r="G314" s="2462"/>
      <c r="H314" s="2462"/>
      <c r="I314" s="2579"/>
      <c r="J314" s="2579"/>
      <c r="K314" s="2579"/>
      <c r="L314" s="2579"/>
      <c r="M314" s="2579"/>
      <c r="N314" s="2579"/>
      <c r="O314" s="2579"/>
    </row>
    <row r="315" spans="1:15" s="2463" customFormat="1">
      <c r="A315" s="2462"/>
      <c r="B315" s="2462"/>
      <c r="C315" s="2462"/>
      <c r="D315" s="2462"/>
      <c r="E315" s="2462"/>
      <c r="F315" s="2462"/>
      <c r="G315" s="2462"/>
      <c r="H315" s="2462"/>
      <c r="I315" s="2579"/>
      <c r="J315" s="2579"/>
      <c r="K315" s="2579"/>
      <c r="L315" s="2579"/>
      <c r="M315" s="2579"/>
      <c r="N315" s="2579"/>
      <c r="O315" s="2579"/>
    </row>
    <row r="316" spans="1:15" s="2463" customFormat="1">
      <c r="A316" s="2462"/>
      <c r="B316" s="2462"/>
      <c r="C316" s="2462"/>
      <c r="D316" s="2462"/>
      <c r="E316" s="2462"/>
      <c r="F316" s="2462"/>
      <c r="G316" s="2462"/>
      <c r="H316" s="2462"/>
      <c r="I316" s="2579"/>
      <c r="J316" s="2579"/>
      <c r="K316" s="2579"/>
      <c r="L316" s="2579"/>
      <c r="M316" s="2579"/>
      <c r="N316" s="2579"/>
      <c r="O316" s="2579"/>
    </row>
    <row r="317" spans="1:15" s="2463" customFormat="1">
      <c r="A317" s="2462"/>
      <c r="B317" s="2462"/>
      <c r="C317" s="2462"/>
      <c r="D317" s="2462"/>
      <c r="E317" s="2462"/>
      <c r="F317" s="2462"/>
      <c r="G317" s="2462"/>
      <c r="H317" s="2462"/>
      <c r="I317" s="2579"/>
      <c r="J317" s="2579"/>
      <c r="K317" s="2579"/>
      <c r="L317" s="2579"/>
      <c r="M317" s="2579"/>
      <c r="N317" s="2579"/>
      <c r="O317" s="2579"/>
    </row>
    <row r="318" spans="1:15" s="2463" customFormat="1">
      <c r="A318" s="2462"/>
      <c r="B318" s="2462"/>
      <c r="C318" s="2462"/>
      <c r="D318" s="2462"/>
      <c r="E318" s="2462"/>
      <c r="F318" s="2462"/>
      <c r="G318" s="2462"/>
      <c r="H318" s="2462"/>
      <c r="I318" s="2579"/>
      <c r="J318" s="2579"/>
      <c r="K318" s="2579"/>
      <c r="L318" s="2579"/>
      <c r="M318" s="2579"/>
      <c r="N318" s="2579"/>
      <c r="O318" s="2579"/>
    </row>
    <row r="319" spans="1:15" s="2463" customFormat="1">
      <c r="A319" s="2462"/>
      <c r="B319" s="2462"/>
      <c r="C319" s="2462"/>
      <c r="D319" s="2462"/>
      <c r="E319" s="2462"/>
      <c r="F319" s="2462"/>
      <c r="G319" s="2462"/>
      <c r="H319" s="2462"/>
      <c r="I319" s="2579"/>
      <c r="J319" s="2579"/>
      <c r="K319" s="2579"/>
      <c r="L319" s="2579"/>
      <c r="M319" s="2579"/>
      <c r="N319" s="2579"/>
      <c r="O319" s="2579"/>
    </row>
    <row r="320" spans="1:15" s="2463" customFormat="1">
      <c r="A320" s="2462"/>
      <c r="B320" s="2462"/>
      <c r="C320" s="2462"/>
      <c r="D320" s="2462"/>
      <c r="E320" s="2462"/>
      <c r="F320" s="2462"/>
      <c r="G320" s="2462"/>
      <c r="H320" s="2462"/>
      <c r="I320" s="2579"/>
      <c r="J320" s="2579"/>
      <c r="K320" s="2579"/>
      <c r="L320" s="2579"/>
      <c r="M320" s="2579"/>
      <c r="N320" s="2579"/>
      <c r="O320" s="2579"/>
    </row>
    <row r="321" spans="1:15" s="2463" customFormat="1">
      <c r="A321" s="2462"/>
      <c r="B321" s="2462"/>
      <c r="C321" s="2462"/>
      <c r="D321" s="2462"/>
      <c r="E321" s="2462"/>
      <c r="F321" s="2462"/>
      <c r="G321" s="2462"/>
      <c r="H321" s="2462"/>
      <c r="I321" s="2579"/>
      <c r="J321" s="2579"/>
      <c r="K321" s="2579"/>
      <c r="L321" s="2579"/>
      <c r="M321" s="2579"/>
      <c r="N321" s="2579"/>
      <c r="O321" s="2579"/>
    </row>
    <row r="322" spans="1:15" s="2463" customFormat="1">
      <c r="A322" s="2462"/>
      <c r="B322" s="2462"/>
      <c r="C322" s="2462"/>
      <c r="D322" s="2462"/>
      <c r="E322" s="2462"/>
      <c r="F322" s="2462"/>
      <c r="G322" s="2462"/>
      <c r="H322" s="2462"/>
      <c r="I322" s="2579"/>
      <c r="J322" s="2579"/>
      <c r="K322" s="2579"/>
      <c r="L322" s="2579"/>
      <c r="M322" s="2579"/>
      <c r="N322" s="2579"/>
      <c r="O322" s="2579"/>
    </row>
    <row r="323" spans="1:15" s="2463" customFormat="1">
      <c r="A323" s="2462"/>
      <c r="B323" s="2462"/>
      <c r="C323" s="2462"/>
      <c r="D323" s="2462"/>
      <c r="E323" s="2462"/>
      <c r="F323" s="2462"/>
      <c r="G323" s="2462"/>
      <c r="H323" s="2462"/>
      <c r="I323" s="2579"/>
      <c r="J323" s="2579"/>
      <c r="K323" s="2579"/>
      <c r="L323" s="2579"/>
      <c r="M323" s="2579"/>
      <c r="N323" s="2579"/>
      <c r="O323" s="2579"/>
    </row>
    <row r="324" spans="1:15" s="2463" customFormat="1">
      <c r="A324" s="2462"/>
      <c r="B324" s="2462"/>
      <c r="C324" s="2462"/>
      <c r="D324" s="2462"/>
      <c r="E324" s="2462"/>
      <c r="F324" s="2462"/>
      <c r="G324" s="2462"/>
      <c r="H324" s="2462"/>
      <c r="I324" s="2579"/>
      <c r="J324" s="2579"/>
      <c r="K324" s="2579"/>
      <c r="L324" s="2579"/>
      <c r="M324" s="2579"/>
      <c r="N324" s="2579"/>
      <c r="O324" s="2579"/>
    </row>
    <row r="325" spans="1:15" s="2463" customFormat="1">
      <c r="A325" s="2462"/>
      <c r="B325" s="2462"/>
      <c r="C325" s="2462"/>
      <c r="D325" s="2462"/>
      <c r="E325" s="2462"/>
      <c r="F325" s="2462"/>
      <c r="G325" s="2462"/>
      <c r="H325" s="2462"/>
      <c r="I325" s="2579"/>
      <c r="J325" s="2579"/>
      <c r="K325" s="2579"/>
      <c r="L325" s="2579"/>
      <c r="M325" s="2579"/>
      <c r="N325" s="2579"/>
      <c r="O325" s="2579"/>
    </row>
    <row r="326" spans="1:15" s="2463" customFormat="1">
      <c r="A326" s="2462"/>
      <c r="B326" s="2462"/>
      <c r="C326" s="2462"/>
      <c r="D326" s="2462"/>
      <c r="E326" s="2462"/>
      <c r="F326" s="2462"/>
      <c r="G326" s="2462"/>
      <c r="H326" s="2462"/>
      <c r="I326" s="2579"/>
      <c r="J326" s="2579"/>
      <c r="K326" s="2579"/>
      <c r="L326" s="2579"/>
      <c r="M326" s="2579"/>
      <c r="N326" s="2579"/>
      <c r="O326" s="2579"/>
    </row>
    <row r="327" spans="1:15" s="2463" customFormat="1">
      <c r="A327" s="2462"/>
      <c r="B327" s="2462"/>
      <c r="C327" s="2462"/>
      <c r="D327" s="2462"/>
      <c r="E327" s="2462"/>
      <c r="F327" s="2462"/>
      <c r="G327" s="2462"/>
      <c r="H327" s="2462"/>
      <c r="I327" s="2579"/>
      <c r="J327" s="2579"/>
      <c r="K327" s="2579"/>
      <c r="L327" s="2579"/>
      <c r="M327" s="2579"/>
      <c r="N327" s="2579"/>
      <c r="O327" s="2579"/>
    </row>
    <row r="332" spans="1:15" s="2463" customFormat="1">
      <c r="A332" s="2462"/>
      <c r="B332" s="2462"/>
      <c r="C332" s="2462"/>
      <c r="D332" s="2462"/>
      <c r="E332" s="2462"/>
      <c r="F332" s="2462"/>
      <c r="G332" s="2462"/>
      <c r="H332" s="2462"/>
      <c r="I332" s="2579"/>
      <c r="J332" s="2579"/>
      <c r="K332" s="2579"/>
      <c r="L332" s="2579"/>
      <c r="M332" s="2579"/>
      <c r="N332" s="2579"/>
      <c r="O332" s="2579"/>
    </row>
    <row r="333" spans="1:15" s="2463" customFormat="1">
      <c r="A333" s="2462"/>
      <c r="B333" s="2462"/>
      <c r="C333" s="2462"/>
      <c r="D333" s="2462"/>
      <c r="E333" s="2462"/>
      <c r="F333" s="2462"/>
      <c r="G333" s="2462"/>
      <c r="H333" s="2462"/>
      <c r="I333" s="2579"/>
      <c r="J333" s="2579"/>
      <c r="K333" s="2579"/>
      <c r="L333" s="2579"/>
      <c r="M333" s="2579"/>
      <c r="N333" s="2579"/>
      <c r="O333" s="2579"/>
    </row>
    <row r="334" spans="1:15" s="2463" customFormat="1">
      <c r="A334" s="2462"/>
      <c r="B334" s="2462"/>
      <c r="C334" s="2462"/>
      <c r="D334" s="2462"/>
      <c r="E334" s="2462"/>
      <c r="F334" s="2462"/>
      <c r="G334" s="2462"/>
      <c r="H334" s="2462"/>
      <c r="I334" s="2579"/>
      <c r="J334" s="2579"/>
      <c r="K334" s="2579"/>
      <c r="L334" s="2579"/>
      <c r="M334" s="2579"/>
      <c r="N334" s="2579"/>
      <c r="O334" s="2579"/>
    </row>
    <row r="335" spans="1:15" s="2463" customFormat="1">
      <c r="A335" s="2462"/>
      <c r="B335" s="2462"/>
      <c r="C335" s="2462"/>
      <c r="D335" s="2462"/>
      <c r="E335" s="2462"/>
      <c r="F335" s="2462"/>
      <c r="G335" s="2462"/>
      <c r="H335" s="2462"/>
      <c r="I335" s="2579"/>
      <c r="J335" s="2579"/>
      <c r="K335" s="2579"/>
      <c r="L335" s="2579"/>
      <c r="M335" s="2579"/>
      <c r="N335" s="2579"/>
      <c r="O335" s="2579"/>
    </row>
    <row r="336" spans="1:15" s="2463" customFormat="1">
      <c r="A336" s="2462"/>
      <c r="B336" s="2462"/>
      <c r="C336" s="2462"/>
      <c r="D336" s="2462"/>
      <c r="E336" s="2462"/>
      <c r="F336" s="2462"/>
      <c r="G336" s="2462"/>
      <c r="H336" s="2462"/>
      <c r="I336" s="2579"/>
      <c r="J336" s="2579"/>
      <c r="K336" s="2579"/>
      <c r="L336" s="2579"/>
      <c r="M336" s="2579"/>
      <c r="N336" s="2579"/>
      <c r="O336" s="2579"/>
    </row>
    <row r="337" spans="1:15" s="2463" customFormat="1">
      <c r="A337" s="2462"/>
      <c r="B337" s="2462"/>
      <c r="C337" s="2462"/>
      <c r="D337" s="2462"/>
      <c r="E337" s="2462"/>
      <c r="F337" s="2462"/>
      <c r="G337" s="2462"/>
      <c r="H337" s="2462"/>
      <c r="I337" s="2579"/>
      <c r="J337" s="2579"/>
      <c r="K337" s="2579"/>
      <c r="L337" s="2579"/>
      <c r="M337" s="2579"/>
      <c r="N337" s="2579"/>
      <c r="O337" s="2579"/>
    </row>
    <row r="338" spans="1:15" s="2463" customFormat="1">
      <c r="A338" s="2462"/>
      <c r="B338" s="2462"/>
      <c r="C338" s="2462"/>
      <c r="D338" s="2462"/>
      <c r="E338" s="2462"/>
      <c r="F338" s="2462"/>
      <c r="G338" s="2462"/>
      <c r="H338" s="2462"/>
      <c r="I338" s="2579"/>
      <c r="J338" s="2579"/>
      <c r="K338" s="2579"/>
      <c r="L338" s="2579"/>
      <c r="M338" s="2579"/>
      <c r="N338" s="2579"/>
      <c r="O338" s="2579"/>
    </row>
    <row r="339" spans="1:15" s="2463" customFormat="1">
      <c r="A339" s="2462"/>
      <c r="B339" s="2462"/>
      <c r="C339" s="2462"/>
      <c r="D339" s="2462"/>
      <c r="E339" s="2462"/>
      <c r="F339" s="2462"/>
      <c r="G339" s="2462"/>
      <c r="H339" s="2462"/>
      <c r="I339" s="2579"/>
      <c r="J339" s="2579"/>
      <c r="K339" s="2579"/>
      <c r="L339" s="2579"/>
      <c r="M339" s="2579"/>
      <c r="N339" s="2579"/>
      <c r="O339" s="2579"/>
    </row>
    <row r="340" spans="1:15" s="2463" customFormat="1">
      <c r="A340" s="2462"/>
      <c r="B340" s="2462"/>
      <c r="C340" s="2462"/>
      <c r="D340" s="2462"/>
      <c r="E340" s="2462"/>
      <c r="F340" s="2462"/>
      <c r="G340" s="2462"/>
      <c r="H340" s="2462"/>
      <c r="I340" s="2579"/>
      <c r="J340" s="2579"/>
      <c r="K340" s="2579"/>
      <c r="L340" s="2579"/>
      <c r="M340" s="2579"/>
      <c r="N340" s="2579"/>
      <c r="O340" s="2579"/>
    </row>
    <row r="341" spans="1:15" s="2463" customFormat="1">
      <c r="A341" s="2462"/>
      <c r="B341" s="2462"/>
      <c r="C341" s="2462"/>
      <c r="D341" s="2462"/>
      <c r="E341" s="2462"/>
      <c r="F341" s="2462"/>
      <c r="G341" s="2462"/>
      <c r="H341" s="2462"/>
      <c r="I341" s="2579"/>
      <c r="J341" s="2579"/>
      <c r="K341" s="2579"/>
      <c r="L341" s="2579"/>
      <c r="M341" s="2579"/>
      <c r="N341" s="2579"/>
      <c r="O341" s="2579"/>
    </row>
    <row r="342" spans="1:15" s="2463" customFormat="1">
      <c r="A342" s="2462"/>
      <c r="B342" s="2462"/>
      <c r="C342" s="2462"/>
      <c r="D342" s="2462"/>
      <c r="E342" s="2462"/>
      <c r="F342" s="2462"/>
      <c r="G342" s="2462"/>
      <c r="H342" s="2462"/>
      <c r="I342" s="2579"/>
      <c r="J342" s="2579"/>
      <c r="K342" s="2579"/>
      <c r="L342" s="2579"/>
      <c r="M342" s="2579"/>
      <c r="N342" s="2579"/>
      <c r="O342" s="2579"/>
    </row>
    <row r="343" spans="1:15" s="2463" customFormat="1">
      <c r="A343" s="2462"/>
      <c r="B343" s="2462"/>
      <c r="C343" s="2462"/>
      <c r="D343" s="2462"/>
      <c r="E343" s="2462"/>
      <c r="F343" s="2462"/>
      <c r="G343" s="2462"/>
      <c r="H343" s="2462"/>
      <c r="I343" s="2579"/>
      <c r="J343" s="2579"/>
      <c r="K343" s="2579"/>
      <c r="L343" s="2579"/>
      <c r="M343" s="2579"/>
      <c r="N343" s="2579"/>
      <c r="O343" s="2579"/>
    </row>
    <row r="344" spans="1:15" s="2463" customFormat="1">
      <c r="A344" s="2462"/>
      <c r="B344" s="2462"/>
      <c r="C344" s="2462"/>
      <c r="D344" s="2462"/>
      <c r="E344" s="2462"/>
      <c r="F344" s="2462"/>
      <c r="G344" s="2462"/>
      <c r="H344" s="2462"/>
      <c r="I344" s="2579"/>
      <c r="J344" s="2579"/>
      <c r="K344" s="2579"/>
      <c r="L344" s="2579"/>
      <c r="M344" s="2579"/>
      <c r="N344" s="2579"/>
      <c r="O344" s="2579"/>
    </row>
    <row r="345" spans="1:15" s="2463" customFormat="1">
      <c r="A345" s="2462"/>
      <c r="B345" s="2462"/>
      <c r="C345" s="2462"/>
      <c r="D345" s="2462"/>
      <c r="E345" s="2462"/>
      <c r="F345" s="2462"/>
      <c r="G345" s="2462"/>
      <c r="H345" s="2462"/>
      <c r="I345" s="2579"/>
      <c r="J345" s="2579"/>
      <c r="K345" s="2579"/>
      <c r="L345" s="2579"/>
      <c r="M345" s="2579"/>
      <c r="N345" s="2579"/>
      <c r="O345" s="2579"/>
    </row>
    <row r="346" spans="1:15" s="2463" customFormat="1">
      <c r="A346" s="2462"/>
      <c r="B346" s="2462"/>
      <c r="C346" s="2462"/>
      <c r="D346" s="2462"/>
      <c r="E346" s="2462"/>
      <c r="F346" s="2462"/>
      <c r="G346" s="2462"/>
      <c r="H346" s="2462"/>
      <c r="I346" s="2579"/>
      <c r="J346" s="2579"/>
      <c r="K346" s="2579"/>
      <c r="L346" s="2579"/>
      <c r="M346" s="2579"/>
      <c r="N346" s="2579"/>
      <c r="O346" s="2579"/>
    </row>
    <row r="347" spans="1:15" s="2463" customFormat="1">
      <c r="A347" s="2462"/>
      <c r="B347" s="2462"/>
      <c r="C347" s="2462"/>
      <c r="D347" s="2462"/>
      <c r="E347" s="2462"/>
      <c r="F347" s="2462"/>
      <c r="G347" s="2462"/>
      <c r="H347" s="2462"/>
      <c r="I347" s="2579"/>
      <c r="J347" s="2579"/>
      <c r="K347" s="2579"/>
      <c r="L347" s="2579"/>
      <c r="M347" s="2579"/>
      <c r="N347" s="2579"/>
      <c r="O347" s="2579"/>
    </row>
    <row r="348" spans="1:15" s="2463" customFormat="1">
      <c r="A348" s="2462"/>
      <c r="B348" s="2462"/>
      <c r="C348" s="2462"/>
      <c r="D348" s="2462"/>
      <c r="E348" s="2462"/>
      <c r="F348" s="2462"/>
      <c r="G348" s="2462"/>
      <c r="H348" s="2462"/>
      <c r="I348" s="2579"/>
      <c r="J348" s="2579"/>
      <c r="K348" s="2579"/>
      <c r="L348" s="2579"/>
      <c r="M348" s="2579"/>
      <c r="N348" s="2579"/>
      <c r="O348" s="2579"/>
    </row>
    <row r="349" spans="1:15" s="2463" customFormat="1">
      <c r="A349" s="2462"/>
      <c r="B349" s="2462"/>
      <c r="C349" s="2462"/>
      <c r="D349" s="2462"/>
      <c r="E349" s="2462"/>
      <c r="F349" s="2462"/>
      <c r="G349" s="2462"/>
      <c r="H349" s="2462"/>
      <c r="I349" s="2579"/>
      <c r="J349" s="2579"/>
      <c r="K349" s="2579"/>
      <c r="L349" s="2579"/>
      <c r="M349" s="2579"/>
      <c r="N349" s="2579"/>
      <c r="O349" s="2579"/>
    </row>
    <row r="350" spans="1:15" s="2463" customFormat="1">
      <c r="A350" s="2462"/>
      <c r="B350" s="2462"/>
      <c r="C350" s="2462"/>
      <c r="D350" s="2462"/>
      <c r="E350" s="2462"/>
      <c r="F350" s="2462"/>
      <c r="G350" s="2462"/>
      <c r="H350" s="2462"/>
      <c r="I350" s="2579"/>
      <c r="J350" s="2579"/>
      <c r="K350" s="2579"/>
      <c r="L350" s="2579"/>
      <c r="M350" s="2579"/>
      <c r="N350" s="2579"/>
      <c r="O350" s="2579"/>
    </row>
    <row r="351" spans="1:15" s="2463" customFormat="1">
      <c r="A351" s="2462"/>
      <c r="B351" s="2462"/>
      <c r="C351" s="2462"/>
      <c r="D351" s="2462"/>
      <c r="E351" s="2462"/>
      <c r="F351" s="2462"/>
      <c r="G351" s="2462"/>
      <c r="H351" s="2462"/>
      <c r="I351" s="2579"/>
      <c r="J351" s="2579"/>
      <c r="K351" s="2579"/>
      <c r="L351" s="2579"/>
      <c r="M351" s="2579"/>
      <c r="N351" s="2579"/>
      <c r="O351" s="2579"/>
    </row>
    <row r="352" spans="1:15" s="2463" customFormat="1">
      <c r="A352" s="2462"/>
      <c r="B352" s="2462"/>
      <c r="C352" s="2462"/>
      <c r="D352" s="2462"/>
      <c r="E352" s="2462"/>
      <c r="F352" s="2462"/>
      <c r="G352" s="2462"/>
      <c r="H352" s="2462"/>
      <c r="I352" s="2579"/>
      <c r="J352" s="2579"/>
      <c r="K352" s="2579"/>
      <c r="L352" s="2579"/>
      <c r="M352" s="2579"/>
      <c r="N352" s="2579"/>
      <c r="O352" s="2579"/>
    </row>
    <row r="353" spans="1:15" s="2463" customFormat="1">
      <c r="A353" s="2462"/>
      <c r="B353" s="2462"/>
      <c r="C353" s="2462"/>
      <c r="D353" s="2462"/>
      <c r="E353" s="2462"/>
      <c r="F353" s="2462"/>
      <c r="G353" s="2462"/>
      <c r="H353" s="2462"/>
      <c r="I353" s="2579"/>
      <c r="J353" s="2579"/>
      <c r="K353" s="2579"/>
      <c r="L353" s="2579"/>
      <c r="M353" s="2579"/>
      <c r="N353" s="2579"/>
      <c r="O353" s="2579"/>
    </row>
    <row r="354" spans="1:15" s="2463" customFormat="1">
      <c r="A354" s="2462"/>
      <c r="B354" s="2462"/>
      <c r="C354" s="2462"/>
      <c r="D354" s="2462"/>
      <c r="E354" s="2462"/>
      <c r="F354" s="2462"/>
      <c r="G354" s="2462"/>
      <c r="H354" s="2462"/>
      <c r="I354" s="2579"/>
      <c r="J354" s="2579"/>
      <c r="K354" s="2579"/>
      <c r="L354" s="2579"/>
      <c r="M354" s="2579"/>
      <c r="N354" s="2579"/>
      <c r="O354" s="2579"/>
    </row>
    <row r="355" spans="1:15" s="2463" customFormat="1">
      <c r="A355" s="2462"/>
      <c r="B355" s="2462"/>
      <c r="C355" s="2462"/>
      <c r="D355" s="2462"/>
      <c r="E355" s="2462"/>
      <c r="F355" s="2462"/>
      <c r="G355" s="2462"/>
      <c r="H355" s="2462"/>
      <c r="I355" s="2579"/>
      <c r="J355" s="2579"/>
      <c r="K355" s="2579"/>
      <c r="L355" s="2579"/>
      <c r="M355" s="2579"/>
      <c r="N355" s="2579"/>
      <c r="O355" s="2579"/>
    </row>
    <row r="356" spans="1:15" s="2463" customFormat="1">
      <c r="A356" s="2462"/>
      <c r="B356" s="2462"/>
      <c r="C356" s="2462"/>
      <c r="D356" s="2462"/>
      <c r="E356" s="2462"/>
      <c r="F356" s="2462"/>
      <c r="G356" s="2462"/>
      <c r="H356" s="2462"/>
      <c r="I356" s="2579"/>
      <c r="J356" s="2579"/>
      <c r="K356" s="2579"/>
      <c r="L356" s="2579"/>
      <c r="M356" s="2579"/>
      <c r="N356" s="2579"/>
      <c r="O356" s="2579"/>
    </row>
    <row r="357" spans="1:15" s="2463" customFormat="1">
      <c r="A357" s="2462"/>
      <c r="B357" s="2462"/>
      <c r="C357" s="2462"/>
      <c r="D357" s="2462"/>
      <c r="E357" s="2462"/>
      <c r="F357" s="2462"/>
      <c r="G357" s="2462"/>
      <c r="H357" s="2462"/>
      <c r="I357" s="2579"/>
      <c r="J357" s="2579"/>
      <c r="K357" s="2579"/>
      <c r="L357" s="2579"/>
      <c r="M357" s="2579"/>
      <c r="N357" s="2579"/>
      <c r="O357" s="2579"/>
    </row>
    <row r="358" spans="1:15" s="2463" customFormat="1">
      <c r="A358" s="2462"/>
      <c r="B358" s="2462"/>
      <c r="C358" s="2462"/>
      <c r="D358" s="2462"/>
      <c r="E358" s="2462"/>
      <c r="F358" s="2462"/>
      <c r="G358" s="2462"/>
      <c r="H358" s="2462"/>
      <c r="I358" s="2579"/>
      <c r="J358" s="2579"/>
      <c r="K358" s="2579"/>
      <c r="L358" s="2579"/>
      <c r="M358" s="2579"/>
      <c r="N358" s="2579"/>
      <c r="O358" s="2579"/>
    </row>
    <row r="359" spans="1:15" s="2463" customFormat="1">
      <c r="A359" s="2462"/>
      <c r="B359" s="2462"/>
      <c r="C359" s="2462"/>
      <c r="D359" s="2462"/>
      <c r="E359" s="2462"/>
      <c r="F359" s="2462"/>
      <c r="G359" s="2462"/>
      <c r="H359" s="2462"/>
      <c r="I359" s="2579"/>
      <c r="J359" s="2579"/>
      <c r="K359" s="2579"/>
      <c r="L359" s="2579"/>
      <c r="M359" s="2579"/>
      <c r="N359" s="2579"/>
      <c r="O359" s="2579"/>
    </row>
    <row r="360" spans="1:15" s="2463" customFormat="1">
      <c r="A360" s="2462"/>
      <c r="B360" s="2462"/>
      <c r="C360" s="2462"/>
      <c r="D360" s="2462"/>
      <c r="E360" s="2462"/>
      <c r="F360" s="2462"/>
      <c r="G360" s="2462"/>
      <c r="H360" s="2462"/>
      <c r="I360" s="2579"/>
      <c r="J360" s="2579"/>
      <c r="K360" s="2579"/>
      <c r="L360" s="2579"/>
      <c r="M360" s="2579"/>
      <c r="N360" s="2579"/>
      <c r="O360" s="2579"/>
    </row>
    <row r="361" spans="1:15" s="2463" customFormat="1">
      <c r="A361" s="2462"/>
      <c r="B361" s="2462"/>
      <c r="C361" s="2462"/>
      <c r="D361" s="2462"/>
      <c r="E361" s="2462"/>
      <c r="F361" s="2462"/>
      <c r="G361" s="2462"/>
      <c r="H361" s="2462"/>
      <c r="I361" s="2579"/>
      <c r="J361" s="2579"/>
      <c r="K361" s="2579"/>
      <c r="L361" s="2579"/>
      <c r="M361" s="2579"/>
      <c r="N361" s="2579"/>
      <c r="O361" s="2579"/>
    </row>
    <row r="362" spans="1:15" s="2463" customFormat="1">
      <c r="A362" s="2462"/>
      <c r="B362" s="2462"/>
      <c r="C362" s="2462"/>
      <c r="D362" s="2462"/>
      <c r="E362" s="2462"/>
      <c r="F362" s="2462"/>
      <c r="G362" s="2462"/>
      <c r="H362" s="2462"/>
      <c r="I362" s="2579"/>
      <c r="J362" s="2579"/>
      <c r="K362" s="2579"/>
      <c r="L362" s="2579"/>
      <c r="M362" s="2579"/>
      <c r="N362" s="2579"/>
      <c r="O362" s="2579"/>
    </row>
    <row r="363" spans="1:15" s="2463" customFormat="1">
      <c r="A363" s="2462"/>
      <c r="B363" s="2462"/>
      <c r="C363" s="2462"/>
      <c r="D363" s="2462"/>
      <c r="E363" s="2462"/>
      <c r="F363" s="2462"/>
      <c r="G363" s="2462"/>
      <c r="H363" s="2462"/>
      <c r="I363" s="2579"/>
      <c r="J363" s="2579"/>
      <c r="K363" s="2579"/>
      <c r="L363" s="2579"/>
      <c r="M363" s="2579"/>
      <c r="N363" s="2579"/>
      <c r="O363" s="2579"/>
    </row>
    <row r="364" spans="1:15" s="2463" customFormat="1">
      <c r="A364" s="2462"/>
      <c r="B364" s="2462"/>
      <c r="C364" s="2462"/>
      <c r="D364" s="2462"/>
      <c r="E364" s="2462"/>
      <c r="F364" s="2462"/>
      <c r="G364" s="2462"/>
      <c r="H364" s="2462"/>
      <c r="I364" s="2579"/>
      <c r="J364" s="2579"/>
      <c r="K364" s="2579"/>
      <c r="L364" s="2579"/>
      <c r="M364" s="2579"/>
      <c r="N364" s="2579"/>
      <c r="O364" s="2579"/>
    </row>
    <row r="365" spans="1:15" s="2463" customFormat="1">
      <c r="A365" s="2462"/>
      <c r="B365" s="2462"/>
      <c r="C365" s="2462"/>
      <c r="D365" s="2462"/>
      <c r="E365" s="2462"/>
      <c r="F365" s="2462"/>
      <c r="G365" s="2462"/>
      <c r="H365" s="2462"/>
      <c r="I365" s="2579"/>
      <c r="J365" s="2579"/>
      <c r="K365" s="2579"/>
      <c r="L365" s="2579"/>
      <c r="M365" s="2579"/>
      <c r="N365" s="2579"/>
      <c r="O365" s="2579"/>
    </row>
    <row r="366" spans="1:15" s="2463" customFormat="1">
      <c r="A366" s="2462"/>
      <c r="B366" s="2462"/>
      <c r="C366" s="2462"/>
      <c r="D366" s="2462"/>
      <c r="E366" s="2462"/>
      <c r="F366" s="2462"/>
      <c r="G366" s="2462"/>
      <c r="H366" s="2462"/>
      <c r="I366" s="2579"/>
      <c r="J366" s="2579"/>
      <c r="K366" s="2579"/>
      <c r="L366" s="2579"/>
      <c r="M366" s="2579"/>
      <c r="N366" s="2579"/>
      <c r="O366" s="2579"/>
    </row>
    <row r="367" spans="1:15" s="2463" customFormat="1">
      <c r="A367" s="2462"/>
      <c r="B367" s="2462"/>
      <c r="C367" s="2462"/>
      <c r="D367" s="2462"/>
      <c r="E367" s="2462"/>
      <c r="F367" s="2462"/>
      <c r="G367" s="2462"/>
      <c r="H367" s="2462"/>
      <c r="I367" s="2579"/>
      <c r="J367" s="2579"/>
      <c r="K367" s="2579"/>
      <c r="L367" s="2579"/>
      <c r="M367" s="2579"/>
      <c r="N367" s="2579"/>
      <c r="O367" s="2579"/>
    </row>
    <row r="368" spans="1:15" s="2463" customFormat="1">
      <c r="A368" s="2462"/>
      <c r="B368" s="2462"/>
      <c r="C368" s="2462"/>
      <c r="D368" s="2462"/>
      <c r="E368" s="2462"/>
      <c r="F368" s="2462"/>
      <c r="G368" s="2462"/>
      <c r="H368" s="2462"/>
      <c r="I368" s="2579"/>
      <c r="J368" s="2579"/>
      <c r="K368" s="2579"/>
      <c r="L368" s="2579"/>
      <c r="M368" s="2579"/>
      <c r="N368" s="2579"/>
      <c r="O368" s="2579"/>
    </row>
    <row r="373" spans="1:15" s="2463" customFormat="1">
      <c r="A373" s="2462"/>
      <c r="B373" s="2462"/>
      <c r="C373" s="2462"/>
      <c r="D373" s="2462"/>
      <c r="E373" s="2462"/>
      <c r="F373" s="2462"/>
      <c r="G373" s="2462"/>
      <c r="H373" s="2462"/>
      <c r="I373" s="2579"/>
      <c r="J373" s="2579"/>
      <c r="K373" s="2579"/>
      <c r="L373" s="2579"/>
      <c r="M373" s="2579"/>
      <c r="N373" s="2579"/>
      <c r="O373" s="2579"/>
    </row>
    <row r="374" spans="1:15" s="2463" customFormat="1">
      <c r="A374" s="2462"/>
      <c r="B374" s="2462"/>
      <c r="C374" s="2462"/>
      <c r="D374" s="2462"/>
      <c r="E374" s="2462"/>
      <c r="F374" s="2462"/>
      <c r="G374" s="2462"/>
      <c r="H374" s="2462"/>
      <c r="I374" s="2579"/>
      <c r="J374" s="2579"/>
      <c r="K374" s="2579"/>
      <c r="L374" s="2579"/>
      <c r="M374" s="2579"/>
      <c r="N374" s="2579"/>
      <c r="O374" s="2579"/>
    </row>
    <row r="375" spans="1:15" s="2463" customFormat="1">
      <c r="A375" s="2462"/>
      <c r="B375" s="2462"/>
      <c r="C375" s="2462"/>
      <c r="D375" s="2462"/>
      <c r="E375" s="2462"/>
      <c r="F375" s="2462"/>
      <c r="G375" s="2462"/>
      <c r="H375" s="2462"/>
      <c r="I375" s="2579"/>
      <c r="J375" s="2579"/>
      <c r="K375" s="2579"/>
      <c r="L375" s="2579"/>
      <c r="M375" s="2579"/>
      <c r="N375" s="2579"/>
      <c r="O375" s="2579"/>
    </row>
    <row r="376" spans="1:15" s="2463" customFormat="1">
      <c r="A376" s="2462"/>
      <c r="B376" s="2462"/>
      <c r="C376" s="2462"/>
      <c r="D376" s="2462"/>
      <c r="E376" s="2462"/>
      <c r="F376" s="2462"/>
      <c r="G376" s="2462"/>
      <c r="H376" s="2462"/>
      <c r="I376" s="2579"/>
      <c r="J376" s="2579"/>
      <c r="K376" s="2579"/>
      <c r="L376" s="2579"/>
      <c r="M376" s="2579"/>
      <c r="N376" s="2579"/>
      <c r="O376" s="2579"/>
    </row>
    <row r="377" spans="1:15" s="2463" customFormat="1">
      <c r="A377" s="2462"/>
      <c r="B377" s="2462"/>
      <c r="C377" s="2462"/>
      <c r="D377" s="2462"/>
      <c r="E377" s="2462"/>
      <c r="F377" s="2462"/>
      <c r="G377" s="2462"/>
      <c r="H377" s="2462"/>
      <c r="I377" s="2579"/>
      <c r="J377" s="2579"/>
      <c r="K377" s="2579"/>
      <c r="L377" s="2579"/>
      <c r="M377" s="2579"/>
      <c r="N377" s="2579"/>
      <c r="O377" s="2579"/>
    </row>
    <row r="378" spans="1:15" s="2463" customFormat="1">
      <c r="A378" s="2462"/>
      <c r="B378" s="2462"/>
      <c r="C378" s="2462"/>
      <c r="D378" s="2462"/>
      <c r="E378" s="2462"/>
      <c r="F378" s="2462"/>
      <c r="G378" s="2462"/>
      <c r="H378" s="2462"/>
      <c r="I378" s="2579"/>
      <c r="J378" s="2579"/>
      <c r="K378" s="2579"/>
      <c r="L378" s="2579"/>
      <c r="M378" s="2579"/>
      <c r="N378" s="2579"/>
      <c r="O378" s="2579"/>
    </row>
    <row r="379" spans="1:15" s="2463" customFormat="1">
      <c r="A379" s="2462"/>
      <c r="B379" s="2462"/>
      <c r="C379" s="2462"/>
      <c r="D379" s="2462"/>
      <c r="E379" s="2462"/>
      <c r="F379" s="2462"/>
      <c r="G379" s="2462"/>
      <c r="H379" s="2462"/>
      <c r="I379" s="2579"/>
      <c r="J379" s="2579"/>
      <c r="K379" s="2579"/>
      <c r="L379" s="2579"/>
      <c r="M379" s="2579"/>
      <c r="N379" s="2579"/>
      <c r="O379" s="2579"/>
    </row>
    <row r="380" spans="1:15" s="2463" customFormat="1">
      <c r="A380" s="2462"/>
      <c r="B380" s="2462"/>
      <c r="C380" s="2462"/>
      <c r="D380" s="2462"/>
      <c r="E380" s="2462"/>
      <c r="F380" s="2462"/>
      <c r="G380" s="2462"/>
      <c r="H380" s="2462"/>
      <c r="I380" s="2579"/>
      <c r="J380" s="2579"/>
      <c r="K380" s="2579"/>
      <c r="L380" s="2579"/>
      <c r="M380" s="2579"/>
      <c r="N380" s="2579"/>
      <c r="O380" s="2579"/>
    </row>
    <row r="381" spans="1:15" s="2463" customFormat="1">
      <c r="A381" s="2462"/>
      <c r="B381" s="2462"/>
      <c r="C381" s="2462"/>
      <c r="D381" s="2462"/>
      <c r="E381" s="2462"/>
      <c r="F381" s="2462"/>
      <c r="G381" s="2462"/>
      <c r="H381" s="2462"/>
      <c r="I381" s="2579"/>
      <c r="J381" s="2579"/>
      <c r="K381" s="2579"/>
      <c r="L381" s="2579"/>
      <c r="M381" s="2579"/>
      <c r="N381" s="2579"/>
      <c r="O381" s="2579"/>
    </row>
    <row r="382" spans="1:15" s="2463" customFormat="1">
      <c r="A382" s="2462"/>
      <c r="B382" s="2462"/>
      <c r="C382" s="2462"/>
      <c r="D382" s="2462"/>
      <c r="E382" s="2462"/>
      <c r="F382" s="2462"/>
      <c r="G382" s="2462"/>
      <c r="H382" s="2462"/>
      <c r="I382" s="2579"/>
      <c r="J382" s="2579"/>
      <c r="K382" s="2579"/>
      <c r="L382" s="2579"/>
      <c r="M382" s="2579"/>
      <c r="N382" s="2579"/>
      <c r="O382" s="2579"/>
    </row>
    <row r="383" spans="1:15" s="2463" customFormat="1">
      <c r="A383" s="2462"/>
      <c r="B383" s="2462"/>
      <c r="C383" s="2462"/>
      <c r="D383" s="2462"/>
      <c r="E383" s="2462"/>
      <c r="F383" s="2462"/>
      <c r="G383" s="2462"/>
      <c r="H383" s="2462"/>
      <c r="I383" s="2579"/>
      <c r="J383" s="2579"/>
      <c r="K383" s="2579"/>
      <c r="L383" s="2579"/>
      <c r="M383" s="2579"/>
      <c r="N383" s="2579"/>
      <c r="O383" s="2579"/>
    </row>
    <row r="384" spans="1:15" s="2463" customFormat="1">
      <c r="A384" s="2462"/>
      <c r="B384" s="2462"/>
      <c r="C384" s="2462"/>
      <c r="D384" s="2462"/>
      <c r="E384" s="2462"/>
      <c r="F384" s="2462"/>
      <c r="G384" s="2462"/>
      <c r="H384" s="2462"/>
      <c r="I384" s="2579"/>
      <c r="J384" s="2579"/>
      <c r="K384" s="2579"/>
      <c r="L384" s="2579"/>
      <c r="M384" s="2579"/>
      <c r="N384" s="2579"/>
      <c r="O384" s="2579"/>
    </row>
    <row r="385" spans="1:15" s="2463" customFormat="1">
      <c r="A385" s="2462"/>
      <c r="B385" s="2462"/>
      <c r="C385" s="2462"/>
      <c r="D385" s="2462"/>
      <c r="E385" s="2462"/>
      <c r="F385" s="2462"/>
      <c r="G385" s="2462"/>
      <c r="H385" s="2462"/>
      <c r="I385" s="2579"/>
      <c r="J385" s="2579"/>
      <c r="K385" s="2579"/>
      <c r="L385" s="2579"/>
      <c r="M385" s="2579"/>
      <c r="N385" s="2579"/>
      <c r="O385" s="2579"/>
    </row>
    <row r="386" spans="1:15" s="2463" customFormat="1">
      <c r="A386" s="2462"/>
      <c r="B386" s="2462"/>
      <c r="C386" s="2462"/>
      <c r="D386" s="2462"/>
      <c r="E386" s="2462"/>
      <c r="F386" s="2462"/>
      <c r="G386" s="2462"/>
      <c r="H386" s="2462"/>
      <c r="I386" s="2579"/>
      <c r="J386" s="2579"/>
      <c r="K386" s="2579"/>
      <c r="L386" s="2579"/>
      <c r="M386" s="2579"/>
      <c r="N386" s="2579"/>
      <c r="O386" s="2579"/>
    </row>
    <row r="387" spans="1:15" s="2463" customFormat="1">
      <c r="A387" s="2462"/>
      <c r="B387" s="2462"/>
      <c r="C387" s="2462"/>
      <c r="D387" s="2462"/>
      <c r="E387" s="2462"/>
      <c r="F387" s="2462"/>
      <c r="G387" s="2462"/>
      <c r="H387" s="2462"/>
      <c r="I387" s="2579"/>
      <c r="J387" s="2579"/>
      <c r="K387" s="2579"/>
      <c r="L387" s="2579"/>
      <c r="M387" s="2579"/>
      <c r="N387" s="2579"/>
      <c r="O387" s="2579"/>
    </row>
    <row r="388" spans="1:15" s="2463" customFormat="1">
      <c r="A388" s="2462"/>
      <c r="B388" s="2462"/>
      <c r="C388" s="2462"/>
      <c r="D388" s="2462"/>
      <c r="E388" s="2462"/>
      <c r="F388" s="2462"/>
      <c r="G388" s="2462"/>
      <c r="H388" s="2462"/>
      <c r="I388" s="2579"/>
      <c r="J388" s="2579"/>
      <c r="K388" s="2579"/>
      <c r="L388" s="2579"/>
      <c r="M388" s="2579"/>
      <c r="N388" s="2579"/>
      <c r="O388" s="2579"/>
    </row>
    <row r="389" spans="1:15" s="2463" customFormat="1">
      <c r="A389" s="2462"/>
      <c r="B389" s="2462"/>
      <c r="C389" s="2462"/>
      <c r="D389" s="2462"/>
      <c r="E389" s="2462"/>
      <c r="F389" s="2462"/>
      <c r="G389" s="2462"/>
      <c r="H389" s="2462"/>
      <c r="I389" s="2579"/>
      <c r="J389" s="2579"/>
      <c r="K389" s="2579"/>
      <c r="L389" s="2579"/>
      <c r="M389" s="2579"/>
      <c r="N389" s="2579"/>
      <c r="O389" s="2579"/>
    </row>
    <row r="390" spans="1:15" s="2463" customFormat="1">
      <c r="A390" s="2462"/>
      <c r="B390" s="2462"/>
      <c r="C390" s="2462"/>
      <c r="D390" s="2462"/>
      <c r="E390" s="2462"/>
      <c r="F390" s="2462"/>
      <c r="G390" s="2462"/>
      <c r="H390" s="2462"/>
      <c r="I390" s="2579"/>
      <c r="J390" s="2579"/>
      <c r="K390" s="2579"/>
      <c r="L390" s="2579"/>
      <c r="M390" s="2579"/>
      <c r="N390" s="2579"/>
      <c r="O390" s="2579"/>
    </row>
    <row r="391" spans="1:15" s="2463" customFormat="1">
      <c r="A391" s="2462"/>
      <c r="B391" s="2462"/>
      <c r="C391" s="2462"/>
      <c r="D391" s="2462"/>
      <c r="E391" s="2462"/>
      <c r="F391" s="2462"/>
      <c r="G391" s="2462"/>
      <c r="H391" s="2462"/>
      <c r="I391" s="2579"/>
      <c r="J391" s="2579"/>
      <c r="K391" s="2579"/>
      <c r="L391" s="2579"/>
      <c r="M391" s="2579"/>
      <c r="N391" s="2579"/>
      <c r="O391" s="2579"/>
    </row>
    <row r="392" spans="1:15" s="2463" customFormat="1">
      <c r="A392" s="2462"/>
      <c r="B392" s="2462"/>
      <c r="C392" s="2462"/>
      <c r="D392" s="2462"/>
      <c r="E392" s="2462"/>
      <c r="F392" s="2462"/>
      <c r="G392" s="2462"/>
      <c r="H392" s="2462"/>
      <c r="I392" s="2579"/>
      <c r="J392" s="2579"/>
      <c r="K392" s="2579"/>
      <c r="L392" s="2579"/>
      <c r="M392" s="2579"/>
      <c r="N392" s="2579"/>
      <c r="O392" s="2579"/>
    </row>
    <row r="393" spans="1:15" s="2463" customFormat="1">
      <c r="A393" s="2462"/>
      <c r="B393" s="2462"/>
      <c r="C393" s="2462"/>
      <c r="D393" s="2462"/>
      <c r="E393" s="2462"/>
      <c r="F393" s="2462"/>
      <c r="G393" s="2462"/>
      <c r="H393" s="2462"/>
      <c r="I393" s="2579"/>
      <c r="J393" s="2579"/>
      <c r="K393" s="2579"/>
      <c r="L393" s="2579"/>
      <c r="M393" s="2579"/>
      <c r="N393" s="2579"/>
      <c r="O393" s="2579"/>
    </row>
    <row r="394" spans="1:15" s="2463" customFormat="1">
      <c r="A394" s="2462"/>
      <c r="B394" s="2462"/>
      <c r="C394" s="2462"/>
      <c r="D394" s="2462"/>
      <c r="E394" s="2462"/>
      <c r="F394" s="2462"/>
      <c r="G394" s="2462"/>
      <c r="H394" s="2462"/>
      <c r="I394" s="2579"/>
      <c r="J394" s="2579"/>
      <c r="K394" s="2579"/>
      <c r="L394" s="2579"/>
      <c r="M394" s="2579"/>
      <c r="N394" s="2579"/>
      <c r="O394" s="2579"/>
    </row>
    <row r="395" spans="1:15" s="2463" customFormat="1">
      <c r="A395" s="2462"/>
      <c r="B395" s="2462"/>
      <c r="C395" s="2462"/>
      <c r="D395" s="2462"/>
      <c r="E395" s="2462"/>
      <c r="F395" s="2462"/>
      <c r="G395" s="2462"/>
      <c r="H395" s="2462"/>
      <c r="I395" s="2579"/>
      <c r="J395" s="2579"/>
      <c r="K395" s="2579"/>
      <c r="L395" s="2579"/>
      <c r="M395" s="2579"/>
      <c r="N395" s="2579"/>
      <c r="O395" s="2579"/>
    </row>
    <row r="396" spans="1:15" s="2463" customFormat="1">
      <c r="A396" s="2462"/>
      <c r="B396" s="2462"/>
      <c r="C396" s="2462"/>
      <c r="D396" s="2462"/>
      <c r="E396" s="2462"/>
      <c r="F396" s="2462"/>
      <c r="G396" s="2462"/>
      <c r="H396" s="2462"/>
      <c r="I396" s="2579"/>
      <c r="J396" s="2579"/>
      <c r="K396" s="2579"/>
      <c r="L396" s="2579"/>
      <c r="M396" s="2579"/>
      <c r="N396" s="2579"/>
      <c r="O396" s="2579"/>
    </row>
    <row r="397" spans="1:15" s="2463" customFormat="1">
      <c r="A397" s="2462"/>
      <c r="B397" s="2462"/>
      <c r="C397" s="2462"/>
      <c r="D397" s="2462"/>
      <c r="E397" s="2462"/>
      <c r="F397" s="2462"/>
      <c r="G397" s="2462"/>
      <c r="H397" s="2462"/>
      <c r="I397" s="2579"/>
      <c r="J397" s="2579"/>
      <c r="K397" s="2579"/>
      <c r="L397" s="2579"/>
      <c r="M397" s="2579"/>
      <c r="N397" s="2579"/>
      <c r="O397" s="2579"/>
    </row>
    <row r="398" spans="1:15" s="2463" customFormat="1">
      <c r="A398" s="2462"/>
      <c r="B398" s="2462"/>
      <c r="C398" s="2462"/>
      <c r="D398" s="2462"/>
      <c r="E398" s="2462"/>
      <c r="F398" s="2462"/>
      <c r="G398" s="2462"/>
      <c r="H398" s="2462"/>
      <c r="I398" s="2579"/>
      <c r="J398" s="2579"/>
      <c r="K398" s="2579"/>
      <c r="L398" s="2579"/>
      <c r="M398" s="2579"/>
      <c r="N398" s="2579"/>
      <c r="O398" s="2579"/>
    </row>
    <row r="399" spans="1:15" s="2463" customFormat="1">
      <c r="A399" s="2462"/>
      <c r="B399" s="2462"/>
      <c r="C399" s="2462"/>
      <c r="D399" s="2462"/>
      <c r="E399" s="2462"/>
      <c r="F399" s="2462"/>
      <c r="G399" s="2462"/>
      <c r="H399" s="2462"/>
      <c r="I399" s="2579"/>
      <c r="J399" s="2579"/>
      <c r="K399" s="2579"/>
      <c r="L399" s="2579"/>
      <c r="M399" s="2579"/>
      <c r="N399" s="2579"/>
      <c r="O399" s="2579"/>
    </row>
    <row r="400" spans="1:15" s="2463" customFormat="1">
      <c r="A400" s="2462"/>
      <c r="B400" s="2462"/>
      <c r="C400" s="2462"/>
      <c r="D400" s="2462"/>
      <c r="E400" s="2462"/>
      <c r="F400" s="2462"/>
      <c r="G400" s="2462"/>
      <c r="H400" s="2462"/>
      <c r="I400" s="2579"/>
      <c r="J400" s="2579"/>
      <c r="K400" s="2579"/>
      <c r="L400" s="2579"/>
      <c r="M400" s="2579"/>
      <c r="N400" s="2579"/>
      <c r="O400" s="2579"/>
    </row>
    <row r="401" spans="1:15" s="2463" customFormat="1">
      <c r="A401" s="2462"/>
      <c r="B401" s="2462"/>
      <c r="C401" s="2462"/>
      <c r="D401" s="2462"/>
      <c r="E401" s="2462"/>
      <c r="F401" s="2462"/>
      <c r="G401" s="2462"/>
      <c r="H401" s="2462"/>
      <c r="I401" s="2579"/>
      <c r="J401" s="2579"/>
      <c r="K401" s="2579"/>
      <c r="L401" s="2579"/>
      <c r="M401" s="2579"/>
      <c r="N401" s="2579"/>
      <c r="O401" s="2579"/>
    </row>
    <row r="402" spans="1:15" s="2463" customFormat="1">
      <c r="A402" s="2462"/>
      <c r="B402" s="2462"/>
      <c r="C402" s="2462"/>
      <c r="D402" s="2462"/>
      <c r="E402" s="2462"/>
      <c r="F402" s="2462"/>
      <c r="G402" s="2462"/>
      <c r="H402" s="2462"/>
      <c r="I402" s="2579"/>
      <c r="J402" s="2579"/>
      <c r="K402" s="2579"/>
      <c r="L402" s="2579"/>
      <c r="M402" s="2579"/>
      <c r="N402" s="2579"/>
      <c r="O402" s="2579"/>
    </row>
    <row r="403" spans="1:15" s="2463" customFormat="1">
      <c r="A403" s="2462"/>
      <c r="B403" s="2462"/>
      <c r="C403" s="2462"/>
      <c r="D403" s="2462"/>
      <c r="E403" s="2462"/>
      <c r="F403" s="2462"/>
      <c r="G403" s="2462"/>
      <c r="H403" s="2462"/>
      <c r="I403" s="2579"/>
      <c r="J403" s="2579"/>
      <c r="K403" s="2579"/>
      <c r="L403" s="2579"/>
      <c r="M403" s="2579"/>
      <c r="N403" s="2579"/>
      <c r="O403" s="2579"/>
    </row>
    <row r="404" spans="1:15" s="2463" customFormat="1">
      <c r="A404" s="2462"/>
      <c r="B404" s="2462"/>
      <c r="C404" s="2462"/>
      <c r="D404" s="2462"/>
      <c r="E404" s="2462"/>
      <c r="F404" s="2462"/>
      <c r="G404" s="2462"/>
      <c r="H404" s="2462"/>
      <c r="I404" s="2579"/>
      <c r="J404" s="2579"/>
      <c r="K404" s="2579"/>
      <c r="L404" s="2579"/>
      <c r="M404" s="2579"/>
      <c r="N404" s="2579"/>
      <c r="O404" s="2579"/>
    </row>
    <row r="405" spans="1:15" s="2463" customFormat="1">
      <c r="A405" s="2462"/>
      <c r="B405" s="2462"/>
      <c r="C405" s="2462"/>
      <c r="D405" s="2462"/>
      <c r="E405" s="2462"/>
      <c r="F405" s="2462"/>
      <c r="G405" s="2462"/>
      <c r="H405" s="2462"/>
      <c r="I405" s="2579"/>
      <c r="J405" s="2579"/>
      <c r="K405" s="2579"/>
      <c r="L405" s="2579"/>
      <c r="M405" s="2579"/>
      <c r="N405" s="2579"/>
      <c r="O405" s="2579"/>
    </row>
    <row r="406" spans="1:15" s="2463" customFormat="1">
      <c r="A406" s="2462"/>
      <c r="B406" s="2462"/>
      <c r="C406" s="2462"/>
      <c r="D406" s="2462"/>
      <c r="E406" s="2462"/>
      <c r="F406" s="2462"/>
      <c r="G406" s="2462"/>
      <c r="H406" s="2462"/>
      <c r="I406" s="2579"/>
      <c r="J406" s="2579"/>
      <c r="K406" s="2579"/>
      <c r="L406" s="2579"/>
      <c r="M406" s="2579"/>
      <c r="N406" s="2579"/>
      <c r="O406" s="2579"/>
    </row>
    <row r="407" spans="1:15" s="2463" customFormat="1">
      <c r="A407" s="2462"/>
      <c r="B407" s="2462"/>
      <c r="C407" s="2462"/>
      <c r="D407" s="2462"/>
      <c r="E407" s="2462"/>
      <c r="F407" s="2462"/>
      <c r="G407" s="2462"/>
      <c r="H407" s="2462"/>
      <c r="I407" s="2579"/>
      <c r="J407" s="2579"/>
      <c r="K407" s="2579"/>
      <c r="L407" s="2579"/>
      <c r="M407" s="2579"/>
      <c r="N407" s="2579"/>
      <c r="O407" s="2579"/>
    </row>
    <row r="408" spans="1:15" s="2463" customFormat="1">
      <c r="A408" s="2462"/>
      <c r="B408" s="2462"/>
      <c r="C408" s="2462"/>
      <c r="D408" s="2462"/>
      <c r="E408" s="2462"/>
      <c r="F408" s="2462"/>
      <c r="G408" s="2462"/>
      <c r="H408" s="2462"/>
      <c r="I408" s="2579"/>
      <c r="J408" s="2579"/>
      <c r="K408" s="2579"/>
      <c r="L408" s="2579"/>
      <c r="M408" s="2579"/>
      <c r="N408" s="2579"/>
      <c r="O408" s="2579"/>
    </row>
    <row r="414" spans="1:15" s="2463" customFormat="1">
      <c r="A414" s="2462"/>
      <c r="B414" s="2462"/>
      <c r="C414" s="2462"/>
      <c r="D414" s="2462"/>
      <c r="E414" s="2462"/>
      <c r="F414" s="2462"/>
      <c r="G414" s="2462"/>
      <c r="H414" s="2462"/>
      <c r="I414" s="2579"/>
      <c r="J414" s="2579"/>
      <c r="K414" s="2579"/>
      <c r="L414" s="2579"/>
      <c r="M414" s="2579"/>
      <c r="N414" s="2579"/>
      <c r="O414" s="2579"/>
    </row>
    <row r="415" spans="1:15" s="2463" customFormat="1">
      <c r="A415" s="2462"/>
      <c r="B415" s="2462"/>
      <c r="C415" s="2462"/>
      <c r="D415" s="2462"/>
      <c r="E415" s="2462"/>
      <c r="F415" s="2462"/>
      <c r="G415" s="2462"/>
      <c r="H415" s="2462"/>
      <c r="I415" s="2579"/>
      <c r="J415" s="2579"/>
      <c r="K415" s="2579"/>
      <c r="L415" s="2579"/>
      <c r="M415" s="2579"/>
      <c r="N415" s="2579"/>
      <c r="O415" s="2579"/>
    </row>
    <row r="416" spans="1:15" s="2463" customFormat="1">
      <c r="A416" s="2462"/>
      <c r="B416" s="2462"/>
      <c r="C416" s="2462"/>
      <c r="D416" s="2462"/>
      <c r="E416" s="2462"/>
      <c r="F416" s="2462"/>
      <c r="G416" s="2462"/>
      <c r="H416" s="2462"/>
      <c r="I416" s="2579"/>
      <c r="J416" s="2579"/>
      <c r="K416" s="2579"/>
      <c r="L416" s="2579"/>
      <c r="M416" s="2579"/>
      <c r="N416" s="2579"/>
      <c r="O416" s="2579"/>
    </row>
    <row r="417" spans="1:15" s="2463" customFormat="1">
      <c r="A417" s="2462"/>
      <c r="B417" s="2462"/>
      <c r="C417" s="2462"/>
      <c r="D417" s="2462"/>
      <c r="E417" s="2462"/>
      <c r="F417" s="2462"/>
      <c r="G417" s="2462"/>
      <c r="H417" s="2462"/>
      <c r="I417" s="2579"/>
      <c r="J417" s="2579"/>
      <c r="K417" s="2579"/>
      <c r="L417" s="2579"/>
      <c r="M417" s="2579"/>
      <c r="N417" s="2579"/>
      <c r="O417" s="2579"/>
    </row>
    <row r="418" spans="1:15" s="2463" customFormat="1">
      <c r="A418" s="2462"/>
      <c r="B418" s="2462"/>
      <c r="C418" s="2462"/>
      <c r="D418" s="2462"/>
      <c r="E418" s="2462"/>
      <c r="F418" s="2462"/>
      <c r="G418" s="2462"/>
      <c r="H418" s="2462"/>
      <c r="I418" s="2579"/>
      <c r="J418" s="2579"/>
      <c r="K418" s="2579"/>
      <c r="L418" s="2579"/>
      <c r="M418" s="2579"/>
      <c r="N418" s="2579"/>
      <c r="O418" s="2579"/>
    </row>
    <row r="419" spans="1:15" s="2463" customFormat="1">
      <c r="A419" s="2462"/>
      <c r="B419" s="2462"/>
      <c r="C419" s="2462"/>
      <c r="D419" s="2462"/>
      <c r="E419" s="2462"/>
      <c r="F419" s="2462"/>
      <c r="G419" s="2462"/>
      <c r="H419" s="2462"/>
      <c r="I419" s="2579"/>
      <c r="J419" s="2579"/>
      <c r="K419" s="2579"/>
      <c r="L419" s="2579"/>
      <c r="M419" s="2579"/>
      <c r="N419" s="2579"/>
      <c r="O419" s="2579"/>
    </row>
    <row r="420" spans="1:15" s="2463" customFormat="1">
      <c r="A420" s="2462"/>
      <c r="B420" s="2462"/>
      <c r="C420" s="2462"/>
      <c r="D420" s="2462"/>
      <c r="E420" s="2462"/>
      <c r="F420" s="2462"/>
      <c r="G420" s="2462"/>
      <c r="H420" s="2462"/>
      <c r="I420" s="2579"/>
      <c r="J420" s="2579"/>
      <c r="K420" s="2579"/>
      <c r="L420" s="2579"/>
      <c r="M420" s="2579"/>
      <c r="N420" s="2579"/>
      <c r="O420" s="2579"/>
    </row>
    <row r="421" spans="1:15" s="2463" customFormat="1">
      <c r="A421" s="2462"/>
      <c r="B421" s="2462"/>
      <c r="C421" s="2462"/>
      <c r="D421" s="2462"/>
      <c r="E421" s="2462"/>
      <c r="F421" s="2462"/>
      <c r="G421" s="2462"/>
      <c r="H421" s="2462"/>
      <c r="I421" s="2579"/>
      <c r="J421" s="2579"/>
      <c r="K421" s="2579"/>
      <c r="L421" s="2579"/>
      <c r="M421" s="2579"/>
      <c r="N421" s="2579"/>
      <c r="O421" s="2579"/>
    </row>
    <row r="422" spans="1:15" s="2463" customFormat="1">
      <c r="A422" s="2462"/>
      <c r="B422" s="2462"/>
      <c r="C422" s="2462"/>
      <c r="D422" s="2462"/>
      <c r="E422" s="2462"/>
      <c r="F422" s="2462"/>
      <c r="G422" s="2462"/>
      <c r="H422" s="2462"/>
      <c r="I422" s="2579"/>
      <c r="J422" s="2579"/>
      <c r="K422" s="2579"/>
      <c r="L422" s="2579"/>
      <c r="M422" s="2579"/>
      <c r="N422" s="2579"/>
      <c r="O422" s="2579"/>
    </row>
    <row r="423" spans="1:15" s="2463" customFormat="1">
      <c r="A423" s="2462"/>
      <c r="B423" s="2462"/>
      <c r="C423" s="2462"/>
      <c r="D423" s="2462"/>
      <c r="E423" s="2462"/>
      <c r="F423" s="2462"/>
      <c r="G423" s="2462"/>
      <c r="H423" s="2462"/>
      <c r="I423" s="2579"/>
      <c r="J423" s="2579"/>
      <c r="K423" s="2579"/>
      <c r="L423" s="2579"/>
      <c r="M423" s="2579"/>
      <c r="N423" s="2579"/>
      <c r="O423" s="2579"/>
    </row>
    <row r="424" spans="1:15" s="2463" customFormat="1">
      <c r="A424" s="2462"/>
      <c r="B424" s="2462"/>
      <c r="C424" s="2462"/>
      <c r="D424" s="2462"/>
      <c r="E424" s="2462"/>
      <c r="F424" s="2462"/>
      <c r="G424" s="2462"/>
      <c r="H424" s="2462"/>
      <c r="I424" s="2579"/>
      <c r="J424" s="2579"/>
      <c r="K424" s="2579"/>
      <c r="L424" s="2579"/>
      <c r="M424" s="2579"/>
      <c r="N424" s="2579"/>
      <c r="O424" s="2579"/>
    </row>
    <row r="425" spans="1:15" s="2463" customFormat="1">
      <c r="A425" s="2462"/>
      <c r="B425" s="2462"/>
      <c r="C425" s="2462"/>
      <c r="D425" s="2462"/>
      <c r="E425" s="2462"/>
      <c r="F425" s="2462"/>
      <c r="G425" s="2462"/>
      <c r="H425" s="2462"/>
      <c r="I425" s="2579"/>
      <c r="J425" s="2579"/>
      <c r="K425" s="2579"/>
      <c r="L425" s="2579"/>
      <c r="M425" s="2579"/>
      <c r="N425" s="2579"/>
      <c r="O425" s="2579"/>
    </row>
    <row r="426" spans="1:15" s="2463" customFormat="1">
      <c r="A426" s="2462"/>
      <c r="B426" s="2462"/>
      <c r="C426" s="2462"/>
      <c r="D426" s="2462"/>
      <c r="E426" s="2462"/>
      <c r="F426" s="2462"/>
      <c r="G426" s="2462"/>
      <c r="H426" s="2462"/>
      <c r="I426" s="2579"/>
      <c r="J426" s="2579"/>
      <c r="K426" s="2579"/>
      <c r="L426" s="2579"/>
      <c r="M426" s="2579"/>
      <c r="N426" s="2579"/>
      <c r="O426" s="2579"/>
    </row>
    <row r="427" spans="1:15" s="2463" customFormat="1">
      <c r="A427" s="2462"/>
      <c r="B427" s="2462"/>
      <c r="C427" s="2462"/>
      <c r="D427" s="2462"/>
      <c r="E427" s="2462"/>
      <c r="F427" s="2462"/>
      <c r="G427" s="2462"/>
      <c r="H427" s="2462"/>
      <c r="I427" s="2579"/>
      <c r="J427" s="2579"/>
      <c r="K427" s="2579"/>
      <c r="L427" s="2579"/>
      <c r="M427" s="2579"/>
      <c r="N427" s="2579"/>
      <c r="O427" s="2579"/>
    </row>
    <row r="428" spans="1:15" s="2463" customFormat="1">
      <c r="A428" s="2462"/>
      <c r="B428" s="2462"/>
      <c r="C428" s="2462"/>
      <c r="D428" s="2462"/>
      <c r="E428" s="2462"/>
      <c r="F428" s="2462"/>
      <c r="G428" s="2462"/>
      <c r="H428" s="2462"/>
      <c r="I428" s="2579"/>
      <c r="J428" s="2579"/>
      <c r="K428" s="2579"/>
      <c r="L428" s="2579"/>
      <c r="M428" s="2579"/>
      <c r="N428" s="2579"/>
      <c r="O428" s="2579"/>
    </row>
    <row r="429" spans="1:15" s="2463" customFormat="1">
      <c r="A429" s="2462"/>
      <c r="B429" s="2462"/>
      <c r="C429" s="2462"/>
      <c r="D429" s="2462"/>
      <c r="E429" s="2462"/>
      <c r="F429" s="2462"/>
      <c r="G429" s="2462"/>
      <c r="H429" s="2462"/>
      <c r="I429" s="2579"/>
      <c r="J429" s="2579"/>
      <c r="K429" s="2579"/>
      <c r="L429" s="2579"/>
      <c r="M429" s="2579"/>
      <c r="N429" s="2579"/>
      <c r="O429" s="2579"/>
    </row>
    <row r="430" spans="1:15" s="2463" customFormat="1">
      <c r="A430" s="2462"/>
      <c r="B430" s="2462"/>
      <c r="C430" s="2462"/>
      <c r="D430" s="2462"/>
      <c r="E430" s="2462"/>
      <c r="F430" s="2462"/>
      <c r="G430" s="2462"/>
      <c r="H430" s="2462"/>
      <c r="I430" s="2579"/>
      <c r="J430" s="2579"/>
      <c r="K430" s="2579"/>
      <c r="L430" s="2579"/>
      <c r="M430" s="2579"/>
      <c r="N430" s="2579"/>
      <c r="O430" s="2579"/>
    </row>
    <row r="431" spans="1:15" s="2463" customFormat="1">
      <c r="A431" s="2462"/>
      <c r="B431" s="2462"/>
      <c r="C431" s="2462"/>
      <c r="D431" s="2462"/>
      <c r="E431" s="2462"/>
      <c r="F431" s="2462"/>
      <c r="G431" s="2462"/>
      <c r="H431" s="2462"/>
      <c r="I431" s="2579"/>
      <c r="J431" s="2579"/>
      <c r="K431" s="2579"/>
      <c r="L431" s="2579"/>
      <c r="M431" s="2579"/>
      <c r="N431" s="2579"/>
      <c r="O431" s="2579"/>
    </row>
    <row r="432" spans="1:15" s="2463" customFormat="1">
      <c r="A432" s="2462"/>
      <c r="B432" s="2462"/>
      <c r="C432" s="2462"/>
      <c r="D432" s="2462"/>
      <c r="E432" s="2462"/>
      <c r="F432" s="2462"/>
      <c r="G432" s="2462"/>
      <c r="H432" s="2462"/>
      <c r="I432" s="2579"/>
      <c r="J432" s="2579"/>
      <c r="K432" s="2579"/>
      <c r="L432" s="2579"/>
      <c r="M432" s="2579"/>
      <c r="N432" s="2579"/>
      <c r="O432" s="2579"/>
    </row>
    <row r="433" spans="1:15" s="2463" customFormat="1">
      <c r="A433" s="2462"/>
      <c r="B433" s="2462"/>
      <c r="C433" s="2462"/>
      <c r="D433" s="2462"/>
      <c r="E433" s="2462"/>
      <c r="F433" s="2462"/>
      <c r="G433" s="2462"/>
      <c r="H433" s="2462"/>
      <c r="I433" s="2579"/>
      <c r="J433" s="2579"/>
      <c r="K433" s="2579"/>
      <c r="L433" s="2579"/>
      <c r="M433" s="2579"/>
      <c r="N433" s="2579"/>
      <c r="O433" s="2579"/>
    </row>
    <row r="434" spans="1:15" s="2463" customFormat="1">
      <c r="A434" s="2462"/>
      <c r="B434" s="2462"/>
      <c r="C434" s="2462"/>
      <c r="D434" s="2462"/>
      <c r="E434" s="2462"/>
      <c r="F434" s="2462"/>
      <c r="G434" s="2462"/>
      <c r="H434" s="2462"/>
      <c r="I434" s="2579"/>
      <c r="J434" s="2579"/>
      <c r="K434" s="2579"/>
      <c r="L434" s="2579"/>
      <c r="M434" s="2579"/>
      <c r="N434" s="2579"/>
      <c r="O434" s="2579"/>
    </row>
    <row r="435" spans="1:15" s="2463" customFormat="1">
      <c r="A435" s="2462"/>
      <c r="B435" s="2462"/>
      <c r="C435" s="2462"/>
      <c r="D435" s="2462"/>
      <c r="E435" s="2462"/>
      <c r="F435" s="2462"/>
      <c r="G435" s="2462"/>
      <c r="H435" s="2462"/>
      <c r="I435" s="2579"/>
      <c r="J435" s="2579"/>
      <c r="K435" s="2579"/>
      <c r="L435" s="2579"/>
      <c r="M435" s="2579"/>
      <c r="N435" s="2579"/>
      <c r="O435" s="2579"/>
    </row>
    <row r="436" spans="1:15" s="2463" customFormat="1">
      <c r="A436" s="2462"/>
      <c r="B436" s="2462"/>
      <c r="C436" s="2462"/>
      <c r="D436" s="2462"/>
      <c r="E436" s="2462"/>
      <c r="F436" s="2462"/>
      <c r="G436" s="2462"/>
      <c r="H436" s="2462"/>
      <c r="I436" s="2579"/>
      <c r="J436" s="2579"/>
      <c r="K436" s="2579"/>
      <c r="L436" s="2579"/>
      <c r="M436" s="2579"/>
      <c r="N436" s="2579"/>
      <c r="O436" s="2579"/>
    </row>
    <row r="437" spans="1:15" s="2463" customFormat="1">
      <c r="A437" s="2462"/>
      <c r="B437" s="2462"/>
      <c r="C437" s="2462"/>
      <c r="D437" s="2462"/>
      <c r="E437" s="2462"/>
      <c r="F437" s="2462"/>
      <c r="G437" s="2462"/>
      <c r="H437" s="2462"/>
      <c r="I437" s="2579"/>
      <c r="J437" s="2579"/>
      <c r="K437" s="2579"/>
      <c r="L437" s="2579"/>
      <c r="M437" s="2579"/>
      <c r="N437" s="2579"/>
      <c r="O437" s="2579"/>
    </row>
    <row r="438" spans="1:15" s="2463" customFormat="1">
      <c r="A438" s="2462"/>
      <c r="B438" s="2462"/>
      <c r="C438" s="2462"/>
      <c r="D438" s="2462"/>
      <c r="E438" s="2462"/>
      <c r="F438" s="2462"/>
      <c r="G438" s="2462"/>
      <c r="H438" s="2462"/>
      <c r="I438" s="2579"/>
      <c r="J438" s="2579"/>
      <c r="K438" s="2579"/>
      <c r="L438" s="2579"/>
      <c r="M438" s="2579"/>
      <c r="N438" s="2579"/>
      <c r="O438" s="2579"/>
    </row>
    <row r="439" spans="1:15" s="2463" customFormat="1">
      <c r="A439" s="2462"/>
      <c r="B439" s="2462"/>
      <c r="C439" s="2462"/>
      <c r="D439" s="2462"/>
      <c r="E439" s="2462"/>
      <c r="F439" s="2462"/>
      <c r="G439" s="2462"/>
      <c r="H439" s="2462"/>
      <c r="I439" s="2579"/>
      <c r="J439" s="2579"/>
      <c r="K439" s="2579"/>
      <c r="L439" s="2579"/>
      <c r="M439" s="2579"/>
      <c r="N439" s="2579"/>
      <c r="O439" s="2579"/>
    </row>
    <row r="440" spans="1:15" s="2463" customFormat="1">
      <c r="A440" s="2462"/>
      <c r="B440" s="2462"/>
      <c r="C440" s="2462"/>
      <c r="D440" s="2462"/>
      <c r="E440" s="2462"/>
      <c r="F440" s="2462"/>
      <c r="G440" s="2462"/>
      <c r="H440" s="2462"/>
      <c r="I440" s="2579"/>
      <c r="J440" s="2579"/>
      <c r="K440" s="2579"/>
      <c r="L440" s="2579"/>
      <c r="M440" s="2579"/>
      <c r="N440" s="2579"/>
      <c r="O440" s="2579"/>
    </row>
    <row r="441" spans="1:15" s="2463" customFormat="1">
      <c r="A441" s="2462"/>
      <c r="B441" s="2462"/>
      <c r="C441" s="2462"/>
      <c r="D441" s="2462"/>
      <c r="E441" s="2462"/>
      <c r="F441" s="2462"/>
      <c r="G441" s="2462"/>
      <c r="H441" s="2462"/>
      <c r="I441" s="2579"/>
      <c r="J441" s="2579"/>
      <c r="K441" s="2579"/>
      <c r="L441" s="2579"/>
      <c r="M441" s="2579"/>
      <c r="N441" s="2579"/>
      <c r="O441" s="2579"/>
    </row>
    <row r="442" spans="1:15" s="2463" customFormat="1">
      <c r="A442" s="2462"/>
      <c r="B442" s="2462"/>
      <c r="C442" s="2462"/>
      <c r="D442" s="2462"/>
      <c r="E442" s="2462"/>
      <c r="F442" s="2462"/>
      <c r="G442" s="2462"/>
      <c r="H442" s="2462"/>
      <c r="I442" s="2579"/>
      <c r="J442" s="2579"/>
      <c r="K442" s="2579"/>
      <c r="L442" s="2579"/>
      <c r="M442" s="2579"/>
      <c r="N442" s="2579"/>
      <c r="O442" s="2579"/>
    </row>
    <row r="443" spans="1:15" s="2463" customFormat="1">
      <c r="A443" s="2462"/>
      <c r="B443" s="2462"/>
      <c r="C443" s="2462"/>
      <c r="D443" s="2462"/>
      <c r="E443" s="2462"/>
      <c r="F443" s="2462"/>
      <c r="G443" s="2462"/>
      <c r="H443" s="2462"/>
      <c r="I443" s="2579"/>
      <c r="J443" s="2579"/>
      <c r="K443" s="2579"/>
      <c r="L443" s="2579"/>
      <c r="M443" s="2579"/>
      <c r="N443" s="2579"/>
      <c r="O443" s="2579"/>
    </row>
    <row r="444" spans="1:15" s="2463" customFormat="1">
      <c r="A444" s="2462"/>
      <c r="B444" s="2462"/>
      <c r="C444" s="2462"/>
      <c r="D444" s="2462"/>
      <c r="E444" s="2462"/>
      <c r="F444" s="2462"/>
      <c r="G444" s="2462"/>
      <c r="H444" s="2462"/>
      <c r="I444" s="2579"/>
      <c r="J444" s="2579"/>
      <c r="K444" s="2579"/>
      <c r="L444" s="2579"/>
      <c r="M444" s="2579"/>
      <c r="N444" s="2579"/>
      <c r="O444" s="2579"/>
    </row>
    <row r="445" spans="1:15" s="2463" customFormat="1">
      <c r="A445" s="2462"/>
      <c r="B445" s="2462"/>
      <c r="C445" s="2462"/>
      <c r="D445" s="2462"/>
      <c r="E445" s="2462"/>
      <c r="F445" s="2462"/>
      <c r="G445" s="2462"/>
      <c r="H445" s="2462"/>
      <c r="I445" s="2579"/>
      <c r="J445" s="2579"/>
      <c r="K445" s="2579"/>
      <c r="L445" s="2579"/>
      <c r="M445" s="2579"/>
      <c r="N445" s="2579"/>
      <c r="O445" s="2579"/>
    </row>
    <row r="446" spans="1:15" s="2463" customFormat="1">
      <c r="A446" s="2462"/>
      <c r="B446" s="2462"/>
      <c r="C446" s="2462"/>
      <c r="D446" s="2462"/>
      <c r="E446" s="2462"/>
      <c r="F446" s="2462"/>
      <c r="G446" s="2462"/>
      <c r="H446" s="2462"/>
      <c r="I446" s="2579"/>
      <c r="J446" s="2579"/>
      <c r="K446" s="2579"/>
      <c r="L446" s="2579"/>
      <c r="M446" s="2579"/>
      <c r="N446" s="2579"/>
      <c r="O446" s="2579"/>
    </row>
    <row r="447" spans="1:15" s="2463" customFormat="1">
      <c r="A447" s="2462"/>
      <c r="B447" s="2462"/>
      <c r="C447" s="2462"/>
      <c r="D447" s="2462"/>
      <c r="E447" s="2462"/>
      <c r="F447" s="2462"/>
      <c r="G447" s="2462"/>
      <c r="H447" s="2462"/>
      <c r="I447" s="2579"/>
      <c r="J447" s="2579"/>
      <c r="K447" s="2579"/>
      <c r="L447" s="2579"/>
      <c r="M447" s="2579"/>
      <c r="N447" s="2579"/>
      <c r="O447" s="2579"/>
    </row>
    <row r="448" spans="1:15" s="2463" customFormat="1">
      <c r="A448" s="2462"/>
      <c r="B448" s="2462"/>
      <c r="C448" s="2462"/>
      <c r="D448" s="2462"/>
      <c r="E448" s="2462"/>
      <c r="F448" s="2462"/>
      <c r="G448" s="2462"/>
      <c r="H448" s="2462"/>
      <c r="I448" s="2579"/>
      <c r="J448" s="2579"/>
      <c r="K448" s="2579"/>
      <c r="L448" s="2579"/>
      <c r="M448" s="2579"/>
      <c r="N448" s="2579"/>
      <c r="O448" s="2579"/>
    </row>
    <row r="449" spans="1:15" s="2463" customFormat="1">
      <c r="A449" s="2462"/>
      <c r="B449" s="2462"/>
      <c r="C449" s="2462"/>
      <c r="D449" s="2462"/>
      <c r="E449" s="2462"/>
      <c r="F449" s="2462"/>
      <c r="G449" s="2462"/>
      <c r="H449" s="2462"/>
      <c r="I449" s="2579"/>
      <c r="J449" s="2579"/>
      <c r="K449" s="2579"/>
      <c r="L449" s="2579"/>
      <c r="M449" s="2579"/>
      <c r="N449" s="2579"/>
      <c r="O449" s="2579"/>
    </row>
    <row r="450" spans="1:15" s="2463" customFormat="1">
      <c r="A450" s="2462"/>
      <c r="B450" s="2462"/>
      <c r="C450" s="2462"/>
      <c r="D450" s="2462"/>
      <c r="E450" s="2462"/>
      <c r="F450" s="2462"/>
      <c r="G450" s="2462"/>
      <c r="H450" s="2462"/>
      <c r="I450" s="2579"/>
      <c r="J450" s="2579"/>
      <c r="K450" s="2579"/>
      <c r="L450" s="2579"/>
      <c r="M450" s="2579"/>
      <c r="N450" s="2579"/>
      <c r="O450" s="2579"/>
    </row>
    <row r="451" spans="1:15" s="2463" customFormat="1">
      <c r="A451" s="2462"/>
      <c r="B451" s="2462"/>
      <c r="C451" s="2462"/>
      <c r="D451" s="2462"/>
      <c r="E451" s="2462"/>
      <c r="F451" s="2462"/>
      <c r="G451" s="2462"/>
      <c r="H451" s="2462"/>
      <c r="I451" s="2579"/>
      <c r="J451" s="2579"/>
      <c r="K451" s="2579"/>
      <c r="L451" s="2579"/>
      <c r="M451" s="2579"/>
      <c r="N451" s="2579"/>
      <c r="O451" s="2579"/>
    </row>
    <row r="456" spans="1:15" s="2463" customFormat="1">
      <c r="A456" s="2462"/>
      <c r="B456" s="2462"/>
      <c r="C456" s="2462"/>
      <c r="D456" s="2462"/>
      <c r="E456" s="2462"/>
      <c r="F456" s="2462"/>
      <c r="G456" s="2462"/>
      <c r="H456" s="2462"/>
      <c r="I456" s="2579"/>
      <c r="J456" s="2579"/>
      <c r="K456" s="2579"/>
      <c r="L456" s="2579"/>
      <c r="M456" s="2579"/>
      <c r="N456" s="2579"/>
      <c r="O456" s="2579"/>
    </row>
    <row r="457" spans="1:15" s="2463" customFormat="1">
      <c r="A457" s="2462"/>
      <c r="B457" s="2462"/>
      <c r="C457" s="2462"/>
      <c r="D457" s="2462"/>
      <c r="E457" s="2462"/>
      <c r="F457" s="2462"/>
      <c r="G457" s="2462"/>
      <c r="H457" s="2462"/>
      <c r="I457" s="2579"/>
      <c r="J457" s="2579"/>
      <c r="K457" s="2579"/>
      <c r="L457" s="2579"/>
      <c r="M457" s="2579"/>
      <c r="N457" s="2579"/>
      <c r="O457" s="2579"/>
    </row>
    <row r="458" spans="1:15" s="2463" customFormat="1">
      <c r="A458" s="2462"/>
      <c r="B458" s="2462"/>
      <c r="C458" s="2462"/>
      <c r="D458" s="2462"/>
      <c r="E458" s="2462"/>
      <c r="F458" s="2462"/>
      <c r="G458" s="2462"/>
      <c r="H458" s="2462"/>
      <c r="I458" s="2579"/>
      <c r="J458" s="2579"/>
      <c r="K458" s="2579"/>
      <c r="L458" s="2579"/>
      <c r="M458" s="2579"/>
      <c r="N458" s="2579"/>
      <c r="O458" s="2579"/>
    </row>
    <row r="459" spans="1:15" s="2463" customFormat="1">
      <c r="A459" s="2462"/>
      <c r="B459" s="2462"/>
      <c r="C459" s="2462"/>
      <c r="D459" s="2462"/>
      <c r="E459" s="2462"/>
      <c r="F459" s="2462"/>
      <c r="G459" s="2462"/>
      <c r="H459" s="2462"/>
      <c r="I459" s="2579"/>
      <c r="J459" s="2579"/>
      <c r="K459" s="2579"/>
      <c r="L459" s="2579"/>
      <c r="M459" s="2579"/>
      <c r="N459" s="2579"/>
      <c r="O459" s="2579"/>
    </row>
    <row r="460" spans="1:15" s="2463" customFormat="1">
      <c r="A460" s="2462"/>
      <c r="B460" s="2462"/>
      <c r="C460" s="2462"/>
      <c r="D460" s="2462"/>
      <c r="E460" s="2462"/>
      <c r="F460" s="2462"/>
      <c r="G460" s="2462"/>
      <c r="H460" s="2462"/>
      <c r="I460" s="2579"/>
      <c r="J460" s="2579"/>
      <c r="K460" s="2579"/>
      <c r="L460" s="2579"/>
      <c r="M460" s="2579"/>
      <c r="N460" s="2579"/>
      <c r="O460" s="2579"/>
    </row>
    <row r="461" spans="1:15" s="2463" customFormat="1">
      <c r="A461" s="2462"/>
      <c r="B461" s="2462"/>
      <c r="C461" s="2462"/>
      <c r="D461" s="2462"/>
      <c r="E461" s="2462"/>
      <c r="F461" s="2462"/>
      <c r="G461" s="2462"/>
      <c r="H461" s="2462"/>
      <c r="I461" s="2579"/>
      <c r="J461" s="2579"/>
      <c r="K461" s="2579"/>
      <c r="L461" s="2579"/>
      <c r="M461" s="2579"/>
      <c r="N461" s="2579"/>
      <c r="O461" s="2579"/>
    </row>
    <row r="462" spans="1:15" s="2463" customFormat="1">
      <c r="A462" s="2462"/>
      <c r="B462" s="2462"/>
      <c r="C462" s="2462"/>
      <c r="D462" s="2462"/>
      <c r="E462" s="2462"/>
      <c r="F462" s="2462"/>
      <c r="G462" s="2462"/>
      <c r="H462" s="2462"/>
      <c r="I462" s="2579"/>
      <c r="J462" s="2579"/>
      <c r="K462" s="2579"/>
      <c r="L462" s="2579"/>
      <c r="M462" s="2579"/>
      <c r="N462" s="2579"/>
      <c r="O462" s="2579"/>
    </row>
    <row r="463" spans="1:15" s="2463" customFormat="1">
      <c r="A463" s="2462"/>
      <c r="B463" s="2462"/>
      <c r="C463" s="2462"/>
      <c r="D463" s="2462"/>
      <c r="E463" s="2462"/>
      <c r="F463" s="2462"/>
      <c r="G463" s="2462"/>
      <c r="H463" s="2462"/>
      <c r="I463" s="2579"/>
      <c r="J463" s="2579"/>
      <c r="K463" s="2579"/>
      <c r="L463" s="2579"/>
      <c r="M463" s="2579"/>
      <c r="N463" s="2579"/>
      <c r="O463" s="2579"/>
    </row>
    <row r="464" spans="1:15" s="2463" customFormat="1">
      <c r="A464" s="2462"/>
      <c r="B464" s="2462"/>
      <c r="C464" s="2462"/>
      <c r="D464" s="2462"/>
      <c r="E464" s="2462"/>
      <c r="F464" s="2462"/>
      <c r="G464" s="2462"/>
      <c r="H464" s="2462"/>
      <c r="I464" s="2579"/>
      <c r="J464" s="2579"/>
      <c r="K464" s="2579"/>
      <c r="L464" s="2579"/>
      <c r="M464" s="2579"/>
      <c r="N464" s="2579"/>
      <c r="O464" s="2579"/>
    </row>
    <row r="465" spans="1:15" s="2463" customFormat="1">
      <c r="A465" s="2462"/>
      <c r="B465" s="2462"/>
      <c r="C465" s="2462"/>
      <c r="D465" s="2462"/>
      <c r="E465" s="2462"/>
      <c r="F465" s="2462"/>
      <c r="G465" s="2462"/>
      <c r="H465" s="2462"/>
      <c r="I465" s="2579"/>
      <c r="J465" s="2579"/>
      <c r="K465" s="2579"/>
      <c r="L465" s="2579"/>
      <c r="M465" s="2579"/>
      <c r="N465" s="2579"/>
      <c r="O465" s="2579"/>
    </row>
    <row r="466" spans="1:15" s="2463" customFormat="1">
      <c r="A466" s="2462"/>
      <c r="B466" s="2462"/>
      <c r="C466" s="2462"/>
      <c r="D466" s="2462"/>
      <c r="E466" s="2462"/>
      <c r="F466" s="2462"/>
      <c r="G466" s="2462"/>
      <c r="H466" s="2462"/>
      <c r="I466" s="2579"/>
      <c r="J466" s="2579"/>
      <c r="K466" s="2579"/>
      <c r="L466" s="2579"/>
      <c r="M466" s="2579"/>
      <c r="N466" s="2579"/>
      <c r="O466" s="2579"/>
    </row>
    <row r="467" spans="1:15" s="2463" customFormat="1">
      <c r="A467" s="2462"/>
      <c r="B467" s="2462"/>
      <c r="C467" s="2462"/>
      <c r="D467" s="2462"/>
      <c r="E467" s="2462"/>
      <c r="F467" s="2462"/>
      <c r="G467" s="2462"/>
      <c r="H467" s="2462"/>
      <c r="I467" s="2579"/>
      <c r="J467" s="2579"/>
      <c r="K467" s="2579"/>
      <c r="L467" s="2579"/>
      <c r="M467" s="2579"/>
      <c r="N467" s="2579"/>
      <c r="O467" s="2579"/>
    </row>
    <row r="468" spans="1:15" s="2463" customFormat="1">
      <c r="A468" s="2462"/>
      <c r="B468" s="2462"/>
      <c r="C468" s="2462"/>
      <c r="D468" s="2462"/>
      <c r="E468" s="2462"/>
      <c r="F468" s="2462"/>
      <c r="G468" s="2462"/>
      <c r="H468" s="2462"/>
      <c r="I468" s="2579"/>
      <c r="J468" s="2579"/>
      <c r="K468" s="2579"/>
      <c r="L468" s="2579"/>
      <c r="M468" s="2579"/>
      <c r="N468" s="2579"/>
      <c r="O468" s="2579"/>
    </row>
    <row r="469" spans="1:15" s="2463" customFormat="1">
      <c r="A469" s="2462"/>
      <c r="B469" s="2462"/>
      <c r="C469" s="2462"/>
      <c r="D469" s="2462"/>
      <c r="E469" s="2462"/>
      <c r="F469" s="2462"/>
      <c r="G469" s="2462"/>
      <c r="H469" s="2462"/>
      <c r="I469" s="2579"/>
      <c r="J469" s="2579"/>
      <c r="K469" s="2579"/>
      <c r="L469" s="2579"/>
      <c r="M469" s="2579"/>
      <c r="N469" s="2579"/>
      <c r="O469" s="2579"/>
    </row>
    <row r="470" spans="1:15" s="2463" customFormat="1">
      <c r="A470" s="2462"/>
      <c r="B470" s="2462"/>
      <c r="C470" s="2462"/>
      <c r="D470" s="2462"/>
      <c r="E470" s="2462"/>
      <c r="F470" s="2462"/>
      <c r="G470" s="2462"/>
      <c r="H470" s="2462"/>
      <c r="I470" s="2579"/>
      <c r="J470" s="2579"/>
      <c r="K470" s="2579"/>
      <c r="L470" s="2579"/>
      <c r="M470" s="2579"/>
      <c r="N470" s="2579"/>
      <c r="O470" s="2579"/>
    </row>
    <row r="471" spans="1:15" s="2463" customFormat="1">
      <c r="A471" s="2462"/>
      <c r="B471" s="2462"/>
      <c r="C471" s="2462"/>
      <c r="D471" s="2462"/>
      <c r="E471" s="2462"/>
      <c r="F471" s="2462"/>
      <c r="G471" s="2462"/>
      <c r="H471" s="2462"/>
      <c r="I471" s="2579"/>
      <c r="J471" s="2579"/>
      <c r="K471" s="2579"/>
      <c r="L471" s="2579"/>
      <c r="M471" s="2579"/>
      <c r="N471" s="2579"/>
      <c r="O471" s="2579"/>
    </row>
    <row r="472" spans="1:15" s="2463" customFormat="1">
      <c r="A472" s="2462"/>
      <c r="B472" s="2462"/>
      <c r="C472" s="2462"/>
      <c r="D472" s="2462"/>
      <c r="E472" s="2462"/>
      <c r="F472" s="2462"/>
      <c r="G472" s="2462"/>
      <c r="H472" s="2462"/>
      <c r="I472" s="2579"/>
      <c r="J472" s="2579"/>
      <c r="K472" s="2579"/>
      <c r="L472" s="2579"/>
      <c r="M472" s="2579"/>
      <c r="N472" s="2579"/>
      <c r="O472" s="2579"/>
    </row>
    <row r="473" spans="1:15" s="2463" customFormat="1">
      <c r="A473" s="2462"/>
      <c r="B473" s="2462"/>
      <c r="C473" s="2462"/>
      <c r="D473" s="2462"/>
      <c r="E473" s="2462"/>
      <c r="F473" s="2462"/>
      <c r="G473" s="2462"/>
      <c r="H473" s="2462"/>
      <c r="I473" s="2579"/>
      <c r="J473" s="2579"/>
      <c r="K473" s="2579"/>
      <c r="L473" s="2579"/>
      <c r="M473" s="2579"/>
      <c r="N473" s="2579"/>
      <c r="O473" s="2579"/>
    </row>
    <row r="474" spans="1:15" s="2463" customFormat="1">
      <c r="A474" s="2462"/>
      <c r="B474" s="2462"/>
      <c r="C474" s="2462"/>
      <c r="D474" s="2462"/>
      <c r="E474" s="2462"/>
      <c r="F474" s="2462"/>
      <c r="G474" s="2462"/>
      <c r="H474" s="2462"/>
      <c r="I474" s="2579"/>
      <c r="J474" s="2579"/>
      <c r="K474" s="2579"/>
      <c r="L474" s="2579"/>
      <c r="M474" s="2579"/>
      <c r="N474" s="2579"/>
      <c r="O474" s="2579"/>
    </row>
    <row r="475" spans="1:15" s="2463" customFormat="1">
      <c r="A475" s="2462"/>
      <c r="B475" s="2462"/>
      <c r="C475" s="2462"/>
      <c r="D475" s="2462"/>
      <c r="E475" s="2462"/>
      <c r="F475" s="2462"/>
      <c r="G475" s="2462"/>
      <c r="H475" s="2462"/>
      <c r="I475" s="2579"/>
      <c r="J475" s="2579"/>
      <c r="K475" s="2579"/>
      <c r="L475" s="2579"/>
      <c r="M475" s="2579"/>
      <c r="N475" s="2579"/>
      <c r="O475" s="2579"/>
    </row>
    <row r="476" spans="1:15" s="2463" customFormat="1">
      <c r="A476" s="2462"/>
      <c r="B476" s="2462"/>
      <c r="C476" s="2462"/>
      <c r="D476" s="2462"/>
      <c r="E476" s="2462"/>
      <c r="F476" s="2462"/>
      <c r="G476" s="2462"/>
      <c r="H476" s="2462"/>
      <c r="I476" s="2579"/>
      <c r="J476" s="2579"/>
      <c r="K476" s="2579"/>
      <c r="L476" s="2579"/>
      <c r="M476" s="2579"/>
      <c r="N476" s="2579"/>
      <c r="O476" s="2579"/>
    </row>
    <row r="477" spans="1:15" s="2463" customFormat="1">
      <c r="A477" s="2462"/>
      <c r="B477" s="2462"/>
      <c r="C477" s="2462"/>
      <c r="D477" s="2462"/>
      <c r="E477" s="2462"/>
      <c r="F477" s="2462"/>
      <c r="G477" s="2462"/>
      <c r="H477" s="2462"/>
      <c r="I477" s="2579"/>
      <c r="J477" s="2579"/>
      <c r="K477" s="2579"/>
      <c r="L477" s="2579"/>
      <c r="M477" s="2579"/>
      <c r="N477" s="2579"/>
      <c r="O477" s="2579"/>
    </row>
    <row r="478" spans="1:15" s="2463" customFormat="1">
      <c r="A478" s="2462"/>
      <c r="B478" s="2462"/>
      <c r="C478" s="2462"/>
      <c r="D478" s="2462"/>
      <c r="E478" s="2462"/>
      <c r="F478" s="2462"/>
      <c r="G478" s="2462"/>
      <c r="H478" s="2462"/>
      <c r="I478" s="2579"/>
      <c r="J478" s="2579"/>
      <c r="K478" s="2579"/>
      <c r="L478" s="2579"/>
      <c r="M478" s="2579"/>
      <c r="N478" s="2579"/>
      <c r="O478" s="2579"/>
    </row>
    <row r="479" spans="1:15" s="2463" customFormat="1">
      <c r="A479" s="2462"/>
      <c r="B479" s="2462"/>
      <c r="C479" s="2462"/>
      <c r="D479" s="2462"/>
      <c r="E479" s="2462"/>
      <c r="F479" s="2462"/>
      <c r="G479" s="2462"/>
      <c r="H479" s="2462"/>
      <c r="I479" s="2579"/>
      <c r="J479" s="2579"/>
      <c r="K479" s="2579"/>
      <c r="L479" s="2579"/>
      <c r="M479" s="2579"/>
      <c r="N479" s="2579"/>
      <c r="O479" s="2579"/>
    </row>
    <row r="480" spans="1:15" s="2463" customFormat="1">
      <c r="A480" s="2462"/>
      <c r="B480" s="2462"/>
      <c r="C480" s="2462"/>
      <c r="D480" s="2462"/>
      <c r="E480" s="2462"/>
      <c r="F480" s="2462"/>
      <c r="G480" s="2462"/>
      <c r="H480" s="2462"/>
      <c r="I480" s="2579"/>
      <c r="J480" s="2579"/>
      <c r="K480" s="2579"/>
      <c r="L480" s="2579"/>
      <c r="M480" s="2579"/>
      <c r="N480" s="2579"/>
      <c r="O480" s="2579"/>
    </row>
    <row r="481" spans="1:15" s="2463" customFormat="1">
      <c r="A481" s="2462"/>
      <c r="B481" s="2462"/>
      <c r="C481" s="2462"/>
      <c r="D481" s="2462"/>
      <c r="E481" s="2462"/>
      <c r="F481" s="2462"/>
      <c r="G481" s="2462"/>
      <c r="H481" s="2462"/>
      <c r="I481" s="2579"/>
      <c r="J481" s="2579"/>
      <c r="K481" s="2579"/>
      <c r="L481" s="2579"/>
      <c r="M481" s="2579"/>
      <c r="N481" s="2579"/>
      <c r="O481" s="2579"/>
    </row>
    <row r="482" spans="1:15" s="2463" customFormat="1">
      <c r="A482" s="2462"/>
      <c r="B482" s="2462"/>
      <c r="C482" s="2462"/>
      <c r="D482" s="2462"/>
      <c r="E482" s="2462"/>
      <c r="F482" s="2462"/>
      <c r="G482" s="2462"/>
      <c r="H482" s="2462"/>
      <c r="I482" s="2579"/>
      <c r="J482" s="2579"/>
      <c r="K482" s="2579"/>
      <c r="L482" s="2579"/>
      <c r="M482" s="2579"/>
      <c r="N482" s="2579"/>
      <c r="O482" s="2579"/>
    </row>
    <row r="483" spans="1:15" s="2463" customFormat="1">
      <c r="A483" s="2462"/>
      <c r="B483" s="2462"/>
      <c r="C483" s="2462"/>
      <c r="D483" s="2462"/>
      <c r="E483" s="2462"/>
      <c r="F483" s="2462"/>
      <c r="G483" s="2462"/>
      <c r="H483" s="2462"/>
      <c r="I483" s="2579"/>
      <c r="J483" s="2579"/>
      <c r="K483" s="2579"/>
      <c r="L483" s="2579"/>
      <c r="M483" s="2579"/>
      <c r="N483" s="2579"/>
      <c r="O483" s="2579"/>
    </row>
    <row r="484" spans="1:15" s="2463" customFormat="1">
      <c r="A484" s="2462"/>
      <c r="B484" s="2462"/>
      <c r="C484" s="2462"/>
      <c r="D484" s="2462"/>
      <c r="E484" s="2462"/>
      <c r="F484" s="2462"/>
      <c r="G484" s="2462"/>
      <c r="H484" s="2462"/>
      <c r="I484" s="2579"/>
      <c r="J484" s="2579"/>
      <c r="K484" s="2579"/>
      <c r="L484" s="2579"/>
      <c r="M484" s="2579"/>
      <c r="N484" s="2579"/>
      <c r="O484" s="2579"/>
    </row>
    <row r="485" spans="1:15" s="2463" customFormat="1">
      <c r="A485" s="2462"/>
      <c r="B485" s="2462"/>
      <c r="C485" s="2462"/>
      <c r="D485" s="2462"/>
      <c r="E485" s="2462"/>
      <c r="F485" s="2462"/>
      <c r="G485" s="2462"/>
      <c r="H485" s="2462"/>
      <c r="I485" s="2579"/>
      <c r="J485" s="2579"/>
      <c r="K485" s="2579"/>
      <c r="L485" s="2579"/>
      <c r="M485" s="2579"/>
      <c r="N485" s="2579"/>
      <c r="O485" s="2579"/>
    </row>
    <row r="486" spans="1:15" s="2463" customFormat="1">
      <c r="A486" s="2462"/>
      <c r="B486" s="2462"/>
      <c r="C486" s="2462"/>
      <c r="D486" s="2462"/>
      <c r="E486" s="2462"/>
      <c r="F486" s="2462"/>
      <c r="G486" s="2462"/>
      <c r="H486" s="2462"/>
      <c r="I486" s="2579"/>
      <c r="J486" s="2579"/>
      <c r="K486" s="2579"/>
      <c r="L486" s="2579"/>
      <c r="M486" s="2579"/>
      <c r="N486" s="2579"/>
      <c r="O486" s="2579"/>
    </row>
    <row r="487" spans="1:15" s="2463" customFormat="1">
      <c r="A487" s="2462"/>
      <c r="B487" s="2462"/>
      <c r="C487" s="2462"/>
      <c r="D487" s="2462"/>
      <c r="E487" s="2462"/>
      <c r="F487" s="2462"/>
      <c r="G487" s="2462"/>
      <c r="H487" s="2462"/>
      <c r="I487" s="2579"/>
      <c r="J487" s="2579"/>
      <c r="K487" s="2579"/>
      <c r="L487" s="2579"/>
      <c r="M487" s="2579"/>
      <c r="N487" s="2579"/>
      <c r="O487" s="2579"/>
    </row>
    <row r="488" spans="1:15" s="2463" customFormat="1">
      <c r="A488" s="2462"/>
      <c r="B488" s="2462"/>
      <c r="C488" s="2462"/>
      <c r="D488" s="2462"/>
      <c r="E488" s="2462"/>
      <c r="F488" s="2462"/>
      <c r="G488" s="2462"/>
      <c r="H488" s="2462"/>
      <c r="I488" s="2579"/>
      <c r="J488" s="2579"/>
      <c r="K488" s="2579"/>
      <c r="L488" s="2579"/>
      <c r="M488" s="2579"/>
      <c r="N488" s="2579"/>
      <c r="O488" s="2579"/>
    </row>
    <row r="489" spans="1:15" s="2463" customFormat="1">
      <c r="A489" s="2462"/>
      <c r="B489" s="2462"/>
      <c r="C489" s="2462"/>
      <c r="D489" s="2462"/>
      <c r="E489" s="2462"/>
      <c r="F489" s="2462"/>
      <c r="G489" s="2462"/>
      <c r="H489" s="2462"/>
      <c r="I489" s="2579"/>
      <c r="J489" s="2579"/>
      <c r="K489" s="2579"/>
      <c r="L489" s="2579"/>
      <c r="M489" s="2579"/>
      <c r="N489" s="2579"/>
      <c r="O489" s="2579"/>
    </row>
    <row r="490" spans="1:15" s="2463" customFormat="1">
      <c r="A490" s="2462"/>
      <c r="B490" s="2462"/>
      <c r="C490" s="2462"/>
      <c r="D490" s="2462"/>
      <c r="E490" s="2462"/>
      <c r="F490" s="2462"/>
      <c r="G490" s="2462"/>
      <c r="H490" s="2462"/>
      <c r="I490" s="2579"/>
      <c r="J490" s="2579"/>
      <c r="K490" s="2579"/>
      <c r="L490" s="2579"/>
      <c r="M490" s="2579"/>
      <c r="N490" s="2579"/>
      <c r="O490" s="2579"/>
    </row>
    <row r="491" spans="1:15" s="2463" customFormat="1">
      <c r="A491" s="2462"/>
      <c r="B491" s="2462"/>
      <c r="C491" s="2462"/>
      <c r="D491" s="2462"/>
      <c r="E491" s="2462"/>
      <c r="F491" s="2462"/>
      <c r="G491" s="2462"/>
      <c r="H491" s="2462"/>
      <c r="I491" s="2579"/>
      <c r="J491" s="2579"/>
      <c r="K491" s="2579"/>
      <c r="L491" s="2579"/>
      <c r="M491" s="2579"/>
      <c r="N491" s="2579"/>
      <c r="O491" s="2579"/>
    </row>
    <row r="492" spans="1:15" s="2463" customFormat="1">
      <c r="A492" s="2462"/>
      <c r="B492" s="2462"/>
      <c r="C492" s="2462"/>
      <c r="D492" s="2462"/>
      <c r="E492" s="2462"/>
      <c r="F492" s="2462"/>
      <c r="G492" s="2462"/>
      <c r="H492" s="2462"/>
      <c r="I492" s="2579"/>
      <c r="J492" s="2579"/>
      <c r="K492" s="2579"/>
      <c r="L492" s="2579"/>
      <c r="M492" s="2579"/>
      <c r="N492" s="2579"/>
      <c r="O492" s="2579"/>
    </row>
    <row r="498" spans="1:15" s="2463" customFormat="1">
      <c r="A498" s="2462"/>
      <c r="B498" s="2462"/>
      <c r="C498" s="2462"/>
      <c r="D498" s="2462"/>
      <c r="E498" s="2462"/>
      <c r="F498" s="2462"/>
      <c r="G498" s="2462"/>
      <c r="H498" s="2462"/>
      <c r="I498" s="2579"/>
      <c r="J498" s="2579"/>
      <c r="K498" s="2579"/>
      <c r="L498" s="2579"/>
      <c r="M498" s="2579"/>
      <c r="N498" s="2579"/>
      <c r="O498" s="2579"/>
    </row>
    <row r="499" spans="1:15" s="2463" customFormat="1">
      <c r="A499" s="2462"/>
      <c r="B499" s="2462"/>
      <c r="C499" s="2462"/>
      <c r="D499" s="2462"/>
      <c r="E499" s="2462"/>
      <c r="F499" s="2462"/>
      <c r="G499" s="2462"/>
      <c r="H499" s="2462"/>
      <c r="I499" s="2579"/>
      <c r="J499" s="2579"/>
      <c r="K499" s="2579"/>
      <c r="L499" s="2579"/>
      <c r="M499" s="2579"/>
      <c r="N499" s="2579"/>
      <c r="O499" s="2579"/>
    </row>
    <row r="500" spans="1:15" s="2463" customFormat="1">
      <c r="A500" s="2462"/>
      <c r="B500" s="2462"/>
      <c r="C500" s="2462"/>
      <c r="D500" s="2462"/>
      <c r="E500" s="2462"/>
      <c r="F500" s="2462"/>
      <c r="G500" s="2462"/>
      <c r="H500" s="2462"/>
      <c r="I500" s="2579"/>
      <c r="J500" s="2579"/>
      <c r="K500" s="2579"/>
      <c r="L500" s="2579"/>
      <c r="M500" s="2579"/>
      <c r="N500" s="2579"/>
      <c r="O500" s="2579"/>
    </row>
    <row r="501" spans="1:15" s="2463" customFormat="1">
      <c r="A501" s="2462"/>
      <c r="B501" s="2462"/>
      <c r="C501" s="2462"/>
      <c r="D501" s="2462"/>
      <c r="E501" s="2462"/>
      <c r="F501" s="2462"/>
      <c r="G501" s="2462"/>
      <c r="H501" s="2462"/>
      <c r="I501" s="2579"/>
      <c r="J501" s="2579"/>
      <c r="K501" s="2579"/>
      <c r="L501" s="2579"/>
      <c r="M501" s="2579"/>
      <c r="N501" s="2579"/>
      <c r="O501" s="2579"/>
    </row>
    <row r="502" spans="1:15" s="2463" customFormat="1">
      <c r="A502" s="2462"/>
      <c r="B502" s="2462"/>
      <c r="C502" s="2462"/>
      <c r="D502" s="2462"/>
      <c r="E502" s="2462"/>
      <c r="F502" s="2462"/>
      <c r="G502" s="2462"/>
      <c r="H502" s="2462"/>
      <c r="I502" s="2579"/>
      <c r="J502" s="2579"/>
      <c r="K502" s="2579"/>
      <c r="L502" s="2579"/>
      <c r="M502" s="2579"/>
      <c r="N502" s="2579"/>
      <c r="O502" s="2579"/>
    </row>
    <row r="503" spans="1:15" s="2463" customFormat="1">
      <c r="A503" s="2462"/>
      <c r="B503" s="2462"/>
      <c r="C503" s="2462"/>
      <c r="D503" s="2462"/>
      <c r="E503" s="2462"/>
      <c r="F503" s="2462"/>
      <c r="G503" s="2462"/>
      <c r="H503" s="2462"/>
      <c r="I503" s="2579"/>
      <c r="J503" s="2579"/>
      <c r="K503" s="2579"/>
      <c r="L503" s="2579"/>
      <c r="M503" s="2579"/>
      <c r="N503" s="2579"/>
      <c r="O503" s="2579"/>
    </row>
    <row r="504" spans="1:15" s="2463" customFormat="1">
      <c r="A504" s="2462"/>
      <c r="B504" s="2462"/>
      <c r="C504" s="2462"/>
      <c r="D504" s="2462"/>
      <c r="E504" s="2462"/>
      <c r="F504" s="2462"/>
      <c r="G504" s="2462"/>
      <c r="H504" s="2462"/>
      <c r="I504" s="2579"/>
      <c r="J504" s="2579"/>
      <c r="K504" s="2579"/>
      <c r="L504" s="2579"/>
      <c r="M504" s="2579"/>
      <c r="N504" s="2579"/>
      <c r="O504" s="2579"/>
    </row>
    <row r="505" spans="1:15" s="2463" customFormat="1">
      <c r="A505" s="2462"/>
      <c r="B505" s="2462"/>
      <c r="C505" s="2462"/>
      <c r="D505" s="2462"/>
      <c r="E505" s="2462"/>
      <c r="F505" s="2462"/>
      <c r="G505" s="2462"/>
      <c r="H505" s="2462"/>
      <c r="I505" s="2579"/>
      <c r="J505" s="2579"/>
      <c r="K505" s="2579"/>
      <c r="L505" s="2579"/>
      <c r="M505" s="2579"/>
      <c r="N505" s="2579"/>
      <c r="O505" s="2579"/>
    </row>
    <row r="506" spans="1:15" s="2463" customFormat="1">
      <c r="A506" s="2462"/>
      <c r="B506" s="2462"/>
      <c r="C506" s="2462"/>
      <c r="D506" s="2462"/>
      <c r="E506" s="2462"/>
      <c r="F506" s="2462"/>
      <c r="G506" s="2462"/>
      <c r="H506" s="2462"/>
      <c r="I506" s="2579"/>
      <c r="J506" s="2579"/>
      <c r="K506" s="2579"/>
      <c r="L506" s="2579"/>
      <c r="M506" s="2579"/>
      <c r="N506" s="2579"/>
      <c r="O506" s="2579"/>
    </row>
    <row r="507" spans="1:15" s="2463" customFormat="1">
      <c r="A507" s="2462"/>
      <c r="B507" s="2462"/>
      <c r="C507" s="2462"/>
      <c r="D507" s="2462"/>
      <c r="E507" s="2462"/>
      <c r="F507" s="2462"/>
      <c r="G507" s="2462"/>
      <c r="H507" s="2462"/>
      <c r="I507" s="2579"/>
      <c r="J507" s="2579"/>
      <c r="K507" s="2579"/>
      <c r="L507" s="2579"/>
      <c r="M507" s="2579"/>
      <c r="N507" s="2579"/>
      <c r="O507" s="2579"/>
    </row>
    <row r="508" spans="1:15" s="2463" customFormat="1">
      <c r="A508" s="2462"/>
      <c r="B508" s="2462"/>
      <c r="C508" s="2462"/>
      <c r="D508" s="2462"/>
      <c r="E508" s="2462"/>
      <c r="F508" s="2462"/>
      <c r="G508" s="2462"/>
      <c r="H508" s="2462"/>
      <c r="I508" s="2579"/>
      <c r="J508" s="2579"/>
      <c r="K508" s="2579"/>
      <c r="L508" s="2579"/>
      <c r="M508" s="2579"/>
      <c r="N508" s="2579"/>
      <c r="O508" s="2579"/>
    </row>
    <row r="509" spans="1:15" s="2463" customFormat="1">
      <c r="A509" s="2462"/>
      <c r="B509" s="2462"/>
      <c r="C509" s="2462"/>
      <c r="D509" s="2462"/>
      <c r="E509" s="2462"/>
      <c r="F509" s="2462"/>
      <c r="G509" s="2462"/>
      <c r="H509" s="2462"/>
      <c r="I509" s="2579"/>
      <c r="J509" s="2579"/>
      <c r="K509" s="2579"/>
      <c r="L509" s="2579"/>
      <c r="M509" s="2579"/>
      <c r="N509" s="2579"/>
      <c r="O509" s="2579"/>
    </row>
    <row r="510" spans="1:15" s="2463" customFormat="1">
      <c r="A510" s="2462"/>
      <c r="B510" s="2462"/>
      <c r="C510" s="2462"/>
      <c r="D510" s="2462"/>
      <c r="E510" s="2462"/>
      <c r="F510" s="2462"/>
      <c r="G510" s="2462"/>
      <c r="H510" s="2462"/>
      <c r="I510" s="2579"/>
      <c r="J510" s="2579"/>
      <c r="K510" s="2579"/>
      <c r="L510" s="2579"/>
      <c r="M510" s="2579"/>
      <c r="N510" s="2579"/>
      <c r="O510" s="2579"/>
    </row>
    <row r="511" spans="1:15" s="2463" customFormat="1">
      <c r="A511" s="2462"/>
      <c r="B511" s="2462"/>
      <c r="C511" s="2462"/>
      <c r="D511" s="2462"/>
      <c r="E511" s="2462"/>
      <c r="F511" s="2462"/>
      <c r="G511" s="2462"/>
      <c r="H511" s="2462"/>
      <c r="I511" s="2579"/>
      <c r="J511" s="2579"/>
      <c r="K511" s="2579"/>
      <c r="L511" s="2579"/>
      <c r="M511" s="2579"/>
      <c r="N511" s="2579"/>
      <c r="O511" s="2579"/>
    </row>
    <row r="512" spans="1:15" s="2463" customFormat="1">
      <c r="A512" s="2462"/>
      <c r="B512" s="2462"/>
      <c r="C512" s="2462"/>
      <c r="D512" s="2462"/>
      <c r="E512" s="2462"/>
      <c r="F512" s="2462"/>
      <c r="G512" s="2462"/>
      <c r="H512" s="2462"/>
      <c r="I512" s="2579"/>
      <c r="J512" s="2579"/>
      <c r="K512" s="2579"/>
      <c r="L512" s="2579"/>
      <c r="M512" s="2579"/>
      <c r="N512" s="2579"/>
      <c r="O512" s="2579"/>
    </row>
    <row r="513" spans="1:15" s="2463" customFormat="1">
      <c r="A513" s="2462"/>
      <c r="B513" s="2462"/>
      <c r="C513" s="2462"/>
      <c r="D513" s="2462"/>
      <c r="E513" s="2462"/>
      <c r="F513" s="2462"/>
      <c r="G513" s="2462"/>
      <c r="H513" s="2462"/>
      <c r="I513" s="2579"/>
      <c r="J513" s="2579"/>
      <c r="K513" s="2579"/>
      <c r="L513" s="2579"/>
      <c r="M513" s="2579"/>
      <c r="N513" s="2579"/>
      <c r="O513" s="2579"/>
    </row>
    <row r="514" spans="1:15" s="2463" customFormat="1">
      <c r="A514" s="2462"/>
      <c r="B514" s="2462"/>
      <c r="C514" s="2462"/>
      <c r="D514" s="2462"/>
      <c r="E514" s="2462"/>
      <c r="F514" s="2462"/>
      <c r="G514" s="2462"/>
      <c r="H514" s="2462"/>
      <c r="I514" s="2579"/>
      <c r="J514" s="2579"/>
      <c r="K514" s="2579"/>
      <c r="L514" s="2579"/>
      <c r="M514" s="2579"/>
      <c r="N514" s="2579"/>
      <c r="O514" s="2579"/>
    </row>
    <row r="515" spans="1:15" s="2463" customFormat="1">
      <c r="A515" s="2462"/>
      <c r="B515" s="2462"/>
      <c r="C515" s="2462"/>
      <c r="D515" s="2462"/>
      <c r="E515" s="2462"/>
      <c r="F515" s="2462"/>
      <c r="G515" s="2462"/>
      <c r="H515" s="2462"/>
      <c r="I515" s="2579"/>
      <c r="J515" s="2579"/>
      <c r="K515" s="2579"/>
      <c r="L515" s="2579"/>
      <c r="M515" s="2579"/>
      <c r="N515" s="2579"/>
      <c r="O515" s="2579"/>
    </row>
    <row r="516" spans="1:15" s="2463" customFormat="1">
      <c r="A516" s="2462"/>
      <c r="B516" s="2462"/>
      <c r="C516" s="2462"/>
      <c r="D516" s="2462"/>
      <c r="E516" s="2462"/>
      <c r="F516" s="2462"/>
      <c r="G516" s="2462"/>
      <c r="H516" s="2462"/>
      <c r="I516" s="2579"/>
      <c r="J516" s="2579"/>
      <c r="K516" s="2579"/>
      <c r="L516" s="2579"/>
      <c r="M516" s="2579"/>
      <c r="N516" s="2579"/>
      <c r="O516" s="2579"/>
    </row>
    <row r="517" spans="1:15" s="2463" customFormat="1">
      <c r="A517" s="2462"/>
      <c r="B517" s="2462"/>
      <c r="C517" s="2462"/>
      <c r="D517" s="2462"/>
      <c r="E517" s="2462"/>
      <c r="F517" s="2462"/>
      <c r="G517" s="2462"/>
      <c r="H517" s="2462"/>
      <c r="I517" s="2579"/>
      <c r="J517" s="2579"/>
      <c r="K517" s="2579"/>
      <c r="L517" s="2579"/>
      <c r="M517" s="2579"/>
      <c r="N517" s="2579"/>
      <c r="O517" s="2579"/>
    </row>
    <row r="518" spans="1:15" s="2463" customFormat="1">
      <c r="A518" s="2462"/>
      <c r="B518" s="2462"/>
      <c r="C518" s="2462"/>
      <c r="D518" s="2462"/>
      <c r="E518" s="2462"/>
      <c r="F518" s="2462"/>
      <c r="G518" s="2462"/>
      <c r="H518" s="2462"/>
      <c r="I518" s="2579"/>
      <c r="J518" s="2579"/>
      <c r="K518" s="2579"/>
      <c r="L518" s="2579"/>
      <c r="M518" s="2579"/>
      <c r="N518" s="2579"/>
      <c r="O518" s="2579"/>
    </row>
    <row r="519" spans="1:15" s="2463" customFormat="1">
      <c r="A519" s="2462"/>
      <c r="B519" s="2462"/>
      <c r="C519" s="2462"/>
      <c r="D519" s="2462"/>
      <c r="E519" s="2462"/>
      <c r="F519" s="2462"/>
      <c r="G519" s="2462"/>
      <c r="H519" s="2462"/>
      <c r="I519" s="2579"/>
      <c r="J519" s="2579"/>
      <c r="K519" s="2579"/>
      <c r="L519" s="2579"/>
      <c r="M519" s="2579"/>
      <c r="N519" s="2579"/>
      <c r="O519" s="2579"/>
    </row>
    <row r="520" spans="1:15" s="2463" customFormat="1">
      <c r="A520" s="2462"/>
      <c r="B520" s="2462"/>
      <c r="C520" s="2462"/>
      <c r="D520" s="2462"/>
      <c r="E520" s="2462"/>
      <c r="F520" s="2462"/>
      <c r="G520" s="2462"/>
      <c r="H520" s="2462"/>
      <c r="I520" s="2579"/>
      <c r="J520" s="2579"/>
      <c r="K520" s="2579"/>
      <c r="L520" s="2579"/>
      <c r="M520" s="2579"/>
      <c r="N520" s="2579"/>
      <c r="O520" s="2579"/>
    </row>
    <row r="521" spans="1:15" s="2463" customFormat="1">
      <c r="A521" s="2462"/>
      <c r="B521" s="2462"/>
      <c r="C521" s="2462"/>
      <c r="D521" s="2462"/>
      <c r="E521" s="2462"/>
      <c r="F521" s="2462"/>
      <c r="G521" s="2462"/>
      <c r="H521" s="2462"/>
      <c r="I521" s="2579"/>
      <c r="J521" s="2579"/>
      <c r="K521" s="2579"/>
      <c r="L521" s="2579"/>
      <c r="M521" s="2579"/>
      <c r="N521" s="2579"/>
      <c r="O521" s="2579"/>
    </row>
    <row r="522" spans="1:15" s="2463" customFormat="1">
      <c r="A522" s="2462"/>
      <c r="B522" s="2462"/>
      <c r="C522" s="2462"/>
      <c r="D522" s="2462"/>
      <c r="E522" s="2462"/>
      <c r="F522" s="2462"/>
      <c r="G522" s="2462"/>
      <c r="H522" s="2462"/>
      <c r="I522" s="2579"/>
      <c r="J522" s="2579"/>
      <c r="K522" s="2579"/>
      <c r="L522" s="2579"/>
      <c r="M522" s="2579"/>
      <c r="N522" s="2579"/>
      <c r="O522" s="2579"/>
    </row>
    <row r="523" spans="1:15" s="2463" customFormat="1">
      <c r="A523" s="2462"/>
      <c r="B523" s="2462"/>
      <c r="C523" s="2462"/>
      <c r="D523" s="2462"/>
      <c r="E523" s="2462"/>
      <c r="F523" s="2462"/>
      <c r="G523" s="2462"/>
      <c r="H523" s="2462"/>
      <c r="I523" s="2579"/>
      <c r="J523" s="2579"/>
      <c r="K523" s="2579"/>
      <c r="L523" s="2579"/>
      <c r="M523" s="2579"/>
      <c r="N523" s="2579"/>
      <c r="O523" s="2579"/>
    </row>
    <row r="524" spans="1:15" s="2463" customFormat="1">
      <c r="A524" s="2462"/>
      <c r="B524" s="2462"/>
      <c r="C524" s="2462"/>
      <c r="D524" s="2462"/>
      <c r="E524" s="2462"/>
      <c r="F524" s="2462"/>
      <c r="G524" s="2462"/>
      <c r="H524" s="2462"/>
      <c r="I524" s="2579"/>
      <c r="J524" s="2579"/>
      <c r="K524" s="2579"/>
      <c r="L524" s="2579"/>
      <c r="M524" s="2579"/>
      <c r="N524" s="2579"/>
      <c r="O524" s="2579"/>
    </row>
    <row r="525" spans="1:15" s="2463" customFormat="1">
      <c r="A525" s="2462"/>
      <c r="B525" s="2462"/>
      <c r="C525" s="2462"/>
      <c r="D525" s="2462"/>
      <c r="E525" s="2462"/>
      <c r="F525" s="2462"/>
      <c r="G525" s="2462"/>
      <c r="H525" s="2462"/>
      <c r="I525" s="2579"/>
      <c r="J525" s="2579"/>
      <c r="K525" s="2579"/>
      <c r="L525" s="2579"/>
      <c r="M525" s="2579"/>
      <c r="N525" s="2579"/>
      <c r="O525" s="2579"/>
    </row>
    <row r="526" spans="1:15" s="2463" customFormat="1">
      <c r="A526" s="2462"/>
      <c r="B526" s="2462"/>
      <c r="C526" s="2462"/>
      <c r="D526" s="2462"/>
      <c r="E526" s="2462"/>
      <c r="F526" s="2462"/>
      <c r="G526" s="2462"/>
      <c r="H526" s="2462"/>
      <c r="I526" s="2579"/>
      <c r="J526" s="2579"/>
      <c r="K526" s="2579"/>
      <c r="L526" s="2579"/>
      <c r="M526" s="2579"/>
      <c r="N526" s="2579"/>
      <c r="O526" s="2579"/>
    </row>
    <row r="527" spans="1:15" s="2463" customFormat="1">
      <c r="A527" s="2462"/>
      <c r="B527" s="2462"/>
      <c r="C527" s="2462"/>
      <c r="D527" s="2462"/>
      <c r="E527" s="2462"/>
      <c r="F527" s="2462"/>
      <c r="G527" s="2462"/>
      <c r="H527" s="2462"/>
      <c r="I527" s="2579"/>
      <c r="J527" s="2579"/>
      <c r="K527" s="2579"/>
      <c r="L527" s="2579"/>
      <c r="M527" s="2579"/>
      <c r="N527" s="2579"/>
      <c r="O527" s="2579"/>
    </row>
    <row r="528" spans="1:15" s="2463" customFormat="1">
      <c r="A528" s="2462"/>
      <c r="B528" s="2462"/>
      <c r="C528" s="2462"/>
      <c r="D528" s="2462"/>
      <c r="E528" s="2462"/>
      <c r="F528" s="2462"/>
      <c r="G528" s="2462"/>
      <c r="H528" s="2462"/>
      <c r="I528" s="2579"/>
      <c r="J528" s="2579"/>
      <c r="K528" s="2579"/>
      <c r="L528" s="2579"/>
      <c r="M528" s="2579"/>
      <c r="N528" s="2579"/>
      <c r="O528" s="2579"/>
    </row>
    <row r="529" spans="1:15" s="2463" customFormat="1">
      <c r="A529" s="2462"/>
      <c r="B529" s="2462"/>
      <c r="C529" s="2462"/>
      <c r="D529" s="2462"/>
      <c r="E529" s="2462"/>
      <c r="F529" s="2462"/>
      <c r="G529" s="2462"/>
      <c r="H529" s="2462"/>
      <c r="I529" s="2579"/>
      <c r="J529" s="2579"/>
      <c r="K529" s="2579"/>
      <c r="L529" s="2579"/>
      <c r="M529" s="2579"/>
      <c r="N529" s="2579"/>
      <c r="O529" s="2579"/>
    </row>
    <row r="530" spans="1:15" s="2463" customFormat="1">
      <c r="A530" s="2462"/>
      <c r="B530" s="2462"/>
      <c r="C530" s="2462"/>
      <c r="D530" s="2462"/>
      <c r="E530" s="2462"/>
      <c r="F530" s="2462"/>
      <c r="G530" s="2462"/>
      <c r="H530" s="2462"/>
      <c r="I530" s="2579"/>
      <c r="J530" s="2579"/>
      <c r="K530" s="2579"/>
      <c r="L530" s="2579"/>
      <c r="M530" s="2579"/>
      <c r="N530" s="2579"/>
      <c r="O530" s="2579"/>
    </row>
    <row r="531" spans="1:15" s="2463" customFormat="1">
      <c r="A531" s="2462"/>
      <c r="B531" s="2462"/>
      <c r="C531" s="2462"/>
      <c r="D531" s="2462"/>
      <c r="E531" s="2462"/>
      <c r="F531" s="2462"/>
      <c r="G531" s="2462"/>
      <c r="H531" s="2462"/>
      <c r="I531" s="2579"/>
      <c r="J531" s="2579"/>
      <c r="K531" s="2579"/>
      <c r="L531" s="2579"/>
      <c r="M531" s="2579"/>
      <c r="N531" s="2579"/>
      <c r="O531" s="2579"/>
    </row>
    <row r="532" spans="1:15" s="2463" customFormat="1">
      <c r="A532" s="2462"/>
      <c r="B532" s="2462"/>
      <c r="C532" s="2462"/>
      <c r="D532" s="2462"/>
      <c r="E532" s="2462"/>
      <c r="F532" s="2462"/>
      <c r="G532" s="2462"/>
      <c r="H532" s="2462"/>
      <c r="I532" s="2579"/>
      <c r="J532" s="2579"/>
      <c r="K532" s="2579"/>
      <c r="L532" s="2579"/>
      <c r="M532" s="2579"/>
      <c r="N532" s="2579"/>
      <c r="O532" s="2579"/>
    </row>
    <row r="533" spans="1:15" s="2463" customFormat="1">
      <c r="A533" s="2462"/>
      <c r="B533" s="2462"/>
      <c r="C533" s="2462"/>
      <c r="D533" s="2462"/>
      <c r="E533" s="2462"/>
      <c r="F533" s="2462"/>
      <c r="G533" s="2462"/>
      <c r="H533" s="2462"/>
      <c r="I533" s="2579"/>
      <c r="J533" s="2579"/>
      <c r="K533" s="2579"/>
      <c r="L533" s="2579"/>
      <c r="M533" s="2579"/>
      <c r="N533" s="2579"/>
      <c r="O533" s="2579"/>
    </row>
    <row r="534" spans="1:15" s="2463" customFormat="1">
      <c r="A534" s="2462"/>
      <c r="B534" s="2462"/>
      <c r="C534" s="2462"/>
      <c r="D534" s="2462"/>
      <c r="E534" s="2462"/>
      <c r="F534" s="2462"/>
      <c r="G534" s="2462"/>
      <c r="H534" s="2462"/>
      <c r="I534" s="2579"/>
      <c r="J534" s="2579"/>
      <c r="K534" s="2579"/>
      <c r="L534" s="2579"/>
      <c r="M534" s="2579"/>
      <c r="N534" s="2579"/>
      <c r="O534" s="2579"/>
    </row>
    <row r="535" spans="1:15" s="2463" customFormat="1">
      <c r="A535" s="2462"/>
      <c r="B535" s="2462"/>
      <c r="C535" s="2462"/>
      <c r="D535" s="2462"/>
      <c r="E535" s="2462"/>
      <c r="F535" s="2462"/>
      <c r="G535" s="2462"/>
      <c r="H535" s="2462"/>
      <c r="I535" s="2579"/>
      <c r="J535" s="2579"/>
      <c r="K535" s="2579"/>
      <c r="L535" s="2579"/>
      <c r="M535" s="2579"/>
      <c r="N535" s="2579"/>
      <c r="O535" s="2579"/>
    </row>
    <row r="536" spans="1:15" s="2463" customFormat="1">
      <c r="A536" s="2462"/>
      <c r="B536" s="2462"/>
      <c r="C536" s="2462"/>
      <c r="D536" s="2462"/>
      <c r="E536" s="2462"/>
      <c r="F536" s="2462"/>
      <c r="G536" s="2462"/>
      <c r="H536" s="2462"/>
      <c r="I536" s="2579"/>
      <c r="J536" s="2579"/>
      <c r="K536" s="2579"/>
      <c r="L536" s="2579"/>
      <c r="M536" s="2579"/>
      <c r="N536" s="2579"/>
      <c r="O536" s="2579"/>
    </row>
    <row r="543" spans="1:15" s="2463" customFormat="1">
      <c r="A543" s="2462"/>
      <c r="B543" s="2462"/>
      <c r="C543" s="2462"/>
      <c r="D543" s="2462"/>
      <c r="E543" s="2462"/>
      <c r="F543" s="2462"/>
      <c r="G543" s="2462"/>
      <c r="H543" s="2462"/>
      <c r="I543" s="2579"/>
      <c r="J543" s="2579"/>
      <c r="K543" s="2579"/>
      <c r="L543" s="2579"/>
      <c r="M543" s="2579"/>
      <c r="N543" s="2579"/>
      <c r="O543" s="2579"/>
    </row>
    <row r="544" spans="1:15" s="2463" customFormat="1">
      <c r="A544" s="2462"/>
      <c r="B544" s="2462"/>
      <c r="C544" s="2462"/>
      <c r="D544" s="2462"/>
      <c r="E544" s="2462"/>
      <c r="F544" s="2462"/>
      <c r="G544" s="2462"/>
      <c r="H544" s="2462"/>
      <c r="I544" s="2579"/>
      <c r="J544" s="2579"/>
      <c r="K544" s="2579"/>
      <c r="L544" s="2579"/>
      <c r="M544" s="2579"/>
      <c r="N544" s="2579"/>
      <c r="O544" s="2579"/>
    </row>
    <row r="545" spans="1:15" s="2463" customFormat="1">
      <c r="A545" s="2462"/>
      <c r="B545" s="2462"/>
      <c r="C545" s="2462"/>
      <c r="D545" s="2462"/>
      <c r="E545" s="2462"/>
      <c r="F545" s="2462"/>
      <c r="G545" s="2462"/>
      <c r="H545" s="2462"/>
      <c r="I545" s="2579"/>
      <c r="J545" s="2579"/>
      <c r="K545" s="2579"/>
      <c r="L545" s="2579"/>
      <c r="M545" s="2579"/>
      <c r="N545" s="2579"/>
      <c r="O545" s="2579"/>
    </row>
    <row r="546" spans="1:15" s="2463" customFormat="1">
      <c r="A546" s="2462"/>
      <c r="B546" s="2462"/>
      <c r="C546" s="2462"/>
      <c r="D546" s="2462"/>
      <c r="E546" s="2462"/>
      <c r="F546" s="2462"/>
      <c r="G546" s="2462"/>
      <c r="H546" s="2462"/>
      <c r="I546" s="2579"/>
      <c r="J546" s="2579"/>
      <c r="K546" s="2579"/>
      <c r="L546" s="2579"/>
      <c r="M546" s="2579"/>
      <c r="N546" s="2579"/>
      <c r="O546" s="2579"/>
    </row>
    <row r="547" spans="1:15" s="2463" customFormat="1">
      <c r="A547" s="2462"/>
      <c r="B547" s="2462"/>
      <c r="C547" s="2462"/>
      <c r="D547" s="2462"/>
      <c r="E547" s="2462"/>
      <c r="F547" s="2462"/>
      <c r="G547" s="2462"/>
      <c r="H547" s="2462"/>
      <c r="I547" s="2579"/>
      <c r="J547" s="2579"/>
      <c r="K547" s="2579"/>
      <c r="L547" s="2579"/>
      <c r="M547" s="2579"/>
      <c r="N547" s="2579"/>
      <c r="O547" s="2579"/>
    </row>
    <row r="548" spans="1:15" s="2463" customFormat="1">
      <c r="A548" s="2462"/>
      <c r="B548" s="2462"/>
      <c r="C548" s="2462"/>
      <c r="D548" s="2462"/>
      <c r="E548" s="2462"/>
      <c r="F548" s="2462"/>
      <c r="G548" s="2462"/>
      <c r="H548" s="2462"/>
      <c r="I548" s="2579"/>
      <c r="J548" s="2579"/>
      <c r="K548" s="2579"/>
      <c r="L548" s="2579"/>
      <c r="M548" s="2579"/>
      <c r="N548" s="2579"/>
      <c r="O548" s="2579"/>
    </row>
    <row r="549" spans="1:15" s="2463" customFormat="1">
      <c r="A549" s="2462"/>
      <c r="B549" s="2462"/>
      <c r="C549" s="2462"/>
      <c r="D549" s="2462"/>
      <c r="E549" s="2462"/>
      <c r="F549" s="2462"/>
      <c r="G549" s="2462"/>
      <c r="H549" s="2462"/>
      <c r="I549" s="2579"/>
      <c r="J549" s="2579"/>
      <c r="K549" s="2579"/>
      <c r="L549" s="2579"/>
      <c r="M549" s="2579"/>
      <c r="N549" s="2579"/>
      <c r="O549" s="2579"/>
    </row>
    <row r="550" spans="1:15" s="2463" customFormat="1">
      <c r="A550" s="2462"/>
      <c r="B550" s="2462"/>
      <c r="C550" s="2462"/>
      <c r="D550" s="2462"/>
      <c r="E550" s="2462"/>
      <c r="F550" s="2462"/>
      <c r="G550" s="2462"/>
      <c r="H550" s="2462"/>
      <c r="I550" s="2579"/>
      <c r="J550" s="2579"/>
      <c r="K550" s="2579"/>
      <c r="L550" s="2579"/>
      <c r="M550" s="2579"/>
      <c r="N550" s="2579"/>
      <c r="O550" s="2579"/>
    </row>
    <row r="551" spans="1:15" s="2463" customFormat="1">
      <c r="A551" s="2462"/>
      <c r="B551" s="2462"/>
      <c r="C551" s="2462"/>
      <c r="D551" s="2462"/>
      <c r="E551" s="2462"/>
      <c r="F551" s="2462"/>
      <c r="G551" s="2462"/>
      <c r="H551" s="2462"/>
      <c r="I551" s="2579"/>
      <c r="J551" s="2579"/>
      <c r="K551" s="2579"/>
      <c r="L551" s="2579"/>
      <c r="M551" s="2579"/>
      <c r="N551" s="2579"/>
      <c r="O551" s="2579"/>
    </row>
    <row r="552" spans="1:15" s="2463" customFormat="1">
      <c r="A552" s="2462"/>
      <c r="B552" s="2462"/>
      <c r="C552" s="2462"/>
      <c r="D552" s="2462"/>
      <c r="E552" s="2462"/>
      <c r="F552" s="2462"/>
      <c r="G552" s="2462"/>
      <c r="H552" s="2462"/>
      <c r="I552" s="2579"/>
      <c r="J552" s="2579"/>
      <c r="K552" s="2579"/>
      <c r="L552" s="2579"/>
      <c r="M552" s="2579"/>
      <c r="N552" s="2579"/>
      <c r="O552" s="2579"/>
    </row>
    <row r="553" spans="1:15" s="2463" customFormat="1">
      <c r="A553" s="2462"/>
      <c r="B553" s="2462"/>
      <c r="C553" s="2462"/>
      <c r="D553" s="2462"/>
      <c r="E553" s="2462"/>
      <c r="F553" s="2462"/>
      <c r="G553" s="2462"/>
      <c r="H553" s="2462"/>
      <c r="I553" s="2579"/>
      <c r="J553" s="2579"/>
      <c r="K553" s="2579"/>
      <c r="L553" s="2579"/>
      <c r="M553" s="2579"/>
      <c r="N553" s="2579"/>
      <c r="O553" s="2579"/>
    </row>
    <row r="554" spans="1:15" s="2463" customFormat="1">
      <c r="A554" s="2462"/>
      <c r="B554" s="2462"/>
      <c r="C554" s="2462"/>
      <c r="D554" s="2462"/>
      <c r="E554" s="2462"/>
      <c r="F554" s="2462"/>
      <c r="G554" s="2462"/>
      <c r="H554" s="2462"/>
      <c r="I554" s="2579"/>
      <c r="J554" s="2579"/>
      <c r="K554" s="2579"/>
      <c r="L554" s="2579"/>
      <c r="M554" s="2579"/>
      <c r="N554" s="2579"/>
      <c r="O554" s="2579"/>
    </row>
    <row r="555" spans="1:15" s="2463" customFormat="1">
      <c r="A555" s="2462"/>
      <c r="B555" s="2462"/>
      <c r="C555" s="2462"/>
      <c r="D555" s="2462"/>
      <c r="E555" s="2462"/>
      <c r="F555" s="2462"/>
      <c r="G555" s="2462"/>
      <c r="H555" s="2462"/>
      <c r="I555" s="2579"/>
      <c r="J555" s="2579"/>
      <c r="K555" s="2579"/>
      <c r="L555" s="2579"/>
      <c r="M555" s="2579"/>
      <c r="N555" s="2579"/>
      <c r="O555" s="2579"/>
    </row>
    <row r="556" spans="1:15" s="2463" customFormat="1">
      <c r="A556" s="2462"/>
      <c r="B556" s="2462"/>
      <c r="C556" s="2462"/>
      <c r="D556" s="2462"/>
      <c r="E556" s="2462"/>
      <c r="F556" s="2462"/>
      <c r="G556" s="2462"/>
      <c r="H556" s="2462"/>
      <c r="I556" s="2579"/>
      <c r="J556" s="2579"/>
      <c r="K556" s="2579"/>
      <c r="L556" s="2579"/>
      <c r="M556" s="2579"/>
      <c r="N556" s="2579"/>
      <c r="O556" s="2579"/>
    </row>
    <row r="557" spans="1:15" s="2463" customFormat="1">
      <c r="A557" s="2462"/>
      <c r="B557" s="2462"/>
      <c r="C557" s="2462"/>
      <c r="D557" s="2462"/>
      <c r="E557" s="2462"/>
      <c r="F557" s="2462"/>
      <c r="G557" s="2462"/>
      <c r="H557" s="2462"/>
      <c r="I557" s="2579"/>
      <c r="J557" s="2579"/>
      <c r="K557" s="2579"/>
      <c r="L557" s="2579"/>
      <c r="M557" s="2579"/>
      <c r="N557" s="2579"/>
      <c r="O557" s="2579"/>
    </row>
    <row r="558" spans="1:15" s="2463" customFormat="1">
      <c r="A558" s="2462"/>
      <c r="B558" s="2462"/>
      <c r="C558" s="2462"/>
      <c r="D558" s="2462"/>
      <c r="E558" s="2462"/>
      <c r="F558" s="2462"/>
      <c r="G558" s="2462"/>
      <c r="H558" s="2462"/>
      <c r="I558" s="2579"/>
      <c r="J558" s="2579"/>
      <c r="K558" s="2579"/>
      <c r="L558" s="2579"/>
      <c r="M558" s="2579"/>
      <c r="N558" s="2579"/>
      <c r="O558" s="2579"/>
    </row>
    <row r="559" spans="1:15" s="2463" customFormat="1">
      <c r="A559" s="2462"/>
      <c r="B559" s="2462"/>
      <c r="C559" s="2462"/>
      <c r="D559" s="2462"/>
      <c r="E559" s="2462"/>
      <c r="F559" s="2462"/>
      <c r="G559" s="2462"/>
      <c r="H559" s="2462"/>
      <c r="I559" s="2579"/>
      <c r="J559" s="2579"/>
      <c r="K559" s="2579"/>
      <c r="L559" s="2579"/>
      <c r="M559" s="2579"/>
      <c r="N559" s="2579"/>
      <c r="O559" s="2579"/>
    </row>
    <row r="560" spans="1:15" s="2463" customFormat="1" ht="7.5" customHeight="1">
      <c r="A560" s="2462"/>
      <c r="B560" s="2462"/>
      <c r="C560" s="2462"/>
      <c r="D560" s="2462"/>
      <c r="E560" s="2462"/>
      <c r="F560" s="2462"/>
      <c r="G560" s="2462"/>
      <c r="H560" s="2462"/>
      <c r="I560" s="2579"/>
      <c r="J560" s="2579"/>
      <c r="K560" s="2579"/>
      <c r="L560" s="2579"/>
      <c r="M560" s="2579"/>
      <c r="N560" s="2579"/>
      <c r="O560" s="2579"/>
    </row>
    <row r="561" spans="1:15" s="2463" customFormat="1" ht="7.5" customHeight="1">
      <c r="A561" s="2462"/>
      <c r="B561" s="2462"/>
      <c r="C561" s="2462"/>
      <c r="D561" s="2462"/>
      <c r="E561" s="2462"/>
      <c r="F561" s="2462"/>
      <c r="G561" s="2462"/>
      <c r="H561" s="2462"/>
      <c r="I561" s="2579"/>
      <c r="J561" s="2579"/>
      <c r="K561" s="2579"/>
      <c r="L561" s="2579"/>
      <c r="M561" s="2579"/>
      <c r="N561" s="2579"/>
      <c r="O561" s="2579"/>
    </row>
    <row r="562" spans="1:15" s="2463" customFormat="1" ht="7.5" customHeight="1">
      <c r="A562" s="2462"/>
      <c r="B562" s="2462"/>
      <c r="C562" s="2462"/>
      <c r="D562" s="2462"/>
      <c r="E562" s="2462"/>
      <c r="F562" s="2462"/>
      <c r="G562" s="2462"/>
      <c r="H562" s="2462"/>
      <c r="I562" s="2579"/>
      <c r="J562" s="2579"/>
      <c r="K562" s="2579"/>
      <c r="L562" s="2579"/>
      <c r="M562" s="2579"/>
      <c r="N562" s="2579"/>
      <c r="O562" s="2579"/>
    </row>
    <row r="563" spans="1:15" s="2463" customFormat="1" ht="7.5" customHeight="1">
      <c r="A563" s="2462"/>
      <c r="B563" s="2462"/>
      <c r="C563" s="2462"/>
      <c r="D563" s="2462"/>
      <c r="E563" s="2462"/>
      <c r="F563" s="2462"/>
      <c r="G563" s="2462"/>
      <c r="H563" s="2462"/>
      <c r="I563" s="2579"/>
      <c r="J563" s="2579"/>
      <c r="K563" s="2579"/>
      <c r="L563" s="2579"/>
      <c r="M563" s="2579"/>
      <c r="N563" s="2579"/>
      <c r="O563" s="2579"/>
    </row>
    <row r="564" spans="1:15" s="2463" customFormat="1" ht="7.5" customHeight="1">
      <c r="A564" s="2462"/>
      <c r="B564" s="2462"/>
      <c r="C564" s="2462"/>
      <c r="D564" s="2462"/>
      <c r="E564" s="2462"/>
      <c r="F564" s="2462"/>
      <c r="G564" s="2462"/>
      <c r="H564" s="2462"/>
      <c r="I564" s="2579"/>
      <c r="J564" s="2579"/>
      <c r="K564" s="2579"/>
      <c r="L564" s="2579"/>
      <c r="M564" s="2579"/>
      <c r="N564" s="2579"/>
      <c r="O564" s="2579"/>
    </row>
    <row r="565" spans="1:15" s="2463" customFormat="1" ht="7.5" customHeight="1">
      <c r="A565" s="2462"/>
      <c r="B565" s="2462"/>
      <c r="C565" s="2462"/>
      <c r="D565" s="2462"/>
      <c r="E565" s="2462"/>
      <c r="F565" s="2462"/>
      <c r="G565" s="2462"/>
      <c r="H565" s="2462"/>
      <c r="I565" s="2579"/>
      <c r="J565" s="2579"/>
      <c r="K565" s="2579"/>
      <c r="L565" s="2579"/>
      <c r="M565" s="2579"/>
      <c r="N565" s="2579"/>
      <c r="O565" s="2579"/>
    </row>
    <row r="566" spans="1:15" s="2463" customFormat="1" ht="7.5" customHeight="1">
      <c r="A566" s="2462"/>
      <c r="B566" s="2462"/>
      <c r="C566" s="2462"/>
      <c r="D566" s="2462"/>
      <c r="E566" s="2462"/>
      <c r="F566" s="2462"/>
      <c r="G566" s="2462"/>
      <c r="H566" s="2462"/>
      <c r="I566" s="2579"/>
      <c r="J566" s="2579"/>
      <c r="K566" s="2579"/>
      <c r="L566" s="2579"/>
      <c r="M566" s="2579"/>
      <c r="N566" s="2579"/>
      <c r="O566" s="2579"/>
    </row>
    <row r="567" spans="1:15" s="2463" customFormat="1" ht="7.5" customHeight="1">
      <c r="A567" s="2462"/>
      <c r="B567" s="2462"/>
      <c r="C567" s="2462"/>
      <c r="D567" s="2462"/>
      <c r="E567" s="2462"/>
      <c r="F567" s="2462"/>
      <c r="G567" s="2462"/>
      <c r="H567" s="2462"/>
      <c r="I567" s="2579"/>
      <c r="J567" s="2579"/>
      <c r="K567" s="2579"/>
      <c r="L567" s="2579"/>
      <c r="M567" s="2579"/>
      <c r="N567" s="2579"/>
      <c r="O567" s="2579"/>
    </row>
    <row r="568" spans="1:15" s="2463" customFormat="1" ht="7.5" customHeight="1">
      <c r="A568" s="2462"/>
      <c r="B568" s="2462"/>
      <c r="C568" s="2462"/>
      <c r="D568" s="2462"/>
      <c r="E568" s="2462"/>
      <c r="F568" s="2462"/>
      <c r="G568" s="2462"/>
      <c r="H568" s="2462"/>
      <c r="I568" s="2579"/>
      <c r="J568" s="2579"/>
      <c r="K568" s="2579"/>
      <c r="L568" s="2579"/>
      <c r="M568" s="2579"/>
      <c r="N568" s="2579"/>
      <c r="O568" s="2579"/>
    </row>
    <row r="569" spans="1:15" s="2463" customFormat="1" ht="7.5" customHeight="1">
      <c r="A569" s="2462"/>
      <c r="B569" s="2462"/>
      <c r="C569" s="2462"/>
      <c r="D569" s="2462"/>
      <c r="E569" s="2462"/>
      <c r="F569" s="2462"/>
      <c r="G569" s="2462"/>
      <c r="H569" s="2462"/>
      <c r="I569" s="2579"/>
      <c r="J569" s="2579"/>
      <c r="K569" s="2579"/>
      <c r="L569" s="2579"/>
      <c r="M569" s="2579"/>
      <c r="N569" s="2579"/>
      <c r="O569" s="2579"/>
    </row>
    <row r="570" spans="1:15" s="2463" customFormat="1" ht="7.5" customHeight="1">
      <c r="A570" s="2462"/>
      <c r="B570" s="2462"/>
      <c r="C570" s="2462"/>
      <c r="D570" s="2462"/>
      <c r="E570" s="2462"/>
      <c r="F570" s="2462"/>
      <c r="G570" s="2462"/>
      <c r="H570" s="2462"/>
      <c r="I570" s="2579"/>
      <c r="J570" s="2579"/>
      <c r="K570" s="2579"/>
      <c r="L570" s="2579"/>
      <c r="M570" s="2579"/>
      <c r="N570" s="2579"/>
      <c r="O570" s="2579"/>
    </row>
    <row r="571" spans="1:15" s="2463" customFormat="1" ht="7.5" customHeight="1">
      <c r="A571" s="2462"/>
      <c r="B571" s="2462"/>
      <c r="C571" s="2462"/>
      <c r="D571" s="2462"/>
      <c r="E571" s="2462"/>
      <c r="F571" s="2462"/>
      <c r="G571" s="2462"/>
      <c r="H571" s="2462"/>
      <c r="I571" s="2579"/>
      <c r="J571" s="2579"/>
      <c r="K571" s="2579"/>
      <c r="L571" s="2579"/>
      <c r="M571" s="2579"/>
      <c r="N571" s="2579"/>
      <c r="O571" s="2579"/>
    </row>
    <row r="572" spans="1:15" s="2463" customFormat="1" ht="7.5" customHeight="1">
      <c r="A572" s="2462"/>
      <c r="B572" s="2462"/>
      <c r="C572" s="2462"/>
      <c r="D572" s="2462"/>
      <c r="E572" s="2462"/>
      <c r="F572" s="2462"/>
      <c r="G572" s="2462"/>
      <c r="H572" s="2462"/>
      <c r="I572" s="2579"/>
      <c r="J572" s="2579"/>
      <c r="K572" s="2579"/>
      <c r="L572" s="2579"/>
      <c r="M572" s="2579"/>
      <c r="N572" s="2579"/>
      <c r="O572" s="2579"/>
    </row>
    <row r="573" spans="1:15" s="2463" customFormat="1" ht="7.5" customHeight="1">
      <c r="A573" s="2462"/>
      <c r="B573" s="2462"/>
      <c r="C573" s="2462"/>
      <c r="D573" s="2462"/>
      <c r="E573" s="2462"/>
      <c r="F573" s="2462"/>
      <c r="G573" s="2462"/>
      <c r="H573" s="2462"/>
      <c r="I573" s="2579"/>
      <c r="J573" s="2579"/>
      <c r="K573" s="2579"/>
      <c r="L573" s="2579"/>
      <c r="M573" s="2579"/>
      <c r="N573" s="2579"/>
      <c r="O573" s="2579"/>
    </row>
    <row r="574" spans="1:15" s="2463" customFormat="1" ht="7.5" customHeight="1">
      <c r="A574" s="2462"/>
      <c r="B574" s="2462"/>
      <c r="C574" s="2462"/>
      <c r="D574" s="2462"/>
      <c r="E574" s="2462"/>
      <c r="F574" s="2462"/>
      <c r="G574" s="2462"/>
      <c r="H574" s="2462"/>
      <c r="I574" s="2579"/>
      <c r="J574" s="2579"/>
      <c r="K574" s="2579"/>
      <c r="L574" s="2579"/>
      <c r="M574" s="2579"/>
      <c r="N574" s="2579"/>
      <c r="O574" s="2579"/>
    </row>
    <row r="575" spans="1:15" s="2463" customFormat="1" ht="7.5" customHeight="1">
      <c r="A575" s="2462"/>
      <c r="B575" s="2462"/>
      <c r="C575" s="2462"/>
      <c r="D575" s="2462"/>
      <c r="E575" s="2462"/>
      <c r="F575" s="2462"/>
      <c r="G575" s="2462"/>
      <c r="H575" s="2462"/>
      <c r="I575" s="2579"/>
      <c r="J575" s="2579"/>
      <c r="K575" s="2579"/>
      <c r="L575" s="2579"/>
      <c r="M575" s="2579"/>
      <c r="N575" s="2579"/>
      <c r="O575" s="2579"/>
    </row>
    <row r="576" spans="1:15" s="2463" customFormat="1" ht="7.5" customHeight="1">
      <c r="A576" s="2462"/>
      <c r="B576" s="2462"/>
      <c r="C576" s="2462"/>
      <c r="D576" s="2462"/>
      <c r="E576" s="2462"/>
      <c r="F576" s="2462"/>
      <c r="G576" s="2462"/>
      <c r="H576" s="2462"/>
      <c r="I576" s="2579"/>
      <c r="J576" s="2579"/>
      <c r="K576" s="2579"/>
      <c r="L576" s="2579"/>
      <c r="M576" s="2579"/>
      <c r="N576" s="2579"/>
      <c r="O576" s="2579"/>
    </row>
    <row r="577" spans="1:15" s="2463" customFormat="1" ht="7.5" customHeight="1">
      <c r="A577" s="2462"/>
      <c r="B577" s="2462"/>
      <c r="C577" s="2462"/>
      <c r="D577" s="2462"/>
      <c r="E577" s="2462"/>
      <c r="F577" s="2462"/>
      <c r="G577" s="2462"/>
      <c r="H577" s="2462"/>
      <c r="I577" s="2579"/>
      <c r="J577" s="2579"/>
      <c r="K577" s="2579"/>
      <c r="L577" s="2579"/>
      <c r="M577" s="2579"/>
      <c r="N577" s="2579"/>
      <c r="O577" s="2579"/>
    </row>
    <row r="578" spans="1:15" s="2463" customFormat="1" ht="7.5" customHeight="1">
      <c r="A578" s="2462"/>
      <c r="B578" s="2462"/>
      <c r="C578" s="2462"/>
      <c r="D578" s="2462"/>
      <c r="E578" s="2462"/>
      <c r="F578" s="2462"/>
      <c r="G578" s="2462"/>
      <c r="H578" s="2462"/>
      <c r="I578" s="2579"/>
      <c r="J578" s="2579"/>
      <c r="K578" s="2579"/>
      <c r="L578" s="2579"/>
      <c r="M578" s="2579"/>
      <c r="N578" s="2579"/>
      <c r="O578" s="2579"/>
    </row>
    <row r="579" spans="1:15" s="2463" customFormat="1" ht="7.5" customHeight="1">
      <c r="A579" s="2462"/>
      <c r="B579" s="2462"/>
      <c r="C579" s="2462"/>
      <c r="D579" s="2462"/>
      <c r="E579" s="2462"/>
      <c r="F579" s="2462"/>
      <c r="G579" s="2462"/>
      <c r="H579" s="2462"/>
      <c r="I579" s="2579"/>
      <c r="J579" s="2579"/>
      <c r="K579" s="2579"/>
      <c r="L579" s="2579"/>
      <c r="M579" s="2579"/>
      <c r="N579" s="2579"/>
      <c r="O579" s="2579"/>
    </row>
    <row r="580" spans="1:15" s="2463" customFormat="1" ht="7.5" customHeight="1">
      <c r="A580" s="2462"/>
      <c r="B580" s="2462"/>
      <c r="C580" s="2462"/>
      <c r="D580" s="2462"/>
      <c r="E580" s="2462"/>
      <c r="F580" s="2462"/>
      <c r="G580" s="2462"/>
      <c r="H580" s="2462"/>
      <c r="I580" s="2579"/>
      <c r="J580" s="2579"/>
      <c r="K580" s="2579"/>
      <c r="L580" s="2579"/>
      <c r="M580" s="2579"/>
      <c r="N580" s="2579"/>
      <c r="O580" s="2579"/>
    </row>
    <row r="581" spans="1:15" s="2463" customFormat="1" ht="7.5" customHeight="1">
      <c r="A581" s="2462"/>
      <c r="B581" s="2462"/>
      <c r="C581" s="2462"/>
      <c r="D581" s="2462"/>
      <c r="E581" s="2462"/>
      <c r="F581" s="2462"/>
      <c r="G581" s="2462"/>
      <c r="H581" s="2462"/>
      <c r="I581" s="2579"/>
      <c r="J581" s="2579"/>
      <c r="K581" s="2579"/>
      <c r="L581" s="2579"/>
      <c r="M581" s="2579"/>
      <c r="N581" s="2579"/>
      <c r="O581" s="2579"/>
    </row>
    <row r="582" spans="1:15" s="2463" customFormat="1" ht="7.5" customHeight="1">
      <c r="A582" s="2462"/>
      <c r="B582" s="2462"/>
      <c r="C582" s="2462"/>
      <c r="D582" s="2462"/>
      <c r="E582" s="2462"/>
      <c r="F582" s="2462"/>
      <c r="G582" s="2462"/>
      <c r="H582" s="2462"/>
      <c r="I582" s="2579"/>
      <c r="J582" s="2579"/>
      <c r="K582" s="2579"/>
      <c r="L582" s="2579"/>
      <c r="M582" s="2579"/>
      <c r="N582" s="2579"/>
      <c r="O582" s="2579"/>
    </row>
    <row r="583" spans="1:15" s="2463" customFormat="1" ht="7.5" customHeight="1">
      <c r="A583" s="2462"/>
      <c r="B583" s="2462"/>
      <c r="C583" s="2462"/>
      <c r="D583" s="2462"/>
      <c r="E583" s="2462"/>
      <c r="F583" s="2462"/>
      <c r="G583" s="2462"/>
      <c r="H583" s="2462"/>
      <c r="I583" s="2579"/>
      <c r="J583" s="2579"/>
      <c r="K583" s="2579"/>
      <c r="L583" s="2579"/>
      <c r="M583" s="2579"/>
      <c r="N583" s="2579"/>
      <c r="O583" s="2579"/>
    </row>
    <row r="584" spans="1:15" s="2463" customFormat="1" ht="7.5" customHeight="1">
      <c r="A584" s="2462"/>
      <c r="B584" s="2462"/>
      <c r="C584" s="2462"/>
      <c r="D584" s="2462"/>
      <c r="E584" s="2462"/>
      <c r="F584" s="2462"/>
      <c r="G584" s="2462"/>
      <c r="H584" s="2462"/>
      <c r="I584" s="2579"/>
      <c r="J584" s="2579"/>
      <c r="K584" s="2579"/>
      <c r="L584" s="2579"/>
      <c r="M584" s="2579"/>
      <c r="N584" s="2579"/>
      <c r="O584" s="2579"/>
    </row>
    <row r="585" spans="1:15" s="2463" customFormat="1" ht="7.5" customHeight="1">
      <c r="A585" s="2462"/>
      <c r="B585" s="2462"/>
      <c r="C585" s="2462"/>
      <c r="D585" s="2462"/>
      <c r="E585" s="2462"/>
      <c r="F585" s="2462"/>
      <c r="G585" s="2462"/>
      <c r="H585" s="2462"/>
      <c r="I585" s="2579"/>
      <c r="J585" s="2579"/>
      <c r="K585" s="2579"/>
      <c r="L585" s="2579"/>
      <c r="M585" s="2579"/>
      <c r="N585" s="2579"/>
      <c r="O585" s="2579"/>
    </row>
    <row r="586" spans="1:15" s="2463" customFormat="1" ht="7.5" customHeight="1">
      <c r="A586" s="2462"/>
      <c r="B586" s="2462"/>
      <c r="C586" s="2462"/>
      <c r="D586" s="2462"/>
      <c r="E586" s="2462"/>
      <c r="F586" s="2462"/>
      <c r="G586" s="2462"/>
      <c r="H586" s="2462"/>
      <c r="I586" s="2579"/>
      <c r="J586" s="2579"/>
      <c r="K586" s="2579"/>
      <c r="L586" s="2579"/>
      <c r="M586" s="2579"/>
      <c r="N586" s="2579"/>
      <c r="O586" s="2579"/>
    </row>
    <row r="587" spans="1:15" s="2463" customFormat="1" ht="7.5" customHeight="1">
      <c r="A587" s="2462"/>
      <c r="B587" s="2462"/>
      <c r="C587" s="2462"/>
      <c r="D587" s="2462"/>
      <c r="E587" s="2462"/>
      <c r="F587" s="2462"/>
      <c r="G587" s="2462"/>
      <c r="H587" s="2462"/>
      <c r="I587" s="2579"/>
      <c r="J587" s="2579"/>
      <c r="K587" s="2579"/>
      <c r="L587" s="2579"/>
      <c r="M587" s="2579"/>
      <c r="N587" s="2579"/>
      <c r="O587" s="2579"/>
    </row>
    <row r="588" spans="1:15" s="2463" customFormat="1" ht="7.5" customHeight="1">
      <c r="A588" s="2462"/>
      <c r="B588" s="2462"/>
      <c r="C588" s="2462"/>
      <c r="D588" s="2462"/>
      <c r="E588" s="2462"/>
      <c r="F588" s="2462"/>
      <c r="G588" s="2462"/>
      <c r="H588" s="2462"/>
      <c r="I588" s="2579"/>
      <c r="J588" s="2579"/>
      <c r="K588" s="2579"/>
      <c r="L588" s="2579"/>
      <c r="M588" s="2579"/>
      <c r="N588" s="2579"/>
      <c r="O588" s="2579"/>
    </row>
    <row r="589" spans="1:15" s="2463" customFormat="1" ht="7.5" customHeight="1">
      <c r="A589" s="2462"/>
      <c r="B589" s="2462"/>
      <c r="C589" s="2462"/>
      <c r="D589" s="2462"/>
      <c r="E589" s="2462"/>
      <c r="F589" s="2462"/>
      <c r="G589" s="2462"/>
      <c r="H589" s="2462"/>
      <c r="I589" s="2579"/>
      <c r="J589" s="2579"/>
      <c r="K589" s="2579"/>
      <c r="L589" s="2579"/>
      <c r="M589" s="2579"/>
      <c r="N589" s="2579"/>
      <c r="O589" s="2579"/>
    </row>
    <row r="590" spans="1:15" s="2463" customFormat="1" ht="7.5" customHeight="1">
      <c r="A590" s="2462"/>
      <c r="B590" s="2462"/>
      <c r="C590" s="2462"/>
      <c r="D590" s="2462"/>
      <c r="E590" s="2462"/>
      <c r="F590" s="2462"/>
      <c r="G590" s="2462"/>
      <c r="H590" s="2462"/>
      <c r="I590" s="2579"/>
      <c r="J590" s="2579"/>
      <c r="K590" s="2579"/>
      <c r="L590" s="2579"/>
      <c r="M590" s="2579"/>
      <c r="N590" s="2579"/>
      <c r="O590" s="2579"/>
    </row>
    <row r="591" spans="1:15" s="2463" customFormat="1" ht="7.5" customHeight="1">
      <c r="A591" s="2462"/>
      <c r="B591" s="2462"/>
      <c r="C591" s="2462"/>
      <c r="D591" s="2462"/>
      <c r="E591" s="2462"/>
      <c r="F591" s="2462"/>
      <c r="G591" s="2462"/>
      <c r="H591" s="2462"/>
      <c r="I591" s="2579"/>
      <c r="J591" s="2579"/>
      <c r="K591" s="2579"/>
      <c r="L591" s="2579"/>
      <c r="M591" s="2579"/>
      <c r="N591" s="2579"/>
      <c r="O591" s="2579"/>
    </row>
    <row r="592" spans="1:15" s="2463" customFormat="1" ht="7.5" customHeight="1">
      <c r="A592" s="2462"/>
      <c r="B592" s="2462"/>
      <c r="C592" s="2462"/>
      <c r="D592" s="2462"/>
      <c r="E592" s="2462"/>
      <c r="F592" s="2462"/>
      <c r="G592" s="2462"/>
      <c r="H592" s="2462"/>
      <c r="I592" s="2579"/>
      <c r="J592" s="2579"/>
      <c r="K592" s="2579"/>
      <c r="L592" s="2579"/>
      <c r="M592" s="2579"/>
      <c r="N592" s="2579"/>
      <c r="O592" s="2579"/>
    </row>
    <row r="593" spans="1:15" s="2463" customFormat="1" ht="7.5" customHeight="1">
      <c r="A593" s="2462"/>
      <c r="B593" s="2462"/>
      <c r="C593" s="2462"/>
      <c r="D593" s="2462"/>
      <c r="E593" s="2462"/>
      <c r="F593" s="2462"/>
      <c r="G593" s="2462"/>
      <c r="H593" s="2462"/>
      <c r="I593" s="2579"/>
      <c r="J593" s="2579"/>
      <c r="K593" s="2579"/>
      <c r="L593" s="2579"/>
      <c r="M593" s="2579"/>
      <c r="N593" s="2579"/>
      <c r="O593" s="2579"/>
    </row>
    <row r="594" spans="1:15" s="2463" customFormat="1" ht="7.5" customHeight="1">
      <c r="A594" s="2462"/>
      <c r="B594" s="2462"/>
      <c r="C594" s="2462"/>
      <c r="D594" s="2462"/>
      <c r="E594" s="2462"/>
      <c r="F594" s="2462"/>
      <c r="G594" s="2462"/>
      <c r="H594" s="2462"/>
      <c r="I594" s="2579"/>
      <c r="J594" s="2579"/>
      <c r="K594" s="2579"/>
      <c r="L594" s="2579"/>
      <c r="M594" s="2579"/>
      <c r="N594" s="2579"/>
      <c r="O594" s="2579"/>
    </row>
    <row r="595" spans="1:15" s="2463" customFormat="1" ht="7.5" customHeight="1">
      <c r="A595" s="2462"/>
      <c r="B595" s="2462"/>
      <c r="C595" s="2462"/>
      <c r="D595" s="2462"/>
      <c r="E595" s="2462"/>
      <c r="F595" s="2462"/>
      <c r="G595" s="2462"/>
      <c r="H595" s="2462"/>
      <c r="I595" s="2579"/>
      <c r="J595" s="2579"/>
      <c r="K595" s="2579"/>
      <c r="L595" s="2579"/>
      <c r="M595" s="2579"/>
      <c r="N595" s="2579"/>
      <c r="O595" s="2579"/>
    </row>
    <row r="599" spans="1:15" s="2463" customFormat="1">
      <c r="A599" s="2462"/>
      <c r="B599" s="2462"/>
      <c r="C599" s="2462"/>
      <c r="D599" s="2462"/>
      <c r="E599" s="2462"/>
      <c r="F599" s="2462"/>
      <c r="G599" s="2462"/>
      <c r="H599" s="2462"/>
      <c r="I599" s="2579"/>
      <c r="J599" s="2579"/>
      <c r="K599" s="2579"/>
      <c r="L599" s="2579"/>
      <c r="M599" s="2579"/>
      <c r="N599" s="2579"/>
      <c r="O599" s="2579"/>
    </row>
    <row r="600" spans="1:15" s="2463" customFormat="1">
      <c r="A600" s="2462"/>
      <c r="B600" s="2462"/>
      <c r="C600" s="2462"/>
      <c r="D600" s="2462"/>
      <c r="E600" s="2462"/>
      <c r="F600" s="2462"/>
      <c r="G600" s="2462"/>
      <c r="H600" s="2462"/>
      <c r="I600" s="2579"/>
      <c r="J600" s="2579"/>
      <c r="K600" s="2579"/>
      <c r="L600" s="2579"/>
      <c r="M600" s="2579"/>
      <c r="N600" s="2579"/>
      <c r="O600" s="2579"/>
    </row>
    <row r="601" spans="1:15" s="2463" customFormat="1">
      <c r="A601" s="2462"/>
      <c r="B601" s="2462"/>
      <c r="C601" s="2462"/>
      <c r="D601" s="2462"/>
      <c r="E601" s="2462"/>
      <c r="F601" s="2462"/>
      <c r="G601" s="2462"/>
      <c r="H601" s="2462"/>
      <c r="I601" s="2579"/>
      <c r="J601" s="2579"/>
      <c r="K601" s="2579"/>
      <c r="L601" s="2579"/>
      <c r="M601" s="2579"/>
      <c r="N601" s="2579"/>
      <c r="O601" s="2579"/>
    </row>
    <row r="602" spans="1:15" s="2463" customFormat="1">
      <c r="A602" s="2462"/>
      <c r="B602" s="2462"/>
      <c r="C602" s="2462"/>
      <c r="D602" s="2462"/>
      <c r="E602" s="2462"/>
      <c r="F602" s="2462"/>
      <c r="G602" s="2462"/>
      <c r="H602" s="2462"/>
      <c r="I602" s="2579"/>
      <c r="J602" s="2579"/>
      <c r="K602" s="2579"/>
      <c r="L602" s="2579"/>
      <c r="M602" s="2579"/>
      <c r="N602" s="2579"/>
      <c r="O602" s="2579"/>
    </row>
    <row r="603" spans="1:15" s="2463" customFormat="1">
      <c r="A603" s="2462"/>
      <c r="B603" s="2462"/>
      <c r="C603" s="2462"/>
      <c r="D603" s="2462"/>
      <c r="E603" s="2462"/>
      <c r="F603" s="2462"/>
      <c r="G603" s="2462"/>
      <c r="H603" s="2462"/>
      <c r="I603" s="2579"/>
      <c r="J603" s="2579"/>
      <c r="K603" s="2579"/>
      <c r="L603" s="2579"/>
      <c r="M603" s="2579"/>
      <c r="N603" s="2579"/>
      <c r="O603" s="2579"/>
    </row>
    <row r="604" spans="1:15" s="2463" customFormat="1">
      <c r="A604" s="2462"/>
      <c r="B604" s="2462"/>
      <c r="C604" s="2462"/>
      <c r="D604" s="2462"/>
      <c r="E604" s="2462"/>
      <c r="F604" s="2462"/>
      <c r="G604" s="2462"/>
      <c r="H604" s="2462"/>
      <c r="I604" s="2579"/>
      <c r="J604" s="2579"/>
      <c r="K604" s="2579"/>
      <c r="L604" s="2579"/>
      <c r="M604" s="2579"/>
      <c r="N604" s="2579"/>
      <c r="O604" s="2579"/>
    </row>
    <row r="605" spans="1:15" s="2463" customFormat="1">
      <c r="A605" s="2462"/>
      <c r="B605" s="2462"/>
      <c r="C605" s="2462"/>
      <c r="D605" s="2462"/>
      <c r="E605" s="2462"/>
      <c r="F605" s="2462"/>
      <c r="G605" s="2462"/>
      <c r="H605" s="2462"/>
      <c r="I605" s="2579"/>
      <c r="J605" s="2579"/>
      <c r="K605" s="2579"/>
      <c r="L605" s="2579"/>
      <c r="M605" s="2579"/>
      <c r="N605" s="2579"/>
      <c r="O605" s="2579"/>
    </row>
    <row r="606" spans="1:15" s="2463" customFormat="1">
      <c r="A606" s="2462"/>
      <c r="B606" s="2462"/>
      <c r="C606" s="2462"/>
      <c r="D606" s="2462"/>
      <c r="E606" s="2462"/>
      <c r="F606" s="2462"/>
      <c r="G606" s="2462"/>
      <c r="H606" s="2462"/>
      <c r="I606" s="2579"/>
      <c r="J606" s="2579"/>
      <c r="K606" s="2579"/>
      <c r="L606" s="2579"/>
      <c r="M606" s="2579"/>
      <c r="N606" s="2579"/>
      <c r="O606" s="2579"/>
    </row>
    <row r="607" spans="1:15" s="2463" customFormat="1">
      <c r="A607" s="2462"/>
      <c r="B607" s="2462"/>
      <c r="C607" s="2462"/>
      <c r="D607" s="2462"/>
      <c r="E607" s="2462"/>
      <c r="F607" s="2462"/>
      <c r="G607" s="2462"/>
      <c r="H607" s="2462"/>
      <c r="I607" s="2579"/>
      <c r="J607" s="2579"/>
      <c r="K607" s="2579"/>
      <c r="L607" s="2579"/>
      <c r="M607" s="2579"/>
      <c r="N607" s="2579"/>
      <c r="O607" s="2579"/>
    </row>
    <row r="608" spans="1:15" s="2463" customFormat="1">
      <c r="A608" s="2462"/>
      <c r="B608" s="2462"/>
      <c r="C608" s="2462"/>
      <c r="D608" s="2462"/>
      <c r="E608" s="2462"/>
      <c r="F608" s="2462"/>
      <c r="G608" s="2462"/>
      <c r="H608" s="2462"/>
      <c r="I608" s="2579"/>
      <c r="J608" s="2579"/>
      <c r="K608" s="2579"/>
      <c r="L608" s="2579"/>
      <c r="M608" s="2579"/>
      <c r="N608" s="2579"/>
      <c r="O608" s="2579"/>
    </row>
    <row r="609" spans="1:15" s="2463" customFormat="1">
      <c r="A609" s="2462"/>
      <c r="B609" s="2462"/>
      <c r="C609" s="2462"/>
      <c r="D609" s="2462"/>
      <c r="E609" s="2462"/>
      <c r="F609" s="2462"/>
      <c r="G609" s="2462"/>
      <c r="H609" s="2462"/>
      <c r="I609" s="2579"/>
      <c r="J609" s="2579"/>
      <c r="K609" s="2579"/>
      <c r="L609" s="2579"/>
      <c r="M609" s="2579"/>
      <c r="N609" s="2579"/>
      <c r="O609" s="2579"/>
    </row>
    <row r="610" spans="1:15" s="2463" customFormat="1">
      <c r="A610" s="2462"/>
      <c r="B610" s="2462"/>
      <c r="C610" s="2462"/>
      <c r="D610" s="2462"/>
      <c r="E610" s="2462"/>
      <c r="F610" s="2462"/>
      <c r="G610" s="2462"/>
      <c r="H610" s="2462"/>
      <c r="I610" s="2579"/>
      <c r="J610" s="2579"/>
      <c r="K610" s="2579"/>
      <c r="L610" s="2579"/>
      <c r="M610" s="2579"/>
      <c r="N610" s="2579"/>
      <c r="O610" s="2579"/>
    </row>
    <row r="611" spans="1:15" s="2463" customFormat="1">
      <c r="A611" s="2462"/>
      <c r="B611" s="2462"/>
      <c r="C611" s="2462"/>
      <c r="D611" s="2462"/>
      <c r="E611" s="2462"/>
      <c r="F611" s="2462"/>
      <c r="G611" s="2462"/>
      <c r="H611" s="2462"/>
      <c r="I611" s="2579"/>
      <c r="J611" s="2579"/>
      <c r="K611" s="2579"/>
      <c r="L611" s="2579"/>
      <c r="M611" s="2579"/>
      <c r="N611" s="2579"/>
      <c r="O611" s="2579"/>
    </row>
    <row r="612" spans="1:15" s="2463" customFormat="1">
      <c r="A612" s="2462"/>
      <c r="B612" s="2462"/>
      <c r="C612" s="2462"/>
      <c r="D612" s="2462"/>
      <c r="E612" s="2462"/>
      <c r="F612" s="2462"/>
      <c r="G612" s="2462"/>
      <c r="H612" s="2462"/>
      <c r="I612" s="2579"/>
      <c r="J612" s="2579"/>
      <c r="K612" s="2579"/>
      <c r="L612" s="2579"/>
      <c r="M612" s="2579"/>
      <c r="N612" s="2579"/>
      <c r="O612" s="2579"/>
    </row>
    <row r="613" spans="1:15" s="2463" customFormat="1">
      <c r="A613" s="2462"/>
      <c r="B613" s="2462"/>
      <c r="C613" s="2462"/>
      <c r="D613" s="2462"/>
      <c r="E613" s="2462"/>
      <c r="F613" s="2462"/>
      <c r="G613" s="2462"/>
      <c r="H613" s="2462"/>
      <c r="I613" s="2579"/>
      <c r="J613" s="2579"/>
      <c r="K613" s="2579"/>
      <c r="L613" s="2579"/>
      <c r="M613" s="2579"/>
      <c r="N613" s="2579"/>
      <c r="O613" s="2579"/>
    </row>
    <row r="614" spans="1:15" s="2463" customFormat="1">
      <c r="A614" s="2462"/>
      <c r="B614" s="2462"/>
      <c r="C614" s="2462"/>
      <c r="D614" s="2462"/>
      <c r="E614" s="2462"/>
      <c r="F614" s="2462"/>
      <c r="G614" s="2462"/>
      <c r="H614" s="2462"/>
      <c r="I614" s="2579"/>
      <c r="J614" s="2579"/>
      <c r="K614" s="2579"/>
      <c r="L614" s="2579"/>
      <c r="M614" s="2579"/>
      <c r="N614" s="2579"/>
      <c r="O614" s="2579"/>
    </row>
    <row r="615" spans="1:15" s="2463" customFormat="1">
      <c r="A615" s="2462"/>
      <c r="B615" s="2462"/>
      <c r="C615" s="2462"/>
      <c r="D615" s="2462"/>
      <c r="E615" s="2462"/>
      <c r="F615" s="2462"/>
      <c r="G615" s="2462"/>
      <c r="H615" s="2462"/>
      <c r="I615" s="2579"/>
      <c r="J615" s="2579"/>
      <c r="K615" s="2579"/>
      <c r="L615" s="2579"/>
      <c r="M615" s="2579"/>
      <c r="N615" s="2579"/>
      <c r="O615" s="2579"/>
    </row>
  </sheetData>
  <mergeCells count="56">
    <mergeCell ref="A91:H91"/>
    <mergeCell ref="A49:H49"/>
    <mergeCell ref="A50:H50"/>
    <mergeCell ref="A56:B58"/>
    <mergeCell ref="E56:G56"/>
    <mergeCell ref="E70:F70"/>
    <mergeCell ref="C72:D72"/>
    <mergeCell ref="E72:H72"/>
    <mergeCell ref="C73:D73"/>
    <mergeCell ref="E73:H73"/>
    <mergeCell ref="A92:H92"/>
    <mergeCell ref="A98:B100"/>
    <mergeCell ref="E98:G98"/>
    <mergeCell ref="E112:F112"/>
    <mergeCell ref="C114:D114"/>
    <mergeCell ref="E114:H114"/>
    <mergeCell ref="E195:F195"/>
    <mergeCell ref="A179:H179"/>
    <mergeCell ref="C115:D115"/>
    <mergeCell ref="E115:H115"/>
    <mergeCell ref="A132:H132"/>
    <mergeCell ref="A133:H133"/>
    <mergeCell ref="A140:B142"/>
    <mergeCell ref="E140:G140"/>
    <mergeCell ref="E153:F153"/>
    <mergeCell ref="C155:D155"/>
    <mergeCell ref="E155:H155"/>
    <mergeCell ref="C156:D156"/>
    <mergeCell ref="E156:H156"/>
    <mergeCell ref="A180:H180"/>
    <mergeCell ref="A185:B187"/>
    <mergeCell ref="E185:G185"/>
    <mergeCell ref="C254:D254"/>
    <mergeCell ref="E254:H254"/>
    <mergeCell ref="C197:D197"/>
    <mergeCell ref="E197:H197"/>
    <mergeCell ref="C198:D198"/>
    <mergeCell ref="E198:H198"/>
    <mergeCell ref="A235:H235"/>
    <mergeCell ref="A236:H236"/>
    <mergeCell ref="A241:B243"/>
    <mergeCell ref="E241:G241"/>
    <mergeCell ref="E251:F251"/>
    <mergeCell ref="C253:D253"/>
    <mergeCell ref="E253:H253"/>
    <mergeCell ref="E11:G11"/>
    <mergeCell ref="A35:B35"/>
    <mergeCell ref="C35:E35"/>
    <mergeCell ref="A5:H5"/>
    <mergeCell ref="A33:B33"/>
    <mergeCell ref="C33:E33"/>
    <mergeCell ref="F33:H33"/>
    <mergeCell ref="C34:E34"/>
    <mergeCell ref="F34:H34"/>
    <mergeCell ref="A6:H6"/>
    <mergeCell ref="A11:B13"/>
  </mergeCells>
  <pageMargins left="0.5" right="0" top="0.25" bottom="0" header="0.5" footer="0"/>
  <pageSetup paperSize="5" orientation="portrait"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621"/>
  <sheetViews>
    <sheetView showGridLines="0" showOutlineSymbols="0" topLeftCell="A16" workbookViewId="0">
      <pane xSplit="18525" topLeftCell="ET1"/>
      <selection activeCell="J19" sqref="J19"/>
      <selection pane="topRight" activeCell="ET1" sqref="ET1"/>
    </sheetView>
  </sheetViews>
  <sheetFormatPr defaultColWidth="12.5703125" defaultRowHeight="15.75" outlineLevelRow="2" outlineLevelCol="2"/>
  <cols>
    <col min="1" max="1" width="1.85546875" style="2462" customWidth="1"/>
    <col min="2" max="2" width="29.42578125" style="2462" customWidth="1"/>
    <col min="3" max="3" width="11.42578125" style="2462" customWidth="1"/>
    <col min="4" max="4" width="11" style="2462" customWidth="1"/>
    <col min="5" max="5" width="11.7109375" style="2462" customWidth="1"/>
    <col min="6" max="6" width="12" style="2462" customWidth="1"/>
    <col min="7" max="7" width="10.5703125" style="2462" customWidth="1"/>
    <col min="8" max="8" width="10.42578125" style="2462" customWidth="1"/>
    <col min="9"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8" spans="1:15" s="1390" customFormat="1" ht="14.25" customHeight="1">
      <c r="A8" s="1577" t="s">
        <v>2120</v>
      </c>
      <c r="C8" s="2525"/>
      <c r="D8" s="1403"/>
      <c r="E8" s="1403"/>
      <c r="F8" s="1403"/>
      <c r="G8" s="1403"/>
      <c r="H8" s="1403"/>
    </row>
    <row r="9" spans="1:15" s="1390" customFormat="1" ht="14.25" customHeight="1">
      <c r="B9" s="2612" t="s">
        <v>2146</v>
      </c>
      <c r="C9" s="2525"/>
      <c r="D9" s="1403"/>
      <c r="E9" s="1403"/>
      <c r="F9" s="1403"/>
      <c r="G9" s="1403"/>
      <c r="H9" s="1403"/>
    </row>
    <row r="10" spans="1:15" ht="16.7" customHeight="1" outlineLevel="1">
      <c r="A10" s="2564"/>
      <c r="B10" s="2564"/>
      <c r="C10" s="2563"/>
      <c r="D10" s="2541"/>
      <c r="E10" s="2561"/>
      <c r="F10" s="2540"/>
      <c r="G10" s="1388"/>
      <c r="H10" s="2561"/>
      <c r="I10" s="2668"/>
      <c r="J10" s="2530"/>
      <c r="K10" s="2530"/>
      <c r="L10" s="2530"/>
    </row>
    <row r="11" spans="1:15" ht="16.7" customHeight="1" outlineLevel="1">
      <c r="A11" s="4890" t="s">
        <v>468</v>
      </c>
      <c r="B11" s="4891"/>
      <c r="C11" s="2519" t="s">
        <v>467</v>
      </c>
      <c r="D11" s="2693" t="s">
        <v>466</v>
      </c>
      <c r="E11" s="4899" t="s">
        <v>465</v>
      </c>
      <c r="F11" s="4900"/>
      <c r="G11" s="4901"/>
      <c r="H11" s="2519" t="s">
        <v>464</v>
      </c>
      <c r="I11" s="2668"/>
      <c r="J11" s="2530"/>
      <c r="K11" s="2530"/>
      <c r="L11" s="2530"/>
    </row>
    <row r="12" spans="1:15" ht="12" customHeight="1" outlineLevel="1">
      <c r="A12" s="4892"/>
      <c r="B12" s="4893"/>
      <c r="C12" s="2692" t="s">
        <v>463</v>
      </c>
      <c r="D12" s="2691" t="s">
        <v>573</v>
      </c>
      <c r="E12" s="2691" t="s">
        <v>2118</v>
      </c>
      <c r="F12" s="2691" t="s">
        <v>2117</v>
      </c>
      <c r="G12" s="2691" t="s">
        <v>244</v>
      </c>
      <c r="H12" s="2691" t="s">
        <v>652</v>
      </c>
      <c r="I12" s="2666"/>
      <c r="J12" s="2530"/>
      <c r="K12" s="2530"/>
      <c r="L12" s="2530"/>
    </row>
    <row r="13" spans="1:15" ht="16.7" customHeight="1" outlineLevel="1">
      <c r="A13" s="4894"/>
      <c r="B13" s="4895"/>
      <c r="C13" s="2690"/>
      <c r="D13" s="2688" t="s">
        <v>460</v>
      </c>
      <c r="E13" s="2688" t="s">
        <v>460</v>
      </c>
      <c r="F13" s="2688" t="s">
        <v>459</v>
      </c>
      <c r="G13" s="2689"/>
      <c r="H13" s="2688" t="s">
        <v>458</v>
      </c>
      <c r="I13" s="2666"/>
      <c r="J13" s="2663"/>
      <c r="K13" s="2530"/>
      <c r="L13" s="2530"/>
    </row>
    <row r="14" spans="1:15" s="1404" customFormat="1" ht="15.6" customHeight="1">
      <c r="A14" s="2601" t="s">
        <v>2011</v>
      </c>
      <c r="B14" s="2605"/>
      <c r="C14" s="2515"/>
      <c r="D14" s="2513"/>
      <c r="E14" s="2513"/>
      <c r="F14" s="2513"/>
      <c r="G14" s="2603"/>
      <c r="H14" s="2513"/>
      <c r="I14" s="2616"/>
      <c r="J14" s="2616"/>
      <c r="K14" s="2616"/>
      <c r="L14" s="2616"/>
      <c r="M14" s="2616"/>
      <c r="N14" s="2616"/>
      <c r="O14" s="2616"/>
    </row>
    <row r="15" spans="1:15" ht="16.7" customHeight="1" outlineLevel="1">
      <c r="A15" s="2680" t="s">
        <v>407</v>
      </c>
      <c r="B15" s="2394"/>
      <c r="C15" s="2391"/>
      <c r="D15" s="1512">
        <f>SUM(D16:D28)</f>
        <v>2305230</v>
      </c>
      <c r="E15" s="1512">
        <f>SUM(E16:E28)</f>
        <v>1054796</v>
      </c>
      <c r="F15" s="1512">
        <f>SUM(F16:F28)</f>
        <v>1218204</v>
      </c>
      <c r="G15" s="1512">
        <f>SUM(G16:G28)</f>
        <v>2273000</v>
      </c>
      <c r="H15" s="1512">
        <f>SUM(H16:H28)</f>
        <v>2230000</v>
      </c>
      <c r="I15" s="2681"/>
      <c r="J15" s="1302"/>
      <c r="K15" s="2659"/>
      <c r="L15" s="2530"/>
    </row>
    <row r="16" spans="1:15" ht="20.100000000000001" customHeight="1" outlineLevel="1">
      <c r="A16" s="1536" t="s">
        <v>2145</v>
      </c>
      <c r="B16" s="2596"/>
      <c r="C16" s="2187" t="s">
        <v>1974</v>
      </c>
      <c r="D16" s="2684">
        <v>0</v>
      </c>
      <c r="E16" s="2683">
        <v>49156</v>
      </c>
      <c r="F16" s="1454">
        <f>G16-E16</f>
        <v>844</v>
      </c>
      <c r="G16" s="2683">
        <v>50000</v>
      </c>
      <c r="H16" s="2683">
        <v>50000</v>
      </c>
      <c r="I16" s="2668"/>
      <c r="J16" s="1302"/>
      <c r="K16" s="2659"/>
      <c r="L16" s="2530"/>
    </row>
    <row r="17" spans="1:16" ht="20.100000000000001" customHeight="1" outlineLevel="1">
      <c r="A17" s="2591" t="s">
        <v>389</v>
      </c>
      <c r="B17" s="1519"/>
      <c r="C17" s="978" t="s">
        <v>388</v>
      </c>
      <c r="D17" s="1428">
        <v>2141640</v>
      </c>
      <c r="E17" s="1427">
        <v>1005640</v>
      </c>
      <c r="F17" s="1454">
        <f>G17-E17</f>
        <v>1157060</v>
      </c>
      <c r="G17" s="1427">
        <v>2162700</v>
      </c>
      <c r="H17" s="1427">
        <v>2162700</v>
      </c>
      <c r="I17" s="2676"/>
      <c r="J17" s="1302"/>
      <c r="K17" s="2530"/>
      <c r="L17" s="2530"/>
    </row>
    <row r="18" spans="1:16" ht="20.100000000000001" customHeight="1" outlineLevel="1">
      <c r="A18" s="2591" t="s">
        <v>368</v>
      </c>
      <c r="B18" s="1519"/>
      <c r="C18" s="2620" t="s">
        <v>367</v>
      </c>
      <c r="D18" s="1428">
        <v>163590</v>
      </c>
      <c r="E18" s="1427">
        <v>0</v>
      </c>
      <c r="F18" s="1454">
        <f>G18-E18</f>
        <v>60300</v>
      </c>
      <c r="G18" s="1427">
        <v>60300</v>
      </c>
      <c r="H18" s="1427">
        <v>17300</v>
      </c>
      <c r="I18" s="2668"/>
      <c r="J18" s="2663"/>
      <c r="K18" s="2530"/>
      <c r="L18" s="2530"/>
      <c r="M18" s="2682"/>
      <c r="N18" s="2682"/>
      <c r="O18" s="2530"/>
      <c r="P18" s="2529"/>
    </row>
    <row r="19" spans="1:16" ht="20.100000000000001" customHeight="1" outlineLevel="1">
      <c r="A19" s="1536"/>
      <c r="B19" s="1552"/>
      <c r="C19" s="2620"/>
      <c r="D19" s="1428"/>
      <c r="E19" s="1427"/>
      <c r="F19" s="1454"/>
      <c r="G19" s="1427"/>
      <c r="H19" s="1427"/>
      <c r="I19" s="2676"/>
      <c r="J19" s="2660"/>
      <c r="K19" s="2530"/>
      <c r="L19" s="2530"/>
      <c r="M19" s="1302"/>
      <c r="N19" s="1302"/>
      <c r="O19" s="2530"/>
      <c r="P19" s="2529"/>
    </row>
    <row r="20" spans="1:16" ht="20.100000000000001" customHeight="1" outlineLevel="1">
      <c r="A20" s="1553"/>
      <c r="B20" s="2628"/>
      <c r="C20" s="978"/>
      <c r="D20" s="1428"/>
      <c r="E20" s="1427"/>
      <c r="F20" s="1454"/>
      <c r="G20" s="1427"/>
      <c r="H20" s="1427"/>
      <c r="I20" s="2666"/>
      <c r="J20" s="2656"/>
      <c r="K20" s="2530"/>
      <c r="L20" s="2530"/>
      <c r="M20" s="1302"/>
      <c r="N20" s="1302"/>
      <c r="O20" s="2530"/>
      <c r="P20" s="2529"/>
    </row>
    <row r="21" spans="1:16" ht="20.100000000000001" customHeight="1" outlineLevel="1">
      <c r="A21" s="1553"/>
      <c r="B21" s="2628"/>
      <c r="C21" s="978"/>
      <c r="D21" s="1428"/>
      <c r="E21" s="1427"/>
      <c r="F21" s="1454"/>
      <c r="G21" s="1427"/>
      <c r="H21" s="1427"/>
      <c r="I21" s="2666"/>
      <c r="J21" s="2656"/>
      <c r="K21" s="2530"/>
      <c r="L21" s="2530"/>
      <c r="M21" s="1302"/>
      <c r="N21" s="1302"/>
      <c r="O21" s="2530"/>
      <c r="P21" s="2529"/>
    </row>
    <row r="22" spans="1:16" ht="20.100000000000001" customHeight="1" outlineLevel="1">
      <c r="A22" s="1553"/>
      <c r="B22" s="2628"/>
      <c r="C22" s="978"/>
      <c r="D22" s="1428"/>
      <c r="E22" s="1427"/>
      <c r="F22" s="1454"/>
      <c r="G22" s="1427"/>
      <c r="H22" s="1427"/>
      <c r="I22" s="2666"/>
      <c r="J22" s="2656"/>
      <c r="K22" s="2530"/>
      <c r="L22" s="2530"/>
      <c r="M22" s="1302"/>
      <c r="N22" s="1302"/>
      <c r="O22" s="2530"/>
      <c r="P22" s="2529"/>
    </row>
    <row r="23" spans="1:16" ht="20.100000000000001" customHeight="1" outlineLevel="1">
      <c r="A23" s="1553"/>
      <c r="B23" s="2628"/>
      <c r="C23" s="978"/>
      <c r="D23" s="1428"/>
      <c r="E23" s="1427"/>
      <c r="F23" s="1454"/>
      <c r="G23" s="1427"/>
      <c r="H23" s="1427"/>
      <c r="I23" s="2666"/>
      <c r="J23" s="2656"/>
      <c r="K23" s="2530"/>
      <c r="L23" s="2530"/>
      <c r="M23" s="1302"/>
      <c r="N23" s="1302"/>
      <c r="O23" s="2530"/>
      <c r="P23" s="2529"/>
    </row>
    <row r="24" spans="1:16" ht="20.100000000000001" customHeight="1" outlineLevel="1">
      <c r="A24" s="1553"/>
      <c r="B24" s="2628"/>
      <c r="C24" s="978"/>
      <c r="D24" s="1428"/>
      <c r="E24" s="1427"/>
      <c r="F24" s="1454"/>
      <c r="G24" s="1427"/>
      <c r="H24" s="1427"/>
      <c r="I24" s="2666"/>
      <c r="J24" s="2656"/>
      <c r="K24" s="2530"/>
      <c r="L24" s="2530"/>
      <c r="M24" s="1302"/>
      <c r="N24" s="1302"/>
      <c r="O24" s="2530"/>
      <c r="P24" s="2529"/>
    </row>
    <row r="25" spans="1:16" ht="20.100000000000001" customHeight="1" outlineLevel="1">
      <c r="A25" s="1553"/>
      <c r="B25" s="2628"/>
      <c r="C25" s="978"/>
      <c r="D25" s="1428"/>
      <c r="E25" s="1427"/>
      <c r="F25" s="1454"/>
      <c r="G25" s="1427"/>
      <c r="H25" s="1427"/>
      <c r="I25" s="2666"/>
      <c r="J25" s="2656"/>
      <c r="K25" s="2530"/>
      <c r="L25" s="2530"/>
      <c r="M25" s="1302"/>
      <c r="N25" s="1302"/>
      <c r="O25" s="2530"/>
      <c r="P25" s="2529"/>
    </row>
    <row r="26" spans="1:16" ht="20.100000000000001" customHeight="1" outlineLevel="1">
      <c r="A26" s="1553"/>
      <c r="B26" s="2628"/>
      <c r="C26" s="978"/>
      <c r="D26" s="1428"/>
      <c r="E26" s="1427"/>
      <c r="F26" s="1454"/>
      <c r="G26" s="1427"/>
      <c r="H26" s="1427"/>
      <c r="I26" s="2666"/>
      <c r="J26" s="2656"/>
      <c r="K26" s="2530"/>
      <c r="L26" s="2530"/>
      <c r="M26" s="1302"/>
      <c r="N26" s="1302"/>
      <c r="O26" s="2530"/>
      <c r="P26" s="2529"/>
    </row>
    <row r="27" spans="1:16" ht="20.100000000000001" customHeight="1" outlineLevel="1">
      <c r="A27" s="1553"/>
      <c r="B27" s="2628"/>
      <c r="C27" s="978"/>
      <c r="D27" s="1428"/>
      <c r="E27" s="1427"/>
      <c r="F27" s="1454"/>
      <c r="G27" s="1427"/>
      <c r="H27" s="1427"/>
      <c r="I27" s="2666"/>
      <c r="J27" s="2656"/>
      <c r="K27" s="2530"/>
      <c r="L27" s="2530"/>
      <c r="M27" s="1302"/>
      <c r="N27" s="1302"/>
      <c r="O27" s="2530"/>
      <c r="P27" s="2529"/>
    </row>
    <row r="28" spans="1:16" ht="20.100000000000001" customHeight="1" outlineLevel="1">
      <c r="A28" s="2587"/>
      <c r="B28" s="2586"/>
      <c r="C28" s="2585"/>
      <c r="D28" s="1428"/>
      <c r="E28" s="1424"/>
      <c r="F28" s="1454"/>
      <c r="G28" s="1424"/>
      <c r="H28" s="1424"/>
      <c r="I28" s="2666"/>
      <c r="J28" s="2656"/>
      <c r="K28" s="2530"/>
      <c r="L28" s="2530"/>
      <c r="M28" s="1302"/>
      <c r="N28" s="1302"/>
      <c r="O28" s="2530"/>
      <c r="P28" s="2529"/>
    </row>
    <row r="29" spans="1:16" s="2529" customFormat="1" ht="20.100000000000001" customHeight="1" outlineLevel="1" thickBot="1">
      <c r="A29" s="2617" t="s">
        <v>366</v>
      </c>
      <c r="B29" s="2687"/>
      <c r="C29" s="2657"/>
      <c r="D29" s="2480">
        <f>SUM(D16:D19)</f>
        <v>2305230</v>
      </c>
      <c r="E29" s="2480">
        <f>SUM(E16:E19)</f>
        <v>1054796</v>
      </c>
      <c r="F29" s="2480">
        <f>SUM(F16:F19)</f>
        <v>1218204</v>
      </c>
      <c r="G29" s="2480">
        <f>SUM(G16:G19)</f>
        <v>2273000</v>
      </c>
      <c r="H29" s="2480">
        <f>SUM(H16:H19)</f>
        <v>2230000</v>
      </c>
      <c r="I29" s="2528"/>
      <c r="J29" s="2656"/>
      <c r="K29" s="2530"/>
      <c r="L29" s="2530"/>
      <c r="M29" s="1302"/>
      <c r="N29" s="1302"/>
      <c r="O29" s="2530"/>
    </row>
    <row r="30" spans="1:16" s="2288" customFormat="1" ht="19.5" customHeight="1" outlineLevel="1" thickTop="1">
      <c r="A30" s="1403" t="s">
        <v>2112</v>
      </c>
      <c r="B30" s="1390"/>
      <c r="C30" s="1403" t="s">
        <v>2111</v>
      </c>
      <c r="D30" s="1390"/>
      <c r="F30" s="2582" t="s">
        <v>2110</v>
      </c>
      <c r="G30" s="1403"/>
      <c r="H30" s="1390"/>
    </row>
    <row r="31" spans="1:16" s="2288" customFormat="1" ht="15.95" customHeight="1" outlineLevel="1">
      <c r="A31" s="1403"/>
      <c r="B31" s="1390"/>
      <c r="C31" s="1403"/>
      <c r="D31" s="1390"/>
      <c r="E31" s="2471"/>
      <c r="F31" s="2471"/>
      <c r="G31" s="1403"/>
      <c r="H31" s="1390"/>
    </row>
    <row r="32" spans="1:16" s="2288" customFormat="1" ht="10.5" customHeight="1" outlineLevel="1">
      <c r="A32" s="1390"/>
      <c r="B32" s="1403"/>
      <c r="C32" s="2581"/>
      <c r="D32" s="1403"/>
      <c r="E32" s="1403"/>
      <c r="F32" s="1403"/>
      <c r="G32" s="1403"/>
      <c r="H32" s="1390"/>
    </row>
    <row r="33" spans="1:16" s="2288" customFormat="1" ht="15.95" customHeight="1" outlineLevel="1">
      <c r="A33" s="4873" t="s">
        <v>2109</v>
      </c>
      <c r="B33" s="4873"/>
      <c r="C33" s="4760" t="s">
        <v>360</v>
      </c>
      <c r="D33" s="4760"/>
      <c r="E33" s="4760"/>
      <c r="F33" s="4741" t="s">
        <v>359</v>
      </c>
      <c r="G33" s="4741"/>
      <c r="H33" s="4741"/>
    </row>
    <row r="34" spans="1:16" s="2288" customFormat="1" ht="15.75" customHeight="1" outlineLevel="1">
      <c r="A34" s="2580"/>
      <c r="B34" s="2464" t="s">
        <v>2108</v>
      </c>
      <c r="C34" s="4754" t="s">
        <v>357</v>
      </c>
      <c r="D34" s="4754"/>
      <c r="E34" s="4754"/>
      <c r="F34" s="4868" t="s">
        <v>356</v>
      </c>
      <c r="G34" s="4868"/>
      <c r="H34" s="4868"/>
    </row>
    <row r="35" spans="1:16" s="2288" customFormat="1" ht="12" customHeight="1" outlineLevel="1">
      <c r="A35" s="4878"/>
      <c r="B35" s="4878"/>
      <c r="C35" s="4754"/>
      <c r="D35" s="4754"/>
      <c r="E35" s="4754"/>
      <c r="F35" s="1406"/>
      <c r="G35" s="1406"/>
      <c r="H35" s="1406"/>
    </row>
    <row r="36" spans="1:16" s="2529" customFormat="1" ht="12" customHeight="1" outlineLevel="1">
      <c r="A36" s="2463"/>
      <c r="B36" s="2464"/>
      <c r="C36" s="2463"/>
      <c r="D36" s="2465"/>
      <c r="E36" s="2465"/>
      <c r="F36" s="2465"/>
      <c r="G36" s="2465"/>
      <c r="H36" s="2465"/>
      <c r="I36" s="2530"/>
      <c r="J36" s="2530"/>
      <c r="K36" s="2530"/>
      <c r="L36" s="2530"/>
      <c r="M36" s="2530"/>
      <c r="N36" s="2530"/>
      <c r="O36" s="2530"/>
    </row>
    <row r="37" spans="1:16" s="2529" customFormat="1" ht="12" customHeight="1" outlineLevel="1">
      <c r="A37" s="2463"/>
      <c r="B37" s="2464"/>
      <c r="C37" s="2463"/>
      <c r="D37" s="2465"/>
      <c r="E37" s="2465"/>
      <c r="F37" s="2465"/>
      <c r="G37" s="2465"/>
      <c r="H37" s="2465"/>
      <c r="I37" s="2530"/>
      <c r="J37" s="2530"/>
      <c r="K37" s="2530"/>
      <c r="L37" s="2530"/>
      <c r="M37" s="2530"/>
      <c r="N37" s="2530"/>
      <c r="O37" s="2530"/>
    </row>
    <row r="38" spans="1:16" s="2529" customFormat="1" ht="12" customHeight="1" outlineLevel="1">
      <c r="A38" s="2463"/>
      <c r="B38" s="2464"/>
      <c r="C38" s="2463"/>
      <c r="D38" s="2465"/>
      <c r="E38" s="2465"/>
      <c r="F38" s="2465"/>
      <c r="G38" s="2465"/>
      <c r="H38" s="2465"/>
      <c r="I38" s="2530"/>
      <c r="J38" s="2530"/>
      <c r="K38" s="2530"/>
      <c r="L38" s="2530"/>
      <c r="M38" s="2530"/>
      <c r="N38" s="2530"/>
      <c r="O38" s="2530"/>
    </row>
    <row r="39" spans="1:16" s="2529" customFormat="1" ht="12" customHeight="1" outlineLevel="1">
      <c r="A39" s="2463"/>
      <c r="B39" s="2464"/>
      <c r="C39" s="2463"/>
      <c r="D39" s="2465"/>
      <c r="E39" s="2465"/>
      <c r="F39" s="2465"/>
      <c r="G39" s="2465"/>
      <c r="H39" s="2465"/>
      <c r="I39" s="2530"/>
      <c r="J39" s="2530"/>
      <c r="K39" s="2530"/>
      <c r="L39" s="2530"/>
      <c r="M39" s="2530"/>
      <c r="N39" s="2530"/>
      <c r="O39" s="2530"/>
    </row>
    <row r="40" spans="1:16" s="2529" customFormat="1" ht="12" customHeight="1" outlineLevel="1">
      <c r="A40" s="2463"/>
      <c r="B40" s="2464"/>
      <c r="C40" s="2463"/>
      <c r="D40" s="2465"/>
      <c r="E40" s="2465"/>
      <c r="F40" s="2465"/>
      <c r="G40" s="2465"/>
      <c r="H40" s="2465"/>
      <c r="I40" s="2530"/>
      <c r="J40" s="2530"/>
      <c r="K40" s="2530"/>
      <c r="L40" s="2530"/>
      <c r="M40" s="2530"/>
      <c r="N40" s="2530"/>
      <c r="O40" s="2530"/>
    </row>
    <row r="41" spans="1:16" s="2529" customFormat="1" ht="12" customHeight="1" outlineLevel="1">
      <c r="A41" s="2463"/>
      <c r="B41" s="2464"/>
      <c r="C41" s="2463"/>
      <c r="D41" s="2465"/>
      <c r="E41" s="2465"/>
      <c r="F41" s="2465"/>
      <c r="G41" s="2465"/>
      <c r="H41" s="2465"/>
      <c r="I41" s="2530"/>
      <c r="J41" s="2530"/>
      <c r="K41" s="2530"/>
      <c r="L41" s="2530"/>
      <c r="M41" s="2530"/>
      <c r="N41" s="2530"/>
      <c r="O41" s="2530"/>
    </row>
    <row r="42" spans="1:16" s="2529" customFormat="1" ht="12" customHeight="1" outlineLevel="1">
      <c r="A42" s="2463"/>
      <c r="B42" s="2464"/>
      <c r="C42" s="2463"/>
      <c r="D42" s="2465"/>
      <c r="E42" s="2465"/>
      <c r="F42" s="2465"/>
      <c r="G42" s="2465"/>
      <c r="H42" s="2465"/>
      <c r="I42" s="2530"/>
      <c r="J42" s="2530"/>
      <c r="K42" s="2530"/>
      <c r="L42" s="2530"/>
      <c r="M42" s="2530"/>
      <c r="N42" s="2530"/>
      <c r="O42" s="2530"/>
    </row>
    <row r="43" spans="1:16" s="2529" customFormat="1" ht="12" customHeight="1" outlineLevel="1">
      <c r="A43" s="2463"/>
      <c r="B43" s="2464"/>
      <c r="C43" s="2463"/>
      <c r="D43" s="2465"/>
      <c r="E43" s="2465"/>
      <c r="F43" s="2465"/>
      <c r="G43" s="2465"/>
      <c r="H43" s="2465"/>
      <c r="I43" s="2530"/>
      <c r="J43" s="2530"/>
      <c r="K43" s="2530"/>
      <c r="L43" s="2530"/>
      <c r="M43" s="2530"/>
      <c r="N43" s="2530"/>
      <c r="O43" s="2530"/>
    </row>
    <row r="44" spans="1:16" s="2529" customFormat="1" ht="12" customHeight="1" outlineLevel="1">
      <c r="A44" s="2463"/>
      <c r="B44" s="2464"/>
      <c r="C44" s="2463"/>
      <c r="D44" s="2465"/>
      <c r="E44" s="2465"/>
      <c r="F44" s="2465"/>
      <c r="G44" s="2465"/>
      <c r="H44" s="2465"/>
      <c r="I44" s="2530"/>
      <c r="J44" s="2530"/>
      <c r="K44" s="2530"/>
      <c r="L44" s="2530"/>
      <c r="M44" s="2530"/>
      <c r="N44" s="2530"/>
      <c r="O44" s="2530"/>
    </row>
    <row r="45" spans="1:16" ht="20.100000000000001" customHeight="1" outlineLevel="1">
      <c r="A45" s="2463"/>
      <c r="B45" s="2464"/>
      <c r="C45" s="2463"/>
      <c r="D45" s="2465"/>
      <c r="E45" s="2465"/>
      <c r="F45" s="2465"/>
      <c r="G45" s="2465"/>
      <c r="H45" s="2465"/>
      <c r="J45" s="2530"/>
      <c r="K45" s="2530"/>
      <c r="L45" s="2530"/>
      <c r="M45" s="2530"/>
      <c r="N45" s="2530"/>
      <c r="O45" s="2530"/>
      <c r="P45" s="2529"/>
    </row>
    <row r="46" spans="1:16" ht="20.100000000000001" customHeight="1" outlineLevel="1">
      <c r="A46" s="2463"/>
      <c r="B46" s="2464"/>
      <c r="C46" s="2463"/>
      <c r="D46" s="2465"/>
      <c r="E46" s="2465"/>
      <c r="F46" s="2465"/>
      <c r="G46" s="2465"/>
      <c r="H46" s="2465"/>
      <c r="J46" s="2530"/>
      <c r="K46" s="2530"/>
      <c r="L46" s="2530"/>
      <c r="M46" s="2530"/>
      <c r="N46" s="2530"/>
      <c r="O46" s="2530"/>
      <c r="P46" s="2529"/>
    </row>
    <row r="47" spans="1:16" s="2652" customFormat="1" ht="16.7" customHeight="1" outlineLevel="1">
      <c r="A47" s="2531"/>
      <c r="B47" s="2533"/>
      <c r="C47" s="2531"/>
      <c r="D47" s="2566"/>
      <c r="E47" s="2566"/>
      <c r="F47" s="2566"/>
      <c r="G47" s="2566"/>
      <c r="H47" s="2566"/>
      <c r="I47" s="2653"/>
      <c r="J47" s="2655"/>
      <c r="K47" s="2655"/>
      <c r="L47" s="2655"/>
      <c r="M47" s="2655"/>
      <c r="N47" s="2655"/>
      <c r="O47" s="2655"/>
      <c r="P47" s="2654"/>
    </row>
    <row r="48" spans="1:16" s="2652" customFormat="1" ht="16.7" customHeight="1" outlineLevel="1">
      <c r="A48" s="2531"/>
      <c r="B48" s="2533"/>
      <c r="C48" s="2531"/>
      <c r="D48" s="2566"/>
      <c r="E48" s="2566"/>
      <c r="F48" s="2566"/>
      <c r="G48" s="2566"/>
      <c r="H48" s="2566"/>
      <c r="I48" s="2653"/>
      <c r="J48" s="2655"/>
      <c r="K48" s="2655"/>
      <c r="L48" s="2655"/>
      <c r="M48" s="2655"/>
      <c r="N48" s="2655"/>
      <c r="O48" s="2655"/>
      <c r="P48" s="2654"/>
    </row>
    <row r="49" spans="1:16" s="2652" customFormat="1" ht="16.7" customHeight="1" outlineLevel="1">
      <c r="A49" s="2531"/>
      <c r="B49" s="2533"/>
      <c r="C49" s="2531"/>
      <c r="D49" s="2566"/>
      <c r="E49" s="2566"/>
      <c r="F49" s="2566"/>
      <c r="G49" s="2566"/>
      <c r="H49" s="2566"/>
      <c r="I49" s="2653"/>
      <c r="J49" s="2655"/>
      <c r="K49" s="2655"/>
      <c r="L49" s="2655"/>
      <c r="M49" s="2655"/>
      <c r="N49" s="2655"/>
      <c r="O49" s="2655"/>
      <c r="P49" s="2654"/>
    </row>
    <row r="50" spans="1:16" s="2652" customFormat="1" ht="16.7" customHeight="1" outlineLevel="1">
      <c r="A50" s="2531"/>
      <c r="B50" s="2533"/>
      <c r="C50" s="2531"/>
      <c r="D50" s="2566"/>
      <c r="E50" s="2566"/>
      <c r="F50" s="2566"/>
      <c r="G50" s="2566"/>
      <c r="H50" s="2566"/>
      <c r="I50" s="2653"/>
      <c r="J50" s="2655"/>
      <c r="K50" s="2655"/>
      <c r="L50" s="2655"/>
      <c r="M50" s="2655"/>
      <c r="N50" s="2655"/>
      <c r="O50" s="2655"/>
      <c r="P50" s="2654"/>
    </row>
    <row r="51" spans="1:16" s="2652" customFormat="1" ht="16.7" customHeight="1" outlineLevel="1">
      <c r="A51" s="2531"/>
      <c r="B51" s="2533"/>
      <c r="C51" s="2531"/>
      <c r="D51" s="2566"/>
      <c r="E51" s="2566"/>
      <c r="F51" s="2566"/>
      <c r="G51" s="2566"/>
      <c r="H51" s="2566"/>
      <c r="I51" s="2653"/>
      <c r="J51" s="2655"/>
      <c r="K51" s="2655"/>
      <c r="L51" s="2655"/>
      <c r="M51" s="2655"/>
      <c r="N51" s="2655"/>
      <c r="O51" s="2655"/>
      <c r="P51" s="2654"/>
    </row>
    <row r="52" spans="1:16" s="2652" customFormat="1" ht="16.7" customHeight="1" outlineLevel="1">
      <c r="A52" s="4876"/>
      <c r="B52" s="4876"/>
      <c r="C52" s="4876"/>
      <c r="D52" s="4876"/>
      <c r="E52" s="4876"/>
      <c r="F52" s="4876"/>
      <c r="G52" s="4876"/>
      <c r="H52" s="4876"/>
      <c r="I52" s="2653"/>
      <c r="J52" s="2655"/>
      <c r="K52" s="2655"/>
      <c r="L52" s="2655"/>
      <c r="M52" s="2655"/>
      <c r="N52" s="2655"/>
      <c r="O52" s="2655"/>
      <c r="P52" s="2654"/>
    </row>
    <row r="53" spans="1:16" s="2652" customFormat="1" ht="16.7" customHeight="1" outlineLevel="1">
      <c r="A53" s="4877"/>
      <c r="B53" s="4877"/>
      <c r="C53" s="4877"/>
      <c r="D53" s="4877"/>
      <c r="E53" s="4877"/>
      <c r="F53" s="4877"/>
      <c r="G53" s="4877"/>
      <c r="H53" s="4877"/>
      <c r="I53" s="2653"/>
      <c r="J53" s="2655"/>
      <c r="K53" s="2655"/>
      <c r="L53" s="2655"/>
      <c r="M53" s="2655"/>
      <c r="N53" s="2655"/>
      <c r="O53" s="2655"/>
      <c r="P53" s="2654"/>
    </row>
    <row r="54" spans="1:16" s="2652" customFormat="1" ht="16.7" customHeight="1" outlineLevel="1">
      <c r="A54" s="2529"/>
      <c r="B54" s="2529"/>
      <c r="C54" s="2529"/>
      <c r="D54" s="2529"/>
      <c r="E54" s="2529"/>
      <c r="F54" s="2529"/>
      <c r="G54" s="2529"/>
      <c r="H54" s="2529"/>
      <c r="I54" s="2653"/>
      <c r="J54" s="2655"/>
      <c r="K54" s="2655"/>
      <c r="L54" s="2655"/>
      <c r="M54" s="2655"/>
      <c r="N54" s="2655"/>
      <c r="O54" s="2655"/>
      <c r="P54" s="2654"/>
    </row>
    <row r="55" spans="1:16" s="2652" customFormat="1" ht="16.7" customHeight="1" outlineLevel="1">
      <c r="A55" s="2529"/>
      <c r="B55" s="2529"/>
      <c r="C55" s="2529"/>
      <c r="D55" s="2529"/>
      <c r="E55" s="2529"/>
      <c r="F55" s="2529"/>
      <c r="G55" s="2529"/>
      <c r="H55" s="2529"/>
      <c r="I55" s="2653"/>
      <c r="J55" s="2655"/>
      <c r="K55" s="2655"/>
      <c r="L55" s="2655"/>
      <c r="M55" s="2655"/>
      <c r="N55" s="2655"/>
      <c r="O55" s="2655"/>
      <c r="P55" s="2654"/>
    </row>
    <row r="56" spans="1:16" s="2652" customFormat="1" ht="16.7" customHeight="1" outlineLevel="1">
      <c r="A56" s="2568"/>
      <c r="B56" s="2567"/>
      <c r="C56" s="2529"/>
      <c r="D56" s="2566"/>
      <c r="E56" s="2566"/>
      <c r="F56" s="2566"/>
      <c r="G56" s="2566"/>
      <c r="H56" s="2566"/>
      <c r="I56" s="2653"/>
      <c r="J56" s="2655"/>
      <c r="K56" s="2655"/>
      <c r="L56" s="2655"/>
      <c r="M56" s="2655"/>
      <c r="N56" s="2655"/>
      <c r="O56" s="2655"/>
      <c r="P56" s="2654"/>
    </row>
    <row r="57" spans="1:16" s="2652" customFormat="1" ht="16.7" customHeight="1" outlineLevel="1">
      <c r="A57" s="1269"/>
      <c r="B57" s="1269"/>
      <c r="C57" s="2542"/>
      <c r="D57" s="2541"/>
      <c r="E57" s="2561"/>
      <c r="F57" s="2540"/>
      <c r="G57" s="2565"/>
      <c r="H57" s="2561"/>
      <c r="I57" s="2653"/>
      <c r="J57" s="2655"/>
      <c r="K57" s="2655"/>
      <c r="L57" s="2655"/>
      <c r="M57" s="2655"/>
      <c r="N57" s="2655"/>
      <c r="O57" s="2655"/>
      <c r="P57" s="2654"/>
    </row>
    <row r="58" spans="1:16" s="2652" customFormat="1" ht="16.7" customHeight="1" outlineLevel="1">
      <c r="A58" s="2564"/>
      <c r="B58" s="2564"/>
      <c r="C58" s="2563"/>
      <c r="D58" s="2541"/>
      <c r="E58" s="2561"/>
      <c r="F58" s="2540"/>
      <c r="G58" s="2562"/>
      <c r="H58" s="2561"/>
      <c r="I58" s="2653"/>
      <c r="J58" s="2655"/>
      <c r="K58" s="2655"/>
      <c r="L58" s="2655"/>
      <c r="M58" s="2655"/>
      <c r="N58" s="2655"/>
      <c r="O58" s="2655"/>
      <c r="P58" s="2654"/>
    </row>
    <row r="59" spans="1:16" s="2652" customFormat="1" ht="16.7" customHeight="1" outlineLevel="1">
      <c r="A59" s="4879"/>
      <c r="B59" s="4879"/>
      <c r="C59" s="2559"/>
      <c r="D59" s="2560"/>
      <c r="E59" s="4880"/>
      <c r="F59" s="4880"/>
      <c r="G59" s="4880"/>
      <c r="H59" s="2557"/>
      <c r="I59" s="2653"/>
      <c r="J59" s="2655"/>
      <c r="K59" s="2655"/>
      <c r="L59" s="2655"/>
      <c r="M59" s="2655"/>
      <c r="N59" s="2655"/>
      <c r="O59" s="2655"/>
      <c r="P59" s="2654"/>
    </row>
    <row r="60" spans="1:16" s="2652" customFormat="1" ht="16.7" customHeight="1" outlineLevel="1">
      <c r="A60" s="4879"/>
      <c r="B60" s="4879"/>
      <c r="C60" s="2559"/>
      <c r="D60" s="2558"/>
      <c r="E60" s="2558"/>
      <c r="F60" s="2558"/>
      <c r="G60" s="2558"/>
      <c r="H60" s="2558"/>
      <c r="I60" s="2653"/>
      <c r="J60" s="2655"/>
      <c r="K60" s="2655"/>
      <c r="L60" s="2655"/>
      <c r="M60" s="2655"/>
      <c r="N60" s="2655"/>
      <c r="O60" s="2655"/>
      <c r="P60" s="2654"/>
    </row>
    <row r="61" spans="1:16" s="2652" customFormat="1" ht="16.7" customHeight="1" outlineLevel="1">
      <c r="A61" s="4879"/>
      <c r="B61" s="4879"/>
      <c r="C61" s="2557"/>
      <c r="D61" s="2555"/>
      <c r="E61" s="2555"/>
      <c r="F61" s="2555"/>
      <c r="G61" s="2556"/>
      <c r="H61" s="2555"/>
      <c r="I61" s="2653"/>
      <c r="J61" s="2653"/>
      <c r="K61" s="2653"/>
      <c r="L61" s="2653"/>
      <c r="M61" s="2653"/>
      <c r="N61" s="2653"/>
      <c r="O61" s="2653"/>
    </row>
    <row r="62" spans="1:16" s="2652" customFormat="1" ht="16.7" customHeight="1" outlineLevel="1">
      <c r="A62" s="2554"/>
      <c r="B62" s="2553"/>
      <c r="C62" s="2552"/>
      <c r="D62" s="2551"/>
      <c r="E62" s="2551"/>
      <c r="F62" s="2551"/>
      <c r="G62" s="2551"/>
      <c r="H62" s="2551"/>
      <c r="I62" s="2653"/>
      <c r="J62" s="2653"/>
      <c r="K62" s="2653"/>
      <c r="L62" s="2653"/>
      <c r="M62" s="2653"/>
      <c r="N62" s="2653"/>
      <c r="O62" s="2653"/>
    </row>
    <row r="63" spans="1:16" s="2652" customFormat="1" ht="16.7" customHeight="1" outlineLevel="1">
      <c r="A63" s="2549"/>
      <c r="B63" s="2549"/>
      <c r="C63" s="2545"/>
      <c r="D63" s="2548"/>
      <c r="E63" s="2548"/>
      <c r="F63" s="2540"/>
      <c r="G63" s="2548"/>
      <c r="H63" s="2548"/>
      <c r="I63" s="2653"/>
      <c r="J63" s="2653"/>
      <c r="K63" s="2653"/>
      <c r="L63" s="2653"/>
      <c r="M63" s="2653"/>
      <c r="N63" s="2653"/>
      <c r="O63" s="2653"/>
    </row>
    <row r="64" spans="1:16" s="2652" customFormat="1" ht="16.7" customHeight="1" outlineLevel="1">
      <c r="A64" s="2549"/>
      <c r="B64" s="2549"/>
      <c r="C64" s="2545"/>
      <c r="D64" s="2548"/>
      <c r="E64" s="2548"/>
      <c r="F64" s="2540"/>
      <c r="G64" s="2548"/>
      <c r="H64" s="2548"/>
      <c r="I64" s="2653"/>
      <c r="J64" s="2653"/>
      <c r="K64" s="2653"/>
      <c r="L64" s="2653"/>
      <c r="M64" s="2653"/>
      <c r="N64" s="2653"/>
      <c r="O64" s="2653"/>
    </row>
    <row r="65" spans="1:15" ht="16.7" customHeight="1" outlineLevel="1">
      <c r="A65" s="2546"/>
      <c r="B65" s="1269"/>
      <c r="C65" s="2545"/>
      <c r="D65" s="2541"/>
      <c r="E65" s="2544"/>
      <c r="F65" s="2540"/>
      <c r="G65" s="2544"/>
      <c r="H65" s="2544"/>
    </row>
    <row r="66" spans="1:15" ht="20.100000000000001" customHeight="1" outlineLevel="2">
      <c r="A66" s="2549"/>
      <c r="B66" s="2549"/>
      <c r="C66" s="2545"/>
      <c r="D66" s="2541"/>
      <c r="E66" s="2544"/>
      <c r="F66" s="2540"/>
      <c r="G66" s="2544"/>
      <c r="H66" s="2544"/>
    </row>
    <row r="67" spans="1:15" ht="8.4499999999999993" customHeight="1" outlineLevel="2">
      <c r="A67" s="2546"/>
      <c r="B67" s="1269"/>
      <c r="C67" s="2542"/>
      <c r="D67" s="2541"/>
      <c r="E67" s="2544"/>
      <c r="F67" s="2540"/>
      <c r="G67" s="2544"/>
      <c r="H67" s="2544"/>
    </row>
    <row r="68" spans="1:15" ht="14.45" customHeight="1">
      <c r="A68" s="2549"/>
      <c r="B68" s="2549"/>
      <c r="C68" s="2542"/>
      <c r="D68" s="2541"/>
      <c r="E68" s="2544"/>
      <c r="F68" s="2540"/>
      <c r="G68" s="2544"/>
      <c r="H68" s="2544"/>
    </row>
    <row r="69" spans="1:15" ht="13.9" customHeight="1">
      <c r="A69" s="2547"/>
      <c r="B69" s="2546"/>
      <c r="C69" s="2545"/>
      <c r="D69" s="2541"/>
      <c r="E69" s="2544"/>
      <c r="F69" s="2540"/>
      <c r="G69" s="2544"/>
      <c r="H69" s="2544"/>
    </row>
    <row r="70" spans="1:15" s="1256" customFormat="1" ht="18" customHeight="1">
      <c r="A70" s="2543"/>
      <c r="B70" s="2543"/>
      <c r="C70" s="2542"/>
      <c r="D70" s="2541"/>
      <c r="E70" s="2539"/>
      <c r="F70" s="2540"/>
      <c r="G70" s="2539"/>
      <c r="H70" s="2539"/>
      <c r="I70" s="1257"/>
      <c r="J70" s="1257"/>
      <c r="K70" s="1257"/>
      <c r="L70" s="1257"/>
      <c r="M70" s="1257"/>
      <c r="N70" s="1257"/>
      <c r="O70" s="1257"/>
    </row>
    <row r="71" spans="1:15" s="2463" customFormat="1" ht="12.75">
      <c r="A71" s="2538"/>
      <c r="B71" s="2538"/>
      <c r="C71" s="2537"/>
      <c r="D71" s="2536"/>
      <c r="E71" s="2536"/>
      <c r="F71" s="2536"/>
      <c r="G71" s="2536"/>
      <c r="H71" s="2536"/>
      <c r="I71" s="2579"/>
      <c r="J71" s="2579"/>
      <c r="K71" s="2579"/>
      <c r="L71" s="2579"/>
      <c r="M71" s="2579"/>
      <c r="N71" s="2579"/>
      <c r="O71" s="2579"/>
    </row>
    <row r="72" spans="1:15" s="2463" customFormat="1" ht="12.75">
      <c r="A72" s="2538"/>
      <c r="B72" s="2538"/>
      <c r="C72" s="2537"/>
      <c r="D72" s="2536"/>
      <c r="E72" s="2536"/>
      <c r="F72" s="2536"/>
      <c r="G72" s="2536"/>
      <c r="H72" s="2536"/>
      <c r="I72" s="2579"/>
      <c r="J72" s="2579"/>
      <c r="K72" s="2579"/>
      <c r="L72" s="2579"/>
      <c r="M72" s="2579"/>
      <c r="N72" s="2579"/>
      <c r="O72" s="2579"/>
    </row>
    <row r="73" spans="1:15" s="2463" customFormat="1">
      <c r="A73" s="1269"/>
      <c r="B73" s="2529"/>
      <c r="C73" s="2535"/>
      <c r="D73" s="2529"/>
      <c r="E73" s="4877"/>
      <c r="F73" s="4877"/>
      <c r="G73" s="1269"/>
      <c r="H73" s="2529"/>
      <c r="I73" s="2579"/>
      <c r="J73" s="2579"/>
      <c r="K73" s="2579"/>
      <c r="L73" s="2579"/>
      <c r="M73" s="2579"/>
      <c r="N73" s="2579"/>
      <c r="O73" s="2579"/>
    </row>
    <row r="74" spans="1:15" s="2463" customFormat="1">
      <c r="A74" s="2529"/>
      <c r="B74" s="1269"/>
      <c r="C74" s="2535"/>
      <c r="D74" s="1269"/>
      <c r="E74" s="1269"/>
      <c r="F74" s="1269"/>
      <c r="G74" s="1269"/>
      <c r="H74" s="2529"/>
      <c r="I74" s="2579"/>
      <c r="J74" s="2579"/>
      <c r="K74" s="2579"/>
      <c r="L74" s="2579"/>
      <c r="M74" s="2579"/>
      <c r="N74" s="2579"/>
      <c r="O74" s="2579"/>
    </row>
    <row r="75" spans="1:15" s="2463" customFormat="1" ht="12.75">
      <c r="A75" s="2534"/>
      <c r="B75" s="1269"/>
      <c r="C75" s="4881"/>
      <c r="D75" s="4881"/>
      <c r="E75" s="4876"/>
      <c r="F75" s="4876"/>
      <c r="G75" s="4876"/>
      <c r="H75" s="4876"/>
      <c r="I75" s="2579"/>
      <c r="J75" s="2579"/>
      <c r="K75" s="2579"/>
      <c r="L75" s="2579"/>
      <c r="M75" s="2579"/>
      <c r="N75" s="2579"/>
      <c r="O75" s="2579"/>
    </row>
    <row r="76" spans="1:15" s="2463" customFormat="1" ht="12.75">
      <c r="A76" s="2531"/>
      <c r="B76" s="2533"/>
      <c r="C76" s="4874"/>
      <c r="D76" s="4874"/>
      <c r="E76" s="4875"/>
      <c r="F76" s="4875"/>
      <c r="G76" s="4875"/>
      <c r="H76" s="4875"/>
      <c r="I76" s="2579"/>
      <c r="J76" s="2579"/>
      <c r="K76" s="2579"/>
      <c r="L76" s="2579"/>
      <c r="M76" s="2579"/>
      <c r="N76" s="2579"/>
      <c r="O76" s="2579"/>
    </row>
    <row r="77" spans="1:15" s="2463" customFormat="1" ht="12.75">
      <c r="A77" s="2531"/>
      <c r="B77" s="2533"/>
      <c r="C77" s="2531"/>
      <c r="D77" s="2566"/>
      <c r="E77" s="2566"/>
      <c r="F77" s="2566"/>
      <c r="G77" s="2566"/>
      <c r="H77" s="2566"/>
      <c r="I77" s="2579"/>
      <c r="J77" s="2579"/>
      <c r="K77" s="2579"/>
      <c r="L77" s="2579"/>
      <c r="M77" s="2579"/>
      <c r="N77" s="2579"/>
      <c r="O77" s="2579"/>
    </row>
    <row r="78" spans="1:15" s="2463" customFormat="1" ht="12.75">
      <c r="A78" s="2531"/>
      <c r="B78" s="2533"/>
      <c r="C78" s="2531"/>
      <c r="D78" s="2566"/>
      <c r="E78" s="2566"/>
      <c r="F78" s="2566"/>
      <c r="G78" s="2566"/>
      <c r="H78" s="2566"/>
      <c r="I78" s="2579"/>
      <c r="J78" s="2579"/>
      <c r="K78" s="2579"/>
      <c r="L78" s="2579"/>
      <c r="M78" s="2579"/>
      <c r="N78" s="2579"/>
      <c r="O78" s="2579"/>
    </row>
    <row r="79" spans="1:15" s="2463" customFormat="1" ht="12.75">
      <c r="A79" s="2531"/>
      <c r="B79" s="2533"/>
      <c r="C79" s="2531"/>
      <c r="D79" s="2566"/>
      <c r="E79" s="2566"/>
      <c r="F79" s="2566"/>
      <c r="G79" s="2566"/>
      <c r="H79" s="2566"/>
      <c r="I79" s="2579"/>
      <c r="J79" s="2579"/>
      <c r="K79" s="2579"/>
      <c r="L79" s="2579"/>
      <c r="M79" s="2579"/>
      <c r="N79" s="2579"/>
      <c r="O79" s="2579"/>
    </row>
    <row r="80" spans="1:15" s="2463" customFormat="1" ht="12.75">
      <c r="A80" s="2531"/>
      <c r="B80" s="2533"/>
      <c r="C80" s="2531"/>
      <c r="D80" s="2566"/>
      <c r="E80" s="2566"/>
      <c r="F80" s="2566"/>
      <c r="G80" s="2566"/>
      <c r="H80" s="2566"/>
      <c r="I80" s="2579"/>
      <c r="J80" s="2579"/>
      <c r="K80" s="2579"/>
      <c r="L80" s="2579"/>
      <c r="M80" s="2579"/>
      <c r="N80" s="2579"/>
      <c r="O80" s="2579"/>
    </row>
    <row r="81" spans="1:15" s="2463" customFormat="1" ht="12.75">
      <c r="A81" s="2531"/>
      <c r="B81" s="2533"/>
      <c r="C81" s="2531"/>
      <c r="D81" s="2566"/>
      <c r="E81" s="2566"/>
      <c r="F81" s="2566"/>
      <c r="G81" s="2566"/>
      <c r="H81" s="2566"/>
      <c r="I81" s="2579"/>
      <c r="J81" s="2579"/>
      <c r="K81" s="2579"/>
      <c r="L81" s="2579"/>
      <c r="M81" s="2579"/>
      <c r="N81" s="2579"/>
      <c r="O81" s="2579"/>
    </row>
    <row r="82" spans="1:15" s="2463" customFormat="1" ht="12.75">
      <c r="A82" s="2531"/>
      <c r="B82" s="2533"/>
      <c r="C82" s="2531"/>
      <c r="D82" s="2566"/>
      <c r="E82" s="2566"/>
      <c r="F82" s="2566"/>
      <c r="G82" s="2566"/>
      <c r="H82" s="2566"/>
      <c r="I82" s="2579"/>
      <c r="J82" s="2579"/>
      <c r="K82" s="2579"/>
      <c r="L82" s="2579"/>
      <c r="M82" s="2579"/>
      <c r="N82" s="2579"/>
      <c r="O82" s="2579"/>
    </row>
    <row r="83" spans="1:15" s="2463" customFormat="1" ht="12.75">
      <c r="A83" s="2531"/>
      <c r="B83" s="2533"/>
      <c r="C83" s="2531"/>
      <c r="D83" s="2566"/>
      <c r="E83" s="2566"/>
      <c r="F83" s="2566"/>
      <c r="G83" s="2566"/>
      <c r="H83" s="2566"/>
      <c r="I83" s="2579"/>
      <c r="J83" s="2579"/>
      <c r="K83" s="2579"/>
      <c r="L83" s="2579"/>
      <c r="M83" s="2579"/>
      <c r="N83" s="2579"/>
      <c r="O83" s="2579"/>
    </row>
    <row r="84" spans="1:15" s="2463" customFormat="1" ht="12.75">
      <c r="A84" s="2531"/>
      <c r="B84" s="2533"/>
      <c r="C84" s="2531"/>
      <c r="D84" s="2566"/>
      <c r="E84" s="2566"/>
      <c r="F84" s="2566"/>
      <c r="G84" s="2566"/>
      <c r="H84" s="2566"/>
      <c r="I84" s="2579"/>
      <c r="J84" s="2579"/>
      <c r="K84" s="2579"/>
      <c r="L84" s="2579"/>
      <c r="M84" s="2579"/>
      <c r="N84" s="2579"/>
      <c r="O84" s="2579"/>
    </row>
    <row r="85" spans="1:15" s="2463" customFormat="1" ht="12.75">
      <c r="A85" s="2531"/>
      <c r="B85" s="2533"/>
      <c r="C85" s="2531"/>
      <c r="D85" s="2566"/>
      <c r="E85" s="2566"/>
      <c r="F85" s="2566"/>
      <c r="G85" s="2566"/>
      <c r="H85" s="2566"/>
      <c r="I85" s="2579"/>
      <c r="J85" s="2579"/>
      <c r="K85" s="2579"/>
      <c r="L85" s="2579"/>
      <c r="M85" s="2579"/>
      <c r="N85" s="2579"/>
      <c r="O85" s="2579"/>
    </row>
    <row r="86" spans="1:15" s="2463" customFormat="1" ht="12.75">
      <c r="A86" s="2531"/>
      <c r="B86" s="2533"/>
      <c r="C86" s="2531"/>
      <c r="D86" s="2566"/>
      <c r="E86" s="2566"/>
      <c r="F86" s="2566"/>
      <c r="G86" s="2566"/>
      <c r="H86" s="2566"/>
      <c r="I86" s="2579"/>
      <c r="J86" s="2579"/>
      <c r="K86" s="2579"/>
      <c r="L86" s="2579"/>
      <c r="M86" s="2579"/>
      <c r="N86" s="2579"/>
      <c r="O86" s="2579"/>
    </row>
    <row r="87" spans="1:15" s="2463" customFormat="1" ht="12.75">
      <c r="A87" s="2531"/>
      <c r="B87" s="2533"/>
      <c r="C87" s="2531"/>
      <c r="D87" s="2566"/>
      <c r="E87" s="2566"/>
      <c r="F87" s="2566"/>
      <c r="G87" s="2566"/>
      <c r="H87" s="2566"/>
      <c r="I87" s="2579"/>
      <c r="J87" s="2579"/>
      <c r="K87" s="2579"/>
      <c r="L87" s="2579"/>
      <c r="M87" s="2579"/>
      <c r="N87" s="2579"/>
      <c r="O87" s="2579"/>
    </row>
    <row r="88" spans="1:15" s="2463" customFormat="1" ht="12.75">
      <c r="A88" s="2531"/>
      <c r="B88" s="2533"/>
      <c r="C88" s="2531"/>
      <c r="D88" s="2566"/>
      <c r="E88" s="2566"/>
      <c r="F88" s="2566"/>
      <c r="G88" s="2566"/>
      <c r="H88" s="2566"/>
      <c r="I88" s="2579"/>
      <c r="J88" s="2579"/>
      <c r="K88" s="2579"/>
      <c r="L88" s="2579"/>
      <c r="M88" s="2579"/>
      <c r="N88" s="2579"/>
      <c r="O88" s="2579"/>
    </row>
    <row r="89" spans="1:15" s="2463" customFormat="1" ht="12.75">
      <c r="A89" s="2531"/>
      <c r="B89" s="2533"/>
      <c r="C89" s="2531"/>
      <c r="D89" s="2566"/>
      <c r="E89" s="2566"/>
      <c r="F89" s="2566"/>
      <c r="G89" s="2566"/>
      <c r="H89" s="2566"/>
      <c r="I89" s="2579"/>
      <c r="J89" s="2579"/>
      <c r="K89" s="2579"/>
      <c r="L89" s="2579"/>
      <c r="M89" s="2579"/>
      <c r="N89" s="2579"/>
      <c r="O89" s="2579"/>
    </row>
    <row r="90" spans="1:15" s="2463" customFormat="1" ht="12.75">
      <c r="A90" s="2531"/>
      <c r="B90" s="2533"/>
      <c r="C90" s="2531"/>
      <c r="D90" s="2566"/>
      <c r="E90" s="2566"/>
      <c r="F90" s="2566"/>
      <c r="G90" s="2566"/>
      <c r="H90" s="2566"/>
      <c r="I90" s="2579"/>
      <c r="J90" s="2579"/>
      <c r="K90" s="2579"/>
      <c r="L90" s="2579"/>
      <c r="M90" s="2579"/>
      <c r="N90" s="2579"/>
      <c r="O90" s="2579"/>
    </row>
    <row r="91" spans="1:15" s="2463" customFormat="1" ht="12.75">
      <c r="A91" s="2531"/>
      <c r="B91" s="2533"/>
      <c r="C91" s="2531"/>
      <c r="D91" s="2566"/>
      <c r="E91" s="2566"/>
      <c r="F91" s="2566"/>
      <c r="G91" s="2566"/>
      <c r="H91" s="2566"/>
      <c r="I91" s="2579"/>
      <c r="J91" s="2579"/>
      <c r="K91" s="2579"/>
      <c r="L91" s="2579"/>
      <c r="M91" s="2579"/>
      <c r="N91" s="2579"/>
      <c r="O91" s="2579"/>
    </row>
    <row r="92" spans="1:15" s="2463" customFormat="1" ht="12.75">
      <c r="A92" s="2531"/>
      <c r="B92" s="2533"/>
      <c r="C92" s="2531"/>
      <c r="D92" s="2566"/>
      <c r="E92" s="2566"/>
      <c r="F92" s="2566"/>
      <c r="G92" s="2566"/>
      <c r="H92" s="2566"/>
      <c r="I92" s="2579"/>
      <c r="J92" s="2579"/>
      <c r="K92" s="2579"/>
      <c r="L92" s="2579"/>
      <c r="M92" s="2579"/>
      <c r="N92" s="2579"/>
      <c r="O92" s="2579"/>
    </row>
    <row r="93" spans="1:15" s="2463" customFormat="1" ht="12.75">
      <c r="A93" s="4876"/>
      <c r="B93" s="4876"/>
      <c r="C93" s="4876"/>
      <c r="D93" s="4876"/>
      <c r="E93" s="4876"/>
      <c r="F93" s="4876"/>
      <c r="G93" s="4876"/>
      <c r="H93" s="4876"/>
      <c r="I93" s="2579"/>
      <c r="J93" s="2579"/>
      <c r="K93" s="2579"/>
      <c r="L93" s="2579"/>
      <c r="M93" s="2579"/>
      <c r="N93" s="2579"/>
      <c r="O93" s="2579"/>
    </row>
    <row r="94" spans="1:15" s="2463" customFormat="1" ht="12.75">
      <c r="A94" s="4877"/>
      <c r="B94" s="4877"/>
      <c r="C94" s="4877"/>
      <c r="D94" s="4877"/>
      <c r="E94" s="4877"/>
      <c r="F94" s="4877"/>
      <c r="G94" s="4877"/>
      <c r="H94" s="4877"/>
      <c r="I94" s="2579"/>
      <c r="J94" s="2579"/>
      <c r="K94" s="2579"/>
      <c r="L94" s="2579"/>
      <c r="M94" s="2579"/>
      <c r="N94" s="2579"/>
      <c r="O94" s="2579"/>
    </row>
    <row r="95" spans="1:15" s="2463" customFormat="1">
      <c r="A95" s="2529"/>
      <c r="B95" s="2529"/>
      <c r="C95" s="2529"/>
      <c r="D95" s="2529"/>
      <c r="E95" s="2529"/>
      <c r="F95" s="2529"/>
      <c r="G95" s="2529"/>
      <c r="H95" s="2529"/>
      <c r="I95" s="2579"/>
      <c r="J95" s="2579"/>
      <c r="K95" s="2579"/>
      <c r="L95" s="2579"/>
      <c r="M95" s="2579"/>
      <c r="N95" s="2579"/>
      <c r="O95" s="2579"/>
    </row>
    <row r="96" spans="1:15" s="2463" customFormat="1">
      <c r="A96" s="2529"/>
      <c r="B96" s="2529"/>
      <c r="C96" s="2529"/>
      <c r="D96" s="2529"/>
      <c r="E96" s="2529"/>
      <c r="F96" s="2529"/>
      <c r="G96" s="2529"/>
      <c r="H96" s="2529"/>
      <c r="I96" s="2579"/>
      <c r="J96" s="2579"/>
      <c r="K96" s="2579"/>
      <c r="L96" s="2579"/>
      <c r="M96" s="2579"/>
      <c r="N96" s="2579"/>
      <c r="O96" s="2579"/>
    </row>
    <row r="97" spans="1:15" s="2463" customFormat="1">
      <c r="A97" s="2529"/>
      <c r="B97" s="2529"/>
      <c r="C97" s="2529"/>
      <c r="D97" s="2529"/>
      <c r="E97" s="2529"/>
      <c r="F97" s="2529"/>
      <c r="G97" s="2529"/>
      <c r="H97" s="2529"/>
      <c r="I97" s="2579"/>
      <c r="J97" s="2579"/>
      <c r="K97" s="2579"/>
      <c r="L97" s="2579"/>
      <c r="M97" s="2579"/>
      <c r="N97" s="2579"/>
      <c r="O97" s="2579"/>
    </row>
    <row r="98" spans="1:15" s="2463" customFormat="1">
      <c r="A98" s="2568"/>
      <c r="B98" s="2567"/>
      <c r="C98" s="2529"/>
      <c r="D98" s="2566"/>
      <c r="E98" s="2566"/>
      <c r="F98" s="2566"/>
      <c r="G98" s="2566"/>
      <c r="H98" s="2566"/>
      <c r="I98" s="2579"/>
      <c r="J98" s="2579"/>
      <c r="K98" s="2579"/>
      <c r="L98" s="2579"/>
      <c r="M98" s="2579"/>
      <c r="N98" s="2579"/>
      <c r="O98" s="2579"/>
    </row>
    <row r="99" spans="1:15" s="2463" customFormat="1" ht="12.75">
      <c r="A99" s="1269"/>
      <c r="B99" s="1269"/>
      <c r="C99" s="2542"/>
      <c r="D99" s="2541"/>
      <c r="E99" s="2561"/>
      <c r="F99" s="2540"/>
      <c r="G99" s="2565"/>
      <c r="H99" s="2561"/>
      <c r="I99" s="2579"/>
      <c r="J99" s="2579"/>
      <c r="K99" s="2579"/>
      <c r="L99" s="2579"/>
      <c r="M99" s="2579"/>
      <c r="N99" s="2579"/>
      <c r="O99" s="2579"/>
    </row>
    <row r="100" spans="1:15" s="2463" customFormat="1" ht="23.25">
      <c r="A100" s="2564"/>
      <c r="B100" s="2564"/>
      <c r="C100" s="2563"/>
      <c r="D100" s="2570"/>
      <c r="E100" s="2569"/>
      <c r="F100" s="2540"/>
      <c r="G100" s="2562"/>
      <c r="H100" s="2561"/>
      <c r="I100" s="2579"/>
      <c r="J100" s="2579"/>
      <c r="K100" s="2579"/>
      <c r="L100" s="2579"/>
      <c r="M100" s="2579"/>
      <c r="N100" s="2579"/>
      <c r="O100" s="2579"/>
    </row>
    <row r="101" spans="1:15" s="2463" customFormat="1" ht="12.75">
      <c r="A101" s="4879"/>
      <c r="B101" s="4879"/>
      <c r="C101" s="2559"/>
      <c r="D101" s="2560"/>
      <c r="E101" s="4880"/>
      <c r="F101" s="4880"/>
      <c r="G101" s="4880"/>
      <c r="H101" s="2557"/>
      <c r="I101" s="2579"/>
      <c r="J101" s="2579"/>
      <c r="K101" s="2579"/>
      <c r="L101" s="2579"/>
      <c r="M101" s="2579"/>
      <c r="N101" s="2579"/>
      <c r="O101" s="2579"/>
    </row>
    <row r="102" spans="1:15" s="2463" customFormat="1" ht="12.75">
      <c r="A102" s="4879"/>
      <c r="B102" s="4879"/>
      <c r="C102" s="2559"/>
      <c r="D102" s="2558"/>
      <c r="E102" s="2558"/>
      <c r="F102" s="2558"/>
      <c r="G102" s="2558"/>
      <c r="H102" s="2558"/>
      <c r="I102" s="2579"/>
      <c r="J102" s="2579"/>
      <c r="K102" s="2579"/>
      <c r="L102" s="2579"/>
      <c r="M102" s="2579"/>
      <c r="N102" s="2579"/>
      <c r="O102" s="2579"/>
    </row>
    <row r="103" spans="1:15" s="2463" customFormat="1" ht="12.75">
      <c r="A103" s="4879"/>
      <c r="B103" s="4879"/>
      <c r="C103" s="2557"/>
      <c r="D103" s="2555"/>
      <c r="E103" s="2555"/>
      <c r="F103" s="2555"/>
      <c r="G103" s="2556"/>
      <c r="H103" s="2555"/>
      <c r="I103" s="2579"/>
      <c r="J103" s="2579"/>
      <c r="K103" s="2579"/>
      <c r="L103" s="2579"/>
      <c r="M103" s="2579"/>
      <c r="N103" s="2579"/>
      <c r="O103" s="2579"/>
    </row>
    <row r="104" spans="1:15" s="2463" customFormat="1" ht="12.75">
      <c r="A104" s="2554"/>
      <c r="B104" s="2553"/>
      <c r="C104" s="2552"/>
      <c r="D104" s="2551"/>
      <c r="E104" s="2551"/>
      <c r="F104" s="2551"/>
      <c r="G104" s="2551"/>
      <c r="H104" s="2551"/>
      <c r="I104" s="2579"/>
      <c r="J104" s="2579"/>
      <c r="K104" s="2579"/>
      <c r="L104" s="2579"/>
      <c r="M104" s="2579"/>
      <c r="N104" s="2579"/>
      <c r="O104" s="2579"/>
    </row>
    <row r="105" spans="1:15" s="2463" customFormat="1" ht="12.75">
      <c r="A105" s="2549"/>
      <c r="B105" s="2549"/>
      <c r="C105" s="2545"/>
      <c r="D105" s="2548"/>
      <c r="E105" s="2548"/>
      <c r="F105" s="2540"/>
      <c r="G105" s="2548"/>
      <c r="H105" s="2548"/>
      <c r="I105" s="2579"/>
      <c r="J105" s="2579"/>
      <c r="K105" s="2579"/>
      <c r="L105" s="2579"/>
      <c r="M105" s="2579"/>
      <c r="N105" s="2579"/>
      <c r="O105" s="2579"/>
    </row>
    <row r="106" spans="1:15" s="2463" customFormat="1" ht="12.75">
      <c r="A106" s="2549"/>
      <c r="B106" s="2549"/>
      <c r="C106" s="2545"/>
      <c r="D106" s="2548"/>
      <c r="E106" s="2548"/>
      <c r="F106" s="2540"/>
      <c r="G106" s="2548"/>
      <c r="H106" s="2548"/>
      <c r="I106" s="2579"/>
      <c r="J106" s="2579"/>
      <c r="K106" s="2579"/>
      <c r="L106" s="2579"/>
      <c r="M106" s="2579"/>
      <c r="N106" s="2579"/>
      <c r="O106" s="2579"/>
    </row>
    <row r="107" spans="1:15" s="2463" customFormat="1" ht="12.75">
      <c r="A107" s="2546"/>
      <c r="B107" s="1269"/>
      <c r="C107" s="2545"/>
      <c r="D107" s="2541"/>
      <c r="E107" s="2544"/>
      <c r="F107" s="2540"/>
      <c r="G107" s="2544"/>
      <c r="H107" s="2544"/>
      <c r="I107" s="2579"/>
      <c r="J107" s="2579"/>
      <c r="K107" s="2579"/>
      <c r="L107" s="2579"/>
      <c r="M107" s="2579"/>
      <c r="N107" s="2579"/>
      <c r="O107" s="2579"/>
    </row>
    <row r="108" spans="1:15" s="2463" customFormat="1" ht="12.75">
      <c r="A108" s="2549"/>
      <c r="B108" s="2549"/>
      <c r="C108" s="2545"/>
      <c r="D108" s="2541"/>
      <c r="E108" s="2544"/>
      <c r="F108" s="2540"/>
      <c r="G108" s="2544"/>
      <c r="H108" s="2544"/>
      <c r="I108" s="2579"/>
      <c r="J108" s="2579"/>
      <c r="K108" s="2579"/>
      <c r="L108" s="2579"/>
      <c r="M108" s="2579"/>
      <c r="N108" s="2579"/>
      <c r="O108" s="2579"/>
    </row>
    <row r="109" spans="1:15" s="2463" customFormat="1" ht="12.75">
      <c r="A109" s="2546"/>
      <c r="B109" s="1269"/>
      <c r="C109" s="2545"/>
      <c r="D109" s="2541"/>
      <c r="E109" s="2544"/>
      <c r="F109" s="2540"/>
      <c r="G109" s="2544"/>
      <c r="H109" s="2544"/>
      <c r="I109" s="2579"/>
      <c r="J109" s="2579"/>
      <c r="K109" s="2579"/>
      <c r="L109" s="2579"/>
      <c r="M109" s="2579"/>
      <c r="N109" s="2579"/>
      <c r="O109" s="2579"/>
    </row>
    <row r="110" spans="1:15" s="2463" customFormat="1" ht="12.75">
      <c r="A110" s="2547"/>
      <c r="B110" s="2546"/>
      <c r="C110" s="2545"/>
      <c r="D110" s="2541"/>
      <c r="E110" s="2544"/>
      <c r="F110" s="2540"/>
      <c r="G110" s="2544"/>
      <c r="H110" s="2544"/>
      <c r="I110" s="2579"/>
      <c r="J110" s="2579"/>
      <c r="K110" s="2579"/>
      <c r="L110" s="2579"/>
      <c r="M110" s="2579"/>
      <c r="N110" s="2579"/>
      <c r="O110" s="2579"/>
    </row>
    <row r="111" spans="1:15" s="2463" customFormat="1" ht="12.75">
      <c r="A111" s="2543"/>
      <c r="B111" s="2543"/>
      <c r="C111" s="2542"/>
      <c r="D111" s="2541"/>
      <c r="E111" s="2539"/>
      <c r="F111" s="2540"/>
      <c r="G111" s="2539"/>
      <c r="H111" s="2539"/>
      <c r="I111" s="2579"/>
      <c r="J111" s="2579"/>
      <c r="K111" s="2579"/>
      <c r="L111" s="2579"/>
      <c r="M111" s="2579"/>
      <c r="N111" s="2579"/>
      <c r="O111" s="2579"/>
    </row>
    <row r="112" spans="1:15" s="2463" customFormat="1" ht="12.75">
      <c r="A112" s="2538"/>
      <c r="B112" s="2538"/>
      <c r="C112" s="2537"/>
      <c r="D112" s="2536"/>
      <c r="E112" s="2536"/>
      <c r="F112" s="2536"/>
      <c r="G112" s="2536"/>
      <c r="H112" s="2536"/>
      <c r="I112" s="2579"/>
      <c r="J112" s="2579"/>
      <c r="K112" s="2579"/>
      <c r="L112" s="2579"/>
      <c r="M112" s="2579"/>
      <c r="N112" s="2579"/>
      <c r="O112" s="2579"/>
    </row>
    <row r="113" spans="1:15" s="2463" customFormat="1" ht="12.75">
      <c r="A113" s="2538"/>
      <c r="B113" s="2538"/>
      <c r="C113" s="2537"/>
      <c r="D113" s="2536"/>
      <c r="E113" s="2536"/>
      <c r="F113" s="2536"/>
      <c r="G113" s="2536"/>
      <c r="H113" s="2536"/>
      <c r="I113" s="2579"/>
      <c r="J113" s="2579"/>
      <c r="K113" s="2579"/>
      <c r="L113" s="2579"/>
      <c r="M113" s="2579"/>
      <c r="N113" s="2579"/>
      <c r="O113" s="2579"/>
    </row>
    <row r="114" spans="1:15" s="2463" customFormat="1">
      <c r="A114" s="1269"/>
      <c r="B114" s="2529"/>
      <c r="C114" s="2535"/>
      <c r="D114" s="2529"/>
      <c r="E114" s="4877"/>
      <c r="F114" s="4877"/>
      <c r="G114" s="1269"/>
      <c r="H114" s="2529"/>
      <c r="I114" s="2579"/>
      <c r="J114" s="2579"/>
      <c r="K114" s="2579"/>
      <c r="L114" s="2579"/>
      <c r="M114" s="2579"/>
      <c r="N114" s="2579"/>
      <c r="O114" s="2579"/>
    </row>
    <row r="115" spans="1:15" s="2463" customFormat="1">
      <c r="A115" s="2529"/>
      <c r="B115" s="1269"/>
      <c r="C115" s="2535"/>
      <c r="D115" s="1269"/>
      <c r="E115" s="1269"/>
      <c r="F115" s="1269"/>
      <c r="G115" s="1269"/>
      <c r="H115" s="2529"/>
      <c r="I115" s="2579"/>
      <c r="J115" s="2579"/>
      <c r="K115" s="2579"/>
      <c r="L115" s="2579"/>
      <c r="M115" s="2579"/>
      <c r="N115" s="2579"/>
      <c r="O115" s="2579"/>
    </row>
    <row r="116" spans="1:15" s="2463" customFormat="1" ht="12.75">
      <c r="A116" s="2534"/>
      <c r="B116" s="1269"/>
      <c r="C116" s="4881"/>
      <c r="D116" s="4881"/>
      <c r="E116" s="4876"/>
      <c r="F116" s="4876"/>
      <c r="G116" s="4876"/>
      <c r="H116" s="4876"/>
      <c r="I116" s="2579"/>
      <c r="J116" s="2579"/>
      <c r="K116" s="2579"/>
      <c r="L116" s="2579"/>
      <c r="M116" s="2579"/>
      <c r="N116" s="2579"/>
      <c r="O116" s="2579"/>
    </row>
    <row r="117" spans="1:15" s="2463" customFormat="1" ht="12.75">
      <c r="A117" s="2531"/>
      <c r="B117" s="2533"/>
      <c r="C117" s="4874"/>
      <c r="D117" s="4874"/>
      <c r="E117" s="4875"/>
      <c r="F117" s="4875"/>
      <c r="G117" s="4875"/>
      <c r="H117" s="4875"/>
      <c r="I117" s="2579"/>
      <c r="J117" s="2579"/>
      <c r="K117" s="2579"/>
      <c r="L117" s="2579"/>
      <c r="M117" s="2579"/>
      <c r="N117" s="2579"/>
      <c r="O117" s="2579"/>
    </row>
    <row r="118" spans="1:15" s="2463" customFormat="1" ht="12.75">
      <c r="A118" s="2531"/>
      <c r="B118" s="2533"/>
      <c r="C118" s="2531"/>
      <c r="D118" s="2566"/>
      <c r="E118" s="2566"/>
      <c r="F118" s="2566"/>
      <c r="G118" s="2566"/>
      <c r="H118" s="2566"/>
      <c r="I118" s="2579"/>
      <c r="J118" s="2579"/>
      <c r="K118" s="2579"/>
      <c r="L118" s="2579"/>
      <c r="M118" s="2579"/>
      <c r="N118" s="2579"/>
      <c r="O118" s="2579"/>
    </row>
    <row r="119" spans="1:15" s="2463" customFormat="1" ht="12.75">
      <c r="A119" s="2531"/>
      <c r="B119" s="2533"/>
      <c r="C119" s="2531"/>
      <c r="D119" s="2566"/>
      <c r="E119" s="2566"/>
      <c r="F119" s="2566"/>
      <c r="G119" s="2566"/>
      <c r="H119" s="2566"/>
      <c r="I119" s="2579"/>
      <c r="J119" s="2579"/>
      <c r="K119" s="2579"/>
      <c r="L119" s="2579"/>
      <c r="M119" s="2579"/>
      <c r="N119" s="2579"/>
      <c r="O119" s="2579"/>
    </row>
    <row r="120" spans="1:15" s="2463" customFormat="1" ht="12.75">
      <c r="A120" s="2531"/>
      <c r="B120" s="2533"/>
      <c r="C120" s="2531"/>
      <c r="D120" s="2566"/>
      <c r="E120" s="2566"/>
      <c r="F120" s="2566"/>
      <c r="G120" s="2566"/>
      <c r="H120" s="2566"/>
      <c r="I120" s="2579"/>
      <c r="J120" s="2579"/>
      <c r="K120" s="2579"/>
      <c r="L120" s="2579"/>
      <c r="M120" s="2579"/>
      <c r="N120" s="2579"/>
      <c r="O120" s="2579"/>
    </row>
    <row r="121" spans="1:15" s="2463" customFormat="1" ht="12.75">
      <c r="A121" s="2531"/>
      <c r="B121" s="2533"/>
      <c r="C121" s="2531"/>
      <c r="D121" s="2566"/>
      <c r="E121" s="2566"/>
      <c r="F121" s="2566"/>
      <c r="G121" s="2566"/>
      <c r="H121" s="2566"/>
      <c r="I121" s="2579"/>
      <c r="J121" s="2579"/>
      <c r="K121" s="2579"/>
      <c r="L121" s="2579"/>
      <c r="M121" s="2579"/>
      <c r="N121" s="2579"/>
      <c r="O121" s="2579"/>
    </row>
    <row r="122" spans="1:15" s="2463" customFormat="1" ht="12.75">
      <c r="A122" s="2531"/>
      <c r="B122" s="2533"/>
      <c r="C122" s="2531"/>
      <c r="D122" s="2566"/>
      <c r="E122" s="2566"/>
      <c r="F122" s="2566"/>
      <c r="G122" s="2566"/>
      <c r="H122" s="2566"/>
      <c r="I122" s="2579"/>
      <c r="J122" s="2579"/>
      <c r="K122" s="2579"/>
      <c r="L122" s="2579"/>
      <c r="M122" s="2579"/>
      <c r="N122" s="2579"/>
      <c r="O122" s="2579"/>
    </row>
    <row r="123" spans="1:15" s="2463" customFormat="1" ht="12.75">
      <c r="A123" s="2531"/>
      <c r="B123" s="2533"/>
      <c r="C123" s="2531"/>
      <c r="D123" s="2566"/>
      <c r="E123" s="2566"/>
      <c r="F123" s="2566"/>
      <c r="G123" s="2566"/>
      <c r="H123" s="2566"/>
      <c r="I123" s="2579"/>
      <c r="J123" s="2579"/>
      <c r="K123" s="2579"/>
      <c r="L123" s="2579"/>
      <c r="M123" s="2579"/>
      <c r="N123" s="2579"/>
      <c r="O123" s="2579"/>
    </row>
    <row r="124" spans="1:15" s="2463" customFormat="1" ht="12.75">
      <c r="A124" s="2531"/>
      <c r="B124" s="2533"/>
      <c r="C124" s="2531"/>
      <c r="D124" s="2566"/>
      <c r="E124" s="2566"/>
      <c r="F124" s="2566"/>
      <c r="G124" s="2566"/>
      <c r="H124" s="2566"/>
      <c r="I124" s="2579"/>
      <c r="J124" s="2579"/>
      <c r="K124" s="2579"/>
      <c r="L124" s="2579"/>
      <c r="M124" s="2579"/>
      <c r="N124" s="2579"/>
      <c r="O124" s="2579"/>
    </row>
    <row r="125" spans="1:15" s="2463" customFormat="1" ht="12.75">
      <c r="A125" s="2531"/>
      <c r="B125" s="2533"/>
      <c r="C125" s="2531"/>
      <c r="D125" s="2566"/>
      <c r="E125" s="2566"/>
      <c r="F125" s="2566"/>
      <c r="G125" s="2566"/>
      <c r="H125" s="2566"/>
      <c r="I125" s="2579"/>
      <c r="J125" s="2579"/>
      <c r="K125" s="2579"/>
      <c r="L125" s="2579"/>
      <c r="M125" s="2579"/>
      <c r="N125" s="2579"/>
      <c r="O125" s="2579"/>
    </row>
    <row r="126" spans="1:15" s="2463" customFormat="1" ht="12.75">
      <c r="A126" s="2531"/>
      <c r="B126" s="2533"/>
      <c r="C126" s="2531"/>
      <c r="D126" s="2566"/>
      <c r="E126" s="2566"/>
      <c r="F126" s="2566"/>
      <c r="G126" s="2566"/>
      <c r="H126" s="2566"/>
      <c r="I126" s="2579"/>
      <c r="J126" s="2579"/>
      <c r="K126" s="2579"/>
      <c r="L126" s="2579"/>
      <c r="M126" s="2579"/>
      <c r="N126" s="2579"/>
      <c r="O126" s="2579"/>
    </row>
    <row r="127" spans="1:15" s="2463" customFormat="1" ht="12.75">
      <c r="A127" s="2531"/>
      <c r="B127" s="2533"/>
      <c r="C127" s="2531"/>
      <c r="D127" s="2566"/>
      <c r="E127" s="2566"/>
      <c r="F127" s="2566"/>
      <c r="G127" s="2566"/>
      <c r="H127" s="2566"/>
      <c r="I127" s="2579"/>
      <c r="J127" s="2579"/>
      <c r="K127" s="2579"/>
      <c r="L127" s="2579"/>
      <c r="M127" s="2579"/>
      <c r="N127" s="2579"/>
      <c r="O127" s="2579"/>
    </row>
    <row r="128" spans="1:15" s="2463" customFormat="1" ht="12.75">
      <c r="A128" s="2531"/>
      <c r="B128" s="2533"/>
      <c r="C128" s="2531"/>
      <c r="D128" s="2566"/>
      <c r="E128" s="2566"/>
      <c r="F128" s="2566"/>
      <c r="G128" s="2566"/>
      <c r="H128" s="2566"/>
      <c r="I128" s="2579"/>
      <c r="J128" s="2579"/>
      <c r="K128" s="2579"/>
      <c r="L128" s="2579"/>
      <c r="M128" s="2579"/>
      <c r="N128" s="2579"/>
      <c r="O128" s="2579"/>
    </row>
    <row r="129" spans="1:15" s="2463" customFormat="1" ht="12.75">
      <c r="A129" s="2531"/>
      <c r="B129" s="2533"/>
      <c r="C129" s="2531"/>
      <c r="D129" s="2566"/>
      <c r="E129" s="2566"/>
      <c r="F129" s="2566"/>
      <c r="G129" s="2566"/>
      <c r="H129" s="2566"/>
      <c r="I129" s="2579"/>
      <c r="J129" s="2579"/>
      <c r="K129" s="2579"/>
      <c r="L129" s="2579"/>
      <c r="M129" s="2579"/>
      <c r="N129" s="2579"/>
      <c r="O129" s="2579"/>
    </row>
    <row r="130" spans="1:15" s="2463" customFormat="1" ht="12.75">
      <c r="A130" s="2531"/>
      <c r="B130" s="2533"/>
      <c r="C130" s="2531"/>
      <c r="D130" s="2566"/>
      <c r="E130" s="2566"/>
      <c r="F130" s="2566"/>
      <c r="G130" s="2566"/>
      <c r="H130" s="2566"/>
      <c r="I130" s="2579"/>
      <c r="J130" s="2579"/>
      <c r="K130" s="2579"/>
      <c r="L130" s="2579"/>
      <c r="M130" s="2579"/>
      <c r="N130" s="2579"/>
      <c r="O130" s="2579"/>
    </row>
    <row r="131" spans="1:15" s="2463" customFormat="1" ht="12.75">
      <c r="A131" s="2531"/>
      <c r="B131" s="2533"/>
      <c r="C131" s="2531"/>
      <c r="D131" s="2566"/>
      <c r="E131" s="2566"/>
      <c r="F131" s="2566"/>
      <c r="G131" s="2566"/>
      <c r="H131" s="2566"/>
      <c r="I131" s="2579"/>
      <c r="J131" s="2579"/>
      <c r="K131" s="2579"/>
      <c r="L131" s="2579"/>
      <c r="M131" s="2579"/>
      <c r="N131" s="2579"/>
      <c r="O131" s="2579"/>
    </row>
    <row r="132" spans="1:15" s="2463" customFormat="1" ht="12.75">
      <c r="A132" s="2531"/>
      <c r="B132" s="2533"/>
      <c r="C132" s="2531"/>
      <c r="D132" s="2566"/>
      <c r="E132" s="2566"/>
      <c r="F132" s="2566"/>
      <c r="G132" s="2566"/>
      <c r="H132" s="2566"/>
      <c r="I132" s="2579"/>
      <c r="J132" s="2579"/>
      <c r="K132" s="2579"/>
      <c r="L132" s="2579"/>
      <c r="M132" s="2579"/>
      <c r="N132" s="2579"/>
      <c r="O132" s="2579"/>
    </row>
    <row r="133" spans="1:15" s="2463" customFormat="1" ht="12.75">
      <c r="A133" s="2531"/>
      <c r="B133" s="2533"/>
      <c r="C133" s="2531"/>
      <c r="D133" s="2566"/>
      <c r="E133" s="2566"/>
      <c r="F133" s="2566"/>
      <c r="G133" s="2566"/>
      <c r="H133" s="2566"/>
      <c r="I133" s="2579"/>
      <c r="J133" s="2579"/>
      <c r="K133" s="2579"/>
      <c r="L133" s="2579"/>
      <c r="M133" s="2579"/>
      <c r="N133" s="2579"/>
      <c r="O133" s="2579"/>
    </row>
    <row r="134" spans="1:15" s="2463" customFormat="1" ht="12.75">
      <c r="A134" s="2531"/>
      <c r="B134" s="2533"/>
      <c r="C134" s="2531"/>
      <c r="D134" s="2566"/>
      <c r="E134" s="2566"/>
      <c r="F134" s="2566"/>
      <c r="G134" s="2566"/>
      <c r="H134" s="2566"/>
      <c r="I134" s="2579"/>
      <c r="J134" s="2579"/>
      <c r="K134" s="2579"/>
      <c r="L134" s="2579"/>
      <c r="M134" s="2579"/>
      <c r="N134" s="2579"/>
      <c r="O134" s="2579"/>
    </row>
    <row r="135" spans="1:15" s="2463" customFormat="1" ht="12.75">
      <c r="A135" s="2531"/>
      <c r="B135" s="2533"/>
      <c r="C135" s="2531"/>
      <c r="D135" s="2566"/>
      <c r="E135" s="2566"/>
      <c r="F135" s="2566"/>
      <c r="G135" s="2566"/>
      <c r="H135" s="2566"/>
      <c r="I135" s="2579"/>
      <c r="J135" s="2579"/>
      <c r="K135" s="2579"/>
      <c r="L135" s="2579"/>
      <c r="M135" s="2579"/>
      <c r="N135" s="2579"/>
      <c r="O135" s="2579"/>
    </row>
    <row r="136" spans="1:15" s="2463" customFormat="1" ht="12.75">
      <c r="A136" s="2531"/>
      <c r="B136" s="2533"/>
      <c r="C136" s="2531"/>
      <c r="D136" s="2566"/>
      <c r="E136" s="2566"/>
      <c r="F136" s="2566"/>
      <c r="G136" s="2566"/>
      <c r="H136" s="2566"/>
      <c r="I136" s="2579"/>
      <c r="J136" s="2579"/>
      <c r="K136" s="2579"/>
      <c r="L136" s="2579"/>
      <c r="M136" s="2579"/>
      <c r="N136" s="2579"/>
      <c r="O136" s="2579"/>
    </row>
    <row r="137" spans="1:15" s="2463" customFormat="1">
      <c r="A137" s="2529"/>
      <c r="B137" s="2529"/>
      <c r="C137" s="2529"/>
      <c r="D137" s="2529"/>
      <c r="E137" s="2529"/>
      <c r="F137" s="2529"/>
      <c r="G137" s="2529"/>
      <c r="H137" s="2529"/>
      <c r="I137" s="2579"/>
      <c r="J137" s="2579"/>
      <c r="K137" s="2579"/>
      <c r="L137" s="2579"/>
      <c r="M137" s="2579"/>
      <c r="N137" s="2579"/>
      <c r="O137" s="2579"/>
    </row>
    <row r="138" spans="1:15" s="2463" customFormat="1">
      <c r="A138" s="2529"/>
      <c r="B138" s="2529"/>
      <c r="C138" s="2529"/>
      <c r="D138" s="2529"/>
      <c r="E138" s="2529"/>
      <c r="F138" s="2529"/>
      <c r="G138" s="2529"/>
      <c r="H138" s="2529"/>
      <c r="I138" s="2579"/>
      <c r="J138" s="2579"/>
      <c r="K138" s="2579"/>
      <c r="L138" s="2579"/>
      <c r="M138" s="2579"/>
      <c r="N138" s="2579"/>
      <c r="O138" s="2579"/>
    </row>
    <row r="139" spans="1:15" s="2463" customFormat="1">
      <c r="A139" s="2529"/>
      <c r="B139" s="2529"/>
      <c r="C139" s="2529"/>
      <c r="D139" s="2529"/>
      <c r="E139" s="2529"/>
      <c r="F139" s="2529"/>
      <c r="G139" s="2529"/>
      <c r="H139" s="2529"/>
      <c r="I139" s="2579"/>
      <c r="J139" s="2579"/>
      <c r="K139" s="2579"/>
      <c r="L139" s="2579"/>
      <c r="M139" s="2579"/>
      <c r="N139" s="2579"/>
      <c r="O139" s="2579"/>
    </row>
    <row r="140" spans="1:15" s="2463" customFormat="1" ht="12.75">
      <c r="A140" s="4876"/>
      <c r="B140" s="4876"/>
      <c r="C140" s="4876"/>
      <c r="D140" s="4876"/>
      <c r="E140" s="4876"/>
      <c r="F140" s="4876"/>
      <c r="G140" s="4876"/>
      <c r="H140" s="4876"/>
      <c r="I140" s="2579"/>
      <c r="J140" s="2579"/>
      <c r="K140" s="2579"/>
      <c r="L140" s="2579"/>
      <c r="M140" s="2579"/>
      <c r="N140" s="2579"/>
      <c r="O140" s="2579"/>
    </row>
    <row r="141" spans="1:15" s="2463" customFormat="1" ht="12.75">
      <c r="A141" s="4877"/>
      <c r="B141" s="4877"/>
      <c r="C141" s="4877"/>
      <c r="D141" s="4877"/>
      <c r="E141" s="4877"/>
      <c r="F141" s="4877"/>
      <c r="G141" s="4877"/>
      <c r="H141" s="4877"/>
      <c r="I141" s="2579"/>
      <c r="J141" s="2579"/>
      <c r="K141" s="2579"/>
      <c r="L141" s="2579"/>
      <c r="M141" s="2579"/>
      <c r="N141" s="2579"/>
      <c r="O141" s="2579"/>
    </row>
    <row r="142" spans="1:15" s="2463" customFormat="1">
      <c r="A142" s="2529"/>
      <c r="B142" s="2529"/>
      <c r="C142" s="2529"/>
      <c r="D142" s="2529"/>
      <c r="E142" s="2529"/>
      <c r="F142" s="2529"/>
      <c r="G142" s="2529"/>
      <c r="H142" s="2529"/>
      <c r="I142" s="2579"/>
      <c r="J142" s="2579"/>
      <c r="K142" s="2579"/>
      <c r="L142" s="2579"/>
      <c r="M142" s="2579"/>
      <c r="N142" s="2579"/>
      <c r="O142" s="2579"/>
    </row>
    <row r="143" spans="1:15" s="2463" customFormat="1">
      <c r="A143" s="2568"/>
      <c r="B143" s="2567"/>
      <c r="C143" s="2529"/>
      <c r="D143" s="2566"/>
      <c r="E143" s="2566"/>
      <c r="F143" s="2566"/>
      <c r="G143" s="2566"/>
      <c r="H143" s="2566"/>
      <c r="I143" s="2579"/>
      <c r="J143" s="2579"/>
      <c r="K143" s="2579"/>
      <c r="L143" s="2579"/>
      <c r="M143" s="2579"/>
      <c r="N143" s="2579"/>
      <c r="O143" s="2579"/>
    </row>
    <row r="144" spans="1:15" s="2463" customFormat="1" ht="12.75">
      <c r="A144" s="1269"/>
      <c r="B144" s="1269"/>
      <c r="C144" s="2542"/>
      <c r="D144" s="2541"/>
      <c r="E144" s="2561"/>
      <c r="F144" s="2540"/>
      <c r="G144" s="2565"/>
      <c r="H144" s="2561"/>
      <c r="I144" s="2579"/>
      <c r="J144" s="2579"/>
      <c r="K144" s="2579"/>
      <c r="L144" s="2579"/>
      <c r="M144" s="2579"/>
      <c r="N144" s="2579"/>
      <c r="O144" s="2579"/>
    </row>
    <row r="145" spans="1:15" s="2463" customFormat="1" ht="23.25">
      <c r="A145" s="2564"/>
      <c r="B145" s="2564"/>
      <c r="C145" s="2563"/>
      <c r="D145" s="2541"/>
      <c r="E145" s="2561"/>
      <c r="F145" s="2540"/>
      <c r="G145" s="2562"/>
      <c r="H145" s="2561"/>
      <c r="I145" s="2579"/>
      <c r="J145" s="2579"/>
      <c r="K145" s="2579"/>
      <c r="L145" s="2579"/>
      <c r="M145" s="2579"/>
      <c r="N145" s="2579"/>
      <c r="O145" s="2579"/>
    </row>
    <row r="146" spans="1:15" s="2463" customFormat="1" ht="12.75">
      <c r="A146" s="4879"/>
      <c r="B146" s="4879"/>
      <c r="C146" s="2559"/>
      <c r="D146" s="2560"/>
      <c r="E146" s="4880"/>
      <c r="F146" s="4880"/>
      <c r="G146" s="4880"/>
      <c r="H146" s="2557"/>
      <c r="I146" s="2579"/>
      <c r="J146" s="2579"/>
      <c r="K146" s="2579"/>
      <c r="L146" s="2579"/>
      <c r="M146" s="2579"/>
      <c r="N146" s="2579"/>
      <c r="O146" s="2579"/>
    </row>
    <row r="147" spans="1:15" s="2463" customFormat="1" ht="12.75">
      <c r="A147" s="4879"/>
      <c r="B147" s="4879"/>
      <c r="C147" s="2559"/>
      <c r="D147" s="2558"/>
      <c r="E147" s="2558"/>
      <c r="F147" s="2558"/>
      <c r="G147" s="2558"/>
      <c r="H147" s="2558"/>
      <c r="I147" s="2579"/>
      <c r="J147" s="2579"/>
      <c r="K147" s="2579"/>
      <c r="L147" s="2579"/>
      <c r="M147" s="2579"/>
      <c r="N147" s="2579"/>
      <c r="O147" s="2579"/>
    </row>
    <row r="148" spans="1:15" s="2463" customFormat="1" ht="12.75">
      <c r="A148" s="4879"/>
      <c r="B148" s="4879"/>
      <c r="C148" s="2557"/>
      <c r="D148" s="2555"/>
      <c r="E148" s="2555"/>
      <c r="F148" s="2555"/>
      <c r="G148" s="2556"/>
      <c r="H148" s="2555"/>
      <c r="I148" s="2579"/>
      <c r="J148" s="2579"/>
      <c r="K148" s="2579"/>
      <c r="L148" s="2579"/>
      <c r="M148" s="2579"/>
      <c r="N148" s="2579"/>
      <c r="O148" s="2579"/>
    </row>
    <row r="149" spans="1:15" s="2463" customFormat="1" ht="12.75">
      <c r="A149" s="2554"/>
      <c r="B149" s="2553"/>
      <c r="C149" s="2552"/>
      <c r="D149" s="2551"/>
      <c r="E149" s="2551"/>
      <c r="F149" s="2551"/>
      <c r="G149" s="2551"/>
      <c r="H149" s="2551"/>
      <c r="I149" s="2579"/>
      <c r="J149" s="2579"/>
      <c r="K149" s="2579"/>
      <c r="L149" s="2579"/>
      <c r="M149" s="2579"/>
      <c r="N149" s="2579"/>
      <c r="O149" s="2579"/>
    </row>
    <row r="150" spans="1:15" s="2463" customFormat="1" ht="12.75">
      <c r="A150" s="2549"/>
      <c r="B150" s="2549"/>
      <c r="C150" s="2542"/>
      <c r="D150" s="2548"/>
      <c r="E150" s="2548"/>
      <c r="F150" s="2540"/>
      <c r="G150" s="2548"/>
      <c r="H150" s="2548"/>
      <c r="I150" s="2579"/>
      <c r="J150" s="2579"/>
      <c r="K150" s="2579"/>
      <c r="L150" s="2579"/>
      <c r="M150" s="2579"/>
      <c r="N150" s="2579"/>
      <c r="O150" s="2579"/>
    </row>
    <row r="151" spans="1:15" s="2463" customFormat="1" ht="12.75">
      <c r="A151" s="2549"/>
      <c r="B151" s="2549"/>
      <c r="C151" s="2545"/>
      <c r="D151" s="2548"/>
      <c r="E151" s="2548"/>
      <c r="F151" s="2540"/>
      <c r="G151" s="2548"/>
      <c r="H151" s="2548"/>
      <c r="I151" s="2579"/>
      <c r="J151" s="2579"/>
      <c r="K151" s="2579"/>
      <c r="L151" s="2579"/>
      <c r="M151" s="2579"/>
      <c r="N151" s="2579"/>
      <c r="O151" s="2579"/>
    </row>
    <row r="152" spans="1:15" s="2463" customFormat="1" ht="12.75">
      <c r="A152" s="2547"/>
      <c r="B152" s="2546"/>
      <c r="C152" s="2545"/>
      <c r="D152" s="2541"/>
      <c r="E152" s="2544"/>
      <c r="F152" s="2540"/>
      <c r="G152" s="2544"/>
      <c r="H152" s="2544"/>
      <c r="I152" s="2579"/>
      <c r="J152" s="2579"/>
      <c r="K152" s="2579"/>
      <c r="L152" s="2579"/>
      <c r="M152" s="2579"/>
      <c r="N152" s="2579"/>
      <c r="O152" s="2579"/>
    </row>
    <row r="153" spans="1:15" s="2463" customFormat="1" ht="12.75">
      <c r="A153" s="2543"/>
      <c r="B153" s="2543"/>
      <c r="C153" s="2542"/>
      <c r="D153" s="2541"/>
      <c r="E153" s="2539"/>
      <c r="F153" s="2540"/>
      <c r="G153" s="2539"/>
      <c r="H153" s="2539"/>
      <c r="I153" s="2579"/>
      <c r="J153" s="2579"/>
      <c r="K153" s="2579"/>
      <c r="L153" s="2579"/>
      <c r="M153" s="2579"/>
      <c r="N153" s="2579"/>
      <c r="O153" s="2579"/>
    </row>
    <row r="154" spans="1:15" s="2463" customFormat="1" ht="12.75">
      <c r="A154" s="2538"/>
      <c r="B154" s="2538"/>
      <c r="C154" s="2537"/>
      <c r="D154" s="2536"/>
      <c r="E154" s="2536"/>
      <c r="F154" s="2536"/>
      <c r="G154" s="2536"/>
      <c r="H154" s="2536"/>
      <c r="I154" s="2579"/>
      <c r="J154" s="2579"/>
      <c r="K154" s="2579"/>
      <c r="L154" s="2579"/>
      <c r="M154" s="2579"/>
      <c r="N154" s="2579"/>
      <c r="O154" s="2579"/>
    </row>
    <row r="155" spans="1:15" s="2463" customFormat="1" ht="12.75">
      <c r="A155" s="2538"/>
      <c r="B155" s="2538"/>
      <c r="C155" s="2537"/>
      <c r="D155" s="2536"/>
      <c r="E155" s="2536"/>
      <c r="F155" s="2536"/>
      <c r="G155" s="2536"/>
      <c r="H155" s="2536"/>
      <c r="I155" s="2579"/>
      <c r="J155" s="2579"/>
      <c r="K155" s="2579"/>
      <c r="L155" s="2579"/>
      <c r="M155" s="2579"/>
      <c r="N155" s="2579"/>
      <c r="O155" s="2579"/>
    </row>
    <row r="156" spans="1:15" s="2532" customFormat="1">
      <c r="A156" s="1269"/>
      <c r="B156" s="2529"/>
      <c r="C156" s="2535"/>
      <c r="D156" s="2529"/>
      <c r="E156" s="4877"/>
      <c r="F156" s="4877"/>
      <c r="G156" s="1269"/>
      <c r="H156" s="2529"/>
    </row>
    <row r="157" spans="1:15" s="2532" customFormat="1">
      <c r="A157" s="2529"/>
      <c r="B157" s="1269"/>
      <c r="C157" s="2535"/>
      <c r="D157" s="1269"/>
      <c r="E157" s="1269"/>
      <c r="F157" s="1269"/>
      <c r="G157" s="1269"/>
      <c r="H157" s="2529"/>
    </row>
    <row r="158" spans="1:15" s="2532" customFormat="1" ht="12.75">
      <c r="A158" s="2534"/>
      <c r="B158" s="1269"/>
      <c r="C158" s="4881"/>
      <c r="D158" s="4881"/>
      <c r="E158" s="4876"/>
      <c r="F158" s="4876"/>
      <c r="G158" s="4876"/>
      <c r="H158" s="4876"/>
    </row>
    <row r="159" spans="1:15" s="2532" customFormat="1" ht="12.75">
      <c r="A159" s="2531"/>
      <c r="B159" s="2533"/>
      <c r="C159" s="4874"/>
      <c r="D159" s="4874"/>
      <c r="E159" s="4875"/>
      <c r="F159" s="4875"/>
      <c r="G159" s="4875"/>
      <c r="H159" s="4875"/>
    </row>
    <row r="160" spans="1:15" s="2532" customFormat="1" ht="12.75">
      <c r="A160" s="2531"/>
      <c r="B160" s="2533"/>
      <c r="C160" s="2531"/>
      <c r="D160" s="2566"/>
      <c r="E160" s="2566"/>
      <c r="F160" s="2566"/>
      <c r="G160" s="2566"/>
      <c r="H160" s="2566"/>
    </row>
    <row r="161" spans="1:15" s="2532" customFormat="1" ht="12.75">
      <c r="A161" s="2531"/>
      <c r="B161" s="2533"/>
      <c r="C161" s="2531"/>
      <c r="D161" s="2566"/>
      <c r="E161" s="2566"/>
      <c r="F161" s="2566"/>
      <c r="G161" s="2566"/>
      <c r="H161" s="2566"/>
    </row>
    <row r="162" spans="1:15" s="2532" customFormat="1" ht="12.75">
      <c r="A162" s="2463"/>
      <c r="B162" s="2464"/>
      <c r="C162" s="2463"/>
      <c r="D162" s="2465"/>
      <c r="E162" s="2465"/>
      <c r="F162" s="2465"/>
      <c r="G162" s="2465"/>
      <c r="H162" s="2465"/>
    </row>
    <row r="163" spans="1:15" s="2532" customFormat="1" ht="12.75">
      <c r="A163" s="2463"/>
      <c r="B163" s="2464"/>
      <c r="C163" s="2463"/>
      <c r="D163" s="2465"/>
      <c r="E163" s="2465"/>
      <c r="F163" s="2465"/>
      <c r="G163" s="2465"/>
      <c r="H163" s="2465"/>
    </row>
    <row r="164" spans="1:15" s="2463" customFormat="1" ht="12.75">
      <c r="B164" s="2464"/>
      <c r="D164" s="2465"/>
      <c r="E164" s="2465"/>
      <c r="F164" s="2465"/>
      <c r="G164" s="2465"/>
      <c r="H164" s="2465"/>
      <c r="I164" s="2579"/>
      <c r="J164" s="2579"/>
      <c r="K164" s="2579"/>
      <c r="L164" s="2579"/>
      <c r="M164" s="2579"/>
      <c r="N164" s="2579"/>
      <c r="O164" s="2579"/>
    </row>
    <row r="165" spans="1:15" s="2463" customFormat="1" ht="12.75">
      <c r="B165" s="2464"/>
      <c r="D165" s="2465"/>
      <c r="E165" s="2465"/>
      <c r="F165" s="2465"/>
      <c r="G165" s="2465"/>
      <c r="H165" s="2465"/>
      <c r="I165" s="2579"/>
      <c r="J165" s="2579"/>
      <c r="K165" s="2579"/>
      <c r="L165" s="2579"/>
      <c r="M165" s="2579"/>
      <c r="N165" s="2579"/>
      <c r="O165" s="2579"/>
    </row>
    <row r="166" spans="1:15" s="2463" customFormat="1" ht="12.75">
      <c r="B166" s="2464"/>
      <c r="D166" s="2465"/>
      <c r="E166" s="2465"/>
      <c r="F166" s="2465"/>
      <c r="G166" s="2465"/>
      <c r="H166" s="2465"/>
      <c r="I166" s="2579"/>
      <c r="J166" s="2579"/>
      <c r="K166" s="2579"/>
      <c r="L166" s="2579"/>
      <c r="M166" s="2579"/>
      <c r="N166" s="2579"/>
      <c r="O166" s="2579"/>
    </row>
    <row r="167" spans="1:15" s="2463" customFormat="1" ht="12.75">
      <c r="B167" s="2464"/>
      <c r="D167" s="2465"/>
      <c r="E167" s="2465"/>
      <c r="F167" s="2465"/>
      <c r="G167" s="2465"/>
      <c r="H167" s="2465"/>
      <c r="I167" s="2579"/>
      <c r="J167" s="2579"/>
      <c r="K167" s="2579"/>
      <c r="L167" s="2579"/>
      <c r="M167" s="2579"/>
      <c r="N167" s="2579"/>
      <c r="O167" s="2579"/>
    </row>
    <row r="168" spans="1:15" s="2463" customFormat="1" ht="12.75">
      <c r="B168" s="2464"/>
      <c r="D168" s="2465"/>
      <c r="E168" s="2465"/>
      <c r="F168" s="2465"/>
      <c r="G168" s="2465"/>
      <c r="H168" s="2465"/>
      <c r="I168" s="2579"/>
      <c r="J168" s="2579"/>
      <c r="K168" s="2579"/>
      <c r="L168" s="2579"/>
      <c r="M168" s="2579"/>
      <c r="N168" s="2579"/>
      <c r="O168" s="2579"/>
    </row>
    <row r="169" spans="1:15" s="2463" customFormat="1" ht="12.75">
      <c r="B169" s="2464"/>
      <c r="D169" s="2465"/>
      <c r="E169" s="2465"/>
      <c r="F169" s="2465"/>
      <c r="G169" s="2465"/>
      <c r="H169" s="2465"/>
      <c r="I169" s="2579"/>
      <c r="J169" s="2579"/>
      <c r="K169" s="2579"/>
      <c r="L169" s="2579"/>
      <c r="M169" s="2579"/>
      <c r="N169" s="2579"/>
      <c r="O169" s="2579"/>
    </row>
    <row r="170" spans="1:15" s="2463" customFormat="1" ht="12.75">
      <c r="B170" s="2464"/>
      <c r="D170" s="2465"/>
      <c r="E170" s="2465"/>
      <c r="F170" s="2465"/>
      <c r="G170" s="2465"/>
      <c r="H170" s="2465"/>
      <c r="I170" s="2579"/>
      <c r="J170" s="2579"/>
      <c r="K170" s="2579"/>
      <c r="L170" s="2579"/>
      <c r="M170" s="2579"/>
      <c r="N170" s="2579"/>
      <c r="O170" s="2579"/>
    </row>
    <row r="171" spans="1:15" s="2463" customFormat="1" ht="12.75">
      <c r="B171" s="2464"/>
      <c r="D171" s="2465"/>
      <c r="E171" s="2465"/>
      <c r="F171" s="2465"/>
      <c r="G171" s="2465"/>
      <c r="H171" s="2465"/>
      <c r="I171" s="2579"/>
      <c r="J171" s="2579"/>
      <c r="K171" s="2579"/>
      <c r="L171" s="2579"/>
      <c r="M171" s="2579"/>
      <c r="N171" s="2579"/>
      <c r="O171" s="2579"/>
    </row>
    <row r="172" spans="1:15" s="2463" customFormat="1" ht="12.75">
      <c r="B172" s="2464"/>
      <c r="D172" s="2465"/>
      <c r="E172" s="2465"/>
      <c r="F172" s="2465"/>
      <c r="G172" s="2465"/>
      <c r="H172" s="2465"/>
      <c r="I172" s="2579"/>
      <c r="J172" s="2579"/>
      <c r="K172" s="2579"/>
      <c r="L172" s="2579"/>
      <c r="M172" s="2579"/>
      <c r="N172" s="2579"/>
      <c r="O172" s="2579"/>
    </row>
    <row r="173" spans="1:15" s="2463" customFormat="1" ht="12.75">
      <c r="B173" s="2464"/>
      <c r="D173" s="2465"/>
      <c r="E173" s="2465"/>
      <c r="F173" s="2465"/>
      <c r="G173" s="2465"/>
      <c r="H173" s="2465"/>
      <c r="I173" s="2579"/>
      <c r="J173" s="2579"/>
      <c r="K173" s="2579"/>
      <c r="L173" s="2579"/>
      <c r="M173" s="2579"/>
      <c r="N173" s="2579"/>
      <c r="O173" s="2579"/>
    </row>
    <row r="174" spans="1:15" s="2463" customFormat="1" ht="12.75">
      <c r="B174" s="2464"/>
      <c r="D174" s="2465"/>
      <c r="E174" s="2465"/>
      <c r="F174" s="2465"/>
      <c r="G174" s="2465"/>
      <c r="H174" s="2465"/>
      <c r="I174" s="2579"/>
      <c r="J174" s="2579"/>
      <c r="K174" s="2579"/>
      <c r="L174" s="2579"/>
      <c r="M174" s="2579"/>
      <c r="N174" s="2579"/>
      <c r="O174" s="2579"/>
    </row>
    <row r="175" spans="1:15" s="2463" customFormat="1" ht="12.75">
      <c r="B175" s="2464"/>
      <c r="D175" s="2465"/>
      <c r="E175" s="2465"/>
      <c r="F175" s="2465"/>
      <c r="G175" s="2465"/>
      <c r="H175" s="2465"/>
      <c r="I175" s="2579"/>
      <c r="J175" s="2579"/>
      <c r="K175" s="2579"/>
      <c r="L175" s="2579"/>
      <c r="M175" s="2579"/>
      <c r="N175" s="2579"/>
      <c r="O175" s="2579"/>
    </row>
    <row r="176" spans="1:15" s="2463" customFormat="1" ht="12.75">
      <c r="B176" s="2464"/>
      <c r="D176" s="2465"/>
      <c r="E176" s="2465"/>
      <c r="F176" s="2465"/>
      <c r="G176" s="2465"/>
      <c r="H176" s="2465"/>
      <c r="I176" s="2579"/>
      <c r="J176" s="2579"/>
      <c r="K176" s="2579"/>
      <c r="L176" s="2579"/>
      <c r="M176" s="2579"/>
      <c r="N176" s="2579"/>
      <c r="O176" s="2579"/>
    </row>
    <row r="177" spans="2:15" s="2463" customFormat="1" ht="12.75">
      <c r="B177" s="2464"/>
      <c r="D177" s="2465"/>
      <c r="E177" s="2465"/>
      <c r="F177" s="2465"/>
      <c r="G177" s="2465"/>
      <c r="H177" s="2465"/>
      <c r="I177" s="2579"/>
      <c r="J177" s="2579"/>
      <c r="K177" s="2579"/>
      <c r="L177" s="2579"/>
      <c r="M177" s="2579"/>
      <c r="N177" s="2579"/>
      <c r="O177" s="2579"/>
    </row>
    <row r="178" spans="2:15" s="2463" customFormat="1" ht="12.75">
      <c r="B178" s="2464"/>
      <c r="D178" s="2465"/>
      <c r="E178" s="2465"/>
      <c r="F178" s="2465"/>
      <c r="G178" s="2465"/>
      <c r="H178" s="2465"/>
      <c r="I178" s="2579"/>
      <c r="J178" s="2579"/>
      <c r="K178" s="2579"/>
      <c r="L178" s="2579"/>
      <c r="M178" s="2579"/>
      <c r="N178" s="2579"/>
      <c r="O178" s="2579"/>
    </row>
    <row r="179" spans="2:15" s="2463" customFormat="1" ht="12.75">
      <c r="B179" s="2464"/>
      <c r="D179" s="2465"/>
      <c r="E179" s="2465"/>
      <c r="F179" s="2465"/>
      <c r="G179" s="2465"/>
      <c r="H179" s="2465"/>
      <c r="I179" s="2579"/>
      <c r="J179" s="2579"/>
      <c r="K179" s="2579"/>
      <c r="L179" s="2579"/>
      <c r="M179" s="2579"/>
      <c r="N179" s="2579"/>
      <c r="O179" s="2579"/>
    </row>
    <row r="180" spans="2:15" s="2463" customFormat="1" ht="12.75">
      <c r="B180" s="2464"/>
      <c r="D180" s="2465"/>
      <c r="E180" s="2465"/>
      <c r="F180" s="2465"/>
      <c r="G180" s="2465"/>
      <c r="H180" s="2465"/>
      <c r="I180" s="2579"/>
      <c r="J180" s="2579"/>
      <c r="K180" s="2579"/>
      <c r="L180" s="2579"/>
      <c r="M180" s="2579"/>
      <c r="N180" s="2579"/>
      <c r="O180" s="2579"/>
    </row>
    <row r="181" spans="2:15" s="2463" customFormat="1" ht="12.75">
      <c r="B181" s="2464"/>
      <c r="D181" s="2465"/>
      <c r="E181" s="2465"/>
      <c r="F181" s="2465"/>
      <c r="G181" s="2465"/>
      <c r="H181" s="2465"/>
      <c r="I181" s="2579"/>
      <c r="J181" s="2579"/>
      <c r="K181" s="2579"/>
      <c r="L181" s="2579"/>
      <c r="M181" s="2579"/>
      <c r="N181" s="2579"/>
      <c r="O181" s="2579"/>
    </row>
    <row r="182" spans="2:15" s="2463" customFormat="1" ht="12.75">
      <c r="B182" s="2464"/>
      <c r="D182" s="2465"/>
      <c r="E182" s="2465"/>
      <c r="F182" s="2465"/>
      <c r="G182" s="2465"/>
      <c r="H182" s="2465"/>
      <c r="I182" s="2579"/>
      <c r="J182" s="2579"/>
      <c r="K182" s="2579"/>
      <c r="L182" s="2579"/>
      <c r="M182" s="2579"/>
      <c r="N182" s="2579"/>
      <c r="O182" s="2579"/>
    </row>
    <row r="183" spans="2:15" s="2463" customFormat="1" ht="12.75">
      <c r="B183" s="2464"/>
      <c r="D183" s="2465"/>
      <c r="E183" s="2465"/>
      <c r="F183" s="2465"/>
      <c r="G183" s="2465"/>
      <c r="H183" s="2465"/>
      <c r="I183" s="2579"/>
      <c r="J183" s="2579"/>
      <c r="K183" s="2579"/>
      <c r="L183" s="2579"/>
      <c r="M183" s="2579"/>
      <c r="N183" s="2579"/>
      <c r="O183" s="2579"/>
    </row>
    <row r="184" spans="2:15" s="2463" customFormat="1" ht="12.75">
      <c r="B184" s="2464"/>
      <c r="D184" s="2465"/>
      <c r="E184" s="2465"/>
      <c r="F184" s="2465"/>
      <c r="G184" s="2465"/>
      <c r="H184" s="2465"/>
      <c r="I184" s="2579"/>
      <c r="J184" s="2579"/>
      <c r="K184" s="2579"/>
      <c r="L184" s="2579"/>
      <c r="M184" s="2579"/>
      <c r="N184" s="2579"/>
      <c r="O184" s="2579"/>
    </row>
    <row r="185" spans="2:15" s="2463" customFormat="1" ht="12.75">
      <c r="B185" s="2464"/>
      <c r="D185" s="2465"/>
      <c r="E185" s="2465"/>
      <c r="F185" s="2465"/>
      <c r="G185" s="2465"/>
      <c r="H185" s="2465"/>
      <c r="I185" s="2579"/>
      <c r="J185" s="2579"/>
      <c r="K185" s="2579"/>
      <c r="L185" s="2579"/>
      <c r="M185" s="2579"/>
      <c r="N185" s="2579"/>
      <c r="O185" s="2579"/>
    </row>
    <row r="186" spans="2:15" s="2463" customFormat="1" ht="12.75">
      <c r="B186" s="2464"/>
      <c r="D186" s="2465"/>
      <c r="E186" s="2465"/>
      <c r="F186" s="2465"/>
      <c r="G186" s="2465"/>
      <c r="H186" s="2465"/>
      <c r="I186" s="2579"/>
      <c r="J186" s="2579"/>
      <c r="K186" s="2579"/>
      <c r="L186" s="2579"/>
      <c r="M186" s="2579"/>
      <c r="N186" s="2579"/>
      <c r="O186" s="2579"/>
    </row>
    <row r="187" spans="2:15" s="2463" customFormat="1" ht="12.75">
      <c r="B187" s="2464"/>
      <c r="D187" s="2465"/>
      <c r="E187" s="2465"/>
      <c r="F187" s="2465"/>
      <c r="G187" s="2465"/>
      <c r="H187" s="2465"/>
      <c r="I187" s="2579"/>
      <c r="J187" s="2579"/>
      <c r="K187" s="2579"/>
      <c r="L187" s="2579"/>
      <c r="M187" s="2579"/>
      <c r="N187" s="2579"/>
      <c r="O187" s="2579"/>
    </row>
    <row r="188" spans="2:15" s="2463" customFormat="1" ht="12.75">
      <c r="B188" s="2464"/>
      <c r="D188" s="2465"/>
      <c r="E188" s="2465"/>
      <c r="F188" s="2465"/>
      <c r="G188" s="2465"/>
      <c r="H188" s="2465"/>
      <c r="I188" s="2579"/>
      <c r="J188" s="2579"/>
      <c r="K188" s="2579"/>
      <c r="L188" s="2579"/>
      <c r="M188" s="2579"/>
      <c r="N188" s="2579"/>
      <c r="O188" s="2579"/>
    </row>
    <row r="189" spans="2:15" s="2463" customFormat="1" ht="12.75">
      <c r="B189" s="2464"/>
      <c r="D189" s="2465"/>
      <c r="E189" s="2465"/>
      <c r="F189" s="2465"/>
      <c r="G189" s="2465"/>
      <c r="H189" s="2465"/>
      <c r="I189" s="2579"/>
      <c r="J189" s="2579"/>
      <c r="K189" s="2579"/>
      <c r="L189" s="2579"/>
      <c r="M189" s="2579"/>
      <c r="N189" s="2579"/>
      <c r="O189" s="2579"/>
    </row>
    <row r="190" spans="2:15" s="2463" customFormat="1" ht="12.75">
      <c r="B190" s="2464"/>
      <c r="D190" s="2465"/>
      <c r="E190" s="2465"/>
      <c r="F190" s="2465"/>
      <c r="G190" s="2465"/>
      <c r="H190" s="2465"/>
      <c r="I190" s="2579"/>
      <c r="J190" s="2579"/>
      <c r="K190" s="2579"/>
      <c r="L190" s="2579"/>
      <c r="M190" s="2579"/>
      <c r="N190" s="2579"/>
      <c r="O190" s="2579"/>
    </row>
    <row r="191" spans="2:15" s="2463" customFormat="1" ht="12.75">
      <c r="B191" s="2464"/>
      <c r="D191" s="2465"/>
      <c r="E191" s="2465"/>
      <c r="F191" s="2465"/>
      <c r="G191" s="2465"/>
      <c r="H191" s="2465"/>
      <c r="I191" s="2579"/>
      <c r="J191" s="2579"/>
      <c r="K191" s="2579"/>
      <c r="L191" s="2579"/>
      <c r="M191" s="2579"/>
      <c r="N191" s="2579"/>
      <c r="O191" s="2579"/>
    </row>
    <row r="192" spans="2:15" s="2463" customFormat="1" ht="12.75">
      <c r="B192" s="2464"/>
      <c r="D192" s="2465"/>
      <c r="E192" s="2465"/>
      <c r="F192" s="2465"/>
      <c r="G192" s="2465"/>
      <c r="H192" s="2465"/>
      <c r="I192" s="2579"/>
      <c r="J192" s="2579"/>
      <c r="K192" s="2579"/>
      <c r="L192" s="2579"/>
      <c r="M192" s="2579"/>
      <c r="N192" s="2579"/>
      <c r="O192" s="2579"/>
    </row>
    <row r="193" spans="1:15" s="2463" customFormat="1" ht="12.75">
      <c r="B193" s="2464"/>
      <c r="D193" s="2465"/>
      <c r="E193" s="2465"/>
      <c r="F193" s="2465"/>
      <c r="G193" s="2465"/>
      <c r="H193" s="2465"/>
      <c r="I193" s="2579"/>
      <c r="J193" s="2579"/>
      <c r="K193" s="2579"/>
      <c r="L193" s="2579"/>
      <c r="M193" s="2579"/>
      <c r="N193" s="2579"/>
      <c r="O193" s="2579"/>
    </row>
    <row r="194" spans="1:15" s="2463" customFormat="1" ht="12.75">
      <c r="B194" s="2464"/>
      <c r="D194" s="2465"/>
      <c r="E194" s="2465"/>
      <c r="F194" s="2465"/>
      <c r="G194" s="2465"/>
      <c r="H194" s="2465"/>
      <c r="I194" s="2579"/>
      <c r="J194" s="2579"/>
      <c r="K194" s="2579"/>
      <c r="L194" s="2579"/>
      <c r="M194" s="2579"/>
      <c r="N194" s="2579"/>
      <c r="O194" s="2579"/>
    </row>
    <row r="195" spans="1:15" s="2463" customFormat="1" ht="12.75">
      <c r="B195" s="2464"/>
      <c r="D195" s="2465"/>
      <c r="E195" s="2465"/>
      <c r="F195" s="2465"/>
      <c r="G195" s="2465"/>
      <c r="H195" s="2465"/>
      <c r="I195" s="2579"/>
      <c r="J195" s="2579"/>
      <c r="K195" s="2579"/>
      <c r="L195" s="2579"/>
      <c r="M195" s="2579"/>
      <c r="N195" s="2579"/>
      <c r="O195" s="2579"/>
    </row>
    <row r="196" spans="1:15" s="2463" customFormat="1" ht="12.75">
      <c r="A196" s="4876"/>
      <c r="B196" s="4876"/>
      <c r="C196" s="4876"/>
      <c r="D196" s="4876"/>
      <c r="E196" s="4876"/>
      <c r="F196" s="4876"/>
      <c r="G196" s="4876"/>
      <c r="H196" s="4876"/>
      <c r="I196" s="2579"/>
      <c r="J196" s="2579"/>
      <c r="K196" s="2579"/>
      <c r="L196" s="2579"/>
      <c r="M196" s="2579"/>
      <c r="N196" s="2579"/>
      <c r="O196" s="2579"/>
    </row>
    <row r="197" spans="1:15" s="2463" customFormat="1" ht="12.75">
      <c r="A197" s="4877"/>
      <c r="B197" s="4877"/>
      <c r="C197" s="4877"/>
      <c r="D197" s="4877"/>
      <c r="E197" s="4877"/>
      <c r="F197" s="4877"/>
      <c r="G197" s="4877"/>
      <c r="H197" s="4877"/>
      <c r="I197" s="2579"/>
      <c r="J197" s="2579"/>
      <c r="K197" s="2579"/>
      <c r="L197" s="2579"/>
      <c r="M197" s="2579"/>
      <c r="N197" s="2579"/>
      <c r="O197" s="2579"/>
    </row>
    <row r="198" spans="1:15" s="2463" customFormat="1">
      <c r="A198" s="2529"/>
      <c r="B198" s="2529"/>
      <c r="C198" s="2529"/>
      <c r="D198" s="2529"/>
      <c r="E198" s="2529"/>
      <c r="F198" s="2529"/>
      <c r="G198" s="2529"/>
      <c r="H198" s="2529"/>
      <c r="I198" s="2579"/>
      <c r="J198" s="2579"/>
      <c r="K198" s="2579"/>
      <c r="L198" s="2579"/>
      <c r="M198" s="2579"/>
      <c r="N198" s="2579"/>
      <c r="O198" s="2579"/>
    </row>
    <row r="199" spans="1:15" s="2463" customFormat="1">
      <c r="A199" s="2568"/>
      <c r="B199" s="2567"/>
      <c r="C199" s="2529"/>
      <c r="D199" s="2566"/>
      <c r="E199" s="2566"/>
      <c r="F199" s="2566"/>
      <c r="G199" s="2566"/>
      <c r="H199" s="2566"/>
      <c r="I199" s="2579"/>
      <c r="J199" s="2579"/>
      <c r="K199" s="2579"/>
      <c r="L199" s="2579"/>
      <c r="M199" s="2579"/>
      <c r="N199" s="2579"/>
      <c r="O199" s="2579"/>
    </row>
    <row r="200" spans="1:15" s="2463" customFormat="1" ht="12.75">
      <c r="A200" s="1269"/>
      <c r="B200" s="1269"/>
      <c r="C200" s="2542"/>
      <c r="D200" s="2541"/>
      <c r="E200" s="2561"/>
      <c r="F200" s="2540"/>
      <c r="G200" s="2565"/>
      <c r="H200" s="2561"/>
      <c r="I200" s="2579"/>
      <c r="J200" s="2579"/>
      <c r="K200" s="2579"/>
      <c r="L200" s="2579"/>
      <c r="M200" s="2579"/>
      <c r="N200" s="2579"/>
      <c r="O200" s="2579"/>
    </row>
    <row r="201" spans="1:15" s="2463" customFormat="1" ht="23.25">
      <c r="A201" s="2564"/>
      <c r="B201" s="2564"/>
      <c r="C201" s="2563"/>
      <c r="D201" s="2541"/>
      <c r="E201" s="2561"/>
      <c r="F201" s="2540"/>
      <c r="G201" s="2562"/>
      <c r="H201" s="2561"/>
      <c r="I201" s="2579"/>
      <c r="J201" s="2579"/>
      <c r="K201" s="2579"/>
      <c r="L201" s="2579"/>
      <c r="M201" s="2579"/>
      <c r="N201" s="2579"/>
      <c r="O201" s="2579"/>
    </row>
    <row r="202" spans="1:15" s="2463" customFormat="1" ht="12.75">
      <c r="A202" s="4879"/>
      <c r="B202" s="4879"/>
      <c r="C202" s="2559"/>
      <c r="D202" s="2560"/>
      <c r="E202" s="4880"/>
      <c r="F202" s="4880"/>
      <c r="G202" s="4880"/>
      <c r="H202" s="2557"/>
      <c r="I202" s="2579"/>
      <c r="J202" s="2579"/>
      <c r="K202" s="2579"/>
      <c r="L202" s="2579"/>
      <c r="M202" s="2579"/>
      <c r="N202" s="2579"/>
      <c r="O202" s="2579"/>
    </row>
    <row r="203" spans="1:15" s="2463" customFormat="1" ht="12.75">
      <c r="A203" s="4879"/>
      <c r="B203" s="4879"/>
      <c r="C203" s="2559"/>
      <c r="D203" s="2558"/>
      <c r="E203" s="2558"/>
      <c r="F203" s="2558"/>
      <c r="G203" s="2558"/>
      <c r="H203" s="2558"/>
      <c r="I203" s="2579"/>
      <c r="J203" s="2579"/>
      <c r="K203" s="2579"/>
      <c r="L203" s="2579"/>
      <c r="M203" s="2579"/>
      <c r="N203" s="2579"/>
      <c r="O203" s="2579"/>
    </row>
    <row r="204" spans="1:15" s="2463" customFormat="1" ht="12.75">
      <c r="A204" s="4879"/>
      <c r="B204" s="4879"/>
      <c r="C204" s="2557"/>
      <c r="D204" s="2555"/>
      <c r="E204" s="2555"/>
      <c r="F204" s="2555"/>
      <c r="G204" s="2556"/>
      <c r="H204" s="2555"/>
      <c r="I204" s="2579"/>
      <c r="J204" s="2579"/>
      <c r="K204" s="2579"/>
      <c r="L204" s="2579"/>
      <c r="M204" s="2579"/>
      <c r="N204" s="2579"/>
      <c r="O204" s="2579"/>
    </row>
    <row r="205" spans="1:15">
      <c r="A205" s="2554"/>
      <c r="B205" s="2553"/>
      <c r="C205" s="2552"/>
      <c r="D205" s="2551"/>
      <c r="E205" s="2551"/>
      <c r="F205" s="2551"/>
      <c r="G205" s="2551"/>
      <c r="H205" s="2551"/>
    </row>
    <row r="206" spans="1:15">
      <c r="A206" s="2549"/>
      <c r="B206" s="2549"/>
      <c r="C206" s="2550"/>
      <c r="D206" s="2548"/>
      <c r="E206" s="2548"/>
      <c r="F206" s="2540"/>
      <c r="G206" s="2548"/>
      <c r="H206" s="2548"/>
    </row>
    <row r="207" spans="1:15">
      <c r="A207" s="2549"/>
      <c r="B207" s="2549"/>
      <c r="C207" s="2545"/>
      <c r="D207" s="2548"/>
      <c r="E207" s="2548"/>
      <c r="F207" s="2540"/>
      <c r="G207" s="2548"/>
      <c r="H207" s="2548"/>
    </row>
    <row r="208" spans="1:15" s="2463" customFormat="1" ht="12.75">
      <c r="A208" s="2547"/>
      <c r="B208" s="2546"/>
      <c r="C208" s="2545"/>
      <c r="D208" s="2541"/>
      <c r="E208" s="2544"/>
      <c r="F208" s="2540"/>
      <c r="G208" s="2544"/>
      <c r="H208" s="2544"/>
      <c r="I208" s="2579"/>
      <c r="J208" s="2579"/>
      <c r="K208" s="2579"/>
      <c r="L208" s="2579"/>
      <c r="M208" s="2579"/>
      <c r="N208" s="2579"/>
      <c r="O208" s="2579"/>
    </row>
    <row r="209" spans="1:15" s="2463" customFormat="1" ht="12.75">
      <c r="A209" s="2543"/>
      <c r="B209" s="2543"/>
      <c r="C209" s="2542"/>
      <c r="D209" s="2541"/>
      <c r="E209" s="2539"/>
      <c r="F209" s="2540"/>
      <c r="G209" s="2539"/>
      <c r="H209" s="2539"/>
      <c r="I209" s="2579"/>
      <c r="J209" s="2579"/>
      <c r="K209" s="2579"/>
      <c r="L209" s="2579"/>
      <c r="M209" s="2579"/>
      <c r="N209" s="2579"/>
      <c r="O209" s="2579"/>
    </row>
    <row r="210" spans="1:15" s="2463" customFormat="1" ht="12.75">
      <c r="A210" s="2538"/>
      <c r="B210" s="2538"/>
      <c r="C210" s="2537"/>
      <c r="D210" s="2536"/>
      <c r="E210" s="2536"/>
      <c r="F210" s="2536"/>
      <c r="G210" s="2536"/>
      <c r="H210" s="2536"/>
      <c r="I210" s="2579"/>
      <c r="J210" s="2579"/>
      <c r="K210" s="2579"/>
      <c r="L210" s="2579"/>
      <c r="M210" s="2579"/>
      <c r="N210" s="2579"/>
      <c r="O210" s="2579"/>
    </row>
    <row r="211" spans="1:15" s="2463" customFormat="1" ht="12.75">
      <c r="A211" s="2538"/>
      <c r="B211" s="2538"/>
      <c r="C211" s="2537"/>
      <c r="D211" s="2536"/>
      <c r="E211" s="2536"/>
      <c r="F211" s="2536"/>
      <c r="G211" s="2536"/>
      <c r="H211" s="2536"/>
      <c r="I211" s="2579"/>
      <c r="J211" s="2579"/>
      <c r="K211" s="2579"/>
      <c r="L211" s="2579"/>
      <c r="M211" s="2579"/>
      <c r="N211" s="2579"/>
      <c r="O211" s="2579"/>
    </row>
    <row r="212" spans="1:15" s="2463" customFormat="1">
      <c r="A212" s="1269"/>
      <c r="B212" s="2529"/>
      <c r="C212" s="2535"/>
      <c r="D212" s="2529"/>
      <c r="E212" s="4877"/>
      <c r="F212" s="4877"/>
      <c r="G212" s="1269"/>
      <c r="H212" s="2529"/>
      <c r="I212" s="2579"/>
      <c r="J212" s="2579"/>
      <c r="K212" s="2579"/>
      <c r="L212" s="2579"/>
      <c r="M212" s="2579"/>
      <c r="N212" s="2579"/>
      <c r="O212" s="2579"/>
    </row>
    <row r="213" spans="1:15" s="2463" customFormat="1">
      <c r="A213" s="2529"/>
      <c r="B213" s="1269"/>
      <c r="C213" s="2535"/>
      <c r="D213" s="1269"/>
      <c r="E213" s="1269"/>
      <c r="F213" s="1269"/>
      <c r="G213" s="1269"/>
      <c r="H213" s="2529"/>
      <c r="I213" s="2579"/>
      <c r="J213" s="2579"/>
      <c r="K213" s="2579"/>
      <c r="L213" s="2579"/>
      <c r="M213" s="2579"/>
      <c r="N213" s="2579"/>
      <c r="O213" s="2579"/>
    </row>
    <row r="214" spans="1:15" s="2463" customFormat="1" ht="12.75">
      <c r="A214" s="2534"/>
      <c r="B214" s="1269"/>
      <c r="C214" s="4881"/>
      <c r="D214" s="4881"/>
      <c r="E214" s="4876"/>
      <c r="F214" s="4876"/>
      <c r="G214" s="4876"/>
      <c r="H214" s="4876"/>
      <c r="I214" s="2579"/>
      <c r="J214" s="2579"/>
      <c r="K214" s="2579"/>
      <c r="L214" s="2579"/>
      <c r="M214" s="2579"/>
      <c r="N214" s="2579"/>
      <c r="O214" s="2579"/>
    </row>
    <row r="215" spans="1:15" s="2463" customFormat="1" ht="12.75">
      <c r="A215" s="2531"/>
      <c r="B215" s="2533"/>
      <c r="C215" s="4874"/>
      <c r="D215" s="4874"/>
      <c r="E215" s="4875"/>
      <c r="F215" s="4875"/>
      <c r="G215" s="4875"/>
      <c r="H215" s="4875"/>
      <c r="I215" s="2579"/>
      <c r="J215" s="2579"/>
      <c r="K215" s="2579"/>
      <c r="L215" s="2579"/>
      <c r="M215" s="2579"/>
      <c r="N215" s="2579"/>
      <c r="O215" s="2579"/>
    </row>
    <row r="216" spans="1:15" s="2463" customFormat="1">
      <c r="A216" s="2529"/>
      <c r="B216" s="2529"/>
      <c r="C216" s="2529"/>
      <c r="D216" s="2529"/>
      <c r="E216" s="2529"/>
      <c r="F216" s="2529"/>
      <c r="G216" s="2529"/>
      <c r="H216" s="2529"/>
      <c r="I216" s="2579"/>
      <c r="J216" s="2579"/>
      <c r="K216" s="2579"/>
      <c r="L216" s="2579"/>
      <c r="M216" s="2579"/>
      <c r="N216" s="2579"/>
      <c r="O216" s="2579"/>
    </row>
    <row r="217" spans="1:15" s="2463" customFormat="1">
      <c r="A217" s="2529"/>
      <c r="B217" s="2529"/>
      <c r="C217" s="2529"/>
      <c r="D217" s="2529"/>
      <c r="E217" s="2529"/>
      <c r="F217" s="2529"/>
      <c r="G217" s="2529"/>
      <c r="H217" s="2529"/>
      <c r="I217" s="2579"/>
      <c r="J217" s="2579"/>
      <c r="K217" s="2579"/>
      <c r="L217" s="2579"/>
      <c r="M217" s="2579"/>
      <c r="N217" s="2579"/>
      <c r="O217" s="2579"/>
    </row>
    <row r="218" spans="1:15" s="2463" customFormat="1">
      <c r="A218" s="2462"/>
      <c r="B218" s="2462"/>
      <c r="C218" s="2462"/>
      <c r="D218" s="2462"/>
      <c r="E218" s="2462"/>
      <c r="F218" s="2462"/>
      <c r="G218" s="2462"/>
      <c r="H218" s="2462"/>
      <c r="I218" s="2579"/>
      <c r="J218" s="2579"/>
      <c r="K218" s="2579"/>
      <c r="L218" s="2579"/>
      <c r="M218" s="2579"/>
      <c r="N218" s="2579"/>
      <c r="O218" s="2579"/>
    </row>
    <row r="219" spans="1:15" s="2463" customFormat="1">
      <c r="A219" s="2462"/>
      <c r="B219" s="2462"/>
      <c r="C219" s="2462"/>
      <c r="D219" s="2462"/>
      <c r="E219" s="2462"/>
      <c r="F219" s="2462"/>
      <c r="G219" s="2462"/>
      <c r="H219" s="2462"/>
      <c r="I219" s="2579"/>
      <c r="J219" s="2579"/>
      <c r="K219" s="2579"/>
      <c r="L219" s="2579"/>
      <c r="M219" s="2579"/>
      <c r="N219" s="2579"/>
      <c r="O219" s="2579"/>
    </row>
    <row r="220" spans="1:15" s="2463" customFormat="1">
      <c r="A220" s="2462"/>
      <c r="B220" s="2462"/>
      <c r="C220" s="2462"/>
      <c r="D220" s="2462"/>
      <c r="E220" s="2462"/>
      <c r="F220" s="2462"/>
      <c r="G220" s="2462"/>
      <c r="H220" s="2462"/>
      <c r="I220" s="2579"/>
      <c r="J220" s="2579"/>
      <c r="K220" s="2579"/>
      <c r="L220" s="2579"/>
      <c r="M220" s="2579"/>
      <c r="N220" s="2579"/>
      <c r="O220" s="2579"/>
    </row>
    <row r="221" spans="1:15" s="2463" customFormat="1">
      <c r="A221" s="2462"/>
      <c r="B221" s="2462"/>
      <c r="C221" s="2462"/>
      <c r="D221" s="2462"/>
      <c r="E221" s="2462"/>
      <c r="F221" s="2462"/>
      <c r="G221" s="2462"/>
      <c r="H221" s="2462"/>
      <c r="I221" s="2579"/>
      <c r="J221" s="2579"/>
      <c r="K221" s="2579"/>
      <c r="L221" s="2579"/>
      <c r="M221" s="2579"/>
      <c r="N221" s="2579"/>
      <c r="O221" s="2579"/>
    </row>
    <row r="222" spans="1:15" s="2463" customFormat="1">
      <c r="A222" s="2462"/>
      <c r="B222" s="2462"/>
      <c r="C222" s="2462"/>
      <c r="D222" s="2462"/>
      <c r="E222" s="2462"/>
      <c r="F222" s="2462"/>
      <c r="G222" s="2462"/>
      <c r="H222" s="2462"/>
      <c r="I222" s="2579"/>
      <c r="J222" s="2579"/>
      <c r="K222" s="2579"/>
      <c r="L222" s="2579"/>
      <c r="M222" s="2579"/>
      <c r="N222" s="2579"/>
      <c r="O222" s="2579"/>
    </row>
    <row r="223" spans="1:15" s="2463" customFormat="1">
      <c r="A223" s="2462"/>
      <c r="B223" s="2462"/>
      <c r="C223" s="2462"/>
      <c r="D223" s="2462"/>
      <c r="E223" s="2462"/>
      <c r="F223" s="2462"/>
      <c r="G223" s="2462"/>
      <c r="H223" s="2462"/>
      <c r="I223" s="2579"/>
      <c r="J223" s="2579"/>
      <c r="K223" s="2579"/>
      <c r="L223" s="2579"/>
      <c r="M223" s="2579"/>
      <c r="N223" s="2579"/>
      <c r="O223" s="2579"/>
    </row>
    <row r="224" spans="1:15" s="2463" customFormat="1">
      <c r="A224" s="2462"/>
      <c r="B224" s="2462"/>
      <c r="C224" s="2462"/>
      <c r="D224" s="2462"/>
      <c r="E224" s="2462"/>
      <c r="F224" s="2462"/>
      <c r="G224" s="2462"/>
      <c r="H224" s="2462"/>
      <c r="I224" s="2579"/>
      <c r="J224" s="2579"/>
      <c r="K224" s="2579"/>
      <c r="L224" s="2579"/>
      <c r="M224" s="2579"/>
      <c r="N224" s="2579"/>
      <c r="O224" s="2579"/>
    </row>
    <row r="225" spans="1:15" s="2463" customFormat="1">
      <c r="A225" s="2462"/>
      <c r="B225" s="2462"/>
      <c r="C225" s="2462"/>
      <c r="D225" s="2462"/>
      <c r="E225" s="2462"/>
      <c r="F225" s="2462"/>
      <c r="G225" s="2462"/>
      <c r="H225" s="2462"/>
      <c r="I225" s="2579"/>
      <c r="J225" s="2579"/>
      <c r="K225" s="2579"/>
      <c r="L225" s="2579"/>
      <c r="M225" s="2579"/>
      <c r="N225" s="2579"/>
      <c r="O225" s="2579"/>
    </row>
    <row r="226" spans="1:15" s="2463" customFormat="1">
      <c r="A226" s="2462"/>
      <c r="B226" s="2462"/>
      <c r="C226" s="2462"/>
      <c r="D226" s="2462"/>
      <c r="E226" s="2462"/>
      <c r="F226" s="2462"/>
      <c r="G226" s="2462"/>
      <c r="H226" s="2462"/>
      <c r="I226" s="2579"/>
      <c r="J226" s="2579"/>
      <c r="K226" s="2579"/>
      <c r="L226" s="2579"/>
      <c r="M226" s="2579"/>
      <c r="N226" s="2579"/>
      <c r="O226" s="2579"/>
    </row>
    <row r="227" spans="1:15" s="2463" customFormat="1">
      <c r="A227" s="2462"/>
      <c r="B227" s="2462"/>
      <c r="C227" s="2462"/>
      <c r="D227" s="2462"/>
      <c r="E227" s="2462"/>
      <c r="F227" s="2462"/>
      <c r="G227" s="2462"/>
      <c r="H227" s="2462"/>
      <c r="I227" s="2579"/>
      <c r="J227" s="2579"/>
      <c r="K227" s="2579"/>
      <c r="L227" s="2579"/>
      <c r="M227" s="2579"/>
      <c r="N227" s="2579"/>
      <c r="O227" s="2579"/>
    </row>
    <row r="228" spans="1:15" s="2463" customFormat="1">
      <c r="A228" s="2462"/>
      <c r="B228" s="2462"/>
      <c r="C228" s="2462"/>
      <c r="D228" s="2462"/>
      <c r="E228" s="2462"/>
      <c r="F228" s="2462"/>
      <c r="G228" s="2462"/>
      <c r="H228" s="2462"/>
      <c r="I228" s="2579"/>
      <c r="J228" s="2579"/>
      <c r="K228" s="2579"/>
      <c r="L228" s="2579"/>
      <c r="M228" s="2579"/>
      <c r="N228" s="2579"/>
      <c r="O228" s="2579"/>
    </row>
    <row r="229" spans="1:15" s="2463" customFormat="1">
      <c r="A229" s="2462"/>
      <c r="B229" s="2462"/>
      <c r="C229" s="2462"/>
      <c r="D229" s="2462"/>
      <c r="E229" s="2462"/>
      <c r="F229" s="2462"/>
      <c r="G229" s="2462"/>
      <c r="H229" s="2462"/>
      <c r="I229" s="2579"/>
      <c r="J229" s="2579"/>
      <c r="K229" s="2579"/>
      <c r="L229" s="2579"/>
      <c r="M229" s="2579"/>
      <c r="N229" s="2579"/>
      <c r="O229" s="2579"/>
    </row>
    <row r="230" spans="1:15" s="2463" customFormat="1">
      <c r="A230" s="2462"/>
      <c r="B230" s="2462"/>
      <c r="C230" s="2462"/>
      <c r="D230" s="2462"/>
      <c r="E230" s="2462"/>
      <c r="F230" s="2462"/>
      <c r="G230" s="2462"/>
      <c r="H230" s="2462"/>
      <c r="I230" s="2579"/>
      <c r="J230" s="2579"/>
      <c r="K230" s="2579"/>
      <c r="L230" s="2579"/>
      <c r="M230" s="2579"/>
      <c r="N230" s="2579"/>
      <c r="O230" s="2579"/>
    </row>
    <row r="231" spans="1:15" s="2463" customFormat="1">
      <c r="A231" s="2462"/>
      <c r="B231" s="2462"/>
      <c r="C231" s="2462"/>
      <c r="D231" s="2462"/>
      <c r="E231" s="2462"/>
      <c r="F231" s="2462"/>
      <c r="G231" s="2462"/>
      <c r="H231" s="2462"/>
      <c r="I231" s="2579"/>
      <c r="J231" s="2579"/>
      <c r="K231" s="2579"/>
      <c r="L231" s="2579"/>
      <c r="M231" s="2579"/>
      <c r="N231" s="2579"/>
      <c r="O231" s="2579"/>
    </row>
    <row r="232" spans="1:15" s="2463" customFormat="1">
      <c r="A232" s="2462"/>
      <c r="B232" s="2462"/>
      <c r="C232" s="2462"/>
      <c r="D232" s="2462"/>
      <c r="E232" s="2462"/>
      <c r="F232" s="2462"/>
      <c r="G232" s="2462"/>
      <c r="H232" s="2462"/>
      <c r="I232" s="2579"/>
      <c r="J232" s="2579"/>
      <c r="K232" s="2579"/>
      <c r="L232" s="2579"/>
      <c r="M232" s="2579"/>
      <c r="N232" s="2579"/>
      <c r="O232" s="2579"/>
    </row>
    <row r="233" spans="1:15" s="2463" customFormat="1">
      <c r="A233" s="2462"/>
      <c r="B233" s="2462"/>
      <c r="C233" s="2462"/>
      <c r="D233" s="2462"/>
      <c r="E233" s="2462"/>
      <c r="F233" s="2462"/>
      <c r="G233" s="2462"/>
      <c r="H233" s="2462"/>
      <c r="I233" s="2579"/>
      <c r="J233" s="2579"/>
      <c r="K233" s="2579"/>
      <c r="L233" s="2579"/>
      <c r="M233" s="2579"/>
      <c r="N233" s="2579"/>
      <c r="O233" s="2579"/>
    </row>
    <row r="234" spans="1:15" s="2463" customFormat="1">
      <c r="A234" s="2462"/>
      <c r="B234" s="2462"/>
      <c r="C234" s="2462"/>
      <c r="D234" s="2462"/>
      <c r="E234" s="2462"/>
      <c r="F234" s="2462"/>
      <c r="G234" s="2462"/>
      <c r="H234" s="2462"/>
      <c r="I234" s="2579"/>
      <c r="J234" s="2579"/>
      <c r="K234" s="2579"/>
      <c r="L234" s="2579"/>
      <c r="M234" s="2579"/>
      <c r="N234" s="2579"/>
      <c r="O234" s="2579"/>
    </row>
    <row r="235" spans="1:15" s="2463" customFormat="1">
      <c r="A235" s="2462"/>
      <c r="B235" s="2462"/>
      <c r="C235" s="2462"/>
      <c r="D235" s="2462"/>
      <c r="E235" s="2462"/>
      <c r="F235" s="2462"/>
      <c r="G235" s="2462"/>
      <c r="H235" s="2462"/>
      <c r="I235" s="2579"/>
      <c r="J235" s="2579"/>
      <c r="K235" s="2579"/>
      <c r="L235" s="2579"/>
      <c r="M235" s="2579"/>
      <c r="N235" s="2579"/>
      <c r="O235" s="2579"/>
    </row>
    <row r="236" spans="1:15" s="2463" customFormat="1">
      <c r="A236" s="2462"/>
      <c r="B236" s="2462"/>
      <c r="C236" s="2462"/>
      <c r="D236" s="2462"/>
      <c r="E236" s="2462"/>
      <c r="F236" s="2462"/>
      <c r="G236" s="2462"/>
      <c r="H236" s="2462"/>
      <c r="I236" s="2579"/>
      <c r="J236" s="2579"/>
      <c r="K236" s="2579"/>
      <c r="L236" s="2579"/>
      <c r="M236" s="2579"/>
      <c r="N236" s="2579"/>
      <c r="O236" s="2579"/>
    </row>
    <row r="237" spans="1:15" s="2463" customFormat="1">
      <c r="A237" s="2462"/>
      <c r="B237" s="2462"/>
      <c r="C237" s="2462"/>
      <c r="D237" s="2462"/>
      <c r="E237" s="2462"/>
      <c r="F237" s="2462"/>
      <c r="G237" s="2462"/>
      <c r="H237" s="2462"/>
      <c r="I237" s="2579"/>
      <c r="J237" s="2579"/>
      <c r="K237" s="2579"/>
      <c r="L237" s="2579"/>
      <c r="M237" s="2579"/>
      <c r="N237" s="2579"/>
      <c r="O237" s="2579"/>
    </row>
    <row r="238" spans="1:15" s="2463" customFormat="1">
      <c r="A238" s="2462"/>
      <c r="B238" s="2462"/>
      <c r="C238" s="2462"/>
      <c r="D238" s="2462"/>
      <c r="E238" s="2462"/>
      <c r="F238" s="2462"/>
      <c r="G238" s="2462"/>
      <c r="H238" s="2462"/>
      <c r="I238" s="2579"/>
      <c r="J238" s="2579"/>
      <c r="K238" s="2579"/>
      <c r="L238" s="2579"/>
      <c r="M238" s="2579"/>
      <c r="N238" s="2579"/>
      <c r="O238" s="2579"/>
    </row>
    <row r="239" spans="1:15" s="2463" customFormat="1">
      <c r="A239" s="2462"/>
      <c r="B239" s="2462"/>
      <c r="C239" s="2462"/>
      <c r="D239" s="2462"/>
      <c r="E239" s="2462"/>
      <c r="F239" s="2462"/>
      <c r="G239" s="2462"/>
      <c r="H239" s="2462"/>
      <c r="I239" s="2579"/>
      <c r="J239" s="2579"/>
      <c r="K239" s="2579"/>
      <c r="L239" s="2579"/>
      <c r="M239" s="2579"/>
      <c r="N239" s="2579"/>
      <c r="O239" s="2579"/>
    </row>
    <row r="240" spans="1:15" s="2463" customFormat="1">
      <c r="A240" s="2462"/>
      <c r="B240" s="2462"/>
      <c r="C240" s="2462"/>
      <c r="D240" s="2462"/>
      <c r="E240" s="2462"/>
      <c r="F240" s="2462"/>
      <c r="G240" s="2462"/>
      <c r="H240" s="2462"/>
      <c r="I240" s="2579"/>
      <c r="J240" s="2579"/>
      <c r="K240" s="2579"/>
      <c r="L240" s="2579"/>
      <c r="M240" s="2579"/>
      <c r="N240" s="2579"/>
      <c r="O240" s="2579"/>
    </row>
    <row r="241" spans="1:15" s="2463" customFormat="1">
      <c r="A241" s="2462"/>
      <c r="B241" s="2462"/>
      <c r="C241" s="2462"/>
      <c r="D241" s="2462"/>
      <c r="E241" s="2462"/>
      <c r="F241" s="2462"/>
      <c r="G241" s="2462"/>
      <c r="H241" s="2462"/>
      <c r="I241" s="2579"/>
      <c r="J241" s="2579"/>
      <c r="K241" s="2579"/>
      <c r="L241" s="2579"/>
      <c r="M241" s="2579"/>
      <c r="N241" s="2579"/>
      <c r="O241" s="2579"/>
    </row>
    <row r="242" spans="1:15" s="2463" customFormat="1">
      <c r="A242" s="2462"/>
      <c r="B242" s="2462"/>
      <c r="C242" s="2462"/>
      <c r="D242" s="2462"/>
      <c r="E242" s="2462"/>
      <c r="F242" s="2462"/>
      <c r="G242" s="2462"/>
      <c r="H242" s="2462"/>
      <c r="I242" s="2579"/>
      <c r="J242" s="2579"/>
      <c r="K242" s="2579"/>
      <c r="L242" s="2579"/>
      <c r="M242" s="2579"/>
      <c r="N242" s="2579"/>
      <c r="O242" s="2579"/>
    </row>
    <row r="243" spans="1:15" s="2463" customFormat="1">
      <c r="A243" s="2462"/>
      <c r="B243" s="2462"/>
      <c r="C243" s="2462"/>
      <c r="D243" s="2462"/>
      <c r="E243" s="2462"/>
      <c r="F243" s="2462"/>
      <c r="G243" s="2462"/>
      <c r="H243" s="2462"/>
      <c r="I243" s="2579"/>
      <c r="J243" s="2579"/>
      <c r="K243" s="2579"/>
      <c r="L243" s="2579"/>
      <c r="M243" s="2579"/>
      <c r="N243" s="2579"/>
      <c r="O243" s="2579"/>
    </row>
    <row r="244" spans="1:15" s="2463" customFormat="1">
      <c r="A244" s="2462"/>
      <c r="B244" s="2462"/>
      <c r="C244" s="2462"/>
      <c r="D244" s="2462"/>
      <c r="E244" s="2462"/>
      <c r="F244" s="2462"/>
      <c r="G244" s="2462"/>
      <c r="H244" s="2462"/>
      <c r="I244" s="2579"/>
      <c r="J244" s="2579"/>
      <c r="K244" s="2579"/>
      <c r="L244" s="2579"/>
      <c r="M244" s="2579"/>
      <c r="N244" s="2579"/>
      <c r="O244" s="2579"/>
    </row>
    <row r="245" spans="1:15" s="2463" customFormat="1">
      <c r="A245" s="2462"/>
      <c r="B245" s="2462"/>
      <c r="C245" s="2462"/>
      <c r="D245" s="2462"/>
      <c r="E245" s="2462"/>
      <c r="F245" s="2462"/>
      <c r="G245" s="2462"/>
      <c r="H245" s="2462"/>
      <c r="I245" s="2579"/>
      <c r="J245" s="2579"/>
      <c r="K245" s="2579"/>
      <c r="L245" s="2579"/>
      <c r="M245" s="2579"/>
      <c r="N245" s="2579"/>
      <c r="O245" s="2579"/>
    </row>
    <row r="251" spans="1:15" s="2463" customFormat="1">
      <c r="A251" s="2462"/>
      <c r="B251" s="2462"/>
      <c r="C251" s="2462"/>
      <c r="D251" s="2462"/>
      <c r="E251" s="2462"/>
      <c r="F251" s="2462"/>
      <c r="G251" s="2462"/>
      <c r="H251" s="2462"/>
      <c r="I251" s="2579"/>
      <c r="J251" s="2579"/>
      <c r="K251" s="2579"/>
      <c r="L251" s="2579"/>
      <c r="M251" s="2579"/>
      <c r="N251" s="2579"/>
      <c r="O251" s="2579"/>
    </row>
    <row r="252" spans="1:15" s="2463" customFormat="1">
      <c r="A252" s="2462"/>
      <c r="B252" s="2462"/>
      <c r="C252" s="2462"/>
      <c r="D252" s="2462"/>
      <c r="E252" s="2462"/>
      <c r="F252" s="2462"/>
      <c r="G252" s="2462"/>
      <c r="H252" s="2462"/>
      <c r="I252" s="2579"/>
      <c r="J252" s="2579"/>
      <c r="K252" s="2579"/>
      <c r="L252" s="2579"/>
      <c r="M252" s="2579"/>
      <c r="N252" s="2579"/>
      <c r="O252" s="2579"/>
    </row>
    <row r="253" spans="1:15" s="2463" customFormat="1">
      <c r="A253" s="2462"/>
      <c r="B253" s="2462"/>
      <c r="C253" s="2462"/>
      <c r="D253" s="2462"/>
      <c r="E253" s="2462"/>
      <c r="F253" s="2462"/>
      <c r="G253" s="2462"/>
      <c r="H253" s="2462"/>
      <c r="I253" s="2579"/>
      <c r="J253" s="2579"/>
      <c r="K253" s="2579"/>
      <c r="L253" s="2579"/>
      <c r="M253" s="2579"/>
      <c r="N253" s="2579"/>
      <c r="O253" s="2579"/>
    </row>
    <row r="254" spans="1:15" s="2463" customFormat="1">
      <c r="A254" s="2462"/>
      <c r="B254" s="2462"/>
      <c r="C254" s="2462"/>
      <c r="D254" s="2462"/>
      <c r="E254" s="2462"/>
      <c r="F254" s="2462"/>
      <c r="G254" s="2462"/>
      <c r="H254" s="2462"/>
      <c r="I254" s="2579"/>
      <c r="J254" s="2579"/>
      <c r="K254" s="2579"/>
      <c r="L254" s="2579"/>
      <c r="M254" s="2579"/>
      <c r="N254" s="2579"/>
      <c r="O254" s="2579"/>
    </row>
    <row r="255" spans="1:15" s="2463" customFormat="1">
      <c r="A255" s="2462"/>
      <c r="B255" s="2462"/>
      <c r="C255" s="2462"/>
      <c r="D255" s="2462"/>
      <c r="E255" s="2462"/>
      <c r="F255" s="2462"/>
      <c r="G255" s="2462"/>
      <c r="H255" s="2462"/>
      <c r="I255" s="2579"/>
      <c r="J255" s="2579"/>
      <c r="K255" s="2579"/>
      <c r="L255" s="2579"/>
      <c r="M255" s="2579"/>
      <c r="N255" s="2579"/>
      <c r="O255" s="2579"/>
    </row>
    <row r="256" spans="1:15" s="2463" customFormat="1">
      <c r="A256" s="2462"/>
      <c r="B256" s="2462"/>
      <c r="C256" s="2462"/>
      <c r="D256" s="2462"/>
      <c r="E256" s="2462"/>
      <c r="F256" s="2462"/>
      <c r="G256" s="2462"/>
      <c r="H256" s="2462"/>
      <c r="I256" s="2579"/>
      <c r="J256" s="2579"/>
      <c r="K256" s="2579"/>
      <c r="L256" s="2579"/>
      <c r="M256" s="2579"/>
      <c r="N256" s="2579"/>
      <c r="O256" s="2579"/>
    </row>
    <row r="257" spans="1:15" s="2463" customFormat="1">
      <c r="A257" s="2462"/>
      <c r="B257" s="2462"/>
      <c r="C257" s="2462"/>
      <c r="D257" s="2462"/>
      <c r="E257" s="2462"/>
      <c r="F257" s="2462"/>
      <c r="G257" s="2462"/>
      <c r="H257" s="2462"/>
      <c r="I257" s="2579"/>
      <c r="J257" s="2579"/>
      <c r="K257" s="2579"/>
      <c r="L257" s="2579"/>
      <c r="M257" s="2579"/>
      <c r="N257" s="2579"/>
      <c r="O257" s="2579"/>
    </row>
    <row r="258" spans="1:15" s="2463" customFormat="1">
      <c r="A258" s="2462"/>
      <c r="B258" s="2462"/>
      <c r="C258" s="2462"/>
      <c r="D258" s="2462"/>
      <c r="E258" s="2462"/>
      <c r="F258" s="2462"/>
      <c r="G258" s="2462"/>
      <c r="H258" s="2462"/>
      <c r="I258" s="2579"/>
      <c r="J258" s="2579"/>
      <c r="K258" s="2579"/>
      <c r="L258" s="2579"/>
      <c r="M258" s="2579"/>
      <c r="N258" s="2579"/>
      <c r="O258" s="2579"/>
    </row>
    <row r="259" spans="1:15" s="2463" customFormat="1">
      <c r="A259" s="2462"/>
      <c r="B259" s="2462"/>
      <c r="C259" s="2462"/>
      <c r="D259" s="2462"/>
      <c r="E259" s="2462"/>
      <c r="F259" s="2462"/>
      <c r="G259" s="2462"/>
      <c r="H259" s="2462"/>
      <c r="I259" s="2579"/>
      <c r="J259" s="2579"/>
      <c r="K259" s="2579"/>
      <c r="L259" s="2579"/>
      <c r="M259" s="2579"/>
      <c r="N259" s="2579"/>
      <c r="O259" s="2579"/>
    </row>
    <row r="260" spans="1:15" s="2463" customFormat="1">
      <c r="A260" s="2462"/>
      <c r="B260" s="2462"/>
      <c r="C260" s="2462"/>
      <c r="D260" s="2462"/>
      <c r="E260" s="2462"/>
      <c r="F260" s="2462"/>
      <c r="G260" s="2462"/>
      <c r="H260" s="2462"/>
      <c r="I260" s="2579"/>
      <c r="J260" s="2579"/>
      <c r="K260" s="2579"/>
      <c r="L260" s="2579"/>
      <c r="M260" s="2579"/>
      <c r="N260" s="2579"/>
      <c r="O260" s="2579"/>
    </row>
    <row r="261" spans="1:15" s="2463" customFormat="1">
      <c r="A261" s="2462"/>
      <c r="B261" s="2462"/>
      <c r="C261" s="2462"/>
      <c r="D261" s="2462"/>
      <c r="E261" s="2462"/>
      <c r="F261" s="2462"/>
      <c r="G261" s="2462"/>
      <c r="H261" s="2462"/>
      <c r="I261" s="2579"/>
      <c r="J261" s="2579"/>
      <c r="K261" s="2579"/>
      <c r="L261" s="2579"/>
      <c r="M261" s="2579"/>
      <c r="N261" s="2579"/>
      <c r="O261" s="2579"/>
    </row>
    <row r="262" spans="1:15" s="2463" customFormat="1">
      <c r="A262" s="2462"/>
      <c r="B262" s="2462"/>
      <c r="C262" s="2462"/>
      <c r="D262" s="2462"/>
      <c r="E262" s="2462"/>
      <c r="F262" s="2462"/>
      <c r="G262" s="2462"/>
      <c r="H262" s="2462"/>
      <c r="I262" s="2579"/>
      <c r="J262" s="2579"/>
      <c r="K262" s="2579"/>
      <c r="L262" s="2579"/>
      <c r="M262" s="2579"/>
      <c r="N262" s="2579"/>
      <c r="O262" s="2579"/>
    </row>
    <row r="263" spans="1:15" s="2463" customFormat="1">
      <c r="A263" s="2462"/>
      <c r="B263" s="2462"/>
      <c r="C263" s="2462"/>
      <c r="D263" s="2462"/>
      <c r="E263" s="2462"/>
      <c r="F263" s="2462"/>
      <c r="G263" s="2462"/>
      <c r="H263" s="2462"/>
      <c r="I263" s="2579"/>
      <c r="J263" s="2579"/>
      <c r="K263" s="2579"/>
      <c r="L263" s="2579"/>
      <c r="M263" s="2579"/>
      <c r="N263" s="2579"/>
      <c r="O263" s="2579"/>
    </row>
    <row r="264" spans="1:15" s="2463" customFormat="1">
      <c r="A264" s="2462"/>
      <c r="B264" s="2462"/>
      <c r="C264" s="2462"/>
      <c r="D264" s="2462"/>
      <c r="E264" s="2462"/>
      <c r="F264" s="2462"/>
      <c r="G264" s="2462"/>
      <c r="H264" s="2462"/>
      <c r="I264" s="2579"/>
      <c r="J264" s="2579"/>
      <c r="K264" s="2579"/>
      <c r="L264" s="2579"/>
      <c r="M264" s="2579"/>
      <c r="N264" s="2579"/>
      <c r="O264" s="2579"/>
    </row>
    <row r="265" spans="1:15" s="2463" customFormat="1">
      <c r="A265" s="2462"/>
      <c r="B265" s="2462"/>
      <c r="C265" s="2462"/>
      <c r="D265" s="2462"/>
      <c r="E265" s="2462"/>
      <c r="F265" s="2462"/>
      <c r="G265" s="2462"/>
      <c r="H265" s="2462"/>
      <c r="I265" s="2579"/>
      <c r="J265" s="2579"/>
      <c r="K265" s="2579"/>
      <c r="L265" s="2579"/>
      <c r="M265" s="2579"/>
      <c r="N265" s="2579"/>
      <c r="O265" s="2579"/>
    </row>
    <row r="266" spans="1:15" s="2463" customFormat="1">
      <c r="A266" s="2462"/>
      <c r="B266" s="2462"/>
      <c r="C266" s="2462"/>
      <c r="D266" s="2462"/>
      <c r="E266" s="2462"/>
      <c r="F266" s="2462"/>
      <c r="G266" s="2462"/>
      <c r="H266" s="2462"/>
      <c r="I266" s="2579"/>
      <c r="J266" s="2579"/>
      <c r="K266" s="2579"/>
      <c r="L266" s="2579"/>
      <c r="M266" s="2579"/>
      <c r="N266" s="2579"/>
      <c r="O266" s="2579"/>
    </row>
    <row r="267" spans="1:15" s="2463" customFormat="1">
      <c r="A267" s="2462"/>
      <c r="B267" s="2462"/>
      <c r="C267" s="2462"/>
      <c r="D267" s="2462"/>
      <c r="E267" s="2462"/>
      <c r="F267" s="2462"/>
      <c r="G267" s="2462"/>
      <c r="H267" s="2462"/>
      <c r="I267" s="2579"/>
      <c r="J267" s="2579"/>
      <c r="K267" s="2579"/>
      <c r="L267" s="2579"/>
      <c r="M267" s="2579"/>
      <c r="N267" s="2579"/>
      <c r="O267" s="2579"/>
    </row>
    <row r="268" spans="1:15" s="2463" customFormat="1">
      <c r="A268" s="2462"/>
      <c r="B268" s="2462"/>
      <c r="C268" s="2462"/>
      <c r="D268" s="2462"/>
      <c r="E268" s="2462"/>
      <c r="F268" s="2462"/>
      <c r="G268" s="2462"/>
      <c r="H268" s="2462"/>
      <c r="I268" s="2579"/>
      <c r="J268" s="2579"/>
      <c r="K268" s="2579"/>
      <c r="L268" s="2579"/>
      <c r="M268" s="2579"/>
      <c r="N268" s="2579"/>
      <c r="O268" s="2579"/>
    </row>
    <row r="269" spans="1:15" s="2463" customFormat="1">
      <c r="A269" s="2462"/>
      <c r="B269" s="2462"/>
      <c r="C269" s="2462"/>
      <c r="D269" s="2462"/>
      <c r="E269" s="2462"/>
      <c r="F269" s="2462"/>
      <c r="G269" s="2462"/>
      <c r="H269" s="2462"/>
      <c r="I269" s="2579"/>
      <c r="J269" s="2579"/>
      <c r="K269" s="2579"/>
      <c r="L269" s="2579"/>
      <c r="M269" s="2579"/>
      <c r="N269" s="2579"/>
      <c r="O269" s="2579"/>
    </row>
    <row r="270" spans="1:15" s="2463" customFormat="1">
      <c r="A270" s="2462"/>
      <c r="B270" s="2462"/>
      <c r="C270" s="2462"/>
      <c r="D270" s="2462"/>
      <c r="E270" s="2462"/>
      <c r="F270" s="2462"/>
      <c r="G270" s="2462"/>
      <c r="H270" s="2462"/>
      <c r="I270" s="2579"/>
      <c r="J270" s="2579"/>
      <c r="K270" s="2579"/>
      <c r="L270" s="2579"/>
      <c r="M270" s="2579"/>
      <c r="N270" s="2579"/>
      <c r="O270" s="2579"/>
    </row>
    <row r="271" spans="1:15" s="2463" customFormat="1">
      <c r="A271" s="2462"/>
      <c r="B271" s="2462"/>
      <c r="C271" s="2462"/>
      <c r="D271" s="2462"/>
      <c r="E271" s="2462"/>
      <c r="F271" s="2462"/>
      <c r="G271" s="2462"/>
      <c r="H271" s="2462"/>
      <c r="I271" s="2579"/>
      <c r="J271" s="2579"/>
      <c r="K271" s="2579"/>
      <c r="L271" s="2579"/>
      <c r="M271" s="2579"/>
      <c r="N271" s="2579"/>
      <c r="O271" s="2579"/>
    </row>
    <row r="272" spans="1:15" s="2463" customFormat="1">
      <c r="A272" s="2462"/>
      <c r="B272" s="2462"/>
      <c r="C272" s="2462"/>
      <c r="D272" s="2462"/>
      <c r="E272" s="2462"/>
      <c r="F272" s="2462"/>
      <c r="G272" s="2462"/>
      <c r="H272" s="2462"/>
      <c r="I272" s="2579"/>
      <c r="J272" s="2579"/>
      <c r="K272" s="2579"/>
      <c r="L272" s="2579"/>
      <c r="M272" s="2579"/>
      <c r="N272" s="2579"/>
      <c r="O272" s="2579"/>
    </row>
    <row r="273" spans="1:15" s="2463" customFormat="1">
      <c r="A273" s="2462"/>
      <c r="B273" s="2462"/>
      <c r="C273" s="2462"/>
      <c r="D273" s="2462"/>
      <c r="E273" s="2462"/>
      <c r="F273" s="2462"/>
      <c r="G273" s="2462"/>
      <c r="H273" s="2462"/>
      <c r="I273" s="2579"/>
      <c r="J273" s="2579"/>
      <c r="K273" s="2579"/>
      <c r="L273" s="2579"/>
      <c r="M273" s="2579"/>
      <c r="N273" s="2579"/>
      <c r="O273" s="2579"/>
    </row>
    <row r="274" spans="1:15" s="2463" customFormat="1">
      <c r="A274" s="2462"/>
      <c r="B274" s="2462"/>
      <c r="C274" s="2462"/>
      <c r="D274" s="2462"/>
      <c r="E274" s="2462"/>
      <c r="F274" s="2462"/>
      <c r="G274" s="2462"/>
      <c r="H274" s="2462"/>
      <c r="I274" s="2579"/>
      <c r="J274" s="2579"/>
      <c r="K274" s="2579"/>
      <c r="L274" s="2579"/>
      <c r="M274" s="2579"/>
      <c r="N274" s="2579"/>
      <c r="O274" s="2579"/>
    </row>
    <row r="275" spans="1:15" s="2463" customFormat="1">
      <c r="A275" s="2462"/>
      <c r="B275" s="2462"/>
      <c r="C275" s="2462"/>
      <c r="D275" s="2462"/>
      <c r="E275" s="2462"/>
      <c r="F275" s="2462"/>
      <c r="G275" s="2462"/>
      <c r="H275" s="2462"/>
      <c r="I275" s="2579"/>
      <c r="J275" s="2579"/>
      <c r="K275" s="2579"/>
      <c r="L275" s="2579"/>
      <c r="M275" s="2579"/>
      <c r="N275" s="2579"/>
      <c r="O275" s="2579"/>
    </row>
    <row r="276" spans="1:15" s="2463" customFormat="1">
      <c r="A276" s="2462"/>
      <c r="B276" s="2462"/>
      <c r="C276" s="2462"/>
      <c r="D276" s="2462"/>
      <c r="E276" s="2462"/>
      <c r="F276" s="2462"/>
      <c r="G276" s="2462"/>
      <c r="H276" s="2462"/>
      <c r="I276" s="2579"/>
      <c r="J276" s="2579"/>
      <c r="K276" s="2579"/>
      <c r="L276" s="2579"/>
      <c r="M276" s="2579"/>
      <c r="N276" s="2579"/>
      <c r="O276" s="2579"/>
    </row>
    <row r="277" spans="1:15" s="2463" customFormat="1">
      <c r="A277" s="2462"/>
      <c r="B277" s="2462"/>
      <c r="C277" s="2462"/>
      <c r="D277" s="2462"/>
      <c r="E277" s="2462"/>
      <c r="F277" s="2462"/>
      <c r="G277" s="2462"/>
      <c r="H277" s="2462"/>
      <c r="I277" s="2579"/>
      <c r="J277" s="2579"/>
      <c r="K277" s="2579"/>
      <c r="L277" s="2579"/>
      <c r="M277" s="2579"/>
      <c r="N277" s="2579"/>
      <c r="O277" s="2579"/>
    </row>
    <row r="278" spans="1:15" s="2463" customFormat="1">
      <c r="A278" s="2462"/>
      <c r="B278" s="2462"/>
      <c r="C278" s="2462"/>
      <c r="D278" s="2462"/>
      <c r="E278" s="2462"/>
      <c r="F278" s="2462"/>
      <c r="G278" s="2462"/>
      <c r="H278" s="2462"/>
      <c r="I278" s="2579"/>
      <c r="J278" s="2579"/>
      <c r="K278" s="2579"/>
      <c r="L278" s="2579"/>
      <c r="M278" s="2579"/>
      <c r="N278" s="2579"/>
      <c r="O278" s="2579"/>
    </row>
    <row r="279" spans="1:15" s="2463" customFormat="1">
      <c r="A279" s="2462"/>
      <c r="B279" s="2462"/>
      <c r="C279" s="2462"/>
      <c r="D279" s="2462"/>
      <c r="E279" s="2462"/>
      <c r="F279" s="2462"/>
      <c r="G279" s="2462"/>
      <c r="H279" s="2462"/>
      <c r="I279" s="2579"/>
      <c r="J279" s="2579"/>
      <c r="K279" s="2579"/>
      <c r="L279" s="2579"/>
      <c r="M279" s="2579"/>
      <c r="N279" s="2579"/>
      <c r="O279" s="2579"/>
    </row>
    <row r="280" spans="1:15" s="2463" customFormat="1">
      <c r="A280" s="2462"/>
      <c r="B280" s="2462"/>
      <c r="C280" s="2462"/>
      <c r="D280" s="2462"/>
      <c r="E280" s="2462"/>
      <c r="F280" s="2462"/>
      <c r="G280" s="2462"/>
      <c r="H280" s="2462"/>
      <c r="I280" s="2579"/>
      <c r="J280" s="2579"/>
      <c r="K280" s="2579"/>
      <c r="L280" s="2579"/>
      <c r="M280" s="2579"/>
      <c r="N280" s="2579"/>
      <c r="O280" s="2579"/>
    </row>
    <row r="281" spans="1:15" s="2463" customFormat="1">
      <c r="A281" s="2462"/>
      <c r="B281" s="2462"/>
      <c r="C281" s="2462"/>
      <c r="D281" s="2462"/>
      <c r="E281" s="2462"/>
      <c r="F281" s="2462"/>
      <c r="G281" s="2462"/>
      <c r="H281" s="2462"/>
      <c r="I281" s="2579"/>
      <c r="J281" s="2579"/>
      <c r="K281" s="2579"/>
      <c r="L281" s="2579"/>
      <c r="M281" s="2579"/>
      <c r="N281" s="2579"/>
      <c r="O281" s="2579"/>
    </row>
    <row r="282" spans="1:15" s="2463" customFormat="1">
      <c r="A282" s="2462"/>
      <c r="B282" s="2462"/>
      <c r="C282" s="2462"/>
      <c r="D282" s="2462"/>
      <c r="E282" s="2462"/>
      <c r="F282" s="2462"/>
      <c r="G282" s="2462"/>
      <c r="H282" s="2462"/>
      <c r="I282" s="2579"/>
      <c r="J282" s="2579"/>
      <c r="K282" s="2579"/>
      <c r="L282" s="2579"/>
      <c r="M282" s="2579"/>
      <c r="N282" s="2579"/>
      <c r="O282" s="2579"/>
    </row>
    <row r="283" spans="1:15" s="2463" customFormat="1">
      <c r="A283" s="2462"/>
      <c r="B283" s="2462"/>
      <c r="C283" s="2462"/>
      <c r="D283" s="2462"/>
      <c r="E283" s="2462"/>
      <c r="F283" s="2462"/>
      <c r="G283" s="2462"/>
      <c r="H283" s="2462"/>
      <c r="I283" s="2579"/>
      <c r="J283" s="2579"/>
      <c r="K283" s="2579"/>
      <c r="L283" s="2579"/>
      <c r="M283" s="2579"/>
      <c r="N283" s="2579"/>
      <c r="O283" s="2579"/>
    </row>
    <row r="284" spans="1:15" s="2463" customFormat="1">
      <c r="A284" s="2462"/>
      <c r="B284" s="2462"/>
      <c r="C284" s="2462"/>
      <c r="D284" s="2462"/>
      <c r="E284" s="2462"/>
      <c r="F284" s="2462"/>
      <c r="G284" s="2462"/>
      <c r="H284" s="2462"/>
      <c r="I284" s="2579"/>
      <c r="J284" s="2579"/>
      <c r="K284" s="2579"/>
      <c r="L284" s="2579"/>
      <c r="M284" s="2579"/>
      <c r="N284" s="2579"/>
      <c r="O284" s="2579"/>
    </row>
    <row r="285" spans="1:15" s="2463" customFormat="1">
      <c r="A285" s="2462"/>
      <c r="B285" s="2462"/>
      <c r="C285" s="2462"/>
      <c r="D285" s="2462"/>
      <c r="E285" s="2462"/>
      <c r="F285" s="2462"/>
      <c r="G285" s="2462"/>
      <c r="H285" s="2462"/>
      <c r="I285" s="2579"/>
      <c r="J285" s="2579"/>
      <c r="K285" s="2579"/>
      <c r="L285" s="2579"/>
      <c r="M285" s="2579"/>
      <c r="N285" s="2579"/>
      <c r="O285" s="2579"/>
    </row>
    <row r="286" spans="1:15" s="2463" customFormat="1">
      <c r="A286" s="2462"/>
      <c r="B286" s="2462"/>
      <c r="C286" s="2462"/>
      <c r="D286" s="2462"/>
      <c r="E286" s="2462"/>
      <c r="F286" s="2462"/>
      <c r="G286" s="2462"/>
      <c r="H286" s="2462"/>
      <c r="I286" s="2579"/>
      <c r="J286" s="2579"/>
      <c r="K286" s="2579"/>
      <c r="L286" s="2579"/>
      <c r="M286" s="2579"/>
      <c r="N286" s="2579"/>
      <c r="O286" s="2579"/>
    </row>
    <row r="287" spans="1:15" s="2463" customFormat="1">
      <c r="A287" s="2462"/>
      <c r="B287" s="2462"/>
      <c r="C287" s="2462"/>
      <c r="D287" s="2462"/>
      <c r="E287" s="2462"/>
      <c r="F287" s="2462"/>
      <c r="G287" s="2462"/>
      <c r="H287" s="2462"/>
      <c r="I287" s="2579"/>
      <c r="J287" s="2579"/>
      <c r="K287" s="2579"/>
      <c r="L287" s="2579"/>
      <c r="M287" s="2579"/>
      <c r="N287" s="2579"/>
      <c r="O287" s="2579"/>
    </row>
    <row r="288" spans="1:15" s="2463" customFormat="1">
      <c r="A288" s="2462"/>
      <c r="B288" s="2462"/>
      <c r="C288" s="2462"/>
      <c r="D288" s="2462"/>
      <c r="E288" s="2462"/>
      <c r="F288" s="2462"/>
      <c r="G288" s="2462"/>
      <c r="H288" s="2462"/>
      <c r="I288" s="2579"/>
      <c r="J288" s="2579"/>
      <c r="K288" s="2579"/>
      <c r="L288" s="2579"/>
      <c r="M288" s="2579"/>
      <c r="N288" s="2579"/>
      <c r="O288" s="2579"/>
    </row>
    <row r="289" spans="1:15" s="2463" customFormat="1">
      <c r="A289" s="2462"/>
      <c r="B289" s="2462"/>
      <c r="C289" s="2462"/>
      <c r="D289" s="2462"/>
      <c r="E289" s="2462"/>
      <c r="F289" s="2462"/>
      <c r="G289" s="2462"/>
      <c r="H289" s="2462"/>
      <c r="I289" s="2579"/>
      <c r="J289" s="2579"/>
      <c r="K289" s="2579"/>
      <c r="L289" s="2579"/>
      <c r="M289" s="2579"/>
      <c r="N289" s="2579"/>
      <c r="O289" s="2579"/>
    </row>
    <row r="294" spans="1:15" s="2463" customFormat="1">
      <c r="A294" s="2462"/>
      <c r="B294" s="2462"/>
      <c r="C294" s="2462"/>
      <c r="D294" s="2462"/>
      <c r="E294" s="2462"/>
      <c r="F294" s="2462"/>
      <c r="G294" s="2462"/>
      <c r="H294" s="2462"/>
      <c r="I294" s="2579"/>
      <c r="J294" s="2579"/>
      <c r="K294" s="2579"/>
      <c r="L294" s="2579"/>
      <c r="M294" s="2579"/>
      <c r="N294" s="2579"/>
      <c r="O294" s="2579"/>
    </row>
    <row r="295" spans="1:15" s="2463" customFormat="1">
      <c r="A295" s="2462"/>
      <c r="B295" s="2462"/>
      <c r="C295" s="2462"/>
      <c r="D295" s="2462"/>
      <c r="E295" s="2462"/>
      <c r="F295" s="2462"/>
      <c r="G295" s="2462"/>
      <c r="H295" s="2462"/>
      <c r="I295" s="2579"/>
      <c r="J295" s="2579"/>
      <c r="K295" s="2579"/>
      <c r="L295" s="2579"/>
      <c r="M295" s="2579"/>
      <c r="N295" s="2579"/>
      <c r="O295" s="2579"/>
    </row>
    <row r="296" spans="1:15" s="2463" customFormat="1">
      <c r="A296" s="2462"/>
      <c r="B296" s="2462"/>
      <c r="C296" s="2462"/>
      <c r="D296" s="2462"/>
      <c r="E296" s="2462"/>
      <c r="F296" s="2462"/>
      <c r="G296" s="2462"/>
      <c r="H296" s="2462"/>
      <c r="I296" s="2579"/>
      <c r="J296" s="2579"/>
      <c r="K296" s="2579"/>
      <c r="L296" s="2579"/>
      <c r="M296" s="2579"/>
      <c r="N296" s="2579"/>
      <c r="O296" s="2579"/>
    </row>
    <row r="297" spans="1:15" s="2463" customFormat="1">
      <c r="A297" s="2462"/>
      <c r="B297" s="2462"/>
      <c r="C297" s="2462"/>
      <c r="D297" s="2462"/>
      <c r="E297" s="2462"/>
      <c r="F297" s="2462"/>
      <c r="G297" s="2462"/>
      <c r="H297" s="2462"/>
      <c r="I297" s="2579"/>
      <c r="J297" s="2579"/>
      <c r="K297" s="2579"/>
      <c r="L297" s="2579"/>
      <c r="M297" s="2579"/>
      <c r="N297" s="2579"/>
      <c r="O297" s="2579"/>
    </row>
    <row r="298" spans="1:15" s="2463" customFormat="1">
      <c r="A298" s="2462"/>
      <c r="B298" s="2462"/>
      <c r="C298" s="2462"/>
      <c r="D298" s="2462"/>
      <c r="E298" s="2462"/>
      <c r="F298" s="2462"/>
      <c r="G298" s="2462"/>
      <c r="H298" s="2462"/>
      <c r="I298" s="2579"/>
      <c r="J298" s="2579"/>
      <c r="K298" s="2579"/>
      <c r="L298" s="2579"/>
      <c r="M298" s="2579"/>
      <c r="N298" s="2579"/>
      <c r="O298" s="2579"/>
    </row>
    <row r="299" spans="1:15" s="2463" customFormat="1">
      <c r="A299" s="2462"/>
      <c r="B299" s="2462"/>
      <c r="C299" s="2462"/>
      <c r="D299" s="2462"/>
      <c r="E299" s="2462"/>
      <c r="F299" s="2462"/>
      <c r="G299" s="2462"/>
      <c r="H299" s="2462"/>
      <c r="I299" s="2579"/>
      <c r="J299" s="2579"/>
      <c r="K299" s="2579"/>
      <c r="L299" s="2579"/>
      <c r="M299" s="2579"/>
      <c r="N299" s="2579"/>
      <c r="O299" s="2579"/>
    </row>
    <row r="300" spans="1:15" s="2463" customFormat="1">
      <c r="A300" s="2462"/>
      <c r="B300" s="2462"/>
      <c r="C300" s="2462"/>
      <c r="D300" s="2462"/>
      <c r="E300" s="2462"/>
      <c r="F300" s="2462"/>
      <c r="G300" s="2462"/>
      <c r="H300" s="2462"/>
      <c r="I300" s="2579"/>
      <c r="J300" s="2579"/>
      <c r="K300" s="2579"/>
      <c r="L300" s="2579"/>
      <c r="M300" s="2579"/>
      <c r="N300" s="2579"/>
      <c r="O300" s="2579"/>
    </row>
    <row r="301" spans="1:15" s="2463" customFormat="1">
      <c r="A301" s="2462"/>
      <c r="B301" s="2462"/>
      <c r="C301" s="2462"/>
      <c r="D301" s="2462"/>
      <c r="E301" s="2462"/>
      <c r="F301" s="2462"/>
      <c r="G301" s="2462"/>
      <c r="H301" s="2462"/>
      <c r="I301" s="2579"/>
      <c r="J301" s="2579"/>
      <c r="K301" s="2579"/>
      <c r="L301" s="2579"/>
      <c r="M301" s="2579"/>
      <c r="N301" s="2579"/>
      <c r="O301" s="2579"/>
    </row>
    <row r="302" spans="1:15" s="2463" customFormat="1">
      <c r="A302" s="2462"/>
      <c r="B302" s="2462"/>
      <c r="C302" s="2462"/>
      <c r="D302" s="2462"/>
      <c r="E302" s="2462"/>
      <c r="F302" s="2462"/>
      <c r="G302" s="2462"/>
      <c r="H302" s="2462"/>
      <c r="I302" s="2579"/>
      <c r="J302" s="2579"/>
      <c r="K302" s="2579"/>
      <c r="L302" s="2579"/>
      <c r="M302" s="2579"/>
      <c r="N302" s="2579"/>
      <c r="O302" s="2579"/>
    </row>
    <row r="303" spans="1:15" s="2463" customFormat="1">
      <c r="A303" s="2462"/>
      <c r="B303" s="2462"/>
      <c r="C303" s="2462"/>
      <c r="D303" s="2462"/>
      <c r="E303" s="2462"/>
      <c r="F303" s="2462"/>
      <c r="G303" s="2462"/>
      <c r="H303" s="2462"/>
      <c r="I303" s="2579"/>
      <c r="J303" s="2579"/>
      <c r="K303" s="2579"/>
      <c r="L303" s="2579"/>
      <c r="M303" s="2579"/>
      <c r="N303" s="2579"/>
      <c r="O303" s="2579"/>
    </row>
    <row r="304" spans="1:15" s="2463" customFormat="1">
      <c r="A304" s="2462"/>
      <c r="B304" s="2462"/>
      <c r="C304" s="2462"/>
      <c r="D304" s="2462"/>
      <c r="E304" s="2462"/>
      <c r="F304" s="2462"/>
      <c r="G304" s="2462"/>
      <c r="H304" s="2462"/>
      <c r="I304" s="2579"/>
      <c r="J304" s="2579"/>
      <c r="K304" s="2579"/>
      <c r="L304" s="2579"/>
      <c r="M304" s="2579"/>
      <c r="N304" s="2579"/>
      <c r="O304" s="2579"/>
    </row>
    <row r="305" spans="1:15" s="2463" customFormat="1">
      <c r="A305" s="2462"/>
      <c r="B305" s="2462"/>
      <c r="C305" s="2462"/>
      <c r="D305" s="2462"/>
      <c r="E305" s="2462"/>
      <c r="F305" s="2462"/>
      <c r="G305" s="2462"/>
      <c r="H305" s="2462"/>
      <c r="I305" s="2579"/>
      <c r="J305" s="2579"/>
      <c r="K305" s="2579"/>
      <c r="L305" s="2579"/>
      <c r="M305" s="2579"/>
      <c r="N305" s="2579"/>
      <c r="O305" s="2579"/>
    </row>
    <row r="306" spans="1:15" s="2463" customFormat="1">
      <c r="A306" s="2462"/>
      <c r="B306" s="2462"/>
      <c r="C306" s="2462"/>
      <c r="D306" s="2462"/>
      <c r="E306" s="2462"/>
      <c r="F306" s="2462"/>
      <c r="G306" s="2462"/>
      <c r="H306" s="2462"/>
      <c r="I306" s="2579"/>
      <c r="J306" s="2579"/>
      <c r="K306" s="2579"/>
      <c r="L306" s="2579"/>
      <c r="M306" s="2579"/>
      <c r="N306" s="2579"/>
      <c r="O306" s="2579"/>
    </row>
    <row r="307" spans="1:15" s="2463" customFormat="1">
      <c r="A307" s="2462"/>
      <c r="B307" s="2462"/>
      <c r="C307" s="2462"/>
      <c r="D307" s="2462"/>
      <c r="E307" s="2462"/>
      <c r="F307" s="2462"/>
      <c r="G307" s="2462"/>
      <c r="H307" s="2462"/>
      <c r="I307" s="2579"/>
      <c r="J307" s="2579"/>
      <c r="K307" s="2579"/>
      <c r="L307" s="2579"/>
      <c r="M307" s="2579"/>
      <c r="N307" s="2579"/>
      <c r="O307" s="2579"/>
    </row>
    <row r="308" spans="1:15" s="2463" customFormat="1">
      <c r="A308" s="2462"/>
      <c r="B308" s="2462"/>
      <c r="C308" s="2462"/>
      <c r="D308" s="2462"/>
      <c r="E308" s="2462"/>
      <c r="F308" s="2462"/>
      <c r="G308" s="2462"/>
      <c r="H308" s="2462"/>
      <c r="I308" s="2579"/>
      <c r="J308" s="2579"/>
      <c r="K308" s="2579"/>
      <c r="L308" s="2579"/>
      <c r="M308" s="2579"/>
      <c r="N308" s="2579"/>
      <c r="O308" s="2579"/>
    </row>
    <row r="309" spans="1:15" s="2463" customFormat="1">
      <c r="A309" s="2462"/>
      <c r="B309" s="2462"/>
      <c r="C309" s="2462"/>
      <c r="D309" s="2462"/>
      <c r="E309" s="2462"/>
      <c r="F309" s="2462"/>
      <c r="G309" s="2462"/>
      <c r="H309" s="2462"/>
      <c r="I309" s="2579"/>
      <c r="J309" s="2579"/>
      <c r="K309" s="2579"/>
      <c r="L309" s="2579"/>
      <c r="M309" s="2579"/>
      <c r="N309" s="2579"/>
      <c r="O309" s="2579"/>
    </row>
    <row r="310" spans="1:15" s="2463" customFormat="1">
      <c r="A310" s="2462"/>
      <c r="B310" s="2462"/>
      <c r="C310" s="2462"/>
      <c r="D310" s="2462"/>
      <c r="E310" s="2462"/>
      <c r="F310" s="2462"/>
      <c r="G310" s="2462"/>
      <c r="H310" s="2462"/>
      <c r="I310" s="2579"/>
      <c r="J310" s="2579"/>
      <c r="K310" s="2579"/>
      <c r="L310" s="2579"/>
      <c r="M310" s="2579"/>
      <c r="N310" s="2579"/>
      <c r="O310" s="2579"/>
    </row>
    <row r="311" spans="1:15" s="2463" customFormat="1">
      <c r="A311" s="2462"/>
      <c r="B311" s="2462"/>
      <c r="C311" s="2462"/>
      <c r="D311" s="2462"/>
      <c r="E311" s="2462"/>
      <c r="F311" s="2462"/>
      <c r="G311" s="2462"/>
      <c r="H311" s="2462"/>
      <c r="I311" s="2579"/>
      <c r="J311" s="2579"/>
      <c r="K311" s="2579"/>
      <c r="L311" s="2579"/>
      <c r="M311" s="2579"/>
      <c r="N311" s="2579"/>
      <c r="O311" s="2579"/>
    </row>
    <row r="312" spans="1:15" s="2463" customFormat="1">
      <c r="A312" s="2462"/>
      <c r="B312" s="2462"/>
      <c r="C312" s="2462"/>
      <c r="D312" s="2462"/>
      <c r="E312" s="2462"/>
      <c r="F312" s="2462"/>
      <c r="G312" s="2462"/>
      <c r="H312" s="2462"/>
      <c r="I312" s="2579"/>
      <c r="J312" s="2579"/>
      <c r="K312" s="2579"/>
      <c r="L312" s="2579"/>
      <c r="M312" s="2579"/>
      <c r="N312" s="2579"/>
      <c r="O312" s="2579"/>
    </row>
    <row r="313" spans="1:15" s="2463" customFormat="1">
      <c r="A313" s="2462"/>
      <c r="B313" s="2462"/>
      <c r="C313" s="2462"/>
      <c r="D313" s="2462"/>
      <c r="E313" s="2462"/>
      <c r="F313" s="2462"/>
      <c r="G313" s="2462"/>
      <c r="H313" s="2462"/>
      <c r="I313" s="2579"/>
      <c r="J313" s="2579"/>
      <c r="K313" s="2579"/>
      <c r="L313" s="2579"/>
      <c r="M313" s="2579"/>
      <c r="N313" s="2579"/>
      <c r="O313" s="2579"/>
    </row>
    <row r="314" spans="1:15" s="2463" customFormat="1">
      <c r="A314" s="2462"/>
      <c r="B314" s="2462"/>
      <c r="C314" s="2462"/>
      <c r="D314" s="2462"/>
      <c r="E314" s="2462"/>
      <c r="F314" s="2462"/>
      <c r="G314" s="2462"/>
      <c r="H314" s="2462"/>
      <c r="I314" s="2579"/>
      <c r="J314" s="2579"/>
      <c r="K314" s="2579"/>
      <c r="L314" s="2579"/>
      <c r="M314" s="2579"/>
      <c r="N314" s="2579"/>
      <c r="O314" s="2579"/>
    </row>
    <row r="315" spans="1:15" s="2463" customFormat="1">
      <c r="A315" s="2462"/>
      <c r="B315" s="2462"/>
      <c r="C315" s="2462"/>
      <c r="D315" s="2462"/>
      <c r="E315" s="2462"/>
      <c r="F315" s="2462"/>
      <c r="G315" s="2462"/>
      <c r="H315" s="2462"/>
      <c r="I315" s="2579"/>
      <c r="J315" s="2579"/>
      <c r="K315" s="2579"/>
      <c r="L315" s="2579"/>
      <c r="M315" s="2579"/>
      <c r="N315" s="2579"/>
      <c r="O315" s="2579"/>
    </row>
    <row r="316" spans="1:15" s="2463" customFormat="1">
      <c r="A316" s="2462"/>
      <c r="B316" s="2462"/>
      <c r="C316" s="2462"/>
      <c r="D316" s="2462"/>
      <c r="E316" s="2462"/>
      <c r="F316" s="2462"/>
      <c r="G316" s="2462"/>
      <c r="H316" s="2462"/>
      <c r="I316" s="2579"/>
      <c r="J316" s="2579"/>
      <c r="K316" s="2579"/>
      <c r="L316" s="2579"/>
      <c r="M316" s="2579"/>
      <c r="N316" s="2579"/>
      <c r="O316" s="2579"/>
    </row>
    <row r="317" spans="1:15" s="2463" customFormat="1">
      <c r="A317" s="2462"/>
      <c r="B317" s="2462"/>
      <c r="C317" s="2462"/>
      <c r="D317" s="2462"/>
      <c r="E317" s="2462"/>
      <c r="F317" s="2462"/>
      <c r="G317" s="2462"/>
      <c r="H317" s="2462"/>
      <c r="I317" s="2579"/>
      <c r="J317" s="2579"/>
      <c r="K317" s="2579"/>
      <c r="L317" s="2579"/>
      <c r="M317" s="2579"/>
      <c r="N317" s="2579"/>
      <c r="O317" s="2579"/>
    </row>
    <row r="318" spans="1:15" s="2463" customFormat="1">
      <c r="A318" s="2462"/>
      <c r="B318" s="2462"/>
      <c r="C318" s="2462"/>
      <c r="D318" s="2462"/>
      <c r="E318" s="2462"/>
      <c r="F318" s="2462"/>
      <c r="G318" s="2462"/>
      <c r="H318" s="2462"/>
      <c r="I318" s="2579"/>
      <c r="J318" s="2579"/>
      <c r="K318" s="2579"/>
      <c r="L318" s="2579"/>
      <c r="M318" s="2579"/>
      <c r="N318" s="2579"/>
      <c r="O318" s="2579"/>
    </row>
    <row r="319" spans="1:15" s="2463" customFormat="1">
      <c r="A319" s="2462"/>
      <c r="B319" s="2462"/>
      <c r="C319" s="2462"/>
      <c r="D319" s="2462"/>
      <c r="E319" s="2462"/>
      <c r="F319" s="2462"/>
      <c r="G319" s="2462"/>
      <c r="H319" s="2462"/>
      <c r="I319" s="2579"/>
      <c r="J319" s="2579"/>
      <c r="K319" s="2579"/>
      <c r="L319" s="2579"/>
      <c r="M319" s="2579"/>
      <c r="N319" s="2579"/>
      <c r="O319" s="2579"/>
    </row>
    <row r="320" spans="1:15" s="2463" customFormat="1">
      <c r="A320" s="2462"/>
      <c r="B320" s="2462"/>
      <c r="C320" s="2462"/>
      <c r="D320" s="2462"/>
      <c r="E320" s="2462"/>
      <c r="F320" s="2462"/>
      <c r="G320" s="2462"/>
      <c r="H320" s="2462"/>
      <c r="I320" s="2579"/>
      <c r="J320" s="2579"/>
      <c r="K320" s="2579"/>
      <c r="L320" s="2579"/>
      <c r="M320" s="2579"/>
      <c r="N320" s="2579"/>
      <c r="O320" s="2579"/>
    </row>
    <row r="321" spans="1:15" s="2463" customFormat="1">
      <c r="A321" s="2462"/>
      <c r="B321" s="2462"/>
      <c r="C321" s="2462"/>
      <c r="D321" s="2462"/>
      <c r="E321" s="2462"/>
      <c r="F321" s="2462"/>
      <c r="G321" s="2462"/>
      <c r="H321" s="2462"/>
      <c r="I321" s="2579"/>
      <c r="J321" s="2579"/>
      <c r="K321" s="2579"/>
      <c r="L321" s="2579"/>
      <c r="M321" s="2579"/>
      <c r="N321" s="2579"/>
      <c r="O321" s="2579"/>
    </row>
    <row r="322" spans="1:15" s="2463" customFormat="1">
      <c r="A322" s="2462"/>
      <c r="B322" s="2462"/>
      <c r="C322" s="2462"/>
      <c r="D322" s="2462"/>
      <c r="E322" s="2462"/>
      <c r="F322" s="2462"/>
      <c r="G322" s="2462"/>
      <c r="H322" s="2462"/>
      <c r="I322" s="2579"/>
      <c r="J322" s="2579"/>
      <c r="K322" s="2579"/>
      <c r="L322" s="2579"/>
      <c r="M322" s="2579"/>
      <c r="N322" s="2579"/>
      <c r="O322" s="2579"/>
    </row>
    <row r="323" spans="1:15" s="2463" customFormat="1">
      <c r="A323" s="2462"/>
      <c r="B323" s="2462"/>
      <c r="C323" s="2462"/>
      <c r="D323" s="2462"/>
      <c r="E323" s="2462"/>
      <c r="F323" s="2462"/>
      <c r="G323" s="2462"/>
      <c r="H323" s="2462"/>
      <c r="I323" s="2579"/>
      <c r="J323" s="2579"/>
      <c r="K323" s="2579"/>
      <c r="L323" s="2579"/>
      <c r="M323" s="2579"/>
      <c r="N323" s="2579"/>
      <c r="O323" s="2579"/>
    </row>
    <row r="324" spans="1:15" s="2463" customFormat="1">
      <c r="A324" s="2462"/>
      <c r="B324" s="2462"/>
      <c r="C324" s="2462"/>
      <c r="D324" s="2462"/>
      <c r="E324" s="2462"/>
      <c r="F324" s="2462"/>
      <c r="G324" s="2462"/>
      <c r="H324" s="2462"/>
      <c r="I324" s="2579"/>
      <c r="J324" s="2579"/>
      <c r="K324" s="2579"/>
      <c r="L324" s="2579"/>
      <c r="M324" s="2579"/>
      <c r="N324" s="2579"/>
      <c r="O324" s="2579"/>
    </row>
    <row r="325" spans="1:15" s="2463" customFormat="1">
      <c r="A325" s="2462"/>
      <c r="B325" s="2462"/>
      <c r="C325" s="2462"/>
      <c r="D325" s="2462"/>
      <c r="E325" s="2462"/>
      <c r="F325" s="2462"/>
      <c r="G325" s="2462"/>
      <c r="H325" s="2462"/>
      <c r="I325" s="2579"/>
      <c r="J325" s="2579"/>
      <c r="K325" s="2579"/>
      <c r="L325" s="2579"/>
      <c r="M325" s="2579"/>
      <c r="N325" s="2579"/>
      <c r="O325" s="2579"/>
    </row>
    <row r="326" spans="1:15" s="2463" customFormat="1">
      <c r="A326" s="2462"/>
      <c r="B326" s="2462"/>
      <c r="C326" s="2462"/>
      <c r="D326" s="2462"/>
      <c r="E326" s="2462"/>
      <c r="F326" s="2462"/>
      <c r="G326" s="2462"/>
      <c r="H326" s="2462"/>
      <c r="I326" s="2579"/>
      <c r="J326" s="2579"/>
      <c r="K326" s="2579"/>
      <c r="L326" s="2579"/>
      <c r="M326" s="2579"/>
      <c r="N326" s="2579"/>
      <c r="O326" s="2579"/>
    </row>
    <row r="327" spans="1:15" s="2463" customFormat="1">
      <c r="A327" s="2462"/>
      <c r="B327" s="2462"/>
      <c r="C327" s="2462"/>
      <c r="D327" s="2462"/>
      <c r="E327" s="2462"/>
      <c r="F327" s="2462"/>
      <c r="G327" s="2462"/>
      <c r="H327" s="2462"/>
      <c r="I327" s="2579"/>
      <c r="J327" s="2579"/>
      <c r="K327" s="2579"/>
      <c r="L327" s="2579"/>
      <c r="M327" s="2579"/>
      <c r="N327" s="2579"/>
      <c r="O327" s="2579"/>
    </row>
    <row r="328" spans="1:15" s="2463" customFormat="1">
      <c r="A328" s="2462"/>
      <c r="B328" s="2462"/>
      <c r="C328" s="2462"/>
      <c r="D328" s="2462"/>
      <c r="E328" s="2462"/>
      <c r="F328" s="2462"/>
      <c r="G328" s="2462"/>
      <c r="H328" s="2462"/>
      <c r="I328" s="2579"/>
      <c r="J328" s="2579"/>
      <c r="K328" s="2579"/>
      <c r="L328" s="2579"/>
      <c r="M328" s="2579"/>
      <c r="N328" s="2579"/>
      <c r="O328" s="2579"/>
    </row>
    <row r="329" spans="1:15" s="2463" customFormat="1">
      <c r="A329" s="2462"/>
      <c r="B329" s="2462"/>
      <c r="C329" s="2462"/>
      <c r="D329" s="2462"/>
      <c r="E329" s="2462"/>
      <c r="F329" s="2462"/>
      <c r="G329" s="2462"/>
      <c r="H329" s="2462"/>
      <c r="I329" s="2579"/>
      <c r="J329" s="2579"/>
      <c r="K329" s="2579"/>
      <c r="L329" s="2579"/>
      <c r="M329" s="2579"/>
      <c r="N329" s="2579"/>
      <c r="O329" s="2579"/>
    </row>
    <row r="330" spans="1:15" s="2463" customFormat="1">
      <c r="A330" s="2462"/>
      <c r="B330" s="2462"/>
      <c r="C330" s="2462"/>
      <c r="D330" s="2462"/>
      <c r="E330" s="2462"/>
      <c r="F330" s="2462"/>
      <c r="G330" s="2462"/>
      <c r="H330" s="2462"/>
      <c r="I330" s="2579"/>
      <c r="J330" s="2579"/>
      <c r="K330" s="2579"/>
      <c r="L330" s="2579"/>
      <c r="M330" s="2579"/>
      <c r="N330" s="2579"/>
      <c r="O330" s="2579"/>
    </row>
    <row r="331" spans="1:15" s="2463" customFormat="1">
      <c r="A331" s="2462"/>
      <c r="B331" s="2462"/>
      <c r="C331" s="2462"/>
      <c r="D331" s="2462"/>
      <c r="E331" s="2462"/>
      <c r="F331" s="2462"/>
      <c r="G331" s="2462"/>
      <c r="H331" s="2462"/>
      <c r="I331" s="2579"/>
      <c r="J331" s="2579"/>
      <c r="K331" s="2579"/>
      <c r="L331" s="2579"/>
      <c r="M331" s="2579"/>
      <c r="N331" s="2579"/>
      <c r="O331" s="2579"/>
    </row>
    <row r="332" spans="1:15" s="2463" customFormat="1">
      <c r="A332" s="2462"/>
      <c r="B332" s="2462"/>
      <c r="C332" s="2462"/>
      <c r="D332" s="2462"/>
      <c r="E332" s="2462"/>
      <c r="F332" s="2462"/>
      <c r="G332" s="2462"/>
      <c r="H332" s="2462"/>
      <c r="I332" s="2579"/>
      <c r="J332" s="2579"/>
      <c r="K332" s="2579"/>
      <c r="L332" s="2579"/>
      <c r="M332" s="2579"/>
      <c r="N332" s="2579"/>
      <c r="O332" s="2579"/>
    </row>
    <row r="333" spans="1:15" s="2463" customFormat="1">
      <c r="A333" s="2462"/>
      <c r="B333" s="2462"/>
      <c r="C333" s="2462"/>
      <c r="D333" s="2462"/>
      <c r="E333" s="2462"/>
      <c r="F333" s="2462"/>
      <c r="G333" s="2462"/>
      <c r="H333" s="2462"/>
      <c r="I333" s="2579"/>
      <c r="J333" s="2579"/>
      <c r="K333" s="2579"/>
      <c r="L333" s="2579"/>
      <c r="M333" s="2579"/>
      <c r="N333" s="2579"/>
      <c r="O333" s="2579"/>
    </row>
    <row r="338" spans="1:15" s="2463" customFormat="1">
      <c r="A338" s="2462"/>
      <c r="B338" s="2462"/>
      <c r="C338" s="2462"/>
      <c r="D338" s="2462"/>
      <c r="E338" s="2462"/>
      <c r="F338" s="2462"/>
      <c r="G338" s="2462"/>
      <c r="H338" s="2462"/>
      <c r="I338" s="2579"/>
      <c r="J338" s="2579"/>
      <c r="K338" s="2579"/>
      <c r="L338" s="2579"/>
      <c r="M338" s="2579"/>
      <c r="N338" s="2579"/>
      <c r="O338" s="2579"/>
    </row>
    <row r="339" spans="1:15" s="2463" customFormat="1">
      <c r="A339" s="2462"/>
      <c r="B339" s="2462"/>
      <c r="C339" s="2462"/>
      <c r="D339" s="2462"/>
      <c r="E339" s="2462"/>
      <c r="F339" s="2462"/>
      <c r="G339" s="2462"/>
      <c r="H339" s="2462"/>
      <c r="I339" s="2579"/>
      <c r="J339" s="2579"/>
      <c r="K339" s="2579"/>
      <c r="L339" s="2579"/>
      <c r="M339" s="2579"/>
      <c r="N339" s="2579"/>
      <c r="O339" s="2579"/>
    </row>
    <row r="340" spans="1:15" s="2463" customFormat="1">
      <c r="A340" s="2462"/>
      <c r="B340" s="2462"/>
      <c r="C340" s="2462"/>
      <c r="D340" s="2462"/>
      <c r="E340" s="2462"/>
      <c r="F340" s="2462"/>
      <c r="G340" s="2462"/>
      <c r="H340" s="2462"/>
      <c r="I340" s="2579"/>
      <c r="J340" s="2579"/>
      <c r="K340" s="2579"/>
      <c r="L340" s="2579"/>
      <c r="M340" s="2579"/>
      <c r="N340" s="2579"/>
      <c r="O340" s="2579"/>
    </row>
    <row r="341" spans="1:15" s="2463" customFormat="1">
      <c r="A341" s="2462"/>
      <c r="B341" s="2462"/>
      <c r="C341" s="2462"/>
      <c r="D341" s="2462"/>
      <c r="E341" s="2462"/>
      <c r="F341" s="2462"/>
      <c r="G341" s="2462"/>
      <c r="H341" s="2462"/>
      <c r="I341" s="2579"/>
      <c r="J341" s="2579"/>
      <c r="K341" s="2579"/>
      <c r="L341" s="2579"/>
      <c r="M341" s="2579"/>
      <c r="N341" s="2579"/>
      <c r="O341" s="2579"/>
    </row>
    <row r="342" spans="1:15" s="2463" customFormat="1">
      <c r="A342" s="2462"/>
      <c r="B342" s="2462"/>
      <c r="C342" s="2462"/>
      <c r="D342" s="2462"/>
      <c r="E342" s="2462"/>
      <c r="F342" s="2462"/>
      <c r="G342" s="2462"/>
      <c r="H342" s="2462"/>
      <c r="I342" s="2579"/>
      <c r="J342" s="2579"/>
      <c r="K342" s="2579"/>
      <c r="L342" s="2579"/>
      <c r="M342" s="2579"/>
      <c r="N342" s="2579"/>
      <c r="O342" s="2579"/>
    </row>
    <row r="343" spans="1:15" s="2463" customFormat="1">
      <c r="A343" s="2462"/>
      <c r="B343" s="2462"/>
      <c r="C343" s="2462"/>
      <c r="D343" s="2462"/>
      <c r="E343" s="2462"/>
      <c r="F343" s="2462"/>
      <c r="G343" s="2462"/>
      <c r="H343" s="2462"/>
      <c r="I343" s="2579"/>
      <c r="J343" s="2579"/>
      <c r="K343" s="2579"/>
      <c r="L343" s="2579"/>
      <c r="M343" s="2579"/>
      <c r="N343" s="2579"/>
      <c r="O343" s="2579"/>
    </row>
    <row r="344" spans="1:15" s="2463" customFormat="1">
      <c r="A344" s="2462"/>
      <c r="B344" s="2462"/>
      <c r="C344" s="2462"/>
      <c r="D344" s="2462"/>
      <c r="E344" s="2462"/>
      <c r="F344" s="2462"/>
      <c r="G344" s="2462"/>
      <c r="H344" s="2462"/>
      <c r="I344" s="2579"/>
      <c r="J344" s="2579"/>
      <c r="K344" s="2579"/>
      <c r="L344" s="2579"/>
      <c r="M344" s="2579"/>
      <c r="N344" s="2579"/>
      <c r="O344" s="2579"/>
    </row>
    <row r="345" spans="1:15" s="2463" customFormat="1">
      <c r="A345" s="2462"/>
      <c r="B345" s="2462"/>
      <c r="C345" s="2462"/>
      <c r="D345" s="2462"/>
      <c r="E345" s="2462"/>
      <c r="F345" s="2462"/>
      <c r="G345" s="2462"/>
      <c r="H345" s="2462"/>
      <c r="I345" s="2579"/>
      <c r="J345" s="2579"/>
      <c r="K345" s="2579"/>
      <c r="L345" s="2579"/>
      <c r="M345" s="2579"/>
      <c r="N345" s="2579"/>
      <c r="O345" s="2579"/>
    </row>
    <row r="346" spans="1:15" s="2463" customFormat="1">
      <c r="A346" s="2462"/>
      <c r="B346" s="2462"/>
      <c r="C346" s="2462"/>
      <c r="D346" s="2462"/>
      <c r="E346" s="2462"/>
      <c r="F346" s="2462"/>
      <c r="G346" s="2462"/>
      <c r="H346" s="2462"/>
      <c r="I346" s="2579"/>
      <c r="J346" s="2579"/>
      <c r="K346" s="2579"/>
      <c r="L346" s="2579"/>
      <c r="M346" s="2579"/>
      <c r="N346" s="2579"/>
      <c r="O346" s="2579"/>
    </row>
    <row r="347" spans="1:15" s="2463" customFormat="1">
      <c r="A347" s="2462"/>
      <c r="B347" s="2462"/>
      <c r="C347" s="2462"/>
      <c r="D347" s="2462"/>
      <c r="E347" s="2462"/>
      <c r="F347" s="2462"/>
      <c r="G347" s="2462"/>
      <c r="H347" s="2462"/>
      <c r="I347" s="2579"/>
      <c r="J347" s="2579"/>
      <c r="K347" s="2579"/>
      <c r="L347" s="2579"/>
      <c r="M347" s="2579"/>
      <c r="N347" s="2579"/>
      <c r="O347" s="2579"/>
    </row>
    <row r="348" spans="1:15" s="2463" customFormat="1">
      <c r="A348" s="2462"/>
      <c r="B348" s="2462"/>
      <c r="C348" s="2462"/>
      <c r="D348" s="2462"/>
      <c r="E348" s="2462"/>
      <c r="F348" s="2462"/>
      <c r="G348" s="2462"/>
      <c r="H348" s="2462"/>
      <c r="I348" s="2579"/>
      <c r="J348" s="2579"/>
      <c r="K348" s="2579"/>
      <c r="L348" s="2579"/>
      <c r="M348" s="2579"/>
      <c r="N348" s="2579"/>
      <c r="O348" s="2579"/>
    </row>
    <row r="349" spans="1:15" s="2463" customFormat="1">
      <c r="A349" s="2462"/>
      <c r="B349" s="2462"/>
      <c r="C349" s="2462"/>
      <c r="D349" s="2462"/>
      <c r="E349" s="2462"/>
      <c r="F349" s="2462"/>
      <c r="G349" s="2462"/>
      <c r="H349" s="2462"/>
      <c r="I349" s="2579"/>
      <c r="J349" s="2579"/>
      <c r="K349" s="2579"/>
      <c r="L349" s="2579"/>
      <c r="M349" s="2579"/>
      <c r="N349" s="2579"/>
      <c r="O349" s="2579"/>
    </row>
    <row r="350" spans="1:15" s="2463" customFormat="1">
      <c r="A350" s="2462"/>
      <c r="B350" s="2462"/>
      <c r="C350" s="2462"/>
      <c r="D350" s="2462"/>
      <c r="E350" s="2462"/>
      <c r="F350" s="2462"/>
      <c r="G350" s="2462"/>
      <c r="H350" s="2462"/>
      <c r="I350" s="2579"/>
      <c r="J350" s="2579"/>
      <c r="K350" s="2579"/>
      <c r="L350" s="2579"/>
      <c r="M350" s="2579"/>
      <c r="N350" s="2579"/>
      <c r="O350" s="2579"/>
    </row>
    <row r="351" spans="1:15" s="2463" customFormat="1">
      <c r="A351" s="2462"/>
      <c r="B351" s="2462"/>
      <c r="C351" s="2462"/>
      <c r="D351" s="2462"/>
      <c r="E351" s="2462"/>
      <c r="F351" s="2462"/>
      <c r="G351" s="2462"/>
      <c r="H351" s="2462"/>
      <c r="I351" s="2579"/>
      <c r="J351" s="2579"/>
      <c r="K351" s="2579"/>
      <c r="L351" s="2579"/>
      <c r="M351" s="2579"/>
      <c r="N351" s="2579"/>
      <c r="O351" s="2579"/>
    </row>
    <row r="352" spans="1:15" s="2463" customFormat="1">
      <c r="A352" s="2462"/>
      <c r="B352" s="2462"/>
      <c r="C352" s="2462"/>
      <c r="D352" s="2462"/>
      <c r="E352" s="2462"/>
      <c r="F352" s="2462"/>
      <c r="G352" s="2462"/>
      <c r="H352" s="2462"/>
      <c r="I352" s="2579"/>
      <c r="J352" s="2579"/>
      <c r="K352" s="2579"/>
      <c r="L352" s="2579"/>
      <c r="M352" s="2579"/>
      <c r="N352" s="2579"/>
      <c r="O352" s="2579"/>
    </row>
    <row r="353" spans="1:15" s="2463" customFormat="1">
      <c r="A353" s="2462"/>
      <c r="B353" s="2462"/>
      <c r="C353" s="2462"/>
      <c r="D353" s="2462"/>
      <c r="E353" s="2462"/>
      <c r="F353" s="2462"/>
      <c r="G353" s="2462"/>
      <c r="H353" s="2462"/>
      <c r="I353" s="2579"/>
      <c r="J353" s="2579"/>
      <c r="K353" s="2579"/>
      <c r="L353" s="2579"/>
      <c r="M353" s="2579"/>
      <c r="N353" s="2579"/>
      <c r="O353" s="2579"/>
    </row>
    <row r="354" spans="1:15" s="2463" customFormat="1">
      <c r="A354" s="2462"/>
      <c r="B354" s="2462"/>
      <c r="C354" s="2462"/>
      <c r="D354" s="2462"/>
      <c r="E354" s="2462"/>
      <c r="F354" s="2462"/>
      <c r="G354" s="2462"/>
      <c r="H354" s="2462"/>
      <c r="I354" s="2579"/>
      <c r="J354" s="2579"/>
      <c r="K354" s="2579"/>
      <c r="L354" s="2579"/>
      <c r="M354" s="2579"/>
      <c r="N354" s="2579"/>
      <c r="O354" s="2579"/>
    </row>
    <row r="355" spans="1:15" s="2463" customFormat="1">
      <c r="A355" s="2462"/>
      <c r="B355" s="2462"/>
      <c r="C355" s="2462"/>
      <c r="D355" s="2462"/>
      <c r="E355" s="2462"/>
      <c r="F355" s="2462"/>
      <c r="G355" s="2462"/>
      <c r="H355" s="2462"/>
      <c r="I355" s="2579"/>
      <c r="J355" s="2579"/>
      <c r="K355" s="2579"/>
      <c r="L355" s="2579"/>
      <c r="M355" s="2579"/>
      <c r="N355" s="2579"/>
      <c r="O355" s="2579"/>
    </row>
    <row r="356" spans="1:15" s="2463" customFormat="1">
      <c r="A356" s="2462"/>
      <c r="B356" s="2462"/>
      <c r="C356" s="2462"/>
      <c r="D356" s="2462"/>
      <c r="E356" s="2462"/>
      <c r="F356" s="2462"/>
      <c r="G356" s="2462"/>
      <c r="H356" s="2462"/>
      <c r="I356" s="2579"/>
      <c r="J356" s="2579"/>
      <c r="K356" s="2579"/>
      <c r="L356" s="2579"/>
      <c r="M356" s="2579"/>
      <c r="N356" s="2579"/>
      <c r="O356" s="2579"/>
    </row>
    <row r="357" spans="1:15" s="2463" customFormat="1">
      <c r="A357" s="2462"/>
      <c r="B357" s="2462"/>
      <c r="C357" s="2462"/>
      <c r="D357" s="2462"/>
      <c r="E357" s="2462"/>
      <c r="F357" s="2462"/>
      <c r="G357" s="2462"/>
      <c r="H357" s="2462"/>
      <c r="I357" s="2579"/>
      <c r="J357" s="2579"/>
      <c r="K357" s="2579"/>
      <c r="L357" s="2579"/>
      <c r="M357" s="2579"/>
      <c r="N357" s="2579"/>
      <c r="O357" s="2579"/>
    </row>
    <row r="358" spans="1:15" s="2463" customFormat="1">
      <c r="A358" s="2462"/>
      <c r="B358" s="2462"/>
      <c r="C358" s="2462"/>
      <c r="D358" s="2462"/>
      <c r="E358" s="2462"/>
      <c r="F358" s="2462"/>
      <c r="G358" s="2462"/>
      <c r="H358" s="2462"/>
      <c r="I358" s="2579"/>
      <c r="J358" s="2579"/>
      <c r="K358" s="2579"/>
      <c r="L358" s="2579"/>
      <c r="M358" s="2579"/>
      <c r="N358" s="2579"/>
      <c r="O358" s="2579"/>
    </row>
    <row r="359" spans="1:15" s="2463" customFormat="1">
      <c r="A359" s="2462"/>
      <c r="B359" s="2462"/>
      <c r="C359" s="2462"/>
      <c r="D359" s="2462"/>
      <c r="E359" s="2462"/>
      <c r="F359" s="2462"/>
      <c r="G359" s="2462"/>
      <c r="H359" s="2462"/>
      <c r="I359" s="2579"/>
      <c r="J359" s="2579"/>
      <c r="K359" s="2579"/>
      <c r="L359" s="2579"/>
      <c r="M359" s="2579"/>
      <c r="N359" s="2579"/>
      <c r="O359" s="2579"/>
    </row>
    <row r="360" spans="1:15" s="2463" customFormat="1">
      <c r="A360" s="2462"/>
      <c r="B360" s="2462"/>
      <c r="C360" s="2462"/>
      <c r="D360" s="2462"/>
      <c r="E360" s="2462"/>
      <c r="F360" s="2462"/>
      <c r="G360" s="2462"/>
      <c r="H360" s="2462"/>
      <c r="I360" s="2579"/>
      <c r="J360" s="2579"/>
      <c r="K360" s="2579"/>
      <c r="L360" s="2579"/>
      <c r="M360" s="2579"/>
      <c r="N360" s="2579"/>
      <c r="O360" s="2579"/>
    </row>
    <row r="361" spans="1:15" s="2463" customFormat="1">
      <c r="A361" s="2462"/>
      <c r="B361" s="2462"/>
      <c r="C361" s="2462"/>
      <c r="D361" s="2462"/>
      <c r="E361" s="2462"/>
      <c r="F361" s="2462"/>
      <c r="G361" s="2462"/>
      <c r="H361" s="2462"/>
      <c r="I361" s="2579"/>
      <c r="J361" s="2579"/>
      <c r="K361" s="2579"/>
      <c r="L361" s="2579"/>
      <c r="M361" s="2579"/>
      <c r="N361" s="2579"/>
      <c r="O361" s="2579"/>
    </row>
    <row r="362" spans="1:15" s="2463" customFormat="1">
      <c r="A362" s="2462"/>
      <c r="B362" s="2462"/>
      <c r="C362" s="2462"/>
      <c r="D362" s="2462"/>
      <c r="E362" s="2462"/>
      <c r="F362" s="2462"/>
      <c r="G362" s="2462"/>
      <c r="H362" s="2462"/>
      <c r="I362" s="2579"/>
      <c r="J362" s="2579"/>
      <c r="K362" s="2579"/>
      <c r="L362" s="2579"/>
      <c r="M362" s="2579"/>
      <c r="N362" s="2579"/>
      <c r="O362" s="2579"/>
    </row>
    <row r="363" spans="1:15" s="2463" customFormat="1">
      <c r="A363" s="2462"/>
      <c r="B363" s="2462"/>
      <c r="C363" s="2462"/>
      <c r="D363" s="2462"/>
      <c r="E363" s="2462"/>
      <c r="F363" s="2462"/>
      <c r="G363" s="2462"/>
      <c r="H363" s="2462"/>
      <c r="I363" s="2579"/>
      <c r="J363" s="2579"/>
      <c r="K363" s="2579"/>
      <c r="L363" s="2579"/>
      <c r="M363" s="2579"/>
      <c r="N363" s="2579"/>
      <c r="O363" s="2579"/>
    </row>
    <row r="364" spans="1:15" s="2463" customFormat="1">
      <c r="A364" s="2462"/>
      <c r="B364" s="2462"/>
      <c r="C364" s="2462"/>
      <c r="D364" s="2462"/>
      <c r="E364" s="2462"/>
      <c r="F364" s="2462"/>
      <c r="G364" s="2462"/>
      <c r="H364" s="2462"/>
      <c r="I364" s="2579"/>
      <c r="J364" s="2579"/>
      <c r="K364" s="2579"/>
      <c r="L364" s="2579"/>
      <c r="M364" s="2579"/>
      <c r="N364" s="2579"/>
      <c r="O364" s="2579"/>
    </row>
    <row r="365" spans="1:15" s="2463" customFormat="1">
      <c r="A365" s="2462"/>
      <c r="B365" s="2462"/>
      <c r="C365" s="2462"/>
      <c r="D365" s="2462"/>
      <c r="E365" s="2462"/>
      <c r="F365" s="2462"/>
      <c r="G365" s="2462"/>
      <c r="H365" s="2462"/>
      <c r="I365" s="2579"/>
      <c r="J365" s="2579"/>
      <c r="K365" s="2579"/>
      <c r="L365" s="2579"/>
      <c r="M365" s="2579"/>
      <c r="N365" s="2579"/>
      <c r="O365" s="2579"/>
    </row>
    <row r="366" spans="1:15" s="2463" customFormat="1">
      <c r="A366" s="2462"/>
      <c r="B366" s="2462"/>
      <c r="C366" s="2462"/>
      <c r="D366" s="2462"/>
      <c r="E366" s="2462"/>
      <c r="F366" s="2462"/>
      <c r="G366" s="2462"/>
      <c r="H366" s="2462"/>
      <c r="I366" s="2579"/>
      <c r="J366" s="2579"/>
      <c r="K366" s="2579"/>
      <c r="L366" s="2579"/>
      <c r="M366" s="2579"/>
      <c r="N366" s="2579"/>
      <c r="O366" s="2579"/>
    </row>
    <row r="367" spans="1:15" s="2463" customFormat="1">
      <c r="A367" s="2462"/>
      <c r="B367" s="2462"/>
      <c r="C367" s="2462"/>
      <c r="D367" s="2462"/>
      <c r="E367" s="2462"/>
      <c r="F367" s="2462"/>
      <c r="G367" s="2462"/>
      <c r="H367" s="2462"/>
      <c r="I367" s="2579"/>
      <c r="J367" s="2579"/>
      <c r="K367" s="2579"/>
      <c r="L367" s="2579"/>
      <c r="M367" s="2579"/>
      <c r="N367" s="2579"/>
      <c r="O367" s="2579"/>
    </row>
    <row r="368" spans="1:15" s="2463" customFormat="1">
      <c r="A368" s="2462"/>
      <c r="B368" s="2462"/>
      <c r="C368" s="2462"/>
      <c r="D368" s="2462"/>
      <c r="E368" s="2462"/>
      <c r="F368" s="2462"/>
      <c r="G368" s="2462"/>
      <c r="H368" s="2462"/>
      <c r="I368" s="2579"/>
      <c r="J368" s="2579"/>
      <c r="K368" s="2579"/>
      <c r="L368" s="2579"/>
      <c r="M368" s="2579"/>
      <c r="N368" s="2579"/>
      <c r="O368" s="2579"/>
    </row>
    <row r="369" spans="1:15" s="2463" customFormat="1">
      <c r="A369" s="2462"/>
      <c r="B369" s="2462"/>
      <c r="C369" s="2462"/>
      <c r="D369" s="2462"/>
      <c r="E369" s="2462"/>
      <c r="F369" s="2462"/>
      <c r="G369" s="2462"/>
      <c r="H369" s="2462"/>
      <c r="I369" s="2579"/>
      <c r="J369" s="2579"/>
      <c r="K369" s="2579"/>
      <c r="L369" s="2579"/>
      <c r="M369" s="2579"/>
      <c r="N369" s="2579"/>
      <c r="O369" s="2579"/>
    </row>
    <row r="370" spans="1:15" s="2463" customFormat="1">
      <c r="A370" s="2462"/>
      <c r="B370" s="2462"/>
      <c r="C370" s="2462"/>
      <c r="D370" s="2462"/>
      <c r="E370" s="2462"/>
      <c r="F370" s="2462"/>
      <c r="G370" s="2462"/>
      <c r="H370" s="2462"/>
      <c r="I370" s="2579"/>
      <c r="J370" s="2579"/>
      <c r="K370" s="2579"/>
      <c r="L370" s="2579"/>
      <c r="M370" s="2579"/>
      <c r="N370" s="2579"/>
      <c r="O370" s="2579"/>
    </row>
    <row r="371" spans="1:15" s="2463" customFormat="1">
      <c r="A371" s="2462"/>
      <c r="B371" s="2462"/>
      <c r="C371" s="2462"/>
      <c r="D371" s="2462"/>
      <c r="E371" s="2462"/>
      <c r="F371" s="2462"/>
      <c r="G371" s="2462"/>
      <c r="H371" s="2462"/>
      <c r="I371" s="2579"/>
      <c r="J371" s="2579"/>
      <c r="K371" s="2579"/>
      <c r="L371" s="2579"/>
      <c r="M371" s="2579"/>
      <c r="N371" s="2579"/>
      <c r="O371" s="2579"/>
    </row>
    <row r="372" spans="1:15" s="2463" customFormat="1">
      <c r="A372" s="2462"/>
      <c r="B372" s="2462"/>
      <c r="C372" s="2462"/>
      <c r="D372" s="2462"/>
      <c r="E372" s="2462"/>
      <c r="F372" s="2462"/>
      <c r="G372" s="2462"/>
      <c r="H372" s="2462"/>
      <c r="I372" s="2579"/>
      <c r="J372" s="2579"/>
      <c r="K372" s="2579"/>
      <c r="L372" s="2579"/>
      <c r="M372" s="2579"/>
      <c r="N372" s="2579"/>
      <c r="O372" s="2579"/>
    </row>
    <row r="373" spans="1:15" s="2463" customFormat="1">
      <c r="A373" s="2462"/>
      <c r="B373" s="2462"/>
      <c r="C373" s="2462"/>
      <c r="D373" s="2462"/>
      <c r="E373" s="2462"/>
      <c r="F373" s="2462"/>
      <c r="G373" s="2462"/>
      <c r="H373" s="2462"/>
      <c r="I373" s="2579"/>
      <c r="J373" s="2579"/>
      <c r="K373" s="2579"/>
      <c r="L373" s="2579"/>
      <c r="M373" s="2579"/>
      <c r="N373" s="2579"/>
      <c r="O373" s="2579"/>
    </row>
    <row r="374" spans="1:15" s="2463" customFormat="1">
      <c r="A374" s="2462"/>
      <c r="B374" s="2462"/>
      <c r="C374" s="2462"/>
      <c r="D374" s="2462"/>
      <c r="E374" s="2462"/>
      <c r="F374" s="2462"/>
      <c r="G374" s="2462"/>
      <c r="H374" s="2462"/>
      <c r="I374" s="2579"/>
      <c r="J374" s="2579"/>
      <c r="K374" s="2579"/>
      <c r="L374" s="2579"/>
      <c r="M374" s="2579"/>
      <c r="N374" s="2579"/>
      <c r="O374" s="2579"/>
    </row>
    <row r="379" spans="1:15" s="2463" customFormat="1">
      <c r="A379" s="2462"/>
      <c r="B379" s="2462"/>
      <c r="C379" s="2462"/>
      <c r="D379" s="2462"/>
      <c r="E379" s="2462"/>
      <c r="F379" s="2462"/>
      <c r="G379" s="2462"/>
      <c r="H379" s="2462"/>
      <c r="I379" s="2579"/>
      <c r="J379" s="2579"/>
      <c r="K379" s="2579"/>
      <c r="L379" s="2579"/>
      <c r="M379" s="2579"/>
      <c r="N379" s="2579"/>
      <c r="O379" s="2579"/>
    </row>
    <row r="380" spans="1:15" s="2463" customFormat="1">
      <c r="A380" s="2462"/>
      <c r="B380" s="2462"/>
      <c r="C380" s="2462"/>
      <c r="D380" s="2462"/>
      <c r="E380" s="2462"/>
      <c r="F380" s="2462"/>
      <c r="G380" s="2462"/>
      <c r="H380" s="2462"/>
      <c r="I380" s="2579"/>
      <c r="J380" s="2579"/>
      <c r="K380" s="2579"/>
      <c r="L380" s="2579"/>
      <c r="M380" s="2579"/>
      <c r="N380" s="2579"/>
      <c r="O380" s="2579"/>
    </row>
    <row r="381" spans="1:15" s="2463" customFormat="1">
      <c r="A381" s="2462"/>
      <c r="B381" s="2462"/>
      <c r="C381" s="2462"/>
      <c r="D381" s="2462"/>
      <c r="E381" s="2462"/>
      <c r="F381" s="2462"/>
      <c r="G381" s="2462"/>
      <c r="H381" s="2462"/>
      <c r="I381" s="2579"/>
      <c r="J381" s="2579"/>
      <c r="K381" s="2579"/>
      <c r="L381" s="2579"/>
      <c r="M381" s="2579"/>
      <c r="N381" s="2579"/>
      <c r="O381" s="2579"/>
    </row>
    <row r="382" spans="1:15" s="2463" customFormat="1">
      <c r="A382" s="2462"/>
      <c r="B382" s="2462"/>
      <c r="C382" s="2462"/>
      <c r="D382" s="2462"/>
      <c r="E382" s="2462"/>
      <c r="F382" s="2462"/>
      <c r="G382" s="2462"/>
      <c r="H382" s="2462"/>
      <c r="I382" s="2579"/>
      <c r="J382" s="2579"/>
      <c r="K382" s="2579"/>
      <c r="L382" s="2579"/>
      <c r="M382" s="2579"/>
      <c r="N382" s="2579"/>
      <c r="O382" s="2579"/>
    </row>
    <row r="383" spans="1:15" s="2463" customFormat="1">
      <c r="A383" s="2462"/>
      <c r="B383" s="2462"/>
      <c r="C383" s="2462"/>
      <c r="D383" s="2462"/>
      <c r="E383" s="2462"/>
      <c r="F383" s="2462"/>
      <c r="G383" s="2462"/>
      <c r="H383" s="2462"/>
      <c r="I383" s="2579"/>
      <c r="J383" s="2579"/>
      <c r="K383" s="2579"/>
      <c r="L383" s="2579"/>
      <c r="M383" s="2579"/>
      <c r="N383" s="2579"/>
      <c r="O383" s="2579"/>
    </row>
    <row r="384" spans="1:15" s="2463" customFormat="1">
      <c r="A384" s="2462"/>
      <c r="B384" s="2462"/>
      <c r="C384" s="2462"/>
      <c r="D384" s="2462"/>
      <c r="E384" s="2462"/>
      <c r="F384" s="2462"/>
      <c r="G384" s="2462"/>
      <c r="H384" s="2462"/>
      <c r="I384" s="2579"/>
      <c r="J384" s="2579"/>
      <c r="K384" s="2579"/>
      <c r="L384" s="2579"/>
      <c r="M384" s="2579"/>
      <c r="N384" s="2579"/>
      <c r="O384" s="2579"/>
    </row>
    <row r="385" spans="1:15" s="2463" customFormat="1">
      <c r="A385" s="2462"/>
      <c r="B385" s="2462"/>
      <c r="C385" s="2462"/>
      <c r="D385" s="2462"/>
      <c r="E385" s="2462"/>
      <c r="F385" s="2462"/>
      <c r="G385" s="2462"/>
      <c r="H385" s="2462"/>
      <c r="I385" s="2579"/>
      <c r="J385" s="2579"/>
      <c r="K385" s="2579"/>
      <c r="L385" s="2579"/>
      <c r="M385" s="2579"/>
      <c r="N385" s="2579"/>
      <c r="O385" s="2579"/>
    </row>
    <row r="386" spans="1:15" s="2463" customFormat="1">
      <c r="A386" s="2462"/>
      <c r="B386" s="2462"/>
      <c r="C386" s="2462"/>
      <c r="D386" s="2462"/>
      <c r="E386" s="2462"/>
      <c r="F386" s="2462"/>
      <c r="G386" s="2462"/>
      <c r="H386" s="2462"/>
      <c r="I386" s="2579"/>
      <c r="J386" s="2579"/>
      <c r="K386" s="2579"/>
      <c r="L386" s="2579"/>
      <c r="M386" s="2579"/>
      <c r="N386" s="2579"/>
      <c r="O386" s="2579"/>
    </row>
    <row r="387" spans="1:15" s="2463" customFormat="1">
      <c r="A387" s="2462"/>
      <c r="B387" s="2462"/>
      <c r="C387" s="2462"/>
      <c r="D387" s="2462"/>
      <c r="E387" s="2462"/>
      <c r="F387" s="2462"/>
      <c r="G387" s="2462"/>
      <c r="H387" s="2462"/>
      <c r="I387" s="2579"/>
      <c r="J387" s="2579"/>
      <c r="K387" s="2579"/>
      <c r="L387" s="2579"/>
      <c r="M387" s="2579"/>
      <c r="N387" s="2579"/>
      <c r="O387" s="2579"/>
    </row>
    <row r="388" spans="1:15" s="2463" customFormat="1">
      <c r="A388" s="2462"/>
      <c r="B388" s="2462"/>
      <c r="C388" s="2462"/>
      <c r="D388" s="2462"/>
      <c r="E388" s="2462"/>
      <c r="F388" s="2462"/>
      <c r="G388" s="2462"/>
      <c r="H388" s="2462"/>
      <c r="I388" s="2579"/>
      <c r="J388" s="2579"/>
      <c r="K388" s="2579"/>
      <c r="L388" s="2579"/>
      <c r="M388" s="2579"/>
      <c r="N388" s="2579"/>
      <c r="O388" s="2579"/>
    </row>
    <row r="389" spans="1:15" s="2463" customFormat="1">
      <c r="A389" s="2462"/>
      <c r="B389" s="2462"/>
      <c r="C389" s="2462"/>
      <c r="D389" s="2462"/>
      <c r="E389" s="2462"/>
      <c r="F389" s="2462"/>
      <c r="G389" s="2462"/>
      <c r="H389" s="2462"/>
      <c r="I389" s="2579"/>
      <c r="J389" s="2579"/>
      <c r="K389" s="2579"/>
      <c r="L389" s="2579"/>
      <c r="M389" s="2579"/>
      <c r="N389" s="2579"/>
      <c r="O389" s="2579"/>
    </row>
    <row r="390" spans="1:15" s="2463" customFormat="1">
      <c r="A390" s="2462"/>
      <c r="B390" s="2462"/>
      <c r="C390" s="2462"/>
      <c r="D390" s="2462"/>
      <c r="E390" s="2462"/>
      <c r="F390" s="2462"/>
      <c r="G390" s="2462"/>
      <c r="H390" s="2462"/>
      <c r="I390" s="2579"/>
      <c r="J390" s="2579"/>
      <c r="K390" s="2579"/>
      <c r="L390" s="2579"/>
      <c r="M390" s="2579"/>
      <c r="N390" s="2579"/>
      <c r="O390" s="2579"/>
    </row>
    <row r="391" spans="1:15" s="2463" customFormat="1">
      <c r="A391" s="2462"/>
      <c r="B391" s="2462"/>
      <c r="C391" s="2462"/>
      <c r="D391" s="2462"/>
      <c r="E391" s="2462"/>
      <c r="F391" s="2462"/>
      <c r="G391" s="2462"/>
      <c r="H391" s="2462"/>
      <c r="I391" s="2579"/>
      <c r="J391" s="2579"/>
      <c r="K391" s="2579"/>
      <c r="L391" s="2579"/>
      <c r="M391" s="2579"/>
      <c r="N391" s="2579"/>
      <c r="O391" s="2579"/>
    </row>
    <row r="392" spans="1:15" s="2463" customFormat="1">
      <c r="A392" s="2462"/>
      <c r="B392" s="2462"/>
      <c r="C392" s="2462"/>
      <c r="D392" s="2462"/>
      <c r="E392" s="2462"/>
      <c r="F392" s="2462"/>
      <c r="G392" s="2462"/>
      <c r="H392" s="2462"/>
      <c r="I392" s="2579"/>
      <c r="J392" s="2579"/>
      <c r="K392" s="2579"/>
      <c r="L392" s="2579"/>
      <c r="M392" s="2579"/>
      <c r="N392" s="2579"/>
      <c r="O392" s="2579"/>
    </row>
    <row r="393" spans="1:15" s="2463" customFormat="1">
      <c r="A393" s="2462"/>
      <c r="B393" s="2462"/>
      <c r="C393" s="2462"/>
      <c r="D393" s="2462"/>
      <c r="E393" s="2462"/>
      <c r="F393" s="2462"/>
      <c r="G393" s="2462"/>
      <c r="H393" s="2462"/>
      <c r="I393" s="2579"/>
      <c r="J393" s="2579"/>
      <c r="K393" s="2579"/>
      <c r="L393" s="2579"/>
      <c r="M393" s="2579"/>
      <c r="N393" s="2579"/>
      <c r="O393" s="2579"/>
    </row>
    <row r="394" spans="1:15" s="2463" customFormat="1">
      <c r="A394" s="2462"/>
      <c r="B394" s="2462"/>
      <c r="C394" s="2462"/>
      <c r="D394" s="2462"/>
      <c r="E394" s="2462"/>
      <c r="F394" s="2462"/>
      <c r="G394" s="2462"/>
      <c r="H394" s="2462"/>
      <c r="I394" s="2579"/>
      <c r="J394" s="2579"/>
      <c r="K394" s="2579"/>
      <c r="L394" s="2579"/>
      <c r="M394" s="2579"/>
      <c r="N394" s="2579"/>
      <c r="O394" s="2579"/>
    </row>
    <row r="395" spans="1:15" s="2463" customFormat="1">
      <c r="A395" s="2462"/>
      <c r="B395" s="2462"/>
      <c r="C395" s="2462"/>
      <c r="D395" s="2462"/>
      <c r="E395" s="2462"/>
      <c r="F395" s="2462"/>
      <c r="G395" s="2462"/>
      <c r="H395" s="2462"/>
      <c r="I395" s="2579"/>
      <c r="J395" s="2579"/>
      <c r="K395" s="2579"/>
      <c r="L395" s="2579"/>
      <c r="M395" s="2579"/>
      <c r="N395" s="2579"/>
      <c r="O395" s="2579"/>
    </row>
    <row r="396" spans="1:15" s="2463" customFormat="1">
      <c r="A396" s="2462"/>
      <c r="B396" s="2462"/>
      <c r="C396" s="2462"/>
      <c r="D396" s="2462"/>
      <c r="E396" s="2462"/>
      <c r="F396" s="2462"/>
      <c r="G396" s="2462"/>
      <c r="H396" s="2462"/>
      <c r="I396" s="2579"/>
      <c r="J396" s="2579"/>
      <c r="K396" s="2579"/>
      <c r="L396" s="2579"/>
      <c r="M396" s="2579"/>
      <c r="N396" s="2579"/>
      <c r="O396" s="2579"/>
    </row>
    <row r="397" spans="1:15" s="2463" customFormat="1">
      <c r="A397" s="2462"/>
      <c r="B397" s="2462"/>
      <c r="C397" s="2462"/>
      <c r="D397" s="2462"/>
      <c r="E397" s="2462"/>
      <c r="F397" s="2462"/>
      <c r="G397" s="2462"/>
      <c r="H397" s="2462"/>
      <c r="I397" s="2579"/>
      <c r="J397" s="2579"/>
      <c r="K397" s="2579"/>
      <c r="L397" s="2579"/>
      <c r="M397" s="2579"/>
      <c r="N397" s="2579"/>
      <c r="O397" s="2579"/>
    </row>
    <row r="398" spans="1:15" s="2463" customFormat="1">
      <c r="A398" s="2462"/>
      <c r="B398" s="2462"/>
      <c r="C398" s="2462"/>
      <c r="D398" s="2462"/>
      <c r="E398" s="2462"/>
      <c r="F398" s="2462"/>
      <c r="G398" s="2462"/>
      <c r="H398" s="2462"/>
      <c r="I398" s="2579"/>
      <c r="J398" s="2579"/>
      <c r="K398" s="2579"/>
      <c r="L398" s="2579"/>
      <c r="M398" s="2579"/>
      <c r="N398" s="2579"/>
      <c r="O398" s="2579"/>
    </row>
    <row r="399" spans="1:15" s="2463" customFormat="1">
      <c r="A399" s="2462"/>
      <c r="B399" s="2462"/>
      <c r="C399" s="2462"/>
      <c r="D399" s="2462"/>
      <c r="E399" s="2462"/>
      <c r="F399" s="2462"/>
      <c r="G399" s="2462"/>
      <c r="H399" s="2462"/>
      <c r="I399" s="2579"/>
      <c r="J399" s="2579"/>
      <c r="K399" s="2579"/>
      <c r="L399" s="2579"/>
      <c r="M399" s="2579"/>
      <c r="N399" s="2579"/>
      <c r="O399" s="2579"/>
    </row>
    <row r="400" spans="1:15" s="2463" customFormat="1">
      <c r="A400" s="2462"/>
      <c r="B400" s="2462"/>
      <c r="C400" s="2462"/>
      <c r="D400" s="2462"/>
      <c r="E400" s="2462"/>
      <c r="F400" s="2462"/>
      <c r="G400" s="2462"/>
      <c r="H400" s="2462"/>
      <c r="I400" s="2579"/>
      <c r="J400" s="2579"/>
      <c r="K400" s="2579"/>
      <c r="L400" s="2579"/>
      <c r="M400" s="2579"/>
      <c r="N400" s="2579"/>
      <c r="O400" s="2579"/>
    </row>
    <row r="401" spans="1:15" s="2463" customFormat="1">
      <c r="A401" s="2462"/>
      <c r="B401" s="2462"/>
      <c r="C401" s="2462"/>
      <c r="D401" s="2462"/>
      <c r="E401" s="2462"/>
      <c r="F401" s="2462"/>
      <c r="G401" s="2462"/>
      <c r="H401" s="2462"/>
      <c r="I401" s="2579"/>
      <c r="J401" s="2579"/>
      <c r="K401" s="2579"/>
      <c r="L401" s="2579"/>
      <c r="M401" s="2579"/>
      <c r="N401" s="2579"/>
      <c r="O401" s="2579"/>
    </row>
    <row r="402" spans="1:15" s="2463" customFormat="1">
      <c r="A402" s="2462"/>
      <c r="B402" s="2462"/>
      <c r="C402" s="2462"/>
      <c r="D402" s="2462"/>
      <c r="E402" s="2462"/>
      <c r="F402" s="2462"/>
      <c r="G402" s="2462"/>
      <c r="H402" s="2462"/>
      <c r="I402" s="2579"/>
      <c r="J402" s="2579"/>
      <c r="K402" s="2579"/>
      <c r="L402" s="2579"/>
      <c r="M402" s="2579"/>
      <c r="N402" s="2579"/>
      <c r="O402" s="2579"/>
    </row>
    <row r="403" spans="1:15" s="2463" customFormat="1">
      <c r="A403" s="2462"/>
      <c r="B403" s="2462"/>
      <c r="C403" s="2462"/>
      <c r="D403" s="2462"/>
      <c r="E403" s="2462"/>
      <c r="F403" s="2462"/>
      <c r="G403" s="2462"/>
      <c r="H403" s="2462"/>
      <c r="I403" s="2579"/>
      <c r="J403" s="2579"/>
      <c r="K403" s="2579"/>
      <c r="L403" s="2579"/>
      <c r="M403" s="2579"/>
      <c r="N403" s="2579"/>
      <c r="O403" s="2579"/>
    </row>
    <row r="404" spans="1:15" s="2463" customFormat="1">
      <c r="A404" s="2462"/>
      <c r="B404" s="2462"/>
      <c r="C404" s="2462"/>
      <c r="D404" s="2462"/>
      <c r="E404" s="2462"/>
      <c r="F404" s="2462"/>
      <c r="G404" s="2462"/>
      <c r="H404" s="2462"/>
      <c r="I404" s="2579"/>
      <c r="J404" s="2579"/>
      <c r="K404" s="2579"/>
      <c r="L404" s="2579"/>
      <c r="M404" s="2579"/>
      <c r="N404" s="2579"/>
      <c r="O404" s="2579"/>
    </row>
    <row r="405" spans="1:15" s="2463" customFormat="1">
      <c r="A405" s="2462"/>
      <c r="B405" s="2462"/>
      <c r="C405" s="2462"/>
      <c r="D405" s="2462"/>
      <c r="E405" s="2462"/>
      <c r="F405" s="2462"/>
      <c r="G405" s="2462"/>
      <c r="H405" s="2462"/>
      <c r="I405" s="2579"/>
      <c r="J405" s="2579"/>
      <c r="K405" s="2579"/>
      <c r="L405" s="2579"/>
      <c r="M405" s="2579"/>
      <c r="N405" s="2579"/>
      <c r="O405" s="2579"/>
    </row>
    <row r="406" spans="1:15" s="2463" customFormat="1">
      <c r="A406" s="2462"/>
      <c r="B406" s="2462"/>
      <c r="C406" s="2462"/>
      <c r="D406" s="2462"/>
      <c r="E406" s="2462"/>
      <c r="F406" s="2462"/>
      <c r="G406" s="2462"/>
      <c r="H406" s="2462"/>
      <c r="I406" s="2579"/>
      <c r="J406" s="2579"/>
      <c r="K406" s="2579"/>
      <c r="L406" s="2579"/>
      <c r="M406" s="2579"/>
      <c r="N406" s="2579"/>
      <c r="O406" s="2579"/>
    </row>
    <row r="407" spans="1:15" s="2463" customFormat="1">
      <c r="A407" s="2462"/>
      <c r="B407" s="2462"/>
      <c r="C407" s="2462"/>
      <c r="D407" s="2462"/>
      <c r="E407" s="2462"/>
      <c r="F407" s="2462"/>
      <c r="G407" s="2462"/>
      <c r="H407" s="2462"/>
      <c r="I407" s="2579"/>
      <c r="J407" s="2579"/>
      <c r="K407" s="2579"/>
      <c r="L407" s="2579"/>
      <c r="M407" s="2579"/>
      <c r="N407" s="2579"/>
      <c r="O407" s="2579"/>
    </row>
    <row r="408" spans="1:15" s="2463" customFormat="1">
      <c r="A408" s="2462"/>
      <c r="B408" s="2462"/>
      <c r="C408" s="2462"/>
      <c r="D408" s="2462"/>
      <c r="E408" s="2462"/>
      <c r="F408" s="2462"/>
      <c r="G408" s="2462"/>
      <c r="H408" s="2462"/>
      <c r="I408" s="2579"/>
      <c r="J408" s="2579"/>
      <c r="K408" s="2579"/>
      <c r="L408" s="2579"/>
      <c r="M408" s="2579"/>
      <c r="N408" s="2579"/>
      <c r="O408" s="2579"/>
    </row>
    <row r="409" spans="1:15" s="2463" customFormat="1">
      <c r="A409" s="2462"/>
      <c r="B409" s="2462"/>
      <c r="C409" s="2462"/>
      <c r="D409" s="2462"/>
      <c r="E409" s="2462"/>
      <c r="F409" s="2462"/>
      <c r="G409" s="2462"/>
      <c r="H409" s="2462"/>
      <c r="I409" s="2579"/>
      <c r="J409" s="2579"/>
      <c r="K409" s="2579"/>
      <c r="L409" s="2579"/>
      <c r="M409" s="2579"/>
      <c r="N409" s="2579"/>
      <c r="O409" s="2579"/>
    </row>
    <row r="410" spans="1:15" s="2463" customFormat="1">
      <c r="A410" s="2462"/>
      <c r="B410" s="2462"/>
      <c r="C410" s="2462"/>
      <c r="D410" s="2462"/>
      <c r="E410" s="2462"/>
      <c r="F410" s="2462"/>
      <c r="G410" s="2462"/>
      <c r="H410" s="2462"/>
      <c r="I410" s="2579"/>
      <c r="J410" s="2579"/>
      <c r="K410" s="2579"/>
      <c r="L410" s="2579"/>
      <c r="M410" s="2579"/>
      <c r="N410" s="2579"/>
      <c r="O410" s="2579"/>
    </row>
    <row r="411" spans="1:15" s="2463" customFormat="1">
      <c r="A411" s="2462"/>
      <c r="B411" s="2462"/>
      <c r="C411" s="2462"/>
      <c r="D411" s="2462"/>
      <c r="E411" s="2462"/>
      <c r="F411" s="2462"/>
      <c r="G411" s="2462"/>
      <c r="H411" s="2462"/>
      <c r="I411" s="2579"/>
      <c r="J411" s="2579"/>
      <c r="K411" s="2579"/>
      <c r="L411" s="2579"/>
      <c r="M411" s="2579"/>
      <c r="N411" s="2579"/>
      <c r="O411" s="2579"/>
    </row>
    <row r="412" spans="1:15" s="2463" customFormat="1">
      <c r="A412" s="2462"/>
      <c r="B412" s="2462"/>
      <c r="C412" s="2462"/>
      <c r="D412" s="2462"/>
      <c r="E412" s="2462"/>
      <c r="F412" s="2462"/>
      <c r="G412" s="2462"/>
      <c r="H412" s="2462"/>
      <c r="I412" s="2579"/>
      <c r="J412" s="2579"/>
      <c r="K412" s="2579"/>
      <c r="L412" s="2579"/>
      <c r="M412" s="2579"/>
      <c r="N412" s="2579"/>
      <c r="O412" s="2579"/>
    </row>
    <row r="413" spans="1:15" s="2463" customFormat="1">
      <c r="A413" s="2462"/>
      <c r="B413" s="2462"/>
      <c r="C413" s="2462"/>
      <c r="D413" s="2462"/>
      <c r="E413" s="2462"/>
      <c r="F413" s="2462"/>
      <c r="G413" s="2462"/>
      <c r="H413" s="2462"/>
      <c r="I413" s="2579"/>
      <c r="J413" s="2579"/>
      <c r="K413" s="2579"/>
      <c r="L413" s="2579"/>
      <c r="M413" s="2579"/>
      <c r="N413" s="2579"/>
      <c r="O413" s="2579"/>
    </row>
    <row r="414" spans="1:15" s="2463" customFormat="1">
      <c r="A414" s="2462"/>
      <c r="B414" s="2462"/>
      <c r="C414" s="2462"/>
      <c r="D414" s="2462"/>
      <c r="E414" s="2462"/>
      <c r="F414" s="2462"/>
      <c r="G414" s="2462"/>
      <c r="H414" s="2462"/>
      <c r="I414" s="2579"/>
      <c r="J414" s="2579"/>
      <c r="K414" s="2579"/>
      <c r="L414" s="2579"/>
      <c r="M414" s="2579"/>
      <c r="N414" s="2579"/>
      <c r="O414" s="2579"/>
    </row>
    <row r="420" spans="1:15" s="2463" customFormat="1">
      <c r="A420" s="2462"/>
      <c r="B420" s="2462"/>
      <c r="C420" s="2462"/>
      <c r="D420" s="2462"/>
      <c r="E420" s="2462"/>
      <c r="F420" s="2462"/>
      <c r="G420" s="2462"/>
      <c r="H420" s="2462"/>
      <c r="I420" s="2579"/>
      <c r="J420" s="2579"/>
      <c r="K420" s="2579"/>
      <c r="L420" s="2579"/>
      <c r="M420" s="2579"/>
      <c r="N420" s="2579"/>
      <c r="O420" s="2579"/>
    </row>
    <row r="421" spans="1:15" s="2463" customFormat="1">
      <c r="A421" s="2462"/>
      <c r="B421" s="2462"/>
      <c r="C421" s="2462"/>
      <c r="D421" s="2462"/>
      <c r="E421" s="2462"/>
      <c r="F421" s="2462"/>
      <c r="G421" s="2462"/>
      <c r="H421" s="2462"/>
      <c r="I421" s="2579"/>
      <c r="J421" s="2579"/>
      <c r="K421" s="2579"/>
      <c r="L421" s="2579"/>
      <c r="M421" s="2579"/>
      <c r="N421" s="2579"/>
      <c r="O421" s="2579"/>
    </row>
    <row r="422" spans="1:15" s="2463" customFormat="1">
      <c r="A422" s="2462"/>
      <c r="B422" s="2462"/>
      <c r="C422" s="2462"/>
      <c r="D422" s="2462"/>
      <c r="E422" s="2462"/>
      <c r="F422" s="2462"/>
      <c r="G422" s="2462"/>
      <c r="H422" s="2462"/>
      <c r="I422" s="2579"/>
      <c r="J422" s="2579"/>
      <c r="K422" s="2579"/>
      <c r="L422" s="2579"/>
      <c r="M422" s="2579"/>
      <c r="N422" s="2579"/>
      <c r="O422" s="2579"/>
    </row>
    <row r="423" spans="1:15" s="2463" customFormat="1">
      <c r="A423" s="2462"/>
      <c r="B423" s="2462"/>
      <c r="C423" s="2462"/>
      <c r="D423" s="2462"/>
      <c r="E423" s="2462"/>
      <c r="F423" s="2462"/>
      <c r="G423" s="2462"/>
      <c r="H423" s="2462"/>
      <c r="I423" s="2579"/>
      <c r="J423" s="2579"/>
      <c r="K423" s="2579"/>
      <c r="L423" s="2579"/>
      <c r="M423" s="2579"/>
      <c r="N423" s="2579"/>
      <c r="O423" s="2579"/>
    </row>
    <row r="424" spans="1:15" s="2463" customFormat="1">
      <c r="A424" s="2462"/>
      <c r="B424" s="2462"/>
      <c r="C424" s="2462"/>
      <c r="D424" s="2462"/>
      <c r="E424" s="2462"/>
      <c r="F424" s="2462"/>
      <c r="G424" s="2462"/>
      <c r="H424" s="2462"/>
      <c r="I424" s="2579"/>
      <c r="J424" s="2579"/>
      <c r="K424" s="2579"/>
      <c r="L424" s="2579"/>
      <c r="M424" s="2579"/>
      <c r="N424" s="2579"/>
      <c r="O424" s="2579"/>
    </row>
    <row r="425" spans="1:15" s="2463" customFormat="1">
      <c r="A425" s="2462"/>
      <c r="B425" s="2462"/>
      <c r="C425" s="2462"/>
      <c r="D425" s="2462"/>
      <c r="E425" s="2462"/>
      <c r="F425" s="2462"/>
      <c r="G425" s="2462"/>
      <c r="H425" s="2462"/>
      <c r="I425" s="2579"/>
      <c r="J425" s="2579"/>
      <c r="K425" s="2579"/>
      <c r="L425" s="2579"/>
      <c r="M425" s="2579"/>
      <c r="N425" s="2579"/>
      <c r="O425" s="2579"/>
    </row>
    <row r="426" spans="1:15" s="2463" customFormat="1">
      <c r="A426" s="2462"/>
      <c r="B426" s="2462"/>
      <c r="C426" s="2462"/>
      <c r="D426" s="2462"/>
      <c r="E426" s="2462"/>
      <c r="F426" s="2462"/>
      <c r="G426" s="2462"/>
      <c r="H426" s="2462"/>
      <c r="I426" s="2579"/>
      <c r="J426" s="2579"/>
      <c r="K426" s="2579"/>
      <c r="L426" s="2579"/>
      <c r="M426" s="2579"/>
      <c r="N426" s="2579"/>
      <c r="O426" s="2579"/>
    </row>
    <row r="427" spans="1:15" s="2463" customFormat="1">
      <c r="A427" s="2462"/>
      <c r="B427" s="2462"/>
      <c r="C427" s="2462"/>
      <c r="D427" s="2462"/>
      <c r="E427" s="2462"/>
      <c r="F427" s="2462"/>
      <c r="G427" s="2462"/>
      <c r="H427" s="2462"/>
      <c r="I427" s="2579"/>
      <c r="J427" s="2579"/>
      <c r="K427" s="2579"/>
      <c r="L427" s="2579"/>
      <c r="M427" s="2579"/>
      <c r="N427" s="2579"/>
      <c r="O427" s="2579"/>
    </row>
    <row r="428" spans="1:15" s="2463" customFormat="1">
      <c r="A428" s="2462"/>
      <c r="B428" s="2462"/>
      <c r="C428" s="2462"/>
      <c r="D428" s="2462"/>
      <c r="E428" s="2462"/>
      <c r="F428" s="2462"/>
      <c r="G428" s="2462"/>
      <c r="H428" s="2462"/>
      <c r="I428" s="2579"/>
      <c r="J428" s="2579"/>
      <c r="K428" s="2579"/>
      <c r="L428" s="2579"/>
      <c r="M428" s="2579"/>
      <c r="N428" s="2579"/>
      <c r="O428" s="2579"/>
    </row>
    <row r="429" spans="1:15" s="2463" customFormat="1">
      <c r="A429" s="2462"/>
      <c r="B429" s="2462"/>
      <c r="C429" s="2462"/>
      <c r="D429" s="2462"/>
      <c r="E429" s="2462"/>
      <c r="F429" s="2462"/>
      <c r="G429" s="2462"/>
      <c r="H429" s="2462"/>
      <c r="I429" s="2579"/>
      <c r="J429" s="2579"/>
      <c r="K429" s="2579"/>
      <c r="L429" s="2579"/>
      <c r="M429" s="2579"/>
      <c r="N429" s="2579"/>
      <c r="O429" s="2579"/>
    </row>
    <row r="430" spans="1:15" s="2463" customFormat="1">
      <c r="A430" s="2462"/>
      <c r="B430" s="2462"/>
      <c r="C430" s="2462"/>
      <c r="D430" s="2462"/>
      <c r="E430" s="2462"/>
      <c r="F430" s="2462"/>
      <c r="G430" s="2462"/>
      <c r="H430" s="2462"/>
      <c r="I430" s="2579"/>
      <c r="J430" s="2579"/>
      <c r="K430" s="2579"/>
      <c r="L430" s="2579"/>
      <c r="M430" s="2579"/>
      <c r="N430" s="2579"/>
      <c r="O430" s="2579"/>
    </row>
    <row r="431" spans="1:15" s="2463" customFormat="1">
      <c r="A431" s="2462"/>
      <c r="B431" s="2462"/>
      <c r="C431" s="2462"/>
      <c r="D431" s="2462"/>
      <c r="E431" s="2462"/>
      <c r="F431" s="2462"/>
      <c r="G431" s="2462"/>
      <c r="H431" s="2462"/>
      <c r="I431" s="2579"/>
      <c r="J431" s="2579"/>
      <c r="K431" s="2579"/>
      <c r="L431" s="2579"/>
      <c r="M431" s="2579"/>
      <c r="N431" s="2579"/>
      <c r="O431" s="2579"/>
    </row>
    <row r="432" spans="1:15" s="2463" customFormat="1">
      <c r="A432" s="2462"/>
      <c r="B432" s="2462"/>
      <c r="C432" s="2462"/>
      <c r="D432" s="2462"/>
      <c r="E432" s="2462"/>
      <c r="F432" s="2462"/>
      <c r="G432" s="2462"/>
      <c r="H432" s="2462"/>
      <c r="I432" s="2579"/>
      <c r="J432" s="2579"/>
      <c r="K432" s="2579"/>
      <c r="L432" s="2579"/>
      <c r="M432" s="2579"/>
      <c r="N432" s="2579"/>
      <c r="O432" s="2579"/>
    </row>
    <row r="433" spans="1:15" s="2463" customFormat="1">
      <c r="A433" s="2462"/>
      <c r="B433" s="2462"/>
      <c r="C433" s="2462"/>
      <c r="D433" s="2462"/>
      <c r="E433" s="2462"/>
      <c r="F433" s="2462"/>
      <c r="G433" s="2462"/>
      <c r="H433" s="2462"/>
      <c r="I433" s="2579"/>
      <c r="J433" s="2579"/>
      <c r="K433" s="2579"/>
      <c r="L433" s="2579"/>
      <c r="M433" s="2579"/>
      <c r="N433" s="2579"/>
      <c r="O433" s="2579"/>
    </row>
    <row r="434" spans="1:15" s="2463" customFormat="1">
      <c r="A434" s="2462"/>
      <c r="B434" s="2462"/>
      <c r="C434" s="2462"/>
      <c r="D434" s="2462"/>
      <c r="E434" s="2462"/>
      <c r="F434" s="2462"/>
      <c r="G434" s="2462"/>
      <c r="H434" s="2462"/>
      <c r="I434" s="2579"/>
      <c r="J434" s="2579"/>
      <c r="K434" s="2579"/>
      <c r="L434" s="2579"/>
      <c r="M434" s="2579"/>
      <c r="N434" s="2579"/>
      <c r="O434" s="2579"/>
    </row>
    <row r="435" spans="1:15" s="2463" customFormat="1">
      <c r="A435" s="2462"/>
      <c r="B435" s="2462"/>
      <c r="C435" s="2462"/>
      <c r="D435" s="2462"/>
      <c r="E435" s="2462"/>
      <c r="F435" s="2462"/>
      <c r="G435" s="2462"/>
      <c r="H435" s="2462"/>
      <c r="I435" s="2579"/>
      <c r="J435" s="2579"/>
      <c r="K435" s="2579"/>
      <c r="L435" s="2579"/>
      <c r="M435" s="2579"/>
      <c r="N435" s="2579"/>
      <c r="O435" s="2579"/>
    </row>
    <row r="436" spans="1:15" s="2463" customFormat="1">
      <c r="A436" s="2462"/>
      <c r="B436" s="2462"/>
      <c r="C436" s="2462"/>
      <c r="D436" s="2462"/>
      <c r="E436" s="2462"/>
      <c r="F436" s="2462"/>
      <c r="G436" s="2462"/>
      <c r="H436" s="2462"/>
      <c r="I436" s="2579"/>
      <c r="J436" s="2579"/>
      <c r="K436" s="2579"/>
      <c r="L436" s="2579"/>
      <c r="M436" s="2579"/>
      <c r="N436" s="2579"/>
      <c r="O436" s="2579"/>
    </row>
    <row r="437" spans="1:15" s="2463" customFormat="1">
      <c r="A437" s="2462"/>
      <c r="B437" s="2462"/>
      <c r="C437" s="2462"/>
      <c r="D437" s="2462"/>
      <c r="E437" s="2462"/>
      <c r="F437" s="2462"/>
      <c r="G437" s="2462"/>
      <c r="H437" s="2462"/>
      <c r="I437" s="2579"/>
      <c r="J437" s="2579"/>
      <c r="K437" s="2579"/>
      <c r="L437" s="2579"/>
      <c r="M437" s="2579"/>
      <c r="N437" s="2579"/>
      <c r="O437" s="2579"/>
    </row>
    <row r="438" spans="1:15" s="2463" customFormat="1">
      <c r="A438" s="2462"/>
      <c r="B438" s="2462"/>
      <c r="C438" s="2462"/>
      <c r="D438" s="2462"/>
      <c r="E438" s="2462"/>
      <c r="F438" s="2462"/>
      <c r="G438" s="2462"/>
      <c r="H438" s="2462"/>
      <c r="I438" s="2579"/>
      <c r="J438" s="2579"/>
      <c r="K438" s="2579"/>
      <c r="L438" s="2579"/>
      <c r="M438" s="2579"/>
      <c r="N438" s="2579"/>
      <c r="O438" s="2579"/>
    </row>
    <row r="439" spans="1:15" s="2463" customFormat="1">
      <c r="A439" s="2462"/>
      <c r="B439" s="2462"/>
      <c r="C439" s="2462"/>
      <c r="D439" s="2462"/>
      <c r="E439" s="2462"/>
      <c r="F439" s="2462"/>
      <c r="G439" s="2462"/>
      <c r="H439" s="2462"/>
      <c r="I439" s="2579"/>
      <c r="J439" s="2579"/>
      <c r="K439" s="2579"/>
      <c r="L439" s="2579"/>
      <c r="M439" s="2579"/>
      <c r="N439" s="2579"/>
      <c r="O439" s="2579"/>
    </row>
    <row r="440" spans="1:15" s="2463" customFormat="1">
      <c r="A440" s="2462"/>
      <c r="B440" s="2462"/>
      <c r="C440" s="2462"/>
      <c r="D440" s="2462"/>
      <c r="E440" s="2462"/>
      <c r="F440" s="2462"/>
      <c r="G440" s="2462"/>
      <c r="H440" s="2462"/>
      <c r="I440" s="2579"/>
      <c r="J440" s="2579"/>
      <c r="K440" s="2579"/>
      <c r="L440" s="2579"/>
      <c r="M440" s="2579"/>
      <c r="N440" s="2579"/>
      <c r="O440" s="2579"/>
    </row>
    <row r="441" spans="1:15" s="2463" customFormat="1">
      <c r="A441" s="2462"/>
      <c r="B441" s="2462"/>
      <c r="C441" s="2462"/>
      <c r="D441" s="2462"/>
      <c r="E441" s="2462"/>
      <c r="F441" s="2462"/>
      <c r="G441" s="2462"/>
      <c r="H441" s="2462"/>
      <c r="I441" s="2579"/>
      <c r="J441" s="2579"/>
      <c r="K441" s="2579"/>
      <c r="L441" s="2579"/>
      <c r="M441" s="2579"/>
      <c r="N441" s="2579"/>
      <c r="O441" s="2579"/>
    </row>
    <row r="442" spans="1:15" s="2463" customFormat="1">
      <c r="A442" s="2462"/>
      <c r="B442" s="2462"/>
      <c r="C442" s="2462"/>
      <c r="D442" s="2462"/>
      <c r="E442" s="2462"/>
      <c r="F442" s="2462"/>
      <c r="G442" s="2462"/>
      <c r="H442" s="2462"/>
      <c r="I442" s="2579"/>
      <c r="J442" s="2579"/>
      <c r="K442" s="2579"/>
      <c r="L442" s="2579"/>
      <c r="M442" s="2579"/>
      <c r="N442" s="2579"/>
      <c r="O442" s="2579"/>
    </row>
    <row r="443" spans="1:15" s="2463" customFormat="1">
      <c r="A443" s="2462"/>
      <c r="B443" s="2462"/>
      <c r="C443" s="2462"/>
      <c r="D443" s="2462"/>
      <c r="E443" s="2462"/>
      <c r="F443" s="2462"/>
      <c r="G443" s="2462"/>
      <c r="H443" s="2462"/>
      <c r="I443" s="2579"/>
      <c r="J443" s="2579"/>
      <c r="K443" s="2579"/>
      <c r="L443" s="2579"/>
      <c r="M443" s="2579"/>
      <c r="N443" s="2579"/>
      <c r="O443" s="2579"/>
    </row>
    <row r="444" spans="1:15" s="2463" customFormat="1">
      <c r="A444" s="2462"/>
      <c r="B444" s="2462"/>
      <c r="C444" s="2462"/>
      <c r="D444" s="2462"/>
      <c r="E444" s="2462"/>
      <c r="F444" s="2462"/>
      <c r="G444" s="2462"/>
      <c r="H444" s="2462"/>
      <c r="I444" s="2579"/>
      <c r="J444" s="2579"/>
      <c r="K444" s="2579"/>
      <c r="L444" s="2579"/>
      <c r="M444" s="2579"/>
      <c r="N444" s="2579"/>
      <c r="O444" s="2579"/>
    </row>
    <row r="445" spans="1:15" s="2463" customFormat="1">
      <c r="A445" s="2462"/>
      <c r="B445" s="2462"/>
      <c r="C445" s="2462"/>
      <c r="D445" s="2462"/>
      <c r="E445" s="2462"/>
      <c r="F445" s="2462"/>
      <c r="G445" s="2462"/>
      <c r="H445" s="2462"/>
      <c r="I445" s="2579"/>
      <c r="J445" s="2579"/>
      <c r="K445" s="2579"/>
      <c r="L445" s="2579"/>
      <c r="M445" s="2579"/>
      <c r="N445" s="2579"/>
      <c r="O445" s="2579"/>
    </row>
    <row r="446" spans="1:15" s="2463" customFormat="1">
      <c r="A446" s="2462"/>
      <c r="B446" s="2462"/>
      <c r="C446" s="2462"/>
      <c r="D446" s="2462"/>
      <c r="E446" s="2462"/>
      <c r="F446" s="2462"/>
      <c r="G446" s="2462"/>
      <c r="H446" s="2462"/>
      <c r="I446" s="2579"/>
      <c r="J446" s="2579"/>
      <c r="K446" s="2579"/>
      <c r="L446" s="2579"/>
      <c r="M446" s="2579"/>
      <c r="N446" s="2579"/>
      <c r="O446" s="2579"/>
    </row>
    <row r="447" spans="1:15" s="2463" customFormat="1">
      <c r="A447" s="2462"/>
      <c r="B447" s="2462"/>
      <c r="C447" s="2462"/>
      <c r="D447" s="2462"/>
      <c r="E447" s="2462"/>
      <c r="F447" s="2462"/>
      <c r="G447" s="2462"/>
      <c r="H447" s="2462"/>
      <c r="I447" s="2579"/>
      <c r="J447" s="2579"/>
      <c r="K447" s="2579"/>
      <c r="L447" s="2579"/>
      <c r="M447" s="2579"/>
      <c r="N447" s="2579"/>
      <c r="O447" s="2579"/>
    </row>
    <row r="448" spans="1:15" s="2463" customFormat="1">
      <c r="A448" s="2462"/>
      <c r="B448" s="2462"/>
      <c r="C448" s="2462"/>
      <c r="D448" s="2462"/>
      <c r="E448" s="2462"/>
      <c r="F448" s="2462"/>
      <c r="G448" s="2462"/>
      <c r="H448" s="2462"/>
      <c r="I448" s="2579"/>
      <c r="J448" s="2579"/>
      <c r="K448" s="2579"/>
      <c r="L448" s="2579"/>
      <c r="M448" s="2579"/>
      <c r="N448" s="2579"/>
      <c r="O448" s="2579"/>
    </row>
    <row r="449" spans="1:15" s="2463" customFormat="1">
      <c r="A449" s="2462"/>
      <c r="B449" s="2462"/>
      <c r="C449" s="2462"/>
      <c r="D449" s="2462"/>
      <c r="E449" s="2462"/>
      <c r="F449" s="2462"/>
      <c r="G449" s="2462"/>
      <c r="H449" s="2462"/>
      <c r="I449" s="2579"/>
      <c r="J449" s="2579"/>
      <c r="K449" s="2579"/>
      <c r="L449" s="2579"/>
      <c r="M449" s="2579"/>
      <c r="N449" s="2579"/>
      <c r="O449" s="2579"/>
    </row>
    <row r="450" spans="1:15" s="2463" customFormat="1">
      <c r="A450" s="2462"/>
      <c r="B450" s="2462"/>
      <c r="C450" s="2462"/>
      <c r="D450" s="2462"/>
      <c r="E450" s="2462"/>
      <c r="F450" s="2462"/>
      <c r="G450" s="2462"/>
      <c r="H450" s="2462"/>
      <c r="I450" s="2579"/>
      <c r="J450" s="2579"/>
      <c r="K450" s="2579"/>
      <c r="L450" s="2579"/>
      <c r="M450" s="2579"/>
      <c r="N450" s="2579"/>
      <c r="O450" s="2579"/>
    </row>
    <row r="451" spans="1:15" s="2463" customFormat="1">
      <c r="A451" s="2462"/>
      <c r="B451" s="2462"/>
      <c r="C451" s="2462"/>
      <c r="D451" s="2462"/>
      <c r="E451" s="2462"/>
      <c r="F451" s="2462"/>
      <c r="G451" s="2462"/>
      <c r="H451" s="2462"/>
      <c r="I451" s="2579"/>
      <c r="J451" s="2579"/>
      <c r="K451" s="2579"/>
      <c r="L451" s="2579"/>
      <c r="M451" s="2579"/>
      <c r="N451" s="2579"/>
      <c r="O451" s="2579"/>
    </row>
    <row r="452" spans="1:15" s="2463" customFormat="1">
      <c r="A452" s="2462"/>
      <c r="B452" s="2462"/>
      <c r="C452" s="2462"/>
      <c r="D452" s="2462"/>
      <c r="E452" s="2462"/>
      <c r="F452" s="2462"/>
      <c r="G452" s="2462"/>
      <c r="H452" s="2462"/>
      <c r="I452" s="2579"/>
      <c r="J452" s="2579"/>
      <c r="K452" s="2579"/>
      <c r="L452" s="2579"/>
      <c r="M452" s="2579"/>
      <c r="N452" s="2579"/>
      <c r="O452" s="2579"/>
    </row>
    <row r="453" spans="1:15" s="2463" customFormat="1">
      <c r="A453" s="2462"/>
      <c r="B453" s="2462"/>
      <c r="C453" s="2462"/>
      <c r="D453" s="2462"/>
      <c r="E453" s="2462"/>
      <c r="F453" s="2462"/>
      <c r="G453" s="2462"/>
      <c r="H453" s="2462"/>
      <c r="I453" s="2579"/>
      <c r="J453" s="2579"/>
      <c r="K453" s="2579"/>
      <c r="L453" s="2579"/>
      <c r="M453" s="2579"/>
      <c r="N453" s="2579"/>
      <c r="O453" s="2579"/>
    </row>
    <row r="454" spans="1:15" s="2463" customFormat="1">
      <c r="A454" s="2462"/>
      <c r="B454" s="2462"/>
      <c r="C454" s="2462"/>
      <c r="D454" s="2462"/>
      <c r="E454" s="2462"/>
      <c r="F454" s="2462"/>
      <c r="G454" s="2462"/>
      <c r="H454" s="2462"/>
      <c r="I454" s="2579"/>
      <c r="J454" s="2579"/>
      <c r="K454" s="2579"/>
      <c r="L454" s="2579"/>
      <c r="M454" s="2579"/>
      <c r="N454" s="2579"/>
      <c r="O454" s="2579"/>
    </row>
    <row r="455" spans="1:15" s="2463" customFormat="1">
      <c r="A455" s="2462"/>
      <c r="B455" s="2462"/>
      <c r="C455" s="2462"/>
      <c r="D455" s="2462"/>
      <c r="E455" s="2462"/>
      <c r="F455" s="2462"/>
      <c r="G455" s="2462"/>
      <c r="H455" s="2462"/>
      <c r="I455" s="2579"/>
      <c r="J455" s="2579"/>
      <c r="K455" s="2579"/>
      <c r="L455" s="2579"/>
      <c r="M455" s="2579"/>
      <c r="N455" s="2579"/>
      <c r="O455" s="2579"/>
    </row>
    <row r="456" spans="1:15" s="2463" customFormat="1">
      <c r="A456" s="2462"/>
      <c r="B456" s="2462"/>
      <c r="C456" s="2462"/>
      <c r="D456" s="2462"/>
      <c r="E456" s="2462"/>
      <c r="F456" s="2462"/>
      <c r="G456" s="2462"/>
      <c r="H456" s="2462"/>
      <c r="I456" s="2579"/>
      <c r="J456" s="2579"/>
      <c r="K456" s="2579"/>
      <c r="L456" s="2579"/>
      <c r="M456" s="2579"/>
      <c r="N456" s="2579"/>
      <c r="O456" s="2579"/>
    </row>
    <row r="457" spans="1:15" s="2463" customFormat="1">
      <c r="A457" s="2462"/>
      <c r="B457" s="2462"/>
      <c r="C457" s="2462"/>
      <c r="D457" s="2462"/>
      <c r="E457" s="2462"/>
      <c r="F457" s="2462"/>
      <c r="G457" s="2462"/>
      <c r="H457" s="2462"/>
      <c r="I457" s="2579"/>
      <c r="J457" s="2579"/>
      <c r="K457" s="2579"/>
      <c r="L457" s="2579"/>
      <c r="M457" s="2579"/>
      <c r="N457" s="2579"/>
      <c r="O457" s="2579"/>
    </row>
    <row r="462" spans="1:15" s="2463" customFormat="1">
      <c r="A462" s="2462"/>
      <c r="B462" s="2462"/>
      <c r="C462" s="2462"/>
      <c r="D462" s="2462"/>
      <c r="E462" s="2462"/>
      <c r="F462" s="2462"/>
      <c r="G462" s="2462"/>
      <c r="H462" s="2462"/>
      <c r="I462" s="2579"/>
      <c r="J462" s="2579"/>
      <c r="K462" s="2579"/>
      <c r="L462" s="2579"/>
      <c r="M462" s="2579"/>
      <c r="N462" s="2579"/>
      <c r="O462" s="2579"/>
    </row>
    <row r="463" spans="1:15" s="2463" customFormat="1">
      <c r="A463" s="2462"/>
      <c r="B463" s="2462"/>
      <c r="C463" s="2462"/>
      <c r="D463" s="2462"/>
      <c r="E463" s="2462"/>
      <c r="F463" s="2462"/>
      <c r="G463" s="2462"/>
      <c r="H463" s="2462"/>
      <c r="I463" s="2579"/>
      <c r="J463" s="2579"/>
      <c r="K463" s="2579"/>
      <c r="L463" s="2579"/>
      <c r="M463" s="2579"/>
      <c r="N463" s="2579"/>
      <c r="O463" s="2579"/>
    </row>
    <row r="464" spans="1:15" s="2463" customFormat="1">
      <c r="A464" s="2462"/>
      <c r="B464" s="2462"/>
      <c r="C464" s="2462"/>
      <c r="D464" s="2462"/>
      <c r="E464" s="2462"/>
      <c r="F464" s="2462"/>
      <c r="G464" s="2462"/>
      <c r="H464" s="2462"/>
      <c r="I464" s="2579"/>
      <c r="J464" s="2579"/>
      <c r="K464" s="2579"/>
      <c r="L464" s="2579"/>
      <c r="M464" s="2579"/>
      <c r="N464" s="2579"/>
      <c r="O464" s="2579"/>
    </row>
    <row r="465" spans="1:15" s="2463" customFormat="1">
      <c r="A465" s="2462"/>
      <c r="B465" s="2462"/>
      <c r="C465" s="2462"/>
      <c r="D465" s="2462"/>
      <c r="E465" s="2462"/>
      <c r="F465" s="2462"/>
      <c r="G465" s="2462"/>
      <c r="H465" s="2462"/>
      <c r="I465" s="2579"/>
      <c r="J465" s="2579"/>
      <c r="K465" s="2579"/>
      <c r="L465" s="2579"/>
      <c r="M465" s="2579"/>
      <c r="N465" s="2579"/>
      <c r="O465" s="2579"/>
    </row>
    <row r="466" spans="1:15" s="2463" customFormat="1">
      <c r="A466" s="2462"/>
      <c r="B466" s="2462"/>
      <c r="C466" s="2462"/>
      <c r="D466" s="2462"/>
      <c r="E466" s="2462"/>
      <c r="F466" s="2462"/>
      <c r="G466" s="2462"/>
      <c r="H466" s="2462"/>
      <c r="I466" s="2579"/>
      <c r="J466" s="2579"/>
      <c r="K466" s="2579"/>
      <c r="L466" s="2579"/>
      <c r="M466" s="2579"/>
      <c r="N466" s="2579"/>
      <c r="O466" s="2579"/>
    </row>
    <row r="467" spans="1:15" s="2463" customFormat="1">
      <c r="A467" s="2462"/>
      <c r="B467" s="2462"/>
      <c r="C467" s="2462"/>
      <c r="D467" s="2462"/>
      <c r="E467" s="2462"/>
      <c r="F467" s="2462"/>
      <c r="G467" s="2462"/>
      <c r="H467" s="2462"/>
      <c r="I467" s="2579"/>
      <c r="J467" s="2579"/>
      <c r="K467" s="2579"/>
      <c r="L467" s="2579"/>
      <c r="M467" s="2579"/>
      <c r="N467" s="2579"/>
      <c r="O467" s="2579"/>
    </row>
    <row r="468" spans="1:15" s="2463" customFormat="1">
      <c r="A468" s="2462"/>
      <c r="B468" s="2462"/>
      <c r="C468" s="2462"/>
      <c r="D468" s="2462"/>
      <c r="E468" s="2462"/>
      <c r="F468" s="2462"/>
      <c r="G468" s="2462"/>
      <c r="H468" s="2462"/>
      <c r="I468" s="2579"/>
      <c r="J468" s="2579"/>
      <c r="K468" s="2579"/>
      <c r="L468" s="2579"/>
      <c r="M468" s="2579"/>
      <c r="N468" s="2579"/>
      <c r="O468" s="2579"/>
    </row>
    <row r="469" spans="1:15" s="2463" customFormat="1">
      <c r="A469" s="2462"/>
      <c r="B469" s="2462"/>
      <c r="C469" s="2462"/>
      <c r="D469" s="2462"/>
      <c r="E469" s="2462"/>
      <c r="F469" s="2462"/>
      <c r="G469" s="2462"/>
      <c r="H469" s="2462"/>
      <c r="I469" s="2579"/>
      <c r="J469" s="2579"/>
      <c r="K469" s="2579"/>
      <c r="L469" s="2579"/>
      <c r="M469" s="2579"/>
      <c r="N469" s="2579"/>
      <c r="O469" s="2579"/>
    </row>
    <row r="470" spans="1:15" s="2463" customFormat="1">
      <c r="A470" s="2462"/>
      <c r="B470" s="2462"/>
      <c r="C470" s="2462"/>
      <c r="D470" s="2462"/>
      <c r="E470" s="2462"/>
      <c r="F470" s="2462"/>
      <c r="G470" s="2462"/>
      <c r="H470" s="2462"/>
      <c r="I470" s="2579"/>
      <c r="J470" s="2579"/>
      <c r="K470" s="2579"/>
      <c r="L470" s="2579"/>
      <c r="M470" s="2579"/>
      <c r="N470" s="2579"/>
      <c r="O470" s="2579"/>
    </row>
    <row r="471" spans="1:15" s="2463" customFormat="1">
      <c r="A471" s="2462"/>
      <c r="B471" s="2462"/>
      <c r="C471" s="2462"/>
      <c r="D471" s="2462"/>
      <c r="E471" s="2462"/>
      <c r="F471" s="2462"/>
      <c r="G471" s="2462"/>
      <c r="H471" s="2462"/>
      <c r="I471" s="2579"/>
      <c r="J471" s="2579"/>
      <c r="K471" s="2579"/>
      <c r="L471" s="2579"/>
      <c r="M471" s="2579"/>
      <c r="N471" s="2579"/>
      <c r="O471" s="2579"/>
    </row>
    <row r="472" spans="1:15" s="2463" customFormat="1">
      <c r="A472" s="2462"/>
      <c r="B472" s="2462"/>
      <c r="C472" s="2462"/>
      <c r="D472" s="2462"/>
      <c r="E472" s="2462"/>
      <c r="F472" s="2462"/>
      <c r="G472" s="2462"/>
      <c r="H472" s="2462"/>
      <c r="I472" s="2579"/>
      <c r="J472" s="2579"/>
      <c r="K472" s="2579"/>
      <c r="L472" s="2579"/>
      <c r="M472" s="2579"/>
      <c r="N472" s="2579"/>
      <c r="O472" s="2579"/>
    </row>
    <row r="473" spans="1:15" s="2463" customFormat="1">
      <c r="A473" s="2462"/>
      <c r="B473" s="2462"/>
      <c r="C473" s="2462"/>
      <c r="D473" s="2462"/>
      <c r="E473" s="2462"/>
      <c r="F473" s="2462"/>
      <c r="G473" s="2462"/>
      <c r="H473" s="2462"/>
      <c r="I473" s="2579"/>
      <c r="J473" s="2579"/>
      <c r="K473" s="2579"/>
      <c r="L473" s="2579"/>
      <c r="M473" s="2579"/>
      <c r="N473" s="2579"/>
      <c r="O473" s="2579"/>
    </row>
    <row r="474" spans="1:15" s="2463" customFormat="1">
      <c r="A474" s="2462"/>
      <c r="B474" s="2462"/>
      <c r="C474" s="2462"/>
      <c r="D474" s="2462"/>
      <c r="E474" s="2462"/>
      <c r="F474" s="2462"/>
      <c r="G474" s="2462"/>
      <c r="H474" s="2462"/>
      <c r="I474" s="2579"/>
      <c r="J474" s="2579"/>
      <c r="K474" s="2579"/>
      <c r="L474" s="2579"/>
      <c r="M474" s="2579"/>
      <c r="N474" s="2579"/>
      <c r="O474" s="2579"/>
    </row>
    <row r="475" spans="1:15" s="2463" customFormat="1">
      <c r="A475" s="2462"/>
      <c r="B475" s="2462"/>
      <c r="C475" s="2462"/>
      <c r="D475" s="2462"/>
      <c r="E475" s="2462"/>
      <c r="F475" s="2462"/>
      <c r="G475" s="2462"/>
      <c r="H475" s="2462"/>
      <c r="I475" s="2579"/>
      <c r="J475" s="2579"/>
      <c r="K475" s="2579"/>
      <c r="L475" s="2579"/>
      <c r="M475" s="2579"/>
      <c r="N475" s="2579"/>
      <c r="O475" s="2579"/>
    </row>
    <row r="476" spans="1:15" s="2463" customFormat="1">
      <c r="A476" s="2462"/>
      <c r="B476" s="2462"/>
      <c r="C476" s="2462"/>
      <c r="D476" s="2462"/>
      <c r="E476" s="2462"/>
      <c r="F476" s="2462"/>
      <c r="G476" s="2462"/>
      <c r="H476" s="2462"/>
      <c r="I476" s="2579"/>
      <c r="J476" s="2579"/>
      <c r="K476" s="2579"/>
      <c r="L476" s="2579"/>
      <c r="M476" s="2579"/>
      <c r="N476" s="2579"/>
      <c r="O476" s="2579"/>
    </row>
    <row r="477" spans="1:15" s="2463" customFormat="1">
      <c r="A477" s="2462"/>
      <c r="B477" s="2462"/>
      <c r="C477" s="2462"/>
      <c r="D477" s="2462"/>
      <c r="E477" s="2462"/>
      <c r="F477" s="2462"/>
      <c r="G477" s="2462"/>
      <c r="H477" s="2462"/>
      <c r="I477" s="2579"/>
      <c r="J477" s="2579"/>
      <c r="K477" s="2579"/>
      <c r="L477" s="2579"/>
      <c r="M477" s="2579"/>
      <c r="N477" s="2579"/>
      <c r="O477" s="2579"/>
    </row>
    <row r="478" spans="1:15" s="2463" customFormat="1">
      <c r="A478" s="2462"/>
      <c r="B478" s="2462"/>
      <c r="C478" s="2462"/>
      <c r="D478" s="2462"/>
      <c r="E478" s="2462"/>
      <c r="F478" s="2462"/>
      <c r="G478" s="2462"/>
      <c r="H478" s="2462"/>
      <c r="I478" s="2579"/>
      <c r="J478" s="2579"/>
      <c r="K478" s="2579"/>
      <c r="L478" s="2579"/>
      <c r="M478" s="2579"/>
      <c r="N478" s="2579"/>
      <c r="O478" s="2579"/>
    </row>
    <row r="479" spans="1:15" s="2463" customFormat="1">
      <c r="A479" s="2462"/>
      <c r="B479" s="2462"/>
      <c r="C479" s="2462"/>
      <c r="D479" s="2462"/>
      <c r="E479" s="2462"/>
      <c r="F479" s="2462"/>
      <c r="G479" s="2462"/>
      <c r="H479" s="2462"/>
      <c r="I479" s="2579"/>
      <c r="J479" s="2579"/>
      <c r="K479" s="2579"/>
      <c r="L479" s="2579"/>
      <c r="M479" s="2579"/>
      <c r="N479" s="2579"/>
      <c r="O479" s="2579"/>
    </row>
    <row r="480" spans="1:15" s="2463" customFormat="1">
      <c r="A480" s="2462"/>
      <c r="B480" s="2462"/>
      <c r="C480" s="2462"/>
      <c r="D480" s="2462"/>
      <c r="E480" s="2462"/>
      <c r="F480" s="2462"/>
      <c r="G480" s="2462"/>
      <c r="H480" s="2462"/>
      <c r="I480" s="2579"/>
      <c r="J480" s="2579"/>
      <c r="K480" s="2579"/>
      <c r="L480" s="2579"/>
      <c r="M480" s="2579"/>
      <c r="N480" s="2579"/>
      <c r="O480" s="2579"/>
    </row>
    <row r="481" spans="1:15" s="2463" customFormat="1">
      <c r="A481" s="2462"/>
      <c r="B481" s="2462"/>
      <c r="C481" s="2462"/>
      <c r="D481" s="2462"/>
      <c r="E481" s="2462"/>
      <c r="F481" s="2462"/>
      <c r="G481" s="2462"/>
      <c r="H481" s="2462"/>
      <c r="I481" s="2579"/>
      <c r="J481" s="2579"/>
      <c r="K481" s="2579"/>
      <c r="L481" s="2579"/>
      <c r="M481" s="2579"/>
      <c r="N481" s="2579"/>
      <c r="O481" s="2579"/>
    </row>
    <row r="482" spans="1:15" s="2463" customFormat="1">
      <c r="A482" s="2462"/>
      <c r="B482" s="2462"/>
      <c r="C482" s="2462"/>
      <c r="D482" s="2462"/>
      <c r="E482" s="2462"/>
      <c r="F482" s="2462"/>
      <c r="G482" s="2462"/>
      <c r="H482" s="2462"/>
      <c r="I482" s="2579"/>
      <c r="J482" s="2579"/>
      <c r="K482" s="2579"/>
      <c r="L482" s="2579"/>
      <c r="M482" s="2579"/>
      <c r="N482" s="2579"/>
      <c r="O482" s="2579"/>
    </row>
    <row r="483" spans="1:15" s="2463" customFormat="1">
      <c r="A483" s="2462"/>
      <c r="B483" s="2462"/>
      <c r="C483" s="2462"/>
      <c r="D483" s="2462"/>
      <c r="E483" s="2462"/>
      <c r="F483" s="2462"/>
      <c r="G483" s="2462"/>
      <c r="H483" s="2462"/>
      <c r="I483" s="2579"/>
      <c r="J483" s="2579"/>
      <c r="K483" s="2579"/>
      <c r="L483" s="2579"/>
      <c r="M483" s="2579"/>
      <c r="N483" s="2579"/>
      <c r="O483" s="2579"/>
    </row>
    <row r="484" spans="1:15" s="2463" customFormat="1">
      <c r="A484" s="2462"/>
      <c r="B484" s="2462"/>
      <c r="C484" s="2462"/>
      <c r="D484" s="2462"/>
      <c r="E484" s="2462"/>
      <c r="F484" s="2462"/>
      <c r="G484" s="2462"/>
      <c r="H484" s="2462"/>
      <c r="I484" s="2579"/>
      <c r="J484" s="2579"/>
      <c r="K484" s="2579"/>
      <c r="L484" s="2579"/>
      <c r="M484" s="2579"/>
      <c r="N484" s="2579"/>
      <c r="O484" s="2579"/>
    </row>
    <row r="485" spans="1:15" s="2463" customFormat="1">
      <c r="A485" s="2462"/>
      <c r="B485" s="2462"/>
      <c r="C485" s="2462"/>
      <c r="D485" s="2462"/>
      <c r="E485" s="2462"/>
      <c r="F485" s="2462"/>
      <c r="G485" s="2462"/>
      <c r="H485" s="2462"/>
      <c r="I485" s="2579"/>
      <c r="J485" s="2579"/>
      <c r="K485" s="2579"/>
      <c r="L485" s="2579"/>
      <c r="M485" s="2579"/>
      <c r="N485" s="2579"/>
      <c r="O485" s="2579"/>
    </row>
    <row r="486" spans="1:15" s="2463" customFormat="1">
      <c r="A486" s="2462"/>
      <c r="B486" s="2462"/>
      <c r="C486" s="2462"/>
      <c r="D486" s="2462"/>
      <c r="E486" s="2462"/>
      <c r="F486" s="2462"/>
      <c r="G486" s="2462"/>
      <c r="H486" s="2462"/>
      <c r="I486" s="2579"/>
      <c r="J486" s="2579"/>
      <c r="K486" s="2579"/>
      <c r="L486" s="2579"/>
      <c r="M486" s="2579"/>
      <c r="N486" s="2579"/>
      <c r="O486" s="2579"/>
    </row>
    <row r="487" spans="1:15" s="2463" customFormat="1">
      <c r="A487" s="2462"/>
      <c r="B487" s="2462"/>
      <c r="C487" s="2462"/>
      <c r="D487" s="2462"/>
      <c r="E487" s="2462"/>
      <c r="F487" s="2462"/>
      <c r="G487" s="2462"/>
      <c r="H487" s="2462"/>
      <c r="I487" s="2579"/>
      <c r="J487" s="2579"/>
      <c r="K487" s="2579"/>
      <c r="L487" s="2579"/>
      <c r="M487" s="2579"/>
      <c r="N487" s="2579"/>
      <c r="O487" s="2579"/>
    </row>
    <row r="488" spans="1:15" s="2463" customFormat="1">
      <c r="A488" s="2462"/>
      <c r="B488" s="2462"/>
      <c r="C488" s="2462"/>
      <c r="D488" s="2462"/>
      <c r="E488" s="2462"/>
      <c r="F488" s="2462"/>
      <c r="G488" s="2462"/>
      <c r="H488" s="2462"/>
      <c r="I488" s="2579"/>
      <c r="J488" s="2579"/>
      <c r="K488" s="2579"/>
      <c r="L488" s="2579"/>
      <c r="M488" s="2579"/>
      <c r="N488" s="2579"/>
      <c r="O488" s="2579"/>
    </row>
    <row r="489" spans="1:15" s="2463" customFormat="1">
      <c r="A489" s="2462"/>
      <c r="B489" s="2462"/>
      <c r="C489" s="2462"/>
      <c r="D489" s="2462"/>
      <c r="E489" s="2462"/>
      <c r="F489" s="2462"/>
      <c r="G489" s="2462"/>
      <c r="H489" s="2462"/>
      <c r="I489" s="2579"/>
      <c r="J489" s="2579"/>
      <c r="K489" s="2579"/>
      <c r="L489" s="2579"/>
      <c r="M489" s="2579"/>
      <c r="N489" s="2579"/>
      <c r="O489" s="2579"/>
    </row>
    <row r="490" spans="1:15" s="2463" customFormat="1">
      <c r="A490" s="2462"/>
      <c r="B490" s="2462"/>
      <c r="C490" s="2462"/>
      <c r="D490" s="2462"/>
      <c r="E490" s="2462"/>
      <c r="F490" s="2462"/>
      <c r="G490" s="2462"/>
      <c r="H490" s="2462"/>
      <c r="I490" s="2579"/>
      <c r="J490" s="2579"/>
      <c r="K490" s="2579"/>
      <c r="L490" s="2579"/>
      <c r="M490" s="2579"/>
      <c r="N490" s="2579"/>
      <c r="O490" s="2579"/>
    </row>
    <row r="491" spans="1:15" s="2463" customFormat="1">
      <c r="A491" s="2462"/>
      <c r="B491" s="2462"/>
      <c r="C491" s="2462"/>
      <c r="D491" s="2462"/>
      <c r="E491" s="2462"/>
      <c r="F491" s="2462"/>
      <c r="G491" s="2462"/>
      <c r="H491" s="2462"/>
      <c r="I491" s="2579"/>
      <c r="J491" s="2579"/>
      <c r="K491" s="2579"/>
      <c r="L491" s="2579"/>
      <c r="M491" s="2579"/>
      <c r="N491" s="2579"/>
      <c r="O491" s="2579"/>
    </row>
    <row r="492" spans="1:15" s="2463" customFormat="1">
      <c r="A492" s="2462"/>
      <c r="B492" s="2462"/>
      <c r="C492" s="2462"/>
      <c r="D492" s="2462"/>
      <c r="E492" s="2462"/>
      <c r="F492" s="2462"/>
      <c r="G492" s="2462"/>
      <c r="H492" s="2462"/>
      <c r="I492" s="2579"/>
      <c r="J492" s="2579"/>
      <c r="K492" s="2579"/>
      <c r="L492" s="2579"/>
      <c r="M492" s="2579"/>
      <c r="N492" s="2579"/>
      <c r="O492" s="2579"/>
    </row>
    <row r="493" spans="1:15" s="2463" customFormat="1">
      <c r="A493" s="2462"/>
      <c r="B493" s="2462"/>
      <c r="C493" s="2462"/>
      <c r="D493" s="2462"/>
      <c r="E493" s="2462"/>
      <c r="F493" s="2462"/>
      <c r="G493" s="2462"/>
      <c r="H493" s="2462"/>
      <c r="I493" s="2579"/>
      <c r="J493" s="2579"/>
      <c r="K493" s="2579"/>
      <c r="L493" s="2579"/>
      <c r="M493" s="2579"/>
      <c r="N493" s="2579"/>
      <c r="O493" s="2579"/>
    </row>
    <row r="494" spans="1:15" s="2463" customFormat="1">
      <c r="A494" s="2462"/>
      <c r="B494" s="2462"/>
      <c r="C494" s="2462"/>
      <c r="D494" s="2462"/>
      <c r="E494" s="2462"/>
      <c r="F494" s="2462"/>
      <c r="G494" s="2462"/>
      <c r="H494" s="2462"/>
      <c r="I494" s="2579"/>
      <c r="J494" s="2579"/>
      <c r="K494" s="2579"/>
      <c r="L494" s="2579"/>
      <c r="M494" s="2579"/>
      <c r="N494" s="2579"/>
      <c r="O494" s="2579"/>
    </row>
    <row r="495" spans="1:15" s="2463" customFormat="1">
      <c r="A495" s="2462"/>
      <c r="B495" s="2462"/>
      <c r="C495" s="2462"/>
      <c r="D495" s="2462"/>
      <c r="E495" s="2462"/>
      <c r="F495" s="2462"/>
      <c r="G495" s="2462"/>
      <c r="H495" s="2462"/>
      <c r="I495" s="2579"/>
      <c r="J495" s="2579"/>
      <c r="K495" s="2579"/>
      <c r="L495" s="2579"/>
      <c r="M495" s="2579"/>
      <c r="N495" s="2579"/>
      <c r="O495" s="2579"/>
    </row>
    <row r="496" spans="1:15" s="2463" customFormat="1">
      <c r="A496" s="2462"/>
      <c r="B496" s="2462"/>
      <c r="C496" s="2462"/>
      <c r="D496" s="2462"/>
      <c r="E496" s="2462"/>
      <c r="F496" s="2462"/>
      <c r="G496" s="2462"/>
      <c r="H496" s="2462"/>
      <c r="I496" s="2579"/>
      <c r="J496" s="2579"/>
      <c r="K496" s="2579"/>
      <c r="L496" s="2579"/>
      <c r="M496" s="2579"/>
      <c r="N496" s="2579"/>
      <c r="O496" s="2579"/>
    </row>
    <row r="497" spans="1:15" s="2463" customFormat="1">
      <c r="A497" s="2462"/>
      <c r="B497" s="2462"/>
      <c r="C497" s="2462"/>
      <c r="D497" s="2462"/>
      <c r="E497" s="2462"/>
      <c r="F497" s="2462"/>
      <c r="G497" s="2462"/>
      <c r="H497" s="2462"/>
      <c r="I497" s="2579"/>
      <c r="J497" s="2579"/>
      <c r="K497" s="2579"/>
      <c r="L497" s="2579"/>
      <c r="M497" s="2579"/>
      <c r="N497" s="2579"/>
      <c r="O497" s="2579"/>
    </row>
    <row r="498" spans="1:15" s="2463" customFormat="1">
      <c r="A498" s="2462"/>
      <c r="B498" s="2462"/>
      <c r="C498" s="2462"/>
      <c r="D498" s="2462"/>
      <c r="E498" s="2462"/>
      <c r="F498" s="2462"/>
      <c r="G498" s="2462"/>
      <c r="H498" s="2462"/>
      <c r="I498" s="2579"/>
      <c r="J498" s="2579"/>
      <c r="K498" s="2579"/>
      <c r="L498" s="2579"/>
      <c r="M498" s="2579"/>
      <c r="N498" s="2579"/>
      <c r="O498" s="2579"/>
    </row>
    <row r="504" spans="1:15" s="2463" customFormat="1">
      <c r="A504" s="2462"/>
      <c r="B504" s="2462"/>
      <c r="C504" s="2462"/>
      <c r="D504" s="2462"/>
      <c r="E504" s="2462"/>
      <c r="F504" s="2462"/>
      <c r="G504" s="2462"/>
      <c r="H504" s="2462"/>
      <c r="I504" s="2579"/>
      <c r="J504" s="2579"/>
      <c r="K504" s="2579"/>
      <c r="L504" s="2579"/>
      <c r="M504" s="2579"/>
      <c r="N504" s="2579"/>
      <c r="O504" s="2579"/>
    </row>
    <row r="505" spans="1:15" s="2463" customFormat="1">
      <c r="A505" s="2462"/>
      <c r="B505" s="2462"/>
      <c r="C505" s="2462"/>
      <c r="D505" s="2462"/>
      <c r="E505" s="2462"/>
      <c r="F505" s="2462"/>
      <c r="G505" s="2462"/>
      <c r="H505" s="2462"/>
      <c r="I505" s="2579"/>
      <c r="J505" s="2579"/>
      <c r="K505" s="2579"/>
      <c r="L505" s="2579"/>
      <c r="M505" s="2579"/>
      <c r="N505" s="2579"/>
      <c r="O505" s="2579"/>
    </row>
    <row r="506" spans="1:15" s="2463" customFormat="1">
      <c r="A506" s="2462"/>
      <c r="B506" s="2462"/>
      <c r="C506" s="2462"/>
      <c r="D506" s="2462"/>
      <c r="E506" s="2462"/>
      <c r="F506" s="2462"/>
      <c r="G506" s="2462"/>
      <c r="H506" s="2462"/>
      <c r="I506" s="2579"/>
      <c r="J506" s="2579"/>
      <c r="K506" s="2579"/>
      <c r="L506" s="2579"/>
      <c r="M506" s="2579"/>
      <c r="N506" s="2579"/>
      <c r="O506" s="2579"/>
    </row>
    <row r="507" spans="1:15" s="2463" customFormat="1">
      <c r="A507" s="2462"/>
      <c r="B507" s="2462"/>
      <c r="C507" s="2462"/>
      <c r="D507" s="2462"/>
      <c r="E507" s="2462"/>
      <c r="F507" s="2462"/>
      <c r="G507" s="2462"/>
      <c r="H507" s="2462"/>
      <c r="I507" s="2579"/>
      <c r="J507" s="2579"/>
      <c r="K507" s="2579"/>
      <c r="L507" s="2579"/>
      <c r="M507" s="2579"/>
      <c r="N507" s="2579"/>
      <c r="O507" s="2579"/>
    </row>
    <row r="508" spans="1:15" s="2463" customFormat="1">
      <c r="A508" s="2462"/>
      <c r="B508" s="2462"/>
      <c r="C508" s="2462"/>
      <c r="D508" s="2462"/>
      <c r="E508" s="2462"/>
      <c r="F508" s="2462"/>
      <c r="G508" s="2462"/>
      <c r="H508" s="2462"/>
      <c r="I508" s="2579"/>
      <c r="J508" s="2579"/>
      <c r="K508" s="2579"/>
      <c r="L508" s="2579"/>
      <c r="M508" s="2579"/>
      <c r="N508" s="2579"/>
      <c r="O508" s="2579"/>
    </row>
    <row r="509" spans="1:15" s="2463" customFormat="1">
      <c r="A509" s="2462"/>
      <c r="B509" s="2462"/>
      <c r="C509" s="2462"/>
      <c r="D509" s="2462"/>
      <c r="E509" s="2462"/>
      <c r="F509" s="2462"/>
      <c r="G509" s="2462"/>
      <c r="H509" s="2462"/>
      <c r="I509" s="2579"/>
      <c r="J509" s="2579"/>
      <c r="K509" s="2579"/>
      <c r="L509" s="2579"/>
      <c r="M509" s="2579"/>
      <c r="N509" s="2579"/>
      <c r="O509" s="2579"/>
    </row>
    <row r="510" spans="1:15" s="2463" customFormat="1">
      <c r="A510" s="2462"/>
      <c r="B510" s="2462"/>
      <c r="C510" s="2462"/>
      <c r="D510" s="2462"/>
      <c r="E510" s="2462"/>
      <c r="F510" s="2462"/>
      <c r="G510" s="2462"/>
      <c r="H510" s="2462"/>
      <c r="I510" s="2579"/>
      <c r="J510" s="2579"/>
      <c r="K510" s="2579"/>
      <c r="L510" s="2579"/>
      <c r="M510" s="2579"/>
      <c r="N510" s="2579"/>
      <c r="O510" s="2579"/>
    </row>
    <row r="511" spans="1:15" s="2463" customFormat="1">
      <c r="A511" s="2462"/>
      <c r="B511" s="2462"/>
      <c r="C511" s="2462"/>
      <c r="D511" s="2462"/>
      <c r="E511" s="2462"/>
      <c r="F511" s="2462"/>
      <c r="G511" s="2462"/>
      <c r="H511" s="2462"/>
      <c r="I511" s="2579"/>
      <c r="J511" s="2579"/>
      <c r="K511" s="2579"/>
      <c r="L511" s="2579"/>
      <c r="M511" s="2579"/>
      <c r="N511" s="2579"/>
      <c r="O511" s="2579"/>
    </row>
    <row r="512" spans="1:15" s="2463" customFormat="1">
      <c r="A512" s="2462"/>
      <c r="B512" s="2462"/>
      <c r="C512" s="2462"/>
      <c r="D512" s="2462"/>
      <c r="E512" s="2462"/>
      <c r="F512" s="2462"/>
      <c r="G512" s="2462"/>
      <c r="H512" s="2462"/>
      <c r="I512" s="2579"/>
      <c r="J512" s="2579"/>
      <c r="K512" s="2579"/>
      <c r="L512" s="2579"/>
      <c r="M512" s="2579"/>
      <c r="N512" s="2579"/>
      <c r="O512" s="2579"/>
    </row>
    <row r="513" spans="1:15" s="2463" customFormat="1">
      <c r="A513" s="2462"/>
      <c r="B513" s="2462"/>
      <c r="C513" s="2462"/>
      <c r="D513" s="2462"/>
      <c r="E513" s="2462"/>
      <c r="F513" s="2462"/>
      <c r="G513" s="2462"/>
      <c r="H513" s="2462"/>
      <c r="I513" s="2579"/>
      <c r="J513" s="2579"/>
      <c r="K513" s="2579"/>
      <c r="L513" s="2579"/>
      <c r="M513" s="2579"/>
      <c r="N513" s="2579"/>
      <c r="O513" s="2579"/>
    </row>
    <row r="514" spans="1:15" s="2463" customFormat="1">
      <c r="A514" s="2462"/>
      <c r="B514" s="2462"/>
      <c r="C514" s="2462"/>
      <c r="D514" s="2462"/>
      <c r="E514" s="2462"/>
      <c r="F514" s="2462"/>
      <c r="G514" s="2462"/>
      <c r="H514" s="2462"/>
      <c r="I514" s="2579"/>
      <c r="J514" s="2579"/>
      <c r="K514" s="2579"/>
      <c r="L514" s="2579"/>
      <c r="M514" s="2579"/>
      <c r="N514" s="2579"/>
      <c r="O514" s="2579"/>
    </row>
    <row r="515" spans="1:15" s="2463" customFormat="1">
      <c r="A515" s="2462"/>
      <c r="B515" s="2462"/>
      <c r="C515" s="2462"/>
      <c r="D515" s="2462"/>
      <c r="E515" s="2462"/>
      <c r="F515" s="2462"/>
      <c r="G515" s="2462"/>
      <c r="H515" s="2462"/>
      <c r="I515" s="2579"/>
      <c r="J515" s="2579"/>
      <c r="K515" s="2579"/>
      <c r="L515" s="2579"/>
      <c r="M515" s="2579"/>
      <c r="N515" s="2579"/>
      <c r="O515" s="2579"/>
    </row>
    <row r="516" spans="1:15" s="2463" customFormat="1">
      <c r="A516" s="2462"/>
      <c r="B516" s="2462"/>
      <c r="C516" s="2462"/>
      <c r="D516" s="2462"/>
      <c r="E516" s="2462"/>
      <c r="F516" s="2462"/>
      <c r="G516" s="2462"/>
      <c r="H516" s="2462"/>
      <c r="I516" s="2579"/>
      <c r="J516" s="2579"/>
      <c r="K516" s="2579"/>
      <c r="L516" s="2579"/>
      <c r="M516" s="2579"/>
      <c r="N516" s="2579"/>
      <c r="O516" s="2579"/>
    </row>
    <row r="517" spans="1:15" s="2463" customFormat="1">
      <c r="A517" s="2462"/>
      <c r="B517" s="2462"/>
      <c r="C517" s="2462"/>
      <c r="D517" s="2462"/>
      <c r="E517" s="2462"/>
      <c r="F517" s="2462"/>
      <c r="G517" s="2462"/>
      <c r="H517" s="2462"/>
      <c r="I517" s="2579"/>
      <c r="J517" s="2579"/>
      <c r="K517" s="2579"/>
      <c r="L517" s="2579"/>
      <c r="M517" s="2579"/>
      <c r="N517" s="2579"/>
      <c r="O517" s="2579"/>
    </row>
    <row r="518" spans="1:15" s="2463" customFormat="1">
      <c r="A518" s="2462"/>
      <c r="B518" s="2462"/>
      <c r="C518" s="2462"/>
      <c r="D518" s="2462"/>
      <c r="E518" s="2462"/>
      <c r="F518" s="2462"/>
      <c r="G518" s="2462"/>
      <c r="H518" s="2462"/>
      <c r="I518" s="2579"/>
      <c r="J518" s="2579"/>
      <c r="K518" s="2579"/>
      <c r="L518" s="2579"/>
      <c r="M518" s="2579"/>
      <c r="N518" s="2579"/>
      <c r="O518" s="2579"/>
    </row>
    <row r="519" spans="1:15" s="2463" customFormat="1">
      <c r="A519" s="2462"/>
      <c r="B519" s="2462"/>
      <c r="C519" s="2462"/>
      <c r="D519" s="2462"/>
      <c r="E519" s="2462"/>
      <c r="F519" s="2462"/>
      <c r="G519" s="2462"/>
      <c r="H519" s="2462"/>
      <c r="I519" s="2579"/>
      <c r="J519" s="2579"/>
      <c r="K519" s="2579"/>
      <c r="L519" s="2579"/>
      <c r="M519" s="2579"/>
      <c r="N519" s="2579"/>
      <c r="O519" s="2579"/>
    </row>
    <row r="520" spans="1:15" s="2463" customFormat="1">
      <c r="A520" s="2462"/>
      <c r="B520" s="2462"/>
      <c r="C520" s="2462"/>
      <c r="D520" s="2462"/>
      <c r="E520" s="2462"/>
      <c r="F520" s="2462"/>
      <c r="G520" s="2462"/>
      <c r="H520" s="2462"/>
      <c r="I520" s="2579"/>
      <c r="J520" s="2579"/>
      <c r="K520" s="2579"/>
      <c r="L520" s="2579"/>
      <c r="M520" s="2579"/>
      <c r="N520" s="2579"/>
      <c r="O520" s="2579"/>
    </row>
    <row r="521" spans="1:15" s="2463" customFormat="1">
      <c r="A521" s="2462"/>
      <c r="B521" s="2462"/>
      <c r="C521" s="2462"/>
      <c r="D521" s="2462"/>
      <c r="E521" s="2462"/>
      <c r="F521" s="2462"/>
      <c r="G521" s="2462"/>
      <c r="H521" s="2462"/>
      <c r="I521" s="2579"/>
      <c r="J521" s="2579"/>
      <c r="K521" s="2579"/>
      <c r="L521" s="2579"/>
      <c r="M521" s="2579"/>
      <c r="N521" s="2579"/>
      <c r="O521" s="2579"/>
    </row>
    <row r="522" spans="1:15" s="2463" customFormat="1">
      <c r="A522" s="2462"/>
      <c r="B522" s="2462"/>
      <c r="C522" s="2462"/>
      <c r="D522" s="2462"/>
      <c r="E522" s="2462"/>
      <c r="F522" s="2462"/>
      <c r="G522" s="2462"/>
      <c r="H522" s="2462"/>
      <c r="I522" s="2579"/>
      <c r="J522" s="2579"/>
      <c r="K522" s="2579"/>
      <c r="L522" s="2579"/>
      <c r="M522" s="2579"/>
      <c r="N522" s="2579"/>
      <c r="O522" s="2579"/>
    </row>
    <row r="523" spans="1:15" s="2463" customFormat="1">
      <c r="A523" s="2462"/>
      <c r="B523" s="2462"/>
      <c r="C523" s="2462"/>
      <c r="D523" s="2462"/>
      <c r="E523" s="2462"/>
      <c r="F523" s="2462"/>
      <c r="G523" s="2462"/>
      <c r="H523" s="2462"/>
      <c r="I523" s="2579"/>
      <c r="J523" s="2579"/>
      <c r="K523" s="2579"/>
      <c r="L523" s="2579"/>
      <c r="M523" s="2579"/>
      <c r="N523" s="2579"/>
      <c r="O523" s="2579"/>
    </row>
    <row r="524" spans="1:15" s="2463" customFormat="1">
      <c r="A524" s="2462"/>
      <c r="B524" s="2462"/>
      <c r="C524" s="2462"/>
      <c r="D524" s="2462"/>
      <c r="E524" s="2462"/>
      <c r="F524" s="2462"/>
      <c r="G524" s="2462"/>
      <c r="H524" s="2462"/>
      <c r="I524" s="2579"/>
      <c r="J524" s="2579"/>
      <c r="K524" s="2579"/>
      <c r="L524" s="2579"/>
      <c r="M524" s="2579"/>
      <c r="N524" s="2579"/>
      <c r="O524" s="2579"/>
    </row>
    <row r="525" spans="1:15" s="2463" customFormat="1">
      <c r="A525" s="2462"/>
      <c r="B525" s="2462"/>
      <c r="C525" s="2462"/>
      <c r="D525" s="2462"/>
      <c r="E525" s="2462"/>
      <c r="F525" s="2462"/>
      <c r="G525" s="2462"/>
      <c r="H525" s="2462"/>
      <c r="I525" s="2579"/>
      <c r="J525" s="2579"/>
      <c r="K525" s="2579"/>
      <c r="L525" s="2579"/>
      <c r="M525" s="2579"/>
      <c r="N525" s="2579"/>
      <c r="O525" s="2579"/>
    </row>
    <row r="526" spans="1:15" s="2463" customFormat="1">
      <c r="A526" s="2462"/>
      <c r="B526" s="2462"/>
      <c r="C526" s="2462"/>
      <c r="D526" s="2462"/>
      <c r="E526" s="2462"/>
      <c r="F526" s="2462"/>
      <c r="G526" s="2462"/>
      <c r="H526" s="2462"/>
      <c r="I526" s="2579"/>
      <c r="J526" s="2579"/>
      <c r="K526" s="2579"/>
      <c r="L526" s="2579"/>
      <c r="M526" s="2579"/>
      <c r="N526" s="2579"/>
      <c r="O526" s="2579"/>
    </row>
    <row r="527" spans="1:15" s="2463" customFormat="1">
      <c r="A527" s="2462"/>
      <c r="B527" s="2462"/>
      <c r="C527" s="2462"/>
      <c r="D527" s="2462"/>
      <c r="E527" s="2462"/>
      <c r="F527" s="2462"/>
      <c r="G527" s="2462"/>
      <c r="H527" s="2462"/>
      <c r="I527" s="2579"/>
      <c r="J527" s="2579"/>
      <c r="K527" s="2579"/>
      <c r="L527" s="2579"/>
      <c r="M527" s="2579"/>
      <c r="N527" s="2579"/>
      <c r="O527" s="2579"/>
    </row>
    <row r="528" spans="1:15" s="2463" customFormat="1">
      <c r="A528" s="2462"/>
      <c r="B528" s="2462"/>
      <c r="C528" s="2462"/>
      <c r="D528" s="2462"/>
      <c r="E528" s="2462"/>
      <c r="F528" s="2462"/>
      <c r="G528" s="2462"/>
      <c r="H528" s="2462"/>
      <c r="I528" s="2579"/>
      <c r="J528" s="2579"/>
      <c r="K528" s="2579"/>
      <c r="L528" s="2579"/>
      <c r="M528" s="2579"/>
      <c r="N528" s="2579"/>
      <c r="O528" s="2579"/>
    </row>
    <row r="529" spans="1:15" s="2463" customFormat="1">
      <c r="A529" s="2462"/>
      <c r="B529" s="2462"/>
      <c r="C529" s="2462"/>
      <c r="D529" s="2462"/>
      <c r="E529" s="2462"/>
      <c r="F529" s="2462"/>
      <c r="G529" s="2462"/>
      <c r="H529" s="2462"/>
      <c r="I529" s="2579"/>
      <c r="J529" s="2579"/>
      <c r="K529" s="2579"/>
      <c r="L529" s="2579"/>
      <c r="M529" s="2579"/>
      <c r="N529" s="2579"/>
      <c r="O529" s="2579"/>
    </row>
    <row r="530" spans="1:15" s="2463" customFormat="1">
      <c r="A530" s="2462"/>
      <c r="B530" s="2462"/>
      <c r="C530" s="2462"/>
      <c r="D530" s="2462"/>
      <c r="E530" s="2462"/>
      <c r="F530" s="2462"/>
      <c r="G530" s="2462"/>
      <c r="H530" s="2462"/>
      <c r="I530" s="2579"/>
      <c r="J530" s="2579"/>
      <c r="K530" s="2579"/>
      <c r="L530" s="2579"/>
      <c r="M530" s="2579"/>
      <c r="N530" s="2579"/>
      <c r="O530" s="2579"/>
    </row>
    <row r="531" spans="1:15" s="2463" customFormat="1">
      <c r="A531" s="2462"/>
      <c r="B531" s="2462"/>
      <c r="C531" s="2462"/>
      <c r="D531" s="2462"/>
      <c r="E531" s="2462"/>
      <c r="F531" s="2462"/>
      <c r="G531" s="2462"/>
      <c r="H531" s="2462"/>
      <c r="I531" s="2579"/>
      <c r="J531" s="2579"/>
      <c r="K531" s="2579"/>
      <c r="L531" s="2579"/>
      <c r="M531" s="2579"/>
      <c r="N531" s="2579"/>
      <c r="O531" s="2579"/>
    </row>
    <row r="532" spans="1:15" s="2463" customFormat="1">
      <c r="A532" s="2462"/>
      <c r="B532" s="2462"/>
      <c r="C532" s="2462"/>
      <c r="D532" s="2462"/>
      <c r="E532" s="2462"/>
      <c r="F532" s="2462"/>
      <c r="G532" s="2462"/>
      <c r="H532" s="2462"/>
      <c r="I532" s="2579"/>
      <c r="J532" s="2579"/>
      <c r="K532" s="2579"/>
      <c r="L532" s="2579"/>
      <c r="M532" s="2579"/>
      <c r="N532" s="2579"/>
      <c r="O532" s="2579"/>
    </row>
    <row r="533" spans="1:15" s="2463" customFormat="1">
      <c r="A533" s="2462"/>
      <c r="B533" s="2462"/>
      <c r="C533" s="2462"/>
      <c r="D533" s="2462"/>
      <c r="E533" s="2462"/>
      <c r="F533" s="2462"/>
      <c r="G533" s="2462"/>
      <c r="H533" s="2462"/>
      <c r="I533" s="2579"/>
      <c r="J533" s="2579"/>
      <c r="K533" s="2579"/>
      <c r="L533" s="2579"/>
      <c r="M533" s="2579"/>
      <c r="N533" s="2579"/>
      <c r="O533" s="2579"/>
    </row>
    <row r="534" spans="1:15" s="2463" customFormat="1">
      <c r="A534" s="2462"/>
      <c r="B534" s="2462"/>
      <c r="C534" s="2462"/>
      <c r="D534" s="2462"/>
      <c r="E534" s="2462"/>
      <c r="F534" s="2462"/>
      <c r="G534" s="2462"/>
      <c r="H534" s="2462"/>
      <c r="I534" s="2579"/>
      <c r="J534" s="2579"/>
      <c r="K534" s="2579"/>
      <c r="L534" s="2579"/>
      <c r="M534" s="2579"/>
      <c r="N534" s="2579"/>
      <c r="O534" s="2579"/>
    </row>
    <row r="535" spans="1:15" s="2463" customFormat="1">
      <c r="A535" s="2462"/>
      <c r="B535" s="2462"/>
      <c r="C535" s="2462"/>
      <c r="D535" s="2462"/>
      <c r="E535" s="2462"/>
      <c r="F535" s="2462"/>
      <c r="G535" s="2462"/>
      <c r="H535" s="2462"/>
      <c r="I535" s="2579"/>
      <c r="J535" s="2579"/>
      <c r="K535" s="2579"/>
      <c r="L535" s="2579"/>
      <c r="M535" s="2579"/>
      <c r="N535" s="2579"/>
      <c r="O535" s="2579"/>
    </row>
    <row r="536" spans="1:15" s="2463" customFormat="1">
      <c r="A536" s="2462"/>
      <c r="B536" s="2462"/>
      <c r="C536" s="2462"/>
      <c r="D536" s="2462"/>
      <c r="E536" s="2462"/>
      <c r="F536" s="2462"/>
      <c r="G536" s="2462"/>
      <c r="H536" s="2462"/>
      <c r="I536" s="2579"/>
      <c r="J536" s="2579"/>
      <c r="K536" s="2579"/>
      <c r="L536" s="2579"/>
      <c r="M536" s="2579"/>
      <c r="N536" s="2579"/>
      <c r="O536" s="2579"/>
    </row>
    <row r="537" spans="1:15" s="2463" customFormat="1">
      <c r="A537" s="2462"/>
      <c r="B537" s="2462"/>
      <c r="C537" s="2462"/>
      <c r="D537" s="2462"/>
      <c r="E537" s="2462"/>
      <c r="F537" s="2462"/>
      <c r="G537" s="2462"/>
      <c r="H537" s="2462"/>
      <c r="I537" s="2579"/>
      <c r="J537" s="2579"/>
      <c r="K537" s="2579"/>
      <c r="L537" s="2579"/>
      <c r="M537" s="2579"/>
      <c r="N537" s="2579"/>
      <c r="O537" s="2579"/>
    </row>
    <row r="538" spans="1:15" s="2463" customFormat="1">
      <c r="A538" s="2462"/>
      <c r="B538" s="2462"/>
      <c r="C538" s="2462"/>
      <c r="D538" s="2462"/>
      <c r="E538" s="2462"/>
      <c r="F538" s="2462"/>
      <c r="G538" s="2462"/>
      <c r="H538" s="2462"/>
      <c r="I538" s="2579"/>
      <c r="J538" s="2579"/>
      <c r="K538" s="2579"/>
      <c r="L538" s="2579"/>
      <c r="M538" s="2579"/>
      <c r="N538" s="2579"/>
      <c r="O538" s="2579"/>
    </row>
    <row r="539" spans="1:15" s="2463" customFormat="1">
      <c r="A539" s="2462"/>
      <c r="B539" s="2462"/>
      <c r="C539" s="2462"/>
      <c r="D539" s="2462"/>
      <c r="E539" s="2462"/>
      <c r="F539" s="2462"/>
      <c r="G539" s="2462"/>
      <c r="H539" s="2462"/>
      <c r="I539" s="2579"/>
      <c r="J539" s="2579"/>
      <c r="K539" s="2579"/>
      <c r="L539" s="2579"/>
      <c r="M539" s="2579"/>
      <c r="N539" s="2579"/>
      <c r="O539" s="2579"/>
    </row>
    <row r="540" spans="1:15" s="2463" customFormat="1">
      <c r="A540" s="2462"/>
      <c r="B540" s="2462"/>
      <c r="C540" s="2462"/>
      <c r="D540" s="2462"/>
      <c r="E540" s="2462"/>
      <c r="F540" s="2462"/>
      <c r="G540" s="2462"/>
      <c r="H540" s="2462"/>
      <c r="I540" s="2579"/>
      <c r="J540" s="2579"/>
      <c r="K540" s="2579"/>
      <c r="L540" s="2579"/>
      <c r="M540" s="2579"/>
      <c r="N540" s="2579"/>
      <c r="O540" s="2579"/>
    </row>
    <row r="541" spans="1:15" s="2463" customFormat="1">
      <c r="A541" s="2462"/>
      <c r="B541" s="2462"/>
      <c r="C541" s="2462"/>
      <c r="D541" s="2462"/>
      <c r="E541" s="2462"/>
      <c r="F541" s="2462"/>
      <c r="G541" s="2462"/>
      <c r="H541" s="2462"/>
      <c r="I541" s="2579"/>
      <c r="J541" s="2579"/>
      <c r="K541" s="2579"/>
      <c r="L541" s="2579"/>
      <c r="M541" s="2579"/>
      <c r="N541" s="2579"/>
      <c r="O541" s="2579"/>
    </row>
    <row r="542" spans="1:15" s="2463" customFormat="1">
      <c r="A542" s="2462"/>
      <c r="B542" s="2462"/>
      <c r="C542" s="2462"/>
      <c r="D542" s="2462"/>
      <c r="E542" s="2462"/>
      <c r="F542" s="2462"/>
      <c r="G542" s="2462"/>
      <c r="H542" s="2462"/>
      <c r="I542" s="2579"/>
      <c r="J542" s="2579"/>
      <c r="K542" s="2579"/>
      <c r="L542" s="2579"/>
      <c r="M542" s="2579"/>
      <c r="N542" s="2579"/>
      <c r="O542" s="2579"/>
    </row>
    <row r="549" spans="1:15" s="2463" customFormat="1">
      <c r="A549" s="2462"/>
      <c r="B549" s="2462"/>
      <c r="C549" s="2462"/>
      <c r="D549" s="2462"/>
      <c r="E549" s="2462"/>
      <c r="F549" s="2462"/>
      <c r="G549" s="2462"/>
      <c r="H549" s="2462"/>
      <c r="I549" s="2579"/>
      <c r="J549" s="2579"/>
      <c r="K549" s="2579"/>
      <c r="L549" s="2579"/>
      <c r="M549" s="2579"/>
      <c r="N549" s="2579"/>
      <c r="O549" s="2579"/>
    </row>
    <row r="550" spans="1:15" s="2463" customFormat="1">
      <c r="A550" s="2462"/>
      <c r="B550" s="2462"/>
      <c r="C550" s="2462"/>
      <c r="D550" s="2462"/>
      <c r="E550" s="2462"/>
      <c r="F550" s="2462"/>
      <c r="G550" s="2462"/>
      <c r="H550" s="2462"/>
      <c r="I550" s="2579"/>
      <c r="J550" s="2579"/>
      <c r="K550" s="2579"/>
      <c r="L550" s="2579"/>
      <c r="M550" s="2579"/>
      <c r="N550" s="2579"/>
      <c r="O550" s="2579"/>
    </row>
    <row r="551" spans="1:15" s="2463" customFormat="1">
      <c r="A551" s="2462"/>
      <c r="B551" s="2462"/>
      <c r="C551" s="2462"/>
      <c r="D551" s="2462"/>
      <c r="E551" s="2462"/>
      <c r="F551" s="2462"/>
      <c r="G551" s="2462"/>
      <c r="H551" s="2462"/>
      <c r="I551" s="2579"/>
      <c r="J551" s="2579"/>
      <c r="K551" s="2579"/>
      <c r="L551" s="2579"/>
      <c r="M551" s="2579"/>
      <c r="N551" s="2579"/>
      <c r="O551" s="2579"/>
    </row>
    <row r="552" spans="1:15" s="2463" customFormat="1">
      <c r="A552" s="2462"/>
      <c r="B552" s="2462"/>
      <c r="C552" s="2462"/>
      <c r="D552" s="2462"/>
      <c r="E552" s="2462"/>
      <c r="F552" s="2462"/>
      <c r="G552" s="2462"/>
      <c r="H552" s="2462"/>
      <c r="I552" s="2579"/>
      <c r="J552" s="2579"/>
      <c r="K552" s="2579"/>
      <c r="L552" s="2579"/>
      <c r="M552" s="2579"/>
      <c r="N552" s="2579"/>
      <c r="O552" s="2579"/>
    </row>
    <row r="553" spans="1:15" s="2463" customFormat="1">
      <c r="A553" s="2462"/>
      <c r="B553" s="2462"/>
      <c r="C553" s="2462"/>
      <c r="D553" s="2462"/>
      <c r="E553" s="2462"/>
      <c r="F553" s="2462"/>
      <c r="G553" s="2462"/>
      <c r="H553" s="2462"/>
      <c r="I553" s="2579"/>
      <c r="J553" s="2579"/>
      <c r="K553" s="2579"/>
      <c r="L553" s="2579"/>
      <c r="M553" s="2579"/>
      <c r="N553" s="2579"/>
      <c r="O553" s="2579"/>
    </row>
    <row r="554" spans="1:15" s="2463" customFormat="1">
      <c r="A554" s="2462"/>
      <c r="B554" s="2462"/>
      <c r="C554" s="2462"/>
      <c r="D554" s="2462"/>
      <c r="E554" s="2462"/>
      <c r="F554" s="2462"/>
      <c r="G554" s="2462"/>
      <c r="H554" s="2462"/>
      <c r="I554" s="2579"/>
      <c r="J554" s="2579"/>
      <c r="K554" s="2579"/>
      <c r="L554" s="2579"/>
      <c r="M554" s="2579"/>
      <c r="N554" s="2579"/>
      <c r="O554" s="2579"/>
    </row>
    <row r="555" spans="1:15" s="2463" customFormat="1">
      <c r="A555" s="2462"/>
      <c r="B555" s="2462"/>
      <c r="C555" s="2462"/>
      <c r="D555" s="2462"/>
      <c r="E555" s="2462"/>
      <c r="F555" s="2462"/>
      <c r="G555" s="2462"/>
      <c r="H555" s="2462"/>
      <c r="I555" s="2579"/>
      <c r="J555" s="2579"/>
      <c r="K555" s="2579"/>
      <c r="L555" s="2579"/>
      <c r="M555" s="2579"/>
      <c r="N555" s="2579"/>
      <c r="O555" s="2579"/>
    </row>
    <row r="556" spans="1:15" s="2463" customFormat="1">
      <c r="A556" s="2462"/>
      <c r="B556" s="2462"/>
      <c r="C556" s="2462"/>
      <c r="D556" s="2462"/>
      <c r="E556" s="2462"/>
      <c r="F556" s="2462"/>
      <c r="G556" s="2462"/>
      <c r="H556" s="2462"/>
      <c r="I556" s="2579"/>
      <c r="J556" s="2579"/>
      <c r="K556" s="2579"/>
      <c r="L556" s="2579"/>
      <c r="M556" s="2579"/>
      <c r="N556" s="2579"/>
      <c r="O556" s="2579"/>
    </row>
    <row r="557" spans="1:15" s="2463" customFormat="1">
      <c r="A557" s="2462"/>
      <c r="B557" s="2462"/>
      <c r="C557" s="2462"/>
      <c r="D557" s="2462"/>
      <c r="E557" s="2462"/>
      <c r="F557" s="2462"/>
      <c r="G557" s="2462"/>
      <c r="H557" s="2462"/>
      <c r="I557" s="2579"/>
      <c r="J557" s="2579"/>
      <c r="K557" s="2579"/>
      <c r="L557" s="2579"/>
      <c r="M557" s="2579"/>
      <c r="N557" s="2579"/>
      <c r="O557" s="2579"/>
    </row>
    <row r="558" spans="1:15" s="2463" customFormat="1">
      <c r="A558" s="2462"/>
      <c r="B558" s="2462"/>
      <c r="C558" s="2462"/>
      <c r="D558" s="2462"/>
      <c r="E558" s="2462"/>
      <c r="F558" s="2462"/>
      <c r="G558" s="2462"/>
      <c r="H558" s="2462"/>
      <c r="I558" s="2579"/>
      <c r="J558" s="2579"/>
      <c r="K558" s="2579"/>
      <c r="L558" s="2579"/>
      <c r="M558" s="2579"/>
      <c r="N558" s="2579"/>
      <c r="O558" s="2579"/>
    </row>
    <row r="559" spans="1:15" s="2463" customFormat="1">
      <c r="A559" s="2462"/>
      <c r="B559" s="2462"/>
      <c r="C559" s="2462"/>
      <c r="D559" s="2462"/>
      <c r="E559" s="2462"/>
      <c r="F559" s="2462"/>
      <c r="G559" s="2462"/>
      <c r="H559" s="2462"/>
      <c r="I559" s="2579"/>
      <c r="J559" s="2579"/>
      <c r="K559" s="2579"/>
      <c r="L559" s="2579"/>
      <c r="M559" s="2579"/>
      <c r="N559" s="2579"/>
      <c r="O559" s="2579"/>
    </row>
    <row r="560" spans="1:15" s="2463" customFormat="1">
      <c r="A560" s="2462"/>
      <c r="B560" s="2462"/>
      <c r="C560" s="2462"/>
      <c r="D560" s="2462"/>
      <c r="E560" s="2462"/>
      <c r="F560" s="2462"/>
      <c r="G560" s="2462"/>
      <c r="H560" s="2462"/>
      <c r="I560" s="2579"/>
      <c r="J560" s="2579"/>
      <c r="K560" s="2579"/>
      <c r="L560" s="2579"/>
      <c r="M560" s="2579"/>
      <c r="N560" s="2579"/>
      <c r="O560" s="2579"/>
    </row>
    <row r="561" spans="1:15" s="2463" customFormat="1">
      <c r="A561" s="2462"/>
      <c r="B561" s="2462"/>
      <c r="C561" s="2462"/>
      <c r="D561" s="2462"/>
      <c r="E561" s="2462"/>
      <c r="F561" s="2462"/>
      <c r="G561" s="2462"/>
      <c r="H561" s="2462"/>
      <c r="I561" s="2579"/>
      <c r="J561" s="2579"/>
      <c r="K561" s="2579"/>
      <c r="L561" s="2579"/>
      <c r="M561" s="2579"/>
      <c r="N561" s="2579"/>
      <c r="O561" s="2579"/>
    </row>
    <row r="562" spans="1:15" s="2463" customFormat="1">
      <c r="A562" s="2462"/>
      <c r="B562" s="2462"/>
      <c r="C562" s="2462"/>
      <c r="D562" s="2462"/>
      <c r="E562" s="2462"/>
      <c r="F562" s="2462"/>
      <c r="G562" s="2462"/>
      <c r="H562" s="2462"/>
      <c r="I562" s="2579"/>
      <c r="J562" s="2579"/>
      <c r="K562" s="2579"/>
      <c r="L562" s="2579"/>
      <c r="M562" s="2579"/>
      <c r="N562" s="2579"/>
      <c r="O562" s="2579"/>
    </row>
    <row r="563" spans="1:15" s="2463" customFormat="1">
      <c r="A563" s="2462"/>
      <c r="B563" s="2462"/>
      <c r="C563" s="2462"/>
      <c r="D563" s="2462"/>
      <c r="E563" s="2462"/>
      <c r="F563" s="2462"/>
      <c r="G563" s="2462"/>
      <c r="H563" s="2462"/>
      <c r="I563" s="2579"/>
      <c r="J563" s="2579"/>
      <c r="K563" s="2579"/>
      <c r="L563" s="2579"/>
      <c r="M563" s="2579"/>
      <c r="N563" s="2579"/>
      <c r="O563" s="2579"/>
    </row>
    <row r="564" spans="1:15" s="2463" customFormat="1">
      <c r="A564" s="2462"/>
      <c r="B564" s="2462"/>
      <c r="C564" s="2462"/>
      <c r="D564" s="2462"/>
      <c r="E564" s="2462"/>
      <c r="F564" s="2462"/>
      <c r="G564" s="2462"/>
      <c r="H564" s="2462"/>
      <c r="I564" s="2579"/>
      <c r="J564" s="2579"/>
      <c r="K564" s="2579"/>
      <c r="L564" s="2579"/>
      <c r="M564" s="2579"/>
      <c r="N564" s="2579"/>
      <c r="O564" s="2579"/>
    </row>
    <row r="565" spans="1:15" s="2463" customFormat="1">
      <c r="A565" s="2462"/>
      <c r="B565" s="2462"/>
      <c r="C565" s="2462"/>
      <c r="D565" s="2462"/>
      <c r="E565" s="2462"/>
      <c r="F565" s="2462"/>
      <c r="G565" s="2462"/>
      <c r="H565" s="2462"/>
      <c r="I565" s="2579"/>
      <c r="J565" s="2579"/>
      <c r="K565" s="2579"/>
      <c r="L565" s="2579"/>
      <c r="M565" s="2579"/>
      <c r="N565" s="2579"/>
      <c r="O565" s="2579"/>
    </row>
    <row r="566" spans="1:15" s="2463" customFormat="1" ht="7.5" customHeight="1">
      <c r="A566" s="2462"/>
      <c r="B566" s="2462"/>
      <c r="C566" s="2462"/>
      <c r="D566" s="2462"/>
      <c r="E566" s="2462"/>
      <c r="F566" s="2462"/>
      <c r="G566" s="2462"/>
      <c r="H566" s="2462"/>
      <c r="I566" s="2579"/>
      <c r="J566" s="2579"/>
      <c r="K566" s="2579"/>
      <c r="L566" s="2579"/>
      <c r="M566" s="2579"/>
      <c r="N566" s="2579"/>
      <c r="O566" s="2579"/>
    </row>
    <row r="567" spans="1:15" s="2463" customFormat="1" ht="7.5" customHeight="1">
      <c r="A567" s="2462"/>
      <c r="B567" s="2462"/>
      <c r="C567" s="2462"/>
      <c r="D567" s="2462"/>
      <c r="E567" s="2462"/>
      <c r="F567" s="2462"/>
      <c r="G567" s="2462"/>
      <c r="H567" s="2462"/>
      <c r="I567" s="2579"/>
      <c r="J567" s="2579"/>
      <c r="K567" s="2579"/>
      <c r="L567" s="2579"/>
      <c r="M567" s="2579"/>
      <c r="N567" s="2579"/>
      <c r="O567" s="2579"/>
    </row>
    <row r="568" spans="1:15" s="2463" customFormat="1" ht="7.5" customHeight="1">
      <c r="A568" s="2462"/>
      <c r="B568" s="2462"/>
      <c r="C568" s="2462"/>
      <c r="D568" s="2462"/>
      <c r="E568" s="2462"/>
      <c r="F568" s="2462"/>
      <c r="G568" s="2462"/>
      <c r="H568" s="2462"/>
      <c r="I568" s="2579"/>
      <c r="J568" s="2579"/>
      <c r="K568" s="2579"/>
      <c r="L568" s="2579"/>
      <c r="M568" s="2579"/>
      <c r="N568" s="2579"/>
      <c r="O568" s="2579"/>
    </row>
    <row r="569" spans="1:15" s="2463" customFormat="1" ht="7.5" customHeight="1">
      <c r="A569" s="2462"/>
      <c r="B569" s="2462"/>
      <c r="C569" s="2462"/>
      <c r="D569" s="2462"/>
      <c r="E569" s="2462"/>
      <c r="F569" s="2462"/>
      <c r="G569" s="2462"/>
      <c r="H569" s="2462"/>
      <c r="I569" s="2579"/>
      <c r="J569" s="2579"/>
      <c r="K569" s="2579"/>
      <c r="L569" s="2579"/>
      <c r="M569" s="2579"/>
      <c r="N569" s="2579"/>
      <c r="O569" s="2579"/>
    </row>
    <row r="570" spans="1:15" s="2463" customFormat="1" ht="7.5" customHeight="1">
      <c r="A570" s="2462"/>
      <c r="B570" s="2462"/>
      <c r="C570" s="2462"/>
      <c r="D570" s="2462"/>
      <c r="E570" s="2462"/>
      <c r="F570" s="2462"/>
      <c r="G570" s="2462"/>
      <c r="H570" s="2462"/>
      <c r="I570" s="2579"/>
      <c r="J570" s="2579"/>
      <c r="K570" s="2579"/>
      <c r="L570" s="2579"/>
      <c r="M570" s="2579"/>
      <c r="N570" s="2579"/>
      <c r="O570" s="2579"/>
    </row>
    <row r="571" spans="1:15" s="2463" customFormat="1" ht="7.5" customHeight="1">
      <c r="A571" s="2462"/>
      <c r="B571" s="2462"/>
      <c r="C571" s="2462"/>
      <c r="D571" s="2462"/>
      <c r="E571" s="2462"/>
      <c r="F571" s="2462"/>
      <c r="G571" s="2462"/>
      <c r="H571" s="2462"/>
      <c r="I571" s="2579"/>
      <c r="J571" s="2579"/>
      <c r="K571" s="2579"/>
      <c r="L571" s="2579"/>
      <c r="M571" s="2579"/>
      <c r="N571" s="2579"/>
      <c r="O571" s="2579"/>
    </row>
    <row r="572" spans="1:15" s="2463" customFormat="1" ht="7.5" customHeight="1">
      <c r="A572" s="2462"/>
      <c r="B572" s="2462"/>
      <c r="C572" s="2462"/>
      <c r="D572" s="2462"/>
      <c r="E572" s="2462"/>
      <c r="F572" s="2462"/>
      <c r="G572" s="2462"/>
      <c r="H572" s="2462"/>
      <c r="I572" s="2579"/>
      <c r="J572" s="2579"/>
      <c r="K572" s="2579"/>
      <c r="L572" s="2579"/>
      <c r="M572" s="2579"/>
      <c r="N572" s="2579"/>
      <c r="O572" s="2579"/>
    </row>
    <row r="573" spans="1:15" s="2463" customFormat="1" ht="7.5" customHeight="1">
      <c r="A573" s="2462"/>
      <c r="B573" s="2462"/>
      <c r="C573" s="2462"/>
      <c r="D573" s="2462"/>
      <c r="E573" s="2462"/>
      <c r="F573" s="2462"/>
      <c r="G573" s="2462"/>
      <c r="H573" s="2462"/>
      <c r="I573" s="2579"/>
      <c r="J573" s="2579"/>
      <c r="K573" s="2579"/>
      <c r="L573" s="2579"/>
      <c r="M573" s="2579"/>
      <c r="N573" s="2579"/>
      <c r="O573" s="2579"/>
    </row>
    <row r="574" spans="1:15" s="2463" customFormat="1" ht="7.5" customHeight="1">
      <c r="A574" s="2462"/>
      <c r="B574" s="2462"/>
      <c r="C574" s="2462"/>
      <c r="D574" s="2462"/>
      <c r="E574" s="2462"/>
      <c r="F574" s="2462"/>
      <c r="G574" s="2462"/>
      <c r="H574" s="2462"/>
      <c r="I574" s="2579"/>
      <c r="J574" s="2579"/>
      <c r="K574" s="2579"/>
      <c r="L574" s="2579"/>
      <c r="M574" s="2579"/>
      <c r="N574" s="2579"/>
      <c r="O574" s="2579"/>
    </row>
    <row r="575" spans="1:15" s="2463" customFormat="1" ht="7.5" customHeight="1">
      <c r="A575" s="2462"/>
      <c r="B575" s="2462"/>
      <c r="C575" s="2462"/>
      <c r="D575" s="2462"/>
      <c r="E575" s="2462"/>
      <c r="F575" s="2462"/>
      <c r="G575" s="2462"/>
      <c r="H575" s="2462"/>
      <c r="I575" s="2579"/>
      <c r="J575" s="2579"/>
      <c r="K575" s="2579"/>
      <c r="L575" s="2579"/>
      <c r="M575" s="2579"/>
      <c r="N575" s="2579"/>
      <c r="O575" s="2579"/>
    </row>
    <row r="576" spans="1:15" s="2463" customFormat="1" ht="7.5" customHeight="1">
      <c r="A576" s="2462"/>
      <c r="B576" s="2462"/>
      <c r="C576" s="2462"/>
      <c r="D576" s="2462"/>
      <c r="E576" s="2462"/>
      <c r="F576" s="2462"/>
      <c r="G576" s="2462"/>
      <c r="H576" s="2462"/>
      <c r="I576" s="2579"/>
      <c r="J576" s="2579"/>
      <c r="K576" s="2579"/>
      <c r="L576" s="2579"/>
      <c r="M576" s="2579"/>
      <c r="N576" s="2579"/>
      <c r="O576" s="2579"/>
    </row>
    <row r="577" spans="1:15" s="2463" customFormat="1" ht="7.5" customHeight="1">
      <c r="A577" s="2462"/>
      <c r="B577" s="2462"/>
      <c r="C577" s="2462"/>
      <c r="D577" s="2462"/>
      <c r="E577" s="2462"/>
      <c r="F577" s="2462"/>
      <c r="G577" s="2462"/>
      <c r="H577" s="2462"/>
      <c r="I577" s="2579"/>
      <c r="J577" s="2579"/>
      <c r="K577" s="2579"/>
      <c r="L577" s="2579"/>
      <c r="M577" s="2579"/>
      <c r="N577" s="2579"/>
      <c r="O577" s="2579"/>
    </row>
    <row r="578" spans="1:15" s="2463" customFormat="1" ht="7.5" customHeight="1">
      <c r="A578" s="2462"/>
      <c r="B578" s="2462"/>
      <c r="C578" s="2462"/>
      <c r="D578" s="2462"/>
      <c r="E578" s="2462"/>
      <c r="F578" s="2462"/>
      <c r="G578" s="2462"/>
      <c r="H578" s="2462"/>
      <c r="I578" s="2579"/>
      <c r="J578" s="2579"/>
      <c r="K578" s="2579"/>
      <c r="L578" s="2579"/>
      <c r="M578" s="2579"/>
      <c r="N578" s="2579"/>
      <c r="O578" s="2579"/>
    </row>
    <row r="579" spans="1:15" s="2463" customFormat="1" ht="7.5" customHeight="1">
      <c r="A579" s="2462"/>
      <c r="B579" s="2462"/>
      <c r="C579" s="2462"/>
      <c r="D579" s="2462"/>
      <c r="E579" s="2462"/>
      <c r="F579" s="2462"/>
      <c r="G579" s="2462"/>
      <c r="H579" s="2462"/>
      <c r="I579" s="2579"/>
      <c r="J579" s="2579"/>
      <c r="K579" s="2579"/>
      <c r="L579" s="2579"/>
      <c r="M579" s="2579"/>
      <c r="N579" s="2579"/>
      <c r="O579" s="2579"/>
    </row>
    <row r="580" spans="1:15" s="2463" customFormat="1" ht="7.5" customHeight="1">
      <c r="A580" s="2462"/>
      <c r="B580" s="2462"/>
      <c r="C580" s="2462"/>
      <c r="D580" s="2462"/>
      <c r="E580" s="2462"/>
      <c r="F580" s="2462"/>
      <c r="G580" s="2462"/>
      <c r="H580" s="2462"/>
      <c r="I580" s="2579"/>
      <c r="J580" s="2579"/>
      <c r="K580" s="2579"/>
      <c r="L580" s="2579"/>
      <c r="M580" s="2579"/>
      <c r="N580" s="2579"/>
      <c r="O580" s="2579"/>
    </row>
    <row r="581" spans="1:15" s="2463" customFormat="1" ht="7.5" customHeight="1">
      <c r="A581" s="2462"/>
      <c r="B581" s="2462"/>
      <c r="C581" s="2462"/>
      <c r="D581" s="2462"/>
      <c r="E581" s="2462"/>
      <c r="F581" s="2462"/>
      <c r="G581" s="2462"/>
      <c r="H581" s="2462"/>
      <c r="I581" s="2579"/>
      <c r="J581" s="2579"/>
      <c r="K581" s="2579"/>
      <c r="L581" s="2579"/>
      <c r="M581" s="2579"/>
      <c r="N581" s="2579"/>
      <c r="O581" s="2579"/>
    </row>
    <row r="582" spans="1:15" s="2463" customFormat="1" ht="7.5" customHeight="1">
      <c r="A582" s="2462"/>
      <c r="B582" s="2462"/>
      <c r="C582" s="2462"/>
      <c r="D582" s="2462"/>
      <c r="E582" s="2462"/>
      <c r="F582" s="2462"/>
      <c r="G582" s="2462"/>
      <c r="H582" s="2462"/>
      <c r="I582" s="2579"/>
      <c r="J582" s="2579"/>
      <c r="K582" s="2579"/>
      <c r="L582" s="2579"/>
      <c r="M582" s="2579"/>
      <c r="N582" s="2579"/>
      <c r="O582" s="2579"/>
    </row>
    <row r="583" spans="1:15" s="2463" customFormat="1" ht="7.5" customHeight="1">
      <c r="A583" s="2462"/>
      <c r="B583" s="2462"/>
      <c r="C583" s="2462"/>
      <c r="D583" s="2462"/>
      <c r="E583" s="2462"/>
      <c r="F583" s="2462"/>
      <c r="G583" s="2462"/>
      <c r="H583" s="2462"/>
      <c r="I583" s="2579"/>
      <c r="J583" s="2579"/>
      <c r="K583" s="2579"/>
      <c r="L583" s="2579"/>
      <c r="M583" s="2579"/>
      <c r="N583" s="2579"/>
      <c r="O583" s="2579"/>
    </row>
    <row r="584" spans="1:15" s="2463" customFormat="1" ht="7.5" customHeight="1">
      <c r="A584" s="2462"/>
      <c r="B584" s="2462"/>
      <c r="C584" s="2462"/>
      <c r="D584" s="2462"/>
      <c r="E584" s="2462"/>
      <c r="F584" s="2462"/>
      <c r="G584" s="2462"/>
      <c r="H584" s="2462"/>
      <c r="I584" s="2579"/>
      <c r="J584" s="2579"/>
      <c r="K584" s="2579"/>
      <c r="L584" s="2579"/>
      <c r="M584" s="2579"/>
      <c r="N584" s="2579"/>
      <c r="O584" s="2579"/>
    </row>
    <row r="585" spans="1:15" s="2463" customFormat="1" ht="7.5" customHeight="1">
      <c r="A585" s="2462"/>
      <c r="B585" s="2462"/>
      <c r="C585" s="2462"/>
      <c r="D585" s="2462"/>
      <c r="E585" s="2462"/>
      <c r="F585" s="2462"/>
      <c r="G585" s="2462"/>
      <c r="H585" s="2462"/>
      <c r="I585" s="2579"/>
      <c r="J585" s="2579"/>
      <c r="K585" s="2579"/>
      <c r="L585" s="2579"/>
      <c r="M585" s="2579"/>
      <c r="N585" s="2579"/>
      <c r="O585" s="2579"/>
    </row>
    <row r="586" spans="1:15" s="2463" customFormat="1" ht="7.5" customHeight="1">
      <c r="A586" s="2462"/>
      <c r="B586" s="2462"/>
      <c r="C586" s="2462"/>
      <c r="D586" s="2462"/>
      <c r="E586" s="2462"/>
      <c r="F586" s="2462"/>
      <c r="G586" s="2462"/>
      <c r="H586" s="2462"/>
      <c r="I586" s="2579"/>
      <c r="J586" s="2579"/>
      <c r="K586" s="2579"/>
      <c r="L586" s="2579"/>
      <c r="M586" s="2579"/>
      <c r="N586" s="2579"/>
      <c r="O586" s="2579"/>
    </row>
    <row r="587" spans="1:15" s="2463" customFormat="1" ht="7.5" customHeight="1">
      <c r="A587" s="2462"/>
      <c r="B587" s="2462"/>
      <c r="C587" s="2462"/>
      <c r="D587" s="2462"/>
      <c r="E587" s="2462"/>
      <c r="F587" s="2462"/>
      <c r="G587" s="2462"/>
      <c r="H587" s="2462"/>
      <c r="I587" s="2579"/>
      <c r="J587" s="2579"/>
      <c r="K587" s="2579"/>
      <c r="L587" s="2579"/>
      <c r="M587" s="2579"/>
      <c r="N587" s="2579"/>
      <c r="O587" s="2579"/>
    </row>
    <row r="588" spans="1:15" s="2463" customFormat="1" ht="7.5" customHeight="1">
      <c r="A588" s="2462"/>
      <c r="B588" s="2462"/>
      <c r="C588" s="2462"/>
      <c r="D588" s="2462"/>
      <c r="E588" s="2462"/>
      <c r="F588" s="2462"/>
      <c r="G588" s="2462"/>
      <c r="H588" s="2462"/>
      <c r="I588" s="2579"/>
      <c r="J588" s="2579"/>
      <c r="K588" s="2579"/>
      <c r="L588" s="2579"/>
      <c r="M588" s="2579"/>
      <c r="N588" s="2579"/>
      <c r="O588" s="2579"/>
    </row>
    <row r="589" spans="1:15" s="2463" customFormat="1" ht="7.5" customHeight="1">
      <c r="A589" s="2462"/>
      <c r="B589" s="2462"/>
      <c r="C589" s="2462"/>
      <c r="D589" s="2462"/>
      <c r="E589" s="2462"/>
      <c r="F589" s="2462"/>
      <c r="G589" s="2462"/>
      <c r="H589" s="2462"/>
      <c r="I589" s="2579"/>
      <c r="J589" s="2579"/>
      <c r="K589" s="2579"/>
      <c r="L589" s="2579"/>
      <c r="M589" s="2579"/>
      <c r="N589" s="2579"/>
      <c r="O589" s="2579"/>
    </row>
    <row r="590" spans="1:15" s="2463" customFormat="1" ht="7.5" customHeight="1">
      <c r="A590" s="2462"/>
      <c r="B590" s="2462"/>
      <c r="C590" s="2462"/>
      <c r="D590" s="2462"/>
      <c r="E590" s="2462"/>
      <c r="F590" s="2462"/>
      <c r="G590" s="2462"/>
      <c r="H590" s="2462"/>
      <c r="I590" s="2579"/>
      <c r="J590" s="2579"/>
      <c r="K590" s="2579"/>
      <c r="L590" s="2579"/>
      <c r="M590" s="2579"/>
      <c r="N590" s="2579"/>
      <c r="O590" s="2579"/>
    </row>
    <row r="591" spans="1:15" s="2463" customFormat="1" ht="7.5" customHeight="1">
      <c r="A591" s="2462"/>
      <c r="B591" s="2462"/>
      <c r="C591" s="2462"/>
      <c r="D591" s="2462"/>
      <c r="E591" s="2462"/>
      <c r="F591" s="2462"/>
      <c r="G591" s="2462"/>
      <c r="H591" s="2462"/>
      <c r="I591" s="2579"/>
      <c r="J591" s="2579"/>
      <c r="K591" s="2579"/>
      <c r="L591" s="2579"/>
      <c r="M591" s="2579"/>
      <c r="N591" s="2579"/>
      <c r="O591" s="2579"/>
    </row>
    <row r="592" spans="1:15" s="2463" customFormat="1" ht="7.5" customHeight="1">
      <c r="A592" s="2462"/>
      <c r="B592" s="2462"/>
      <c r="C592" s="2462"/>
      <c r="D592" s="2462"/>
      <c r="E592" s="2462"/>
      <c r="F592" s="2462"/>
      <c r="G592" s="2462"/>
      <c r="H592" s="2462"/>
      <c r="I592" s="2579"/>
      <c r="J592" s="2579"/>
      <c r="K592" s="2579"/>
      <c r="L592" s="2579"/>
      <c r="M592" s="2579"/>
      <c r="N592" s="2579"/>
      <c r="O592" s="2579"/>
    </row>
    <row r="593" spans="1:15" s="2463" customFormat="1" ht="7.5" customHeight="1">
      <c r="A593" s="2462"/>
      <c r="B593" s="2462"/>
      <c r="C593" s="2462"/>
      <c r="D593" s="2462"/>
      <c r="E593" s="2462"/>
      <c r="F593" s="2462"/>
      <c r="G593" s="2462"/>
      <c r="H593" s="2462"/>
      <c r="I593" s="2579"/>
      <c r="J593" s="2579"/>
      <c r="K593" s="2579"/>
      <c r="L593" s="2579"/>
      <c r="M593" s="2579"/>
      <c r="N593" s="2579"/>
      <c r="O593" s="2579"/>
    </row>
    <row r="594" spans="1:15" s="2463" customFormat="1" ht="7.5" customHeight="1">
      <c r="A594" s="2462"/>
      <c r="B594" s="2462"/>
      <c r="C594" s="2462"/>
      <c r="D594" s="2462"/>
      <c r="E594" s="2462"/>
      <c r="F594" s="2462"/>
      <c r="G594" s="2462"/>
      <c r="H594" s="2462"/>
      <c r="I594" s="2579"/>
      <c r="J594" s="2579"/>
      <c r="K594" s="2579"/>
      <c r="L594" s="2579"/>
      <c r="M594" s="2579"/>
      <c r="N594" s="2579"/>
      <c r="O594" s="2579"/>
    </row>
    <row r="595" spans="1:15" s="2463" customFormat="1" ht="7.5" customHeight="1">
      <c r="A595" s="2462"/>
      <c r="B595" s="2462"/>
      <c r="C595" s="2462"/>
      <c r="D595" s="2462"/>
      <c r="E595" s="2462"/>
      <c r="F595" s="2462"/>
      <c r="G595" s="2462"/>
      <c r="H595" s="2462"/>
      <c r="I595" s="2579"/>
      <c r="J595" s="2579"/>
      <c r="K595" s="2579"/>
      <c r="L595" s="2579"/>
      <c r="M595" s="2579"/>
      <c r="N595" s="2579"/>
      <c r="O595" s="2579"/>
    </row>
    <row r="596" spans="1:15" s="2463" customFormat="1" ht="7.5" customHeight="1">
      <c r="A596" s="2462"/>
      <c r="B596" s="2462"/>
      <c r="C596" s="2462"/>
      <c r="D596" s="2462"/>
      <c r="E596" s="2462"/>
      <c r="F596" s="2462"/>
      <c r="G596" s="2462"/>
      <c r="H596" s="2462"/>
      <c r="I596" s="2579"/>
      <c r="J596" s="2579"/>
      <c r="K596" s="2579"/>
      <c r="L596" s="2579"/>
      <c r="M596" s="2579"/>
      <c r="N596" s="2579"/>
      <c r="O596" s="2579"/>
    </row>
    <row r="597" spans="1:15" s="2463" customFormat="1" ht="7.5" customHeight="1">
      <c r="A597" s="2462"/>
      <c r="B597" s="2462"/>
      <c r="C597" s="2462"/>
      <c r="D597" s="2462"/>
      <c r="E597" s="2462"/>
      <c r="F597" s="2462"/>
      <c r="G597" s="2462"/>
      <c r="H597" s="2462"/>
      <c r="I597" s="2579"/>
      <c r="J597" s="2579"/>
      <c r="K597" s="2579"/>
      <c r="L597" s="2579"/>
      <c r="M597" s="2579"/>
      <c r="N597" s="2579"/>
      <c r="O597" s="2579"/>
    </row>
    <row r="598" spans="1:15" s="2463" customFormat="1" ht="7.5" customHeight="1">
      <c r="A598" s="2462"/>
      <c r="B598" s="2462"/>
      <c r="C598" s="2462"/>
      <c r="D598" s="2462"/>
      <c r="E598" s="2462"/>
      <c r="F598" s="2462"/>
      <c r="G598" s="2462"/>
      <c r="H598" s="2462"/>
      <c r="I598" s="2579"/>
      <c r="J598" s="2579"/>
      <c r="K598" s="2579"/>
      <c r="L598" s="2579"/>
      <c r="M598" s="2579"/>
      <c r="N598" s="2579"/>
      <c r="O598" s="2579"/>
    </row>
    <row r="599" spans="1:15" s="2463" customFormat="1" ht="7.5" customHeight="1">
      <c r="A599" s="2462"/>
      <c r="B599" s="2462"/>
      <c r="C599" s="2462"/>
      <c r="D599" s="2462"/>
      <c r="E599" s="2462"/>
      <c r="F599" s="2462"/>
      <c r="G599" s="2462"/>
      <c r="H599" s="2462"/>
      <c r="I599" s="2579"/>
      <c r="J599" s="2579"/>
      <c r="K599" s="2579"/>
      <c r="L599" s="2579"/>
      <c r="M599" s="2579"/>
      <c r="N599" s="2579"/>
      <c r="O599" s="2579"/>
    </row>
    <row r="600" spans="1:15" s="2463" customFormat="1" ht="7.5" customHeight="1">
      <c r="A600" s="2462"/>
      <c r="B600" s="2462"/>
      <c r="C600" s="2462"/>
      <c r="D600" s="2462"/>
      <c r="E600" s="2462"/>
      <c r="F600" s="2462"/>
      <c r="G600" s="2462"/>
      <c r="H600" s="2462"/>
      <c r="I600" s="2579"/>
      <c r="J600" s="2579"/>
      <c r="K600" s="2579"/>
      <c r="L600" s="2579"/>
      <c r="M600" s="2579"/>
      <c r="N600" s="2579"/>
      <c r="O600" s="2579"/>
    </row>
    <row r="601" spans="1:15" s="2463" customFormat="1" ht="7.5" customHeight="1">
      <c r="A601" s="2462"/>
      <c r="B601" s="2462"/>
      <c r="C601" s="2462"/>
      <c r="D601" s="2462"/>
      <c r="E601" s="2462"/>
      <c r="F601" s="2462"/>
      <c r="G601" s="2462"/>
      <c r="H601" s="2462"/>
      <c r="I601" s="2579"/>
      <c r="J601" s="2579"/>
      <c r="K601" s="2579"/>
      <c r="L601" s="2579"/>
      <c r="M601" s="2579"/>
      <c r="N601" s="2579"/>
      <c r="O601" s="2579"/>
    </row>
    <row r="605" spans="1:15" s="2463" customFormat="1">
      <c r="A605" s="2462"/>
      <c r="B605" s="2462"/>
      <c r="C605" s="2462"/>
      <c r="D605" s="2462"/>
      <c r="E605" s="2462"/>
      <c r="F605" s="2462"/>
      <c r="G605" s="2462"/>
      <c r="H605" s="2462"/>
      <c r="I605" s="2579"/>
      <c r="J605" s="2579"/>
      <c r="K605" s="2579"/>
      <c r="L605" s="2579"/>
      <c r="M605" s="2579"/>
      <c r="N605" s="2579"/>
      <c r="O605" s="2579"/>
    </row>
    <row r="606" spans="1:15" s="2463" customFormat="1">
      <c r="A606" s="2462"/>
      <c r="B606" s="2462"/>
      <c r="C606" s="2462"/>
      <c r="D606" s="2462"/>
      <c r="E606" s="2462"/>
      <c r="F606" s="2462"/>
      <c r="G606" s="2462"/>
      <c r="H606" s="2462"/>
      <c r="I606" s="2579"/>
      <c r="J606" s="2579"/>
      <c r="K606" s="2579"/>
      <c r="L606" s="2579"/>
      <c r="M606" s="2579"/>
      <c r="N606" s="2579"/>
      <c r="O606" s="2579"/>
    </row>
    <row r="607" spans="1:15" s="2463" customFormat="1">
      <c r="A607" s="2462"/>
      <c r="B607" s="2462"/>
      <c r="C607" s="2462"/>
      <c r="D607" s="2462"/>
      <c r="E607" s="2462"/>
      <c r="F607" s="2462"/>
      <c r="G607" s="2462"/>
      <c r="H607" s="2462"/>
      <c r="I607" s="2579"/>
      <c r="J607" s="2579"/>
      <c r="K607" s="2579"/>
      <c r="L607" s="2579"/>
      <c r="M607" s="2579"/>
      <c r="N607" s="2579"/>
      <c r="O607" s="2579"/>
    </row>
    <row r="608" spans="1:15" s="2463" customFormat="1">
      <c r="A608" s="2462"/>
      <c r="B608" s="2462"/>
      <c r="C608" s="2462"/>
      <c r="D608" s="2462"/>
      <c r="E608" s="2462"/>
      <c r="F608" s="2462"/>
      <c r="G608" s="2462"/>
      <c r="H608" s="2462"/>
      <c r="I608" s="2579"/>
      <c r="J608" s="2579"/>
      <c r="K608" s="2579"/>
      <c r="L608" s="2579"/>
      <c r="M608" s="2579"/>
      <c r="N608" s="2579"/>
      <c r="O608" s="2579"/>
    </row>
    <row r="609" spans="1:15" s="2463" customFormat="1">
      <c r="A609" s="2462"/>
      <c r="B609" s="2462"/>
      <c r="C609" s="2462"/>
      <c r="D609" s="2462"/>
      <c r="E609" s="2462"/>
      <c r="F609" s="2462"/>
      <c r="G609" s="2462"/>
      <c r="H609" s="2462"/>
      <c r="I609" s="2579"/>
      <c r="J609" s="2579"/>
      <c r="K609" s="2579"/>
      <c r="L609" s="2579"/>
      <c r="M609" s="2579"/>
      <c r="N609" s="2579"/>
      <c r="O609" s="2579"/>
    </row>
    <row r="610" spans="1:15" s="2463" customFormat="1">
      <c r="A610" s="2462"/>
      <c r="B610" s="2462"/>
      <c r="C610" s="2462"/>
      <c r="D610" s="2462"/>
      <c r="E610" s="2462"/>
      <c r="F610" s="2462"/>
      <c r="G610" s="2462"/>
      <c r="H610" s="2462"/>
      <c r="I610" s="2579"/>
      <c r="J610" s="2579"/>
      <c r="K610" s="2579"/>
      <c r="L610" s="2579"/>
      <c r="M610" s="2579"/>
      <c r="N610" s="2579"/>
      <c r="O610" s="2579"/>
    </row>
    <row r="611" spans="1:15" s="2463" customFormat="1">
      <c r="A611" s="2462"/>
      <c r="B611" s="2462"/>
      <c r="C611" s="2462"/>
      <c r="D611" s="2462"/>
      <c r="E611" s="2462"/>
      <c r="F611" s="2462"/>
      <c r="G611" s="2462"/>
      <c r="H611" s="2462"/>
      <c r="I611" s="2579"/>
      <c r="J611" s="2579"/>
      <c r="K611" s="2579"/>
      <c r="L611" s="2579"/>
      <c r="M611" s="2579"/>
      <c r="N611" s="2579"/>
      <c r="O611" s="2579"/>
    </row>
    <row r="612" spans="1:15" s="2463" customFormat="1">
      <c r="A612" s="2462"/>
      <c r="B612" s="2462"/>
      <c r="C612" s="2462"/>
      <c r="D612" s="2462"/>
      <c r="E612" s="2462"/>
      <c r="F612" s="2462"/>
      <c r="G612" s="2462"/>
      <c r="H612" s="2462"/>
      <c r="I612" s="2579"/>
      <c r="J612" s="2579"/>
      <c r="K612" s="2579"/>
      <c r="L612" s="2579"/>
      <c r="M612" s="2579"/>
      <c r="N612" s="2579"/>
      <c r="O612" s="2579"/>
    </row>
    <row r="613" spans="1:15" s="2463" customFormat="1">
      <c r="A613" s="2462"/>
      <c r="B613" s="2462"/>
      <c r="C613" s="2462"/>
      <c r="D613" s="2462"/>
      <c r="E613" s="2462"/>
      <c r="F613" s="2462"/>
      <c r="G613" s="2462"/>
      <c r="H613" s="2462"/>
      <c r="I613" s="2579"/>
      <c r="J613" s="2579"/>
      <c r="K613" s="2579"/>
      <c r="L613" s="2579"/>
      <c r="M613" s="2579"/>
      <c r="N613" s="2579"/>
      <c r="O613" s="2579"/>
    </row>
    <row r="614" spans="1:15" s="2463" customFormat="1">
      <c r="A614" s="2462"/>
      <c r="B614" s="2462"/>
      <c r="C614" s="2462"/>
      <c r="D614" s="2462"/>
      <c r="E614" s="2462"/>
      <c r="F614" s="2462"/>
      <c r="G614" s="2462"/>
      <c r="H614" s="2462"/>
      <c r="I614" s="2579"/>
      <c r="J614" s="2579"/>
      <c r="K614" s="2579"/>
      <c r="L614" s="2579"/>
      <c r="M614" s="2579"/>
      <c r="N614" s="2579"/>
      <c r="O614" s="2579"/>
    </row>
    <row r="615" spans="1:15" s="2463" customFormat="1">
      <c r="A615" s="2462"/>
      <c r="B615" s="2462"/>
      <c r="C615" s="2462"/>
      <c r="D615" s="2462"/>
      <c r="E615" s="2462"/>
      <c r="F615" s="2462"/>
      <c r="G615" s="2462"/>
      <c r="H615" s="2462"/>
      <c r="I615" s="2579"/>
      <c r="J615" s="2579"/>
      <c r="K615" s="2579"/>
      <c r="L615" s="2579"/>
      <c r="M615" s="2579"/>
      <c r="N615" s="2579"/>
      <c r="O615" s="2579"/>
    </row>
    <row r="616" spans="1:15" s="2463" customFormat="1">
      <c r="A616" s="2462"/>
      <c r="B616" s="2462"/>
      <c r="C616" s="2462"/>
      <c r="D616" s="2462"/>
      <c r="E616" s="2462"/>
      <c r="F616" s="2462"/>
      <c r="G616" s="2462"/>
      <c r="H616" s="2462"/>
      <c r="I616" s="2579"/>
      <c r="J616" s="2579"/>
      <c r="K616" s="2579"/>
      <c r="L616" s="2579"/>
      <c r="M616" s="2579"/>
      <c r="N616" s="2579"/>
      <c r="O616" s="2579"/>
    </row>
    <row r="617" spans="1:15" s="2463" customFormat="1">
      <c r="A617" s="2462"/>
      <c r="B617" s="2462"/>
      <c r="C617" s="2462"/>
      <c r="D617" s="2462"/>
      <c r="E617" s="2462"/>
      <c r="F617" s="2462"/>
      <c r="G617" s="2462"/>
      <c r="H617" s="2462"/>
      <c r="I617" s="2579"/>
      <c r="J617" s="2579"/>
      <c r="K617" s="2579"/>
      <c r="L617" s="2579"/>
      <c r="M617" s="2579"/>
      <c r="N617" s="2579"/>
      <c r="O617" s="2579"/>
    </row>
    <row r="618" spans="1:15" s="2463" customFormat="1">
      <c r="A618" s="2462"/>
      <c r="B618" s="2462"/>
      <c r="C618" s="2462"/>
      <c r="D618" s="2462"/>
      <c r="E618" s="2462"/>
      <c r="F618" s="2462"/>
      <c r="G618" s="2462"/>
      <c r="H618" s="2462"/>
      <c r="I618" s="2579"/>
      <c r="J618" s="2579"/>
      <c r="K618" s="2579"/>
      <c r="L618" s="2579"/>
      <c r="M618" s="2579"/>
      <c r="N618" s="2579"/>
      <c r="O618" s="2579"/>
    </row>
    <row r="619" spans="1:15" s="2463" customFormat="1">
      <c r="A619" s="2462"/>
      <c r="B619" s="2462"/>
      <c r="C619" s="2462"/>
      <c r="D619" s="2462"/>
      <c r="E619" s="2462"/>
      <c r="F619" s="2462"/>
      <c r="G619" s="2462"/>
      <c r="H619" s="2462"/>
      <c r="I619" s="2579"/>
      <c r="J619" s="2579"/>
      <c r="K619" s="2579"/>
      <c r="L619" s="2579"/>
      <c r="M619" s="2579"/>
      <c r="N619" s="2579"/>
      <c r="O619" s="2579"/>
    </row>
    <row r="620" spans="1:15" s="2463" customFormat="1">
      <c r="A620" s="2462"/>
      <c r="B620" s="2462"/>
      <c r="C620" s="2462"/>
      <c r="D620" s="2462"/>
      <c r="E620" s="2462"/>
      <c r="F620" s="2462"/>
      <c r="G620" s="2462"/>
      <c r="H620" s="2462"/>
      <c r="I620" s="2579"/>
      <c r="J620" s="2579"/>
      <c r="K620" s="2579"/>
      <c r="L620" s="2579"/>
      <c r="M620" s="2579"/>
      <c r="N620" s="2579"/>
      <c r="O620" s="2579"/>
    </row>
    <row r="621" spans="1:15" s="2463" customFormat="1">
      <c r="A621" s="2462"/>
      <c r="B621" s="2462"/>
      <c r="C621" s="2462"/>
      <c r="D621" s="2462"/>
      <c r="E621" s="2462"/>
      <c r="F621" s="2462"/>
      <c r="G621" s="2462"/>
      <c r="H621" s="2462"/>
      <c r="I621" s="2579"/>
      <c r="J621" s="2579"/>
      <c r="K621" s="2579"/>
      <c r="L621" s="2579"/>
      <c r="M621" s="2579"/>
      <c r="N621" s="2579"/>
      <c r="O621" s="2579"/>
    </row>
  </sheetData>
  <mergeCells count="47">
    <mergeCell ref="A52:H52"/>
    <mergeCell ref="A11:B13"/>
    <mergeCell ref="E11:G11"/>
    <mergeCell ref="C34:E34"/>
    <mergeCell ref="F34:H34"/>
    <mergeCell ref="A35:B35"/>
    <mergeCell ref="C35:E35"/>
    <mergeCell ref="A53:H53"/>
    <mergeCell ref="A59:B61"/>
    <mergeCell ref="E59:G59"/>
    <mergeCell ref="E73:F73"/>
    <mergeCell ref="C75:D75"/>
    <mergeCell ref="E75:H75"/>
    <mergeCell ref="E156:F156"/>
    <mergeCell ref="A140:H140"/>
    <mergeCell ref="C76:D76"/>
    <mergeCell ref="E76:H76"/>
    <mergeCell ref="A93:H93"/>
    <mergeCell ref="A94:H94"/>
    <mergeCell ref="A101:B103"/>
    <mergeCell ref="E101:G101"/>
    <mergeCell ref="E114:F114"/>
    <mergeCell ref="C116:D116"/>
    <mergeCell ref="E116:H116"/>
    <mergeCell ref="C117:D117"/>
    <mergeCell ref="E117:H117"/>
    <mergeCell ref="A141:H141"/>
    <mergeCell ref="A146:B148"/>
    <mergeCell ref="E146:G146"/>
    <mergeCell ref="C215:D215"/>
    <mergeCell ref="E215:H215"/>
    <mergeCell ref="C158:D158"/>
    <mergeCell ref="E158:H158"/>
    <mergeCell ref="C159:D159"/>
    <mergeCell ref="E159:H159"/>
    <mergeCell ref="A196:H196"/>
    <mergeCell ref="A197:H197"/>
    <mergeCell ref="A202:B204"/>
    <mergeCell ref="E202:G202"/>
    <mergeCell ref="E212:F212"/>
    <mergeCell ref="C214:D214"/>
    <mergeCell ref="E214:H214"/>
    <mergeCell ref="A5:H5"/>
    <mergeCell ref="A6:H6"/>
    <mergeCell ref="A33:B33"/>
    <mergeCell ref="C33:E33"/>
    <mergeCell ref="F33:H33"/>
  </mergeCells>
  <pageMargins left="0.5" right="0" top="0.25" bottom="0" header="0.5" footer="0"/>
  <pageSetup paperSize="5" orientation="portrait"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619"/>
  <sheetViews>
    <sheetView showGridLines="0" showOutlineSymbols="0" topLeftCell="A13" workbookViewId="0">
      <pane xSplit="18525" topLeftCell="ET1"/>
      <selection activeCell="J20" sqref="J20"/>
      <selection pane="topRight" activeCell="ET1" sqref="ET1"/>
    </sheetView>
  </sheetViews>
  <sheetFormatPr defaultColWidth="12.5703125" defaultRowHeight="15.75" outlineLevelRow="2" outlineLevelCol="2"/>
  <cols>
    <col min="1" max="1" width="1.85546875" style="2462" customWidth="1"/>
    <col min="2" max="2" width="32.140625" style="2462" customWidth="1"/>
    <col min="3" max="3" width="12.42578125" style="2462" customWidth="1"/>
    <col min="4" max="4" width="10.42578125" style="2462" customWidth="1"/>
    <col min="5" max="5" width="11" style="2462" customWidth="1"/>
    <col min="6" max="7" width="10.5703125" style="2462" customWidth="1"/>
    <col min="8" max="8" width="11.85546875" style="2462" customWidth="1"/>
    <col min="9"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8" spans="1:15" s="1390" customFormat="1" ht="14.25" customHeight="1">
      <c r="A8" s="1577" t="s">
        <v>2120</v>
      </c>
      <c r="C8" s="2525"/>
      <c r="D8" s="1403"/>
      <c r="E8" s="1403"/>
      <c r="F8" s="1403"/>
      <c r="G8" s="1403"/>
      <c r="H8" s="1403"/>
    </row>
    <row r="9" spans="1:15" s="1390" customFormat="1" ht="14.25" customHeight="1">
      <c r="B9" s="2612" t="s">
        <v>2151</v>
      </c>
      <c r="C9" s="2525"/>
      <c r="D9" s="1403"/>
      <c r="E9" s="1403"/>
      <c r="F9" s="1403"/>
      <c r="G9" s="1403"/>
      <c r="H9" s="1403"/>
    </row>
    <row r="10" spans="1:15" ht="15" customHeight="1" outlineLevel="1">
      <c r="A10" s="2564"/>
      <c r="B10" s="2564"/>
      <c r="C10" s="2563"/>
      <c r="D10" s="2541"/>
      <c r="E10" s="2561"/>
      <c r="F10" s="2540"/>
      <c r="G10" s="1388"/>
      <c r="H10" s="2561"/>
      <c r="I10" s="2666"/>
      <c r="J10" s="2530"/>
      <c r="K10" s="2530"/>
      <c r="L10" s="2530"/>
    </row>
    <row r="11" spans="1:15" ht="16.7" customHeight="1" outlineLevel="1">
      <c r="A11" s="4890" t="s">
        <v>468</v>
      </c>
      <c r="B11" s="4891"/>
      <c r="C11" s="2607" t="s">
        <v>467</v>
      </c>
      <c r="D11" s="2638" t="s">
        <v>466</v>
      </c>
      <c r="E11" s="4896" t="s">
        <v>465</v>
      </c>
      <c r="F11" s="4897"/>
      <c r="G11" s="4898"/>
      <c r="H11" s="2637" t="s">
        <v>464</v>
      </c>
      <c r="I11" s="2666"/>
      <c r="J11" s="2663"/>
      <c r="K11" s="2530"/>
      <c r="L11" s="2530"/>
    </row>
    <row r="12" spans="1:15" ht="16.7" customHeight="1" outlineLevel="1">
      <c r="A12" s="4892"/>
      <c r="B12" s="4893"/>
      <c r="C12" s="2606" t="s">
        <v>463</v>
      </c>
      <c r="D12" s="2635" t="s">
        <v>573</v>
      </c>
      <c r="E12" s="2635" t="s">
        <v>2118</v>
      </c>
      <c r="F12" s="2635" t="s">
        <v>2117</v>
      </c>
      <c r="G12" s="2635" t="s">
        <v>244</v>
      </c>
      <c r="H12" s="2635" t="s">
        <v>652</v>
      </c>
      <c r="I12" s="2681"/>
      <c r="J12" s="1302"/>
      <c r="K12" s="2659"/>
      <c r="L12" s="2530"/>
    </row>
    <row r="13" spans="1:15" ht="16.7" customHeight="1" outlineLevel="1">
      <c r="A13" s="4894"/>
      <c r="B13" s="4895"/>
      <c r="C13" s="2604"/>
      <c r="D13" s="2631" t="s">
        <v>460</v>
      </c>
      <c r="E13" s="2631" t="s">
        <v>460</v>
      </c>
      <c r="F13" s="2631" t="s">
        <v>459</v>
      </c>
      <c r="G13" s="2632"/>
      <c r="H13" s="2631" t="s">
        <v>458</v>
      </c>
      <c r="I13" s="2668"/>
      <c r="J13" s="1302"/>
      <c r="K13" s="2659"/>
      <c r="L13" s="2530"/>
    </row>
    <row r="14" spans="1:15" s="1404" customFormat="1" ht="15" customHeight="1">
      <c r="A14" s="2601" t="s">
        <v>2011</v>
      </c>
      <c r="B14" s="2605"/>
      <c r="C14" s="2515"/>
      <c r="D14" s="2513"/>
      <c r="E14" s="2513"/>
      <c r="F14" s="2513"/>
      <c r="G14" s="2603"/>
      <c r="H14" s="2513"/>
      <c r="I14" s="2616"/>
      <c r="J14" s="2616"/>
      <c r="K14" s="2616"/>
      <c r="L14" s="2616"/>
      <c r="M14" s="2616"/>
      <c r="N14" s="2616"/>
      <c r="O14" s="2616"/>
    </row>
    <row r="15" spans="1:15" ht="15" customHeight="1" outlineLevel="1">
      <c r="A15" s="2680" t="s">
        <v>407</v>
      </c>
      <c r="B15" s="2394"/>
      <c r="C15" s="2391"/>
      <c r="D15" s="1512">
        <f>SUM(D16:D23)</f>
        <v>4007692.1799999997</v>
      </c>
      <c r="E15" s="1512">
        <f>SUM(E16:E23)</f>
        <v>2001009.9</v>
      </c>
      <c r="F15" s="1512">
        <f>SUM(F16:F23)</f>
        <v>2508990.1</v>
      </c>
      <c r="G15" s="1512">
        <f>SUM(G16:G23)</f>
        <v>4510000</v>
      </c>
      <c r="H15" s="1512">
        <f>SUM(H16:H23)</f>
        <v>4676400</v>
      </c>
      <c r="I15" s="2681"/>
      <c r="J15" s="1302"/>
      <c r="K15" s="2659"/>
      <c r="L15" s="2530"/>
    </row>
    <row r="16" spans="1:15" ht="20.100000000000001" customHeight="1" outlineLevel="1">
      <c r="A16" s="2701" t="s">
        <v>2150</v>
      </c>
      <c r="B16" s="2485"/>
      <c r="C16" s="2700" t="s">
        <v>396</v>
      </c>
      <c r="D16" s="2684">
        <v>48513.78</v>
      </c>
      <c r="E16" s="2683">
        <v>19078.400000000001</v>
      </c>
      <c r="F16" s="2683">
        <f>G16-E16</f>
        <v>80921.600000000006</v>
      </c>
      <c r="G16" s="2683">
        <v>100000</v>
      </c>
      <c r="H16" s="2683">
        <v>100000</v>
      </c>
      <c r="I16" s="2681"/>
      <c r="J16" s="1302"/>
      <c r="K16" s="2530"/>
      <c r="L16" s="2530"/>
    </row>
    <row r="17" spans="1:16" ht="20.100000000000001" customHeight="1" outlineLevel="1">
      <c r="A17" s="1536" t="s">
        <v>2145</v>
      </c>
      <c r="B17" s="2699"/>
      <c r="C17" s="735" t="s">
        <v>1974</v>
      </c>
      <c r="D17" s="2684">
        <v>0</v>
      </c>
      <c r="E17" s="2683">
        <v>26254</v>
      </c>
      <c r="F17" s="1454">
        <f>SUM(G17-E17)</f>
        <v>24446</v>
      </c>
      <c r="G17" s="2683">
        <v>50700</v>
      </c>
      <c r="H17" s="2683">
        <v>50700</v>
      </c>
      <c r="I17" s="2676"/>
      <c r="J17" s="1302"/>
      <c r="K17" s="2530"/>
      <c r="L17" s="2530"/>
    </row>
    <row r="18" spans="1:16" ht="20.100000000000001" customHeight="1" outlineLevel="1">
      <c r="A18" s="2591" t="s">
        <v>389</v>
      </c>
      <c r="B18" s="1519"/>
      <c r="C18" s="735" t="s">
        <v>388</v>
      </c>
      <c r="D18" s="1428">
        <v>3959178.4</v>
      </c>
      <c r="E18" s="1427">
        <v>1865677.5</v>
      </c>
      <c r="F18" s="1454">
        <f>G18-E18</f>
        <v>2339922.5</v>
      </c>
      <c r="G18" s="1427">
        <v>4205600</v>
      </c>
      <c r="H18" s="1427">
        <v>4292000</v>
      </c>
      <c r="I18" s="2668"/>
      <c r="J18" s="2663"/>
      <c r="K18" s="2530"/>
      <c r="L18" s="2530"/>
      <c r="M18" s="2682"/>
      <c r="N18" s="2682"/>
      <c r="O18" s="2530"/>
      <c r="P18" s="2529"/>
    </row>
    <row r="19" spans="1:16" ht="20.100000000000001" customHeight="1" outlineLevel="1">
      <c r="A19" s="2698" t="s">
        <v>2149</v>
      </c>
      <c r="B19" s="2697"/>
      <c r="C19" s="735"/>
      <c r="D19" s="1428"/>
      <c r="E19" s="1427"/>
      <c r="F19" s="1454"/>
      <c r="G19" s="1427"/>
      <c r="H19" s="1427"/>
      <c r="I19" s="2668"/>
      <c r="J19" s="2663"/>
      <c r="K19" s="2530"/>
      <c r="L19" s="2530"/>
      <c r="M19" s="2682"/>
      <c r="N19" s="2682"/>
      <c r="O19" s="2530"/>
      <c r="P19" s="2529"/>
    </row>
    <row r="20" spans="1:16" ht="20.100000000000001" customHeight="1" outlineLevel="1">
      <c r="A20" s="2698"/>
      <c r="B20" s="2697" t="s">
        <v>2123</v>
      </c>
      <c r="C20" s="735" t="s">
        <v>376</v>
      </c>
      <c r="D20" s="1428">
        <v>0</v>
      </c>
      <c r="E20" s="1427">
        <v>90000</v>
      </c>
      <c r="F20" s="1454">
        <f>G20-E20</f>
        <v>30000</v>
      </c>
      <c r="G20" s="1427">
        <v>120000</v>
      </c>
      <c r="H20" s="1427">
        <v>50000</v>
      </c>
      <c r="I20" s="2668"/>
      <c r="J20" s="2663"/>
      <c r="K20" s="2530"/>
      <c r="L20" s="2530"/>
      <c r="M20" s="2682"/>
      <c r="N20" s="2682"/>
      <c r="O20" s="2530"/>
      <c r="P20" s="2529"/>
    </row>
    <row r="21" spans="1:16" ht="20.100000000000001" customHeight="1" outlineLevel="1">
      <c r="A21" s="2698" t="s">
        <v>2149</v>
      </c>
      <c r="B21" s="2697"/>
      <c r="C21" s="735"/>
      <c r="D21" s="1428"/>
      <c r="E21" s="1427"/>
      <c r="F21" s="1454"/>
      <c r="G21" s="1427"/>
      <c r="H21" s="1427"/>
      <c r="I21" s="2668"/>
      <c r="J21" s="2663"/>
      <c r="K21" s="2530"/>
      <c r="L21" s="2530"/>
      <c r="M21" s="2682"/>
      <c r="N21" s="2682"/>
      <c r="O21" s="2530"/>
      <c r="P21" s="2529"/>
    </row>
    <row r="22" spans="1:16" ht="20.100000000000001" customHeight="1" outlineLevel="1">
      <c r="A22" s="2591" t="s">
        <v>2148</v>
      </c>
      <c r="B22" s="1519"/>
      <c r="C22" s="735" t="s">
        <v>371</v>
      </c>
      <c r="D22" s="1428">
        <v>0</v>
      </c>
      <c r="E22" s="1427">
        <v>0</v>
      </c>
      <c r="F22" s="1454">
        <f>G22-E22</f>
        <v>30000</v>
      </c>
      <c r="G22" s="1427">
        <v>30000</v>
      </c>
      <c r="H22" s="1427">
        <v>180000</v>
      </c>
      <c r="I22" s="2668"/>
      <c r="J22" s="2663"/>
      <c r="K22" s="2530"/>
      <c r="L22" s="2530"/>
      <c r="M22" s="2682"/>
      <c r="N22" s="2682"/>
      <c r="O22" s="2530"/>
      <c r="P22" s="2529"/>
    </row>
    <row r="23" spans="1:16" ht="20.100000000000001" customHeight="1" outlineLevel="1">
      <c r="A23" s="2591" t="s">
        <v>368</v>
      </c>
      <c r="B23" s="1519"/>
      <c r="C23" s="2590" t="s">
        <v>367</v>
      </c>
      <c r="D23" s="1428">
        <v>0</v>
      </c>
      <c r="E23" s="1427">
        <v>0</v>
      </c>
      <c r="F23" s="1454">
        <f>SUM(G23-E23)</f>
        <v>3700</v>
      </c>
      <c r="G23" s="1427">
        <v>3700</v>
      </c>
      <c r="H23" s="1427">
        <v>3700</v>
      </c>
      <c r="I23" s="2666"/>
      <c r="J23" s="2656"/>
      <c r="K23" s="2530"/>
      <c r="L23" s="2530"/>
      <c r="M23" s="1302"/>
      <c r="N23" s="1302"/>
      <c r="O23" s="2530"/>
      <c r="P23" s="2529"/>
    </row>
    <row r="24" spans="1:16" ht="20.100000000000001" customHeight="1" outlineLevel="1">
      <c r="A24" s="2674"/>
      <c r="B24" s="2673" t="s">
        <v>1241</v>
      </c>
      <c r="C24" s="2672"/>
      <c r="D24" s="2671">
        <f>SUM(D25)</f>
        <v>280370</v>
      </c>
      <c r="E24" s="2671">
        <f>SUM(E25)</f>
        <v>0</v>
      </c>
      <c r="F24" s="2671">
        <f>SUM(F25)</f>
        <v>500000</v>
      </c>
      <c r="G24" s="2671">
        <f>SUM(G25)</f>
        <v>500000</v>
      </c>
      <c r="H24" s="2671">
        <f>SUM(H25)</f>
        <v>0</v>
      </c>
      <c r="I24" s="2666"/>
      <c r="J24" s="2656"/>
      <c r="K24" s="2530"/>
      <c r="L24" s="2530"/>
      <c r="M24" s="1302"/>
      <c r="N24" s="1302"/>
      <c r="O24" s="2530"/>
      <c r="P24" s="2529"/>
    </row>
    <row r="25" spans="1:16" s="2529" customFormat="1" ht="20.100000000000001" customHeight="1" outlineLevel="1">
      <c r="A25" s="1536" t="s">
        <v>2147</v>
      </c>
      <c r="B25" s="2628"/>
      <c r="C25" s="735" t="s">
        <v>1795</v>
      </c>
      <c r="D25" s="1428">
        <v>280370</v>
      </c>
      <c r="E25" s="1427">
        <v>0</v>
      </c>
      <c r="F25" s="1454">
        <v>500000</v>
      </c>
      <c r="G25" s="1427">
        <f>F25</f>
        <v>500000</v>
      </c>
      <c r="H25" s="1427">
        <v>0</v>
      </c>
      <c r="I25" s="2528"/>
      <c r="J25" s="2656"/>
      <c r="K25" s="2530"/>
      <c r="L25" s="2530"/>
      <c r="M25" s="1302"/>
      <c r="N25" s="1302"/>
      <c r="O25" s="2530"/>
    </row>
    <row r="26" spans="1:16" s="2529" customFormat="1" ht="20.100000000000001" customHeight="1" outlineLevel="1">
      <c r="A26" s="1553"/>
      <c r="B26" s="2628"/>
      <c r="C26" s="735"/>
      <c r="D26" s="1428"/>
      <c r="E26" s="1427"/>
      <c r="F26" s="1454"/>
      <c r="G26" s="1427"/>
      <c r="H26" s="1427"/>
      <c r="I26" s="2528"/>
      <c r="J26" s="2656"/>
      <c r="K26" s="2530"/>
      <c r="L26" s="2530"/>
      <c r="M26" s="1302"/>
      <c r="N26" s="1302"/>
      <c r="O26" s="2530"/>
    </row>
    <row r="27" spans="1:16" s="2529" customFormat="1" ht="20.100000000000001" customHeight="1" outlineLevel="1">
      <c r="A27" s="1553"/>
      <c r="B27" s="2628"/>
      <c r="C27" s="735"/>
      <c r="D27" s="1428"/>
      <c r="E27" s="1427"/>
      <c r="F27" s="1454"/>
      <c r="G27" s="1427"/>
      <c r="H27" s="1427"/>
      <c r="I27" s="2528"/>
      <c r="J27" s="2656"/>
      <c r="K27" s="2530"/>
      <c r="L27" s="2530"/>
      <c r="M27" s="1302"/>
      <c r="N27" s="1302"/>
      <c r="O27" s="2530"/>
    </row>
    <row r="28" spans="1:16" s="2529" customFormat="1" ht="20.100000000000001" customHeight="1" outlineLevel="1">
      <c r="A28" s="2696"/>
      <c r="B28" s="2695"/>
      <c r="C28" s="2694"/>
      <c r="D28" s="1428"/>
      <c r="E28" s="1424"/>
      <c r="F28" s="1454"/>
      <c r="G28" s="1424"/>
      <c r="H28" s="1424"/>
      <c r="I28" s="2670"/>
      <c r="J28" s="2656"/>
      <c r="K28" s="2530"/>
      <c r="L28" s="2530"/>
      <c r="M28" s="1302"/>
      <c r="N28" s="2659"/>
      <c r="O28" s="2530"/>
    </row>
    <row r="29" spans="1:16" s="2529" customFormat="1" ht="20.100000000000001" customHeight="1" outlineLevel="1" thickBot="1">
      <c r="A29" s="2617" t="s">
        <v>366</v>
      </c>
      <c r="B29" s="2584"/>
      <c r="C29" s="2583"/>
      <c r="D29" s="2480">
        <f>D15+D24</f>
        <v>4288062.18</v>
      </c>
      <c r="E29" s="2480">
        <f>SUM(E16:E23)</f>
        <v>2001009.9</v>
      </c>
      <c r="F29" s="2480">
        <f>SUM(F16:F23)+F24</f>
        <v>3008990.1</v>
      </c>
      <c r="G29" s="2480">
        <f>SUM(G16:G23)+G24</f>
        <v>5010000</v>
      </c>
      <c r="H29" s="2480">
        <f>SUM(H16:H23)</f>
        <v>4676400</v>
      </c>
      <c r="I29" s="2670"/>
      <c r="J29" s="2656"/>
      <c r="K29" s="2530"/>
      <c r="L29" s="2530"/>
      <c r="M29" s="1302"/>
      <c r="N29" s="2659"/>
      <c r="O29" s="2530"/>
    </row>
    <row r="30" spans="1:16" s="2288" customFormat="1" ht="19.5" customHeight="1" outlineLevel="1" thickTop="1">
      <c r="A30" s="1403" t="s">
        <v>2112</v>
      </c>
      <c r="B30" s="1390"/>
      <c r="C30" s="1403" t="s">
        <v>2111</v>
      </c>
      <c r="D30" s="1390"/>
      <c r="F30" s="2582" t="s">
        <v>2110</v>
      </c>
      <c r="G30" s="1403"/>
      <c r="H30" s="1390"/>
    </row>
    <row r="31" spans="1:16" s="2288" customFormat="1" ht="15.95" customHeight="1" outlineLevel="1">
      <c r="A31" s="1403"/>
      <c r="B31" s="1390"/>
      <c r="C31" s="1403"/>
      <c r="D31" s="1390"/>
      <c r="E31" s="2471"/>
      <c r="F31" s="2471"/>
      <c r="G31" s="1403"/>
      <c r="H31" s="1390"/>
    </row>
    <row r="32" spans="1:16" s="2288" customFormat="1" ht="10.5" customHeight="1" outlineLevel="1">
      <c r="A32" s="1390"/>
      <c r="B32" s="1403"/>
      <c r="C32" s="2581"/>
      <c r="D32" s="1403"/>
      <c r="E32" s="1403"/>
      <c r="F32" s="1403"/>
      <c r="G32" s="1403"/>
      <c r="H32" s="1390"/>
    </row>
    <row r="33" spans="1:16" s="2288" customFormat="1" ht="15.95" customHeight="1" outlineLevel="1">
      <c r="A33" s="4873" t="s">
        <v>2109</v>
      </c>
      <c r="B33" s="4873"/>
      <c r="C33" s="4760" t="s">
        <v>360</v>
      </c>
      <c r="D33" s="4760"/>
      <c r="E33" s="4760"/>
      <c r="F33" s="4741" t="s">
        <v>359</v>
      </c>
      <c r="G33" s="4741"/>
      <c r="H33" s="4741"/>
    </row>
    <row r="34" spans="1:16" s="2288" customFormat="1" ht="15.75" customHeight="1" outlineLevel="1">
      <c r="A34" s="2580"/>
      <c r="B34" s="2464" t="s">
        <v>2108</v>
      </c>
      <c r="C34" s="4754" t="s">
        <v>357</v>
      </c>
      <c r="D34" s="4754"/>
      <c r="E34" s="4754"/>
      <c r="F34" s="4868" t="s">
        <v>356</v>
      </c>
      <c r="G34" s="4868"/>
      <c r="H34" s="4868"/>
    </row>
    <row r="35" spans="1:16" s="2288" customFormat="1" ht="12" customHeight="1" outlineLevel="1">
      <c r="A35" s="4878"/>
      <c r="B35" s="4878"/>
      <c r="C35" s="4754"/>
      <c r="D35" s="4754"/>
      <c r="E35" s="4754"/>
      <c r="F35" s="1406"/>
      <c r="G35" s="1406"/>
      <c r="H35" s="1406"/>
    </row>
    <row r="36" spans="1:16" s="2529" customFormat="1" ht="12" customHeight="1" outlineLevel="1">
      <c r="A36" s="2463"/>
      <c r="B36" s="2464"/>
      <c r="C36" s="2463"/>
      <c r="D36" s="2465"/>
      <c r="E36" s="2465"/>
      <c r="F36" s="2465"/>
      <c r="G36" s="2465"/>
      <c r="H36" s="2465"/>
      <c r="I36" s="2530"/>
      <c r="J36" s="2530"/>
      <c r="K36" s="2530"/>
      <c r="L36" s="2530"/>
      <c r="M36" s="2530"/>
      <c r="N36" s="2530"/>
      <c r="O36" s="2530"/>
    </row>
    <row r="37" spans="1:16" s="2529" customFormat="1" ht="12" customHeight="1" outlineLevel="1">
      <c r="A37" s="2463"/>
      <c r="B37" s="2464"/>
      <c r="C37" s="2463"/>
      <c r="D37" s="2465"/>
      <c r="E37" s="2465"/>
      <c r="F37" s="2465"/>
      <c r="G37" s="2465"/>
      <c r="H37" s="2465"/>
      <c r="I37" s="2530"/>
      <c r="J37" s="2530"/>
      <c r="K37" s="2530"/>
      <c r="L37" s="2530"/>
      <c r="M37" s="2530"/>
      <c r="N37" s="2530"/>
      <c r="O37" s="2530"/>
    </row>
    <row r="38" spans="1:16" s="2529" customFormat="1" ht="12" customHeight="1" outlineLevel="1">
      <c r="A38" s="2463"/>
      <c r="B38" s="2464"/>
      <c r="C38" s="2463"/>
      <c r="D38" s="2465"/>
      <c r="E38" s="2465"/>
      <c r="F38" s="2465"/>
      <c r="G38" s="2465"/>
      <c r="H38" s="2465"/>
      <c r="I38" s="2530"/>
      <c r="J38" s="2530"/>
      <c r="K38" s="2530"/>
      <c r="L38" s="2530"/>
      <c r="M38" s="2530"/>
      <c r="N38" s="2530"/>
      <c r="O38" s="2530"/>
    </row>
    <row r="39" spans="1:16" s="2529" customFormat="1" ht="12" customHeight="1" outlineLevel="1">
      <c r="A39" s="2463"/>
      <c r="B39" s="2464"/>
      <c r="C39" s="2463"/>
      <c r="D39" s="2465"/>
      <c r="E39" s="2465"/>
      <c r="F39" s="2465"/>
      <c r="G39" s="2465"/>
      <c r="H39" s="2465"/>
      <c r="I39" s="2530"/>
      <c r="J39" s="2530"/>
      <c r="K39" s="2530"/>
      <c r="L39" s="2530"/>
      <c r="M39" s="2530"/>
      <c r="N39" s="2530"/>
      <c r="O39" s="2530"/>
    </row>
    <row r="40" spans="1:16" s="2529" customFormat="1" ht="12" customHeight="1" outlineLevel="1">
      <c r="A40" s="2463"/>
      <c r="B40" s="2464"/>
      <c r="C40" s="2463"/>
      <c r="D40" s="2465"/>
      <c r="E40" s="2465"/>
      <c r="F40" s="2465"/>
      <c r="G40" s="2465"/>
      <c r="H40" s="2465"/>
      <c r="I40" s="2530"/>
      <c r="J40" s="2530"/>
      <c r="K40" s="2530"/>
      <c r="L40" s="2530"/>
      <c r="M40" s="2530"/>
      <c r="N40" s="2530"/>
      <c r="O40" s="2530"/>
    </row>
    <row r="41" spans="1:16" s="2529" customFormat="1" ht="12" customHeight="1" outlineLevel="1">
      <c r="A41" s="2463"/>
      <c r="B41" s="2464"/>
      <c r="C41" s="2463"/>
      <c r="D41" s="2465"/>
      <c r="E41" s="2465"/>
      <c r="F41" s="2465"/>
      <c r="G41" s="2465"/>
      <c r="H41" s="2465"/>
      <c r="I41" s="2530"/>
      <c r="J41" s="2530"/>
      <c r="K41" s="2530"/>
      <c r="L41" s="2530"/>
      <c r="M41" s="2530"/>
      <c r="N41" s="2530"/>
      <c r="O41" s="2530"/>
    </row>
    <row r="42" spans="1:16" s="2529" customFormat="1" ht="12" customHeight="1" outlineLevel="1">
      <c r="A42" s="2463"/>
      <c r="B42" s="2464"/>
      <c r="C42" s="2463"/>
      <c r="D42" s="2465"/>
      <c r="E42" s="2465"/>
      <c r="F42" s="2465"/>
      <c r="G42" s="2465"/>
      <c r="H42" s="2465"/>
      <c r="I42" s="2530"/>
      <c r="J42" s="2530"/>
      <c r="K42" s="2530"/>
      <c r="L42" s="2530"/>
      <c r="M42" s="2530"/>
      <c r="N42" s="2530"/>
      <c r="O42" s="2530"/>
    </row>
    <row r="43" spans="1:16" ht="20.100000000000001" customHeight="1" outlineLevel="1">
      <c r="A43" s="2463"/>
      <c r="B43" s="2464"/>
      <c r="C43" s="2463"/>
      <c r="D43" s="2465"/>
      <c r="E43" s="2465"/>
      <c r="F43" s="2465"/>
      <c r="G43" s="2465"/>
      <c r="H43" s="2465"/>
      <c r="J43" s="2530"/>
      <c r="K43" s="2530"/>
      <c r="L43" s="2530"/>
      <c r="M43" s="2530"/>
      <c r="N43" s="2530"/>
      <c r="O43" s="2530"/>
      <c r="P43" s="2529"/>
    </row>
    <row r="44" spans="1:16" ht="20.100000000000001" customHeight="1" outlineLevel="1">
      <c r="A44" s="2463"/>
      <c r="B44" s="2464"/>
      <c r="C44" s="2463"/>
      <c r="D44" s="2465"/>
      <c r="E44" s="2465"/>
      <c r="F44" s="2465"/>
      <c r="G44" s="2465"/>
      <c r="H44" s="2465"/>
      <c r="J44" s="2530"/>
      <c r="K44" s="2530"/>
      <c r="L44" s="2530"/>
      <c r="M44" s="2530"/>
      <c r="N44" s="2530"/>
      <c r="O44" s="2530"/>
      <c r="P44" s="2529"/>
    </row>
    <row r="45" spans="1:16" s="2652" customFormat="1" ht="16.7" customHeight="1" outlineLevel="1">
      <c r="A45" s="2463"/>
      <c r="B45" s="2464"/>
      <c r="C45" s="2463"/>
      <c r="D45" s="2465"/>
      <c r="E45" s="2465"/>
      <c r="F45" s="2465"/>
      <c r="G45" s="2465"/>
      <c r="H45" s="2465"/>
      <c r="I45" s="2653"/>
      <c r="J45" s="2655"/>
      <c r="K45" s="2655"/>
      <c r="L45" s="2655"/>
      <c r="M45" s="2655"/>
      <c r="N45" s="2655"/>
      <c r="O45" s="2655"/>
      <c r="P45" s="2654"/>
    </row>
    <row r="46" spans="1:16" s="2652" customFormat="1" ht="16.7" customHeight="1" outlineLevel="1">
      <c r="A46" s="2463"/>
      <c r="B46" s="2464"/>
      <c r="C46" s="2463"/>
      <c r="D46" s="2465"/>
      <c r="E46" s="2465"/>
      <c r="F46" s="2465"/>
      <c r="G46" s="2465"/>
      <c r="H46" s="2465"/>
      <c r="I46" s="2653"/>
      <c r="J46" s="2655"/>
      <c r="K46" s="2655"/>
      <c r="L46" s="2655"/>
      <c r="M46" s="2655"/>
      <c r="N46" s="2655"/>
      <c r="O46" s="2655"/>
      <c r="P46" s="2654"/>
    </row>
    <row r="47" spans="1:16" s="2652" customFormat="1" ht="16.7" customHeight="1" outlineLevel="1">
      <c r="A47" s="2531"/>
      <c r="B47" s="2533"/>
      <c r="C47" s="2531"/>
      <c r="D47" s="2566"/>
      <c r="E47" s="2566"/>
      <c r="F47" s="2566"/>
      <c r="G47" s="2566"/>
      <c r="H47" s="2566"/>
      <c r="I47" s="2653"/>
      <c r="J47" s="2655"/>
      <c r="K47" s="2655"/>
      <c r="L47" s="2655"/>
      <c r="M47" s="2655"/>
      <c r="N47" s="2655"/>
      <c r="O47" s="2655"/>
      <c r="P47" s="2654"/>
    </row>
    <row r="48" spans="1:16" s="2652" customFormat="1" ht="16.7" customHeight="1" outlineLevel="1">
      <c r="A48" s="2531"/>
      <c r="B48" s="2533"/>
      <c r="C48" s="2531"/>
      <c r="D48" s="2566"/>
      <c r="E48" s="2566"/>
      <c r="F48" s="2566"/>
      <c r="G48" s="2566"/>
      <c r="H48" s="2566"/>
      <c r="I48" s="2653"/>
      <c r="J48" s="2655"/>
      <c r="K48" s="2655"/>
      <c r="L48" s="2655"/>
      <c r="M48" s="2655"/>
      <c r="N48" s="2655"/>
      <c r="O48" s="2655"/>
      <c r="P48" s="2654"/>
    </row>
    <row r="49" spans="1:16" s="2652" customFormat="1" ht="16.7" customHeight="1" outlineLevel="1">
      <c r="A49" s="2531"/>
      <c r="B49" s="2533"/>
      <c r="C49" s="2531"/>
      <c r="D49" s="2566"/>
      <c r="E49" s="2566"/>
      <c r="F49" s="2566"/>
      <c r="G49" s="2566"/>
      <c r="H49" s="2566"/>
      <c r="I49" s="2653"/>
      <c r="J49" s="2655"/>
      <c r="K49" s="2655"/>
      <c r="L49" s="2655"/>
      <c r="M49" s="2655"/>
      <c r="N49" s="2655"/>
      <c r="O49" s="2655"/>
      <c r="P49" s="2654"/>
    </row>
    <row r="50" spans="1:16" s="2652" customFormat="1" ht="16.7" customHeight="1" outlineLevel="1">
      <c r="A50" s="2531"/>
      <c r="B50" s="2533"/>
      <c r="C50" s="2531"/>
      <c r="D50" s="2566"/>
      <c r="E50" s="2566"/>
      <c r="F50" s="2566"/>
      <c r="G50" s="2566"/>
      <c r="H50" s="2566"/>
      <c r="I50" s="2653"/>
      <c r="J50" s="2655"/>
      <c r="K50" s="2655"/>
      <c r="L50" s="2655"/>
      <c r="M50" s="2655"/>
      <c r="N50" s="2655"/>
      <c r="O50" s="2655"/>
      <c r="P50" s="2654"/>
    </row>
    <row r="51" spans="1:16" s="2652" customFormat="1" ht="16.7" customHeight="1" outlineLevel="1">
      <c r="A51" s="4876"/>
      <c r="B51" s="4876"/>
      <c r="C51" s="4876"/>
      <c r="D51" s="4876"/>
      <c r="E51" s="4876"/>
      <c r="F51" s="4876"/>
      <c r="G51" s="4876"/>
      <c r="H51" s="4876"/>
      <c r="I51" s="2653"/>
      <c r="J51" s="2655"/>
      <c r="K51" s="2655"/>
      <c r="L51" s="2655"/>
      <c r="M51" s="2655"/>
      <c r="N51" s="2655"/>
      <c r="O51" s="2655"/>
      <c r="P51" s="2654"/>
    </row>
    <row r="52" spans="1:16" s="2652" customFormat="1" ht="16.7" customHeight="1" outlineLevel="1">
      <c r="A52" s="4877"/>
      <c r="B52" s="4877"/>
      <c r="C52" s="4877"/>
      <c r="D52" s="4877"/>
      <c r="E52" s="4877"/>
      <c r="F52" s="4877"/>
      <c r="G52" s="4877"/>
      <c r="H52" s="4877"/>
      <c r="I52" s="2653"/>
      <c r="J52" s="2655"/>
      <c r="K52" s="2655"/>
      <c r="L52" s="2655"/>
      <c r="M52" s="2655"/>
      <c r="N52" s="2655"/>
      <c r="O52" s="2655"/>
      <c r="P52" s="2654"/>
    </row>
    <row r="53" spans="1:16" s="2652" customFormat="1" ht="16.7" customHeight="1" outlineLevel="1">
      <c r="A53" s="2529"/>
      <c r="B53" s="2529"/>
      <c r="C53" s="2529"/>
      <c r="D53" s="2529"/>
      <c r="E53" s="2529"/>
      <c r="F53" s="2529"/>
      <c r="G53" s="2529"/>
      <c r="H53" s="2529"/>
      <c r="I53" s="2653"/>
      <c r="J53" s="2655"/>
      <c r="K53" s="2655"/>
      <c r="L53" s="2655"/>
      <c r="M53" s="2655"/>
      <c r="N53" s="2655"/>
      <c r="O53" s="2655"/>
      <c r="P53" s="2654"/>
    </row>
    <row r="54" spans="1:16" s="2652" customFormat="1" ht="16.7" customHeight="1" outlineLevel="1">
      <c r="A54" s="2529"/>
      <c r="B54" s="2529"/>
      <c r="C54" s="2529"/>
      <c r="D54" s="2529"/>
      <c r="E54" s="2529"/>
      <c r="F54" s="2529"/>
      <c r="G54" s="2529"/>
      <c r="H54" s="2529"/>
      <c r="I54" s="2653"/>
      <c r="J54" s="2655"/>
      <c r="K54" s="2655"/>
      <c r="L54" s="2655"/>
      <c r="M54" s="2655"/>
      <c r="N54" s="2655"/>
      <c r="O54" s="2655"/>
      <c r="P54" s="2654"/>
    </row>
    <row r="55" spans="1:16" s="2652" customFormat="1" ht="16.7" customHeight="1" outlineLevel="1">
      <c r="A55" s="2529"/>
      <c r="B55" s="2529"/>
      <c r="C55" s="2529"/>
      <c r="D55" s="2529"/>
      <c r="E55" s="2529"/>
      <c r="F55" s="2529"/>
      <c r="G55" s="2529"/>
      <c r="H55" s="2529"/>
      <c r="I55" s="2653"/>
      <c r="J55" s="2655"/>
      <c r="K55" s="2655"/>
      <c r="L55" s="2655"/>
      <c r="M55" s="2655"/>
      <c r="N55" s="2655"/>
      <c r="O55" s="2655"/>
      <c r="P55" s="2654"/>
    </row>
    <row r="56" spans="1:16" s="2652" customFormat="1" ht="16.7" customHeight="1" outlineLevel="1">
      <c r="A56" s="2568"/>
      <c r="B56" s="2567"/>
      <c r="C56" s="2529"/>
      <c r="D56" s="2566"/>
      <c r="E56" s="2566"/>
      <c r="F56" s="2566"/>
      <c r="G56" s="2566"/>
      <c r="H56" s="2566"/>
      <c r="I56" s="2653"/>
      <c r="J56" s="2655"/>
      <c r="K56" s="2655"/>
      <c r="L56" s="2655"/>
      <c r="M56" s="2655"/>
      <c r="N56" s="2655"/>
      <c r="O56" s="2655"/>
      <c r="P56" s="2654"/>
    </row>
    <row r="57" spans="1:16" s="2652" customFormat="1" ht="16.7" customHeight="1" outlineLevel="1">
      <c r="A57" s="1269"/>
      <c r="B57" s="1269"/>
      <c r="C57" s="2542"/>
      <c r="D57" s="2541"/>
      <c r="E57" s="2561"/>
      <c r="F57" s="2540"/>
      <c r="G57" s="2565"/>
      <c r="H57" s="2561"/>
      <c r="I57" s="2653"/>
      <c r="J57" s="2655"/>
      <c r="K57" s="2655"/>
      <c r="L57" s="2655"/>
      <c r="M57" s="2655"/>
      <c r="N57" s="2655"/>
      <c r="O57" s="2655"/>
      <c r="P57" s="2654"/>
    </row>
    <row r="58" spans="1:16" s="2652" customFormat="1" ht="16.7" customHeight="1" outlineLevel="1">
      <c r="A58" s="2564"/>
      <c r="B58" s="2564"/>
      <c r="C58" s="2563"/>
      <c r="D58" s="2570"/>
      <c r="E58" s="2569"/>
      <c r="F58" s="2540"/>
      <c r="G58" s="2562"/>
      <c r="H58" s="2561"/>
      <c r="I58" s="2653"/>
      <c r="J58" s="2655"/>
      <c r="K58" s="2655"/>
      <c r="L58" s="2655"/>
      <c r="M58" s="2655"/>
      <c r="N58" s="2655"/>
      <c r="O58" s="2655"/>
      <c r="P58" s="2654"/>
    </row>
    <row r="59" spans="1:16" s="2652" customFormat="1" ht="16.7" customHeight="1" outlineLevel="1">
      <c r="A59" s="4879"/>
      <c r="B59" s="4879"/>
      <c r="C59" s="2559"/>
      <c r="D59" s="2560"/>
      <c r="E59" s="4880"/>
      <c r="F59" s="4880"/>
      <c r="G59" s="4880"/>
      <c r="H59" s="2557"/>
      <c r="I59" s="2653"/>
      <c r="J59" s="2653"/>
      <c r="K59" s="2653"/>
      <c r="L59" s="2653"/>
      <c r="M59" s="2653"/>
      <c r="N59" s="2653"/>
      <c r="O59" s="2653"/>
    </row>
    <row r="60" spans="1:16" s="2652" customFormat="1" ht="16.7" customHeight="1" outlineLevel="1">
      <c r="A60" s="4879"/>
      <c r="B60" s="4879"/>
      <c r="C60" s="2559"/>
      <c r="D60" s="2558"/>
      <c r="E60" s="2558"/>
      <c r="F60" s="2558"/>
      <c r="G60" s="2558"/>
      <c r="H60" s="2558"/>
      <c r="I60" s="2653"/>
      <c r="J60" s="2653"/>
      <c r="K60" s="2653"/>
      <c r="L60" s="2653"/>
      <c r="M60" s="2653"/>
      <c r="N60" s="2653"/>
      <c r="O60" s="2653"/>
    </row>
    <row r="61" spans="1:16" s="2652" customFormat="1" ht="16.7" customHeight="1" outlineLevel="1">
      <c r="A61" s="4879"/>
      <c r="B61" s="4879"/>
      <c r="C61" s="2557"/>
      <c r="D61" s="2555"/>
      <c r="E61" s="2555"/>
      <c r="F61" s="2555"/>
      <c r="G61" s="2556"/>
      <c r="H61" s="2555"/>
      <c r="I61" s="2653"/>
      <c r="J61" s="2653"/>
      <c r="K61" s="2653"/>
      <c r="L61" s="2653"/>
      <c r="M61" s="2653"/>
      <c r="N61" s="2653"/>
      <c r="O61" s="2653"/>
    </row>
    <row r="62" spans="1:16" s="2652" customFormat="1" ht="16.7" customHeight="1" outlineLevel="1">
      <c r="A62" s="2554"/>
      <c r="B62" s="2553"/>
      <c r="C62" s="2552"/>
      <c r="D62" s="2551"/>
      <c r="E62" s="2551"/>
      <c r="F62" s="2551"/>
      <c r="G62" s="2551"/>
      <c r="H62" s="2551"/>
      <c r="I62" s="2653"/>
      <c r="J62" s="2653"/>
      <c r="K62" s="2653"/>
      <c r="L62" s="2653"/>
      <c r="M62" s="2653"/>
      <c r="N62" s="2653"/>
      <c r="O62" s="2653"/>
    </row>
    <row r="63" spans="1:16" ht="16.7" customHeight="1" outlineLevel="1">
      <c r="A63" s="2549"/>
      <c r="B63" s="2549"/>
      <c r="C63" s="2545"/>
      <c r="D63" s="2548"/>
      <c r="E63" s="2548"/>
      <c r="F63" s="2540"/>
      <c r="G63" s="2548"/>
      <c r="H63" s="2548"/>
    </row>
    <row r="64" spans="1:16" ht="20.100000000000001" customHeight="1" outlineLevel="2">
      <c r="A64" s="2549"/>
      <c r="B64" s="2549"/>
      <c r="C64" s="2545"/>
      <c r="D64" s="2548"/>
      <c r="E64" s="2548"/>
      <c r="F64" s="2540"/>
      <c r="G64" s="2548"/>
      <c r="H64" s="2548"/>
    </row>
    <row r="65" spans="1:15" ht="8.4499999999999993" customHeight="1" outlineLevel="2">
      <c r="A65" s="2546"/>
      <c r="B65" s="1269"/>
      <c r="C65" s="2545"/>
      <c r="D65" s="2541"/>
      <c r="E65" s="2544"/>
      <c r="F65" s="2540"/>
      <c r="G65" s="2544"/>
      <c r="H65" s="2544"/>
    </row>
    <row r="66" spans="1:15" ht="14.45" customHeight="1">
      <c r="A66" s="2549"/>
      <c r="B66" s="2549"/>
      <c r="C66" s="2545"/>
      <c r="D66" s="2541"/>
      <c r="E66" s="2544"/>
      <c r="F66" s="2540"/>
      <c r="G66" s="2544"/>
      <c r="H66" s="2544"/>
    </row>
    <row r="67" spans="1:15" ht="13.9" customHeight="1">
      <c r="A67" s="2546"/>
      <c r="B67" s="1269"/>
      <c r="C67" s="2545"/>
      <c r="D67" s="2541"/>
      <c r="E67" s="2544"/>
      <c r="F67" s="2540"/>
      <c r="G67" s="2544"/>
      <c r="H67" s="2544"/>
    </row>
    <row r="68" spans="1:15" s="1256" customFormat="1" ht="18" customHeight="1">
      <c r="A68" s="2547"/>
      <c r="B68" s="2546"/>
      <c r="C68" s="2545"/>
      <c r="D68" s="2541"/>
      <c r="E68" s="2544"/>
      <c r="F68" s="2540"/>
      <c r="G68" s="2544"/>
      <c r="H68" s="2544"/>
      <c r="I68" s="1257"/>
      <c r="J68" s="1257"/>
      <c r="K68" s="1257"/>
      <c r="L68" s="1257"/>
      <c r="M68" s="1257"/>
      <c r="N68" s="1257"/>
      <c r="O68" s="1257"/>
    </row>
    <row r="69" spans="1:15" s="2463" customFormat="1" ht="12.75">
      <c r="A69" s="2543"/>
      <c r="B69" s="2543"/>
      <c r="C69" s="2542"/>
      <c r="D69" s="2541"/>
      <c r="E69" s="2539"/>
      <c r="F69" s="2540"/>
      <c r="G69" s="2539"/>
      <c r="H69" s="2539"/>
      <c r="I69" s="2579"/>
      <c r="J69" s="2579"/>
      <c r="K69" s="2579"/>
      <c r="L69" s="2579"/>
      <c r="M69" s="2579"/>
      <c r="N69" s="2579"/>
      <c r="O69" s="2579"/>
    </row>
    <row r="70" spans="1:15" s="2463" customFormat="1" ht="12.75">
      <c r="A70" s="2538"/>
      <c r="B70" s="2538"/>
      <c r="C70" s="2537"/>
      <c r="D70" s="2536"/>
      <c r="E70" s="2536"/>
      <c r="F70" s="2536"/>
      <c r="G70" s="2536"/>
      <c r="H70" s="2536"/>
      <c r="I70" s="2579"/>
      <c r="J70" s="2579"/>
      <c r="K70" s="2579"/>
      <c r="L70" s="2579"/>
      <c r="M70" s="2579"/>
      <c r="N70" s="2579"/>
      <c r="O70" s="2579"/>
    </row>
    <row r="71" spans="1:15" s="2463" customFormat="1" ht="12.75">
      <c r="A71" s="2538"/>
      <c r="B71" s="2538"/>
      <c r="C71" s="2537"/>
      <c r="D71" s="2536"/>
      <c r="E71" s="2536"/>
      <c r="F71" s="2536"/>
      <c r="G71" s="2536"/>
      <c r="H71" s="2536"/>
      <c r="I71" s="2579"/>
      <c r="J71" s="2579"/>
      <c r="K71" s="2579"/>
      <c r="L71" s="2579"/>
      <c r="M71" s="2579"/>
      <c r="N71" s="2579"/>
      <c r="O71" s="2579"/>
    </row>
    <row r="72" spans="1:15" s="2463" customFormat="1">
      <c r="A72" s="1269"/>
      <c r="B72" s="2529"/>
      <c r="C72" s="2535"/>
      <c r="D72" s="2529"/>
      <c r="E72" s="4877"/>
      <c r="F72" s="4877"/>
      <c r="G72" s="1269"/>
      <c r="H72" s="2529"/>
      <c r="I72" s="2579"/>
      <c r="J72" s="2579"/>
      <c r="K72" s="2579"/>
      <c r="L72" s="2579"/>
      <c r="M72" s="2579"/>
      <c r="N72" s="2579"/>
      <c r="O72" s="2579"/>
    </row>
    <row r="73" spans="1:15" s="2463" customFormat="1">
      <c r="A73" s="2529"/>
      <c r="B73" s="1269"/>
      <c r="C73" s="2535"/>
      <c r="D73" s="1269"/>
      <c r="E73" s="1269"/>
      <c r="F73" s="1269"/>
      <c r="G73" s="1269"/>
      <c r="H73" s="2529"/>
      <c r="I73" s="2579"/>
      <c r="J73" s="2579"/>
      <c r="K73" s="2579"/>
      <c r="L73" s="2579"/>
      <c r="M73" s="2579"/>
      <c r="N73" s="2579"/>
      <c r="O73" s="2579"/>
    </row>
    <row r="74" spans="1:15" s="2463" customFormat="1" ht="12.75">
      <c r="A74" s="2534"/>
      <c r="B74" s="1269"/>
      <c r="C74" s="4881"/>
      <c r="D74" s="4881"/>
      <c r="E74" s="4876"/>
      <c r="F74" s="4876"/>
      <c r="G74" s="4876"/>
      <c r="H74" s="4876"/>
      <c r="I74" s="2579"/>
      <c r="J74" s="2579"/>
      <c r="K74" s="2579"/>
      <c r="L74" s="2579"/>
      <c r="M74" s="2579"/>
      <c r="N74" s="2579"/>
      <c r="O74" s="2579"/>
    </row>
    <row r="75" spans="1:15" s="2463" customFormat="1" ht="12.75">
      <c r="A75" s="2531"/>
      <c r="B75" s="2533"/>
      <c r="C75" s="4874"/>
      <c r="D75" s="4874"/>
      <c r="E75" s="4875"/>
      <c r="F75" s="4875"/>
      <c r="G75" s="4875"/>
      <c r="H75" s="4875"/>
      <c r="I75" s="2579"/>
      <c r="J75" s="2579"/>
      <c r="K75" s="2579"/>
      <c r="L75" s="2579"/>
      <c r="M75" s="2579"/>
      <c r="N75" s="2579"/>
      <c r="O75" s="2579"/>
    </row>
    <row r="76" spans="1:15" s="2463" customFormat="1" ht="12.75">
      <c r="A76" s="2531"/>
      <c r="B76" s="2533"/>
      <c r="C76" s="2531"/>
      <c r="D76" s="2566"/>
      <c r="E76" s="2566"/>
      <c r="F76" s="2566"/>
      <c r="G76" s="2566"/>
      <c r="H76" s="2566"/>
      <c r="I76" s="2579"/>
      <c r="J76" s="2579"/>
      <c r="K76" s="2579"/>
      <c r="L76" s="2579"/>
      <c r="M76" s="2579"/>
      <c r="N76" s="2579"/>
      <c r="O76" s="2579"/>
    </row>
    <row r="77" spans="1:15" s="2463" customFormat="1" ht="12.75">
      <c r="A77" s="2531"/>
      <c r="B77" s="2533"/>
      <c r="C77" s="2531"/>
      <c r="D77" s="2566"/>
      <c r="E77" s="2566"/>
      <c r="F77" s="2566"/>
      <c r="G77" s="2566"/>
      <c r="H77" s="2566"/>
      <c r="I77" s="2579"/>
      <c r="J77" s="2579"/>
      <c r="K77" s="2579"/>
      <c r="L77" s="2579"/>
      <c r="M77" s="2579"/>
      <c r="N77" s="2579"/>
      <c r="O77" s="2579"/>
    </row>
    <row r="78" spans="1:15" s="2463" customFormat="1" ht="12.75">
      <c r="A78" s="2531"/>
      <c r="B78" s="2533"/>
      <c r="C78" s="2531"/>
      <c r="D78" s="2566"/>
      <c r="E78" s="2566"/>
      <c r="F78" s="2566"/>
      <c r="G78" s="2566"/>
      <c r="H78" s="2566"/>
      <c r="I78" s="2579"/>
      <c r="J78" s="2579"/>
      <c r="K78" s="2579"/>
      <c r="L78" s="2579"/>
      <c r="M78" s="2579"/>
      <c r="N78" s="2579"/>
      <c r="O78" s="2579"/>
    </row>
    <row r="79" spans="1:15" s="2463" customFormat="1" ht="12.75">
      <c r="A79" s="2531"/>
      <c r="B79" s="2533"/>
      <c r="C79" s="2531"/>
      <c r="D79" s="2566"/>
      <c r="E79" s="2566"/>
      <c r="F79" s="2566"/>
      <c r="G79" s="2566"/>
      <c r="H79" s="2566"/>
      <c r="I79" s="2579"/>
      <c r="J79" s="2579"/>
      <c r="K79" s="2579"/>
      <c r="L79" s="2579"/>
      <c r="M79" s="2579"/>
      <c r="N79" s="2579"/>
      <c r="O79" s="2579"/>
    </row>
    <row r="80" spans="1:15" s="2463" customFormat="1" ht="12.75">
      <c r="A80" s="2531"/>
      <c r="B80" s="2533"/>
      <c r="C80" s="2531"/>
      <c r="D80" s="2566"/>
      <c r="E80" s="2566"/>
      <c r="F80" s="2566"/>
      <c r="G80" s="2566"/>
      <c r="H80" s="2566"/>
      <c r="I80" s="2579"/>
      <c r="J80" s="2579"/>
      <c r="K80" s="2579"/>
      <c r="L80" s="2579"/>
      <c r="M80" s="2579"/>
      <c r="N80" s="2579"/>
      <c r="O80" s="2579"/>
    </row>
    <row r="81" spans="1:15" s="2463" customFormat="1" ht="12.75">
      <c r="A81" s="2531"/>
      <c r="B81" s="2533"/>
      <c r="C81" s="2531"/>
      <c r="D81" s="2566"/>
      <c r="E81" s="2566"/>
      <c r="F81" s="2566"/>
      <c r="G81" s="2566"/>
      <c r="H81" s="2566"/>
      <c r="I81" s="2579"/>
      <c r="J81" s="2579"/>
      <c r="K81" s="2579"/>
      <c r="L81" s="2579"/>
      <c r="M81" s="2579"/>
      <c r="N81" s="2579"/>
      <c r="O81" s="2579"/>
    </row>
    <row r="82" spans="1:15" s="2463" customFormat="1" ht="12.75">
      <c r="A82" s="2531"/>
      <c r="B82" s="2533"/>
      <c r="C82" s="2531"/>
      <c r="D82" s="2566"/>
      <c r="E82" s="2566"/>
      <c r="F82" s="2566"/>
      <c r="G82" s="2566"/>
      <c r="H82" s="2566"/>
      <c r="I82" s="2579"/>
      <c r="J82" s="2579"/>
      <c r="K82" s="2579"/>
      <c r="L82" s="2579"/>
      <c r="M82" s="2579"/>
      <c r="N82" s="2579"/>
      <c r="O82" s="2579"/>
    </row>
    <row r="83" spans="1:15" s="2463" customFormat="1" ht="12.75">
      <c r="A83" s="2531"/>
      <c r="B83" s="2533"/>
      <c r="C83" s="2531"/>
      <c r="D83" s="2566"/>
      <c r="E83" s="2566"/>
      <c r="F83" s="2566"/>
      <c r="G83" s="2566"/>
      <c r="H83" s="2566"/>
      <c r="I83" s="2579"/>
      <c r="J83" s="2579"/>
      <c r="K83" s="2579"/>
      <c r="L83" s="2579"/>
      <c r="M83" s="2579"/>
      <c r="N83" s="2579"/>
      <c r="O83" s="2579"/>
    </row>
    <row r="84" spans="1:15" s="2463" customFormat="1" ht="12.75">
      <c r="A84" s="2531"/>
      <c r="B84" s="2533"/>
      <c r="C84" s="2531"/>
      <c r="D84" s="2566"/>
      <c r="E84" s="2566"/>
      <c r="F84" s="2566"/>
      <c r="G84" s="2566"/>
      <c r="H84" s="2566"/>
      <c r="I84" s="2579"/>
      <c r="J84" s="2579"/>
      <c r="K84" s="2579"/>
      <c r="L84" s="2579"/>
      <c r="M84" s="2579"/>
      <c r="N84" s="2579"/>
      <c r="O84" s="2579"/>
    </row>
    <row r="85" spans="1:15" s="2463" customFormat="1" ht="12.75">
      <c r="A85" s="2531"/>
      <c r="B85" s="2533"/>
      <c r="C85" s="2531"/>
      <c r="D85" s="2566"/>
      <c r="E85" s="2566"/>
      <c r="F85" s="2566"/>
      <c r="G85" s="2566"/>
      <c r="H85" s="2566"/>
      <c r="I85" s="2579"/>
      <c r="J85" s="2579"/>
      <c r="K85" s="2579"/>
      <c r="L85" s="2579"/>
      <c r="M85" s="2579"/>
      <c r="N85" s="2579"/>
      <c r="O85" s="2579"/>
    </row>
    <row r="86" spans="1:15" s="2463" customFormat="1" ht="12.75">
      <c r="A86" s="2531"/>
      <c r="B86" s="2533"/>
      <c r="C86" s="2531"/>
      <c r="D86" s="2566"/>
      <c r="E86" s="2566"/>
      <c r="F86" s="2566"/>
      <c r="G86" s="2566"/>
      <c r="H86" s="2566"/>
      <c r="I86" s="2579"/>
      <c r="J86" s="2579"/>
      <c r="K86" s="2579"/>
      <c r="L86" s="2579"/>
      <c r="M86" s="2579"/>
      <c r="N86" s="2579"/>
      <c r="O86" s="2579"/>
    </row>
    <row r="87" spans="1:15" s="2463" customFormat="1" ht="12.75">
      <c r="A87" s="2531"/>
      <c r="B87" s="2533"/>
      <c r="C87" s="2531"/>
      <c r="D87" s="2566"/>
      <c r="E87" s="2566"/>
      <c r="F87" s="2566"/>
      <c r="G87" s="2566"/>
      <c r="H87" s="2566"/>
      <c r="I87" s="2579"/>
      <c r="J87" s="2579"/>
      <c r="K87" s="2579"/>
      <c r="L87" s="2579"/>
      <c r="M87" s="2579"/>
      <c r="N87" s="2579"/>
      <c r="O87" s="2579"/>
    </row>
    <row r="88" spans="1:15" s="2463" customFormat="1" ht="12.75">
      <c r="A88" s="2531"/>
      <c r="B88" s="2533"/>
      <c r="C88" s="2531"/>
      <c r="D88" s="2566"/>
      <c r="E88" s="2566"/>
      <c r="F88" s="2566"/>
      <c r="G88" s="2566"/>
      <c r="H88" s="2566"/>
      <c r="I88" s="2579"/>
      <c r="J88" s="2579"/>
      <c r="K88" s="2579"/>
      <c r="L88" s="2579"/>
      <c r="M88" s="2579"/>
      <c r="N88" s="2579"/>
      <c r="O88" s="2579"/>
    </row>
    <row r="89" spans="1:15" s="2463" customFormat="1" ht="12.75">
      <c r="A89" s="2531"/>
      <c r="B89" s="2533"/>
      <c r="C89" s="2531"/>
      <c r="D89" s="2566"/>
      <c r="E89" s="2566"/>
      <c r="F89" s="2566"/>
      <c r="G89" s="2566"/>
      <c r="H89" s="2566"/>
      <c r="I89" s="2579"/>
      <c r="J89" s="2579"/>
      <c r="K89" s="2579"/>
      <c r="L89" s="2579"/>
      <c r="M89" s="2579"/>
      <c r="N89" s="2579"/>
      <c r="O89" s="2579"/>
    </row>
    <row r="90" spans="1:15" s="2463" customFormat="1" ht="12.75">
      <c r="A90" s="2531"/>
      <c r="B90" s="2533"/>
      <c r="C90" s="2531"/>
      <c r="D90" s="2566"/>
      <c r="E90" s="2566"/>
      <c r="F90" s="2566"/>
      <c r="G90" s="2566"/>
      <c r="H90" s="2566"/>
      <c r="I90" s="2579"/>
      <c r="J90" s="2579"/>
      <c r="K90" s="2579"/>
      <c r="L90" s="2579"/>
      <c r="M90" s="2579"/>
      <c r="N90" s="2579"/>
      <c r="O90" s="2579"/>
    </row>
    <row r="91" spans="1:15" s="2463" customFormat="1" ht="12.75">
      <c r="A91" s="2531"/>
      <c r="B91" s="2533"/>
      <c r="C91" s="2531"/>
      <c r="D91" s="2566"/>
      <c r="E91" s="2566"/>
      <c r="F91" s="2566"/>
      <c r="G91" s="2566"/>
      <c r="H91" s="2566"/>
      <c r="I91" s="2579"/>
      <c r="J91" s="2579"/>
      <c r="K91" s="2579"/>
      <c r="L91" s="2579"/>
      <c r="M91" s="2579"/>
      <c r="N91" s="2579"/>
      <c r="O91" s="2579"/>
    </row>
    <row r="92" spans="1:15" s="2463" customFormat="1" ht="12.75">
      <c r="A92" s="2531"/>
      <c r="B92" s="2533"/>
      <c r="C92" s="2531"/>
      <c r="D92" s="2566"/>
      <c r="E92" s="2566"/>
      <c r="F92" s="2566"/>
      <c r="G92" s="2566"/>
      <c r="H92" s="2566"/>
      <c r="I92" s="2579"/>
      <c r="J92" s="2579"/>
      <c r="K92" s="2579"/>
      <c r="L92" s="2579"/>
      <c r="M92" s="2579"/>
      <c r="N92" s="2579"/>
      <c r="O92" s="2579"/>
    </row>
    <row r="93" spans="1:15" s="2463" customFormat="1" ht="12.75">
      <c r="A93" s="2531"/>
      <c r="B93" s="2533"/>
      <c r="C93" s="2531"/>
      <c r="D93" s="2566"/>
      <c r="E93" s="2566"/>
      <c r="F93" s="2566"/>
      <c r="G93" s="2566"/>
      <c r="H93" s="2566"/>
      <c r="I93" s="2579"/>
      <c r="J93" s="2579"/>
      <c r="K93" s="2579"/>
      <c r="L93" s="2579"/>
      <c r="M93" s="2579"/>
      <c r="N93" s="2579"/>
      <c r="O93" s="2579"/>
    </row>
    <row r="94" spans="1:15" s="2463" customFormat="1" ht="12.75">
      <c r="A94" s="2531"/>
      <c r="B94" s="2533"/>
      <c r="C94" s="2531"/>
      <c r="D94" s="2566"/>
      <c r="E94" s="2566"/>
      <c r="F94" s="2566"/>
      <c r="G94" s="2566"/>
      <c r="H94" s="2566"/>
      <c r="I94" s="2579"/>
      <c r="J94" s="2579"/>
      <c r="K94" s="2579"/>
      <c r="L94" s="2579"/>
      <c r="M94" s="2579"/>
      <c r="N94" s="2579"/>
      <c r="O94" s="2579"/>
    </row>
    <row r="95" spans="1:15" s="2463" customFormat="1">
      <c r="A95" s="2529"/>
      <c r="B95" s="2529"/>
      <c r="C95" s="2529"/>
      <c r="D95" s="2529"/>
      <c r="E95" s="2529"/>
      <c r="F95" s="2529"/>
      <c r="G95" s="2529"/>
      <c r="H95" s="2529"/>
      <c r="I95" s="2579"/>
      <c r="J95" s="2579"/>
      <c r="K95" s="2579"/>
      <c r="L95" s="2579"/>
      <c r="M95" s="2579"/>
      <c r="N95" s="2579"/>
      <c r="O95" s="2579"/>
    </row>
    <row r="96" spans="1:15" s="2463" customFormat="1">
      <c r="A96" s="2529"/>
      <c r="B96" s="2529"/>
      <c r="C96" s="2529"/>
      <c r="D96" s="2529"/>
      <c r="E96" s="2529"/>
      <c r="F96" s="2529"/>
      <c r="G96" s="2529"/>
      <c r="H96" s="2529"/>
      <c r="I96" s="2579"/>
      <c r="J96" s="2579"/>
      <c r="K96" s="2579"/>
      <c r="L96" s="2579"/>
      <c r="M96" s="2579"/>
      <c r="N96" s="2579"/>
      <c r="O96" s="2579"/>
    </row>
    <row r="97" spans="1:15" s="2463" customFormat="1">
      <c r="A97" s="2529"/>
      <c r="B97" s="2529"/>
      <c r="C97" s="2529"/>
      <c r="D97" s="2529"/>
      <c r="E97" s="2529"/>
      <c r="F97" s="2529"/>
      <c r="G97" s="2529"/>
      <c r="H97" s="2529"/>
      <c r="I97" s="2579"/>
      <c r="J97" s="2579"/>
      <c r="K97" s="2579"/>
      <c r="L97" s="2579"/>
      <c r="M97" s="2579"/>
      <c r="N97" s="2579"/>
      <c r="O97" s="2579"/>
    </row>
    <row r="98" spans="1:15" s="2463" customFormat="1" ht="12.75">
      <c r="A98" s="4876"/>
      <c r="B98" s="4876"/>
      <c r="C98" s="4876"/>
      <c r="D98" s="4876"/>
      <c r="E98" s="4876"/>
      <c r="F98" s="4876"/>
      <c r="G98" s="4876"/>
      <c r="H98" s="4876"/>
      <c r="I98" s="2579"/>
      <c r="J98" s="2579"/>
      <c r="K98" s="2579"/>
      <c r="L98" s="2579"/>
      <c r="M98" s="2579"/>
      <c r="N98" s="2579"/>
      <c r="O98" s="2579"/>
    </row>
    <row r="99" spans="1:15" s="2463" customFormat="1" ht="12.75">
      <c r="A99" s="4877"/>
      <c r="B99" s="4877"/>
      <c r="C99" s="4877"/>
      <c r="D99" s="4877"/>
      <c r="E99" s="4877"/>
      <c r="F99" s="4877"/>
      <c r="G99" s="4877"/>
      <c r="H99" s="4877"/>
      <c r="I99" s="2579"/>
      <c r="J99" s="2579"/>
      <c r="K99" s="2579"/>
      <c r="L99" s="2579"/>
      <c r="M99" s="2579"/>
      <c r="N99" s="2579"/>
      <c r="O99" s="2579"/>
    </row>
    <row r="100" spans="1:15" s="2463" customFormat="1">
      <c r="A100" s="2529"/>
      <c r="B100" s="2529"/>
      <c r="C100" s="2529"/>
      <c r="D100" s="2529"/>
      <c r="E100" s="2529"/>
      <c r="F100" s="2529"/>
      <c r="G100" s="2529"/>
      <c r="H100" s="2529"/>
      <c r="I100" s="2579"/>
      <c r="J100" s="2579"/>
      <c r="K100" s="2579"/>
      <c r="L100" s="2579"/>
      <c r="M100" s="2579"/>
      <c r="N100" s="2579"/>
      <c r="O100" s="2579"/>
    </row>
    <row r="101" spans="1:15" s="2463" customFormat="1">
      <c r="A101" s="2568"/>
      <c r="B101" s="2567"/>
      <c r="C101" s="2529"/>
      <c r="D101" s="2566"/>
      <c r="E101" s="2566"/>
      <c r="F101" s="2566"/>
      <c r="G101" s="2566"/>
      <c r="H101" s="2566"/>
      <c r="I101" s="2579"/>
      <c r="J101" s="2579"/>
      <c r="K101" s="2579"/>
      <c r="L101" s="2579"/>
      <c r="M101" s="2579"/>
      <c r="N101" s="2579"/>
      <c r="O101" s="2579"/>
    </row>
    <row r="102" spans="1:15" s="2463" customFormat="1" ht="12.75">
      <c r="A102" s="1269"/>
      <c r="B102" s="1269"/>
      <c r="C102" s="2542"/>
      <c r="D102" s="2541"/>
      <c r="E102" s="2561"/>
      <c r="F102" s="2540"/>
      <c r="G102" s="2565"/>
      <c r="H102" s="2561"/>
      <c r="I102" s="2579"/>
      <c r="J102" s="2579"/>
      <c r="K102" s="2579"/>
      <c r="L102" s="2579"/>
      <c r="M102" s="2579"/>
      <c r="N102" s="2579"/>
      <c r="O102" s="2579"/>
    </row>
    <row r="103" spans="1:15" s="2463" customFormat="1" ht="23.25">
      <c r="A103" s="2564"/>
      <c r="B103" s="2564"/>
      <c r="C103" s="2563"/>
      <c r="D103" s="2541"/>
      <c r="E103" s="2561"/>
      <c r="F103" s="2540"/>
      <c r="G103" s="2562"/>
      <c r="H103" s="2561"/>
      <c r="I103" s="2579"/>
      <c r="J103" s="2579"/>
      <c r="K103" s="2579"/>
      <c r="L103" s="2579"/>
      <c r="M103" s="2579"/>
      <c r="N103" s="2579"/>
      <c r="O103" s="2579"/>
    </row>
    <row r="104" spans="1:15" s="2463" customFormat="1" ht="12.75">
      <c r="A104" s="4879"/>
      <c r="B104" s="4879"/>
      <c r="C104" s="2559"/>
      <c r="D104" s="2560"/>
      <c r="E104" s="4880"/>
      <c r="F104" s="4880"/>
      <c r="G104" s="4880"/>
      <c r="H104" s="2557"/>
      <c r="I104" s="2579"/>
      <c r="J104" s="2579"/>
      <c r="K104" s="2579"/>
      <c r="L104" s="2579"/>
      <c r="M104" s="2579"/>
      <c r="N104" s="2579"/>
      <c r="O104" s="2579"/>
    </row>
    <row r="105" spans="1:15" s="2463" customFormat="1" ht="12.75">
      <c r="A105" s="4879"/>
      <c r="B105" s="4879"/>
      <c r="C105" s="2559"/>
      <c r="D105" s="2558"/>
      <c r="E105" s="2558"/>
      <c r="F105" s="2558"/>
      <c r="G105" s="2558"/>
      <c r="H105" s="2558"/>
      <c r="I105" s="2579"/>
      <c r="J105" s="2579"/>
      <c r="K105" s="2579"/>
      <c r="L105" s="2579"/>
      <c r="M105" s="2579"/>
      <c r="N105" s="2579"/>
      <c r="O105" s="2579"/>
    </row>
    <row r="106" spans="1:15" s="2463" customFormat="1" ht="12.75">
      <c r="A106" s="4879"/>
      <c r="B106" s="4879"/>
      <c r="C106" s="2557"/>
      <c r="D106" s="2555"/>
      <c r="E106" s="2555"/>
      <c r="F106" s="2555"/>
      <c r="G106" s="2556"/>
      <c r="H106" s="2555"/>
      <c r="I106" s="2579"/>
      <c r="J106" s="2579"/>
      <c r="K106" s="2579"/>
      <c r="L106" s="2579"/>
      <c r="M106" s="2579"/>
      <c r="N106" s="2579"/>
      <c r="O106" s="2579"/>
    </row>
    <row r="107" spans="1:15" s="2463" customFormat="1" ht="12.75">
      <c r="A107" s="2554"/>
      <c r="B107" s="2553"/>
      <c r="C107" s="2552"/>
      <c r="D107" s="2551"/>
      <c r="E107" s="2551"/>
      <c r="F107" s="2551"/>
      <c r="G107" s="2551"/>
      <c r="H107" s="2551"/>
      <c r="I107" s="2579"/>
      <c r="J107" s="2579"/>
      <c r="K107" s="2579"/>
      <c r="L107" s="2579"/>
      <c r="M107" s="2579"/>
      <c r="N107" s="2579"/>
      <c r="O107" s="2579"/>
    </row>
    <row r="108" spans="1:15" s="2463" customFormat="1" ht="12.75">
      <c r="A108" s="2549"/>
      <c r="B108" s="2549"/>
      <c r="C108" s="2542"/>
      <c r="D108" s="2548"/>
      <c r="E108" s="2548"/>
      <c r="F108" s="2540"/>
      <c r="G108" s="2548"/>
      <c r="H108" s="2548"/>
      <c r="I108" s="2579"/>
      <c r="J108" s="2579"/>
      <c r="K108" s="2579"/>
      <c r="L108" s="2579"/>
      <c r="M108" s="2579"/>
      <c r="N108" s="2579"/>
      <c r="O108" s="2579"/>
    </row>
    <row r="109" spans="1:15" s="2463" customFormat="1" ht="12.75">
      <c r="A109" s="2549"/>
      <c r="B109" s="2549"/>
      <c r="C109" s="2545"/>
      <c r="D109" s="2548"/>
      <c r="E109" s="2548"/>
      <c r="F109" s="2540"/>
      <c r="G109" s="2548"/>
      <c r="H109" s="2548"/>
      <c r="I109" s="2579"/>
      <c r="J109" s="2579"/>
      <c r="K109" s="2579"/>
      <c r="L109" s="2579"/>
      <c r="M109" s="2579"/>
      <c r="N109" s="2579"/>
      <c r="O109" s="2579"/>
    </row>
    <row r="110" spans="1:15" s="2463" customFormat="1" ht="12.75">
      <c r="A110" s="2547"/>
      <c r="B110" s="2546"/>
      <c r="C110" s="2545"/>
      <c r="D110" s="2541"/>
      <c r="E110" s="2544"/>
      <c r="F110" s="2540"/>
      <c r="G110" s="2544"/>
      <c r="H110" s="2544"/>
      <c r="I110" s="2579"/>
      <c r="J110" s="2579"/>
      <c r="K110" s="2579"/>
      <c r="L110" s="2579"/>
      <c r="M110" s="2579"/>
      <c r="N110" s="2579"/>
      <c r="O110" s="2579"/>
    </row>
    <row r="111" spans="1:15" s="2463" customFormat="1" ht="12.75">
      <c r="A111" s="2543"/>
      <c r="B111" s="2543"/>
      <c r="C111" s="2542"/>
      <c r="D111" s="2541"/>
      <c r="E111" s="2539"/>
      <c r="F111" s="2540"/>
      <c r="G111" s="2539"/>
      <c r="H111" s="2539"/>
      <c r="I111" s="2579"/>
      <c r="J111" s="2579"/>
      <c r="K111" s="2579"/>
      <c r="L111" s="2579"/>
      <c r="M111" s="2579"/>
      <c r="N111" s="2579"/>
      <c r="O111" s="2579"/>
    </row>
    <row r="112" spans="1:15" s="2463" customFormat="1" ht="12.75">
      <c r="A112" s="2538"/>
      <c r="B112" s="2538"/>
      <c r="C112" s="2537"/>
      <c r="D112" s="2536"/>
      <c r="E112" s="2536"/>
      <c r="F112" s="2536"/>
      <c r="G112" s="2536"/>
      <c r="H112" s="2536"/>
      <c r="I112" s="2579"/>
      <c r="J112" s="2579"/>
      <c r="K112" s="2579"/>
      <c r="L112" s="2579"/>
      <c r="M112" s="2579"/>
      <c r="N112" s="2579"/>
      <c r="O112" s="2579"/>
    </row>
    <row r="113" spans="1:15" s="2463" customFormat="1" ht="12.75">
      <c r="A113" s="2538"/>
      <c r="B113" s="2538"/>
      <c r="C113" s="2537"/>
      <c r="D113" s="2536"/>
      <c r="E113" s="2536"/>
      <c r="F113" s="2536"/>
      <c r="G113" s="2536"/>
      <c r="H113" s="2536"/>
      <c r="I113" s="2579"/>
      <c r="J113" s="2579"/>
      <c r="K113" s="2579"/>
      <c r="L113" s="2579"/>
      <c r="M113" s="2579"/>
      <c r="N113" s="2579"/>
      <c r="O113" s="2579"/>
    </row>
    <row r="114" spans="1:15" s="2463" customFormat="1">
      <c r="A114" s="1269"/>
      <c r="B114" s="2529"/>
      <c r="C114" s="2535"/>
      <c r="D114" s="2529"/>
      <c r="E114" s="4877"/>
      <c r="F114" s="4877"/>
      <c r="G114" s="1269"/>
      <c r="H114" s="2529"/>
      <c r="I114" s="2579"/>
      <c r="J114" s="2579"/>
      <c r="K114" s="2579"/>
      <c r="L114" s="2579"/>
      <c r="M114" s="2579"/>
      <c r="N114" s="2579"/>
      <c r="O114" s="2579"/>
    </row>
    <row r="115" spans="1:15" s="2463" customFormat="1">
      <c r="A115" s="2529"/>
      <c r="B115" s="1269"/>
      <c r="C115" s="2535"/>
      <c r="D115" s="1269"/>
      <c r="E115" s="1269"/>
      <c r="F115" s="1269"/>
      <c r="G115" s="1269"/>
      <c r="H115" s="2529"/>
      <c r="I115" s="2579"/>
      <c r="J115" s="2579"/>
      <c r="K115" s="2579"/>
      <c r="L115" s="2579"/>
      <c r="M115" s="2579"/>
      <c r="N115" s="2579"/>
      <c r="O115" s="2579"/>
    </row>
    <row r="116" spans="1:15" s="2463" customFormat="1" ht="12.75">
      <c r="A116" s="2534"/>
      <c r="B116" s="1269"/>
      <c r="C116" s="4881"/>
      <c r="D116" s="4881"/>
      <c r="E116" s="4876"/>
      <c r="F116" s="4876"/>
      <c r="G116" s="4876"/>
      <c r="H116" s="4876"/>
      <c r="I116" s="2579"/>
      <c r="J116" s="2579"/>
      <c r="K116" s="2579"/>
      <c r="L116" s="2579"/>
      <c r="M116" s="2579"/>
      <c r="N116" s="2579"/>
      <c r="O116" s="2579"/>
    </row>
    <row r="117" spans="1:15" s="2463" customFormat="1" ht="12.75">
      <c r="A117" s="2531"/>
      <c r="B117" s="2533"/>
      <c r="C117" s="4874"/>
      <c r="D117" s="4874"/>
      <c r="E117" s="4875"/>
      <c r="F117" s="4875"/>
      <c r="G117" s="4875"/>
      <c r="H117" s="4875"/>
      <c r="I117" s="2579"/>
      <c r="J117" s="2579"/>
      <c r="K117" s="2579"/>
      <c r="L117" s="2579"/>
      <c r="M117" s="2579"/>
      <c r="N117" s="2579"/>
      <c r="O117" s="2579"/>
    </row>
    <row r="118" spans="1:15" s="2463" customFormat="1" ht="12.75">
      <c r="A118" s="2531"/>
      <c r="B118" s="2533"/>
      <c r="C118" s="2531"/>
      <c r="D118" s="2566"/>
      <c r="E118" s="2566"/>
      <c r="F118" s="2566"/>
      <c r="G118" s="2566"/>
      <c r="H118" s="2566"/>
      <c r="I118" s="2579"/>
      <c r="J118" s="2579"/>
      <c r="K118" s="2579"/>
      <c r="L118" s="2579"/>
      <c r="M118" s="2579"/>
      <c r="N118" s="2579"/>
      <c r="O118" s="2579"/>
    </row>
    <row r="119" spans="1:15" s="2463" customFormat="1" ht="12.75">
      <c r="A119" s="2531"/>
      <c r="B119" s="2533"/>
      <c r="C119" s="2531"/>
      <c r="D119" s="2566"/>
      <c r="E119" s="2566"/>
      <c r="F119" s="2566"/>
      <c r="G119" s="2566"/>
      <c r="H119" s="2566"/>
      <c r="I119" s="2579"/>
      <c r="J119" s="2579"/>
      <c r="K119" s="2579"/>
      <c r="L119" s="2579"/>
      <c r="M119" s="2579"/>
      <c r="N119" s="2579"/>
      <c r="O119" s="2579"/>
    </row>
    <row r="120" spans="1:15" s="2463" customFormat="1" ht="12.75">
      <c r="A120" s="2531"/>
      <c r="B120" s="2533"/>
      <c r="C120" s="2531"/>
      <c r="D120" s="2566"/>
      <c r="E120" s="2566"/>
      <c r="F120" s="2566"/>
      <c r="G120" s="2566"/>
      <c r="H120" s="2566"/>
      <c r="I120" s="2579"/>
      <c r="J120" s="2579"/>
      <c r="K120" s="2579"/>
      <c r="L120" s="2579"/>
      <c r="M120" s="2579"/>
      <c r="N120" s="2579"/>
      <c r="O120" s="2579"/>
    </row>
    <row r="121" spans="1:15" s="2463" customFormat="1" ht="12.75">
      <c r="B121" s="2464"/>
      <c r="D121" s="2465"/>
      <c r="E121" s="2465"/>
      <c r="F121" s="2465"/>
      <c r="G121" s="2465"/>
      <c r="H121" s="2465"/>
      <c r="I121" s="2579"/>
      <c r="J121" s="2579"/>
      <c r="K121" s="2579"/>
      <c r="L121" s="2579"/>
      <c r="M121" s="2579"/>
      <c r="N121" s="2579"/>
      <c r="O121" s="2579"/>
    </row>
    <row r="122" spans="1:15" s="2463" customFormat="1" ht="12.75">
      <c r="B122" s="2464"/>
      <c r="D122" s="2465"/>
      <c r="E122" s="2465"/>
      <c r="F122" s="2465"/>
      <c r="G122" s="2465"/>
      <c r="H122" s="2465"/>
      <c r="I122" s="2579"/>
      <c r="J122" s="2579"/>
      <c r="K122" s="2579"/>
      <c r="L122" s="2579"/>
      <c r="M122" s="2579"/>
      <c r="N122" s="2579"/>
      <c r="O122" s="2579"/>
    </row>
    <row r="123" spans="1:15" s="2463" customFormat="1" ht="12.75">
      <c r="B123" s="2464"/>
      <c r="D123" s="2465"/>
      <c r="E123" s="2465"/>
      <c r="F123" s="2465"/>
      <c r="G123" s="2465"/>
      <c r="H123" s="2465"/>
      <c r="I123" s="2579"/>
      <c r="J123" s="2579"/>
      <c r="K123" s="2579"/>
      <c r="L123" s="2579"/>
      <c r="M123" s="2579"/>
      <c r="N123" s="2579"/>
      <c r="O123" s="2579"/>
    </row>
    <row r="124" spans="1:15" s="2463" customFormat="1" ht="12.75">
      <c r="B124" s="2464"/>
      <c r="D124" s="2465"/>
      <c r="E124" s="2465"/>
      <c r="F124" s="2465"/>
      <c r="G124" s="2465"/>
      <c r="H124" s="2465"/>
      <c r="I124" s="2579"/>
      <c r="J124" s="2579"/>
      <c r="K124" s="2579"/>
      <c r="L124" s="2579"/>
      <c r="M124" s="2579"/>
      <c r="N124" s="2579"/>
      <c r="O124" s="2579"/>
    </row>
    <row r="125" spans="1:15" s="2463" customFormat="1" ht="12.75">
      <c r="B125" s="2464"/>
      <c r="D125" s="2465"/>
      <c r="E125" s="2465"/>
      <c r="F125" s="2465"/>
      <c r="G125" s="2465"/>
      <c r="H125" s="2465"/>
      <c r="I125" s="2579"/>
      <c r="J125" s="2579"/>
      <c r="K125" s="2579"/>
      <c r="L125" s="2579"/>
      <c r="M125" s="2579"/>
      <c r="N125" s="2579"/>
      <c r="O125" s="2579"/>
    </row>
    <row r="126" spans="1:15" s="2463" customFormat="1" ht="12.75">
      <c r="B126" s="2464"/>
      <c r="D126" s="2465"/>
      <c r="E126" s="2465"/>
      <c r="F126" s="2465"/>
      <c r="G126" s="2465"/>
      <c r="H126" s="2465"/>
      <c r="I126" s="2579"/>
      <c r="J126" s="2579"/>
      <c r="K126" s="2579"/>
      <c r="L126" s="2579"/>
      <c r="M126" s="2579"/>
      <c r="N126" s="2579"/>
      <c r="O126" s="2579"/>
    </row>
    <row r="127" spans="1:15" s="2463" customFormat="1" ht="12.75">
      <c r="B127" s="2464"/>
      <c r="D127" s="2465"/>
      <c r="E127" s="2465"/>
      <c r="F127" s="2465"/>
      <c r="G127" s="2465"/>
      <c r="H127" s="2465"/>
      <c r="I127" s="2579"/>
      <c r="J127" s="2579"/>
      <c r="K127" s="2579"/>
      <c r="L127" s="2579"/>
      <c r="M127" s="2579"/>
      <c r="N127" s="2579"/>
      <c r="O127" s="2579"/>
    </row>
    <row r="128" spans="1:15" s="2463" customFormat="1" ht="12.75">
      <c r="B128" s="2464"/>
      <c r="D128" s="2465"/>
      <c r="E128" s="2465"/>
      <c r="F128" s="2465"/>
      <c r="G128" s="2465"/>
      <c r="H128" s="2465"/>
      <c r="I128" s="2579"/>
      <c r="J128" s="2579"/>
      <c r="K128" s="2579"/>
      <c r="L128" s="2579"/>
      <c r="M128" s="2579"/>
      <c r="N128" s="2579"/>
      <c r="O128" s="2579"/>
    </row>
    <row r="129" spans="2:15" s="2463" customFormat="1" ht="12.75">
      <c r="B129" s="2464"/>
      <c r="D129" s="2465"/>
      <c r="E129" s="2465"/>
      <c r="F129" s="2465"/>
      <c r="G129" s="2465"/>
      <c r="H129" s="2465"/>
      <c r="I129" s="2579"/>
      <c r="J129" s="2579"/>
      <c r="K129" s="2579"/>
      <c r="L129" s="2579"/>
      <c r="M129" s="2579"/>
      <c r="N129" s="2579"/>
      <c r="O129" s="2579"/>
    </row>
    <row r="130" spans="2:15" s="2463" customFormat="1" ht="12.75">
      <c r="B130" s="2464"/>
      <c r="D130" s="2465"/>
      <c r="E130" s="2465"/>
      <c r="F130" s="2465"/>
      <c r="G130" s="2465"/>
      <c r="H130" s="2465"/>
      <c r="I130" s="2579"/>
      <c r="J130" s="2579"/>
      <c r="K130" s="2579"/>
      <c r="L130" s="2579"/>
      <c r="M130" s="2579"/>
      <c r="N130" s="2579"/>
      <c r="O130" s="2579"/>
    </row>
    <row r="131" spans="2:15" s="2463" customFormat="1" ht="12.75">
      <c r="B131" s="2464"/>
      <c r="D131" s="2465"/>
      <c r="E131" s="2465"/>
      <c r="F131" s="2465"/>
      <c r="G131" s="2465"/>
      <c r="H131" s="2465"/>
      <c r="I131" s="2579"/>
      <c r="J131" s="2579"/>
      <c r="K131" s="2579"/>
      <c r="L131" s="2579"/>
      <c r="M131" s="2579"/>
      <c r="N131" s="2579"/>
      <c r="O131" s="2579"/>
    </row>
    <row r="132" spans="2:15" s="2463" customFormat="1" ht="12.75">
      <c r="B132" s="2464"/>
      <c r="D132" s="2465"/>
      <c r="E132" s="2465"/>
      <c r="F132" s="2465"/>
      <c r="G132" s="2465"/>
      <c r="H132" s="2465"/>
      <c r="I132" s="2579"/>
      <c r="J132" s="2579"/>
      <c r="K132" s="2579"/>
      <c r="L132" s="2579"/>
      <c r="M132" s="2579"/>
      <c r="N132" s="2579"/>
      <c r="O132" s="2579"/>
    </row>
    <row r="133" spans="2:15" s="2463" customFormat="1" ht="12.75">
      <c r="B133" s="2464"/>
      <c r="D133" s="2465"/>
      <c r="E133" s="2465"/>
      <c r="F133" s="2465"/>
      <c r="G133" s="2465"/>
      <c r="H133" s="2465"/>
      <c r="I133" s="2579"/>
      <c r="J133" s="2579"/>
      <c r="K133" s="2579"/>
      <c r="L133" s="2579"/>
      <c r="M133" s="2579"/>
      <c r="N133" s="2579"/>
      <c r="O133" s="2579"/>
    </row>
    <row r="134" spans="2:15" s="2463" customFormat="1" ht="12.75">
      <c r="B134" s="2464"/>
      <c r="D134" s="2465"/>
      <c r="E134" s="2465"/>
      <c r="F134" s="2465"/>
      <c r="G134" s="2465"/>
      <c r="H134" s="2465"/>
      <c r="I134" s="2579"/>
      <c r="J134" s="2579"/>
      <c r="K134" s="2579"/>
      <c r="L134" s="2579"/>
      <c r="M134" s="2579"/>
      <c r="N134" s="2579"/>
      <c r="O134" s="2579"/>
    </row>
    <row r="135" spans="2:15" s="2463" customFormat="1" ht="12.75">
      <c r="B135" s="2464"/>
      <c r="D135" s="2465"/>
      <c r="E135" s="2465"/>
      <c r="F135" s="2465"/>
      <c r="G135" s="2465"/>
      <c r="H135" s="2465"/>
      <c r="I135" s="2579"/>
      <c r="J135" s="2579"/>
      <c r="K135" s="2579"/>
      <c r="L135" s="2579"/>
      <c r="M135" s="2579"/>
      <c r="N135" s="2579"/>
      <c r="O135" s="2579"/>
    </row>
    <row r="136" spans="2:15" s="2463" customFormat="1" ht="12.75">
      <c r="B136" s="2464"/>
      <c r="D136" s="2465"/>
      <c r="E136" s="2465"/>
      <c r="F136" s="2465"/>
      <c r="G136" s="2465"/>
      <c r="H136" s="2465"/>
      <c r="I136" s="2579"/>
      <c r="J136" s="2579"/>
      <c r="K136" s="2579"/>
      <c r="L136" s="2579"/>
      <c r="M136" s="2579"/>
      <c r="N136" s="2579"/>
      <c r="O136" s="2579"/>
    </row>
    <row r="137" spans="2:15" s="2463" customFormat="1" ht="12.75">
      <c r="B137" s="2464"/>
      <c r="D137" s="2465"/>
      <c r="E137" s="2465"/>
      <c r="F137" s="2465"/>
      <c r="G137" s="2465"/>
      <c r="H137" s="2465"/>
      <c r="I137" s="2579"/>
      <c r="J137" s="2579"/>
      <c r="K137" s="2579"/>
      <c r="L137" s="2579"/>
      <c r="M137" s="2579"/>
      <c r="N137" s="2579"/>
      <c r="O137" s="2579"/>
    </row>
    <row r="138" spans="2:15" s="2463" customFormat="1" ht="12.75">
      <c r="B138" s="2464"/>
      <c r="D138" s="2465"/>
      <c r="E138" s="2465"/>
      <c r="F138" s="2465"/>
      <c r="G138" s="2465"/>
      <c r="H138" s="2465"/>
      <c r="I138" s="2579"/>
      <c r="J138" s="2579"/>
      <c r="K138" s="2579"/>
      <c r="L138" s="2579"/>
      <c r="M138" s="2579"/>
      <c r="N138" s="2579"/>
      <c r="O138" s="2579"/>
    </row>
    <row r="139" spans="2:15" s="2463" customFormat="1" ht="12.75">
      <c r="B139" s="2464"/>
      <c r="D139" s="2465"/>
      <c r="E139" s="2465"/>
      <c r="F139" s="2465"/>
      <c r="G139" s="2465"/>
      <c r="H139" s="2465"/>
      <c r="I139" s="2579"/>
      <c r="J139" s="2579"/>
      <c r="K139" s="2579"/>
      <c r="L139" s="2579"/>
      <c r="M139" s="2579"/>
      <c r="N139" s="2579"/>
      <c r="O139" s="2579"/>
    </row>
    <row r="140" spans="2:15" s="2463" customFormat="1" ht="12.75">
      <c r="B140" s="2464"/>
      <c r="D140" s="2465"/>
      <c r="E140" s="2465"/>
      <c r="F140" s="2465"/>
      <c r="G140" s="2465"/>
      <c r="H140" s="2465"/>
      <c r="I140" s="2579"/>
      <c r="J140" s="2579"/>
      <c r="K140" s="2579"/>
      <c r="L140" s="2579"/>
      <c r="M140" s="2579"/>
      <c r="N140" s="2579"/>
      <c r="O140" s="2579"/>
    </row>
    <row r="141" spans="2:15" s="2463" customFormat="1" ht="12.75">
      <c r="B141" s="2464"/>
      <c r="D141" s="2465"/>
      <c r="E141" s="2465"/>
      <c r="F141" s="2465"/>
      <c r="G141" s="2465"/>
      <c r="H141" s="2465"/>
      <c r="I141" s="2579"/>
      <c r="J141" s="2579"/>
      <c r="K141" s="2579"/>
      <c r="L141" s="2579"/>
      <c r="M141" s="2579"/>
      <c r="N141" s="2579"/>
      <c r="O141" s="2579"/>
    </row>
    <row r="142" spans="2:15" s="2463" customFormat="1" ht="12.75">
      <c r="B142" s="2464"/>
      <c r="D142" s="2465"/>
      <c r="E142" s="2465"/>
      <c r="F142" s="2465"/>
      <c r="G142" s="2465"/>
      <c r="H142" s="2465"/>
      <c r="I142" s="2579"/>
      <c r="J142" s="2579"/>
      <c r="K142" s="2579"/>
      <c r="L142" s="2579"/>
      <c r="M142" s="2579"/>
      <c r="N142" s="2579"/>
      <c r="O142" s="2579"/>
    </row>
    <row r="143" spans="2:15" s="2463" customFormat="1" ht="12.75">
      <c r="B143" s="2464"/>
      <c r="D143" s="2465"/>
      <c r="E143" s="2465"/>
      <c r="F143" s="2465"/>
      <c r="G143" s="2465"/>
      <c r="H143" s="2465"/>
      <c r="I143" s="2579"/>
      <c r="J143" s="2579"/>
      <c r="K143" s="2579"/>
      <c r="L143" s="2579"/>
      <c r="M143" s="2579"/>
      <c r="N143" s="2579"/>
      <c r="O143" s="2579"/>
    </row>
    <row r="144" spans="2:15" s="2463" customFormat="1" ht="12.75">
      <c r="B144" s="2464"/>
      <c r="D144" s="2465"/>
      <c r="E144" s="2465"/>
      <c r="F144" s="2465"/>
      <c r="G144" s="2465"/>
      <c r="H144" s="2465"/>
      <c r="I144" s="2579"/>
      <c r="J144" s="2579"/>
      <c r="K144" s="2579"/>
      <c r="L144" s="2579"/>
      <c r="M144" s="2579"/>
      <c r="N144" s="2579"/>
      <c r="O144" s="2579"/>
    </row>
    <row r="145" spans="1:15" s="2463" customFormat="1" ht="12.75">
      <c r="B145" s="2464"/>
      <c r="D145" s="2465"/>
      <c r="E145" s="2465"/>
      <c r="F145" s="2465"/>
      <c r="G145" s="2465"/>
      <c r="H145" s="2465"/>
      <c r="I145" s="2579"/>
      <c r="J145" s="2579"/>
      <c r="K145" s="2579"/>
      <c r="L145" s="2579"/>
      <c r="M145" s="2579"/>
      <c r="N145" s="2579"/>
      <c r="O145" s="2579"/>
    </row>
    <row r="146" spans="1:15" s="2463" customFormat="1" ht="12.75">
      <c r="B146" s="2464"/>
      <c r="D146" s="2465"/>
      <c r="E146" s="2465"/>
      <c r="F146" s="2465"/>
      <c r="G146" s="2465"/>
      <c r="H146" s="2465"/>
      <c r="I146" s="2579"/>
      <c r="J146" s="2579"/>
      <c r="K146" s="2579"/>
      <c r="L146" s="2579"/>
      <c r="M146" s="2579"/>
      <c r="N146" s="2579"/>
      <c r="O146" s="2579"/>
    </row>
    <row r="147" spans="1:15" s="2463" customFormat="1" ht="12.75">
      <c r="B147" s="2464"/>
      <c r="D147" s="2465"/>
      <c r="E147" s="2465"/>
      <c r="F147" s="2465"/>
      <c r="G147" s="2465"/>
      <c r="H147" s="2465"/>
      <c r="I147" s="2579"/>
      <c r="J147" s="2579"/>
      <c r="K147" s="2579"/>
      <c r="L147" s="2579"/>
      <c r="M147" s="2579"/>
      <c r="N147" s="2579"/>
      <c r="O147" s="2579"/>
    </row>
    <row r="148" spans="1:15" s="2463" customFormat="1" ht="12.75">
      <c r="B148" s="2464"/>
      <c r="D148" s="2465"/>
      <c r="E148" s="2465"/>
      <c r="F148" s="2465"/>
      <c r="G148" s="2465"/>
      <c r="H148" s="2465"/>
      <c r="I148" s="2579"/>
      <c r="J148" s="2579"/>
      <c r="K148" s="2579"/>
      <c r="L148" s="2579"/>
      <c r="M148" s="2579"/>
      <c r="N148" s="2579"/>
      <c r="O148" s="2579"/>
    </row>
    <row r="149" spans="1:15" s="2463" customFormat="1" ht="12.75">
      <c r="B149" s="2464"/>
      <c r="D149" s="2465"/>
      <c r="E149" s="2465"/>
      <c r="F149" s="2465"/>
      <c r="G149" s="2465"/>
      <c r="H149" s="2465"/>
      <c r="I149" s="2579"/>
      <c r="J149" s="2579"/>
      <c r="K149" s="2579"/>
      <c r="L149" s="2579"/>
      <c r="M149" s="2579"/>
      <c r="N149" s="2579"/>
      <c r="O149" s="2579"/>
    </row>
    <row r="150" spans="1:15" s="2463" customFormat="1" ht="12.75">
      <c r="B150" s="2464"/>
      <c r="D150" s="2465"/>
      <c r="E150" s="2465"/>
      <c r="F150" s="2465"/>
      <c r="G150" s="2465"/>
      <c r="H150" s="2465"/>
      <c r="I150" s="2579"/>
      <c r="J150" s="2579"/>
      <c r="K150" s="2579"/>
      <c r="L150" s="2579"/>
      <c r="M150" s="2579"/>
      <c r="N150" s="2579"/>
      <c r="O150" s="2579"/>
    </row>
    <row r="151" spans="1:15" s="2463" customFormat="1" ht="12.75">
      <c r="B151" s="2464"/>
      <c r="D151" s="2465"/>
      <c r="E151" s="2465"/>
      <c r="F151" s="2465"/>
      <c r="G151" s="2465"/>
      <c r="H151" s="2465"/>
      <c r="I151" s="2579"/>
      <c r="J151" s="2579"/>
      <c r="K151" s="2579"/>
      <c r="L151" s="2579"/>
      <c r="M151" s="2579"/>
      <c r="N151" s="2579"/>
      <c r="O151" s="2579"/>
    </row>
    <row r="152" spans="1:15" s="2463" customFormat="1" ht="12.75">
      <c r="B152" s="2464"/>
      <c r="D152" s="2465"/>
      <c r="E152" s="2465"/>
      <c r="F152" s="2465"/>
      <c r="G152" s="2465"/>
      <c r="H152" s="2465"/>
      <c r="I152" s="2579"/>
      <c r="J152" s="2579"/>
      <c r="K152" s="2579"/>
      <c r="L152" s="2579"/>
      <c r="M152" s="2579"/>
      <c r="N152" s="2579"/>
      <c r="O152" s="2579"/>
    </row>
    <row r="153" spans="1:15" s="2463" customFormat="1" ht="12.75">
      <c r="B153" s="2464"/>
      <c r="D153" s="2465"/>
      <c r="E153" s="2465"/>
      <c r="F153" s="2465"/>
      <c r="G153" s="2465"/>
      <c r="H153" s="2465"/>
      <c r="I153" s="2579"/>
      <c r="J153" s="2579"/>
      <c r="K153" s="2579"/>
      <c r="L153" s="2579"/>
      <c r="M153" s="2579"/>
      <c r="N153" s="2579"/>
      <c r="O153" s="2579"/>
    </row>
    <row r="154" spans="1:15" s="2532" customFormat="1" ht="12.75">
      <c r="A154" s="4876"/>
      <c r="B154" s="4876"/>
      <c r="C154" s="4876"/>
      <c r="D154" s="4876"/>
      <c r="E154" s="4876"/>
      <c r="F154" s="4876"/>
      <c r="G154" s="4876"/>
      <c r="H154" s="4876"/>
    </row>
    <row r="155" spans="1:15" s="2532" customFormat="1" ht="12.75">
      <c r="A155" s="4877"/>
      <c r="B155" s="4877"/>
      <c r="C155" s="4877"/>
      <c r="D155" s="4877"/>
      <c r="E155" s="4877"/>
      <c r="F155" s="4877"/>
      <c r="G155" s="4877"/>
      <c r="H155" s="4877"/>
    </row>
    <row r="156" spans="1:15" s="2532" customFormat="1">
      <c r="A156" s="2529"/>
      <c r="B156" s="2529"/>
      <c r="C156" s="2529"/>
      <c r="D156" s="2529"/>
      <c r="E156" s="2529"/>
      <c r="F156" s="2529"/>
      <c r="G156" s="2529"/>
      <c r="H156" s="2529"/>
    </row>
    <row r="157" spans="1:15" s="2532" customFormat="1">
      <c r="A157" s="2568"/>
      <c r="B157" s="2567"/>
      <c r="C157" s="2529"/>
      <c r="D157" s="2566"/>
      <c r="E157" s="2566"/>
      <c r="F157" s="2566"/>
      <c r="G157" s="2566"/>
      <c r="H157" s="2566"/>
    </row>
    <row r="158" spans="1:15" s="2532" customFormat="1" ht="12.75">
      <c r="A158" s="1269"/>
      <c r="B158" s="1269"/>
      <c r="C158" s="2542"/>
      <c r="D158" s="2541"/>
      <c r="E158" s="2561"/>
      <c r="F158" s="2540"/>
      <c r="G158" s="2565"/>
      <c r="H158" s="2561"/>
    </row>
    <row r="159" spans="1:15" s="2532" customFormat="1" ht="23.25">
      <c r="A159" s="2564"/>
      <c r="B159" s="2564"/>
      <c r="C159" s="2563"/>
      <c r="D159" s="2541"/>
      <c r="E159" s="2561"/>
      <c r="F159" s="2540"/>
      <c r="G159" s="2562"/>
      <c r="H159" s="2561"/>
    </row>
    <row r="160" spans="1:15" s="2532" customFormat="1" ht="12.75">
      <c r="A160" s="4879"/>
      <c r="B160" s="4879"/>
      <c r="C160" s="2559"/>
      <c r="D160" s="2560"/>
      <c r="E160" s="4880"/>
      <c r="F160" s="4880"/>
      <c r="G160" s="4880"/>
      <c r="H160" s="2557"/>
    </row>
    <row r="161" spans="1:15" s="2532" customFormat="1" ht="12.75">
      <c r="A161" s="4879"/>
      <c r="B161" s="4879"/>
      <c r="C161" s="2559"/>
      <c r="D161" s="2558"/>
      <c r="E161" s="2558"/>
      <c r="F161" s="2558"/>
      <c r="G161" s="2558"/>
      <c r="H161" s="2558"/>
    </row>
    <row r="162" spans="1:15" s="2463" customFormat="1" ht="12.75">
      <c r="A162" s="4879"/>
      <c r="B162" s="4879"/>
      <c r="C162" s="2557"/>
      <c r="D162" s="2555"/>
      <c r="E162" s="2555"/>
      <c r="F162" s="2555"/>
      <c r="G162" s="2556"/>
      <c r="H162" s="2555"/>
      <c r="I162" s="2579"/>
      <c r="J162" s="2579"/>
      <c r="K162" s="2579"/>
      <c r="L162" s="2579"/>
      <c r="M162" s="2579"/>
      <c r="N162" s="2579"/>
      <c r="O162" s="2579"/>
    </row>
    <row r="163" spans="1:15" s="2463" customFormat="1" ht="12.75">
      <c r="A163" s="2554"/>
      <c r="B163" s="2553"/>
      <c r="C163" s="2552"/>
      <c r="D163" s="2551"/>
      <c r="E163" s="2551"/>
      <c r="F163" s="2551"/>
      <c r="G163" s="2551"/>
      <c r="H163" s="2551"/>
      <c r="I163" s="2579"/>
      <c r="J163" s="2579"/>
      <c r="K163" s="2579"/>
      <c r="L163" s="2579"/>
      <c r="M163" s="2579"/>
      <c r="N163" s="2579"/>
      <c r="O163" s="2579"/>
    </row>
    <row r="164" spans="1:15" s="2463" customFormat="1" ht="12.75">
      <c r="A164" s="2549"/>
      <c r="B164" s="2549"/>
      <c r="C164" s="2550"/>
      <c r="D164" s="2548"/>
      <c r="E164" s="2548"/>
      <c r="F164" s="2540"/>
      <c r="G164" s="2548"/>
      <c r="H164" s="2548"/>
      <c r="I164" s="2579"/>
      <c r="J164" s="2579"/>
      <c r="K164" s="2579"/>
      <c r="L164" s="2579"/>
      <c r="M164" s="2579"/>
      <c r="N164" s="2579"/>
      <c r="O164" s="2579"/>
    </row>
    <row r="165" spans="1:15" s="2463" customFormat="1" ht="12.75">
      <c r="A165" s="2549"/>
      <c r="B165" s="2549"/>
      <c r="C165" s="2545"/>
      <c r="D165" s="2548"/>
      <c r="E165" s="2548"/>
      <c r="F165" s="2540"/>
      <c r="G165" s="2548"/>
      <c r="H165" s="2548"/>
      <c r="I165" s="2579"/>
      <c r="J165" s="2579"/>
      <c r="K165" s="2579"/>
      <c r="L165" s="2579"/>
      <c r="M165" s="2579"/>
      <c r="N165" s="2579"/>
      <c r="O165" s="2579"/>
    </row>
    <row r="166" spans="1:15" s="2463" customFormat="1" ht="12.75">
      <c r="A166" s="2547"/>
      <c r="B166" s="2546"/>
      <c r="C166" s="2545"/>
      <c r="D166" s="2541"/>
      <c r="E166" s="2544"/>
      <c r="F166" s="2540"/>
      <c r="G166" s="2544"/>
      <c r="H166" s="2544"/>
      <c r="I166" s="2579"/>
      <c r="J166" s="2579"/>
      <c r="K166" s="2579"/>
      <c r="L166" s="2579"/>
      <c r="M166" s="2579"/>
      <c r="N166" s="2579"/>
      <c r="O166" s="2579"/>
    </row>
    <row r="167" spans="1:15" s="2463" customFormat="1" ht="12.75">
      <c r="A167" s="2543"/>
      <c r="B167" s="2543"/>
      <c r="C167" s="2542"/>
      <c r="D167" s="2541"/>
      <c r="E167" s="2539"/>
      <c r="F167" s="2540"/>
      <c r="G167" s="2539"/>
      <c r="H167" s="2539"/>
      <c r="I167" s="2579"/>
      <c r="J167" s="2579"/>
      <c r="K167" s="2579"/>
      <c r="L167" s="2579"/>
      <c r="M167" s="2579"/>
      <c r="N167" s="2579"/>
      <c r="O167" s="2579"/>
    </row>
    <row r="168" spans="1:15" s="2463" customFormat="1" ht="12.75">
      <c r="A168" s="2538"/>
      <c r="B168" s="2538"/>
      <c r="C168" s="2537"/>
      <c r="D168" s="2536"/>
      <c r="E168" s="2536"/>
      <c r="F168" s="2536"/>
      <c r="G168" s="2536"/>
      <c r="H168" s="2536"/>
      <c r="I168" s="2579"/>
      <c r="J168" s="2579"/>
      <c r="K168" s="2579"/>
      <c r="L168" s="2579"/>
      <c r="M168" s="2579"/>
      <c r="N168" s="2579"/>
      <c r="O168" s="2579"/>
    </row>
    <row r="169" spans="1:15" s="2463" customFormat="1" ht="12.75">
      <c r="A169" s="2538"/>
      <c r="B169" s="2538"/>
      <c r="C169" s="2537"/>
      <c r="D169" s="2536"/>
      <c r="E169" s="2536"/>
      <c r="F169" s="2536"/>
      <c r="G169" s="2536"/>
      <c r="H169" s="2536"/>
      <c r="I169" s="2579"/>
      <c r="J169" s="2579"/>
      <c r="K169" s="2579"/>
      <c r="L169" s="2579"/>
      <c r="M169" s="2579"/>
      <c r="N169" s="2579"/>
      <c r="O169" s="2579"/>
    </row>
    <row r="170" spans="1:15" s="2463" customFormat="1">
      <c r="A170" s="1269"/>
      <c r="B170" s="2529"/>
      <c r="C170" s="2535"/>
      <c r="D170" s="2529"/>
      <c r="E170" s="4877"/>
      <c r="F170" s="4877"/>
      <c r="G170" s="1269"/>
      <c r="H170" s="2529"/>
      <c r="I170" s="2579"/>
      <c r="J170" s="2579"/>
      <c r="K170" s="2579"/>
      <c r="L170" s="2579"/>
      <c r="M170" s="2579"/>
      <c r="N170" s="2579"/>
      <c r="O170" s="2579"/>
    </row>
    <row r="171" spans="1:15" s="2463" customFormat="1">
      <c r="A171" s="2529"/>
      <c r="B171" s="1269"/>
      <c r="C171" s="2535"/>
      <c r="D171" s="1269"/>
      <c r="E171" s="1269"/>
      <c r="F171" s="1269"/>
      <c r="G171" s="1269"/>
      <c r="H171" s="2529"/>
      <c r="I171" s="2579"/>
      <c r="J171" s="2579"/>
      <c r="K171" s="2579"/>
      <c r="L171" s="2579"/>
      <c r="M171" s="2579"/>
      <c r="N171" s="2579"/>
      <c r="O171" s="2579"/>
    </row>
    <row r="172" spans="1:15" s="2463" customFormat="1" ht="12.75">
      <c r="A172" s="2534"/>
      <c r="B172" s="1269"/>
      <c r="C172" s="4881"/>
      <c r="D172" s="4881"/>
      <c r="E172" s="4876"/>
      <c r="F172" s="4876"/>
      <c r="G172" s="4876"/>
      <c r="H172" s="4876"/>
      <c r="I172" s="2579"/>
      <c r="J172" s="2579"/>
      <c r="K172" s="2579"/>
      <c r="L172" s="2579"/>
      <c r="M172" s="2579"/>
      <c r="N172" s="2579"/>
      <c r="O172" s="2579"/>
    </row>
    <row r="173" spans="1:15" s="2463" customFormat="1" ht="12.75">
      <c r="A173" s="2531"/>
      <c r="B173" s="2533"/>
      <c r="C173" s="4874"/>
      <c r="D173" s="4874"/>
      <c r="E173" s="4875"/>
      <c r="F173" s="4875"/>
      <c r="G173" s="4875"/>
      <c r="H173" s="4875"/>
      <c r="I173" s="2579"/>
      <c r="J173" s="2579"/>
      <c r="K173" s="2579"/>
      <c r="L173" s="2579"/>
      <c r="M173" s="2579"/>
      <c r="N173" s="2579"/>
      <c r="O173" s="2579"/>
    </row>
    <row r="174" spans="1:15" s="2463" customFormat="1">
      <c r="A174" s="2462"/>
      <c r="B174" s="2462"/>
      <c r="C174" s="2462"/>
      <c r="D174" s="2462"/>
      <c r="E174" s="2462"/>
      <c r="F174" s="2462"/>
      <c r="G174" s="2462"/>
      <c r="H174" s="2462"/>
      <c r="I174" s="2579"/>
      <c r="J174" s="2579"/>
      <c r="K174" s="2579"/>
      <c r="L174" s="2579"/>
      <c r="M174" s="2579"/>
      <c r="N174" s="2579"/>
      <c r="O174" s="2579"/>
    </row>
    <row r="175" spans="1:15" s="2463" customFormat="1">
      <c r="A175" s="2462"/>
      <c r="B175" s="2462"/>
      <c r="C175" s="2462"/>
      <c r="D175" s="2462"/>
      <c r="E175" s="2462"/>
      <c r="F175" s="2462"/>
      <c r="G175" s="2462"/>
      <c r="H175" s="2462"/>
      <c r="I175" s="2579"/>
      <c r="J175" s="2579"/>
      <c r="K175" s="2579"/>
      <c r="L175" s="2579"/>
      <c r="M175" s="2579"/>
      <c r="N175" s="2579"/>
      <c r="O175" s="2579"/>
    </row>
    <row r="176" spans="1:15" s="2463" customFormat="1">
      <c r="A176" s="2462"/>
      <c r="B176" s="2462"/>
      <c r="C176" s="2462"/>
      <c r="D176" s="2462"/>
      <c r="E176" s="2462"/>
      <c r="F176" s="2462"/>
      <c r="G176" s="2462"/>
      <c r="H176" s="2462"/>
      <c r="I176" s="2579"/>
      <c r="J176" s="2579"/>
      <c r="K176" s="2579"/>
      <c r="L176" s="2579"/>
      <c r="M176" s="2579"/>
      <c r="N176" s="2579"/>
      <c r="O176" s="2579"/>
    </row>
    <row r="177" spans="1:15" s="2463" customFormat="1">
      <c r="A177" s="2462"/>
      <c r="B177" s="2462"/>
      <c r="C177" s="2462"/>
      <c r="D177" s="2462"/>
      <c r="E177" s="2462"/>
      <c r="F177" s="2462"/>
      <c r="G177" s="2462"/>
      <c r="H177" s="2462"/>
      <c r="I177" s="2579"/>
      <c r="J177" s="2579"/>
      <c r="K177" s="2579"/>
      <c r="L177" s="2579"/>
      <c r="M177" s="2579"/>
      <c r="N177" s="2579"/>
      <c r="O177" s="2579"/>
    </row>
    <row r="178" spans="1:15" s="2463" customFormat="1">
      <c r="A178" s="2462"/>
      <c r="B178" s="2462"/>
      <c r="C178" s="2462"/>
      <c r="D178" s="2462"/>
      <c r="E178" s="2462"/>
      <c r="F178" s="2462"/>
      <c r="G178" s="2462"/>
      <c r="H178" s="2462"/>
      <c r="I178" s="2579"/>
      <c r="J178" s="2579"/>
      <c r="K178" s="2579"/>
      <c r="L178" s="2579"/>
      <c r="M178" s="2579"/>
      <c r="N178" s="2579"/>
      <c r="O178" s="2579"/>
    </row>
    <row r="179" spans="1:15" s="2463" customFormat="1">
      <c r="A179" s="2462"/>
      <c r="B179" s="2462"/>
      <c r="C179" s="2462"/>
      <c r="D179" s="2462"/>
      <c r="E179" s="2462"/>
      <c r="F179" s="2462"/>
      <c r="G179" s="2462"/>
      <c r="H179" s="2462"/>
      <c r="I179" s="2579"/>
      <c r="J179" s="2579"/>
      <c r="K179" s="2579"/>
      <c r="L179" s="2579"/>
      <c r="M179" s="2579"/>
      <c r="N179" s="2579"/>
      <c r="O179" s="2579"/>
    </row>
    <row r="180" spans="1:15" s="2463" customFormat="1">
      <c r="A180" s="2462"/>
      <c r="B180" s="2462"/>
      <c r="C180" s="2462"/>
      <c r="D180" s="2462"/>
      <c r="E180" s="2462"/>
      <c r="F180" s="2462"/>
      <c r="G180" s="2462"/>
      <c r="H180" s="2462"/>
      <c r="I180" s="2579"/>
      <c r="J180" s="2579"/>
      <c r="K180" s="2579"/>
      <c r="L180" s="2579"/>
      <c r="M180" s="2579"/>
      <c r="N180" s="2579"/>
      <c r="O180" s="2579"/>
    </row>
    <row r="181" spans="1:15" s="2463" customFormat="1">
      <c r="A181" s="2462"/>
      <c r="B181" s="2462"/>
      <c r="C181" s="2462"/>
      <c r="D181" s="2462"/>
      <c r="E181" s="2462"/>
      <c r="F181" s="2462"/>
      <c r="G181" s="2462"/>
      <c r="H181" s="2462"/>
      <c r="I181" s="2579"/>
      <c r="J181" s="2579"/>
      <c r="K181" s="2579"/>
      <c r="L181" s="2579"/>
      <c r="M181" s="2579"/>
      <c r="N181" s="2579"/>
      <c r="O181" s="2579"/>
    </row>
    <row r="182" spans="1:15" s="2463" customFormat="1">
      <c r="A182" s="2462"/>
      <c r="B182" s="2462"/>
      <c r="C182" s="2462"/>
      <c r="D182" s="2462"/>
      <c r="E182" s="2462"/>
      <c r="F182" s="2462"/>
      <c r="G182" s="2462"/>
      <c r="H182" s="2462"/>
      <c r="I182" s="2579"/>
      <c r="J182" s="2579"/>
      <c r="K182" s="2579"/>
      <c r="L182" s="2579"/>
      <c r="M182" s="2579"/>
      <c r="N182" s="2579"/>
      <c r="O182" s="2579"/>
    </row>
    <row r="183" spans="1:15" s="2463" customFormat="1">
      <c r="A183" s="2462"/>
      <c r="B183" s="2462"/>
      <c r="C183" s="2462"/>
      <c r="D183" s="2462"/>
      <c r="E183" s="2462"/>
      <c r="F183" s="2462"/>
      <c r="G183" s="2462"/>
      <c r="H183" s="2462"/>
      <c r="I183" s="2579"/>
      <c r="J183" s="2579"/>
      <c r="K183" s="2579"/>
      <c r="L183" s="2579"/>
      <c r="M183" s="2579"/>
      <c r="N183" s="2579"/>
      <c r="O183" s="2579"/>
    </row>
    <row r="184" spans="1:15" s="2463" customFormat="1">
      <c r="A184" s="2462"/>
      <c r="B184" s="2462"/>
      <c r="C184" s="2462"/>
      <c r="D184" s="2462"/>
      <c r="E184" s="2462"/>
      <c r="F184" s="2462"/>
      <c r="G184" s="2462"/>
      <c r="H184" s="2462"/>
      <c r="I184" s="2579"/>
      <c r="J184" s="2579"/>
      <c r="K184" s="2579"/>
      <c r="L184" s="2579"/>
      <c r="M184" s="2579"/>
      <c r="N184" s="2579"/>
      <c r="O184" s="2579"/>
    </row>
    <row r="185" spans="1:15" s="2463" customFormat="1">
      <c r="A185" s="2462"/>
      <c r="B185" s="2462"/>
      <c r="C185" s="2462"/>
      <c r="D185" s="2462"/>
      <c r="E185" s="2462"/>
      <c r="F185" s="2462"/>
      <c r="G185" s="2462"/>
      <c r="H185" s="2462"/>
      <c r="I185" s="2579"/>
      <c r="J185" s="2579"/>
      <c r="K185" s="2579"/>
      <c r="L185" s="2579"/>
      <c r="M185" s="2579"/>
      <c r="N185" s="2579"/>
      <c r="O185" s="2579"/>
    </row>
    <row r="186" spans="1:15" s="2463" customFormat="1">
      <c r="A186" s="2462"/>
      <c r="B186" s="2462"/>
      <c r="C186" s="2462"/>
      <c r="D186" s="2462"/>
      <c r="E186" s="2462"/>
      <c r="F186" s="2462"/>
      <c r="G186" s="2462"/>
      <c r="H186" s="2462"/>
      <c r="I186" s="2579"/>
      <c r="J186" s="2579"/>
      <c r="K186" s="2579"/>
      <c r="L186" s="2579"/>
      <c r="M186" s="2579"/>
      <c r="N186" s="2579"/>
      <c r="O186" s="2579"/>
    </row>
    <row r="187" spans="1:15" s="2463" customFormat="1">
      <c r="A187" s="2462"/>
      <c r="B187" s="2462"/>
      <c r="C187" s="2462"/>
      <c r="D187" s="2462"/>
      <c r="E187" s="2462"/>
      <c r="F187" s="2462"/>
      <c r="G187" s="2462"/>
      <c r="H187" s="2462"/>
      <c r="I187" s="2579"/>
      <c r="J187" s="2579"/>
      <c r="K187" s="2579"/>
      <c r="L187" s="2579"/>
      <c r="M187" s="2579"/>
      <c r="N187" s="2579"/>
      <c r="O187" s="2579"/>
    </row>
    <row r="188" spans="1:15" s="2463" customFormat="1">
      <c r="A188" s="2462"/>
      <c r="B188" s="2462"/>
      <c r="C188" s="2462"/>
      <c r="D188" s="2462"/>
      <c r="E188" s="2462"/>
      <c r="F188" s="2462"/>
      <c r="G188" s="2462"/>
      <c r="H188" s="2462"/>
      <c r="I188" s="2579"/>
      <c r="J188" s="2579"/>
      <c r="K188" s="2579"/>
      <c r="L188" s="2579"/>
      <c r="M188" s="2579"/>
      <c r="N188" s="2579"/>
      <c r="O188" s="2579"/>
    </row>
    <row r="189" spans="1:15" s="2463" customFormat="1">
      <c r="A189" s="2462"/>
      <c r="B189" s="2462"/>
      <c r="C189" s="2462"/>
      <c r="D189" s="2462"/>
      <c r="E189" s="2462"/>
      <c r="F189" s="2462"/>
      <c r="G189" s="2462"/>
      <c r="H189" s="2462"/>
      <c r="I189" s="2579"/>
      <c r="J189" s="2579"/>
      <c r="K189" s="2579"/>
      <c r="L189" s="2579"/>
      <c r="M189" s="2579"/>
      <c r="N189" s="2579"/>
      <c r="O189" s="2579"/>
    </row>
    <row r="190" spans="1:15" s="2463" customFormat="1">
      <c r="A190" s="2462"/>
      <c r="B190" s="2462"/>
      <c r="C190" s="2462"/>
      <c r="D190" s="2462"/>
      <c r="E190" s="2462"/>
      <c r="F190" s="2462"/>
      <c r="G190" s="2462"/>
      <c r="H190" s="2462"/>
      <c r="I190" s="2579"/>
      <c r="J190" s="2579"/>
      <c r="K190" s="2579"/>
      <c r="L190" s="2579"/>
      <c r="M190" s="2579"/>
      <c r="N190" s="2579"/>
      <c r="O190" s="2579"/>
    </row>
    <row r="191" spans="1:15" s="2463" customFormat="1">
      <c r="A191" s="2462"/>
      <c r="B191" s="2462"/>
      <c r="C191" s="2462"/>
      <c r="D191" s="2462"/>
      <c r="E191" s="2462"/>
      <c r="F191" s="2462"/>
      <c r="G191" s="2462"/>
      <c r="H191" s="2462"/>
      <c r="I191" s="2579"/>
      <c r="J191" s="2579"/>
      <c r="K191" s="2579"/>
      <c r="L191" s="2579"/>
      <c r="M191" s="2579"/>
      <c r="N191" s="2579"/>
      <c r="O191" s="2579"/>
    </row>
    <row r="192" spans="1:15" s="2463" customFormat="1">
      <c r="A192" s="2462"/>
      <c r="B192" s="2462"/>
      <c r="C192" s="2462"/>
      <c r="D192" s="2462"/>
      <c r="E192" s="2462"/>
      <c r="F192" s="2462"/>
      <c r="G192" s="2462"/>
      <c r="H192" s="2462"/>
      <c r="I192" s="2579"/>
      <c r="J192" s="2579"/>
      <c r="K192" s="2579"/>
      <c r="L192" s="2579"/>
      <c r="M192" s="2579"/>
      <c r="N192" s="2579"/>
      <c r="O192" s="2579"/>
    </row>
    <row r="193" spans="1:15" s="2463" customFormat="1">
      <c r="A193" s="2462"/>
      <c r="B193" s="2462"/>
      <c r="C193" s="2462"/>
      <c r="D193" s="2462"/>
      <c r="E193" s="2462"/>
      <c r="F193" s="2462"/>
      <c r="G193" s="2462"/>
      <c r="H193" s="2462"/>
      <c r="I193" s="2579"/>
      <c r="J193" s="2579"/>
      <c r="K193" s="2579"/>
      <c r="L193" s="2579"/>
      <c r="M193" s="2579"/>
      <c r="N193" s="2579"/>
      <c r="O193" s="2579"/>
    </row>
    <row r="194" spans="1:15" s="2463" customFormat="1">
      <c r="A194" s="2462"/>
      <c r="B194" s="2462"/>
      <c r="C194" s="2462"/>
      <c r="D194" s="2462"/>
      <c r="E194" s="2462"/>
      <c r="F194" s="2462"/>
      <c r="G194" s="2462"/>
      <c r="H194" s="2462"/>
      <c r="I194" s="2579"/>
      <c r="J194" s="2579"/>
      <c r="K194" s="2579"/>
      <c r="L194" s="2579"/>
      <c r="M194" s="2579"/>
      <c r="N194" s="2579"/>
      <c r="O194" s="2579"/>
    </row>
    <row r="195" spans="1:15" s="2463" customFormat="1">
      <c r="A195" s="2462"/>
      <c r="B195" s="2462"/>
      <c r="C195" s="2462"/>
      <c r="D195" s="2462"/>
      <c r="E195" s="2462"/>
      <c r="F195" s="2462"/>
      <c r="G195" s="2462"/>
      <c r="H195" s="2462"/>
      <c r="I195" s="2579"/>
      <c r="J195" s="2579"/>
      <c r="K195" s="2579"/>
      <c r="L195" s="2579"/>
      <c r="M195" s="2579"/>
      <c r="N195" s="2579"/>
      <c r="O195" s="2579"/>
    </row>
    <row r="196" spans="1:15" s="2463" customFormat="1">
      <c r="A196" s="2462"/>
      <c r="B196" s="2462"/>
      <c r="C196" s="2462"/>
      <c r="D196" s="2462"/>
      <c r="E196" s="2462"/>
      <c r="F196" s="2462"/>
      <c r="G196" s="2462"/>
      <c r="H196" s="2462"/>
      <c r="I196" s="2579"/>
      <c r="J196" s="2579"/>
      <c r="K196" s="2579"/>
      <c r="L196" s="2579"/>
      <c r="M196" s="2579"/>
      <c r="N196" s="2579"/>
      <c r="O196" s="2579"/>
    </row>
    <row r="197" spans="1:15" s="2463" customFormat="1">
      <c r="A197" s="2462"/>
      <c r="B197" s="2462"/>
      <c r="C197" s="2462"/>
      <c r="D197" s="2462"/>
      <c r="E197" s="2462"/>
      <c r="F197" s="2462"/>
      <c r="G197" s="2462"/>
      <c r="H197" s="2462"/>
      <c r="I197" s="2579"/>
      <c r="J197" s="2579"/>
      <c r="K197" s="2579"/>
      <c r="L197" s="2579"/>
      <c r="M197" s="2579"/>
      <c r="N197" s="2579"/>
      <c r="O197" s="2579"/>
    </row>
    <row r="198" spans="1:15" s="2463" customFormat="1">
      <c r="A198" s="2462"/>
      <c r="B198" s="2462"/>
      <c r="C198" s="2462"/>
      <c r="D198" s="2462"/>
      <c r="E198" s="2462"/>
      <c r="F198" s="2462"/>
      <c r="G198" s="2462"/>
      <c r="H198" s="2462"/>
      <c r="I198" s="2579"/>
      <c r="J198" s="2579"/>
      <c r="K198" s="2579"/>
      <c r="L198" s="2579"/>
      <c r="M198" s="2579"/>
      <c r="N198" s="2579"/>
      <c r="O198" s="2579"/>
    </row>
    <row r="199" spans="1:15" s="2463" customFormat="1">
      <c r="A199" s="2462"/>
      <c r="B199" s="2462"/>
      <c r="C199" s="2462"/>
      <c r="D199" s="2462"/>
      <c r="E199" s="2462"/>
      <c r="F199" s="2462"/>
      <c r="G199" s="2462"/>
      <c r="H199" s="2462"/>
      <c r="I199" s="2579"/>
      <c r="J199" s="2579"/>
      <c r="K199" s="2579"/>
      <c r="L199" s="2579"/>
      <c r="M199" s="2579"/>
      <c r="N199" s="2579"/>
      <c r="O199" s="2579"/>
    </row>
    <row r="200" spans="1:15" s="2463" customFormat="1">
      <c r="A200" s="2462"/>
      <c r="B200" s="2462"/>
      <c r="C200" s="2462"/>
      <c r="D200" s="2462"/>
      <c r="E200" s="2462"/>
      <c r="F200" s="2462"/>
      <c r="G200" s="2462"/>
      <c r="H200" s="2462"/>
      <c r="I200" s="2579"/>
      <c r="J200" s="2579"/>
      <c r="K200" s="2579"/>
      <c r="L200" s="2579"/>
      <c r="M200" s="2579"/>
      <c r="N200" s="2579"/>
      <c r="O200" s="2579"/>
    </row>
    <row r="201" spans="1:15" s="2463" customFormat="1">
      <c r="A201" s="2462"/>
      <c r="B201" s="2462"/>
      <c r="C201" s="2462"/>
      <c r="D201" s="2462"/>
      <c r="E201" s="2462"/>
      <c r="F201" s="2462"/>
      <c r="G201" s="2462"/>
      <c r="H201" s="2462"/>
      <c r="I201" s="2579"/>
      <c r="J201" s="2579"/>
      <c r="K201" s="2579"/>
      <c r="L201" s="2579"/>
      <c r="M201" s="2579"/>
      <c r="N201" s="2579"/>
      <c r="O201" s="2579"/>
    </row>
    <row r="202" spans="1:15" s="2463" customFormat="1">
      <c r="A202" s="2462"/>
      <c r="B202" s="2462"/>
      <c r="C202" s="2462"/>
      <c r="D202" s="2462"/>
      <c r="E202" s="2462"/>
      <c r="F202" s="2462"/>
      <c r="G202" s="2462"/>
      <c r="H202" s="2462"/>
      <c r="I202" s="2579"/>
      <c r="J202" s="2579"/>
      <c r="K202" s="2579"/>
      <c r="L202" s="2579"/>
      <c r="M202" s="2579"/>
      <c r="N202" s="2579"/>
      <c r="O202" s="2579"/>
    </row>
    <row r="206" spans="1:15" s="2463" customFormat="1">
      <c r="A206" s="2462"/>
      <c r="B206" s="2462"/>
      <c r="C206" s="2462"/>
      <c r="D206" s="2462"/>
      <c r="E206" s="2462"/>
      <c r="F206" s="2462"/>
      <c r="G206" s="2462"/>
      <c r="H206" s="2462"/>
      <c r="I206" s="2579"/>
      <c r="J206" s="2579"/>
      <c r="K206" s="2579"/>
      <c r="L206" s="2579"/>
      <c r="M206" s="2579"/>
      <c r="N206" s="2579"/>
      <c r="O206" s="2579"/>
    </row>
    <row r="207" spans="1:15" s="2463" customFormat="1">
      <c r="A207" s="2462"/>
      <c r="B207" s="2462"/>
      <c r="C207" s="2462"/>
      <c r="D207" s="2462"/>
      <c r="E207" s="2462"/>
      <c r="F207" s="2462"/>
      <c r="G207" s="2462"/>
      <c r="H207" s="2462"/>
      <c r="I207" s="2579"/>
      <c r="J207" s="2579"/>
      <c r="K207" s="2579"/>
      <c r="L207" s="2579"/>
      <c r="M207" s="2579"/>
      <c r="N207" s="2579"/>
      <c r="O207" s="2579"/>
    </row>
    <row r="208" spans="1:15" s="2463" customFormat="1">
      <c r="A208" s="2462"/>
      <c r="B208" s="2462"/>
      <c r="C208" s="2462"/>
      <c r="D208" s="2462"/>
      <c r="E208" s="2462"/>
      <c r="F208" s="2462"/>
      <c r="G208" s="2462"/>
      <c r="H208" s="2462"/>
      <c r="I208" s="2579"/>
      <c r="J208" s="2579"/>
      <c r="K208" s="2579"/>
      <c r="L208" s="2579"/>
      <c r="M208" s="2579"/>
      <c r="N208" s="2579"/>
      <c r="O208" s="2579"/>
    </row>
    <row r="209" spans="1:15" s="2463" customFormat="1">
      <c r="A209" s="2462"/>
      <c r="B209" s="2462"/>
      <c r="C209" s="2462"/>
      <c r="D209" s="2462"/>
      <c r="E209" s="2462"/>
      <c r="F209" s="2462"/>
      <c r="G209" s="2462"/>
      <c r="H209" s="2462"/>
      <c r="I209" s="2579"/>
      <c r="J209" s="2579"/>
      <c r="K209" s="2579"/>
      <c r="L209" s="2579"/>
      <c r="M209" s="2579"/>
      <c r="N209" s="2579"/>
      <c r="O209" s="2579"/>
    </row>
    <row r="210" spans="1:15" s="2463" customFormat="1">
      <c r="A210" s="2462"/>
      <c r="B210" s="2462"/>
      <c r="C210" s="2462"/>
      <c r="D210" s="2462"/>
      <c r="E210" s="2462"/>
      <c r="F210" s="2462"/>
      <c r="G210" s="2462"/>
      <c r="H210" s="2462"/>
      <c r="I210" s="2579"/>
      <c r="J210" s="2579"/>
      <c r="K210" s="2579"/>
      <c r="L210" s="2579"/>
      <c r="M210" s="2579"/>
      <c r="N210" s="2579"/>
      <c r="O210" s="2579"/>
    </row>
    <row r="211" spans="1:15" s="2463" customFormat="1">
      <c r="A211" s="2462"/>
      <c r="B211" s="2462"/>
      <c r="C211" s="2462"/>
      <c r="D211" s="2462"/>
      <c r="E211" s="2462"/>
      <c r="F211" s="2462"/>
      <c r="G211" s="2462"/>
      <c r="H211" s="2462"/>
      <c r="I211" s="2579"/>
      <c r="J211" s="2579"/>
      <c r="K211" s="2579"/>
      <c r="L211" s="2579"/>
      <c r="M211" s="2579"/>
      <c r="N211" s="2579"/>
      <c r="O211" s="2579"/>
    </row>
    <row r="212" spans="1:15" s="2463" customFormat="1">
      <c r="A212" s="2462"/>
      <c r="B212" s="2462"/>
      <c r="C212" s="2462"/>
      <c r="D212" s="2462"/>
      <c r="E212" s="2462"/>
      <c r="F212" s="2462"/>
      <c r="G212" s="2462"/>
      <c r="H212" s="2462"/>
      <c r="I212" s="2579"/>
      <c r="J212" s="2579"/>
      <c r="K212" s="2579"/>
      <c r="L212" s="2579"/>
      <c r="M212" s="2579"/>
      <c r="N212" s="2579"/>
      <c r="O212" s="2579"/>
    </row>
    <row r="213" spans="1:15" s="2463" customFormat="1">
      <c r="A213" s="2462"/>
      <c r="B213" s="2462"/>
      <c r="C213" s="2462"/>
      <c r="D213" s="2462"/>
      <c r="E213" s="2462"/>
      <c r="F213" s="2462"/>
      <c r="G213" s="2462"/>
      <c r="H213" s="2462"/>
      <c r="I213" s="2579"/>
      <c r="J213" s="2579"/>
      <c r="K213" s="2579"/>
      <c r="L213" s="2579"/>
      <c r="M213" s="2579"/>
      <c r="N213" s="2579"/>
      <c r="O213" s="2579"/>
    </row>
    <row r="214" spans="1:15" s="2463" customFormat="1">
      <c r="A214" s="2462"/>
      <c r="B214" s="2462"/>
      <c r="C214" s="2462"/>
      <c r="D214" s="2462"/>
      <c r="E214" s="2462"/>
      <c r="F214" s="2462"/>
      <c r="G214" s="2462"/>
      <c r="H214" s="2462"/>
      <c r="I214" s="2579"/>
      <c r="J214" s="2579"/>
      <c r="K214" s="2579"/>
      <c r="L214" s="2579"/>
      <c r="M214" s="2579"/>
      <c r="N214" s="2579"/>
      <c r="O214" s="2579"/>
    </row>
    <row r="215" spans="1:15" s="2463" customFormat="1">
      <c r="A215" s="2462"/>
      <c r="B215" s="2462"/>
      <c r="C215" s="2462"/>
      <c r="D215" s="2462"/>
      <c r="E215" s="2462"/>
      <c r="F215" s="2462"/>
      <c r="G215" s="2462"/>
      <c r="H215" s="2462"/>
      <c r="I215" s="2579"/>
      <c r="J215" s="2579"/>
      <c r="K215" s="2579"/>
      <c r="L215" s="2579"/>
      <c r="M215" s="2579"/>
      <c r="N215" s="2579"/>
      <c r="O215" s="2579"/>
    </row>
    <row r="216" spans="1:15" s="2463" customFormat="1">
      <c r="A216" s="2462"/>
      <c r="B216" s="2462"/>
      <c r="C216" s="2462"/>
      <c r="D216" s="2462"/>
      <c r="E216" s="2462"/>
      <c r="F216" s="2462"/>
      <c r="G216" s="2462"/>
      <c r="H216" s="2462"/>
      <c r="I216" s="2579"/>
      <c r="J216" s="2579"/>
      <c r="K216" s="2579"/>
      <c r="L216" s="2579"/>
      <c r="M216" s="2579"/>
      <c r="N216" s="2579"/>
      <c r="O216" s="2579"/>
    </row>
    <row r="217" spans="1:15" s="2463" customFormat="1">
      <c r="A217" s="2462"/>
      <c r="B217" s="2462"/>
      <c r="C217" s="2462"/>
      <c r="D217" s="2462"/>
      <c r="E217" s="2462"/>
      <c r="F217" s="2462"/>
      <c r="G217" s="2462"/>
      <c r="H217" s="2462"/>
      <c r="I217" s="2579"/>
      <c r="J217" s="2579"/>
      <c r="K217" s="2579"/>
      <c r="L217" s="2579"/>
      <c r="M217" s="2579"/>
      <c r="N217" s="2579"/>
      <c r="O217" s="2579"/>
    </row>
    <row r="218" spans="1:15" s="2463" customFormat="1">
      <c r="A218" s="2462"/>
      <c r="B218" s="2462"/>
      <c r="C218" s="2462"/>
      <c r="D218" s="2462"/>
      <c r="E218" s="2462"/>
      <c r="F218" s="2462"/>
      <c r="G218" s="2462"/>
      <c r="H218" s="2462"/>
      <c r="I218" s="2579"/>
      <c r="J218" s="2579"/>
      <c r="K218" s="2579"/>
      <c r="L218" s="2579"/>
      <c r="M218" s="2579"/>
      <c r="N218" s="2579"/>
      <c r="O218" s="2579"/>
    </row>
    <row r="219" spans="1:15" s="2463" customFormat="1">
      <c r="A219" s="2462"/>
      <c r="B219" s="2462"/>
      <c r="C219" s="2462"/>
      <c r="D219" s="2462"/>
      <c r="E219" s="2462"/>
      <c r="F219" s="2462"/>
      <c r="G219" s="2462"/>
      <c r="H219" s="2462"/>
      <c r="I219" s="2579"/>
      <c r="J219" s="2579"/>
      <c r="K219" s="2579"/>
      <c r="L219" s="2579"/>
      <c r="M219" s="2579"/>
      <c r="N219" s="2579"/>
      <c r="O219" s="2579"/>
    </row>
    <row r="220" spans="1:15" s="2463" customFormat="1">
      <c r="A220" s="2462"/>
      <c r="B220" s="2462"/>
      <c r="C220" s="2462"/>
      <c r="D220" s="2462"/>
      <c r="E220" s="2462"/>
      <c r="F220" s="2462"/>
      <c r="G220" s="2462"/>
      <c r="H220" s="2462"/>
      <c r="I220" s="2579"/>
      <c r="J220" s="2579"/>
      <c r="K220" s="2579"/>
      <c r="L220" s="2579"/>
      <c r="M220" s="2579"/>
      <c r="N220" s="2579"/>
      <c r="O220" s="2579"/>
    </row>
    <row r="221" spans="1:15" s="2463" customFormat="1">
      <c r="A221" s="2462"/>
      <c r="B221" s="2462"/>
      <c r="C221" s="2462"/>
      <c r="D221" s="2462"/>
      <c r="E221" s="2462"/>
      <c r="F221" s="2462"/>
      <c r="G221" s="2462"/>
      <c r="H221" s="2462"/>
      <c r="I221" s="2579"/>
      <c r="J221" s="2579"/>
      <c r="K221" s="2579"/>
      <c r="L221" s="2579"/>
      <c r="M221" s="2579"/>
      <c r="N221" s="2579"/>
      <c r="O221" s="2579"/>
    </row>
    <row r="222" spans="1:15" s="2463" customFormat="1">
      <c r="A222" s="2462"/>
      <c r="B222" s="2462"/>
      <c r="C222" s="2462"/>
      <c r="D222" s="2462"/>
      <c r="E222" s="2462"/>
      <c r="F222" s="2462"/>
      <c r="G222" s="2462"/>
      <c r="H222" s="2462"/>
      <c r="I222" s="2579"/>
      <c r="J222" s="2579"/>
      <c r="K222" s="2579"/>
      <c r="L222" s="2579"/>
      <c r="M222" s="2579"/>
      <c r="N222" s="2579"/>
      <c r="O222" s="2579"/>
    </row>
    <row r="223" spans="1:15" s="2463" customFormat="1">
      <c r="A223" s="2462"/>
      <c r="B223" s="2462"/>
      <c r="C223" s="2462"/>
      <c r="D223" s="2462"/>
      <c r="E223" s="2462"/>
      <c r="F223" s="2462"/>
      <c r="G223" s="2462"/>
      <c r="H223" s="2462"/>
      <c r="I223" s="2579"/>
      <c r="J223" s="2579"/>
      <c r="K223" s="2579"/>
      <c r="L223" s="2579"/>
      <c r="M223" s="2579"/>
      <c r="N223" s="2579"/>
      <c r="O223" s="2579"/>
    </row>
    <row r="224" spans="1:15" s="2463" customFormat="1">
      <c r="A224" s="2462"/>
      <c r="B224" s="2462"/>
      <c r="C224" s="2462"/>
      <c r="D224" s="2462"/>
      <c r="E224" s="2462"/>
      <c r="F224" s="2462"/>
      <c r="G224" s="2462"/>
      <c r="H224" s="2462"/>
      <c r="I224" s="2579"/>
      <c r="J224" s="2579"/>
      <c r="K224" s="2579"/>
      <c r="L224" s="2579"/>
      <c r="M224" s="2579"/>
      <c r="N224" s="2579"/>
      <c r="O224" s="2579"/>
    </row>
    <row r="225" spans="1:15" s="2463" customFormat="1">
      <c r="A225" s="2462"/>
      <c r="B225" s="2462"/>
      <c r="C225" s="2462"/>
      <c r="D225" s="2462"/>
      <c r="E225" s="2462"/>
      <c r="F225" s="2462"/>
      <c r="G225" s="2462"/>
      <c r="H225" s="2462"/>
      <c r="I225" s="2579"/>
      <c r="J225" s="2579"/>
      <c r="K225" s="2579"/>
      <c r="L225" s="2579"/>
      <c r="M225" s="2579"/>
      <c r="N225" s="2579"/>
      <c r="O225" s="2579"/>
    </row>
    <row r="226" spans="1:15" s="2463" customFormat="1">
      <c r="A226" s="2462"/>
      <c r="B226" s="2462"/>
      <c r="C226" s="2462"/>
      <c r="D226" s="2462"/>
      <c r="E226" s="2462"/>
      <c r="F226" s="2462"/>
      <c r="G226" s="2462"/>
      <c r="H226" s="2462"/>
      <c r="I226" s="2579"/>
      <c r="J226" s="2579"/>
      <c r="K226" s="2579"/>
      <c r="L226" s="2579"/>
      <c r="M226" s="2579"/>
      <c r="N226" s="2579"/>
      <c r="O226" s="2579"/>
    </row>
    <row r="227" spans="1:15" s="2463" customFormat="1">
      <c r="A227" s="2462"/>
      <c r="B227" s="2462"/>
      <c r="C227" s="2462"/>
      <c r="D227" s="2462"/>
      <c r="E227" s="2462"/>
      <c r="F227" s="2462"/>
      <c r="G227" s="2462"/>
      <c r="H227" s="2462"/>
      <c r="I227" s="2579"/>
      <c r="J227" s="2579"/>
      <c r="K227" s="2579"/>
      <c r="L227" s="2579"/>
      <c r="M227" s="2579"/>
      <c r="N227" s="2579"/>
      <c r="O227" s="2579"/>
    </row>
    <row r="228" spans="1:15" s="2463" customFormat="1">
      <c r="A228" s="2462"/>
      <c r="B228" s="2462"/>
      <c r="C228" s="2462"/>
      <c r="D228" s="2462"/>
      <c r="E228" s="2462"/>
      <c r="F228" s="2462"/>
      <c r="G228" s="2462"/>
      <c r="H228" s="2462"/>
      <c r="I228" s="2579"/>
      <c r="J228" s="2579"/>
      <c r="K228" s="2579"/>
      <c r="L228" s="2579"/>
      <c r="M228" s="2579"/>
      <c r="N228" s="2579"/>
      <c r="O228" s="2579"/>
    </row>
    <row r="229" spans="1:15" s="2463" customFormat="1">
      <c r="A229" s="2462"/>
      <c r="B229" s="2462"/>
      <c r="C229" s="2462"/>
      <c r="D229" s="2462"/>
      <c r="E229" s="2462"/>
      <c r="F229" s="2462"/>
      <c r="G229" s="2462"/>
      <c r="H229" s="2462"/>
      <c r="I229" s="2579"/>
      <c r="J229" s="2579"/>
      <c r="K229" s="2579"/>
      <c r="L229" s="2579"/>
      <c r="M229" s="2579"/>
      <c r="N229" s="2579"/>
      <c r="O229" s="2579"/>
    </row>
    <row r="230" spans="1:15" s="2463" customFormat="1">
      <c r="A230" s="2462"/>
      <c r="B230" s="2462"/>
      <c r="C230" s="2462"/>
      <c r="D230" s="2462"/>
      <c r="E230" s="2462"/>
      <c r="F230" s="2462"/>
      <c r="G230" s="2462"/>
      <c r="H230" s="2462"/>
      <c r="I230" s="2579"/>
      <c r="J230" s="2579"/>
      <c r="K230" s="2579"/>
      <c r="L230" s="2579"/>
      <c r="M230" s="2579"/>
      <c r="N230" s="2579"/>
      <c r="O230" s="2579"/>
    </row>
    <row r="231" spans="1:15" s="2463" customFormat="1">
      <c r="A231" s="2462"/>
      <c r="B231" s="2462"/>
      <c r="C231" s="2462"/>
      <c r="D231" s="2462"/>
      <c r="E231" s="2462"/>
      <c r="F231" s="2462"/>
      <c r="G231" s="2462"/>
      <c r="H231" s="2462"/>
      <c r="I231" s="2579"/>
      <c r="J231" s="2579"/>
      <c r="K231" s="2579"/>
      <c r="L231" s="2579"/>
      <c r="M231" s="2579"/>
      <c r="N231" s="2579"/>
      <c r="O231" s="2579"/>
    </row>
    <row r="232" spans="1:15" s="2463" customFormat="1">
      <c r="A232" s="2462"/>
      <c r="B232" s="2462"/>
      <c r="C232" s="2462"/>
      <c r="D232" s="2462"/>
      <c r="E232" s="2462"/>
      <c r="F232" s="2462"/>
      <c r="G232" s="2462"/>
      <c r="H232" s="2462"/>
      <c r="I232" s="2579"/>
      <c r="J232" s="2579"/>
      <c r="K232" s="2579"/>
      <c r="L232" s="2579"/>
      <c r="M232" s="2579"/>
      <c r="N232" s="2579"/>
      <c r="O232" s="2579"/>
    </row>
    <row r="233" spans="1:15" s="2463" customFormat="1">
      <c r="A233" s="2462"/>
      <c r="B233" s="2462"/>
      <c r="C233" s="2462"/>
      <c r="D233" s="2462"/>
      <c r="E233" s="2462"/>
      <c r="F233" s="2462"/>
      <c r="G233" s="2462"/>
      <c r="H233" s="2462"/>
      <c r="I233" s="2579"/>
      <c r="J233" s="2579"/>
      <c r="K233" s="2579"/>
      <c r="L233" s="2579"/>
      <c r="M233" s="2579"/>
      <c r="N233" s="2579"/>
      <c r="O233" s="2579"/>
    </row>
    <row r="234" spans="1:15" s="2463" customFormat="1">
      <c r="A234" s="2462"/>
      <c r="B234" s="2462"/>
      <c r="C234" s="2462"/>
      <c r="D234" s="2462"/>
      <c r="E234" s="2462"/>
      <c r="F234" s="2462"/>
      <c r="G234" s="2462"/>
      <c r="H234" s="2462"/>
      <c r="I234" s="2579"/>
      <c r="J234" s="2579"/>
      <c r="K234" s="2579"/>
      <c r="L234" s="2579"/>
      <c r="M234" s="2579"/>
      <c r="N234" s="2579"/>
      <c r="O234" s="2579"/>
    </row>
    <row r="235" spans="1:15" s="2463" customFormat="1">
      <c r="A235" s="2462"/>
      <c r="B235" s="2462"/>
      <c r="C235" s="2462"/>
      <c r="D235" s="2462"/>
      <c r="E235" s="2462"/>
      <c r="F235" s="2462"/>
      <c r="G235" s="2462"/>
      <c r="H235" s="2462"/>
      <c r="I235" s="2579"/>
      <c r="J235" s="2579"/>
      <c r="K235" s="2579"/>
      <c r="L235" s="2579"/>
      <c r="M235" s="2579"/>
      <c r="N235" s="2579"/>
      <c r="O235" s="2579"/>
    </row>
    <row r="236" spans="1:15" s="2463" customFormat="1">
      <c r="A236" s="2462"/>
      <c r="B236" s="2462"/>
      <c r="C236" s="2462"/>
      <c r="D236" s="2462"/>
      <c r="E236" s="2462"/>
      <c r="F236" s="2462"/>
      <c r="G236" s="2462"/>
      <c r="H236" s="2462"/>
      <c r="I236" s="2579"/>
      <c r="J236" s="2579"/>
      <c r="K236" s="2579"/>
      <c r="L236" s="2579"/>
      <c r="M236" s="2579"/>
      <c r="N236" s="2579"/>
      <c r="O236" s="2579"/>
    </row>
    <row r="237" spans="1:15" s="2463" customFormat="1">
      <c r="A237" s="2462"/>
      <c r="B237" s="2462"/>
      <c r="C237" s="2462"/>
      <c r="D237" s="2462"/>
      <c r="E237" s="2462"/>
      <c r="F237" s="2462"/>
      <c r="G237" s="2462"/>
      <c r="H237" s="2462"/>
      <c r="I237" s="2579"/>
      <c r="J237" s="2579"/>
      <c r="K237" s="2579"/>
      <c r="L237" s="2579"/>
      <c r="M237" s="2579"/>
      <c r="N237" s="2579"/>
      <c r="O237" s="2579"/>
    </row>
    <row r="238" spans="1:15" s="2463" customFormat="1">
      <c r="A238" s="2462"/>
      <c r="B238" s="2462"/>
      <c r="C238" s="2462"/>
      <c r="D238" s="2462"/>
      <c r="E238" s="2462"/>
      <c r="F238" s="2462"/>
      <c r="G238" s="2462"/>
      <c r="H238" s="2462"/>
      <c r="I238" s="2579"/>
      <c r="J238" s="2579"/>
      <c r="K238" s="2579"/>
      <c r="L238" s="2579"/>
      <c r="M238" s="2579"/>
      <c r="N238" s="2579"/>
      <c r="O238" s="2579"/>
    </row>
    <row r="239" spans="1:15" s="2463" customFormat="1">
      <c r="A239" s="2462"/>
      <c r="B239" s="2462"/>
      <c r="C239" s="2462"/>
      <c r="D239" s="2462"/>
      <c r="E239" s="2462"/>
      <c r="F239" s="2462"/>
      <c r="G239" s="2462"/>
      <c r="H239" s="2462"/>
      <c r="I239" s="2579"/>
      <c r="J239" s="2579"/>
      <c r="K239" s="2579"/>
      <c r="L239" s="2579"/>
      <c r="M239" s="2579"/>
      <c r="N239" s="2579"/>
      <c r="O239" s="2579"/>
    </row>
    <row r="240" spans="1:15" s="2463" customFormat="1">
      <c r="A240" s="2462"/>
      <c r="B240" s="2462"/>
      <c r="C240" s="2462"/>
      <c r="D240" s="2462"/>
      <c r="E240" s="2462"/>
      <c r="F240" s="2462"/>
      <c r="G240" s="2462"/>
      <c r="H240" s="2462"/>
      <c r="I240" s="2579"/>
      <c r="J240" s="2579"/>
      <c r="K240" s="2579"/>
      <c r="L240" s="2579"/>
      <c r="M240" s="2579"/>
      <c r="N240" s="2579"/>
      <c r="O240" s="2579"/>
    </row>
    <row r="241" spans="1:15" s="2463" customFormat="1">
      <c r="A241" s="2462"/>
      <c r="B241" s="2462"/>
      <c r="C241" s="2462"/>
      <c r="D241" s="2462"/>
      <c r="E241" s="2462"/>
      <c r="F241" s="2462"/>
      <c r="G241" s="2462"/>
      <c r="H241" s="2462"/>
      <c r="I241" s="2579"/>
      <c r="J241" s="2579"/>
      <c r="K241" s="2579"/>
      <c r="L241" s="2579"/>
      <c r="M241" s="2579"/>
      <c r="N241" s="2579"/>
      <c r="O241" s="2579"/>
    </row>
    <row r="242" spans="1:15" s="2463" customFormat="1">
      <c r="A242" s="2462"/>
      <c r="B242" s="2462"/>
      <c r="C242" s="2462"/>
      <c r="D242" s="2462"/>
      <c r="E242" s="2462"/>
      <c r="F242" s="2462"/>
      <c r="G242" s="2462"/>
      <c r="H242" s="2462"/>
      <c r="I242" s="2579"/>
      <c r="J242" s="2579"/>
      <c r="K242" s="2579"/>
      <c r="L242" s="2579"/>
      <c r="M242" s="2579"/>
      <c r="N242" s="2579"/>
      <c r="O242" s="2579"/>
    </row>
    <row r="243" spans="1:15" s="2463" customFormat="1">
      <c r="A243" s="2462"/>
      <c r="B243" s="2462"/>
      <c r="C243" s="2462"/>
      <c r="D243" s="2462"/>
      <c r="E243" s="2462"/>
      <c r="F243" s="2462"/>
      <c r="G243" s="2462"/>
      <c r="H243" s="2462"/>
      <c r="I243" s="2579"/>
      <c r="J243" s="2579"/>
      <c r="K243" s="2579"/>
      <c r="L243" s="2579"/>
      <c r="M243" s="2579"/>
      <c r="N243" s="2579"/>
      <c r="O243" s="2579"/>
    </row>
    <row r="249" spans="1:15" s="2463" customFormat="1">
      <c r="A249" s="2462"/>
      <c r="B249" s="2462"/>
      <c r="C249" s="2462"/>
      <c r="D249" s="2462"/>
      <c r="E249" s="2462"/>
      <c r="F249" s="2462"/>
      <c r="G249" s="2462"/>
      <c r="H249" s="2462"/>
      <c r="I249" s="2579"/>
      <c r="J249" s="2579"/>
      <c r="K249" s="2579"/>
      <c r="L249" s="2579"/>
      <c r="M249" s="2579"/>
      <c r="N249" s="2579"/>
      <c r="O249" s="2579"/>
    </row>
    <row r="250" spans="1:15" s="2463" customFormat="1">
      <c r="A250" s="2462"/>
      <c r="B250" s="2462"/>
      <c r="C250" s="2462"/>
      <c r="D250" s="2462"/>
      <c r="E250" s="2462"/>
      <c r="F250" s="2462"/>
      <c r="G250" s="2462"/>
      <c r="H250" s="2462"/>
      <c r="I250" s="2579"/>
      <c r="J250" s="2579"/>
      <c r="K250" s="2579"/>
      <c r="L250" s="2579"/>
      <c r="M250" s="2579"/>
      <c r="N250" s="2579"/>
      <c r="O250" s="2579"/>
    </row>
    <row r="251" spans="1:15" s="2463" customFormat="1">
      <c r="A251" s="2462"/>
      <c r="B251" s="2462"/>
      <c r="C251" s="2462"/>
      <c r="D251" s="2462"/>
      <c r="E251" s="2462"/>
      <c r="F251" s="2462"/>
      <c r="G251" s="2462"/>
      <c r="H251" s="2462"/>
      <c r="I251" s="2579"/>
      <c r="J251" s="2579"/>
      <c r="K251" s="2579"/>
      <c r="L251" s="2579"/>
      <c r="M251" s="2579"/>
      <c r="N251" s="2579"/>
      <c r="O251" s="2579"/>
    </row>
    <row r="252" spans="1:15" s="2463" customFormat="1">
      <c r="A252" s="2462"/>
      <c r="B252" s="2462"/>
      <c r="C252" s="2462"/>
      <c r="D252" s="2462"/>
      <c r="E252" s="2462"/>
      <c r="F252" s="2462"/>
      <c r="G252" s="2462"/>
      <c r="H252" s="2462"/>
      <c r="I252" s="2579"/>
      <c r="J252" s="2579"/>
      <c r="K252" s="2579"/>
      <c r="L252" s="2579"/>
      <c r="M252" s="2579"/>
      <c r="N252" s="2579"/>
      <c r="O252" s="2579"/>
    </row>
    <row r="253" spans="1:15" s="2463" customFormat="1">
      <c r="A253" s="2462"/>
      <c r="B253" s="2462"/>
      <c r="C253" s="2462"/>
      <c r="D253" s="2462"/>
      <c r="E253" s="2462"/>
      <c r="F253" s="2462"/>
      <c r="G253" s="2462"/>
      <c r="H253" s="2462"/>
      <c r="I253" s="2579"/>
      <c r="J253" s="2579"/>
      <c r="K253" s="2579"/>
      <c r="L253" s="2579"/>
      <c r="M253" s="2579"/>
      <c r="N253" s="2579"/>
      <c r="O253" s="2579"/>
    </row>
    <row r="254" spans="1:15" s="2463" customFormat="1">
      <c r="A254" s="2462"/>
      <c r="B254" s="2462"/>
      <c r="C254" s="2462"/>
      <c r="D254" s="2462"/>
      <c r="E254" s="2462"/>
      <c r="F254" s="2462"/>
      <c r="G254" s="2462"/>
      <c r="H254" s="2462"/>
      <c r="I254" s="2579"/>
      <c r="J254" s="2579"/>
      <c r="K254" s="2579"/>
      <c r="L254" s="2579"/>
      <c r="M254" s="2579"/>
      <c r="N254" s="2579"/>
      <c r="O254" s="2579"/>
    </row>
    <row r="255" spans="1:15" s="2463" customFormat="1">
      <c r="A255" s="2462"/>
      <c r="B255" s="2462"/>
      <c r="C255" s="2462"/>
      <c r="D255" s="2462"/>
      <c r="E255" s="2462"/>
      <c r="F255" s="2462"/>
      <c r="G255" s="2462"/>
      <c r="H255" s="2462"/>
      <c r="I255" s="2579"/>
      <c r="J255" s="2579"/>
      <c r="K255" s="2579"/>
      <c r="L255" s="2579"/>
      <c r="M255" s="2579"/>
      <c r="N255" s="2579"/>
      <c r="O255" s="2579"/>
    </row>
    <row r="256" spans="1:15" s="2463" customFormat="1">
      <c r="A256" s="2462"/>
      <c r="B256" s="2462"/>
      <c r="C256" s="2462"/>
      <c r="D256" s="2462"/>
      <c r="E256" s="2462"/>
      <c r="F256" s="2462"/>
      <c r="G256" s="2462"/>
      <c r="H256" s="2462"/>
      <c r="I256" s="2579"/>
      <c r="J256" s="2579"/>
      <c r="K256" s="2579"/>
      <c r="L256" s="2579"/>
      <c r="M256" s="2579"/>
      <c r="N256" s="2579"/>
      <c r="O256" s="2579"/>
    </row>
    <row r="257" spans="1:15" s="2463" customFormat="1">
      <c r="A257" s="2462"/>
      <c r="B257" s="2462"/>
      <c r="C257" s="2462"/>
      <c r="D257" s="2462"/>
      <c r="E257" s="2462"/>
      <c r="F257" s="2462"/>
      <c r="G257" s="2462"/>
      <c r="H257" s="2462"/>
      <c r="I257" s="2579"/>
      <c r="J257" s="2579"/>
      <c r="K257" s="2579"/>
      <c r="L257" s="2579"/>
      <c r="M257" s="2579"/>
      <c r="N257" s="2579"/>
      <c r="O257" s="2579"/>
    </row>
    <row r="258" spans="1:15" s="2463" customFormat="1">
      <c r="A258" s="2462"/>
      <c r="B258" s="2462"/>
      <c r="C258" s="2462"/>
      <c r="D258" s="2462"/>
      <c r="E258" s="2462"/>
      <c r="F258" s="2462"/>
      <c r="G258" s="2462"/>
      <c r="H258" s="2462"/>
      <c r="I258" s="2579"/>
      <c r="J258" s="2579"/>
      <c r="K258" s="2579"/>
      <c r="L258" s="2579"/>
      <c r="M258" s="2579"/>
      <c r="N258" s="2579"/>
      <c r="O258" s="2579"/>
    </row>
    <row r="259" spans="1:15" s="2463" customFormat="1">
      <c r="A259" s="2462"/>
      <c r="B259" s="2462"/>
      <c r="C259" s="2462"/>
      <c r="D259" s="2462"/>
      <c r="E259" s="2462"/>
      <c r="F259" s="2462"/>
      <c r="G259" s="2462"/>
      <c r="H259" s="2462"/>
      <c r="I259" s="2579"/>
      <c r="J259" s="2579"/>
      <c r="K259" s="2579"/>
      <c r="L259" s="2579"/>
      <c r="M259" s="2579"/>
      <c r="N259" s="2579"/>
      <c r="O259" s="2579"/>
    </row>
    <row r="260" spans="1:15" s="2463" customFormat="1">
      <c r="A260" s="2462"/>
      <c r="B260" s="2462"/>
      <c r="C260" s="2462"/>
      <c r="D260" s="2462"/>
      <c r="E260" s="2462"/>
      <c r="F260" s="2462"/>
      <c r="G260" s="2462"/>
      <c r="H260" s="2462"/>
      <c r="I260" s="2579"/>
      <c r="J260" s="2579"/>
      <c r="K260" s="2579"/>
      <c r="L260" s="2579"/>
      <c r="M260" s="2579"/>
      <c r="N260" s="2579"/>
      <c r="O260" s="2579"/>
    </row>
    <row r="261" spans="1:15" s="2463" customFormat="1">
      <c r="A261" s="2462"/>
      <c r="B261" s="2462"/>
      <c r="C261" s="2462"/>
      <c r="D261" s="2462"/>
      <c r="E261" s="2462"/>
      <c r="F261" s="2462"/>
      <c r="G261" s="2462"/>
      <c r="H261" s="2462"/>
      <c r="I261" s="2579"/>
      <c r="J261" s="2579"/>
      <c r="K261" s="2579"/>
      <c r="L261" s="2579"/>
      <c r="M261" s="2579"/>
      <c r="N261" s="2579"/>
      <c r="O261" s="2579"/>
    </row>
    <row r="262" spans="1:15" s="2463" customFormat="1">
      <c r="A262" s="2462"/>
      <c r="B262" s="2462"/>
      <c r="C262" s="2462"/>
      <c r="D262" s="2462"/>
      <c r="E262" s="2462"/>
      <c r="F262" s="2462"/>
      <c r="G262" s="2462"/>
      <c r="H262" s="2462"/>
      <c r="I262" s="2579"/>
      <c r="J262" s="2579"/>
      <c r="K262" s="2579"/>
      <c r="L262" s="2579"/>
      <c r="M262" s="2579"/>
      <c r="N262" s="2579"/>
      <c r="O262" s="2579"/>
    </row>
    <row r="263" spans="1:15" s="2463" customFormat="1">
      <c r="A263" s="2462"/>
      <c r="B263" s="2462"/>
      <c r="C263" s="2462"/>
      <c r="D263" s="2462"/>
      <c r="E263" s="2462"/>
      <c r="F263" s="2462"/>
      <c r="G263" s="2462"/>
      <c r="H263" s="2462"/>
      <c r="I263" s="2579"/>
      <c r="J263" s="2579"/>
      <c r="K263" s="2579"/>
      <c r="L263" s="2579"/>
      <c r="M263" s="2579"/>
      <c r="N263" s="2579"/>
      <c r="O263" s="2579"/>
    </row>
    <row r="264" spans="1:15" s="2463" customFormat="1">
      <c r="A264" s="2462"/>
      <c r="B264" s="2462"/>
      <c r="C264" s="2462"/>
      <c r="D264" s="2462"/>
      <c r="E264" s="2462"/>
      <c r="F264" s="2462"/>
      <c r="G264" s="2462"/>
      <c r="H264" s="2462"/>
      <c r="I264" s="2579"/>
      <c r="J264" s="2579"/>
      <c r="K264" s="2579"/>
      <c r="L264" s="2579"/>
      <c r="M264" s="2579"/>
      <c r="N264" s="2579"/>
      <c r="O264" s="2579"/>
    </row>
    <row r="265" spans="1:15" s="2463" customFormat="1">
      <c r="A265" s="2462"/>
      <c r="B265" s="2462"/>
      <c r="C265" s="2462"/>
      <c r="D265" s="2462"/>
      <c r="E265" s="2462"/>
      <c r="F265" s="2462"/>
      <c r="G265" s="2462"/>
      <c r="H265" s="2462"/>
      <c r="I265" s="2579"/>
      <c r="J265" s="2579"/>
      <c r="K265" s="2579"/>
      <c r="L265" s="2579"/>
      <c r="M265" s="2579"/>
      <c r="N265" s="2579"/>
      <c r="O265" s="2579"/>
    </row>
    <row r="266" spans="1:15" s="2463" customFormat="1">
      <c r="A266" s="2462"/>
      <c r="B266" s="2462"/>
      <c r="C266" s="2462"/>
      <c r="D266" s="2462"/>
      <c r="E266" s="2462"/>
      <c r="F266" s="2462"/>
      <c r="G266" s="2462"/>
      <c r="H266" s="2462"/>
      <c r="I266" s="2579"/>
      <c r="J266" s="2579"/>
      <c r="K266" s="2579"/>
      <c r="L266" s="2579"/>
      <c r="M266" s="2579"/>
      <c r="N266" s="2579"/>
      <c r="O266" s="2579"/>
    </row>
    <row r="267" spans="1:15" s="2463" customFormat="1">
      <c r="A267" s="2462"/>
      <c r="B267" s="2462"/>
      <c r="C267" s="2462"/>
      <c r="D267" s="2462"/>
      <c r="E267" s="2462"/>
      <c r="F267" s="2462"/>
      <c r="G267" s="2462"/>
      <c r="H267" s="2462"/>
      <c r="I267" s="2579"/>
      <c r="J267" s="2579"/>
      <c r="K267" s="2579"/>
      <c r="L267" s="2579"/>
      <c r="M267" s="2579"/>
      <c r="N267" s="2579"/>
      <c r="O267" s="2579"/>
    </row>
    <row r="268" spans="1:15" s="2463" customFormat="1">
      <c r="A268" s="2462"/>
      <c r="B268" s="2462"/>
      <c r="C268" s="2462"/>
      <c r="D268" s="2462"/>
      <c r="E268" s="2462"/>
      <c r="F268" s="2462"/>
      <c r="G268" s="2462"/>
      <c r="H268" s="2462"/>
      <c r="I268" s="2579"/>
      <c r="J268" s="2579"/>
      <c r="K268" s="2579"/>
      <c r="L268" s="2579"/>
      <c r="M268" s="2579"/>
      <c r="N268" s="2579"/>
      <c r="O268" s="2579"/>
    </row>
    <row r="269" spans="1:15" s="2463" customFormat="1">
      <c r="A269" s="2462"/>
      <c r="B269" s="2462"/>
      <c r="C269" s="2462"/>
      <c r="D269" s="2462"/>
      <c r="E269" s="2462"/>
      <c r="F269" s="2462"/>
      <c r="G269" s="2462"/>
      <c r="H269" s="2462"/>
      <c r="I269" s="2579"/>
      <c r="J269" s="2579"/>
      <c r="K269" s="2579"/>
      <c r="L269" s="2579"/>
      <c r="M269" s="2579"/>
      <c r="N269" s="2579"/>
      <c r="O269" s="2579"/>
    </row>
    <row r="270" spans="1:15" s="2463" customFormat="1">
      <c r="A270" s="2462"/>
      <c r="B270" s="2462"/>
      <c r="C270" s="2462"/>
      <c r="D270" s="2462"/>
      <c r="E270" s="2462"/>
      <c r="F270" s="2462"/>
      <c r="G270" s="2462"/>
      <c r="H270" s="2462"/>
      <c r="I270" s="2579"/>
      <c r="J270" s="2579"/>
      <c r="K270" s="2579"/>
      <c r="L270" s="2579"/>
      <c r="M270" s="2579"/>
      <c r="N270" s="2579"/>
      <c r="O270" s="2579"/>
    </row>
    <row r="271" spans="1:15" s="2463" customFormat="1">
      <c r="A271" s="2462"/>
      <c r="B271" s="2462"/>
      <c r="C271" s="2462"/>
      <c r="D271" s="2462"/>
      <c r="E271" s="2462"/>
      <c r="F271" s="2462"/>
      <c r="G271" s="2462"/>
      <c r="H271" s="2462"/>
      <c r="I271" s="2579"/>
      <c r="J271" s="2579"/>
      <c r="K271" s="2579"/>
      <c r="L271" s="2579"/>
      <c r="M271" s="2579"/>
      <c r="N271" s="2579"/>
      <c r="O271" s="2579"/>
    </row>
    <row r="272" spans="1:15" s="2463" customFormat="1">
      <c r="A272" s="2462"/>
      <c r="B272" s="2462"/>
      <c r="C272" s="2462"/>
      <c r="D272" s="2462"/>
      <c r="E272" s="2462"/>
      <c r="F272" s="2462"/>
      <c r="G272" s="2462"/>
      <c r="H272" s="2462"/>
      <c r="I272" s="2579"/>
      <c r="J272" s="2579"/>
      <c r="K272" s="2579"/>
      <c r="L272" s="2579"/>
      <c r="M272" s="2579"/>
      <c r="N272" s="2579"/>
      <c r="O272" s="2579"/>
    </row>
    <row r="273" spans="1:15" s="2463" customFormat="1">
      <c r="A273" s="2462"/>
      <c r="B273" s="2462"/>
      <c r="C273" s="2462"/>
      <c r="D273" s="2462"/>
      <c r="E273" s="2462"/>
      <c r="F273" s="2462"/>
      <c r="G273" s="2462"/>
      <c r="H273" s="2462"/>
      <c r="I273" s="2579"/>
      <c r="J273" s="2579"/>
      <c r="K273" s="2579"/>
      <c r="L273" s="2579"/>
      <c r="M273" s="2579"/>
      <c r="N273" s="2579"/>
      <c r="O273" s="2579"/>
    </row>
    <row r="274" spans="1:15" s="2463" customFormat="1">
      <c r="A274" s="2462"/>
      <c r="B274" s="2462"/>
      <c r="C274" s="2462"/>
      <c r="D274" s="2462"/>
      <c r="E274" s="2462"/>
      <c r="F274" s="2462"/>
      <c r="G274" s="2462"/>
      <c r="H274" s="2462"/>
      <c r="I274" s="2579"/>
      <c r="J274" s="2579"/>
      <c r="K274" s="2579"/>
      <c r="L274" s="2579"/>
      <c r="M274" s="2579"/>
      <c r="N274" s="2579"/>
      <c r="O274" s="2579"/>
    </row>
    <row r="275" spans="1:15" s="2463" customFormat="1">
      <c r="A275" s="2462"/>
      <c r="B275" s="2462"/>
      <c r="C275" s="2462"/>
      <c r="D275" s="2462"/>
      <c r="E275" s="2462"/>
      <c r="F275" s="2462"/>
      <c r="G275" s="2462"/>
      <c r="H275" s="2462"/>
      <c r="I275" s="2579"/>
      <c r="J275" s="2579"/>
      <c r="K275" s="2579"/>
      <c r="L275" s="2579"/>
      <c r="M275" s="2579"/>
      <c r="N275" s="2579"/>
      <c r="O275" s="2579"/>
    </row>
    <row r="276" spans="1:15" s="2463" customFormat="1">
      <c r="A276" s="2462"/>
      <c r="B276" s="2462"/>
      <c r="C276" s="2462"/>
      <c r="D276" s="2462"/>
      <c r="E276" s="2462"/>
      <c r="F276" s="2462"/>
      <c r="G276" s="2462"/>
      <c r="H276" s="2462"/>
      <c r="I276" s="2579"/>
      <c r="J276" s="2579"/>
      <c r="K276" s="2579"/>
      <c r="L276" s="2579"/>
      <c r="M276" s="2579"/>
      <c r="N276" s="2579"/>
      <c r="O276" s="2579"/>
    </row>
    <row r="277" spans="1:15" s="2463" customFormat="1">
      <c r="A277" s="2462"/>
      <c r="B277" s="2462"/>
      <c r="C277" s="2462"/>
      <c r="D277" s="2462"/>
      <c r="E277" s="2462"/>
      <c r="F277" s="2462"/>
      <c r="G277" s="2462"/>
      <c r="H277" s="2462"/>
      <c r="I277" s="2579"/>
      <c r="J277" s="2579"/>
      <c r="K277" s="2579"/>
      <c r="L277" s="2579"/>
      <c r="M277" s="2579"/>
      <c r="N277" s="2579"/>
      <c r="O277" s="2579"/>
    </row>
    <row r="278" spans="1:15" s="2463" customFormat="1">
      <c r="A278" s="2462"/>
      <c r="B278" s="2462"/>
      <c r="C278" s="2462"/>
      <c r="D278" s="2462"/>
      <c r="E278" s="2462"/>
      <c r="F278" s="2462"/>
      <c r="G278" s="2462"/>
      <c r="H278" s="2462"/>
      <c r="I278" s="2579"/>
      <c r="J278" s="2579"/>
      <c r="K278" s="2579"/>
      <c r="L278" s="2579"/>
      <c r="M278" s="2579"/>
      <c r="N278" s="2579"/>
      <c r="O278" s="2579"/>
    </row>
    <row r="279" spans="1:15" s="2463" customFormat="1">
      <c r="A279" s="2462"/>
      <c r="B279" s="2462"/>
      <c r="C279" s="2462"/>
      <c r="D279" s="2462"/>
      <c r="E279" s="2462"/>
      <c r="F279" s="2462"/>
      <c r="G279" s="2462"/>
      <c r="H279" s="2462"/>
      <c r="I279" s="2579"/>
      <c r="J279" s="2579"/>
      <c r="K279" s="2579"/>
      <c r="L279" s="2579"/>
      <c r="M279" s="2579"/>
      <c r="N279" s="2579"/>
      <c r="O279" s="2579"/>
    </row>
    <row r="280" spans="1:15" s="2463" customFormat="1">
      <c r="A280" s="2462"/>
      <c r="B280" s="2462"/>
      <c r="C280" s="2462"/>
      <c r="D280" s="2462"/>
      <c r="E280" s="2462"/>
      <c r="F280" s="2462"/>
      <c r="G280" s="2462"/>
      <c r="H280" s="2462"/>
      <c r="I280" s="2579"/>
      <c r="J280" s="2579"/>
      <c r="K280" s="2579"/>
      <c r="L280" s="2579"/>
      <c r="M280" s="2579"/>
      <c r="N280" s="2579"/>
      <c r="O280" s="2579"/>
    </row>
    <row r="281" spans="1:15" s="2463" customFormat="1">
      <c r="A281" s="2462"/>
      <c r="B281" s="2462"/>
      <c r="C281" s="2462"/>
      <c r="D281" s="2462"/>
      <c r="E281" s="2462"/>
      <c r="F281" s="2462"/>
      <c r="G281" s="2462"/>
      <c r="H281" s="2462"/>
      <c r="I281" s="2579"/>
      <c r="J281" s="2579"/>
      <c r="K281" s="2579"/>
      <c r="L281" s="2579"/>
      <c r="M281" s="2579"/>
      <c r="N281" s="2579"/>
      <c r="O281" s="2579"/>
    </row>
    <row r="282" spans="1:15" s="2463" customFormat="1">
      <c r="A282" s="2462"/>
      <c r="B282" s="2462"/>
      <c r="C282" s="2462"/>
      <c r="D282" s="2462"/>
      <c r="E282" s="2462"/>
      <c r="F282" s="2462"/>
      <c r="G282" s="2462"/>
      <c r="H282" s="2462"/>
      <c r="I282" s="2579"/>
      <c r="J282" s="2579"/>
      <c r="K282" s="2579"/>
      <c r="L282" s="2579"/>
      <c r="M282" s="2579"/>
      <c r="N282" s="2579"/>
      <c r="O282" s="2579"/>
    </row>
    <row r="283" spans="1:15" s="2463" customFormat="1">
      <c r="A283" s="2462"/>
      <c r="B283" s="2462"/>
      <c r="C283" s="2462"/>
      <c r="D283" s="2462"/>
      <c r="E283" s="2462"/>
      <c r="F283" s="2462"/>
      <c r="G283" s="2462"/>
      <c r="H283" s="2462"/>
      <c r="I283" s="2579"/>
      <c r="J283" s="2579"/>
      <c r="K283" s="2579"/>
      <c r="L283" s="2579"/>
      <c r="M283" s="2579"/>
      <c r="N283" s="2579"/>
      <c r="O283" s="2579"/>
    </row>
    <row r="284" spans="1:15" s="2463" customFormat="1">
      <c r="A284" s="2462"/>
      <c r="B284" s="2462"/>
      <c r="C284" s="2462"/>
      <c r="D284" s="2462"/>
      <c r="E284" s="2462"/>
      <c r="F284" s="2462"/>
      <c r="G284" s="2462"/>
      <c r="H284" s="2462"/>
      <c r="I284" s="2579"/>
      <c r="J284" s="2579"/>
      <c r="K284" s="2579"/>
      <c r="L284" s="2579"/>
      <c r="M284" s="2579"/>
      <c r="N284" s="2579"/>
      <c r="O284" s="2579"/>
    </row>
    <row r="285" spans="1:15" s="2463" customFormat="1">
      <c r="A285" s="2462"/>
      <c r="B285" s="2462"/>
      <c r="C285" s="2462"/>
      <c r="D285" s="2462"/>
      <c r="E285" s="2462"/>
      <c r="F285" s="2462"/>
      <c r="G285" s="2462"/>
      <c r="H285" s="2462"/>
      <c r="I285" s="2579"/>
      <c r="J285" s="2579"/>
      <c r="K285" s="2579"/>
      <c r="L285" s="2579"/>
      <c r="M285" s="2579"/>
      <c r="N285" s="2579"/>
      <c r="O285" s="2579"/>
    </row>
    <row r="286" spans="1:15" s="2463" customFormat="1">
      <c r="A286" s="2462"/>
      <c r="B286" s="2462"/>
      <c r="C286" s="2462"/>
      <c r="D286" s="2462"/>
      <c r="E286" s="2462"/>
      <c r="F286" s="2462"/>
      <c r="G286" s="2462"/>
      <c r="H286" s="2462"/>
      <c r="I286" s="2579"/>
      <c r="J286" s="2579"/>
      <c r="K286" s="2579"/>
      <c r="L286" s="2579"/>
      <c r="M286" s="2579"/>
      <c r="N286" s="2579"/>
      <c r="O286" s="2579"/>
    </row>
    <row r="287" spans="1:15" s="2463" customFormat="1">
      <c r="A287" s="2462"/>
      <c r="B287" s="2462"/>
      <c r="C287" s="2462"/>
      <c r="D287" s="2462"/>
      <c r="E287" s="2462"/>
      <c r="F287" s="2462"/>
      <c r="G287" s="2462"/>
      <c r="H287" s="2462"/>
      <c r="I287" s="2579"/>
      <c r="J287" s="2579"/>
      <c r="K287" s="2579"/>
      <c r="L287" s="2579"/>
      <c r="M287" s="2579"/>
      <c r="N287" s="2579"/>
      <c r="O287" s="2579"/>
    </row>
    <row r="292" spans="1:15" s="2463" customFormat="1">
      <c r="A292" s="2462"/>
      <c r="B292" s="2462"/>
      <c r="C292" s="2462"/>
      <c r="D292" s="2462"/>
      <c r="E292" s="2462"/>
      <c r="F292" s="2462"/>
      <c r="G292" s="2462"/>
      <c r="H292" s="2462"/>
      <c r="I292" s="2579"/>
      <c r="J292" s="2579"/>
      <c r="K292" s="2579"/>
      <c r="L292" s="2579"/>
      <c r="M292" s="2579"/>
      <c r="N292" s="2579"/>
      <c r="O292" s="2579"/>
    </row>
    <row r="293" spans="1:15" s="2463" customFormat="1">
      <c r="A293" s="2462"/>
      <c r="B293" s="2462"/>
      <c r="C293" s="2462"/>
      <c r="D293" s="2462"/>
      <c r="E293" s="2462"/>
      <c r="F293" s="2462"/>
      <c r="G293" s="2462"/>
      <c r="H293" s="2462"/>
      <c r="I293" s="2579"/>
      <c r="J293" s="2579"/>
      <c r="K293" s="2579"/>
      <c r="L293" s="2579"/>
      <c r="M293" s="2579"/>
      <c r="N293" s="2579"/>
      <c r="O293" s="2579"/>
    </row>
    <row r="294" spans="1:15" s="2463" customFormat="1">
      <c r="A294" s="2462"/>
      <c r="B294" s="2462"/>
      <c r="C294" s="2462"/>
      <c r="D294" s="2462"/>
      <c r="E294" s="2462"/>
      <c r="F294" s="2462"/>
      <c r="G294" s="2462"/>
      <c r="H294" s="2462"/>
      <c r="I294" s="2579"/>
      <c r="J294" s="2579"/>
      <c r="K294" s="2579"/>
      <c r="L294" s="2579"/>
      <c r="M294" s="2579"/>
      <c r="N294" s="2579"/>
      <c r="O294" s="2579"/>
    </row>
    <row r="295" spans="1:15" s="2463" customFormat="1">
      <c r="A295" s="2462"/>
      <c r="B295" s="2462"/>
      <c r="C295" s="2462"/>
      <c r="D295" s="2462"/>
      <c r="E295" s="2462"/>
      <c r="F295" s="2462"/>
      <c r="G295" s="2462"/>
      <c r="H295" s="2462"/>
      <c r="I295" s="2579"/>
      <c r="J295" s="2579"/>
      <c r="K295" s="2579"/>
      <c r="L295" s="2579"/>
      <c r="M295" s="2579"/>
      <c r="N295" s="2579"/>
      <c r="O295" s="2579"/>
    </row>
    <row r="296" spans="1:15" s="2463" customFormat="1">
      <c r="A296" s="2462"/>
      <c r="B296" s="2462"/>
      <c r="C296" s="2462"/>
      <c r="D296" s="2462"/>
      <c r="E296" s="2462"/>
      <c r="F296" s="2462"/>
      <c r="G296" s="2462"/>
      <c r="H296" s="2462"/>
      <c r="I296" s="2579"/>
      <c r="J296" s="2579"/>
      <c r="K296" s="2579"/>
      <c r="L296" s="2579"/>
      <c r="M296" s="2579"/>
      <c r="N296" s="2579"/>
      <c r="O296" s="2579"/>
    </row>
    <row r="297" spans="1:15" s="2463" customFormat="1">
      <c r="A297" s="2462"/>
      <c r="B297" s="2462"/>
      <c r="C297" s="2462"/>
      <c r="D297" s="2462"/>
      <c r="E297" s="2462"/>
      <c r="F297" s="2462"/>
      <c r="G297" s="2462"/>
      <c r="H297" s="2462"/>
      <c r="I297" s="2579"/>
      <c r="J297" s="2579"/>
      <c r="K297" s="2579"/>
      <c r="L297" s="2579"/>
      <c r="M297" s="2579"/>
      <c r="N297" s="2579"/>
      <c r="O297" s="2579"/>
    </row>
    <row r="298" spans="1:15" s="2463" customFormat="1">
      <c r="A298" s="2462"/>
      <c r="B298" s="2462"/>
      <c r="C298" s="2462"/>
      <c r="D298" s="2462"/>
      <c r="E298" s="2462"/>
      <c r="F298" s="2462"/>
      <c r="G298" s="2462"/>
      <c r="H298" s="2462"/>
      <c r="I298" s="2579"/>
      <c r="J298" s="2579"/>
      <c r="K298" s="2579"/>
      <c r="L298" s="2579"/>
      <c r="M298" s="2579"/>
      <c r="N298" s="2579"/>
      <c r="O298" s="2579"/>
    </row>
    <row r="299" spans="1:15" s="2463" customFormat="1">
      <c r="A299" s="2462"/>
      <c r="B299" s="2462"/>
      <c r="C299" s="2462"/>
      <c r="D299" s="2462"/>
      <c r="E299" s="2462"/>
      <c r="F299" s="2462"/>
      <c r="G299" s="2462"/>
      <c r="H299" s="2462"/>
      <c r="I299" s="2579"/>
      <c r="J299" s="2579"/>
      <c r="K299" s="2579"/>
      <c r="L299" s="2579"/>
      <c r="M299" s="2579"/>
      <c r="N299" s="2579"/>
      <c r="O299" s="2579"/>
    </row>
    <row r="300" spans="1:15" s="2463" customFormat="1">
      <c r="A300" s="2462"/>
      <c r="B300" s="2462"/>
      <c r="C300" s="2462"/>
      <c r="D300" s="2462"/>
      <c r="E300" s="2462"/>
      <c r="F300" s="2462"/>
      <c r="G300" s="2462"/>
      <c r="H300" s="2462"/>
      <c r="I300" s="2579"/>
      <c r="J300" s="2579"/>
      <c r="K300" s="2579"/>
      <c r="L300" s="2579"/>
      <c r="M300" s="2579"/>
      <c r="N300" s="2579"/>
      <c r="O300" s="2579"/>
    </row>
    <row r="301" spans="1:15" s="2463" customFormat="1">
      <c r="A301" s="2462"/>
      <c r="B301" s="2462"/>
      <c r="C301" s="2462"/>
      <c r="D301" s="2462"/>
      <c r="E301" s="2462"/>
      <c r="F301" s="2462"/>
      <c r="G301" s="2462"/>
      <c r="H301" s="2462"/>
      <c r="I301" s="2579"/>
      <c r="J301" s="2579"/>
      <c r="K301" s="2579"/>
      <c r="L301" s="2579"/>
      <c r="M301" s="2579"/>
      <c r="N301" s="2579"/>
      <c r="O301" s="2579"/>
    </row>
    <row r="302" spans="1:15" s="2463" customFormat="1">
      <c r="A302" s="2462"/>
      <c r="B302" s="2462"/>
      <c r="C302" s="2462"/>
      <c r="D302" s="2462"/>
      <c r="E302" s="2462"/>
      <c r="F302" s="2462"/>
      <c r="G302" s="2462"/>
      <c r="H302" s="2462"/>
      <c r="I302" s="2579"/>
      <c r="J302" s="2579"/>
      <c r="K302" s="2579"/>
      <c r="L302" s="2579"/>
      <c r="M302" s="2579"/>
      <c r="N302" s="2579"/>
      <c r="O302" s="2579"/>
    </row>
    <row r="303" spans="1:15" s="2463" customFormat="1">
      <c r="A303" s="2462"/>
      <c r="B303" s="2462"/>
      <c r="C303" s="2462"/>
      <c r="D303" s="2462"/>
      <c r="E303" s="2462"/>
      <c r="F303" s="2462"/>
      <c r="G303" s="2462"/>
      <c r="H303" s="2462"/>
      <c r="I303" s="2579"/>
      <c r="J303" s="2579"/>
      <c r="K303" s="2579"/>
      <c r="L303" s="2579"/>
      <c r="M303" s="2579"/>
      <c r="N303" s="2579"/>
      <c r="O303" s="2579"/>
    </row>
    <row r="304" spans="1:15" s="2463" customFormat="1">
      <c r="A304" s="2462"/>
      <c r="B304" s="2462"/>
      <c r="C304" s="2462"/>
      <c r="D304" s="2462"/>
      <c r="E304" s="2462"/>
      <c r="F304" s="2462"/>
      <c r="G304" s="2462"/>
      <c r="H304" s="2462"/>
      <c r="I304" s="2579"/>
      <c r="J304" s="2579"/>
      <c r="K304" s="2579"/>
      <c r="L304" s="2579"/>
      <c r="M304" s="2579"/>
      <c r="N304" s="2579"/>
      <c r="O304" s="2579"/>
    </row>
    <row r="305" spans="1:15" s="2463" customFormat="1">
      <c r="A305" s="2462"/>
      <c r="B305" s="2462"/>
      <c r="C305" s="2462"/>
      <c r="D305" s="2462"/>
      <c r="E305" s="2462"/>
      <c r="F305" s="2462"/>
      <c r="G305" s="2462"/>
      <c r="H305" s="2462"/>
      <c r="I305" s="2579"/>
      <c r="J305" s="2579"/>
      <c r="K305" s="2579"/>
      <c r="L305" s="2579"/>
      <c r="M305" s="2579"/>
      <c r="N305" s="2579"/>
      <c r="O305" s="2579"/>
    </row>
    <row r="306" spans="1:15" s="2463" customFormat="1">
      <c r="A306" s="2462"/>
      <c r="B306" s="2462"/>
      <c r="C306" s="2462"/>
      <c r="D306" s="2462"/>
      <c r="E306" s="2462"/>
      <c r="F306" s="2462"/>
      <c r="G306" s="2462"/>
      <c r="H306" s="2462"/>
      <c r="I306" s="2579"/>
      <c r="J306" s="2579"/>
      <c r="K306" s="2579"/>
      <c r="L306" s="2579"/>
      <c r="M306" s="2579"/>
      <c r="N306" s="2579"/>
      <c r="O306" s="2579"/>
    </row>
    <row r="307" spans="1:15" s="2463" customFormat="1">
      <c r="A307" s="2462"/>
      <c r="B307" s="2462"/>
      <c r="C307" s="2462"/>
      <c r="D307" s="2462"/>
      <c r="E307" s="2462"/>
      <c r="F307" s="2462"/>
      <c r="G307" s="2462"/>
      <c r="H307" s="2462"/>
      <c r="I307" s="2579"/>
      <c r="J307" s="2579"/>
      <c r="K307" s="2579"/>
      <c r="L307" s="2579"/>
      <c r="M307" s="2579"/>
      <c r="N307" s="2579"/>
      <c r="O307" s="2579"/>
    </row>
    <row r="308" spans="1:15" s="2463" customFormat="1">
      <c r="A308" s="2462"/>
      <c r="B308" s="2462"/>
      <c r="C308" s="2462"/>
      <c r="D308" s="2462"/>
      <c r="E308" s="2462"/>
      <c r="F308" s="2462"/>
      <c r="G308" s="2462"/>
      <c r="H308" s="2462"/>
      <c r="I308" s="2579"/>
      <c r="J308" s="2579"/>
      <c r="K308" s="2579"/>
      <c r="L308" s="2579"/>
      <c r="M308" s="2579"/>
      <c r="N308" s="2579"/>
      <c r="O308" s="2579"/>
    </row>
    <row r="309" spans="1:15" s="2463" customFormat="1">
      <c r="A309" s="2462"/>
      <c r="B309" s="2462"/>
      <c r="C309" s="2462"/>
      <c r="D309" s="2462"/>
      <c r="E309" s="2462"/>
      <c r="F309" s="2462"/>
      <c r="G309" s="2462"/>
      <c r="H309" s="2462"/>
      <c r="I309" s="2579"/>
      <c r="J309" s="2579"/>
      <c r="K309" s="2579"/>
      <c r="L309" s="2579"/>
      <c r="M309" s="2579"/>
      <c r="N309" s="2579"/>
      <c r="O309" s="2579"/>
    </row>
    <row r="310" spans="1:15" s="2463" customFormat="1">
      <c r="A310" s="2462"/>
      <c r="B310" s="2462"/>
      <c r="C310" s="2462"/>
      <c r="D310" s="2462"/>
      <c r="E310" s="2462"/>
      <c r="F310" s="2462"/>
      <c r="G310" s="2462"/>
      <c r="H310" s="2462"/>
      <c r="I310" s="2579"/>
      <c r="J310" s="2579"/>
      <c r="K310" s="2579"/>
      <c r="L310" s="2579"/>
      <c r="M310" s="2579"/>
      <c r="N310" s="2579"/>
      <c r="O310" s="2579"/>
    </row>
    <row r="311" spans="1:15" s="2463" customFormat="1">
      <c r="A311" s="2462"/>
      <c r="B311" s="2462"/>
      <c r="C311" s="2462"/>
      <c r="D311" s="2462"/>
      <c r="E311" s="2462"/>
      <c r="F311" s="2462"/>
      <c r="G311" s="2462"/>
      <c r="H311" s="2462"/>
      <c r="I311" s="2579"/>
      <c r="J311" s="2579"/>
      <c r="K311" s="2579"/>
      <c r="L311" s="2579"/>
      <c r="M311" s="2579"/>
      <c r="N311" s="2579"/>
      <c r="O311" s="2579"/>
    </row>
    <row r="312" spans="1:15" s="2463" customFormat="1">
      <c r="A312" s="2462"/>
      <c r="B312" s="2462"/>
      <c r="C312" s="2462"/>
      <c r="D312" s="2462"/>
      <c r="E312" s="2462"/>
      <c r="F312" s="2462"/>
      <c r="G312" s="2462"/>
      <c r="H312" s="2462"/>
      <c r="I312" s="2579"/>
      <c r="J312" s="2579"/>
      <c r="K312" s="2579"/>
      <c r="L312" s="2579"/>
      <c r="M312" s="2579"/>
      <c r="N312" s="2579"/>
      <c r="O312" s="2579"/>
    </row>
    <row r="313" spans="1:15" s="2463" customFormat="1">
      <c r="A313" s="2462"/>
      <c r="B313" s="2462"/>
      <c r="C313" s="2462"/>
      <c r="D313" s="2462"/>
      <c r="E313" s="2462"/>
      <c r="F313" s="2462"/>
      <c r="G313" s="2462"/>
      <c r="H313" s="2462"/>
      <c r="I313" s="2579"/>
      <c r="J313" s="2579"/>
      <c r="K313" s="2579"/>
      <c r="L313" s="2579"/>
      <c r="M313" s="2579"/>
      <c r="N313" s="2579"/>
      <c r="O313" s="2579"/>
    </row>
    <row r="314" spans="1:15" s="2463" customFormat="1">
      <c r="A314" s="2462"/>
      <c r="B314" s="2462"/>
      <c r="C314" s="2462"/>
      <c r="D314" s="2462"/>
      <c r="E314" s="2462"/>
      <c r="F314" s="2462"/>
      <c r="G314" s="2462"/>
      <c r="H314" s="2462"/>
      <c r="I314" s="2579"/>
      <c r="J314" s="2579"/>
      <c r="K314" s="2579"/>
      <c r="L314" s="2579"/>
      <c r="M314" s="2579"/>
      <c r="N314" s="2579"/>
      <c r="O314" s="2579"/>
    </row>
    <row r="315" spans="1:15" s="2463" customFormat="1">
      <c r="A315" s="2462"/>
      <c r="B315" s="2462"/>
      <c r="C315" s="2462"/>
      <c r="D315" s="2462"/>
      <c r="E315" s="2462"/>
      <c r="F315" s="2462"/>
      <c r="G315" s="2462"/>
      <c r="H315" s="2462"/>
      <c r="I315" s="2579"/>
      <c r="J315" s="2579"/>
      <c r="K315" s="2579"/>
      <c r="L315" s="2579"/>
      <c r="M315" s="2579"/>
      <c r="N315" s="2579"/>
      <c r="O315" s="2579"/>
    </row>
    <row r="316" spans="1:15" s="2463" customFormat="1">
      <c r="A316" s="2462"/>
      <c r="B316" s="2462"/>
      <c r="C316" s="2462"/>
      <c r="D316" s="2462"/>
      <c r="E316" s="2462"/>
      <c r="F316" s="2462"/>
      <c r="G316" s="2462"/>
      <c r="H316" s="2462"/>
      <c r="I316" s="2579"/>
      <c r="J316" s="2579"/>
      <c r="K316" s="2579"/>
      <c r="L316" s="2579"/>
      <c r="M316" s="2579"/>
      <c r="N316" s="2579"/>
      <c r="O316" s="2579"/>
    </row>
    <row r="317" spans="1:15" s="2463" customFormat="1">
      <c r="A317" s="2462"/>
      <c r="B317" s="2462"/>
      <c r="C317" s="2462"/>
      <c r="D317" s="2462"/>
      <c r="E317" s="2462"/>
      <c r="F317" s="2462"/>
      <c r="G317" s="2462"/>
      <c r="H317" s="2462"/>
      <c r="I317" s="2579"/>
      <c r="J317" s="2579"/>
      <c r="K317" s="2579"/>
      <c r="L317" s="2579"/>
      <c r="M317" s="2579"/>
      <c r="N317" s="2579"/>
      <c r="O317" s="2579"/>
    </row>
    <row r="318" spans="1:15" s="2463" customFormat="1">
      <c r="A318" s="2462"/>
      <c r="B318" s="2462"/>
      <c r="C318" s="2462"/>
      <c r="D318" s="2462"/>
      <c r="E318" s="2462"/>
      <c r="F318" s="2462"/>
      <c r="G318" s="2462"/>
      <c r="H318" s="2462"/>
      <c r="I318" s="2579"/>
      <c r="J318" s="2579"/>
      <c r="K318" s="2579"/>
      <c r="L318" s="2579"/>
      <c r="M318" s="2579"/>
      <c r="N318" s="2579"/>
      <c r="O318" s="2579"/>
    </row>
    <row r="319" spans="1:15" s="2463" customFormat="1">
      <c r="A319" s="2462"/>
      <c r="B319" s="2462"/>
      <c r="C319" s="2462"/>
      <c r="D319" s="2462"/>
      <c r="E319" s="2462"/>
      <c r="F319" s="2462"/>
      <c r="G319" s="2462"/>
      <c r="H319" s="2462"/>
      <c r="I319" s="2579"/>
      <c r="J319" s="2579"/>
      <c r="K319" s="2579"/>
      <c r="L319" s="2579"/>
      <c r="M319" s="2579"/>
      <c r="N319" s="2579"/>
      <c r="O319" s="2579"/>
    </row>
    <row r="320" spans="1:15" s="2463" customFormat="1">
      <c r="A320" s="2462"/>
      <c r="B320" s="2462"/>
      <c r="C320" s="2462"/>
      <c r="D320" s="2462"/>
      <c r="E320" s="2462"/>
      <c r="F320" s="2462"/>
      <c r="G320" s="2462"/>
      <c r="H320" s="2462"/>
      <c r="I320" s="2579"/>
      <c r="J320" s="2579"/>
      <c r="K320" s="2579"/>
      <c r="L320" s="2579"/>
      <c r="M320" s="2579"/>
      <c r="N320" s="2579"/>
      <c r="O320" s="2579"/>
    </row>
    <row r="321" spans="1:15" s="2463" customFormat="1">
      <c r="A321" s="2462"/>
      <c r="B321" s="2462"/>
      <c r="C321" s="2462"/>
      <c r="D321" s="2462"/>
      <c r="E321" s="2462"/>
      <c r="F321" s="2462"/>
      <c r="G321" s="2462"/>
      <c r="H321" s="2462"/>
      <c r="I321" s="2579"/>
      <c r="J321" s="2579"/>
      <c r="K321" s="2579"/>
      <c r="L321" s="2579"/>
      <c r="M321" s="2579"/>
      <c r="N321" s="2579"/>
      <c r="O321" s="2579"/>
    </row>
    <row r="322" spans="1:15" s="2463" customFormat="1">
      <c r="A322" s="2462"/>
      <c r="B322" s="2462"/>
      <c r="C322" s="2462"/>
      <c r="D322" s="2462"/>
      <c r="E322" s="2462"/>
      <c r="F322" s="2462"/>
      <c r="G322" s="2462"/>
      <c r="H322" s="2462"/>
      <c r="I322" s="2579"/>
      <c r="J322" s="2579"/>
      <c r="K322" s="2579"/>
      <c r="L322" s="2579"/>
      <c r="M322" s="2579"/>
      <c r="N322" s="2579"/>
      <c r="O322" s="2579"/>
    </row>
    <row r="323" spans="1:15" s="2463" customFormat="1">
      <c r="A323" s="2462"/>
      <c r="B323" s="2462"/>
      <c r="C323" s="2462"/>
      <c r="D323" s="2462"/>
      <c r="E323" s="2462"/>
      <c r="F323" s="2462"/>
      <c r="G323" s="2462"/>
      <c r="H323" s="2462"/>
      <c r="I323" s="2579"/>
      <c r="J323" s="2579"/>
      <c r="K323" s="2579"/>
      <c r="L323" s="2579"/>
      <c r="M323" s="2579"/>
      <c r="N323" s="2579"/>
      <c r="O323" s="2579"/>
    </row>
    <row r="324" spans="1:15" s="2463" customFormat="1">
      <c r="A324" s="2462"/>
      <c r="B324" s="2462"/>
      <c r="C324" s="2462"/>
      <c r="D324" s="2462"/>
      <c r="E324" s="2462"/>
      <c r="F324" s="2462"/>
      <c r="G324" s="2462"/>
      <c r="H324" s="2462"/>
      <c r="I324" s="2579"/>
      <c r="J324" s="2579"/>
      <c r="K324" s="2579"/>
      <c r="L324" s="2579"/>
      <c r="M324" s="2579"/>
      <c r="N324" s="2579"/>
      <c r="O324" s="2579"/>
    </row>
    <row r="325" spans="1:15" s="2463" customFormat="1">
      <c r="A325" s="2462"/>
      <c r="B325" s="2462"/>
      <c r="C325" s="2462"/>
      <c r="D325" s="2462"/>
      <c r="E325" s="2462"/>
      <c r="F325" s="2462"/>
      <c r="G325" s="2462"/>
      <c r="H325" s="2462"/>
      <c r="I325" s="2579"/>
      <c r="J325" s="2579"/>
      <c r="K325" s="2579"/>
      <c r="L325" s="2579"/>
      <c r="M325" s="2579"/>
      <c r="N325" s="2579"/>
      <c r="O325" s="2579"/>
    </row>
    <row r="326" spans="1:15" s="2463" customFormat="1">
      <c r="A326" s="2462"/>
      <c r="B326" s="2462"/>
      <c r="C326" s="2462"/>
      <c r="D326" s="2462"/>
      <c r="E326" s="2462"/>
      <c r="F326" s="2462"/>
      <c r="G326" s="2462"/>
      <c r="H326" s="2462"/>
      <c r="I326" s="2579"/>
      <c r="J326" s="2579"/>
      <c r="K326" s="2579"/>
      <c r="L326" s="2579"/>
      <c r="M326" s="2579"/>
      <c r="N326" s="2579"/>
      <c r="O326" s="2579"/>
    </row>
    <row r="327" spans="1:15" s="2463" customFormat="1">
      <c r="A327" s="2462"/>
      <c r="B327" s="2462"/>
      <c r="C327" s="2462"/>
      <c r="D327" s="2462"/>
      <c r="E327" s="2462"/>
      <c r="F327" s="2462"/>
      <c r="G327" s="2462"/>
      <c r="H327" s="2462"/>
      <c r="I327" s="2579"/>
      <c r="J327" s="2579"/>
      <c r="K327" s="2579"/>
      <c r="L327" s="2579"/>
      <c r="M327" s="2579"/>
      <c r="N327" s="2579"/>
      <c r="O327" s="2579"/>
    </row>
    <row r="328" spans="1:15" s="2463" customFormat="1">
      <c r="A328" s="2462"/>
      <c r="B328" s="2462"/>
      <c r="C328" s="2462"/>
      <c r="D328" s="2462"/>
      <c r="E328" s="2462"/>
      <c r="F328" s="2462"/>
      <c r="G328" s="2462"/>
      <c r="H328" s="2462"/>
      <c r="I328" s="2579"/>
      <c r="J328" s="2579"/>
      <c r="K328" s="2579"/>
      <c r="L328" s="2579"/>
      <c r="M328" s="2579"/>
      <c r="N328" s="2579"/>
      <c r="O328" s="2579"/>
    </row>
    <row r="329" spans="1:15" s="2463" customFormat="1">
      <c r="A329" s="2462"/>
      <c r="B329" s="2462"/>
      <c r="C329" s="2462"/>
      <c r="D329" s="2462"/>
      <c r="E329" s="2462"/>
      <c r="F329" s="2462"/>
      <c r="G329" s="2462"/>
      <c r="H329" s="2462"/>
      <c r="I329" s="2579"/>
      <c r="J329" s="2579"/>
      <c r="K329" s="2579"/>
      <c r="L329" s="2579"/>
      <c r="M329" s="2579"/>
      <c r="N329" s="2579"/>
      <c r="O329" s="2579"/>
    </row>
    <row r="330" spans="1:15" s="2463" customFormat="1">
      <c r="A330" s="2462"/>
      <c r="B330" s="2462"/>
      <c r="C330" s="2462"/>
      <c r="D330" s="2462"/>
      <c r="E330" s="2462"/>
      <c r="F330" s="2462"/>
      <c r="G330" s="2462"/>
      <c r="H330" s="2462"/>
      <c r="I330" s="2579"/>
      <c r="J330" s="2579"/>
      <c r="K330" s="2579"/>
      <c r="L330" s="2579"/>
      <c r="M330" s="2579"/>
      <c r="N330" s="2579"/>
      <c r="O330" s="2579"/>
    </row>
    <row r="331" spans="1:15" s="2463" customFormat="1">
      <c r="A331" s="2462"/>
      <c r="B331" s="2462"/>
      <c r="C331" s="2462"/>
      <c r="D331" s="2462"/>
      <c r="E331" s="2462"/>
      <c r="F331" s="2462"/>
      <c r="G331" s="2462"/>
      <c r="H331" s="2462"/>
      <c r="I331" s="2579"/>
      <c r="J331" s="2579"/>
      <c r="K331" s="2579"/>
      <c r="L331" s="2579"/>
      <c r="M331" s="2579"/>
      <c r="N331" s="2579"/>
      <c r="O331" s="2579"/>
    </row>
    <row r="336" spans="1:15" s="2463" customFormat="1">
      <c r="A336" s="2462"/>
      <c r="B336" s="2462"/>
      <c r="C336" s="2462"/>
      <c r="D336" s="2462"/>
      <c r="E336" s="2462"/>
      <c r="F336" s="2462"/>
      <c r="G336" s="2462"/>
      <c r="H336" s="2462"/>
      <c r="I336" s="2579"/>
      <c r="J336" s="2579"/>
      <c r="K336" s="2579"/>
      <c r="L336" s="2579"/>
      <c r="M336" s="2579"/>
      <c r="N336" s="2579"/>
      <c r="O336" s="2579"/>
    </row>
    <row r="337" spans="1:15" s="2463" customFormat="1">
      <c r="A337" s="2462"/>
      <c r="B337" s="2462"/>
      <c r="C337" s="2462"/>
      <c r="D337" s="2462"/>
      <c r="E337" s="2462"/>
      <c r="F337" s="2462"/>
      <c r="G337" s="2462"/>
      <c r="H337" s="2462"/>
      <c r="I337" s="2579"/>
      <c r="J337" s="2579"/>
      <c r="K337" s="2579"/>
      <c r="L337" s="2579"/>
      <c r="M337" s="2579"/>
      <c r="N337" s="2579"/>
      <c r="O337" s="2579"/>
    </row>
    <row r="338" spans="1:15" s="2463" customFormat="1">
      <c r="A338" s="2462"/>
      <c r="B338" s="2462"/>
      <c r="C338" s="2462"/>
      <c r="D338" s="2462"/>
      <c r="E338" s="2462"/>
      <c r="F338" s="2462"/>
      <c r="G338" s="2462"/>
      <c r="H338" s="2462"/>
      <c r="I338" s="2579"/>
      <c r="J338" s="2579"/>
      <c r="K338" s="2579"/>
      <c r="L338" s="2579"/>
      <c r="M338" s="2579"/>
      <c r="N338" s="2579"/>
      <c r="O338" s="2579"/>
    </row>
    <row r="339" spans="1:15" s="2463" customFormat="1">
      <c r="A339" s="2462"/>
      <c r="B339" s="2462"/>
      <c r="C339" s="2462"/>
      <c r="D339" s="2462"/>
      <c r="E339" s="2462"/>
      <c r="F339" s="2462"/>
      <c r="G339" s="2462"/>
      <c r="H339" s="2462"/>
      <c r="I339" s="2579"/>
      <c r="J339" s="2579"/>
      <c r="K339" s="2579"/>
      <c r="L339" s="2579"/>
      <c r="M339" s="2579"/>
      <c r="N339" s="2579"/>
      <c r="O339" s="2579"/>
    </row>
    <row r="340" spans="1:15" s="2463" customFormat="1">
      <c r="A340" s="2462"/>
      <c r="B340" s="2462"/>
      <c r="C340" s="2462"/>
      <c r="D340" s="2462"/>
      <c r="E340" s="2462"/>
      <c r="F340" s="2462"/>
      <c r="G340" s="2462"/>
      <c r="H340" s="2462"/>
      <c r="I340" s="2579"/>
      <c r="J340" s="2579"/>
      <c r="K340" s="2579"/>
      <c r="L340" s="2579"/>
      <c r="M340" s="2579"/>
      <c r="N340" s="2579"/>
      <c r="O340" s="2579"/>
    </row>
    <row r="341" spans="1:15" s="2463" customFormat="1">
      <c r="A341" s="2462"/>
      <c r="B341" s="2462"/>
      <c r="C341" s="2462"/>
      <c r="D341" s="2462"/>
      <c r="E341" s="2462"/>
      <c r="F341" s="2462"/>
      <c r="G341" s="2462"/>
      <c r="H341" s="2462"/>
      <c r="I341" s="2579"/>
      <c r="J341" s="2579"/>
      <c r="K341" s="2579"/>
      <c r="L341" s="2579"/>
      <c r="M341" s="2579"/>
      <c r="N341" s="2579"/>
      <c r="O341" s="2579"/>
    </row>
    <row r="342" spans="1:15" s="2463" customFormat="1">
      <c r="A342" s="2462"/>
      <c r="B342" s="2462"/>
      <c r="C342" s="2462"/>
      <c r="D342" s="2462"/>
      <c r="E342" s="2462"/>
      <c r="F342" s="2462"/>
      <c r="G342" s="2462"/>
      <c r="H342" s="2462"/>
      <c r="I342" s="2579"/>
      <c r="J342" s="2579"/>
      <c r="K342" s="2579"/>
      <c r="L342" s="2579"/>
      <c r="M342" s="2579"/>
      <c r="N342" s="2579"/>
      <c r="O342" s="2579"/>
    </row>
    <row r="343" spans="1:15" s="2463" customFormat="1">
      <c r="A343" s="2462"/>
      <c r="B343" s="2462"/>
      <c r="C343" s="2462"/>
      <c r="D343" s="2462"/>
      <c r="E343" s="2462"/>
      <c r="F343" s="2462"/>
      <c r="G343" s="2462"/>
      <c r="H343" s="2462"/>
      <c r="I343" s="2579"/>
      <c r="J343" s="2579"/>
      <c r="K343" s="2579"/>
      <c r="L343" s="2579"/>
      <c r="M343" s="2579"/>
      <c r="N343" s="2579"/>
      <c r="O343" s="2579"/>
    </row>
    <row r="344" spans="1:15" s="2463" customFormat="1">
      <c r="A344" s="2462"/>
      <c r="B344" s="2462"/>
      <c r="C344" s="2462"/>
      <c r="D344" s="2462"/>
      <c r="E344" s="2462"/>
      <c r="F344" s="2462"/>
      <c r="G344" s="2462"/>
      <c r="H344" s="2462"/>
      <c r="I344" s="2579"/>
      <c r="J344" s="2579"/>
      <c r="K344" s="2579"/>
      <c r="L344" s="2579"/>
      <c r="M344" s="2579"/>
      <c r="N344" s="2579"/>
      <c r="O344" s="2579"/>
    </row>
    <row r="345" spans="1:15" s="2463" customFormat="1">
      <c r="A345" s="2462"/>
      <c r="B345" s="2462"/>
      <c r="C345" s="2462"/>
      <c r="D345" s="2462"/>
      <c r="E345" s="2462"/>
      <c r="F345" s="2462"/>
      <c r="G345" s="2462"/>
      <c r="H345" s="2462"/>
      <c r="I345" s="2579"/>
      <c r="J345" s="2579"/>
      <c r="K345" s="2579"/>
      <c r="L345" s="2579"/>
      <c r="M345" s="2579"/>
      <c r="N345" s="2579"/>
      <c r="O345" s="2579"/>
    </row>
    <row r="346" spans="1:15" s="2463" customFormat="1">
      <c r="A346" s="2462"/>
      <c r="B346" s="2462"/>
      <c r="C346" s="2462"/>
      <c r="D346" s="2462"/>
      <c r="E346" s="2462"/>
      <c r="F346" s="2462"/>
      <c r="G346" s="2462"/>
      <c r="H346" s="2462"/>
      <c r="I346" s="2579"/>
      <c r="J346" s="2579"/>
      <c r="K346" s="2579"/>
      <c r="L346" s="2579"/>
      <c r="M346" s="2579"/>
      <c r="N346" s="2579"/>
      <c r="O346" s="2579"/>
    </row>
    <row r="347" spans="1:15" s="2463" customFormat="1">
      <c r="A347" s="2462"/>
      <c r="B347" s="2462"/>
      <c r="C347" s="2462"/>
      <c r="D347" s="2462"/>
      <c r="E347" s="2462"/>
      <c r="F347" s="2462"/>
      <c r="G347" s="2462"/>
      <c r="H347" s="2462"/>
      <c r="I347" s="2579"/>
      <c r="J347" s="2579"/>
      <c r="K347" s="2579"/>
      <c r="L347" s="2579"/>
      <c r="M347" s="2579"/>
      <c r="N347" s="2579"/>
      <c r="O347" s="2579"/>
    </row>
    <row r="348" spans="1:15" s="2463" customFormat="1">
      <c r="A348" s="2462"/>
      <c r="B348" s="2462"/>
      <c r="C348" s="2462"/>
      <c r="D348" s="2462"/>
      <c r="E348" s="2462"/>
      <c r="F348" s="2462"/>
      <c r="G348" s="2462"/>
      <c r="H348" s="2462"/>
      <c r="I348" s="2579"/>
      <c r="J348" s="2579"/>
      <c r="K348" s="2579"/>
      <c r="L348" s="2579"/>
      <c r="M348" s="2579"/>
      <c r="N348" s="2579"/>
      <c r="O348" s="2579"/>
    </row>
    <row r="349" spans="1:15" s="2463" customFormat="1">
      <c r="A349" s="2462"/>
      <c r="B349" s="2462"/>
      <c r="C349" s="2462"/>
      <c r="D349" s="2462"/>
      <c r="E349" s="2462"/>
      <c r="F349" s="2462"/>
      <c r="G349" s="2462"/>
      <c r="H349" s="2462"/>
      <c r="I349" s="2579"/>
      <c r="J349" s="2579"/>
      <c r="K349" s="2579"/>
      <c r="L349" s="2579"/>
      <c r="M349" s="2579"/>
      <c r="N349" s="2579"/>
      <c r="O349" s="2579"/>
    </row>
    <row r="350" spans="1:15" s="2463" customFormat="1">
      <c r="A350" s="2462"/>
      <c r="B350" s="2462"/>
      <c r="C350" s="2462"/>
      <c r="D350" s="2462"/>
      <c r="E350" s="2462"/>
      <c r="F350" s="2462"/>
      <c r="G350" s="2462"/>
      <c r="H350" s="2462"/>
      <c r="I350" s="2579"/>
      <c r="J350" s="2579"/>
      <c r="K350" s="2579"/>
      <c r="L350" s="2579"/>
      <c r="M350" s="2579"/>
      <c r="N350" s="2579"/>
      <c r="O350" s="2579"/>
    </row>
    <row r="351" spans="1:15" s="2463" customFormat="1">
      <c r="A351" s="2462"/>
      <c r="B351" s="2462"/>
      <c r="C351" s="2462"/>
      <c r="D351" s="2462"/>
      <c r="E351" s="2462"/>
      <c r="F351" s="2462"/>
      <c r="G351" s="2462"/>
      <c r="H351" s="2462"/>
      <c r="I351" s="2579"/>
      <c r="J351" s="2579"/>
      <c r="K351" s="2579"/>
      <c r="L351" s="2579"/>
      <c r="M351" s="2579"/>
      <c r="N351" s="2579"/>
      <c r="O351" s="2579"/>
    </row>
    <row r="352" spans="1:15" s="2463" customFormat="1">
      <c r="A352" s="2462"/>
      <c r="B352" s="2462"/>
      <c r="C352" s="2462"/>
      <c r="D352" s="2462"/>
      <c r="E352" s="2462"/>
      <c r="F352" s="2462"/>
      <c r="G352" s="2462"/>
      <c r="H352" s="2462"/>
      <c r="I352" s="2579"/>
      <c r="J352" s="2579"/>
      <c r="K352" s="2579"/>
      <c r="L352" s="2579"/>
      <c r="M352" s="2579"/>
      <c r="N352" s="2579"/>
      <c r="O352" s="2579"/>
    </row>
    <row r="353" spans="1:15" s="2463" customFormat="1">
      <c r="A353" s="2462"/>
      <c r="B353" s="2462"/>
      <c r="C353" s="2462"/>
      <c r="D353" s="2462"/>
      <c r="E353" s="2462"/>
      <c r="F353" s="2462"/>
      <c r="G353" s="2462"/>
      <c r="H353" s="2462"/>
      <c r="I353" s="2579"/>
      <c r="J353" s="2579"/>
      <c r="K353" s="2579"/>
      <c r="L353" s="2579"/>
      <c r="M353" s="2579"/>
      <c r="N353" s="2579"/>
      <c r="O353" s="2579"/>
    </row>
    <row r="354" spans="1:15" s="2463" customFormat="1">
      <c r="A354" s="2462"/>
      <c r="B354" s="2462"/>
      <c r="C354" s="2462"/>
      <c r="D354" s="2462"/>
      <c r="E354" s="2462"/>
      <c r="F354" s="2462"/>
      <c r="G354" s="2462"/>
      <c r="H354" s="2462"/>
      <c r="I354" s="2579"/>
      <c r="J354" s="2579"/>
      <c r="K354" s="2579"/>
      <c r="L354" s="2579"/>
      <c r="M354" s="2579"/>
      <c r="N354" s="2579"/>
      <c r="O354" s="2579"/>
    </row>
    <row r="355" spans="1:15" s="2463" customFormat="1">
      <c r="A355" s="2462"/>
      <c r="B355" s="2462"/>
      <c r="C355" s="2462"/>
      <c r="D355" s="2462"/>
      <c r="E355" s="2462"/>
      <c r="F355" s="2462"/>
      <c r="G355" s="2462"/>
      <c r="H355" s="2462"/>
      <c r="I355" s="2579"/>
      <c r="J355" s="2579"/>
      <c r="K355" s="2579"/>
      <c r="L355" s="2579"/>
      <c r="M355" s="2579"/>
      <c r="N355" s="2579"/>
      <c r="O355" s="2579"/>
    </row>
    <row r="356" spans="1:15" s="2463" customFormat="1">
      <c r="A356" s="2462"/>
      <c r="B356" s="2462"/>
      <c r="C356" s="2462"/>
      <c r="D356" s="2462"/>
      <c r="E356" s="2462"/>
      <c r="F356" s="2462"/>
      <c r="G356" s="2462"/>
      <c r="H356" s="2462"/>
      <c r="I356" s="2579"/>
      <c r="J356" s="2579"/>
      <c r="K356" s="2579"/>
      <c r="L356" s="2579"/>
      <c r="M356" s="2579"/>
      <c r="N356" s="2579"/>
      <c r="O356" s="2579"/>
    </row>
    <row r="357" spans="1:15" s="2463" customFormat="1">
      <c r="A357" s="2462"/>
      <c r="B357" s="2462"/>
      <c r="C357" s="2462"/>
      <c r="D357" s="2462"/>
      <c r="E357" s="2462"/>
      <c r="F357" s="2462"/>
      <c r="G357" s="2462"/>
      <c r="H357" s="2462"/>
      <c r="I357" s="2579"/>
      <c r="J357" s="2579"/>
      <c r="K357" s="2579"/>
      <c r="L357" s="2579"/>
      <c r="M357" s="2579"/>
      <c r="N357" s="2579"/>
      <c r="O357" s="2579"/>
    </row>
    <row r="358" spans="1:15" s="2463" customFormat="1">
      <c r="A358" s="2462"/>
      <c r="B358" s="2462"/>
      <c r="C358" s="2462"/>
      <c r="D358" s="2462"/>
      <c r="E358" s="2462"/>
      <c r="F358" s="2462"/>
      <c r="G358" s="2462"/>
      <c r="H358" s="2462"/>
      <c r="I358" s="2579"/>
      <c r="J358" s="2579"/>
      <c r="K358" s="2579"/>
      <c r="L358" s="2579"/>
      <c r="M358" s="2579"/>
      <c r="N358" s="2579"/>
      <c r="O358" s="2579"/>
    </row>
    <row r="359" spans="1:15" s="2463" customFormat="1">
      <c r="A359" s="2462"/>
      <c r="B359" s="2462"/>
      <c r="C359" s="2462"/>
      <c r="D359" s="2462"/>
      <c r="E359" s="2462"/>
      <c r="F359" s="2462"/>
      <c r="G359" s="2462"/>
      <c r="H359" s="2462"/>
      <c r="I359" s="2579"/>
      <c r="J359" s="2579"/>
      <c r="K359" s="2579"/>
      <c r="L359" s="2579"/>
      <c r="M359" s="2579"/>
      <c r="N359" s="2579"/>
      <c r="O359" s="2579"/>
    </row>
    <row r="360" spans="1:15" s="2463" customFormat="1">
      <c r="A360" s="2462"/>
      <c r="B360" s="2462"/>
      <c r="C360" s="2462"/>
      <c r="D360" s="2462"/>
      <c r="E360" s="2462"/>
      <c r="F360" s="2462"/>
      <c r="G360" s="2462"/>
      <c r="H360" s="2462"/>
      <c r="I360" s="2579"/>
      <c r="J360" s="2579"/>
      <c r="K360" s="2579"/>
      <c r="L360" s="2579"/>
      <c r="M360" s="2579"/>
      <c r="N360" s="2579"/>
      <c r="O360" s="2579"/>
    </row>
    <row r="361" spans="1:15" s="2463" customFormat="1">
      <c r="A361" s="2462"/>
      <c r="B361" s="2462"/>
      <c r="C361" s="2462"/>
      <c r="D361" s="2462"/>
      <c r="E361" s="2462"/>
      <c r="F361" s="2462"/>
      <c r="G361" s="2462"/>
      <c r="H361" s="2462"/>
      <c r="I361" s="2579"/>
      <c r="J361" s="2579"/>
      <c r="K361" s="2579"/>
      <c r="L361" s="2579"/>
      <c r="M361" s="2579"/>
      <c r="N361" s="2579"/>
      <c r="O361" s="2579"/>
    </row>
    <row r="362" spans="1:15" s="2463" customFormat="1">
      <c r="A362" s="2462"/>
      <c r="B362" s="2462"/>
      <c r="C362" s="2462"/>
      <c r="D362" s="2462"/>
      <c r="E362" s="2462"/>
      <c r="F362" s="2462"/>
      <c r="G362" s="2462"/>
      <c r="H362" s="2462"/>
      <c r="I362" s="2579"/>
      <c r="J362" s="2579"/>
      <c r="K362" s="2579"/>
      <c r="L362" s="2579"/>
      <c r="M362" s="2579"/>
      <c r="N362" s="2579"/>
      <c r="O362" s="2579"/>
    </row>
    <row r="363" spans="1:15" s="2463" customFormat="1">
      <c r="A363" s="2462"/>
      <c r="B363" s="2462"/>
      <c r="C363" s="2462"/>
      <c r="D363" s="2462"/>
      <c r="E363" s="2462"/>
      <c r="F363" s="2462"/>
      <c r="G363" s="2462"/>
      <c r="H363" s="2462"/>
      <c r="I363" s="2579"/>
      <c r="J363" s="2579"/>
      <c r="K363" s="2579"/>
      <c r="L363" s="2579"/>
      <c r="M363" s="2579"/>
      <c r="N363" s="2579"/>
      <c r="O363" s="2579"/>
    </row>
    <row r="364" spans="1:15" s="2463" customFormat="1">
      <c r="A364" s="2462"/>
      <c r="B364" s="2462"/>
      <c r="C364" s="2462"/>
      <c r="D364" s="2462"/>
      <c r="E364" s="2462"/>
      <c r="F364" s="2462"/>
      <c r="G364" s="2462"/>
      <c r="H364" s="2462"/>
      <c r="I364" s="2579"/>
      <c r="J364" s="2579"/>
      <c r="K364" s="2579"/>
      <c r="L364" s="2579"/>
      <c r="M364" s="2579"/>
      <c r="N364" s="2579"/>
      <c r="O364" s="2579"/>
    </row>
    <row r="365" spans="1:15" s="2463" customFormat="1">
      <c r="A365" s="2462"/>
      <c r="B365" s="2462"/>
      <c r="C365" s="2462"/>
      <c r="D365" s="2462"/>
      <c r="E365" s="2462"/>
      <c r="F365" s="2462"/>
      <c r="G365" s="2462"/>
      <c r="H365" s="2462"/>
      <c r="I365" s="2579"/>
      <c r="J365" s="2579"/>
      <c r="K365" s="2579"/>
      <c r="L365" s="2579"/>
      <c r="M365" s="2579"/>
      <c r="N365" s="2579"/>
      <c r="O365" s="2579"/>
    </row>
    <row r="366" spans="1:15" s="2463" customFormat="1">
      <c r="A366" s="2462"/>
      <c r="B366" s="2462"/>
      <c r="C366" s="2462"/>
      <c r="D366" s="2462"/>
      <c r="E366" s="2462"/>
      <c r="F366" s="2462"/>
      <c r="G366" s="2462"/>
      <c r="H366" s="2462"/>
      <c r="I366" s="2579"/>
      <c r="J366" s="2579"/>
      <c r="K366" s="2579"/>
      <c r="L366" s="2579"/>
      <c r="M366" s="2579"/>
      <c r="N366" s="2579"/>
      <c r="O366" s="2579"/>
    </row>
    <row r="367" spans="1:15" s="2463" customFormat="1">
      <c r="A367" s="2462"/>
      <c r="B367" s="2462"/>
      <c r="C367" s="2462"/>
      <c r="D367" s="2462"/>
      <c r="E367" s="2462"/>
      <c r="F367" s="2462"/>
      <c r="G367" s="2462"/>
      <c r="H367" s="2462"/>
      <c r="I367" s="2579"/>
      <c r="J367" s="2579"/>
      <c r="K367" s="2579"/>
      <c r="L367" s="2579"/>
      <c r="M367" s="2579"/>
      <c r="N367" s="2579"/>
      <c r="O367" s="2579"/>
    </row>
    <row r="368" spans="1:15" s="2463" customFormat="1">
      <c r="A368" s="2462"/>
      <c r="B368" s="2462"/>
      <c r="C368" s="2462"/>
      <c r="D368" s="2462"/>
      <c r="E368" s="2462"/>
      <c r="F368" s="2462"/>
      <c r="G368" s="2462"/>
      <c r="H368" s="2462"/>
      <c r="I368" s="2579"/>
      <c r="J368" s="2579"/>
      <c r="K368" s="2579"/>
      <c r="L368" s="2579"/>
      <c r="M368" s="2579"/>
      <c r="N368" s="2579"/>
      <c r="O368" s="2579"/>
    </row>
    <row r="369" spans="1:15" s="2463" customFormat="1">
      <c r="A369" s="2462"/>
      <c r="B369" s="2462"/>
      <c r="C369" s="2462"/>
      <c r="D369" s="2462"/>
      <c r="E369" s="2462"/>
      <c r="F369" s="2462"/>
      <c r="G369" s="2462"/>
      <c r="H369" s="2462"/>
      <c r="I369" s="2579"/>
      <c r="J369" s="2579"/>
      <c r="K369" s="2579"/>
      <c r="L369" s="2579"/>
      <c r="M369" s="2579"/>
      <c r="N369" s="2579"/>
      <c r="O369" s="2579"/>
    </row>
    <row r="370" spans="1:15" s="2463" customFormat="1">
      <c r="A370" s="2462"/>
      <c r="B370" s="2462"/>
      <c r="C370" s="2462"/>
      <c r="D370" s="2462"/>
      <c r="E370" s="2462"/>
      <c r="F370" s="2462"/>
      <c r="G370" s="2462"/>
      <c r="H370" s="2462"/>
      <c r="I370" s="2579"/>
      <c r="J370" s="2579"/>
      <c r="K370" s="2579"/>
      <c r="L370" s="2579"/>
      <c r="M370" s="2579"/>
      <c r="N370" s="2579"/>
      <c r="O370" s="2579"/>
    </row>
    <row r="371" spans="1:15" s="2463" customFormat="1">
      <c r="A371" s="2462"/>
      <c r="B371" s="2462"/>
      <c r="C371" s="2462"/>
      <c r="D371" s="2462"/>
      <c r="E371" s="2462"/>
      <c r="F371" s="2462"/>
      <c r="G371" s="2462"/>
      <c r="H371" s="2462"/>
      <c r="I371" s="2579"/>
      <c r="J371" s="2579"/>
      <c r="K371" s="2579"/>
      <c r="L371" s="2579"/>
      <c r="M371" s="2579"/>
      <c r="N371" s="2579"/>
      <c r="O371" s="2579"/>
    </row>
    <row r="372" spans="1:15" s="2463" customFormat="1">
      <c r="A372" s="2462"/>
      <c r="B372" s="2462"/>
      <c r="C372" s="2462"/>
      <c r="D372" s="2462"/>
      <c r="E372" s="2462"/>
      <c r="F372" s="2462"/>
      <c r="G372" s="2462"/>
      <c r="H372" s="2462"/>
      <c r="I372" s="2579"/>
      <c r="J372" s="2579"/>
      <c r="K372" s="2579"/>
      <c r="L372" s="2579"/>
      <c r="M372" s="2579"/>
      <c r="N372" s="2579"/>
      <c r="O372" s="2579"/>
    </row>
    <row r="377" spans="1:15" s="2463" customFormat="1">
      <c r="A377" s="2462"/>
      <c r="B377" s="2462"/>
      <c r="C377" s="2462"/>
      <c r="D377" s="2462"/>
      <c r="E377" s="2462"/>
      <c r="F377" s="2462"/>
      <c r="G377" s="2462"/>
      <c r="H377" s="2462"/>
      <c r="I377" s="2579"/>
      <c r="J377" s="2579"/>
      <c r="K377" s="2579"/>
      <c r="L377" s="2579"/>
      <c r="M377" s="2579"/>
      <c r="N377" s="2579"/>
      <c r="O377" s="2579"/>
    </row>
    <row r="378" spans="1:15" s="2463" customFormat="1">
      <c r="A378" s="2462"/>
      <c r="B378" s="2462"/>
      <c r="C378" s="2462"/>
      <c r="D378" s="2462"/>
      <c r="E378" s="2462"/>
      <c r="F378" s="2462"/>
      <c r="G378" s="2462"/>
      <c r="H378" s="2462"/>
      <c r="I378" s="2579"/>
      <c r="J378" s="2579"/>
      <c r="K378" s="2579"/>
      <c r="L378" s="2579"/>
      <c r="M378" s="2579"/>
      <c r="N378" s="2579"/>
      <c r="O378" s="2579"/>
    </row>
    <row r="379" spans="1:15" s="2463" customFormat="1">
      <c r="A379" s="2462"/>
      <c r="B379" s="2462"/>
      <c r="C379" s="2462"/>
      <c r="D379" s="2462"/>
      <c r="E379" s="2462"/>
      <c r="F379" s="2462"/>
      <c r="G379" s="2462"/>
      <c r="H379" s="2462"/>
      <c r="I379" s="2579"/>
      <c r="J379" s="2579"/>
      <c r="K379" s="2579"/>
      <c r="L379" s="2579"/>
      <c r="M379" s="2579"/>
      <c r="N379" s="2579"/>
      <c r="O379" s="2579"/>
    </row>
    <row r="380" spans="1:15" s="2463" customFormat="1">
      <c r="A380" s="2462"/>
      <c r="B380" s="2462"/>
      <c r="C380" s="2462"/>
      <c r="D380" s="2462"/>
      <c r="E380" s="2462"/>
      <c r="F380" s="2462"/>
      <c r="G380" s="2462"/>
      <c r="H380" s="2462"/>
      <c r="I380" s="2579"/>
      <c r="J380" s="2579"/>
      <c r="K380" s="2579"/>
      <c r="L380" s="2579"/>
      <c r="M380" s="2579"/>
      <c r="N380" s="2579"/>
      <c r="O380" s="2579"/>
    </row>
    <row r="381" spans="1:15" s="2463" customFormat="1">
      <c r="A381" s="2462"/>
      <c r="B381" s="2462"/>
      <c r="C381" s="2462"/>
      <c r="D381" s="2462"/>
      <c r="E381" s="2462"/>
      <c r="F381" s="2462"/>
      <c r="G381" s="2462"/>
      <c r="H381" s="2462"/>
      <c r="I381" s="2579"/>
      <c r="J381" s="2579"/>
      <c r="K381" s="2579"/>
      <c r="L381" s="2579"/>
      <c r="M381" s="2579"/>
      <c r="N381" s="2579"/>
      <c r="O381" s="2579"/>
    </row>
    <row r="382" spans="1:15" s="2463" customFormat="1">
      <c r="A382" s="2462"/>
      <c r="B382" s="2462"/>
      <c r="C382" s="2462"/>
      <c r="D382" s="2462"/>
      <c r="E382" s="2462"/>
      <c r="F382" s="2462"/>
      <c r="G382" s="2462"/>
      <c r="H382" s="2462"/>
      <c r="I382" s="2579"/>
      <c r="J382" s="2579"/>
      <c r="K382" s="2579"/>
      <c r="L382" s="2579"/>
      <c r="M382" s="2579"/>
      <c r="N382" s="2579"/>
      <c r="O382" s="2579"/>
    </row>
    <row r="383" spans="1:15" s="2463" customFormat="1">
      <c r="A383" s="2462"/>
      <c r="B383" s="2462"/>
      <c r="C383" s="2462"/>
      <c r="D383" s="2462"/>
      <c r="E383" s="2462"/>
      <c r="F383" s="2462"/>
      <c r="G383" s="2462"/>
      <c r="H383" s="2462"/>
      <c r="I383" s="2579"/>
      <c r="J383" s="2579"/>
      <c r="K383" s="2579"/>
      <c r="L383" s="2579"/>
      <c r="M383" s="2579"/>
      <c r="N383" s="2579"/>
      <c r="O383" s="2579"/>
    </row>
    <row r="384" spans="1:15" s="2463" customFormat="1">
      <c r="A384" s="2462"/>
      <c r="B384" s="2462"/>
      <c r="C384" s="2462"/>
      <c r="D384" s="2462"/>
      <c r="E384" s="2462"/>
      <c r="F384" s="2462"/>
      <c r="G384" s="2462"/>
      <c r="H384" s="2462"/>
      <c r="I384" s="2579"/>
      <c r="J384" s="2579"/>
      <c r="K384" s="2579"/>
      <c r="L384" s="2579"/>
      <c r="M384" s="2579"/>
      <c r="N384" s="2579"/>
      <c r="O384" s="2579"/>
    </row>
    <row r="385" spans="1:15" s="2463" customFormat="1">
      <c r="A385" s="2462"/>
      <c r="B385" s="2462"/>
      <c r="C385" s="2462"/>
      <c r="D385" s="2462"/>
      <c r="E385" s="2462"/>
      <c r="F385" s="2462"/>
      <c r="G385" s="2462"/>
      <c r="H385" s="2462"/>
      <c r="I385" s="2579"/>
      <c r="J385" s="2579"/>
      <c r="K385" s="2579"/>
      <c r="L385" s="2579"/>
      <c r="M385" s="2579"/>
      <c r="N385" s="2579"/>
      <c r="O385" s="2579"/>
    </row>
    <row r="386" spans="1:15" s="2463" customFormat="1">
      <c r="A386" s="2462"/>
      <c r="B386" s="2462"/>
      <c r="C386" s="2462"/>
      <c r="D386" s="2462"/>
      <c r="E386" s="2462"/>
      <c r="F386" s="2462"/>
      <c r="G386" s="2462"/>
      <c r="H386" s="2462"/>
      <c r="I386" s="2579"/>
      <c r="J386" s="2579"/>
      <c r="K386" s="2579"/>
      <c r="L386" s="2579"/>
      <c r="M386" s="2579"/>
      <c r="N386" s="2579"/>
      <c r="O386" s="2579"/>
    </row>
    <row r="387" spans="1:15" s="2463" customFormat="1">
      <c r="A387" s="2462"/>
      <c r="B387" s="2462"/>
      <c r="C387" s="2462"/>
      <c r="D387" s="2462"/>
      <c r="E387" s="2462"/>
      <c r="F387" s="2462"/>
      <c r="G387" s="2462"/>
      <c r="H387" s="2462"/>
      <c r="I387" s="2579"/>
      <c r="J387" s="2579"/>
      <c r="K387" s="2579"/>
      <c r="L387" s="2579"/>
      <c r="M387" s="2579"/>
      <c r="N387" s="2579"/>
      <c r="O387" s="2579"/>
    </row>
    <row r="388" spans="1:15" s="2463" customFormat="1">
      <c r="A388" s="2462"/>
      <c r="B388" s="2462"/>
      <c r="C388" s="2462"/>
      <c r="D388" s="2462"/>
      <c r="E388" s="2462"/>
      <c r="F388" s="2462"/>
      <c r="G388" s="2462"/>
      <c r="H388" s="2462"/>
      <c r="I388" s="2579"/>
      <c r="J388" s="2579"/>
      <c r="K388" s="2579"/>
      <c r="L388" s="2579"/>
      <c r="M388" s="2579"/>
      <c r="N388" s="2579"/>
      <c r="O388" s="2579"/>
    </row>
    <row r="389" spans="1:15" s="2463" customFormat="1">
      <c r="A389" s="2462"/>
      <c r="B389" s="2462"/>
      <c r="C389" s="2462"/>
      <c r="D389" s="2462"/>
      <c r="E389" s="2462"/>
      <c r="F389" s="2462"/>
      <c r="G389" s="2462"/>
      <c r="H389" s="2462"/>
      <c r="I389" s="2579"/>
      <c r="J389" s="2579"/>
      <c r="K389" s="2579"/>
      <c r="L389" s="2579"/>
      <c r="M389" s="2579"/>
      <c r="N389" s="2579"/>
      <c r="O389" s="2579"/>
    </row>
    <row r="390" spans="1:15" s="2463" customFormat="1">
      <c r="A390" s="2462"/>
      <c r="B390" s="2462"/>
      <c r="C390" s="2462"/>
      <c r="D390" s="2462"/>
      <c r="E390" s="2462"/>
      <c r="F390" s="2462"/>
      <c r="G390" s="2462"/>
      <c r="H390" s="2462"/>
      <c r="I390" s="2579"/>
      <c r="J390" s="2579"/>
      <c r="K390" s="2579"/>
      <c r="L390" s="2579"/>
      <c r="M390" s="2579"/>
      <c r="N390" s="2579"/>
      <c r="O390" s="2579"/>
    </row>
    <row r="391" spans="1:15" s="2463" customFormat="1">
      <c r="A391" s="2462"/>
      <c r="B391" s="2462"/>
      <c r="C391" s="2462"/>
      <c r="D391" s="2462"/>
      <c r="E391" s="2462"/>
      <c r="F391" s="2462"/>
      <c r="G391" s="2462"/>
      <c r="H391" s="2462"/>
      <c r="I391" s="2579"/>
      <c r="J391" s="2579"/>
      <c r="K391" s="2579"/>
      <c r="L391" s="2579"/>
      <c r="M391" s="2579"/>
      <c r="N391" s="2579"/>
      <c r="O391" s="2579"/>
    </row>
    <row r="392" spans="1:15" s="2463" customFormat="1">
      <c r="A392" s="2462"/>
      <c r="B392" s="2462"/>
      <c r="C392" s="2462"/>
      <c r="D392" s="2462"/>
      <c r="E392" s="2462"/>
      <c r="F392" s="2462"/>
      <c r="G392" s="2462"/>
      <c r="H392" s="2462"/>
      <c r="I392" s="2579"/>
      <c r="J392" s="2579"/>
      <c r="K392" s="2579"/>
      <c r="L392" s="2579"/>
      <c r="M392" s="2579"/>
      <c r="N392" s="2579"/>
      <c r="O392" s="2579"/>
    </row>
    <row r="393" spans="1:15" s="2463" customFormat="1">
      <c r="A393" s="2462"/>
      <c r="B393" s="2462"/>
      <c r="C393" s="2462"/>
      <c r="D393" s="2462"/>
      <c r="E393" s="2462"/>
      <c r="F393" s="2462"/>
      <c r="G393" s="2462"/>
      <c r="H393" s="2462"/>
      <c r="I393" s="2579"/>
      <c r="J393" s="2579"/>
      <c r="K393" s="2579"/>
      <c r="L393" s="2579"/>
      <c r="M393" s="2579"/>
      <c r="N393" s="2579"/>
      <c r="O393" s="2579"/>
    </row>
    <row r="394" spans="1:15" s="2463" customFormat="1">
      <c r="A394" s="2462"/>
      <c r="B394" s="2462"/>
      <c r="C394" s="2462"/>
      <c r="D394" s="2462"/>
      <c r="E394" s="2462"/>
      <c r="F394" s="2462"/>
      <c r="G394" s="2462"/>
      <c r="H394" s="2462"/>
      <c r="I394" s="2579"/>
      <c r="J394" s="2579"/>
      <c r="K394" s="2579"/>
      <c r="L394" s="2579"/>
      <c r="M394" s="2579"/>
      <c r="N394" s="2579"/>
      <c r="O394" s="2579"/>
    </row>
    <row r="395" spans="1:15" s="2463" customFormat="1">
      <c r="A395" s="2462"/>
      <c r="B395" s="2462"/>
      <c r="C395" s="2462"/>
      <c r="D395" s="2462"/>
      <c r="E395" s="2462"/>
      <c r="F395" s="2462"/>
      <c r="G395" s="2462"/>
      <c r="H395" s="2462"/>
      <c r="I395" s="2579"/>
      <c r="J395" s="2579"/>
      <c r="K395" s="2579"/>
      <c r="L395" s="2579"/>
      <c r="M395" s="2579"/>
      <c r="N395" s="2579"/>
      <c r="O395" s="2579"/>
    </row>
    <row r="396" spans="1:15" s="2463" customFormat="1">
      <c r="A396" s="2462"/>
      <c r="B396" s="2462"/>
      <c r="C396" s="2462"/>
      <c r="D396" s="2462"/>
      <c r="E396" s="2462"/>
      <c r="F396" s="2462"/>
      <c r="G396" s="2462"/>
      <c r="H396" s="2462"/>
      <c r="I396" s="2579"/>
      <c r="J396" s="2579"/>
      <c r="K396" s="2579"/>
      <c r="L396" s="2579"/>
      <c r="M396" s="2579"/>
      <c r="N396" s="2579"/>
      <c r="O396" s="2579"/>
    </row>
    <row r="397" spans="1:15" s="2463" customFormat="1">
      <c r="A397" s="2462"/>
      <c r="B397" s="2462"/>
      <c r="C397" s="2462"/>
      <c r="D397" s="2462"/>
      <c r="E397" s="2462"/>
      <c r="F397" s="2462"/>
      <c r="G397" s="2462"/>
      <c r="H397" s="2462"/>
      <c r="I397" s="2579"/>
      <c r="J397" s="2579"/>
      <c r="K397" s="2579"/>
      <c r="L397" s="2579"/>
      <c r="M397" s="2579"/>
      <c r="N397" s="2579"/>
      <c r="O397" s="2579"/>
    </row>
    <row r="398" spans="1:15" s="2463" customFormat="1">
      <c r="A398" s="2462"/>
      <c r="B398" s="2462"/>
      <c r="C398" s="2462"/>
      <c r="D398" s="2462"/>
      <c r="E398" s="2462"/>
      <c r="F398" s="2462"/>
      <c r="G398" s="2462"/>
      <c r="H398" s="2462"/>
      <c r="I398" s="2579"/>
      <c r="J398" s="2579"/>
      <c r="K398" s="2579"/>
      <c r="L398" s="2579"/>
      <c r="M398" s="2579"/>
      <c r="N398" s="2579"/>
      <c r="O398" s="2579"/>
    </row>
    <row r="399" spans="1:15" s="2463" customFormat="1">
      <c r="A399" s="2462"/>
      <c r="B399" s="2462"/>
      <c r="C399" s="2462"/>
      <c r="D399" s="2462"/>
      <c r="E399" s="2462"/>
      <c r="F399" s="2462"/>
      <c r="G399" s="2462"/>
      <c r="H399" s="2462"/>
      <c r="I399" s="2579"/>
      <c r="J399" s="2579"/>
      <c r="K399" s="2579"/>
      <c r="L399" s="2579"/>
      <c r="M399" s="2579"/>
      <c r="N399" s="2579"/>
      <c r="O399" s="2579"/>
    </row>
    <row r="400" spans="1:15" s="2463" customFormat="1">
      <c r="A400" s="2462"/>
      <c r="B400" s="2462"/>
      <c r="C400" s="2462"/>
      <c r="D400" s="2462"/>
      <c r="E400" s="2462"/>
      <c r="F400" s="2462"/>
      <c r="G400" s="2462"/>
      <c r="H400" s="2462"/>
      <c r="I400" s="2579"/>
      <c r="J400" s="2579"/>
      <c r="K400" s="2579"/>
      <c r="L400" s="2579"/>
      <c r="M400" s="2579"/>
      <c r="N400" s="2579"/>
      <c r="O400" s="2579"/>
    </row>
    <row r="401" spans="1:15" s="2463" customFormat="1">
      <c r="A401" s="2462"/>
      <c r="B401" s="2462"/>
      <c r="C401" s="2462"/>
      <c r="D401" s="2462"/>
      <c r="E401" s="2462"/>
      <c r="F401" s="2462"/>
      <c r="G401" s="2462"/>
      <c r="H401" s="2462"/>
      <c r="I401" s="2579"/>
      <c r="J401" s="2579"/>
      <c r="K401" s="2579"/>
      <c r="L401" s="2579"/>
      <c r="M401" s="2579"/>
      <c r="N401" s="2579"/>
      <c r="O401" s="2579"/>
    </row>
    <row r="402" spans="1:15" s="2463" customFormat="1">
      <c r="A402" s="2462"/>
      <c r="B402" s="2462"/>
      <c r="C402" s="2462"/>
      <c r="D402" s="2462"/>
      <c r="E402" s="2462"/>
      <c r="F402" s="2462"/>
      <c r="G402" s="2462"/>
      <c r="H402" s="2462"/>
      <c r="I402" s="2579"/>
      <c r="J402" s="2579"/>
      <c r="K402" s="2579"/>
      <c r="L402" s="2579"/>
      <c r="M402" s="2579"/>
      <c r="N402" s="2579"/>
      <c r="O402" s="2579"/>
    </row>
    <row r="403" spans="1:15" s="2463" customFormat="1">
      <c r="A403" s="2462"/>
      <c r="B403" s="2462"/>
      <c r="C403" s="2462"/>
      <c r="D403" s="2462"/>
      <c r="E403" s="2462"/>
      <c r="F403" s="2462"/>
      <c r="G403" s="2462"/>
      <c r="H403" s="2462"/>
      <c r="I403" s="2579"/>
      <c r="J403" s="2579"/>
      <c r="K403" s="2579"/>
      <c r="L403" s="2579"/>
      <c r="M403" s="2579"/>
      <c r="N403" s="2579"/>
      <c r="O403" s="2579"/>
    </row>
    <row r="404" spans="1:15" s="2463" customFormat="1">
      <c r="A404" s="2462"/>
      <c r="B404" s="2462"/>
      <c r="C404" s="2462"/>
      <c r="D404" s="2462"/>
      <c r="E404" s="2462"/>
      <c r="F404" s="2462"/>
      <c r="G404" s="2462"/>
      <c r="H404" s="2462"/>
      <c r="I404" s="2579"/>
      <c r="J404" s="2579"/>
      <c r="K404" s="2579"/>
      <c r="L404" s="2579"/>
      <c r="M404" s="2579"/>
      <c r="N404" s="2579"/>
      <c r="O404" s="2579"/>
    </row>
    <row r="405" spans="1:15" s="2463" customFormat="1">
      <c r="A405" s="2462"/>
      <c r="B405" s="2462"/>
      <c r="C405" s="2462"/>
      <c r="D405" s="2462"/>
      <c r="E405" s="2462"/>
      <c r="F405" s="2462"/>
      <c r="G405" s="2462"/>
      <c r="H405" s="2462"/>
      <c r="I405" s="2579"/>
      <c r="J405" s="2579"/>
      <c r="K405" s="2579"/>
      <c r="L405" s="2579"/>
      <c r="M405" s="2579"/>
      <c r="N405" s="2579"/>
      <c r="O405" s="2579"/>
    </row>
    <row r="406" spans="1:15" s="2463" customFormat="1">
      <c r="A406" s="2462"/>
      <c r="B406" s="2462"/>
      <c r="C406" s="2462"/>
      <c r="D406" s="2462"/>
      <c r="E406" s="2462"/>
      <c r="F406" s="2462"/>
      <c r="G406" s="2462"/>
      <c r="H406" s="2462"/>
      <c r="I406" s="2579"/>
      <c r="J406" s="2579"/>
      <c r="K406" s="2579"/>
      <c r="L406" s="2579"/>
      <c r="M406" s="2579"/>
      <c r="N406" s="2579"/>
      <c r="O406" s="2579"/>
    </row>
    <row r="407" spans="1:15" s="2463" customFormat="1">
      <c r="A407" s="2462"/>
      <c r="B407" s="2462"/>
      <c r="C407" s="2462"/>
      <c r="D407" s="2462"/>
      <c r="E407" s="2462"/>
      <c r="F407" s="2462"/>
      <c r="G407" s="2462"/>
      <c r="H407" s="2462"/>
      <c r="I407" s="2579"/>
      <c r="J407" s="2579"/>
      <c r="K407" s="2579"/>
      <c r="L407" s="2579"/>
      <c r="M407" s="2579"/>
      <c r="N407" s="2579"/>
      <c r="O407" s="2579"/>
    </row>
    <row r="408" spans="1:15" s="2463" customFormat="1">
      <c r="A408" s="2462"/>
      <c r="B408" s="2462"/>
      <c r="C408" s="2462"/>
      <c r="D408" s="2462"/>
      <c r="E408" s="2462"/>
      <c r="F408" s="2462"/>
      <c r="G408" s="2462"/>
      <c r="H408" s="2462"/>
      <c r="I408" s="2579"/>
      <c r="J408" s="2579"/>
      <c r="K408" s="2579"/>
      <c r="L408" s="2579"/>
      <c r="M408" s="2579"/>
      <c r="N408" s="2579"/>
      <c r="O408" s="2579"/>
    </row>
    <row r="409" spans="1:15" s="2463" customFormat="1">
      <c r="A409" s="2462"/>
      <c r="B409" s="2462"/>
      <c r="C409" s="2462"/>
      <c r="D409" s="2462"/>
      <c r="E409" s="2462"/>
      <c r="F409" s="2462"/>
      <c r="G409" s="2462"/>
      <c r="H409" s="2462"/>
      <c r="I409" s="2579"/>
      <c r="J409" s="2579"/>
      <c r="K409" s="2579"/>
      <c r="L409" s="2579"/>
      <c r="M409" s="2579"/>
      <c r="N409" s="2579"/>
      <c r="O409" s="2579"/>
    </row>
    <row r="410" spans="1:15" s="2463" customFormat="1">
      <c r="A410" s="2462"/>
      <c r="B410" s="2462"/>
      <c r="C410" s="2462"/>
      <c r="D410" s="2462"/>
      <c r="E410" s="2462"/>
      <c r="F410" s="2462"/>
      <c r="G410" s="2462"/>
      <c r="H410" s="2462"/>
      <c r="I410" s="2579"/>
      <c r="J410" s="2579"/>
      <c r="K410" s="2579"/>
      <c r="L410" s="2579"/>
      <c r="M410" s="2579"/>
      <c r="N410" s="2579"/>
      <c r="O410" s="2579"/>
    </row>
    <row r="411" spans="1:15" s="2463" customFormat="1">
      <c r="A411" s="2462"/>
      <c r="B411" s="2462"/>
      <c r="C411" s="2462"/>
      <c r="D411" s="2462"/>
      <c r="E411" s="2462"/>
      <c r="F411" s="2462"/>
      <c r="G411" s="2462"/>
      <c r="H411" s="2462"/>
      <c r="I411" s="2579"/>
      <c r="J411" s="2579"/>
      <c r="K411" s="2579"/>
      <c r="L411" s="2579"/>
      <c r="M411" s="2579"/>
      <c r="N411" s="2579"/>
      <c r="O411" s="2579"/>
    </row>
    <row r="412" spans="1:15" s="2463" customFormat="1">
      <c r="A412" s="2462"/>
      <c r="B412" s="2462"/>
      <c r="C412" s="2462"/>
      <c r="D412" s="2462"/>
      <c r="E412" s="2462"/>
      <c r="F412" s="2462"/>
      <c r="G412" s="2462"/>
      <c r="H412" s="2462"/>
      <c r="I412" s="2579"/>
      <c r="J412" s="2579"/>
      <c r="K412" s="2579"/>
      <c r="L412" s="2579"/>
      <c r="M412" s="2579"/>
      <c r="N412" s="2579"/>
      <c r="O412" s="2579"/>
    </row>
    <row r="418" spans="1:15" s="2463" customFormat="1">
      <c r="A418" s="2462"/>
      <c r="B418" s="2462"/>
      <c r="C418" s="2462"/>
      <c r="D418" s="2462"/>
      <c r="E418" s="2462"/>
      <c r="F418" s="2462"/>
      <c r="G418" s="2462"/>
      <c r="H418" s="2462"/>
      <c r="I418" s="2579"/>
      <c r="J418" s="2579"/>
      <c r="K418" s="2579"/>
      <c r="L418" s="2579"/>
      <c r="M418" s="2579"/>
      <c r="N418" s="2579"/>
      <c r="O418" s="2579"/>
    </row>
    <row r="419" spans="1:15" s="2463" customFormat="1">
      <c r="A419" s="2462"/>
      <c r="B419" s="2462"/>
      <c r="C419" s="2462"/>
      <c r="D419" s="2462"/>
      <c r="E419" s="2462"/>
      <c r="F419" s="2462"/>
      <c r="G419" s="2462"/>
      <c r="H419" s="2462"/>
      <c r="I419" s="2579"/>
      <c r="J419" s="2579"/>
      <c r="K419" s="2579"/>
      <c r="L419" s="2579"/>
      <c r="M419" s="2579"/>
      <c r="N419" s="2579"/>
      <c r="O419" s="2579"/>
    </row>
    <row r="420" spans="1:15" s="2463" customFormat="1">
      <c r="A420" s="2462"/>
      <c r="B420" s="2462"/>
      <c r="C420" s="2462"/>
      <c r="D420" s="2462"/>
      <c r="E420" s="2462"/>
      <c r="F420" s="2462"/>
      <c r="G420" s="2462"/>
      <c r="H420" s="2462"/>
      <c r="I420" s="2579"/>
      <c r="J420" s="2579"/>
      <c r="K420" s="2579"/>
      <c r="L420" s="2579"/>
      <c r="M420" s="2579"/>
      <c r="N420" s="2579"/>
      <c r="O420" s="2579"/>
    </row>
    <row r="421" spans="1:15" s="2463" customFormat="1">
      <c r="A421" s="2462"/>
      <c r="B421" s="2462"/>
      <c r="C421" s="2462"/>
      <c r="D421" s="2462"/>
      <c r="E421" s="2462"/>
      <c r="F421" s="2462"/>
      <c r="G421" s="2462"/>
      <c r="H421" s="2462"/>
      <c r="I421" s="2579"/>
      <c r="J421" s="2579"/>
      <c r="K421" s="2579"/>
      <c r="L421" s="2579"/>
      <c r="M421" s="2579"/>
      <c r="N421" s="2579"/>
      <c r="O421" s="2579"/>
    </row>
    <row r="422" spans="1:15" s="2463" customFormat="1">
      <c r="A422" s="2462"/>
      <c r="B422" s="2462"/>
      <c r="C422" s="2462"/>
      <c r="D422" s="2462"/>
      <c r="E422" s="2462"/>
      <c r="F422" s="2462"/>
      <c r="G422" s="2462"/>
      <c r="H422" s="2462"/>
      <c r="I422" s="2579"/>
      <c r="J422" s="2579"/>
      <c r="K422" s="2579"/>
      <c r="L422" s="2579"/>
      <c r="M422" s="2579"/>
      <c r="N422" s="2579"/>
      <c r="O422" s="2579"/>
    </row>
    <row r="423" spans="1:15" s="2463" customFormat="1">
      <c r="A423" s="2462"/>
      <c r="B423" s="2462"/>
      <c r="C423" s="2462"/>
      <c r="D423" s="2462"/>
      <c r="E423" s="2462"/>
      <c r="F423" s="2462"/>
      <c r="G423" s="2462"/>
      <c r="H423" s="2462"/>
      <c r="I423" s="2579"/>
      <c r="J423" s="2579"/>
      <c r="K423" s="2579"/>
      <c r="L423" s="2579"/>
      <c r="M423" s="2579"/>
      <c r="N423" s="2579"/>
      <c r="O423" s="2579"/>
    </row>
    <row r="424" spans="1:15" s="2463" customFormat="1">
      <c r="A424" s="2462"/>
      <c r="B424" s="2462"/>
      <c r="C424" s="2462"/>
      <c r="D424" s="2462"/>
      <c r="E424" s="2462"/>
      <c r="F424" s="2462"/>
      <c r="G424" s="2462"/>
      <c r="H424" s="2462"/>
      <c r="I424" s="2579"/>
      <c r="J424" s="2579"/>
      <c r="K424" s="2579"/>
      <c r="L424" s="2579"/>
      <c r="M424" s="2579"/>
      <c r="N424" s="2579"/>
      <c r="O424" s="2579"/>
    </row>
    <row r="425" spans="1:15" s="2463" customFormat="1">
      <c r="A425" s="2462"/>
      <c r="B425" s="2462"/>
      <c r="C425" s="2462"/>
      <c r="D425" s="2462"/>
      <c r="E425" s="2462"/>
      <c r="F425" s="2462"/>
      <c r="G425" s="2462"/>
      <c r="H425" s="2462"/>
      <c r="I425" s="2579"/>
      <c r="J425" s="2579"/>
      <c r="K425" s="2579"/>
      <c r="L425" s="2579"/>
      <c r="M425" s="2579"/>
      <c r="N425" s="2579"/>
      <c r="O425" s="2579"/>
    </row>
    <row r="426" spans="1:15" s="2463" customFormat="1">
      <c r="A426" s="2462"/>
      <c r="B426" s="2462"/>
      <c r="C426" s="2462"/>
      <c r="D426" s="2462"/>
      <c r="E426" s="2462"/>
      <c r="F426" s="2462"/>
      <c r="G426" s="2462"/>
      <c r="H426" s="2462"/>
      <c r="I426" s="2579"/>
      <c r="J426" s="2579"/>
      <c r="K426" s="2579"/>
      <c r="L426" s="2579"/>
      <c r="M426" s="2579"/>
      <c r="N426" s="2579"/>
      <c r="O426" s="2579"/>
    </row>
    <row r="427" spans="1:15" s="2463" customFormat="1">
      <c r="A427" s="2462"/>
      <c r="B427" s="2462"/>
      <c r="C427" s="2462"/>
      <c r="D427" s="2462"/>
      <c r="E427" s="2462"/>
      <c r="F427" s="2462"/>
      <c r="G427" s="2462"/>
      <c r="H427" s="2462"/>
      <c r="I427" s="2579"/>
      <c r="J427" s="2579"/>
      <c r="K427" s="2579"/>
      <c r="L427" s="2579"/>
      <c r="M427" s="2579"/>
      <c r="N427" s="2579"/>
      <c r="O427" s="2579"/>
    </row>
    <row r="428" spans="1:15" s="2463" customFormat="1">
      <c r="A428" s="2462"/>
      <c r="B428" s="2462"/>
      <c r="C428" s="2462"/>
      <c r="D428" s="2462"/>
      <c r="E428" s="2462"/>
      <c r="F428" s="2462"/>
      <c r="G428" s="2462"/>
      <c r="H428" s="2462"/>
      <c r="I428" s="2579"/>
      <c r="J428" s="2579"/>
      <c r="K428" s="2579"/>
      <c r="L428" s="2579"/>
      <c r="M428" s="2579"/>
      <c r="N428" s="2579"/>
      <c r="O428" s="2579"/>
    </row>
    <row r="429" spans="1:15" s="2463" customFormat="1">
      <c r="A429" s="2462"/>
      <c r="B429" s="2462"/>
      <c r="C429" s="2462"/>
      <c r="D429" s="2462"/>
      <c r="E429" s="2462"/>
      <c r="F429" s="2462"/>
      <c r="G429" s="2462"/>
      <c r="H429" s="2462"/>
      <c r="I429" s="2579"/>
      <c r="J429" s="2579"/>
      <c r="K429" s="2579"/>
      <c r="L429" s="2579"/>
      <c r="M429" s="2579"/>
      <c r="N429" s="2579"/>
      <c r="O429" s="2579"/>
    </row>
    <row r="430" spans="1:15" s="2463" customFormat="1">
      <c r="A430" s="2462"/>
      <c r="B430" s="2462"/>
      <c r="C430" s="2462"/>
      <c r="D430" s="2462"/>
      <c r="E430" s="2462"/>
      <c r="F430" s="2462"/>
      <c r="G430" s="2462"/>
      <c r="H430" s="2462"/>
      <c r="I430" s="2579"/>
      <c r="J430" s="2579"/>
      <c r="K430" s="2579"/>
      <c r="L430" s="2579"/>
      <c r="M430" s="2579"/>
      <c r="N430" s="2579"/>
      <c r="O430" s="2579"/>
    </row>
    <row r="431" spans="1:15" s="2463" customFormat="1">
      <c r="A431" s="2462"/>
      <c r="B431" s="2462"/>
      <c r="C431" s="2462"/>
      <c r="D431" s="2462"/>
      <c r="E431" s="2462"/>
      <c r="F431" s="2462"/>
      <c r="G431" s="2462"/>
      <c r="H431" s="2462"/>
      <c r="I431" s="2579"/>
      <c r="J431" s="2579"/>
      <c r="K431" s="2579"/>
      <c r="L431" s="2579"/>
      <c r="M431" s="2579"/>
      <c r="N431" s="2579"/>
      <c r="O431" s="2579"/>
    </row>
    <row r="432" spans="1:15" s="2463" customFormat="1">
      <c r="A432" s="2462"/>
      <c r="B432" s="2462"/>
      <c r="C432" s="2462"/>
      <c r="D432" s="2462"/>
      <c r="E432" s="2462"/>
      <c r="F432" s="2462"/>
      <c r="G432" s="2462"/>
      <c r="H432" s="2462"/>
      <c r="I432" s="2579"/>
      <c r="J432" s="2579"/>
      <c r="K432" s="2579"/>
      <c r="L432" s="2579"/>
      <c r="M432" s="2579"/>
      <c r="N432" s="2579"/>
      <c r="O432" s="2579"/>
    </row>
    <row r="433" spans="1:15" s="2463" customFormat="1">
      <c r="A433" s="2462"/>
      <c r="B433" s="2462"/>
      <c r="C433" s="2462"/>
      <c r="D433" s="2462"/>
      <c r="E433" s="2462"/>
      <c r="F433" s="2462"/>
      <c r="G433" s="2462"/>
      <c r="H433" s="2462"/>
      <c r="I433" s="2579"/>
      <c r="J433" s="2579"/>
      <c r="K433" s="2579"/>
      <c r="L433" s="2579"/>
      <c r="M433" s="2579"/>
      <c r="N433" s="2579"/>
      <c r="O433" s="2579"/>
    </row>
    <row r="434" spans="1:15" s="2463" customFormat="1">
      <c r="A434" s="2462"/>
      <c r="B434" s="2462"/>
      <c r="C434" s="2462"/>
      <c r="D434" s="2462"/>
      <c r="E434" s="2462"/>
      <c r="F434" s="2462"/>
      <c r="G434" s="2462"/>
      <c r="H434" s="2462"/>
      <c r="I434" s="2579"/>
      <c r="J434" s="2579"/>
      <c r="K434" s="2579"/>
      <c r="L434" s="2579"/>
      <c r="M434" s="2579"/>
      <c r="N434" s="2579"/>
      <c r="O434" s="2579"/>
    </row>
    <row r="435" spans="1:15" s="2463" customFormat="1">
      <c r="A435" s="2462"/>
      <c r="B435" s="2462"/>
      <c r="C435" s="2462"/>
      <c r="D435" s="2462"/>
      <c r="E435" s="2462"/>
      <c r="F435" s="2462"/>
      <c r="G435" s="2462"/>
      <c r="H435" s="2462"/>
      <c r="I435" s="2579"/>
      <c r="J435" s="2579"/>
      <c r="K435" s="2579"/>
      <c r="L435" s="2579"/>
      <c r="M435" s="2579"/>
      <c r="N435" s="2579"/>
      <c r="O435" s="2579"/>
    </row>
    <row r="436" spans="1:15" s="2463" customFormat="1">
      <c r="A436" s="2462"/>
      <c r="B436" s="2462"/>
      <c r="C436" s="2462"/>
      <c r="D436" s="2462"/>
      <c r="E436" s="2462"/>
      <c r="F436" s="2462"/>
      <c r="G436" s="2462"/>
      <c r="H436" s="2462"/>
      <c r="I436" s="2579"/>
      <c r="J436" s="2579"/>
      <c r="K436" s="2579"/>
      <c r="L436" s="2579"/>
      <c r="M436" s="2579"/>
      <c r="N436" s="2579"/>
      <c r="O436" s="2579"/>
    </row>
    <row r="437" spans="1:15" s="2463" customFormat="1">
      <c r="A437" s="2462"/>
      <c r="B437" s="2462"/>
      <c r="C437" s="2462"/>
      <c r="D437" s="2462"/>
      <c r="E437" s="2462"/>
      <c r="F437" s="2462"/>
      <c r="G437" s="2462"/>
      <c r="H437" s="2462"/>
      <c r="I437" s="2579"/>
      <c r="J437" s="2579"/>
      <c r="K437" s="2579"/>
      <c r="L437" s="2579"/>
      <c r="M437" s="2579"/>
      <c r="N437" s="2579"/>
      <c r="O437" s="2579"/>
    </row>
    <row r="438" spans="1:15" s="2463" customFormat="1">
      <c r="A438" s="2462"/>
      <c r="B438" s="2462"/>
      <c r="C438" s="2462"/>
      <c r="D438" s="2462"/>
      <c r="E438" s="2462"/>
      <c r="F438" s="2462"/>
      <c r="G438" s="2462"/>
      <c r="H438" s="2462"/>
      <c r="I438" s="2579"/>
      <c r="J438" s="2579"/>
      <c r="K438" s="2579"/>
      <c r="L438" s="2579"/>
      <c r="M438" s="2579"/>
      <c r="N438" s="2579"/>
      <c r="O438" s="2579"/>
    </row>
    <row r="439" spans="1:15" s="2463" customFormat="1">
      <c r="A439" s="2462"/>
      <c r="B439" s="2462"/>
      <c r="C439" s="2462"/>
      <c r="D439" s="2462"/>
      <c r="E439" s="2462"/>
      <c r="F439" s="2462"/>
      <c r="G439" s="2462"/>
      <c r="H439" s="2462"/>
      <c r="I439" s="2579"/>
      <c r="J439" s="2579"/>
      <c r="K439" s="2579"/>
      <c r="L439" s="2579"/>
      <c r="M439" s="2579"/>
      <c r="N439" s="2579"/>
      <c r="O439" s="2579"/>
    </row>
    <row r="440" spans="1:15" s="2463" customFormat="1">
      <c r="A440" s="2462"/>
      <c r="B440" s="2462"/>
      <c r="C440" s="2462"/>
      <c r="D440" s="2462"/>
      <c r="E440" s="2462"/>
      <c r="F440" s="2462"/>
      <c r="G440" s="2462"/>
      <c r="H440" s="2462"/>
      <c r="I440" s="2579"/>
      <c r="J440" s="2579"/>
      <c r="K440" s="2579"/>
      <c r="L440" s="2579"/>
      <c r="M440" s="2579"/>
      <c r="N440" s="2579"/>
      <c r="O440" s="2579"/>
    </row>
    <row r="441" spans="1:15" s="2463" customFormat="1">
      <c r="A441" s="2462"/>
      <c r="B441" s="2462"/>
      <c r="C441" s="2462"/>
      <c r="D441" s="2462"/>
      <c r="E441" s="2462"/>
      <c r="F441" s="2462"/>
      <c r="G441" s="2462"/>
      <c r="H441" s="2462"/>
      <c r="I441" s="2579"/>
      <c r="J441" s="2579"/>
      <c r="K441" s="2579"/>
      <c r="L441" s="2579"/>
      <c r="M441" s="2579"/>
      <c r="N441" s="2579"/>
      <c r="O441" s="2579"/>
    </row>
    <row r="442" spans="1:15" s="2463" customFormat="1">
      <c r="A442" s="2462"/>
      <c r="B442" s="2462"/>
      <c r="C442" s="2462"/>
      <c r="D442" s="2462"/>
      <c r="E442" s="2462"/>
      <c r="F442" s="2462"/>
      <c r="G442" s="2462"/>
      <c r="H442" s="2462"/>
      <c r="I442" s="2579"/>
      <c r="J442" s="2579"/>
      <c r="K442" s="2579"/>
      <c r="L442" s="2579"/>
      <c r="M442" s="2579"/>
      <c r="N442" s="2579"/>
      <c r="O442" s="2579"/>
    </row>
    <row r="443" spans="1:15" s="2463" customFormat="1">
      <c r="A443" s="2462"/>
      <c r="B443" s="2462"/>
      <c r="C443" s="2462"/>
      <c r="D443" s="2462"/>
      <c r="E443" s="2462"/>
      <c r="F443" s="2462"/>
      <c r="G443" s="2462"/>
      <c r="H443" s="2462"/>
      <c r="I443" s="2579"/>
      <c r="J443" s="2579"/>
      <c r="K443" s="2579"/>
      <c r="L443" s="2579"/>
      <c r="M443" s="2579"/>
      <c r="N443" s="2579"/>
      <c r="O443" s="2579"/>
    </row>
    <row r="444" spans="1:15" s="2463" customFormat="1">
      <c r="A444" s="2462"/>
      <c r="B444" s="2462"/>
      <c r="C444" s="2462"/>
      <c r="D444" s="2462"/>
      <c r="E444" s="2462"/>
      <c r="F444" s="2462"/>
      <c r="G444" s="2462"/>
      <c r="H444" s="2462"/>
      <c r="I444" s="2579"/>
      <c r="J444" s="2579"/>
      <c r="K444" s="2579"/>
      <c r="L444" s="2579"/>
      <c r="M444" s="2579"/>
      <c r="N444" s="2579"/>
      <c r="O444" s="2579"/>
    </row>
    <row r="445" spans="1:15" s="2463" customFormat="1">
      <c r="A445" s="2462"/>
      <c r="B445" s="2462"/>
      <c r="C445" s="2462"/>
      <c r="D445" s="2462"/>
      <c r="E445" s="2462"/>
      <c r="F445" s="2462"/>
      <c r="G445" s="2462"/>
      <c r="H445" s="2462"/>
      <c r="I445" s="2579"/>
      <c r="J445" s="2579"/>
      <c r="K445" s="2579"/>
      <c r="L445" s="2579"/>
      <c r="M445" s="2579"/>
      <c r="N445" s="2579"/>
      <c r="O445" s="2579"/>
    </row>
    <row r="446" spans="1:15" s="2463" customFormat="1">
      <c r="A446" s="2462"/>
      <c r="B446" s="2462"/>
      <c r="C446" s="2462"/>
      <c r="D446" s="2462"/>
      <c r="E446" s="2462"/>
      <c r="F446" s="2462"/>
      <c r="G446" s="2462"/>
      <c r="H446" s="2462"/>
      <c r="I446" s="2579"/>
      <c r="J446" s="2579"/>
      <c r="K446" s="2579"/>
      <c r="L446" s="2579"/>
      <c r="M446" s="2579"/>
      <c r="N446" s="2579"/>
      <c r="O446" s="2579"/>
    </row>
    <row r="447" spans="1:15" s="2463" customFormat="1">
      <c r="A447" s="2462"/>
      <c r="B447" s="2462"/>
      <c r="C447" s="2462"/>
      <c r="D447" s="2462"/>
      <c r="E447" s="2462"/>
      <c r="F447" s="2462"/>
      <c r="G447" s="2462"/>
      <c r="H447" s="2462"/>
      <c r="I447" s="2579"/>
      <c r="J447" s="2579"/>
      <c r="K447" s="2579"/>
      <c r="L447" s="2579"/>
      <c r="M447" s="2579"/>
      <c r="N447" s="2579"/>
      <c r="O447" s="2579"/>
    </row>
    <row r="448" spans="1:15" s="2463" customFormat="1">
      <c r="A448" s="2462"/>
      <c r="B448" s="2462"/>
      <c r="C448" s="2462"/>
      <c r="D448" s="2462"/>
      <c r="E448" s="2462"/>
      <c r="F448" s="2462"/>
      <c r="G448" s="2462"/>
      <c r="H448" s="2462"/>
      <c r="I448" s="2579"/>
      <c r="J448" s="2579"/>
      <c r="K448" s="2579"/>
      <c r="L448" s="2579"/>
      <c r="M448" s="2579"/>
      <c r="N448" s="2579"/>
      <c r="O448" s="2579"/>
    </row>
    <row r="449" spans="1:15" s="2463" customFormat="1">
      <c r="A449" s="2462"/>
      <c r="B449" s="2462"/>
      <c r="C449" s="2462"/>
      <c r="D449" s="2462"/>
      <c r="E449" s="2462"/>
      <c r="F449" s="2462"/>
      <c r="G449" s="2462"/>
      <c r="H449" s="2462"/>
      <c r="I449" s="2579"/>
      <c r="J449" s="2579"/>
      <c r="K449" s="2579"/>
      <c r="L449" s="2579"/>
      <c r="M449" s="2579"/>
      <c r="N449" s="2579"/>
      <c r="O449" s="2579"/>
    </row>
    <row r="450" spans="1:15" s="2463" customFormat="1">
      <c r="A450" s="2462"/>
      <c r="B450" s="2462"/>
      <c r="C450" s="2462"/>
      <c r="D450" s="2462"/>
      <c r="E450" s="2462"/>
      <c r="F450" s="2462"/>
      <c r="G450" s="2462"/>
      <c r="H450" s="2462"/>
      <c r="I450" s="2579"/>
      <c r="J450" s="2579"/>
      <c r="K450" s="2579"/>
      <c r="L450" s="2579"/>
      <c r="M450" s="2579"/>
      <c r="N450" s="2579"/>
      <c r="O450" s="2579"/>
    </row>
    <row r="451" spans="1:15" s="2463" customFormat="1">
      <c r="A451" s="2462"/>
      <c r="B451" s="2462"/>
      <c r="C451" s="2462"/>
      <c r="D451" s="2462"/>
      <c r="E451" s="2462"/>
      <c r="F451" s="2462"/>
      <c r="G451" s="2462"/>
      <c r="H451" s="2462"/>
      <c r="I451" s="2579"/>
      <c r="J451" s="2579"/>
      <c r="K451" s="2579"/>
      <c r="L451" s="2579"/>
      <c r="M451" s="2579"/>
      <c r="N451" s="2579"/>
      <c r="O451" s="2579"/>
    </row>
    <row r="452" spans="1:15" s="2463" customFormat="1">
      <c r="A452" s="2462"/>
      <c r="B452" s="2462"/>
      <c r="C452" s="2462"/>
      <c r="D452" s="2462"/>
      <c r="E452" s="2462"/>
      <c r="F452" s="2462"/>
      <c r="G452" s="2462"/>
      <c r="H452" s="2462"/>
      <c r="I452" s="2579"/>
      <c r="J452" s="2579"/>
      <c r="K452" s="2579"/>
      <c r="L452" s="2579"/>
      <c r="M452" s="2579"/>
      <c r="N452" s="2579"/>
      <c r="O452" s="2579"/>
    </row>
    <row r="453" spans="1:15" s="2463" customFormat="1">
      <c r="A453" s="2462"/>
      <c r="B453" s="2462"/>
      <c r="C453" s="2462"/>
      <c r="D453" s="2462"/>
      <c r="E453" s="2462"/>
      <c r="F453" s="2462"/>
      <c r="G453" s="2462"/>
      <c r="H453" s="2462"/>
      <c r="I453" s="2579"/>
      <c r="J453" s="2579"/>
      <c r="K453" s="2579"/>
      <c r="L453" s="2579"/>
      <c r="M453" s="2579"/>
      <c r="N453" s="2579"/>
      <c r="O453" s="2579"/>
    </row>
    <row r="454" spans="1:15" s="2463" customFormat="1">
      <c r="A454" s="2462"/>
      <c r="B454" s="2462"/>
      <c r="C454" s="2462"/>
      <c r="D454" s="2462"/>
      <c r="E454" s="2462"/>
      <c r="F454" s="2462"/>
      <c r="G454" s="2462"/>
      <c r="H454" s="2462"/>
      <c r="I454" s="2579"/>
      <c r="J454" s="2579"/>
      <c r="K454" s="2579"/>
      <c r="L454" s="2579"/>
      <c r="M454" s="2579"/>
      <c r="N454" s="2579"/>
      <c r="O454" s="2579"/>
    </row>
    <row r="455" spans="1:15" s="2463" customFormat="1">
      <c r="A455" s="2462"/>
      <c r="B455" s="2462"/>
      <c r="C455" s="2462"/>
      <c r="D455" s="2462"/>
      <c r="E455" s="2462"/>
      <c r="F455" s="2462"/>
      <c r="G455" s="2462"/>
      <c r="H455" s="2462"/>
      <c r="I455" s="2579"/>
      <c r="J455" s="2579"/>
      <c r="K455" s="2579"/>
      <c r="L455" s="2579"/>
      <c r="M455" s="2579"/>
      <c r="N455" s="2579"/>
      <c r="O455" s="2579"/>
    </row>
    <row r="460" spans="1:15" s="2463" customFormat="1">
      <c r="A460" s="2462"/>
      <c r="B460" s="2462"/>
      <c r="C460" s="2462"/>
      <c r="D460" s="2462"/>
      <c r="E460" s="2462"/>
      <c r="F460" s="2462"/>
      <c r="G460" s="2462"/>
      <c r="H460" s="2462"/>
      <c r="I460" s="2579"/>
      <c r="J460" s="2579"/>
      <c r="K460" s="2579"/>
      <c r="L460" s="2579"/>
      <c r="M460" s="2579"/>
      <c r="N460" s="2579"/>
      <c r="O460" s="2579"/>
    </row>
    <row r="461" spans="1:15" s="2463" customFormat="1">
      <c r="A461" s="2462"/>
      <c r="B461" s="2462"/>
      <c r="C461" s="2462"/>
      <c r="D461" s="2462"/>
      <c r="E461" s="2462"/>
      <c r="F461" s="2462"/>
      <c r="G461" s="2462"/>
      <c r="H461" s="2462"/>
      <c r="I461" s="2579"/>
      <c r="J461" s="2579"/>
      <c r="K461" s="2579"/>
      <c r="L461" s="2579"/>
      <c r="M461" s="2579"/>
      <c r="N461" s="2579"/>
      <c r="O461" s="2579"/>
    </row>
    <row r="462" spans="1:15" s="2463" customFormat="1">
      <c r="A462" s="2462"/>
      <c r="B462" s="2462"/>
      <c r="C462" s="2462"/>
      <c r="D462" s="2462"/>
      <c r="E462" s="2462"/>
      <c r="F462" s="2462"/>
      <c r="G462" s="2462"/>
      <c r="H462" s="2462"/>
      <c r="I462" s="2579"/>
      <c r="J462" s="2579"/>
      <c r="K462" s="2579"/>
      <c r="L462" s="2579"/>
      <c r="M462" s="2579"/>
      <c r="N462" s="2579"/>
      <c r="O462" s="2579"/>
    </row>
    <row r="463" spans="1:15" s="2463" customFormat="1">
      <c r="A463" s="2462"/>
      <c r="B463" s="2462"/>
      <c r="C463" s="2462"/>
      <c r="D463" s="2462"/>
      <c r="E463" s="2462"/>
      <c r="F463" s="2462"/>
      <c r="G463" s="2462"/>
      <c r="H463" s="2462"/>
      <c r="I463" s="2579"/>
      <c r="J463" s="2579"/>
      <c r="K463" s="2579"/>
      <c r="L463" s="2579"/>
      <c r="M463" s="2579"/>
      <c r="N463" s="2579"/>
      <c r="O463" s="2579"/>
    </row>
    <row r="464" spans="1:15" s="2463" customFormat="1">
      <c r="A464" s="2462"/>
      <c r="B464" s="2462"/>
      <c r="C464" s="2462"/>
      <c r="D464" s="2462"/>
      <c r="E464" s="2462"/>
      <c r="F464" s="2462"/>
      <c r="G464" s="2462"/>
      <c r="H464" s="2462"/>
      <c r="I464" s="2579"/>
      <c r="J464" s="2579"/>
      <c r="K464" s="2579"/>
      <c r="L464" s="2579"/>
      <c r="M464" s="2579"/>
      <c r="N464" s="2579"/>
      <c r="O464" s="2579"/>
    </row>
    <row r="465" spans="1:15" s="2463" customFormat="1">
      <c r="A465" s="2462"/>
      <c r="B465" s="2462"/>
      <c r="C465" s="2462"/>
      <c r="D465" s="2462"/>
      <c r="E465" s="2462"/>
      <c r="F465" s="2462"/>
      <c r="G465" s="2462"/>
      <c r="H465" s="2462"/>
      <c r="I465" s="2579"/>
      <c r="J465" s="2579"/>
      <c r="K465" s="2579"/>
      <c r="L465" s="2579"/>
      <c r="M465" s="2579"/>
      <c r="N465" s="2579"/>
      <c r="O465" s="2579"/>
    </row>
    <row r="466" spans="1:15" s="2463" customFormat="1">
      <c r="A466" s="2462"/>
      <c r="B466" s="2462"/>
      <c r="C466" s="2462"/>
      <c r="D466" s="2462"/>
      <c r="E466" s="2462"/>
      <c r="F466" s="2462"/>
      <c r="G466" s="2462"/>
      <c r="H466" s="2462"/>
      <c r="I466" s="2579"/>
      <c r="J466" s="2579"/>
      <c r="K466" s="2579"/>
      <c r="L466" s="2579"/>
      <c r="M466" s="2579"/>
      <c r="N466" s="2579"/>
      <c r="O466" s="2579"/>
    </row>
    <row r="467" spans="1:15" s="2463" customFormat="1">
      <c r="A467" s="2462"/>
      <c r="B467" s="2462"/>
      <c r="C467" s="2462"/>
      <c r="D467" s="2462"/>
      <c r="E467" s="2462"/>
      <c r="F467" s="2462"/>
      <c r="G467" s="2462"/>
      <c r="H467" s="2462"/>
      <c r="I467" s="2579"/>
      <c r="J467" s="2579"/>
      <c r="K467" s="2579"/>
      <c r="L467" s="2579"/>
      <c r="M467" s="2579"/>
      <c r="N467" s="2579"/>
      <c r="O467" s="2579"/>
    </row>
    <row r="468" spans="1:15" s="2463" customFormat="1">
      <c r="A468" s="2462"/>
      <c r="B468" s="2462"/>
      <c r="C468" s="2462"/>
      <c r="D468" s="2462"/>
      <c r="E468" s="2462"/>
      <c r="F468" s="2462"/>
      <c r="G468" s="2462"/>
      <c r="H468" s="2462"/>
      <c r="I468" s="2579"/>
      <c r="J468" s="2579"/>
      <c r="K468" s="2579"/>
      <c r="L468" s="2579"/>
      <c r="M468" s="2579"/>
      <c r="N468" s="2579"/>
      <c r="O468" s="2579"/>
    </row>
    <row r="469" spans="1:15" s="2463" customFormat="1">
      <c r="A469" s="2462"/>
      <c r="B469" s="2462"/>
      <c r="C469" s="2462"/>
      <c r="D469" s="2462"/>
      <c r="E469" s="2462"/>
      <c r="F469" s="2462"/>
      <c r="G469" s="2462"/>
      <c r="H469" s="2462"/>
      <c r="I469" s="2579"/>
      <c r="J469" s="2579"/>
      <c r="K469" s="2579"/>
      <c r="L469" s="2579"/>
      <c r="M469" s="2579"/>
      <c r="N469" s="2579"/>
      <c r="O469" s="2579"/>
    </row>
    <row r="470" spans="1:15" s="2463" customFormat="1">
      <c r="A470" s="2462"/>
      <c r="B470" s="2462"/>
      <c r="C470" s="2462"/>
      <c r="D470" s="2462"/>
      <c r="E470" s="2462"/>
      <c r="F470" s="2462"/>
      <c r="G470" s="2462"/>
      <c r="H470" s="2462"/>
      <c r="I470" s="2579"/>
      <c r="J470" s="2579"/>
      <c r="K470" s="2579"/>
      <c r="L470" s="2579"/>
      <c r="M470" s="2579"/>
      <c r="N470" s="2579"/>
      <c r="O470" s="2579"/>
    </row>
    <row r="471" spans="1:15" s="2463" customFormat="1">
      <c r="A471" s="2462"/>
      <c r="B471" s="2462"/>
      <c r="C471" s="2462"/>
      <c r="D471" s="2462"/>
      <c r="E471" s="2462"/>
      <c r="F471" s="2462"/>
      <c r="G471" s="2462"/>
      <c r="H471" s="2462"/>
      <c r="I471" s="2579"/>
      <c r="J471" s="2579"/>
      <c r="K471" s="2579"/>
      <c r="L471" s="2579"/>
      <c r="M471" s="2579"/>
      <c r="N471" s="2579"/>
      <c r="O471" s="2579"/>
    </row>
    <row r="472" spans="1:15" s="2463" customFormat="1">
      <c r="A472" s="2462"/>
      <c r="B472" s="2462"/>
      <c r="C472" s="2462"/>
      <c r="D472" s="2462"/>
      <c r="E472" s="2462"/>
      <c r="F472" s="2462"/>
      <c r="G472" s="2462"/>
      <c r="H472" s="2462"/>
      <c r="I472" s="2579"/>
      <c r="J472" s="2579"/>
      <c r="K472" s="2579"/>
      <c r="L472" s="2579"/>
      <c r="M472" s="2579"/>
      <c r="N472" s="2579"/>
      <c r="O472" s="2579"/>
    </row>
    <row r="473" spans="1:15" s="2463" customFormat="1">
      <c r="A473" s="2462"/>
      <c r="B473" s="2462"/>
      <c r="C473" s="2462"/>
      <c r="D473" s="2462"/>
      <c r="E473" s="2462"/>
      <c r="F473" s="2462"/>
      <c r="G473" s="2462"/>
      <c r="H473" s="2462"/>
      <c r="I473" s="2579"/>
      <c r="J473" s="2579"/>
      <c r="K473" s="2579"/>
      <c r="L473" s="2579"/>
      <c r="M473" s="2579"/>
      <c r="N473" s="2579"/>
      <c r="O473" s="2579"/>
    </row>
    <row r="474" spans="1:15" s="2463" customFormat="1">
      <c r="A474" s="2462"/>
      <c r="B474" s="2462"/>
      <c r="C474" s="2462"/>
      <c r="D474" s="2462"/>
      <c r="E474" s="2462"/>
      <c r="F474" s="2462"/>
      <c r="G474" s="2462"/>
      <c r="H474" s="2462"/>
      <c r="I474" s="2579"/>
      <c r="J474" s="2579"/>
      <c r="K474" s="2579"/>
      <c r="L474" s="2579"/>
      <c r="M474" s="2579"/>
      <c r="N474" s="2579"/>
      <c r="O474" s="2579"/>
    </row>
    <row r="475" spans="1:15" s="2463" customFormat="1">
      <c r="A475" s="2462"/>
      <c r="B475" s="2462"/>
      <c r="C475" s="2462"/>
      <c r="D475" s="2462"/>
      <c r="E475" s="2462"/>
      <c r="F475" s="2462"/>
      <c r="G475" s="2462"/>
      <c r="H475" s="2462"/>
      <c r="I475" s="2579"/>
      <c r="J475" s="2579"/>
      <c r="K475" s="2579"/>
      <c r="L475" s="2579"/>
      <c r="M475" s="2579"/>
      <c r="N475" s="2579"/>
      <c r="O475" s="2579"/>
    </row>
    <row r="476" spans="1:15" s="2463" customFormat="1">
      <c r="A476" s="2462"/>
      <c r="B476" s="2462"/>
      <c r="C476" s="2462"/>
      <c r="D476" s="2462"/>
      <c r="E476" s="2462"/>
      <c r="F476" s="2462"/>
      <c r="G476" s="2462"/>
      <c r="H476" s="2462"/>
      <c r="I476" s="2579"/>
      <c r="J476" s="2579"/>
      <c r="K476" s="2579"/>
      <c r="L476" s="2579"/>
      <c r="M476" s="2579"/>
      <c r="N476" s="2579"/>
      <c r="O476" s="2579"/>
    </row>
    <row r="477" spans="1:15" s="2463" customFormat="1">
      <c r="A477" s="2462"/>
      <c r="B477" s="2462"/>
      <c r="C477" s="2462"/>
      <c r="D477" s="2462"/>
      <c r="E477" s="2462"/>
      <c r="F477" s="2462"/>
      <c r="G477" s="2462"/>
      <c r="H477" s="2462"/>
      <c r="I477" s="2579"/>
      <c r="J477" s="2579"/>
      <c r="K477" s="2579"/>
      <c r="L477" s="2579"/>
      <c r="M477" s="2579"/>
      <c r="N477" s="2579"/>
      <c r="O477" s="2579"/>
    </row>
    <row r="478" spans="1:15" s="2463" customFormat="1">
      <c r="A478" s="2462"/>
      <c r="B478" s="2462"/>
      <c r="C478" s="2462"/>
      <c r="D478" s="2462"/>
      <c r="E478" s="2462"/>
      <c r="F478" s="2462"/>
      <c r="G478" s="2462"/>
      <c r="H478" s="2462"/>
      <c r="I478" s="2579"/>
      <c r="J478" s="2579"/>
      <c r="K478" s="2579"/>
      <c r="L478" s="2579"/>
      <c r="M478" s="2579"/>
      <c r="N478" s="2579"/>
      <c r="O478" s="2579"/>
    </row>
    <row r="479" spans="1:15" s="2463" customFormat="1">
      <c r="A479" s="2462"/>
      <c r="B479" s="2462"/>
      <c r="C479" s="2462"/>
      <c r="D479" s="2462"/>
      <c r="E479" s="2462"/>
      <c r="F479" s="2462"/>
      <c r="G479" s="2462"/>
      <c r="H479" s="2462"/>
      <c r="I479" s="2579"/>
      <c r="J479" s="2579"/>
      <c r="K479" s="2579"/>
      <c r="L479" s="2579"/>
      <c r="M479" s="2579"/>
      <c r="N479" s="2579"/>
      <c r="O479" s="2579"/>
    </row>
    <row r="480" spans="1:15" s="2463" customFormat="1">
      <c r="A480" s="2462"/>
      <c r="B480" s="2462"/>
      <c r="C480" s="2462"/>
      <c r="D480" s="2462"/>
      <c r="E480" s="2462"/>
      <c r="F480" s="2462"/>
      <c r="G480" s="2462"/>
      <c r="H480" s="2462"/>
      <c r="I480" s="2579"/>
      <c r="J480" s="2579"/>
      <c r="K480" s="2579"/>
      <c r="L480" s="2579"/>
      <c r="M480" s="2579"/>
      <c r="N480" s="2579"/>
      <c r="O480" s="2579"/>
    </row>
    <row r="481" spans="1:15" s="2463" customFormat="1">
      <c r="A481" s="2462"/>
      <c r="B481" s="2462"/>
      <c r="C481" s="2462"/>
      <c r="D481" s="2462"/>
      <c r="E481" s="2462"/>
      <c r="F481" s="2462"/>
      <c r="G481" s="2462"/>
      <c r="H481" s="2462"/>
      <c r="I481" s="2579"/>
      <c r="J481" s="2579"/>
      <c r="K481" s="2579"/>
      <c r="L481" s="2579"/>
      <c r="M481" s="2579"/>
      <c r="N481" s="2579"/>
      <c r="O481" s="2579"/>
    </row>
    <row r="482" spans="1:15" s="2463" customFormat="1">
      <c r="A482" s="2462"/>
      <c r="B482" s="2462"/>
      <c r="C482" s="2462"/>
      <c r="D482" s="2462"/>
      <c r="E482" s="2462"/>
      <c r="F482" s="2462"/>
      <c r="G482" s="2462"/>
      <c r="H482" s="2462"/>
      <c r="I482" s="2579"/>
      <c r="J482" s="2579"/>
      <c r="K482" s="2579"/>
      <c r="L482" s="2579"/>
      <c r="M482" s="2579"/>
      <c r="N482" s="2579"/>
      <c r="O482" s="2579"/>
    </row>
    <row r="483" spans="1:15" s="2463" customFormat="1">
      <c r="A483" s="2462"/>
      <c r="B483" s="2462"/>
      <c r="C483" s="2462"/>
      <c r="D483" s="2462"/>
      <c r="E483" s="2462"/>
      <c r="F483" s="2462"/>
      <c r="G483" s="2462"/>
      <c r="H483" s="2462"/>
      <c r="I483" s="2579"/>
      <c r="J483" s="2579"/>
      <c r="K483" s="2579"/>
      <c r="L483" s="2579"/>
      <c r="M483" s="2579"/>
      <c r="N483" s="2579"/>
      <c r="O483" s="2579"/>
    </row>
    <row r="484" spans="1:15" s="2463" customFormat="1">
      <c r="A484" s="2462"/>
      <c r="B484" s="2462"/>
      <c r="C484" s="2462"/>
      <c r="D484" s="2462"/>
      <c r="E484" s="2462"/>
      <c r="F484" s="2462"/>
      <c r="G484" s="2462"/>
      <c r="H484" s="2462"/>
      <c r="I484" s="2579"/>
      <c r="J484" s="2579"/>
      <c r="K484" s="2579"/>
      <c r="L484" s="2579"/>
      <c r="M484" s="2579"/>
      <c r="N484" s="2579"/>
      <c r="O484" s="2579"/>
    </row>
    <row r="485" spans="1:15" s="2463" customFormat="1">
      <c r="A485" s="2462"/>
      <c r="B485" s="2462"/>
      <c r="C485" s="2462"/>
      <c r="D485" s="2462"/>
      <c r="E485" s="2462"/>
      <c r="F485" s="2462"/>
      <c r="G485" s="2462"/>
      <c r="H485" s="2462"/>
      <c r="I485" s="2579"/>
      <c r="J485" s="2579"/>
      <c r="K485" s="2579"/>
      <c r="L485" s="2579"/>
      <c r="M485" s="2579"/>
      <c r="N485" s="2579"/>
      <c r="O485" s="2579"/>
    </row>
    <row r="486" spans="1:15" s="2463" customFormat="1">
      <c r="A486" s="2462"/>
      <c r="B486" s="2462"/>
      <c r="C486" s="2462"/>
      <c r="D486" s="2462"/>
      <c r="E486" s="2462"/>
      <c r="F486" s="2462"/>
      <c r="G486" s="2462"/>
      <c r="H486" s="2462"/>
      <c r="I486" s="2579"/>
      <c r="J486" s="2579"/>
      <c r="K486" s="2579"/>
      <c r="L486" s="2579"/>
      <c r="M486" s="2579"/>
      <c r="N486" s="2579"/>
      <c r="O486" s="2579"/>
    </row>
    <row r="487" spans="1:15" s="2463" customFormat="1">
      <c r="A487" s="2462"/>
      <c r="B487" s="2462"/>
      <c r="C487" s="2462"/>
      <c r="D487" s="2462"/>
      <c r="E487" s="2462"/>
      <c r="F487" s="2462"/>
      <c r="G487" s="2462"/>
      <c r="H487" s="2462"/>
      <c r="I487" s="2579"/>
      <c r="J487" s="2579"/>
      <c r="K487" s="2579"/>
      <c r="L487" s="2579"/>
      <c r="M487" s="2579"/>
      <c r="N487" s="2579"/>
      <c r="O487" s="2579"/>
    </row>
    <row r="488" spans="1:15" s="2463" customFormat="1">
      <c r="A488" s="2462"/>
      <c r="B488" s="2462"/>
      <c r="C488" s="2462"/>
      <c r="D488" s="2462"/>
      <c r="E488" s="2462"/>
      <c r="F488" s="2462"/>
      <c r="G488" s="2462"/>
      <c r="H488" s="2462"/>
      <c r="I488" s="2579"/>
      <c r="J488" s="2579"/>
      <c r="K488" s="2579"/>
      <c r="L488" s="2579"/>
      <c r="M488" s="2579"/>
      <c r="N488" s="2579"/>
      <c r="O488" s="2579"/>
    </row>
    <row r="489" spans="1:15" s="2463" customFormat="1">
      <c r="A489" s="2462"/>
      <c r="B489" s="2462"/>
      <c r="C489" s="2462"/>
      <c r="D489" s="2462"/>
      <c r="E489" s="2462"/>
      <c r="F489" s="2462"/>
      <c r="G489" s="2462"/>
      <c r="H489" s="2462"/>
      <c r="I489" s="2579"/>
      <c r="J489" s="2579"/>
      <c r="K489" s="2579"/>
      <c r="L489" s="2579"/>
      <c r="M489" s="2579"/>
      <c r="N489" s="2579"/>
      <c r="O489" s="2579"/>
    </row>
    <row r="490" spans="1:15" s="2463" customFormat="1">
      <c r="A490" s="2462"/>
      <c r="B490" s="2462"/>
      <c r="C490" s="2462"/>
      <c r="D490" s="2462"/>
      <c r="E490" s="2462"/>
      <c r="F490" s="2462"/>
      <c r="G490" s="2462"/>
      <c r="H490" s="2462"/>
      <c r="I490" s="2579"/>
      <c r="J490" s="2579"/>
      <c r="K490" s="2579"/>
      <c r="L490" s="2579"/>
      <c r="M490" s="2579"/>
      <c r="N490" s="2579"/>
      <c r="O490" s="2579"/>
    </row>
    <row r="491" spans="1:15" s="2463" customFormat="1">
      <c r="A491" s="2462"/>
      <c r="B491" s="2462"/>
      <c r="C491" s="2462"/>
      <c r="D491" s="2462"/>
      <c r="E491" s="2462"/>
      <c r="F491" s="2462"/>
      <c r="G491" s="2462"/>
      <c r="H491" s="2462"/>
      <c r="I491" s="2579"/>
      <c r="J491" s="2579"/>
      <c r="K491" s="2579"/>
      <c r="L491" s="2579"/>
      <c r="M491" s="2579"/>
      <c r="N491" s="2579"/>
      <c r="O491" s="2579"/>
    </row>
    <row r="492" spans="1:15" s="2463" customFormat="1">
      <c r="A492" s="2462"/>
      <c r="B492" s="2462"/>
      <c r="C492" s="2462"/>
      <c r="D492" s="2462"/>
      <c r="E492" s="2462"/>
      <c r="F492" s="2462"/>
      <c r="G492" s="2462"/>
      <c r="H492" s="2462"/>
      <c r="I492" s="2579"/>
      <c r="J492" s="2579"/>
      <c r="K492" s="2579"/>
      <c r="L492" s="2579"/>
      <c r="M492" s="2579"/>
      <c r="N492" s="2579"/>
      <c r="O492" s="2579"/>
    </row>
    <row r="493" spans="1:15" s="2463" customFormat="1">
      <c r="A493" s="2462"/>
      <c r="B493" s="2462"/>
      <c r="C493" s="2462"/>
      <c r="D493" s="2462"/>
      <c r="E493" s="2462"/>
      <c r="F493" s="2462"/>
      <c r="G493" s="2462"/>
      <c r="H493" s="2462"/>
      <c r="I493" s="2579"/>
      <c r="J493" s="2579"/>
      <c r="K493" s="2579"/>
      <c r="L493" s="2579"/>
      <c r="M493" s="2579"/>
      <c r="N493" s="2579"/>
      <c r="O493" s="2579"/>
    </row>
    <row r="494" spans="1:15" s="2463" customFormat="1">
      <c r="A494" s="2462"/>
      <c r="B494" s="2462"/>
      <c r="C494" s="2462"/>
      <c r="D494" s="2462"/>
      <c r="E494" s="2462"/>
      <c r="F494" s="2462"/>
      <c r="G494" s="2462"/>
      <c r="H494" s="2462"/>
      <c r="I494" s="2579"/>
      <c r="J494" s="2579"/>
      <c r="K494" s="2579"/>
      <c r="L494" s="2579"/>
      <c r="M494" s="2579"/>
      <c r="N494" s="2579"/>
      <c r="O494" s="2579"/>
    </row>
    <row r="495" spans="1:15" s="2463" customFormat="1">
      <c r="A495" s="2462"/>
      <c r="B495" s="2462"/>
      <c r="C495" s="2462"/>
      <c r="D495" s="2462"/>
      <c r="E495" s="2462"/>
      <c r="F495" s="2462"/>
      <c r="G495" s="2462"/>
      <c r="H495" s="2462"/>
      <c r="I495" s="2579"/>
      <c r="J495" s="2579"/>
      <c r="K495" s="2579"/>
      <c r="L495" s="2579"/>
      <c r="M495" s="2579"/>
      <c r="N495" s="2579"/>
      <c r="O495" s="2579"/>
    </row>
    <row r="496" spans="1:15" s="2463" customFormat="1">
      <c r="A496" s="2462"/>
      <c r="B496" s="2462"/>
      <c r="C496" s="2462"/>
      <c r="D496" s="2462"/>
      <c r="E496" s="2462"/>
      <c r="F496" s="2462"/>
      <c r="G496" s="2462"/>
      <c r="H496" s="2462"/>
      <c r="I496" s="2579"/>
      <c r="J496" s="2579"/>
      <c r="K496" s="2579"/>
      <c r="L496" s="2579"/>
      <c r="M496" s="2579"/>
      <c r="N496" s="2579"/>
      <c r="O496" s="2579"/>
    </row>
    <row r="502" spans="1:15" s="2463" customFormat="1">
      <c r="A502" s="2462"/>
      <c r="B502" s="2462"/>
      <c r="C502" s="2462"/>
      <c r="D502" s="2462"/>
      <c r="E502" s="2462"/>
      <c r="F502" s="2462"/>
      <c r="G502" s="2462"/>
      <c r="H502" s="2462"/>
      <c r="I502" s="2579"/>
      <c r="J502" s="2579"/>
      <c r="K502" s="2579"/>
      <c r="L502" s="2579"/>
      <c r="M502" s="2579"/>
      <c r="N502" s="2579"/>
      <c r="O502" s="2579"/>
    </row>
    <row r="503" spans="1:15" s="2463" customFormat="1">
      <c r="A503" s="2462"/>
      <c r="B503" s="2462"/>
      <c r="C503" s="2462"/>
      <c r="D503" s="2462"/>
      <c r="E503" s="2462"/>
      <c r="F503" s="2462"/>
      <c r="G503" s="2462"/>
      <c r="H503" s="2462"/>
      <c r="I503" s="2579"/>
      <c r="J503" s="2579"/>
      <c r="K503" s="2579"/>
      <c r="L503" s="2579"/>
      <c r="M503" s="2579"/>
      <c r="N503" s="2579"/>
      <c r="O503" s="2579"/>
    </row>
    <row r="504" spans="1:15" s="2463" customFormat="1">
      <c r="A504" s="2462"/>
      <c r="B504" s="2462"/>
      <c r="C504" s="2462"/>
      <c r="D504" s="2462"/>
      <c r="E504" s="2462"/>
      <c r="F504" s="2462"/>
      <c r="G504" s="2462"/>
      <c r="H504" s="2462"/>
      <c r="I504" s="2579"/>
      <c r="J504" s="2579"/>
      <c r="K504" s="2579"/>
      <c r="L504" s="2579"/>
      <c r="M504" s="2579"/>
      <c r="N504" s="2579"/>
      <c r="O504" s="2579"/>
    </row>
    <row r="505" spans="1:15" s="2463" customFormat="1">
      <c r="A505" s="2462"/>
      <c r="B505" s="2462"/>
      <c r="C505" s="2462"/>
      <c r="D505" s="2462"/>
      <c r="E505" s="2462"/>
      <c r="F505" s="2462"/>
      <c r="G505" s="2462"/>
      <c r="H505" s="2462"/>
      <c r="I505" s="2579"/>
      <c r="J505" s="2579"/>
      <c r="K505" s="2579"/>
      <c r="L505" s="2579"/>
      <c r="M505" s="2579"/>
      <c r="N505" s="2579"/>
      <c r="O505" s="2579"/>
    </row>
    <row r="506" spans="1:15" s="2463" customFormat="1">
      <c r="A506" s="2462"/>
      <c r="B506" s="2462"/>
      <c r="C506" s="2462"/>
      <c r="D506" s="2462"/>
      <c r="E506" s="2462"/>
      <c r="F506" s="2462"/>
      <c r="G506" s="2462"/>
      <c r="H506" s="2462"/>
      <c r="I506" s="2579"/>
      <c r="J506" s="2579"/>
      <c r="K506" s="2579"/>
      <c r="L506" s="2579"/>
      <c r="M506" s="2579"/>
      <c r="N506" s="2579"/>
      <c r="O506" s="2579"/>
    </row>
    <row r="507" spans="1:15" s="2463" customFormat="1">
      <c r="A507" s="2462"/>
      <c r="B507" s="2462"/>
      <c r="C507" s="2462"/>
      <c r="D507" s="2462"/>
      <c r="E507" s="2462"/>
      <c r="F507" s="2462"/>
      <c r="G507" s="2462"/>
      <c r="H507" s="2462"/>
      <c r="I507" s="2579"/>
      <c r="J507" s="2579"/>
      <c r="K507" s="2579"/>
      <c r="L507" s="2579"/>
      <c r="M507" s="2579"/>
      <c r="N507" s="2579"/>
      <c r="O507" s="2579"/>
    </row>
    <row r="508" spans="1:15" s="2463" customFormat="1">
      <c r="A508" s="2462"/>
      <c r="B508" s="2462"/>
      <c r="C508" s="2462"/>
      <c r="D508" s="2462"/>
      <c r="E508" s="2462"/>
      <c r="F508" s="2462"/>
      <c r="G508" s="2462"/>
      <c r="H508" s="2462"/>
      <c r="I508" s="2579"/>
      <c r="J508" s="2579"/>
      <c r="K508" s="2579"/>
      <c r="L508" s="2579"/>
      <c r="M508" s="2579"/>
      <c r="N508" s="2579"/>
      <c r="O508" s="2579"/>
    </row>
    <row r="509" spans="1:15" s="2463" customFormat="1">
      <c r="A509" s="2462"/>
      <c r="B509" s="2462"/>
      <c r="C509" s="2462"/>
      <c r="D509" s="2462"/>
      <c r="E509" s="2462"/>
      <c r="F509" s="2462"/>
      <c r="G509" s="2462"/>
      <c r="H509" s="2462"/>
      <c r="I509" s="2579"/>
      <c r="J509" s="2579"/>
      <c r="K509" s="2579"/>
      <c r="L509" s="2579"/>
      <c r="M509" s="2579"/>
      <c r="N509" s="2579"/>
      <c r="O509" s="2579"/>
    </row>
    <row r="510" spans="1:15" s="2463" customFormat="1">
      <c r="A510" s="2462"/>
      <c r="B510" s="2462"/>
      <c r="C510" s="2462"/>
      <c r="D510" s="2462"/>
      <c r="E510" s="2462"/>
      <c r="F510" s="2462"/>
      <c r="G510" s="2462"/>
      <c r="H510" s="2462"/>
      <c r="I510" s="2579"/>
      <c r="J510" s="2579"/>
      <c r="K510" s="2579"/>
      <c r="L510" s="2579"/>
      <c r="M510" s="2579"/>
      <c r="N510" s="2579"/>
      <c r="O510" s="2579"/>
    </row>
    <row r="511" spans="1:15" s="2463" customFormat="1">
      <c r="A511" s="2462"/>
      <c r="B511" s="2462"/>
      <c r="C511" s="2462"/>
      <c r="D511" s="2462"/>
      <c r="E511" s="2462"/>
      <c r="F511" s="2462"/>
      <c r="G511" s="2462"/>
      <c r="H511" s="2462"/>
      <c r="I511" s="2579"/>
      <c r="J511" s="2579"/>
      <c r="K511" s="2579"/>
      <c r="L511" s="2579"/>
      <c r="M511" s="2579"/>
      <c r="N511" s="2579"/>
      <c r="O511" s="2579"/>
    </row>
    <row r="512" spans="1:15" s="2463" customFormat="1">
      <c r="A512" s="2462"/>
      <c r="B512" s="2462"/>
      <c r="C512" s="2462"/>
      <c r="D512" s="2462"/>
      <c r="E512" s="2462"/>
      <c r="F512" s="2462"/>
      <c r="G512" s="2462"/>
      <c r="H512" s="2462"/>
      <c r="I512" s="2579"/>
      <c r="J512" s="2579"/>
      <c r="K512" s="2579"/>
      <c r="L512" s="2579"/>
      <c r="M512" s="2579"/>
      <c r="N512" s="2579"/>
      <c r="O512" s="2579"/>
    </row>
    <row r="513" spans="1:15" s="2463" customFormat="1">
      <c r="A513" s="2462"/>
      <c r="B513" s="2462"/>
      <c r="C513" s="2462"/>
      <c r="D513" s="2462"/>
      <c r="E513" s="2462"/>
      <c r="F513" s="2462"/>
      <c r="G513" s="2462"/>
      <c r="H513" s="2462"/>
      <c r="I513" s="2579"/>
      <c r="J513" s="2579"/>
      <c r="K513" s="2579"/>
      <c r="L513" s="2579"/>
      <c r="M513" s="2579"/>
      <c r="N513" s="2579"/>
      <c r="O513" s="2579"/>
    </row>
    <row r="514" spans="1:15" s="2463" customFormat="1">
      <c r="A514" s="2462"/>
      <c r="B514" s="2462"/>
      <c r="C514" s="2462"/>
      <c r="D514" s="2462"/>
      <c r="E514" s="2462"/>
      <c r="F514" s="2462"/>
      <c r="G514" s="2462"/>
      <c r="H514" s="2462"/>
      <c r="I514" s="2579"/>
      <c r="J514" s="2579"/>
      <c r="K514" s="2579"/>
      <c r="L514" s="2579"/>
      <c r="M514" s="2579"/>
      <c r="N514" s="2579"/>
      <c r="O514" s="2579"/>
    </row>
    <row r="515" spans="1:15" s="2463" customFormat="1">
      <c r="A515" s="2462"/>
      <c r="B515" s="2462"/>
      <c r="C515" s="2462"/>
      <c r="D515" s="2462"/>
      <c r="E515" s="2462"/>
      <c r="F515" s="2462"/>
      <c r="G515" s="2462"/>
      <c r="H515" s="2462"/>
      <c r="I515" s="2579"/>
      <c r="J515" s="2579"/>
      <c r="K515" s="2579"/>
      <c r="L515" s="2579"/>
      <c r="M515" s="2579"/>
      <c r="N515" s="2579"/>
      <c r="O515" s="2579"/>
    </row>
    <row r="516" spans="1:15" s="2463" customFormat="1">
      <c r="A516" s="2462"/>
      <c r="B516" s="2462"/>
      <c r="C516" s="2462"/>
      <c r="D516" s="2462"/>
      <c r="E516" s="2462"/>
      <c r="F516" s="2462"/>
      <c r="G516" s="2462"/>
      <c r="H516" s="2462"/>
      <c r="I516" s="2579"/>
      <c r="J516" s="2579"/>
      <c r="K516" s="2579"/>
      <c r="L516" s="2579"/>
      <c r="M516" s="2579"/>
      <c r="N516" s="2579"/>
      <c r="O516" s="2579"/>
    </row>
    <row r="517" spans="1:15" s="2463" customFormat="1">
      <c r="A517" s="2462"/>
      <c r="B517" s="2462"/>
      <c r="C517" s="2462"/>
      <c r="D517" s="2462"/>
      <c r="E517" s="2462"/>
      <c r="F517" s="2462"/>
      <c r="G517" s="2462"/>
      <c r="H517" s="2462"/>
      <c r="I517" s="2579"/>
      <c r="J517" s="2579"/>
      <c r="K517" s="2579"/>
      <c r="L517" s="2579"/>
      <c r="M517" s="2579"/>
      <c r="N517" s="2579"/>
      <c r="O517" s="2579"/>
    </row>
    <row r="518" spans="1:15" s="2463" customFormat="1">
      <c r="A518" s="2462"/>
      <c r="B518" s="2462"/>
      <c r="C518" s="2462"/>
      <c r="D518" s="2462"/>
      <c r="E518" s="2462"/>
      <c r="F518" s="2462"/>
      <c r="G518" s="2462"/>
      <c r="H518" s="2462"/>
      <c r="I518" s="2579"/>
      <c r="J518" s="2579"/>
      <c r="K518" s="2579"/>
      <c r="L518" s="2579"/>
      <c r="M518" s="2579"/>
      <c r="N518" s="2579"/>
      <c r="O518" s="2579"/>
    </row>
    <row r="519" spans="1:15" s="2463" customFormat="1">
      <c r="A519" s="2462"/>
      <c r="B519" s="2462"/>
      <c r="C519" s="2462"/>
      <c r="D519" s="2462"/>
      <c r="E519" s="2462"/>
      <c r="F519" s="2462"/>
      <c r="G519" s="2462"/>
      <c r="H519" s="2462"/>
      <c r="I519" s="2579"/>
      <c r="J519" s="2579"/>
      <c r="K519" s="2579"/>
      <c r="L519" s="2579"/>
      <c r="M519" s="2579"/>
      <c r="N519" s="2579"/>
      <c r="O519" s="2579"/>
    </row>
    <row r="520" spans="1:15" s="2463" customFormat="1">
      <c r="A520" s="2462"/>
      <c r="B520" s="2462"/>
      <c r="C520" s="2462"/>
      <c r="D520" s="2462"/>
      <c r="E520" s="2462"/>
      <c r="F520" s="2462"/>
      <c r="G520" s="2462"/>
      <c r="H520" s="2462"/>
      <c r="I520" s="2579"/>
      <c r="J520" s="2579"/>
      <c r="K520" s="2579"/>
      <c r="L520" s="2579"/>
      <c r="M520" s="2579"/>
      <c r="N520" s="2579"/>
      <c r="O520" s="2579"/>
    </row>
    <row r="521" spans="1:15" s="2463" customFormat="1">
      <c r="A521" s="2462"/>
      <c r="B521" s="2462"/>
      <c r="C521" s="2462"/>
      <c r="D521" s="2462"/>
      <c r="E521" s="2462"/>
      <c r="F521" s="2462"/>
      <c r="G521" s="2462"/>
      <c r="H521" s="2462"/>
      <c r="I521" s="2579"/>
      <c r="J521" s="2579"/>
      <c r="K521" s="2579"/>
      <c r="L521" s="2579"/>
      <c r="M521" s="2579"/>
      <c r="N521" s="2579"/>
      <c r="O521" s="2579"/>
    </row>
    <row r="522" spans="1:15" s="2463" customFormat="1">
      <c r="A522" s="2462"/>
      <c r="B522" s="2462"/>
      <c r="C522" s="2462"/>
      <c r="D522" s="2462"/>
      <c r="E522" s="2462"/>
      <c r="F522" s="2462"/>
      <c r="G522" s="2462"/>
      <c r="H522" s="2462"/>
      <c r="I522" s="2579"/>
      <c r="J522" s="2579"/>
      <c r="K522" s="2579"/>
      <c r="L522" s="2579"/>
      <c r="M522" s="2579"/>
      <c r="N522" s="2579"/>
      <c r="O522" s="2579"/>
    </row>
    <row r="523" spans="1:15" s="2463" customFormat="1">
      <c r="A523" s="2462"/>
      <c r="B523" s="2462"/>
      <c r="C523" s="2462"/>
      <c r="D523" s="2462"/>
      <c r="E523" s="2462"/>
      <c r="F523" s="2462"/>
      <c r="G523" s="2462"/>
      <c r="H523" s="2462"/>
      <c r="I523" s="2579"/>
      <c r="J523" s="2579"/>
      <c r="K523" s="2579"/>
      <c r="L523" s="2579"/>
      <c r="M523" s="2579"/>
      <c r="N523" s="2579"/>
      <c r="O523" s="2579"/>
    </row>
    <row r="524" spans="1:15" s="2463" customFormat="1">
      <c r="A524" s="2462"/>
      <c r="B524" s="2462"/>
      <c r="C524" s="2462"/>
      <c r="D524" s="2462"/>
      <c r="E524" s="2462"/>
      <c r="F524" s="2462"/>
      <c r="G524" s="2462"/>
      <c r="H524" s="2462"/>
      <c r="I524" s="2579"/>
      <c r="J524" s="2579"/>
      <c r="K524" s="2579"/>
      <c r="L524" s="2579"/>
      <c r="M524" s="2579"/>
      <c r="N524" s="2579"/>
      <c r="O524" s="2579"/>
    </row>
    <row r="525" spans="1:15" s="2463" customFormat="1">
      <c r="A525" s="2462"/>
      <c r="B525" s="2462"/>
      <c r="C525" s="2462"/>
      <c r="D525" s="2462"/>
      <c r="E525" s="2462"/>
      <c r="F525" s="2462"/>
      <c r="G525" s="2462"/>
      <c r="H525" s="2462"/>
      <c r="I525" s="2579"/>
      <c r="J525" s="2579"/>
      <c r="K525" s="2579"/>
      <c r="L525" s="2579"/>
      <c r="M525" s="2579"/>
      <c r="N525" s="2579"/>
      <c r="O525" s="2579"/>
    </row>
    <row r="526" spans="1:15" s="2463" customFormat="1">
      <c r="A526" s="2462"/>
      <c r="B526" s="2462"/>
      <c r="C526" s="2462"/>
      <c r="D526" s="2462"/>
      <c r="E526" s="2462"/>
      <c r="F526" s="2462"/>
      <c r="G526" s="2462"/>
      <c r="H526" s="2462"/>
      <c r="I526" s="2579"/>
      <c r="J526" s="2579"/>
      <c r="K526" s="2579"/>
      <c r="L526" s="2579"/>
      <c r="M526" s="2579"/>
      <c r="N526" s="2579"/>
      <c r="O526" s="2579"/>
    </row>
    <row r="527" spans="1:15" s="2463" customFormat="1">
      <c r="A527" s="2462"/>
      <c r="B527" s="2462"/>
      <c r="C527" s="2462"/>
      <c r="D527" s="2462"/>
      <c r="E527" s="2462"/>
      <c r="F527" s="2462"/>
      <c r="G527" s="2462"/>
      <c r="H527" s="2462"/>
      <c r="I527" s="2579"/>
      <c r="J527" s="2579"/>
      <c r="K527" s="2579"/>
      <c r="L527" s="2579"/>
      <c r="M527" s="2579"/>
      <c r="N527" s="2579"/>
      <c r="O527" s="2579"/>
    </row>
    <row r="528" spans="1:15" s="2463" customFormat="1">
      <c r="A528" s="2462"/>
      <c r="B528" s="2462"/>
      <c r="C528" s="2462"/>
      <c r="D528" s="2462"/>
      <c r="E528" s="2462"/>
      <c r="F528" s="2462"/>
      <c r="G528" s="2462"/>
      <c r="H528" s="2462"/>
      <c r="I528" s="2579"/>
      <c r="J528" s="2579"/>
      <c r="K528" s="2579"/>
      <c r="L528" s="2579"/>
      <c r="M528" s="2579"/>
      <c r="N528" s="2579"/>
      <c r="O528" s="2579"/>
    </row>
    <row r="529" spans="1:15" s="2463" customFormat="1">
      <c r="A529" s="2462"/>
      <c r="B529" s="2462"/>
      <c r="C529" s="2462"/>
      <c r="D529" s="2462"/>
      <c r="E529" s="2462"/>
      <c r="F529" s="2462"/>
      <c r="G529" s="2462"/>
      <c r="H529" s="2462"/>
      <c r="I529" s="2579"/>
      <c r="J529" s="2579"/>
      <c r="K529" s="2579"/>
      <c r="L529" s="2579"/>
      <c r="M529" s="2579"/>
      <c r="N529" s="2579"/>
      <c r="O529" s="2579"/>
    </row>
    <row r="530" spans="1:15" s="2463" customFormat="1">
      <c r="A530" s="2462"/>
      <c r="B530" s="2462"/>
      <c r="C530" s="2462"/>
      <c r="D530" s="2462"/>
      <c r="E530" s="2462"/>
      <c r="F530" s="2462"/>
      <c r="G530" s="2462"/>
      <c r="H530" s="2462"/>
      <c r="I530" s="2579"/>
      <c r="J530" s="2579"/>
      <c r="K530" s="2579"/>
      <c r="L530" s="2579"/>
      <c r="M530" s="2579"/>
      <c r="N530" s="2579"/>
      <c r="O530" s="2579"/>
    </row>
    <row r="531" spans="1:15" s="2463" customFormat="1">
      <c r="A531" s="2462"/>
      <c r="B531" s="2462"/>
      <c r="C531" s="2462"/>
      <c r="D531" s="2462"/>
      <c r="E531" s="2462"/>
      <c r="F531" s="2462"/>
      <c r="G531" s="2462"/>
      <c r="H531" s="2462"/>
      <c r="I531" s="2579"/>
      <c r="J531" s="2579"/>
      <c r="K531" s="2579"/>
      <c r="L531" s="2579"/>
      <c r="M531" s="2579"/>
      <c r="N531" s="2579"/>
      <c r="O531" s="2579"/>
    </row>
    <row r="532" spans="1:15" s="2463" customFormat="1">
      <c r="A532" s="2462"/>
      <c r="B532" s="2462"/>
      <c r="C532" s="2462"/>
      <c r="D532" s="2462"/>
      <c r="E532" s="2462"/>
      <c r="F532" s="2462"/>
      <c r="G532" s="2462"/>
      <c r="H532" s="2462"/>
      <c r="I532" s="2579"/>
      <c r="J532" s="2579"/>
      <c r="K532" s="2579"/>
      <c r="L532" s="2579"/>
      <c r="M532" s="2579"/>
      <c r="N532" s="2579"/>
      <c r="O532" s="2579"/>
    </row>
    <row r="533" spans="1:15" s="2463" customFormat="1">
      <c r="A533" s="2462"/>
      <c r="B533" s="2462"/>
      <c r="C533" s="2462"/>
      <c r="D533" s="2462"/>
      <c r="E533" s="2462"/>
      <c r="F533" s="2462"/>
      <c r="G533" s="2462"/>
      <c r="H533" s="2462"/>
      <c r="I533" s="2579"/>
      <c r="J533" s="2579"/>
      <c r="K533" s="2579"/>
      <c r="L533" s="2579"/>
      <c r="M533" s="2579"/>
      <c r="N533" s="2579"/>
      <c r="O533" s="2579"/>
    </row>
    <row r="534" spans="1:15" s="2463" customFormat="1">
      <c r="A534" s="2462"/>
      <c r="B534" s="2462"/>
      <c r="C534" s="2462"/>
      <c r="D534" s="2462"/>
      <c r="E534" s="2462"/>
      <c r="F534" s="2462"/>
      <c r="G534" s="2462"/>
      <c r="H534" s="2462"/>
      <c r="I534" s="2579"/>
      <c r="J534" s="2579"/>
      <c r="K534" s="2579"/>
      <c r="L534" s="2579"/>
      <c r="M534" s="2579"/>
      <c r="N534" s="2579"/>
      <c r="O534" s="2579"/>
    </row>
    <row r="535" spans="1:15" s="2463" customFormat="1">
      <c r="A535" s="2462"/>
      <c r="B535" s="2462"/>
      <c r="C535" s="2462"/>
      <c r="D535" s="2462"/>
      <c r="E535" s="2462"/>
      <c r="F535" s="2462"/>
      <c r="G535" s="2462"/>
      <c r="H535" s="2462"/>
      <c r="I535" s="2579"/>
      <c r="J535" s="2579"/>
      <c r="K535" s="2579"/>
      <c r="L535" s="2579"/>
      <c r="M535" s="2579"/>
      <c r="N535" s="2579"/>
      <c r="O535" s="2579"/>
    </row>
    <row r="536" spans="1:15" s="2463" customFormat="1">
      <c r="A536" s="2462"/>
      <c r="B536" s="2462"/>
      <c r="C536" s="2462"/>
      <c r="D536" s="2462"/>
      <c r="E536" s="2462"/>
      <c r="F536" s="2462"/>
      <c r="G536" s="2462"/>
      <c r="H536" s="2462"/>
      <c r="I536" s="2579"/>
      <c r="J536" s="2579"/>
      <c r="K536" s="2579"/>
      <c r="L536" s="2579"/>
      <c r="M536" s="2579"/>
      <c r="N536" s="2579"/>
      <c r="O536" s="2579"/>
    </row>
    <row r="537" spans="1:15" s="2463" customFormat="1">
      <c r="A537" s="2462"/>
      <c r="B537" s="2462"/>
      <c r="C537" s="2462"/>
      <c r="D537" s="2462"/>
      <c r="E537" s="2462"/>
      <c r="F537" s="2462"/>
      <c r="G537" s="2462"/>
      <c r="H537" s="2462"/>
      <c r="I537" s="2579"/>
      <c r="J537" s="2579"/>
      <c r="K537" s="2579"/>
      <c r="L537" s="2579"/>
      <c r="M537" s="2579"/>
      <c r="N537" s="2579"/>
      <c r="O537" s="2579"/>
    </row>
    <row r="538" spans="1:15" s="2463" customFormat="1">
      <c r="A538" s="2462"/>
      <c r="B538" s="2462"/>
      <c r="C538" s="2462"/>
      <c r="D538" s="2462"/>
      <c r="E538" s="2462"/>
      <c r="F538" s="2462"/>
      <c r="G538" s="2462"/>
      <c r="H538" s="2462"/>
      <c r="I538" s="2579"/>
      <c r="J538" s="2579"/>
      <c r="K538" s="2579"/>
      <c r="L538" s="2579"/>
      <c r="M538" s="2579"/>
      <c r="N538" s="2579"/>
      <c r="O538" s="2579"/>
    </row>
    <row r="539" spans="1:15" s="2463" customFormat="1">
      <c r="A539" s="2462"/>
      <c r="B539" s="2462"/>
      <c r="C539" s="2462"/>
      <c r="D539" s="2462"/>
      <c r="E539" s="2462"/>
      <c r="F539" s="2462"/>
      <c r="G539" s="2462"/>
      <c r="H539" s="2462"/>
      <c r="I539" s="2579"/>
      <c r="J539" s="2579"/>
      <c r="K539" s="2579"/>
      <c r="L539" s="2579"/>
      <c r="M539" s="2579"/>
      <c r="N539" s="2579"/>
      <c r="O539" s="2579"/>
    </row>
    <row r="540" spans="1:15" s="2463" customFormat="1">
      <c r="A540" s="2462"/>
      <c r="B540" s="2462"/>
      <c r="C540" s="2462"/>
      <c r="D540" s="2462"/>
      <c r="E540" s="2462"/>
      <c r="F540" s="2462"/>
      <c r="G540" s="2462"/>
      <c r="H540" s="2462"/>
      <c r="I540" s="2579"/>
      <c r="J540" s="2579"/>
      <c r="K540" s="2579"/>
      <c r="L540" s="2579"/>
      <c r="M540" s="2579"/>
      <c r="N540" s="2579"/>
      <c r="O540" s="2579"/>
    </row>
    <row r="547" spans="1:15" s="2463" customFormat="1">
      <c r="A547" s="2462"/>
      <c r="B547" s="2462"/>
      <c r="C547" s="2462"/>
      <c r="D547" s="2462"/>
      <c r="E547" s="2462"/>
      <c r="F547" s="2462"/>
      <c r="G547" s="2462"/>
      <c r="H547" s="2462"/>
      <c r="I547" s="2579"/>
      <c r="J547" s="2579"/>
      <c r="K547" s="2579"/>
      <c r="L547" s="2579"/>
      <c r="M547" s="2579"/>
      <c r="N547" s="2579"/>
      <c r="O547" s="2579"/>
    </row>
    <row r="548" spans="1:15" s="2463" customFormat="1">
      <c r="A548" s="2462"/>
      <c r="B548" s="2462"/>
      <c r="C548" s="2462"/>
      <c r="D548" s="2462"/>
      <c r="E548" s="2462"/>
      <c r="F548" s="2462"/>
      <c r="G548" s="2462"/>
      <c r="H548" s="2462"/>
      <c r="I548" s="2579"/>
      <c r="J548" s="2579"/>
      <c r="K548" s="2579"/>
      <c r="L548" s="2579"/>
      <c r="M548" s="2579"/>
      <c r="N548" s="2579"/>
      <c r="O548" s="2579"/>
    </row>
    <row r="549" spans="1:15" s="2463" customFormat="1">
      <c r="A549" s="2462"/>
      <c r="B549" s="2462"/>
      <c r="C549" s="2462"/>
      <c r="D549" s="2462"/>
      <c r="E549" s="2462"/>
      <c r="F549" s="2462"/>
      <c r="G549" s="2462"/>
      <c r="H549" s="2462"/>
      <c r="I549" s="2579"/>
      <c r="J549" s="2579"/>
      <c r="K549" s="2579"/>
      <c r="L549" s="2579"/>
      <c r="M549" s="2579"/>
      <c r="N549" s="2579"/>
      <c r="O549" s="2579"/>
    </row>
    <row r="550" spans="1:15" s="2463" customFormat="1">
      <c r="A550" s="2462"/>
      <c r="B550" s="2462"/>
      <c r="C550" s="2462"/>
      <c r="D550" s="2462"/>
      <c r="E550" s="2462"/>
      <c r="F550" s="2462"/>
      <c r="G550" s="2462"/>
      <c r="H550" s="2462"/>
      <c r="I550" s="2579"/>
      <c r="J550" s="2579"/>
      <c r="K550" s="2579"/>
      <c r="L550" s="2579"/>
      <c r="M550" s="2579"/>
      <c r="N550" s="2579"/>
      <c r="O550" s="2579"/>
    </row>
    <row r="551" spans="1:15" s="2463" customFormat="1">
      <c r="A551" s="2462"/>
      <c r="B551" s="2462"/>
      <c r="C551" s="2462"/>
      <c r="D551" s="2462"/>
      <c r="E551" s="2462"/>
      <c r="F551" s="2462"/>
      <c r="G551" s="2462"/>
      <c r="H551" s="2462"/>
      <c r="I551" s="2579"/>
      <c r="J551" s="2579"/>
      <c r="K551" s="2579"/>
      <c r="L551" s="2579"/>
      <c r="M551" s="2579"/>
      <c r="N551" s="2579"/>
      <c r="O551" s="2579"/>
    </row>
    <row r="552" spans="1:15" s="2463" customFormat="1">
      <c r="A552" s="2462"/>
      <c r="B552" s="2462"/>
      <c r="C552" s="2462"/>
      <c r="D552" s="2462"/>
      <c r="E552" s="2462"/>
      <c r="F552" s="2462"/>
      <c r="G552" s="2462"/>
      <c r="H552" s="2462"/>
      <c r="I552" s="2579"/>
      <c r="J552" s="2579"/>
      <c r="K552" s="2579"/>
      <c r="L552" s="2579"/>
      <c r="M552" s="2579"/>
      <c r="N552" s="2579"/>
      <c r="O552" s="2579"/>
    </row>
    <row r="553" spans="1:15" s="2463" customFormat="1">
      <c r="A553" s="2462"/>
      <c r="B553" s="2462"/>
      <c r="C553" s="2462"/>
      <c r="D553" s="2462"/>
      <c r="E553" s="2462"/>
      <c r="F553" s="2462"/>
      <c r="G553" s="2462"/>
      <c r="H553" s="2462"/>
      <c r="I553" s="2579"/>
      <c r="J553" s="2579"/>
      <c r="K553" s="2579"/>
      <c r="L553" s="2579"/>
      <c r="M553" s="2579"/>
      <c r="N553" s="2579"/>
      <c r="O553" s="2579"/>
    </row>
    <row r="554" spans="1:15" s="2463" customFormat="1">
      <c r="A554" s="2462"/>
      <c r="B554" s="2462"/>
      <c r="C554" s="2462"/>
      <c r="D554" s="2462"/>
      <c r="E554" s="2462"/>
      <c r="F554" s="2462"/>
      <c r="G554" s="2462"/>
      <c r="H554" s="2462"/>
      <c r="I554" s="2579"/>
      <c r="J554" s="2579"/>
      <c r="K554" s="2579"/>
      <c r="L554" s="2579"/>
      <c r="M554" s="2579"/>
      <c r="N554" s="2579"/>
      <c r="O554" s="2579"/>
    </row>
    <row r="555" spans="1:15" s="2463" customFormat="1">
      <c r="A555" s="2462"/>
      <c r="B555" s="2462"/>
      <c r="C555" s="2462"/>
      <c r="D555" s="2462"/>
      <c r="E555" s="2462"/>
      <c r="F555" s="2462"/>
      <c r="G555" s="2462"/>
      <c r="H555" s="2462"/>
      <c r="I555" s="2579"/>
      <c r="J555" s="2579"/>
      <c r="K555" s="2579"/>
      <c r="L555" s="2579"/>
      <c r="M555" s="2579"/>
      <c r="N555" s="2579"/>
      <c r="O555" s="2579"/>
    </row>
    <row r="556" spans="1:15" s="2463" customFormat="1">
      <c r="A556" s="2462"/>
      <c r="B556" s="2462"/>
      <c r="C556" s="2462"/>
      <c r="D556" s="2462"/>
      <c r="E556" s="2462"/>
      <c r="F556" s="2462"/>
      <c r="G556" s="2462"/>
      <c r="H556" s="2462"/>
      <c r="I556" s="2579"/>
      <c r="J556" s="2579"/>
      <c r="K556" s="2579"/>
      <c r="L556" s="2579"/>
      <c r="M556" s="2579"/>
      <c r="N556" s="2579"/>
      <c r="O556" s="2579"/>
    </row>
    <row r="557" spans="1:15" s="2463" customFormat="1">
      <c r="A557" s="2462"/>
      <c r="B557" s="2462"/>
      <c r="C557" s="2462"/>
      <c r="D557" s="2462"/>
      <c r="E557" s="2462"/>
      <c r="F557" s="2462"/>
      <c r="G557" s="2462"/>
      <c r="H557" s="2462"/>
      <c r="I557" s="2579"/>
      <c r="J557" s="2579"/>
      <c r="K557" s="2579"/>
      <c r="L557" s="2579"/>
      <c r="M557" s="2579"/>
      <c r="N557" s="2579"/>
      <c r="O557" s="2579"/>
    </row>
    <row r="558" spans="1:15" s="2463" customFormat="1">
      <c r="A558" s="2462"/>
      <c r="B558" s="2462"/>
      <c r="C558" s="2462"/>
      <c r="D558" s="2462"/>
      <c r="E558" s="2462"/>
      <c r="F558" s="2462"/>
      <c r="G558" s="2462"/>
      <c r="H558" s="2462"/>
      <c r="I558" s="2579"/>
      <c r="J558" s="2579"/>
      <c r="K558" s="2579"/>
      <c r="L558" s="2579"/>
      <c r="M558" s="2579"/>
      <c r="N558" s="2579"/>
      <c r="O558" s="2579"/>
    </row>
    <row r="559" spans="1:15" s="2463" customFormat="1">
      <c r="A559" s="2462"/>
      <c r="B559" s="2462"/>
      <c r="C559" s="2462"/>
      <c r="D559" s="2462"/>
      <c r="E559" s="2462"/>
      <c r="F559" s="2462"/>
      <c r="G559" s="2462"/>
      <c r="H559" s="2462"/>
      <c r="I559" s="2579"/>
      <c r="J559" s="2579"/>
      <c r="K559" s="2579"/>
      <c r="L559" s="2579"/>
      <c r="M559" s="2579"/>
      <c r="N559" s="2579"/>
      <c r="O559" s="2579"/>
    </row>
    <row r="560" spans="1:15" s="2463" customFormat="1">
      <c r="A560" s="2462"/>
      <c r="B560" s="2462"/>
      <c r="C560" s="2462"/>
      <c r="D560" s="2462"/>
      <c r="E560" s="2462"/>
      <c r="F560" s="2462"/>
      <c r="G560" s="2462"/>
      <c r="H560" s="2462"/>
      <c r="I560" s="2579"/>
      <c r="J560" s="2579"/>
      <c r="K560" s="2579"/>
      <c r="L560" s="2579"/>
      <c r="M560" s="2579"/>
      <c r="N560" s="2579"/>
      <c r="O560" s="2579"/>
    </row>
    <row r="561" spans="1:15" s="2463" customFormat="1">
      <c r="A561" s="2462"/>
      <c r="B561" s="2462"/>
      <c r="C561" s="2462"/>
      <c r="D561" s="2462"/>
      <c r="E561" s="2462"/>
      <c r="F561" s="2462"/>
      <c r="G561" s="2462"/>
      <c r="H561" s="2462"/>
      <c r="I561" s="2579"/>
      <c r="J561" s="2579"/>
      <c r="K561" s="2579"/>
      <c r="L561" s="2579"/>
      <c r="M561" s="2579"/>
      <c r="N561" s="2579"/>
      <c r="O561" s="2579"/>
    </row>
    <row r="562" spans="1:15" s="2463" customFormat="1">
      <c r="A562" s="2462"/>
      <c r="B562" s="2462"/>
      <c r="C562" s="2462"/>
      <c r="D562" s="2462"/>
      <c r="E562" s="2462"/>
      <c r="F562" s="2462"/>
      <c r="G562" s="2462"/>
      <c r="H562" s="2462"/>
      <c r="I562" s="2579"/>
      <c r="J562" s="2579"/>
      <c r="K562" s="2579"/>
      <c r="L562" s="2579"/>
      <c r="M562" s="2579"/>
      <c r="N562" s="2579"/>
      <c r="O562" s="2579"/>
    </row>
    <row r="563" spans="1:15" s="2463" customFormat="1">
      <c r="A563" s="2462"/>
      <c r="B563" s="2462"/>
      <c r="C563" s="2462"/>
      <c r="D563" s="2462"/>
      <c r="E563" s="2462"/>
      <c r="F563" s="2462"/>
      <c r="G563" s="2462"/>
      <c r="H563" s="2462"/>
      <c r="I563" s="2579"/>
      <c r="J563" s="2579"/>
      <c r="K563" s="2579"/>
      <c r="L563" s="2579"/>
      <c r="M563" s="2579"/>
      <c r="N563" s="2579"/>
      <c r="O563" s="2579"/>
    </row>
    <row r="564" spans="1:15" s="2463" customFormat="1" ht="7.5" customHeight="1">
      <c r="A564" s="2462"/>
      <c r="B564" s="2462"/>
      <c r="C564" s="2462"/>
      <c r="D564" s="2462"/>
      <c r="E564" s="2462"/>
      <c r="F564" s="2462"/>
      <c r="G564" s="2462"/>
      <c r="H564" s="2462"/>
      <c r="I564" s="2579"/>
      <c r="J564" s="2579"/>
      <c r="K564" s="2579"/>
      <c r="L564" s="2579"/>
      <c r="M564" s="2579"/>
      <c r="N564" s="2579"/>
      <c r="O564" s="2579"/>
    </row>
    <row r="565" spans="1:15" s="2463" customFormat="1" ht="7.5" customHeight="1">
      <c r="A565" s="2462"/>
      <c r="B565" s="2462"/>
      <c r="C565" s="2462"/>
      <c r="D565" s="2462"/>
      <c r="E565" s="2462"/>
      <c r="F565" s="2462"/>
      <c r="G565" s="2462"/>
      <c r="H565" s="2462"/>
      <c r="I565" s="2579"/>
      <c r="J565" s="2579"/>
      <c r="K565" s="2579"/>
      <c r="L565" s="2579"/>
      <c r="M565" s="2579"/>
      <c r="N565" s="2579"/>
      <c r="O565" s="2579"/>
    </row>
    <row r="566" spans="1:15" s="2463" customFormat="1" ht="7.5" customHeight="1">
      <c r="A566" s="2462"/>
      <c r="B566" s="2462"/>
      <c r="C566" s="2462"/>
      <c r="D566" s="2462"/>
      <c r="E566" s="2462"/>
      <c r="F566" s="2462"/>
      <c r="G566" s="2462"/>
      <c r="H566" s="2462"/>
      <c r="I566" s="2579"/>
      <c r="J566" s="2579"/>
      <c r="K566" s="2579"/>
      <c r="L566" s="2579"/>
      <c r="M566" s="2579"/>
      <c r="N566" s="2579"/>
      <c r="O566" s="2579"/>
    </row>
    <row r="567" spans="1:15" s="2463" customFormat="1" ht="7.5" customHeight="1">
      <c r="A567" s="2462"/>
      <c r="B567" s="2462"/>
      <c r="C567" s="2462"/>
      <c r="D567" s="2462"/>
      <c r="E567" s="2462"/>
      <c r="F567" s="2462"/>
      <c r="G567" s="2462"/>
      <c r="H567" s="2462"/>
      <c r="I567" s="2579"/>
      <c r="J567" s="2579"/>
      <c r="K567" s="2579"/>
      <c r="L567" s="2579"/>
      <c r="M567" s="2579"/>
      <c r="N567" s="2579"/>
      <c r="O567" s="2579"/>
    </row>
    <row r="568" spans="1:15" s="2463" customFormat="1" ht="7.5" customHeight="1">
      <c r="A568" s="2462"/>
      <c r="B568" s="2462"/>
      <c r="C568" s="2462"/>
      <c r="D568" s="2462"/>
      <c r="E568" s="2462"/>
      <c r="F568" s="2462"/>
      <c r="G568" s="2462"/>
      <c r="H568" s="2462"/>
      <c r="I568" s="2579"/>
      <c r="J568" s="2579"/>
      <c r="K568" s="2579"/>
      <c r="L568" s="2579"/>
      <c r="M568" s="2579"/>
      <c r="N568" s="2579"/>
      <c r="O568" s="2579"/>
    </row>
    <row r="569" spans="1:15" s="2463" customFormat="1" ht="7.5" customHeight="1">
      <c r="A569" s="2462"/>
      <c r="B569" s="2462"/>
      <c r="C569" s="2462"/>
      <c r="D569" s="2462"/>
      <c r="E569" s="2462"/>
      <c r="F569" s="2462"/>
      <c r="G569" s="2462"/>
      <c r="H569" s="2462"/>
      <c r="I569" s="2579"/>
      <c r="J569" s="2579"/>
      <c r="K569" s="2579"/>
      <c r="L569" s="2579"/>
      <c r="M569" s="2579"/>
      <c r="N569" s="2579"/>
      <c r="O569" s="2579"/>
    </row>
    <row r="570" spans="1:15" s="2463" customFormat="1" ht="7.5" customHeight="1">
      <c r="A570" s="2462"/>
      <c r="B570" s="2462"/>
      <c r="C570" s="2462"/>
      <c r="D570" s="2462"/>
      <c r="E570" s="2462"/>
      <c r="F570" s="2462"/>
      <c r="G570" s="2462"/>
      <c r="H570" s="2462"/>
      <c r="I570" s="2579"/>
      <c r="J570" s="2579"/>
      <c r="K570" s="2579"/>
      <c r="L570" s="2579"/>
      <c r="M570" s="2579"/>
      <c r="N570" s="2579"/>
      <c r="O570" s="2579"/>
    </row>
    <row r="571" spans="1:15" s="2463" customFormat="1" ht="7.5" customHeight="1">
      <c r="A571" s="2462"/>
      <c r="B571" s="2462"/>
      <c r="C571" s="2462"/>
      <c r="D571" s="2462"/>
      <c r="E571" s="2462"/>
      <c r="F571" s="2462"/>
      <c r="G571" s="2462"/>
      <c r="H571" s="2462"/>
      <c r="I571" s="2579"/>
      <c r="J571" s="2579"/>
      <c r="K571" s="2579"/>
      <c r="L571" s="2579"/>
      <c r="M571" s="2579"/>
      <c r="N571" s="2579"/>
      <c r="O571" s="2579"/>
    </row>
    <row r="572" spans="1:15" s="2463" customFormat="1" ht="7.5" customHeight="1">
      <c r="A572" s="2462"/>
      <c r="B572" s="2462"/>
      <c r="C572" s="2462"/>
      <c r="D572" s="2462"/>
      <c r="E572" s="2462"/>
      <c r="F572" s="2462"/>
      <c r="G572" s="2462"/>
      <c r="H572" s="2462"/>
      <c r="I572" s="2579"/>
      <c r="J572" s="2579"/>
      <c r="K572" s="2579"/>
      <c r="L572" s="2579"/>
      <c r="M572" s="2579"/>
      <c r="N572" s="2579"/>
      <c r="O572" s="2579"/>
    </row>
    <row r="573" spans="1:15" s="2463" customFormat="1" ht="7.5" customHeight="1">
      <c r="A573" s="2462"/>
      <c r="B573" s="2462"/>
      <c r="C573" s="2462"/>
      <c r="D573" s="2462"/>
      <c r="E573" s="2462"/>
      <c r="F573" s="2462"/>
      <c r="G573" s="2462"/>
      <c r="H573" s="2462"/>
      <c r="I573" s="2579"/>
      <c r="J573" s="2579"/>
      <c r="K573" s="2579"/>
      <c r="L573" s="2579"/>
      <c r="M573" s="2579"/>
      <c r="N573" s="2579"/>
      <c r="O573" s="2579"/>
    </row>
    <row r="574" spans="1:15" s="2463" customFormat="1" ht="7.5" customHeight="1">
      <c r="A574" s="2462"/>
      <c r="B574" s="2462"/>
      <c r="C574" s="2462"/>
      <c r="D574" s="2462"/>
      <c r="E574" s="2462"/>
      <c r="F574" s="2462"/>
      <c r="G574" s="2462"/>
      <c r="H574" s="2462"/>
      <c r="I574" s="2579"/>
      <c r="J574" s="2579"/>
      <c r="K574" s="2579"/>
      <c r="L574" s="2579"/>
      <c r="M574" s="2579"/>
      <c r="N574" s="2579"/>
      <c r="O574" s="2579"/>
    </row>
    <row r="575" spans="1:15" s="2463" customFormat="1" ht="7.5" customHeight="1">
      <c r="A575" s="2462"/>
      <c r="B575" s="2462"/>
      <c r="C575" s="2462"/>
      <c r="D575" s="2462"/>
      <c r="E575" s="2462"/>
      <c r="F575" s="2462"/>
      <c r="G575" s="2462"/>
      <c r="H575" s="2462"/>
      <c r="I575" s="2579"/>
      <c r="J575" s="2579"/>
      <c r="K575" s="2579"/>
      <c r="L575" s="2579"/>
      <c r="M575" s="2579"/>
      <c r="N575" s="2579"/>
      <c r="O575" s="2579"/>
    </row>
    <row r="576" spans="1:15" s="2463" customFormat="1" ht="7.5" customHeight="1">
      <c r="A576" s="2462"/>
      <c r="B576" s="2462"/>
      <c r="C576" s="2462"/>
      <c r="D576" s="2462"/>
      <c r="E576" s="2462"/>
      <c r="F576" s="2462"/>
      <c r="G576" s="2462"/>
      <c r="H576" s="2462"/>
      <c r="I576" s="2579"/>
      <c r="J576" s="2579"/>
      <c r="K576" s="2579"/>
      <c r="L576" s="2579"/>
      <c r="M576" s="2579"/>
      <c r="N576" s="2579"/>
      <c r="O576" s="2579"/>
    </row>
    <row r="577" spans="1:15" s="2463" customFormat="1" ht="7.5" customHeight="1">
      <c r="A577" s="2462"/>
      <c r="B577" s="2462"/>
      <c r="C577" s="2462"/>
      <c r="D577" s="2462"/>
      <c r="E577" s="2462"/>
      <c r="F577" s="2462"/>
      <c r="G577" s="2462"/>
      <c r="H577" s="2462"/>
      <c r="I577" s="2579"/>
      <c r="J577" s="2579"/>
      <c r="K577" s="2579"/>
      <c r="L577" s="2579"/>
      <c r="M577" s="2579"/>
      <c r="N577" s="2579"/>
      <c r="O577" s="2579"/>
    </row>
    <row r="578" spans="1:15" s="2463" customFormat="1" ht="7.5" customHeight="1">
      <c r="A578" s="2462"/>
      <c r="B578" s="2462"/>
      <c r="C578" s="2462"/>
      <c r="D578" s="2462"/>
      <c r="E578" s="2462"/>
      <c r="F578" s="2462"/>
      <c r="G578" s="2462"/>
      <c r="H578" s="2462"/>
      <c r="I578" s="2579"/>
      <c r="J578" s="2579"/>
      <c r="K578" s="2579"/>
      <c r="L578" s="2579"/>
      <c r="M578" s="2579"/>
      <c r="N578" s="2579"/>
      <c r="O578" s="2579"/>
    </row>
    <row r="579" spans="1:15" s="2463" customFormat="1" ht="7.5" customHeight="1">
      <c r="A579" s="2462"/>
      <c r="B579" s="2462"/>
      <c r="C579" s="2462"/>
      <c r="D579" s="2462"/>
      <c r="E579" s="2462"/>
      <c r="F579" s="2462"/>
      <c r="G579" s="2462"/>
      <c r="H579" s="2462"/>
      <c r="I579" s="2579"/>
      <c r="J579" s="2579"/>
      <c r="K579" s="2579"/>
      <c r="L579" s="2579"/>
      <c r="M579" s="2579"/>
      <c r="N579" s="2579"/>
      <c r="O579" s="2579"/>
    </row>
    <row r="580" spans="1:15" s="2463" customFormat="1" ht="7.5" customHeight="1">
      <c r="A580" s="2462"/>
      <c r="B580" s="2462"/>
      <c r="C580" s="2462"/>
      <c r="D580" s="2462"/>
      <c r="E580" s="2462"/>
      <c r="F580" s="2462"/>
      <c r="G580" s="2462"/>
      <c r="H580" s="2462"/>
      <c r="I580" s="2579"/>
      <c r="J580" s="2579"/>
      <c r="K580" s="2579"/>
      <c r="L580" s="2579"/>
      <c r="M580" s="2579"/>
      <c r="N580" s="2579"/>
      <c r="O580" s="2579"/>
    </row>
    <row r="581" spans="1:15" s="2463" customFormat="1" ht="7.5" customHeight="1">
      <c r="A581" s="2462"/>
      <c r="B581" s="2462"/>
      <c r="C581" s="2462"/>
      <c r="D581" s="2462"/>
      <c r="E581" s="2462"/>
      <c r="F581" s="2462"/>
      <c r="G581" s="2462"/>
      <c r="H581" s="2462"/>
      <c r="I581" s="2579"/>
      <c r="J581" s="2579"/>
      <c r="K581" s="2579"/>
      <c r="L581" s="2579"/>
      <c r="M581" s="2579"/>
      <c r="N581" s="2579"/>
      <c r="O581" s="2579"/>
    </row>
    <row r="582" spans="1:15" s="2463" customFormat="1" ht="7.5" customHeight="1">
      <c r="A582" s="2462"/>
      <c r="B582" s="2462"/>
      <c r="C582" s="2462"/>
      <c r="D582" s="2462"/>
      <c r="E582" s="2462"/>
      <c r="F582" s="2462"/>
      <c r="G582" s="2462"/>
      <c r="H582" s="2462"/>
      <c r="I582" s="2579"/>
      <c r="J582" s="2579"/>
      <c r="K582" s="2579"/>
      <c r="L582" s="2579"/>
      <c r="M582" s="2579"/>
      <c r="N582" s="2579"/>
      <c r="O582" s="2579"/>
    </row>
    <row r="583" spans="1:15" s="2463" customFormat="1" ht="7.5" customHeight="1">
      <c r="A583" s="2462"/>
      <c r="B583" s="2462"/>
      <c r="C583" s="2462"/>
      <c r="D583" s="2462"/>
      <c r="E583" s="2462"/>
      <c r="F583" s="2462"/>
      <c r="G583" s="2462"/>
      <c r="H583" s="2462"/>
      <c r="I583" s="2579"/>
      <c r="J583" s="2579"/>
      <c r="K583" s="2579"/>
      <c r="L583" s="2579"/>
      <c r="M583" s="2579"/>
      <c r="N583" s="2579"/>
      <c r="O583" s="2579"/>
    </row>
    <row r="584" spans="1:15" s="2463" customFormat="1" ht="7.5" customHeight="1">
      <c r="A584" s="2462"/>
      <c r="B584" s="2462"/>
      <c r="C584" s="2462"/>
      <c r="D584" s="2462"/>
      <c r="E584" s="2462"/>
      <c r="F584" s="2462"/>
      <c r="G584" s="2462"/>
      <c r="H584" s="2462"/>
      <c r="I584" s="2579"/>
      <c r="J584" s="2579"/>
      <c r="K584" s="2579"/>
      <c r="L584" s="2579"/>
      <c r="M584" s="2579"/>
      <c r="N584" s="2579"/>
      <c r="O584" s="2579"/>
    </row>
    <row r="585" spans="1:15" s="2463" customFormat="1" ht="7.5" customHeight="1">
      <c r="A585" s="2462"/>
      <c r="B585" s="2462"/>
      <c r="C585" s="2462"/>
      <c r="D585" s="2462"/>
      <c r="E585" s="2462"/>
      <c r="F585" s="2462"/>
      <c r="G585" s="2462"/>
      <c r="H585" s="2462"/>
      <c r="I585" s="2579"/>
      <c r="J585" s="2579"/>
      <c r="K585" s="2579"/>
      <c r="L585" s="2579"/>
      <c r="M585" s="2579"/>
      <c r="N585" s="2579"/>
      <c r="O585" s="2579"/>
    </row>
    <row r="586" spans="1:15" s="2463" customFormat="1" ht="7.5" customHeight="1">
      <c r="A586" s="2462"/>
      <c r="B586" s="2462"/>
      <c r="C586" s="2462"/>
      <c r="D586" s="2462"/>
      <c r="E586" s="2462"/>
      <c r="F586" s="2462"/>
      <c r="G586" s="2462"/>
      <c r="H586" s="2462"/>
      <c r="I586" s="2579"/>
      <c r="J586" s="2579"/>
      <c r="K586" s="2579"/>
      <c r="L586" s="2579"/>
      <c r="M586" s="2579"/>
      <c r="N586" s="2579"/>
      <c r="O586" s="2579"/>
    </row>
    <row r="587" spans="1:15" s="2463" customFormat="1" ht="7.5" customHeight="1">
      <c r="A587" s="2462"/>
      <c r="B587" s="2462"/>
      <c r="C587" s="2462"/>
      <c r="D587" s="2462"/>
      <c r="E587" s="2462"/>
      <c r="F587" s="2462"/>
      <c r="G587" s="2462"/>
      <c r="H587" s="2462"/>
      <c r="I587" s="2579"/>
      <c r="J587" s="2579"/>
      <c r="K587" s="2579"/>
      <c r="L587" s="2579"/>
      <c r="M587" s="2579"/>
      <c r="N587" s="2579"/>
      <c r="O587" s="2579"/>
    </row>
    <row r="588" spans="1:15" s="2463" customFormat="1" ht="7.5" customHeight="1">
      <c r="A588" s="2462"/>
      <c r="B588" s="2462"/>
      <c r="C588" s="2462"/>
      <c r="D588" s="2462"/>
      <c r="E588" s="2462"/>
      <c r="F588" s="2462"/>
      <c r="G588" s="2462"/>
      <c r="H588" s="2462"/>
      <c r="I588" s="2579"/>
      <c r="J588" s="2579"/>
      <c r="K588" s="2579"/>
      <c r="L588" s="2579"/>
      <c r="M588" s="2579"/>
      <c r="N588" s="2579"/>
      <c r="O588" s="2579"/>
    </row>
    <row r="589" spans="1:15" s="2463" customFormat="1" ht="7.5" customHeight="1">
      <c r="A589" s="2462"/>
      <c r="B589" s="2462"/>
      <c r="C589" s="2462"/>
      <c r="D589" s="2462"/>
      <c r="E589" s="2462"/>
      <c r="F589" s="2462"/>
      <c r="G589" s="2462"/>
      <c r="H589" s="2462"/>
      <c r="I589" s="2579"/>
      <c r="J589" s="2579"/>
      <c r="K589" s="2579"/>
      <c r="L589" s="2579"/>
      <c r="M589" s="2579"/>
      <c r="N589" s="2579"/>
      <c r="O589" s="2579"/>
    </row>
    <row r="590" spans="1:15" s="2463" customFormat="1" ht="7.5" customHeight="1">
      <c r="A590" s="2462"/>
      <c r="B590" s="2462"/>
      <c r="C590" s="2462"/>
      <c r="D590" s="2462"/>
      <c r="E590" s="2462"/>
      <c r="F590" s="2462"/>
      <c r="G590" s="2462"/>
      <c r="H590" s="2462"/>
      <c r="I590" s="2579"/>
      <c r="J590" s="2579"/>
      <c r="K590" s="2579"/>
      <c r="L590" s="2579"/>
      <c r="M590" s="2579"/>
      <c r="N590" s="2579"/>
      <c r="O590" s="2579"/>
    </row>
    <row r="591" spans="1:15" s="2463" customFormat="1" ht="7.5" customHeight="1">
      <c r="A591" s="2462"/>
      <c r="B591" s="2462"/>
      <c r="C591" s="2462"/>
      <c r="D591" s="2462"/>
      <c r="E591" s="2462"/>
      <c r="F591" s="2462"/>
      <c r="G591" s="2462"/>
      <c r="H591" s="2462"/>
      <c r="I591" s="2579"/>
      <c r="J591" s="2579"/>
      <c r="K591" s="2579"/>
      <c r="L591" s="2579"/>
      <c r="M591" s="2579"/>
      <c r="N591" s="2579"/>
      <c r="O591" s="2579"/>
    </row>
    <row r="592" spans="1:15" s="2463" customFormat="1" ht="7.5" customHeight="1">
      <c r="A592" s="2462"/>
      <c r="B592" s="2462"/>
      <c r="C592" s="2462"/>
      <c r="D592" s="2462"/>
      <c r="E592" s="2462"/>
      <c r="F592" s="2462"/>
      <c r="G592" s="2462"/>
      <c r="H592" s="2462"/>
      <c r="I592" s="2579"/>
      <c r="J592" s="2579"/>
      <c r="K592" s="2579"/>
      <c r="L592" s="2579"/>
      <c r="M592" s="2579"/>
      <c r="N592" s="2579"/>
      <c r="O592" s="2579"/>
    </row>
    <row r="593" spans="1:15" s="2463" customFormat="1" ht="7.5" customHeight="1">
      <c r="A593" s="2462"/>
      <c r="B593" s="2462"/>
      <c r="C593" s="2462"/>
      <c r="D593" s="2462"/>
      <c r="E593" s="2462"/>
      <c r="F593" s="2462"/>
      <c r="G593" s="2462"/>
      <c r="H593" s="2462"/>
      <c r="I593" s="2579"/>
      <c r="J593" s="2579"/>
      <c r="K593" s="2579"/>
      <c r="L593" s="2579"/>
      <c r="M593" s="2579"/>
      <c r="N593" s="2579"/>
      <c r="O593" s="2579"/>
    </row>
    <row r="594" spans="1:15" s="2463" customFormat="1" ht="7.5" customHeight="1">
      <c r="A594" s="2462"/>
      <c r="B594" s="2462"/>
      <c r="C594" s="2462"/>
      <c r="D594" s="2462"/>
      <c r="E594" s="2462"/>
      <c r="F594" s="2462"/>
      <c r="G594" s="2462"/>
      <c r="H594" s="2462"/>
      <c r="I594" s="2579"/>
      <c r="J594" s="2579"/>
      <c r="K594" s="2579"/>
      <c r="L594" s="2579"/>
      <c r="M594" s="2579"/>
      <c r="N594" s="2579"/>
      <c r="O594" s="2579"/>
    </row>
    <row r="595" spans="1:15" s="2463" customFormat="1" ht="7.5" customHeight="1">
      <c r="A595" s="2462"/>
      <c r="B595" s="2462"/>
      <c r="C595" s="2462"/>
      <c r="D595" s="2462"/>
      <c r="E595" s="2462"/>
      <c r="F595" s="2462"/>
      <c r="G595" s="2462"/>
      <c r="H595" s="2462"/>
      <c r="I595" s="2579"/>
      <c r="J595" s="2579"/>
      <c r="K595" s="2579"/>
      <c r="L595" s="2579"/>
      <c r="M595" s="2579"/>
      <c r="N595" s="2579"/>
      <c r="O595" s="2579"/>
    </row>
    <row r="596" spans="1:15" s="2463" customFormat="1" ht="7.5" customHeight="1">
      <c r="A596" s="2462"/>
      <c r="B596" s="2462"/>
      <c r="C596" s="2462"/>
      <c r="D596" s="2462"/>
      <c r="E596" s="2462"/>
      <c r="F596" s="2462"/>
      <c r="G596" s="2462"/>
      <c r="H596" s="2462"/>
      <c r="I596" s="2579"/>
      <c r="J596" s="2579"/>
      <c r="K596" s="2579"/>
      <c r="L596" s="2579"/>
      <c r="M596" s="2579"/>
      <c r="N596" s="2579"/>
      <c r="O596" s="2579"/>
    </row>
    <row r="597" spans="1:15" s="2463" customFormat="1" ht="7.5" customHeight="1">
      <c r="A597" s="2462"/>
      <c r="B597" s="2462"/>
      <c r="C597" s="2462"/>
      <c r="D597" s="2462"/>
      <c r="E597" s="2462"/>
      <c r="F597" s="2462"/>
      <c r="G597" s="2462"/>
      <c r="H597" s="2462"/>
      <c r="I597" s="2579"/>
      <c r="J597" s="2579"/>
      <c r="K597" s="2579"/>
      <c r="L597" s="2579"/>
      <c r="M597" s="2579"/>
      <c r="N597" s="2579"/>
      <c r="O597" s="2579"/>
    </row>
    <row r="598" spans="1:15" s="2463" customFormat="1" ht="7.5" customHeight="1">
      <c r="A598" s="2462"/>
      <c r="B598" s="2462"/>
      <c r="C598" s="2462"/>
      <c r="D598" s="2462"/>
      <c r="E598" s="2462"/>
      <c r="F598" s="2462"/>
      <c r="G598" s="2462"/>
      <c r="H598" s="2462"/>
      <c r="I598" s="2579"/>
      <c r="J598" s="2579"/>
      <c r="K598" s="2579"/>
      <c r="L598" s="2579"/>
      <c r="M598" s="2579"/>
      <c r="N598" s="2579"/>
      <c r="O598" s="2579"/>
    </row>
    <row r="599" spans="1:15" s="2463" customFormat="1" ht="7.5" customHeight="1">
      <c r="A599" s="2462"/>
      <c r="B599" s="2462"/>
      <c r="C599" s="2462"/>
      <c r="D599" s="2462"/>
      <c r="E599" s="2462"/>
      <c r="F599" s="2462"/>
      <c r="G599" s="2462"/>
      <c r="H599" s="2462"/>
      <c r="I599" s="2579"/>
      <c r="J599" s="2579"/>
      <c r="K599" s="2579"/>
      <c r="L599" s="2579"/>
      <c r="M599" s="2579"/>
      <c r="N599" s="2579"/>
      <c r="O599" s="2579"/>
    </row>
    <row r="603" spans="1:15" s="2463" customFormat="1">
      <c r="A603" s="2462"/>
      <c r="B603" s="2462"/>
      <c r="C603" s="2462"/>
      <c r="D603" s="2462"/>
      <c r="E603" s="2462"/>
      <c r="F603" s="2462"/>
      <c r="G603" s="2462"/>
      <c r="H603" s="2462"/>
      <c r="I603" s="2579"/>
      <c r="J603" s="2579"/>
      <c r="K603" s="2579"/>
      <c r="L603" s="2579"/>
      <c r="M603" s="2579"/>
      <c r="N603" s="2579"/>
      <c r="O603" s="2579"/>
    </row>
    <row r="604" spans="1:15" s="2463" customFormat="1">
      <c r="A604" s="2462"/>
      <c r="B604" s="2462"/>
      <c r="C604" s="2462"/>
      <c r="D604" s="2462"/>
      <c r="E604" s="2462"/>
      <c r="F604" s="2462"/>
      <c r="G604" s="2462"/>
      <c r="H604" s="2462"/>
      <c r="I604" s="2579"/>
      <c r="J604" s="2579"/>
      <c r="K604" s="2579"/>
      <c r="L604" s="2579"/>
      <c r="M604" s="2579"/>
      <c r="N604" s="2579"/>
      <c r="O604" s="2579"/>
    </row>
    <row r="605" spans="1:15" s="2463" customFormat="1">
      <c r="A605" s="2462"/>
      <c r="B605" s="2462"/>
      <c r="C605" s="2462"/>
      <c r="D605" s="2462"/>
      <c r="E605" s="2462"/>
      <c r="F605" s="2462"/>
      <c r="G605" s="2462"/>
      <c r="H605" s="2462"/>
      <c r="I605" s="2579"/>
      <c r="J605" s="2579"/>
      <c r="K605" s="2579"/>
      <c r="L605" s="2579"/>
      <c r="M605" s="2579"/>
      <c r="N605" s="2579"/>
      <c r="O605" s="2579"/>
    </row>
    <row r="606" spans="1:15" s="2463" customFormat="1">
      <c r="A606" s="2462"/>
      <c r="B606" s="2462"/>
      <c r="C606" s="2462"/>
      <c r="D606" s="2462"/>
      <c r="E606" s="2462"/>
      <c r="F606" s="2462"/>
      <c r="G606" s="2462"/>
      <c r="H606" s="2462"/>
      <c r="I606" s="2579"/>
      <c r="J606" s="2579"/>
      <c r="K606" s="2579"/>
      <c r="L606" s="2579"/>
      <c r="M606" s="2579"/>
      <c r="N606" s="2579"/>
      <c r="O606" s="2579"/>
    </row>
    <row r="607" spans="1:15" s="2463" customFormat="1">
      <c r="A607" s="2462"/>
      <c r="B607" s="2462"/>
      <c r="C607" s="2462"/>
      <c r="D607" s="2462"/>
      <c r="E607" s="2462"/>
      <c r="F607" s="2462"/>
      <c r="G607" s="2462"/>
      <c r="H607" s="2462"/>
      <c r="I607" s="2579"/>
      <c r="J607" s="2579"/>
      <c r="K607" s="2579"/>
      <c r="L607" s="2579"/>
      <c r="M607" s="2579"/>
      <c r="N607" s="2579"/>
      <c r="O607" s="2579"/>
    </row>
    <row r="608" spans="1:15" s="2463" customFormat="1">
      <c r="A608" s="2462"/>
      <c r="B608" s="2462"/>
      <c r="C608" s="2462"/>
      <c r="D608" s="2462"/>
      <c r="E608" s="2462"/>
      <c r="F608" s="2462"/>
      <c r="G608" s="2462"/>
      <c r="H608" s="2462"/>
      <c r="I608" s="2579"/>
      <c r="J608" s="2579"/>
      <c r="K608" s="2579"/>
      <c r="L608" s="2579"/>
      <c r="M608" s="2579"/>
      <c r="N608" s="2579"/>
      <c r="O608" s="2579"/>
    </row>
    <row r="609" spans="1:15" s="2463" customFormat="1">
      <c r="A609" s="2462"/>
      <c r="B609" s="2462"/>
      <c r="C609" s="2462"/>
      <c r="D609" s="2462"/>
      <c r="E609" s="2462"/>
      <c r="F609" s="2462"/>
      <c r="G609" s="2462"/>
      <c r="H609" s="2462"/>
      <c r="I609" s="2579"/>
      <c r="J609" s="2579"/>
      <c r="K609" s="2579"/>
      <c r="L609" s="2579"/>
      <c r="M609" s="2579"/>
      <c r="N609" s="2579"/>
      <c r="O609" s="2579"/>
    </row>
    <row r="610" spans="1:15" s="2463" customFormat="1">
      <c r="A610" s="2462"/>
      <c r="B610" s="2462"/>
      <c r="C610" s="2462"/>
      <c r="D610" s="2462"/>
      <c r="E610" s="2462"/>
      <c r="F610" s="2462"/>
      <c r="G610" s="2462"/>
      <c r="H610" s="2462"/>
      <c r="I610" s="2579"/>
      <c r="J610" s="2579"/>
      <c r="K610" s="2579"/>
      <c r="L610" s="2579"/>
      <c r="M610" s="2579"/>
      <c r="N610" s="2579"/>
      <c r="O610" s="2579"/>
    </row>
    <row r="611" spans="1:15" s="2463" customFormat="1">
      <c r="A611" s="2462"/>
      <c r="B611" s="2462"/>
      <c r="C611" s="2462"/>
      <c r="D611" s="2462"/>
      <c r="E611" s="2462"/>
      <c r="F611" s="2462"/>
      <c r="G611" s="2462"/>
      <c r="H611" s="2462"/>
      <c r="I611" s="2579"/>
      <c r="J611" s="2579"/>
      <c r="K611" s="2579"/>
      <c r="L611" s="2579"/>
      <c r="M611" s="2579"/>
      <c r="N611" s="2579"/>
      <c r="O611" s="2579"/>
    </row>
    <row r="612" spans="1:15" s="2463" customFormat="1">
      <c r="A612" s="2462"/>
      <c r="B612" s="2462"/>
      <c r="C612" s="2462"/>
      <c r="D612" s="2462"/>
      <c r="E612" s="2462"/>
      <c r="F612" s="2462"/>
      <c r="G612" s="2462"/>
      <c r="H612" s="2462"/>
      <c r="I612" s="2579"/>
      <c r="J612" s="2579"/>
      <c r="K612" s="2579"/>
      <c r="L612" s="2579"/>
      <c r="M612" s="2579"/>
      <c r="N612" s="2579"/>
      <c r="O612" s="2579"/>
    </row>
    <row r="613" spans="1:15" s="2463" customFormat="1">
      <c r="A613" s="2462"/>
      <c r="B613" s="2462"/>
      <c r="C613" s="2462"/>
      <c r="D613" s="2462"/>
      <c r="E613" s="2462"/>
      <c r="F613" s="2462"/>
      <c r="G613" s="2462"/>
      <c r="H613" s="2462"/>
      <c r="I613" s="2579"/>
      <c r="J613" s="2579"/>
      <c r="K613" s="2579"/>
      <c r="L613" s="2579"/>
      <c r="M613" s="2579"/>
      <c r="N613" s="2579"/>
      <c r="O613" s="2579"/>
    </row>
    <row r="614" spans="1:15" s="2463" customFormat="1">
      <c r="A614" s="2462"/>
      <c r="B614" s="2462"/>
      <c r="C614" s="2462"/>
      <c r="D614" s="2462"/>
      <c r="E614" s="2462"/>
      <c r="F614" s="2462"/>
      <c r="G614" s="2462"/>
      <c r="H614" s="2462"/>
      <c r="I614" s="2579"/>
      <c r="J614" s="2579"/>
      <c r="K614" s="2579"/>
      <c r="L614" s="2579"/>
      <c r="M614" s="2579"/>
      <c r="N614" s="2579"/>
      <c r="O614" s="2579"/>
    </row>
    <row r="615" spans="1:15" s="2463" customFormat="1">
      <c r="A615" s="2462"/>
      <c r="B615" s="2462"/>
      <c r="C615" s="2462"/>
      <c r="D615" s="2462"/>
      <c r="E615" s="2462"/>
      <c r="F615" s="2462"/>
      <c r="G615" s="2462"/>
      <c r="H615" s="2462"/>
      <c r="I615" s="2579"/>
      <c r="J615" s="2579"/>
      <c r="K615" s="2579"/>
      <c r="L615" s="2579"/>
      <c r="M615" s="2579"/>
      <c r="N615" s="2579"/>
      <c r="O615" s="2579"/>
    </row>
    <row r="616" spans="1:15" s="2463" customFormat="1">
      <c r="A616" s="2462"/>
      <c r="B616" s="2462"/>
      <c r="C616" s="2462"/>
      <c r="D616" s="2462"/>
      <c r="E616" s="2462"/>
      <c r="F616" s="2462"/>
      <c r="G616" s="2462"/>
      <c r="H616" s="2462"/>
      <c r="I616" s="2579"/>
      <c r="J616" s="2579"/>
      <c r="K616" s="2579"/>
      <c r="L616" s="2579"/>
      <c r="M616" s="2579"/>
      <c r="N616" s="2579"/>
      <c r="O616" s="2579"/>
    </row>
    <row r="617" spans="1:15" s="2463" customFormat="1">
      <c r="A617" s="2462"/>
      <c r="B617" s="2462"/>
      <c r="C617" s="2462"/>
      <c r="D617" s="2462"/>
      <c r="E617" s="2462"/>
      <c r="F617" s="2462"/>
      <c r="G617" s="2462"/>
      <c r="H617" s="2462"/>
      <c r="I617" s="2579"/>
      <c r="J617" s="2579"/>
      <c r="K617" s="2579"/>
      <c r="L617" s="2579"/>
      <c r="M617" s="2579"/>
      <c r="N617" s="2579"/>
      <c r="O617" s="2579"/>
    </row>
    <row r="618" spans="1:15" s="2463" customFormat="1">
      <c r="A618" s="2462"/>
      <c r="B618" s="2462"/>
      <c r="C618" s="2462"/>
      <c r="D618" s="2462"/>
      <c r="E618" s="2462"/>
      <c r="F618" s="2462"/>
      <c r="G618" s="2462"/>
      <c r="H618" s="2462"/>
      <c r="I618" s="2579"/>
      <c r="J618" s="2579"/>
      <c r="K618" s="2579"/>
      <c r="L618" s="2579"/>
      <c r="M618" s="2579"/>
      <c r="N618" s="2579"/>
      <c r="O618" s="2579"/>
    </row>
    <row r="619" spans="1:15" s="2463" customFormat="1">
      <c r="A619" s="2462"/>
      <c r="B619" s="2462"/>
      <c r="C619" s="2462"/>
      <c r="D619" s="2462"/>
      <c r="E619" s="2462"/>
      <c r="F619" s="2462"/>
      <c r="G619" s="2462"/>
      <c r="H619" s="2462"/>
      <c r="I619" s="2579"/>
      <c r="J619" s="2579"/>
      <c r="K619" s="2579"/>
      <c r="L619" s="2579"/>
      <c r="M619" s="2579"/>
      <c r="N619" s="2579"/>
      <c r="O619" s="2579"/>
    </row>
  </sheetData>
  <mergeCells count="38">
    <mergeCell ref="A98:H98"/>
    <mergeCell ref="A51:H51"/>
    <mergeCell ref="A52:H52"/>
    <mergeCell ref="A59:B61"/>
    <mergeCell ref="E59:G59"/>
    <mergeCell ref="E72:F72"/>
    <mergeCell ref="C74:D74"/>
    <mergeCell ref="E74:H74"/>
    <mergeCell ref="C75:D75"/>
    <mergeCell ref="E75:H75"/>
    <mergeCell ref="A99:H99"/>
    <mergeCell ref="A104:B106"/>
    <mergeCell ref="E104:G104"/>
    <mergeCell ref="E114:F114"/>
    <mergeCell ref="C116:D116"/>
    <mergeCell ref="E116:H116"/>
    <mergeCell ref="C117:D117"/>
    <mergeCell ref="E117:H117"/>
    <mergeCell ref="A154:H154"/>
    <mergeCell ref="A155:H155"/>
    <mergeCell ref="A160:B162"/>
    <mergeCell ref="E160:G160"/>
    <mergeCell ref="E170:F170"/>
    <mergeCell ref="C172:D172"/>
    <mergeCell ref="E172:H172"/>
    <mergeCell ref="C173:D173"/>
    <mergeCell ref="E173:H173"/>
    <mergeCell ref="A35:B35"/>
    <mergeCell ref="C35:E35"/>
    <mergeCell ref="A5:H5"/>
    <mergeCell ref="A6:H6"/>
    <mergeCell ref="A33:B33"/>
    <mergeCell ref="C33:E33"/>
    <mergeCell ref="F33:H33"/>
    <mergeCell ref="A11:B13"/>
    <mergeCell ref="E11:G11"/>
    <mergeCell ref="C34:E34"/>
    <mergeCell ref="F34:H34"/>
  </mergeCells>
  <pageMargins left="0.5" right="0" top="0.25" bottom="0" header="0.5" footer="0"/>
  <pageSetup paperSize="5" orientation="portrait"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620"/>
  <sheetViews>
    <sheetView showGridLines="0" showOutlineSymbols="0" topLeftCell="A16" workbookViewId="0">
      <pane xSplit="18525" topLeftCell="ET1"/>
      <selection activeCell="J19" sqref="J19"/>
      <selection pane="topRight" activeCell="ET1" sqref="ET1"/>
    </sheetView>
  </sheetViews>
  <sheetFormatPr defaultColWidth="12.5703125" defaultRowHeight="15.75" outlineLevelRow="2" outlineLevelCol="2"/>
  <cols>
    <col min="1" max="1" width="1.85546875" style="2462" customWidth="1"/>
    <col min="2" max="2" width="30.85546875" style="2462" customWidth="1"/>
    <col min="3" max="3" width="8.5703125" style="2462" customWidth="1"/>
    <col min="4" max="4" width="10.42578125" style="2462" customWidth="1"/>
    <col min="5" max="5" width="11.85546875" style="2462" customWidth="1"/>
    <col min="6" max="6" width="11.7109375" style="2462" customWidth="1"/>
    <col min="7" max="7" width="12.28515625" style="2462" customWidth="1"/>
    <col min="8" max="8" width="11.42578125" style="2462" customWidth="1"/>
    <col min="9"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8" spans="1:15" s="1390" customFormat="1" ht="14.25" customHeight="1">
      <c r="A8" s="1577" t="s">
        <v>2120</v>
      </c>
      <c r="C8" s="2525"/>
      <c r="D8" s="1403"/>
      <c r="E8" s="1403"/>
      <c r="F8" s="1403"/>
      <c r="G8" s="1403"/>
      <c r="H8" s="1403"/>
    </row>
    <row r="9" spans="1:15" s="1390" customFormat="1" ht="14.25" customHeight="1">
      <c r="B9" s="2612" t="s">
        <v>2152</v>
      </c>
      <c r="C9" s="2525"/>
      <c r="D9" s="1403"/>
      <c r="E9" s="1403"/>
      <c r="F9" s="1403"/>
      <c r="G9" s="1403"/>
      <c r="H9" s="1403"/>
    </row>
    <row r="10" spans="1:15" ht="16.7" customHeight="1" outlineLevel="1">
      <c r="I10" s="2669"/>
      <c r="J10" s="2530"/>
      <c r="K10" s="2530"/>
      <c r="L10" s="2530"/>
    </row>
    <row r="11" spans="1:15" ht="16.7" customHeight="1" outlineLevel="1">
      <c r="A11" s="4890" t="s">
        <v>468</v>
      </c>
      <c r="B11" s="4891"/>
      <c r="C11" s="2607" t="s">
        <v>467</v>
      </c>
      <c r="D11" s="2608" t="s">
        <v>466</v>
      </c>
      <c r="E11" s="4869" t="s">
        <v>465</v>
      </c>
      <c r="F11" s="4870"/>
      <c r="G11" s="4871"/>
      <c r="H11" s="2607" t="s">
        <v>464</v>
      </c>
      <c r="I11" s="2666"/>
      <c r="J11" s="2663"/>
      <c r="K11" s="2530"/>
      <c r="L11" s="2530"/>
    </row>
    <row r="12" spans="1:15" ht="16.7" customHeight="1" outlineLevel="1">
      <c r="A12" s="4892"/>
      <c r="B12" s="4893"/>
      <c r="C12" s="2606" t="s">
        <v>463</v>
      </c>
      <c r="D12" s="2517" t="s">
        <v>573</v>
      </c>
      <c r="E12" s="2517" t="s">
        <v>2118</v>
      </c>
      <c r="F12" s="2517" t="s">
        <v>2117</v>
      </c>
      <c r="G12" s="2517" t="s">
        <v>244</v>
      </c>
      <c r="H12" s="2517" t="s">
        <v>652</v>
      </c>
      <c r="I12" s="2681"/>
      <c r="J12" s="1302"/>
      <c r="K12" s="2659"/>
      <c r="L12" s="2530"/>
    </row>
    <row r="13" spans="1:15" ht="16.7" customHeight="1" outlineLevel="1">
      <c r="A13" s="4894"/>
      <c r="B13" s="4895"/>
      <c r="C13" s="2604"/>
      <c r="D13" s="2602" t="s">
        <v>460</v>
      </c>
      <c r="E13" s="2602" t="s">
        <v>460</v>
      </c>
      <c r="F13" s="2602" t="s">
        <v>459</v>
      </c>
      <c r="G13" s="2623"/>
      <c r="H13" s="2602" t="s">
        <v>458</v>
      </c>
      <c r="I13" s="2668"/>
      <c r="J13" s="1302"/>
      <c r="K13" s="2659"/>
      <c r="L13" s="2530"/>
    </row>
    <row r="14" spans="1:15" s="1404" customFormat="1" ht="15" customHeight="1">
      <c r="A14" s="2601" t="s">
        <v>2011</v>
      </c>
      <c r="B14" s="2605"/>
      <c r="C14" s="2515"/>
      <c r="D14" s="2513"/>
      <c r="E14" s="2513"/>
      <c r="F14" s="2513"/>
      <c r="G14" s="2603"/>
      <c r="H14" s="2513"/>
      <c r="I14" s="2616"/>
      <c r="J14" s="2616"/>
      <c r="K14" s="2616"/>
      <c r="L14" s="2616"/>
      <c r="M14" s="2616"/>
      <c r="N14" s="2616"/>
      <c r="O14" s="2616"/>
    </row>
    <row r="15" spans="1:15" ht="18.75" customHeight="1" outlineLevel="1">
      <c r="A15" s="2680" t="s">
        <v>407</v>
      </c>
      <c r="B15" s="2686"/>
      <c r="C15" s="2629"/>
      <c r="D15" s="1433">
        <f>SUM(D16:D28)</f>
        <v>1978800</v>
      </c>
      <c r="E15" s="1433">
        <f>SUM(E16:E28)</f>
        <v>901091</v>
      </c>
      <c r="F15" s="1512">
        <f>SUM(F16:F28)</f>
        <v>1153909</v>
      </c>
      <c r="G15" s="1512">
        <f>SUM(G16:G28)</f>
        <v>2055000</v>
      </c>
      <c r="H15" s="1512">
        <f>SUM(H16:H28)</f>
        <v>2055000</v>
      </c>
      <c r="I15" s="2681"/>
      <c r="J15" s="1302"/>
      <c r="K15" s="2530"/>
      <c r="L15" s="2530"/>
    </row>
    <row r="16" spans="1:15" ht="15" customHeight="1" outlineLevel="1">
      <c r="A16" s="2715" t="s">
        <v>2145</v>
      </c>
      <c r="B16" s="2718"/>
      <c r="C16" s="350" t="s">
        <v>1974</v>
      </c>
      <c r="D16" s="2717">
        <v>0</v>
      </c>
      <c r="E16" s="2716">
        <v>11756</v>
      </c>
      <c r="F16" s="1558">
        <f>G16-E16</f>
        <v>5084</v>
      </c>
      <c r="G16" s="2716">
        <v>16840</v>
      </c>
      <c r="H16" s="2716">
        <v>16840</v>
      </c>
      <c r="I16" s="2676"/>
      <c r="J16" s="1302"/>
      <c r="K16" s="2530"/>
      <c r="L16" s="2530"/>
    </row>
    <row r="17" spans="1:16" ht="20.100000000000001" customHeight="1" outlineLevel="1">
      <c r="A17" s="2713" t="s">
        <v>389</v>
      </c>
      <c r="B17" s="2712"/>
      <c r="C17" s="735" t="s">
        <v>388</v>
      </c>
      <c r="D17" s="1559">
        <v>1978800</v>
      </c>
      <c r="E17" s="2619">
        <v>889335</v>
      </c>
      <c r="F17" s="1558">
        <f>G17-E17</f>
        <v>1148825</v>
      </c>
      <c r="G17" s="2619">
        <v>2038160</v>
      </c>
      <c r="H17" s="2619">
        <v>2038160</v>
      </c>
      <c r="I17" s="2668"/>
      <c r="J17" s="2663"/>
      <c r="K17" s="2530"/>
      <c r="L17" s="2530"/>
      <c r="M17" s="2682"/>
      <c r="N17" s="2682"/>
      <c r="O17" s="2530"/>
      <c r="P17" s="2529"/>
    </row>
    <row r="18" spans="1:16" ht="20.100000000000001" customHeight="1" outlineLevel="1">
      <c r="A18" s="2715"/>
      <c r="B18" s="2714"/>
      <c r="C18" s="2709"/>
      <c r="D18" s="2704"/>
      <c r="E18" s="2708"/>
      <c r="F18" s="2703"/>
      <c r="G18" s="2708"/>
      <c r="H18" s="2708"/>
      <c r="I18" s="2676"/>
      <c r="J18" s="2660"/>
      <c r="K18" s="2530"/>
      <c r="L18" s="2530"/>
      <c r="M18" s="1302"/>
      <c r="N18" s="1302"/>
      <c r="O18" s="2530"/>
      <c r="P18" s="2529"/>
    </row>
    <row r="19" spans="1:16" ht="20.100000000000001" customHeight="1" outlineLevel="1">
      <c r="A19" s="2713"/>
      <c r="B19" s="2712"/>
      <c r="C19" s="2709"/>
      <c r="D19" s="2704"/>
      <c r="E19" s="2708"/>
      <c r="F19" s="2703"/>
      <c r="G19" s="2708"/>
      <c r="H19" s="2708"/>
      <c r="I19" s="2666"/>
      <c r="J19" s="2656"/>
      <c r="K19" s="2530"/>
      <c r="L19" s="2530"/>
      <c r="M19" s="1302"/>
      <c r="N19" s="1302"/>
      <c r="O19" s="2530"/>
      <c r="P19" s="2529"/>
    </row>
    <row r="20" spans="1:16" ht="20.100000000000001" customHeight="1" outlineLevel="1">
      <c r="A20" s="2711"/>
      <c r="B20" s="2710"/>
      <c r="C20" s="2709"/>
      <c r="D20" s="2704"/>
      <c r="E20" s="2708"/>
      <c r="F20" s="2703"/>
      <c r="G20" s="2708"/>
      <c r="H20" s="2708"/>
      <c r="I20" s="2666"/>
      <c r="J20" s="2656"/>
      <c r="K20" s="2530"/>
      <c r="L20" s="2530"/>
      <c r="M20" s="1302"/>
      <c r="N20" s="1302"/>
      <c r="O20" s="2530"/>
      <c r="P20" s="2529"/>
    </row>
    <row r="21" spans="1:16" ht="20.100000000000001" customHeight="1" outlineLevel="1">
      <c r="A21" s="2711"/>
      <c r="B21" s="2710"/>
      <c r="C21" s="2709"/>
      <c r="D21" s="2704"/>
      <c r="E21" s="2708"/>
      <c r="F21" s="2703"/>
      <c r="G21" s="2708"/>
      <c r="H21" s="2708"/>
      <c r="I21" s="2666"/>
      <c r="J21" s="2656"/>
      <c r="K21" s="2530"/>
      <c r="L21" s="2530"/>
      <c r="M21" s="1302"/>
      <c r="N21" s="1302"/>
      <c r="O21" s="2530"/>
      <c r="P21" s="2529"/>
    </row>
    <row r="22" spans="1:16" ht="20.100000000000001" customHeight="1" outlineLevel="1">
      <c r="A22" s="2711"/>
      <c r="B22" s="2710"/>
      <c r="C22" s="2709"/>
      <c r="D22" s="2704"/>
      <c r="E22" s="2708"/>
      <c r="F22" s="2703"/>
      <c r="G22" s="2708"/>
      <c r="H22" s="2708"/>
      <c r="I22" s="2666"/>
      <c r="J22" s="2656"/>
      <c r="K22" s="2530"/>
      <c r="L22" s="2530"/>
      <c r="M22" s="1302"/>
      <c r="N22" s="1302"/>
      <c r="O22" s="2530"/>
      <c r="P22" s="2529"/>
    </row>
    <row r="23" spans="1:16" ht="20.100000000000001" customHeight="1" outlineLevel="1">
      <c r="A23" s="2711"/>
      <c r="B23" s="2710"/>
      <c r="C23" s="2709"/>
      <c r="D23" s="2704"/>
      <c r="E23" s="2708"/>
      <c r="F23" s="2703"/>
      <c r="G23" s="2708"/>
      <c r="H23" s="2708"/>
      <c r="I23" s="2666"/>
      <c r="J23" s="2656"/>
      <c r="K23" s="2530"/>
      <c r="L23" s="2530"/>
      <c r="M23" s="1302"/>
      <c r="N23" s="1302"/>
      <c r="O23" s="2530"/>
      <c r="P23" s="2529"/>
    </row>
    <row r="24" spans="1:16" ht="20.100000000000001" customHeight="1" outlineLevel="1">
      <c r="A24" s="2711"/>
      <c r="B24" s="2710"/>
      <c r="C24" s="2709"/>
      <c r="D24" s="2704"/>
      <c r="E24" s="2708"/>
      <c r="F24" s="2703"/>
      <c r="G24" s="2708"/>
      <c r="H24" s="2708"/>
      <c r="I24" s="2666"/>
      <c r="J24" s="2656"/>
      <c r="K24" s="2530"/>
      <c r="L24" s="2530"/>
      <c r="M24" s="1302"/>
      <c r="N24" s="1302"/>
      <c r="O24" s="2530"/>
      <c r="P24" s="2529"/>
    </row>
    <row r="25" spans="1:16" ht="20.100000000000001" customHeight="1" outlineLevel="1">
      <c r="A25" s="2711"/>
      <c r="B25" s="2710"/>
      <c r="C25" s="2709"/>
      <c r="D25" s="2704"/>
      <c r="E25" s="2708"/>
      <c r="F25" s="2703"/>
      <c r="G25" s="2708"/>
      <c r="H25" s="2708"/>
      <c r="I25" s="2666"/>
      <c r="J25" s="2656"/>
      <c r="K25" s="2530"/>
      <c r="L25" s="2530"/>
      <c r="M25" s="1302"/>
      <c r="N25" s="1302"/>
      <c r="O25" s="2530"/>
      <c r="P25" s="2529"/>
    </row>
    <row r="26" spans="1:16" ht="20.100000000000001" customHeight="1" outlineLevel="1">
      <c r="A26" s="2711"/>
      <c r="B26" s="2710"/>
      <c r="C26" s="2709"/>
      <c r="D26" s="2704"/>
      <c r="E26" s="2708"/>
      <c r="F26" s="2703"/>
      <c r="G26" s="2708"/>
      <c r="H26" s="2708"/>
      <c r="I26" s="2666"/>
      <c r="J26" s="2656"/>
      <c r="K26" s="2530"/>
      <c r="L26" s="2530"/>
      <c r="M26" s="1302"/>
      <c r="N26" s="1302"/>
      <c r="O26" s="2530"/>
      <c r="P26" s="2529"/>
    </row>
    <row r="27" spans="1:16" ht="20.100000000000001" customHeight="1" outlineLevel="1">
      <c r="A27" s="2711"/>
      <c r="B27" s="2710"/>
      <c r="C27" s="2709"/>
      <c r="D27" s="2704"/>
      <c r="E27" s="2708"/>
      <c r="F27" s="2703"/>
      <c r="G27" s="2708"/>
      <c r="H27" s="2708"/>
      <c r="I27" s="2666"/>
      <c r="J27" s="2656"/>
      <c r="K27" s="2530"/>
      <c r="L27" s="2530"/>
      <c r="M27" s="1302"/>
      <c r="N27" s="1302"/>
      <c r="O27" s="2530"/>
      <c r="P27" s="2529"/>
    </row>
    <row r="28" spans="1:16" s="2529" customFormat="1" ht="20.100000000000001" customHeight="1" outlineLevel="1">
      <c r="A28" s="2707"/>
      <c r="B28" s="2706"/>
      <c r="C28" s="2705"/>
      <c r="D28" s="2704"/>
      <c r="E28" s="2702"/>
      <c r="F28" s="2703"/>
      <c r="G28" s="2702"/>
      <c r="H28" s="2702"/>
      <c r="I28" s="2528"/>
      <c r="J28" s="2656"/>
      <c r="K28" s="2530"/>
      <c r="L28" s="2530"/>
      <c r="M28" s="1302"/>
      <c r="N28" s="1302"/>
      <c r="O28" s="2530"/>
    </row>
    <row r="29" spans="1:16" s="2529" customFormat="1" ht="20.100000000000001" customHeight="1" outlineLevel="1" thickBot="1">
      <c r="A29" s="2617" t="s">
        <v>366</v>
      </c>
      <c r="B29" s="2584"/>
      <c r="C29" s="2583"/>
      <c r="D29" s="2480">
        <f>SUM(D16:D18)</f>
        <v>1978800</v>
      </c>
      <c r="E29" s="2480">
        <f>SUM(E16:E18)</f>
        <v>901091</v>
      </c>
      <c r="F29" s="2480">
        <f>SUM(F16:F18)</f>
        <v>1153909</v>
      </c>
      <c r="G29" s="2480">
        <f>SUM(G16:G18)</f>
        <v>2055000</v>
      </c>
      <c r="H29" s="2480">
        <f>SUM(H16:H18)</f>
        <v>2055000</v>
      </c>
      <c r="I29" s="2670"/>
      <c r="J29" s="2656"/>
      <c r="K29" s="2530"/>
      <c r="L29" s="2530"/>
      <c r="M29" s="1302"/>
      <c r="N29" s="2659"/>
      <c r="O29" s="2530"/>
    </row>
    <row r="30" spans="1:16" s="2288" customFormat="1" ht="19.5" customHeight="1" outlineLevel="1" thickTop="1">
      <c r="A30" s="1403" t="s">
        <v>2112</v>
      </c>
      <c r="B30" s="1390"/>
      <c r="C30" s="1403" t="s">
        <v>2111</v>
      </c>
      <c r="D30" s="1390"/>
      <c r="F30" s="2582" t="s">
        <v>2110</v>
      </c>
      <c r="G30" s="1403"/>
      <c r="H30" s="1390"/>
    </row>
    <row r="31" spans="1:16" s="2288" customFormat="1" ht="15.95" customHeight="1" outlineLevel="1">
      <c r="A31" s="1403"/>
      <c r="B31" s="1390"/>
      <c r="C31" s="1403"/>
      <c r="D31" s="1390"/>
      <c r="E31" s="2471"/>
      <c r="F31" s="2471"/>
      <c r="G31" s="1403"/>
      <c r="H31" s="1390"/>
    </row>
    <row r="32" spans="1:16" s="2288" customFormat="1" ht="10.5" customHeight="1" outlineLevel="1">
      <c r="A32" s="1390"/>
      <c r="B32" s="1403"/>
      <c r="C32" s="2581"/>
      <c r="D32" s="1403"/>
      <c r="E32" s="1403"/>
      <c r="F32" s="1403"/>
      <c r="G32" s="1403"/>
      <c r="H32" s="1390"/>
    </row>
    <row r="33" spans="1:16" s="2288" customFormat="1" ht="15.95" customHeight="1" outlineLevel="1">
      <c r="A33" s="4873" t="s">
        <v>2109</v>
      </c>
      <c r="B33" s="4873"/>
      <c r="C33" s="4760" t="s">
        <v>360</v>
      </c>
      <c r="D33" s="4760"/>
      <c r="E33" s="4760"/>
      <c r="F33" s="4741" t="s">
        <v>359</v>
      </c>
      <c r="G33" s="4741"/>
      <c r="H33" s="4741"/>
    </row>
    <row r="34" spans="1:16" s="2288" customFormat="1" ht="15.75" customHeight="1" outlineLevel="1">
      <c r="A34" s="2580"/>
      <c r="B34" s="2464" t="s">
        <v>2108</v>
      </c>
      <c r="C34" s="4754" t="s">
        <v>357</v>
      </c>
      <c r="D34" s="4754"/>
      <c r="E34" s="4754"/>
      <c r="F34" s="4868" t="s">
        <v>356</v>
      </c>
      <c r="G34" s="4868"/>
      <c r="H34" s="4868"/>
    </row>
    <row r="35" spans="1:16" s="2288" customFormat="1" ht="12" customHeight="1" outlineLevel="1">
      <c r="A35" s="4878"/>
      <c r="B35" s="4878"/>
      <c r="C35" s="4754"/>
      <c r="D35" s="4754"/>
      <c r="E35" s="4754"/>
      <c r="F35" s="1406"/>
      <c r="G35" s="1406"/>
      <c r="H35" s="1406"/>
    </row>
    <row r="36" spans="1:16" s="2529" customFormat="1" ht="12" customHeight="1" outlineLevel="1">
      <c r="A36" s="2463"/>
      <c r="B36" s="2464"/>
      <c r="C36" s="2463"/>
      <c r="D36" s="2465"/>
      <c r="E36" s="2465"/>
      <c r="F36" s="2465"/>
      <c r="G36" s="2465"/>
      <c r="H36" s="2465"/>
      <c r="I36" s="2530"/>
      <c r="J36" s="2530"/>
      <c r="K36" s="2530"/>
      <c r="L36" s="2530"/>
      <c r="M36" s="2530"/>
      <c r="N36" s="2530"/>
      <c r="O36" s="2530"/>
    </row>
    <row r="37" spans="1:16" s="2529" customFormat="1" ht="12" customHeight="1" outlineLevel="1">
      <c r="A37" s="2463"/>
      <c r="B37" s="2464"/>
      <c r="C37" s="2463"/>
      <c r="D37" s="2465"/>
      <c r="E37" s="2465"/>
      <c r="F37" s="2465"/>
      <c r="G37" s="2465"/>
      <c r="H37" s="2465"/>
      <c r="I37" s="2530"/>
      <c r="J37" s="2530"/>
      <c r="K37" s="2530"/>
      <c r="L37" s="2530"/>
      <c r="M37" s="2530"/>
      <c r="N37" s="2530"/>
      <c r="O37" s="2530"/>
    </row>
    <row r="38" spans="1:16" s="2529" customFormat="1" ht="12" customHeight="1" outlineLevel="1">
      <c r="A38" s="2463"/>
      <c r="B38" s="2464"/>
      <c r="C38" s="2463"/>
      <c r="D38" s="2465"/>
      <c r="E38" s="2465"/>
      <c r="F38" s="2465"/>
      <c r="G38" s="2465"/>
      <c r="H38" s="2465"/>
      <c r="I38" s="2530"/>
      <c r="J38" s="2530"/>
      <c r="K38" s="2530"/>
      <c r="L38" s="2530"/>
      <c r="M38" s="2530"/>
      <c r="N38" s="2530"/>
      <c r="O38" s="2530"/>
    </row>
    <row r="39" spans="1:16" s="2529" customFormat="1" ht="12" customHeight="1" outlineLevel="1">
      <c r="A39" s="2463"/>
      <c r="B39" s="2464"/>
      <c r="C39" s="2463"/>
      <c r="D39" s="2465"/>
      <c r="E39" s="2465"/>
      <c r="F39" s="2465"/>
      <c r="G39" s="2465"/>
      <c r="H39" s="2465"/>
      <c r="I39" s="2530"/>
      <c r="J39" s="2530"/>
      <c r="K39" s="2530"/>
      <c r="L39" s="2530"/>
      <c r="M39" s="2530"/>
      <c r="N39" s="2530"/>
      <c r="O39" s="2530"/>
    </row>
    <row r="40" spans="1:16" s="2529" customFormat="1" ht="12" customHeight="1" outlineLevel="1">
      <c r="A40" s="2463"/>
      <c r="B40" s="2464"/>
      <c r="C40" s="2463"/>
      <c r="D40" s="2465"/>
      <c r="E40" s="2465"/>
      <c r="F40" s="2465"/>
      <c r="G40" s="2465"/>
      <c r="H40" s="2465"/>
      <c r="I40" s="2530"/>
      <c r="J40" s="2530"/>
      <c r="K40" s="2530"/>
      <c r="L40" s="2530"/>
      <c r="M40" s="2530"/>
      <c r="N40" s="2530"/>
      <c r="O40" s="2530"/>
    </row>
    <row r="41" spans="1:16" s="2529" customFormat="1" ht="12" customHeight="1" outlineLevel="1">
      <c r="A41" s="2463"/>
      <c r="B41" s="2464"/>
      <c r="C41" s="2463"/>
      <c r="D41" s="2465"/>
      <c r="E41" s="2465"/>
      <c r="F41" s="2465"/>
      <c r="G41" s="2465"/>
      <c r="H41" s="2465"/>
      <c r="I41" s="2530"/>
      <c r="J41" s="2530"/>
      <c r="K41" s="2530"/>
      <c r="L41" s="2530"/>
      <c r="M41" s="2530"/>
      <c r="N41" s="2530"/>
      <c r="O41" s="2530"/>
    </row>
    <row r="42" spans="1:16" s="2529" customFormat="1" ht="12" customHeight="1" outlineLevel="1">
      <c r="A42" s="2463"/>
      <c r="B42" s="2464"/>
      <c r="C42" s="2463"/>
      <c r="D42" s="2465"/>
      <c r="E42" s="2465"/>
      <c r="F42" s="2465"/>
      <c r="G42" s="2465"/>
      <c r="H42" s="2465"/>
      <c r="I42" s="2530"/>
      <c r="J42" s="2530"/>
      <c r="K42" s="2530"/>
      <c r="L42" s="2530"/>
      <c r="M42" s="2530"/>
      <c r="N42" s="2530"/>
      <c r="O42" s="2530"/>
    </row>
    <row r="43" spans="1:16" s="2529" customFormat="1" ht="12" customHeight="1" outlineLevel="1">
      <c r="A43" s="2463"/>
      <c r="B43" s="2464"/>
      <c r="C43" s="2463"/>
      <c r="D43" s="2465"/>
      <c r="E43" s="2465"/>
      <c r="F43" s="2465"/>
      <c r="G43" s="2465"/>
      <c r="H43" s="2465"/>
      <c r="I43" s="2530"/>
      <c r="J43" s="2530"/>
      <c r="K43" s="2530"/>
      <c r="L43" s="2530"/>
      <c r="M43" s="2530"/>
      <c r="N43" s="2530"/>
      <c r="O43" s="2530"/>
    </row>
    <row r="44" spans="1:16" ht="20.100000000000001" customHeight="1" outlineLevel="1">
      <c r="A44" s="2463"/>
      <c r="B44" s="2464"/>
      <c r="C44" s="2463"/>
      <c r="D44" s="2465"/>
      <c r="E44" s="2465"/>
      <c r="F44" s="2465"/>
      <c r="G44" s="2465"/>
      <c r="H44" s="2465"/>
      <c r="J44" s="2530"/>
      <c r="K44" s="2530"/>
      <c r="L44" s="2530"/>
      <c r="M44" s="2530"/>
      <c r="N44" s="2530"/>
      <c r="O44" s="2530"/>
      <c r="P44" s="2529"/>
    </row>
    <row r="45" spans="1:16" ht="20.100000000000001" customHeight="1" outlineLevel="1">
      <c r="A45" s="2463"/>
      <c r="B45" s="2464"/>
      <c r="C45" s="2463"/>
      <c r="D45" s="2465"/>
      <c r="E45" s="2465"/>
      <c r="F45" s="2465"/>
      <c r="G45" s="2465"/>
      <c r="H45" s="2465"/>
      <c r="J45" s="2530"/>
      <c r="K45" s="2530"/>
      <c r="L45" s="2530"/>
      <c r="M45" s="2530"/>
      <c r="N45" s="2530"/>
      <c r="O45" s="2530"/>
      <c r="P45" s="2529"/>
    </row>
    <row r="46" spans="1:16" s="2652" customFormat="1" ht="16.7" customHeight="1" outlineLevel="1">
      <c r="A46" s="2463"/>
      <c r="B46" s="2464"/>
      <c r="C46" s="2463"/>
      <c r="D46" s="2465"/>
      <c r="E46" s="2465"/>
      <c r="F46" s="2465"/>
      <c r="G46" s="2465"/>
      <c r="H46" s="2465"/>
      <c r="I46" s="2653"/>
      <c r="J46" s="2655"/>
      <c r="K46" s="2655"/>
      <c r="L46" s="2655"/>
      <c r="M46" s="2655"/>
      <c r="N46" s="2655"/>
      <c r="O46" s="2655"/>
      <c r="P46" s="2654"/>
    </row>
    <row r="47" spans="1:16" s="2652" customFormat="1" ht="16.7" customHeight="1" outlineLevel="1">
      <c r="A47" s="2531"/>
      <c r="B47" s="2533"/>
      <c r="C47" s="2531"/>
      <c r="D47" s="2566"/>
      <c r="E47" s="2566"/>
      <c r="F47" s="2566"/>
      <c r="G47" s="2566"/>
      <c r="H47" s="2566"/>
      <c r="I47" s="2653"/>
      <c r="J47" s="2655"/>
      <c r="K47" s="2655"/>
      <c r="L47" s="2655"/>
      <c r="M47" s="2655"/>
      <c r="N47" s="2655"/>
      <c r="O47" s="2655"/>
      <c r="P47" s="2654"/>
    </row>
    <row r="48" spans="1:16" s="2652" customFormat="1" ht="16.7" customHeight="1" outlineLevel="1">
      <c r="A48" s="2531"/>
      <c r="B48" s="2533"/>
      <c r="C48" s="2531"/>
      <c r="D48" s="2566"/>
      <c r="E48" s="2566"/>
      <c r="F48" s="2566"/>
      <c r="G48" s="2566"/>
      <c r="H48" s="2566"/>
      <c r="I48" s="2653"/>
      <c r="J48" s="2655"/>
      <c r="K48" s="2655"/>
      <c r="L48" s="2655"/>
      <c r="M48" s="2655"/>
      <c r="N48" s="2655"/>
      <c r="O48" s="2655"/>
      <c r="P48" s="2654"/>
    </row>
    <row r="49" spans="1:16" s="2652" customFormat="1" ht="16.7" customHeight="1" outlineLevel="1">
      <c r="A49" s="2531"/>
      <c r="B49" s="2533"/>
      <c r="C49" s="2531"/>
      <c r="D49" s="2566"/>
      <c r="E49" s="2566"/>
      <c r="F49" s="2566"/>
      <c r="G49" s="2566"/>
      <c r="H49" s="2566"/>
      <c r="I49" s="2653"/>
      <c r="J49" s="2655"/>
      <c r="K49" s="2655"/>
      <c r="L49" s="2655"/>
      <c r="M49" s="2655"/>
      <c r="N49" s="2655"/>
      <c r="O49" s="2655"/>
      <c r="P49" s="2654"/>
    </row>
    <row r="50" spans="1:16" s="2652" customFormat="1" ht="16.7" customHeight="1" outlineLevel="1">
      <c r="A50" s="2531"/>
      <c r="B50" s="2533"/>
      <c r="C50" s="2531"/>
      <c r="D50" s="2566"/>
      <c r="E50" s="2566"/>
      <c r="F50" s="2566"/>
      <c r="G50" s="2566"/>
      <c r="H50" s="2566"/>
      <c r="I50" s="2653"/>
      <c r="J50" s="2655"/>
      <c r="K50" s="2655"/>
      <c r="L50" s="2655"/>
      <c r="M50" s="2655"/>
      <c r="N50" s="2655"/>
      <c r="O50" s="2655"/>
      <c r="P50" s="2654"/>
    </row>
    <row r="51" spans="1:16" s="2652" customFormat="1" ht="16.7" customHeight="1" outlineLevel="1">
      <c r="A51" s="2531"/>
      <c r="B51" s="2533"/>
      <c r="C51" s="2531"/>
      <c r="D51" s="2566"/>
      <c r="E51" s="2566"/>
      <c r="F51" s="2566"/>
      <c r="G51" s="2566"/>
      <c r="H51" s="2566"/>
      <c r="I51" s="2653"/>
      <c r="J51" s="2655"/>
      <c r="K51" s="2655"/>
      <c r="L51" s="2655"/>
      <c r="M51" s="2655"/>
      <c r="N51" s="2655"/>
      <c r="O51" s="2655"/>
      <c r="P51" s="2654"/>
    </row>
    <row r="52" spans="1:16" s="2652" customFormat="1" ht="16.7" customHeight="1" outlineLevel="1">
      <c r="A52" s="2531"/>
      <c r="B52" s="2533"/>
      <c r="C52" s="2531"/>
      <c r="D52" s="2566"/>
      <c r="E52" s="2566"/>
      <c r="F52" s="2566"/>
      <c r="G52" s="2566"/>
      <c r="H52" s="2566"/>
      <c r="I52" s="2653"/>
      <c r="J52" s="2655"/>
      <c r="K52" s="2655"/>
      <c r="L52" s="2655"/>
      <c r="M52" s="2655"/>
      <c r="N52" s="2655"/>
      <c r="O52" s="2655"/>
      <c r="P52" s="2654"/>
    </row>
    <row r="53" spans="1:16" s="2652" customFormat="1" ht="16.7" customHeight="1" outlineLevel="1">
      <c r="A53" s="2531"/>
      <c r="B53" s="2533"/>
      <c r="C53" s="2531"/>
      <c r="D53" s="2566"/>
      <c r="E53" s="2566"/>
      <c r="F53" s="2566"/>
      <c r="G53" s="2566"/>
      <c r="H53" s="2566"/>
      <c r="I53" s="2653"/>
      <c r="J53" s="2655"/>
      <c r="K53" s="2655"/>
      <c r="L53" s="2655"/>
      <c r="M53" s="2655"/>
      <c r="N53" s="2655"/>
      <c r="O53" s="2655"/>
      <c r="P53" s="2654"/>
    </row>
    <row r="54" spans="1:16" s="2652" customFormat="1" ht="16.7" customHeight="1" outlineLevel="1">
      <c r="A54" s="2529"/>
      <c r="B54" s="2529"/>
      <c r="C54" s="2529"/>
      <c r="D54" s="2529"/>
      <c r="E54" s="2529"/>
      <c r="F54" s="2529"/>
      <c r="G54" s="2529"/>
      <c r="H54" s="2529"/>
      <c r="I54" s="2653"/>
      <c r="J54" s="2655"/>
      <c r="K54" s="2655"/>
      <c r="L54" s="2655"/>
      <c r="M54" s="2655"/>
      <c r="N54" s="2655"/>
      <c r="O54" s="2655"/>
      <c r="P54" s="2654"/>
    </row>
    <row r="55" spans="1:16" s="2652" customFormat="1" ht="16.7" customHeight="1" outlineLevel="1">
      <c r="A55" s="2529"/>
      <c r="B55" s="2529"/>
      <c r="C55" s="2529"/>
      <c r="D55" s="2529"/>
      <c r="E55" s="2529"/>
      <c r="F55" s="2529"/>
      <c r="G55" s="2529"/>
      <c r="H55" s="2529"/>
      <c r="I55" s="2653"/>
      <c r="J55" s="2655"/>
      <c r="K55" s="2655"/>
      <c r="L55" s="2655"/>
      <c r="M55" s="2655"/>
      <c r="N55" s="2655"/>
      <c r="O55" s="2655"/>
      <c r="P55" s="2654"/>
    </row>
    <row r="56" spans="1:16" s="2652" customFormat="1" ht="16.7" customHeight="1" outlineLevel="1">
      <c r="A56" s="2529"/>
      <c r="B56" s="2529"/>
      <c r="C56" s="2529"/>
      <c r="D56" s="2529"/>
      <c r="E56" s="2529"/>
      <c r="F56" s="2529"/>
      <c r="G56" s="2529"/>
      <c r="H56" s="2529"/>
      <c r="I56" s="2653"/>
      <c r="J56" s="2655"/>
      <c r="K56" s="2655"/>
      <c r="L56" s="2655"/>
      <c r="M56" s="2655"/>
      <c r="N56" s="2655"/>
      <c r="O56" s="2655"/>
      <c r="P56" s="2654"/>
    </row>
    <row r="57" spans="1:16" s="2652" customFormat="1" ht="16.7" customHeight="1" outlineLevel="1">
      <c r="A57" s="4876"/>
      <c r="B57" s="4876"/>
      <c r="C57" s="4876"/>
      <c r="D57" s="4876"/>
      <c r="E57" s="4876"/>
      <c r="F57" s="4876"/>
      <c r="G57" s="4876"/>
      <c r="H57" s="4876"/>
      <c r="I57" s="2653"/>
      <c r="J57" s="2655"/>
      <c r="K57" s="2655"/>
      <c r="L57" s="2655"/>
      <c r="M57" s="2655"/>
      <c r="N57" s="2655"/>
      <c r="O57" s="2655"/>
      <c r="P57" s="2654"/>
    </row>
    <row r="58" spans="1:16" s="2652" customFormat="1" ht="16.7" customHeight="1" outlineLevel="1">
      <c r="A58" s="4877"/>
      <c r="B58" s="4877"/>
      <c r="C58" s="4877"/>
      <c r="D58" s="4877"/>
      <c r="E58" s="4877"/>
      <c r="F58" s="4877"/>
      <c r="G58" s="4877"/>
      <c r="H58" s="4877"/>
      <c r="I58" s="2653"/>
      <c r="J58" s="2655"/>
      <c r="K58" s="2655"/>
      <c r="L58" s="2655"/>
      <c r="M58" s="2655"/>
      <c r="N58" s="2655"/>
      <c r="O58" s="2655"/>
      <c r="P58" s="2654"/>
    </row>
    <row r="59" spans="1:16" s="2652" customFormat="1" ht="16.7" customHeight="1" outlineLevel="1">
      <c r="A59" s="2529"/>
      <c r="B59" s="2529"/>
      <c r="C59" s="2529"/>
      <c r="D59" s="2529"/>
      <c r="E59" s="2529"/>
      <c r="F59" s="2529"/>
      <c r="G59" s="2529"/>
      <c r="H59" s="2529"/>
      <c r="I59" s="2653"/>
      <c r="J59" s="2655"/>
      <c r="K59" s="2655"/>
      <c r="L59" s="2655"/>
      <c r="M59" s="2655"/>
      <c r="N59" s="2655"/>
      <c r="O59" s="2655"/>
      <c r="P59" s="2654"/>
    </row>
    <row r="60" spans="1:16" s="2652" customFormat="1" ht="16.7" customHeight="1" outlineLevel="1">
      <c r="A60" s="2568"/>
      <c r="B60" s="2567"/>
      <c r="C60" s="2529"/>
      <c r="D60" s="2566"/>
      <c r="E60" s="2566"/>
      <c r="F60" s="2566"/>
      <c r="G60" s="2566"/>
      <c r="H60" s="2566"/>
      <c r="I60" s="2653"/>
      <c r="J60" s="2653"/>
      <c r="K60" s="2653"/>
      <c r="L60" s="2653"/>
      <c r="M60" s="2653"/>
      <c r="N60" s="2653"/>
      <c r="O60" s="2653"/>
    </row>
    <row r="61" spans="1:16" s="2652" customFormat="1" ht="16.7" customHeight="1" outlineLevel="1">
      <c r="A61" s="1269"/>
      <c r="B61" s="1269"/>
      <c r="C61" s="2542"/>
      <c r="D61" s="2541"/>
      <c r="E61" s="2561"/>
      <c r="F61" s="2540"/>
      <c r="G61" s="2565"/>
      <c r="H61" s="2561"/>
      <c r="I61" s="2653"/>
      <c r="J61" s="2653"/>
      <c r="K61" s="2653"/>
      <c r="L61" s="2653"/>
      <c r="M61" s="2653"/>
      <c r="N61" s="2653"/>
      <c r="O61" s="2653"/>
    </row>
    <row r="62" spans="1:16" s="2652" customFormat="1" ht="16.7" customHeight="1" outlineLevel="1">
      <c r="A62" s="2564"/>
      <c r="B62" s="2564"/>
      <c r="C62" s="2563"/>
      <c r="D62" s="2541"/>
      <c r="E62" s="2561"/>
      <c r="F62" s="2540"/>
      <c r="G62" s="2562"/>
      <c r="H62" s="2561"/>
      <c r="I62" s="2653"/>
      <c r="J62" s="2653"/>
      <c r="K62" s="2653"/>
      <c r="L62" s="2653"/>
      <c r="M62" s="2653"/>
      <c r="N62" s="2653"/>
      <c r="O62" s="2653"/>
    </row>
    <row r="63" spans="1:16" s="2652" customFormat="1" ht="16.7" customHeight="1" outlineLevel="1">
      <c r="A63" s="4879"/>
      <c r="B63" s="4879"/>
      <c r="C63" s="2559"/>
      <c r="D63" s="2560"/>
      <c r="E63" s="4880"/>
      <c r="F63" s="4880"/>
      <c r="G63" s="4880"/>
      <c r="H63" s="2557"/>
      <c r="I63" s="2653"/>
      <c r="J63" s="2653"/>
      <c r="K63" s="2653"/>
      <c r="L63" s="2653"/>
      <c r="M63" s="2653"/>
      <c r="N63" s="2653"/>
      <c r="O63" s="2653"/>
    </row>
    <row r="64" spans="1:16" ht="16.7" customHeight="1" outlineLevel="1">
      <c r="A64" s="4879"/>
      <c r="B64" s="4879"/>
      <c r="C64" s="2559"/>
      <c r="D64" s="2558"/>
      <c r="E64" s="2558"/>
      <c r="F64" s="2558"/>
      <c r="G64" s="2558"/>
      <c r="H64" s="2558"/>
    </row>
    <row r="65" spans="1:15" ht="20.100000000000001" customHeight="1" outlineLevel="2">
      <c r="A65" s="4879"/>
      <c r="B65" s="4879"/>
      <c r="C65" s="2557"/>
      <c r="D65" s="2555"/>
      <c r="E65" s="2555"/>
      <c r="F65" s="2555"/>
      <c r="G65" s="2556"/>
      <c r="H65" s="2555"/>
    </row>
    <row r="66" spans="1:15" ht="8.4499999999999993" customHeight="1" outlineLevel="2">
      <c r="A66" s="2554"/>
      <c r="B66" s="2553"/>
      <c r="C66" s="2552"/>
      <c r="D66" s="2551"/>
      <c r="E66" s="2551"/>
      <c r="F66" s="2551"/>
      <c r="G66" s="2551"/>
      <c r="H66" s="2551"/>
    </row>
    <row r="67" spans="1:15" ht="14.45" customHeight="1">
      <c r="A67" s="2549"/>
      <c r="B67" s="2549"/>
      <c r="C67" s="2542"/>
      <c r="D67" s="2548"/>
      <c r="E67" s="2548"/>
      <c r="F67" s="2540"/>
      <c r="G67" s="2548"/>
      <c r="H67" s="2548"/>
    </row>
    <row r="68" spans="1:15" ht="13.9" customHeight="1">
      <c r="A68" s="2549"/>
      <c r="B68" s="2549"/>
      <c r="C68" s="2545"/>
      <c r="D68" s="2548"/>
      <c r="E68" s="2548"/>
      <c r="F68" s="2540"/>
      <c r="G68" s="2548"/>
      <c r="H68" s="2548"/>
    </row>
    <row r="69" spans="1:15" s="1256" customFormat="1" ht="18" customHeight="1">
      <c r="A69" s="2547"/>
      <c r="B69" s="2546"/>
      <c r="C69" s="2545"/>
      <c r="D69" s="2541"/>
      <c r="E69" s="2544"/>
      <c r="F69" s="2540"/>
      <c r="G69" s="2544"/>
      <c r="H69" s="2544"/>
      <c r="I69" s="1257"/>
      <c r="J69" s="1257"/>
      <c r="K69" s="1257"/>
      <c r="L69" s="1257"/>
      <c r="M69" s="1257"/>
      <c r="N69" s="1257"/>
      <c r="O69" s="1257"/>
    </row>
    <row r="70" spans="1:15" s="2463" customFormat="1" ht="12.75">
      <c r="A70" s="2543"/>
      <c r="B70" s="2543"/>
      <c r="C70" s="2542"/>
      <c r="D70" s="2541"/>
      <c r="E70" s="2539"/>
      <c r="F70" s="2540"/>
      <c r="G70" s="2539"/>
      <c r="H70" s="2539"/>
      <c r="I70" s="2579"/>
      <c r="J70" s="2579"/>
      <c r="K70" s="2579"/>
      <c r="L70" s="2579"/>
      <c r="M70" s="2579"/>
      <c r="N70" s="2579"/>
      <c r="O70" s="2579"/>
    </row>
    <row r="71" spans="1:15" s="2463" customFormat="1" ht="12.75">
      <c r="A71" s="2538"/>
      <c r="B71" s="2538"/>
      <c r="C71" s="2537"/>
      <c r="D71" s="2536"/>
      <c r="E71" s="2536"/>
      <c r="F71" s="2536"/>
      <c r="G71" s="2536"/>
      <c r="H71" s="2536"/>
      <c r="I71" s="2579"/>
      <c r="J71" s="2579"/>
      <c r="K71" s="2579"/>
      <c r="L71" s="2579"/>
      <c r="M71" s="2579"/>
      <c r="N71" s="2579"/>
      <c r="O71" s="2579"/>
    </row>
    <row r="72" spans="1:15" s="2463" customFormat="1" ht="12.75">
      <c r="A72" s="2538"/>
      <c r="B72" s="2538"/>
      <c r="C72" s="2537"/>
      <c r="D72" s="2536"/>
      <c r="E72" s="2536"/>
      <c r="F72" s="2536"/>
      <c r="G72" s="2536"/>
      <c r="H72" s="2536"/>
      <c r="I72" s="2579"/>
      <c r="J72" s="2579"/>
      <c r="K72" s="2579"/>
      <c r="L72" s="2579"/>
      <c r="M72" s="2579"/>
      <c r="N72" s="2579"/>
      <c r="O72" s="2579"/>
    </row>
    <row r="73" spans="1:15" s="2463" customFormat="1">
      <c r="A73" s="1269"/>
      <c r="B73" s="2529"/>
      <c r="C73" s="2535"/>
      <c r="D73" s="2529"/>
      <c r="E73" s="4877"/>
      <c r="F73" s="4877"/>
      <c r="G73" s="1269"/>
      <c r="H73" s="2529"/>
      <c r="I73" s="2579"/>
      <c r="J73" s="2579"/>
      <c r="K73" s="2579"/>
      <c r="L73" s="2579"/>
      <c r="M73" s="2579"/>
      <c r="N73" s="2579"/>
      <c r="O73" s="2579"/>
    </row>
    <row r="74" spans="1:15" s="2463" customFormat="1">
      <c r="A74" s="2529"/>
      <c r="B74" s="1269"/>
      <c r="C74" s="2535"/>
      <c r="D74" s="1269"/>
      <c r="E74" s="1269"/>
      <c r="F74" s="1269"/>
      <c r="G74" s="1269"/>
      <c r="H74" s="2529"/>
      <c r="I74" s="2579"/>
      <c r="J74" s="2579"/>
      <c r="K74" s="2579"/>
      <c r="L74" s="2579"/>
      <c r="M74" s="2579"/>
      <c r="N74" s="2579"/>
      <c r="O74" s="2579"/>
    </row>
    <row r="75" spans="1:15" s="2463" customFormat="1" ht="12.75">
      <c r="A75" s="2534"/>
      <c r="B75" s="1269"/>
      <c r="C75" s="4881"/>
      <c r="D75" s="4881"/>
      <c r="E75" s="4876"/>
      <c r="F75" s="4876"/>
      <c r="G75" s="4876"/>
      <c r="H75" s="4876"/>
      <c r="I75" s="2579"/>
      <c r="J75" s="2579"/>
      <c r="K75" s="2579"/>
      <c r="L75" s="2579"/>
      <c r="M75" s="2579"/>
      <c r="N75" s="2579"/>
      <c r="O75" s="2579"/>
    </row>
    <row r="76" spans="1:15" s="2463" customFormat="1" ht="12.75">
      <c r="A76" s="2531"/>
      <c r="B76" s="2533"/>
      <c r="C76" s="4874"/>
      <c r="D76" s="4874"/>
      <c r="E76" s="4875"/>
      <c r="F76" s="4875"/>
      <c r="G76" s="4875"/>
      <c r="H76" s="4875"/>
      <c r="I76" s="2579"/>
      <c r="J76" s="2579"/>
      <c r="K76" s="2579"/>
      <c r="L76" s="2579"/>
      <c r="M76" s="2579"/>
      <c r="N76" s="2579"/>
      <c r="O76" s="2579"/>
    </row>
    <row r="77" spans="1:15" s="2463" customFormat="1" ht="12.75">
      <c r="A77" s="2531"/>
      <c r="B77" s="2533"/>
      <c r="C77" s="2531"/>
      <c r="D77" s="2566"/>
      <c r="E77" s="2566"/>
      <c r="F77" s="2566"/>
      <c r="G77" s="2566"/>
      <c r="H77" s="2566"/>
      <c r="I77" s="2579"/>
      <c r="J77" s="2579"/>
      <c r="K77" s="2579"/>
      <c r="L77" s="2579"/>
      <c r="M77" s="2579"/>
      <c r="N77" s="2579"/>
      <c r="O77" s="2579"/>
    </row>
    <row r="78" spans="1:15" s="2463" customFormat="1" ht="12.75">
      <c r="A78" s="2531"/>
      <c r="B78" s="2533"/>
      <c r="C78" s="2531"/>
      <c r="D78" s="2566"/>
      <c r="E78" s="2566"/>
      <c r="F78" s="2566"/>
      <c r="G78" s="2566"/>
      <c r="H78" s="2566"/>
      <c r="I78" s="2579"/>
      <c r="J78" s="2579"/>
      <c r="K78" s="2579"/>
      <c r="L78" s="2579"/>
      <c r="M78" s="2579"/>
      <c r="N78" s="2579"/>
      <c r="O78" s="2579"/>
    </row>
    <row r="79" spans="1:15" s="2463" customFormat="1" ht="12.75">
      <c r="A79" s="2531"/>
      <c r="B79" s="2533"/>
      <c r="C79" s="2531"/>
      <c r="D79" s="2566"/>
      <c r="E79" s="2566"/>
      <c r="F79" s="2566"/>
      <c r="G79" s="2566"/>
      <c r="H79" s="2566"/>
      <c r="I79" s="2579"/>
      <c r="J79" s="2579"/>
      <c r="K79" s="2579"/>
      <c r="L79" s="2579"/>
      <c r="M79" s="2579"/>
      <c r="N79" s="2579"/>
      <c r="O79" s="2579"/>
    </row>
    <row r="80" spans="1:15" s="2463" customFormat="1" ht="12.75">
      <c r="A80" s="2531"/>
      <c r="B80" s="2533"/>
      <c r="C80" s="2531"/>
      <c r="D80" s="2566"/>
      <c r="E80" s="2566"/>
      <c r="F80" s="2566"/>
      <c r="G80" s="2566"/>
      <c r="H80" s="2566"/>
      <c r="I80" s="2579"/>
      <c r="J80" s="2579"/>
      <c r="K80" s="2579"/>
      <c r="L80" s="2579"/>
      <c r="M80" s="2579"/>
      <c r="N80" s="2579"/>
      <c r="O80" s="2579"/>
    </row>
    <row r="81" spans="1:15" s="2463" customFormat="1" ht="12.75">
      <c r="A81" s="2531"/>
      <c r="B81" s="2533"/>
      <c r="C81" s="2531"/>
      <c r="D81" s="2566"/>
      <c r="E81" s="2566"/>
      <c r="F81" s="2566"/>
      <c r="G81" s="2566"/>
      <c r="H81" s="2566"/>
      <c r="I81" s="2579"/>
      <c r="J81" s="2579"/>
      <c r="K81" s="2579"/>
      <c r="L81" s="2579"/>
      <c r="M81" s="2579"/>
      <c r="N81" s="2579"/>
      <c r="O81" s="2579"/>
    </row>
    <row r="82" spans="1:15" s="2463" customFormat="1" ht="12.75">
      <c r="A82" s="2531"/>
      <c r="B82" s="2533"/>
      <c r="C82" s="2531"/>
      <c r="D82" s="2566"/>
      <c r="E82" s="2566"/>
      <c r="F82" s="2566"/>
      <c r="G82" s="2566"/>
      <c r="H82" s="2566"/>
      <c r="I82" s="2579"/>
      <c r="J82" s="2579"/>
      <c r="K82" s="2579"/>
      <c r="L82" s="2579"/>
      <c r="M82" s="2579"/>
      <c r="N82" s="2579"/>
      <c r="O82" s="2579"/>
    </row>
    <row r="83" spans="1:15" s="2463" customFormat="1" ht="12.75">
      <c r="A83" s="2531"/>
      <c r="B83" s="2533"/>
      <c r="C83" s="2531"/>
      <c r="D83" s="2566"/>
      <c r="E83" s="2566"/>
      <c r="F83" s="2566"/>
      <c r="G83" s="2566"/>
      <c r="H83" s="2566"/>
      <c r="I83" s="2579"/>
      <c r="J83" s="2579"/>
      <c r="K83" s="2579"/>
      <c r="L83" s="2579"/>
      <c r="M83" s="2579"/>
      <c r="N83" s="2579"/>
      <c r="O83" s="2579"/>
    </row>
    <row r="84" spans="1:15" s="2463" customFormat="1" ht="12.75">
      <c r="A84" s="2531"/>
      <c r="B84" s="2533"/>
      <c r="C84" s="2531"/>
      <c r="D84" s="2566"/>
      <c r="E84" s="2566"/>
      <c r="F84" s="2566"/>
      <c r="G84" s="2566"/>
      <c r="H84" s="2566"/>
      <c r="I84" s="2579"/>
      <c r="J84" s="2579"/>
      <c r="K84" s="2579"/>
      <c r="L84" s="2579"/>
      <c r="M84" s="2579"/>
      <c r="N84" s="2579"/>
      <c r="O84" s="2579"/>
    </row>
    <row r="85" spans="1:15" s="2463" customFormat="1" ht="12.75">
      <c r="A85" s="2531"/>
      <c r="B85" s="2533"/>
      <c r="C85" s="2531"/>
      <c r="D85" s="2566"/>
      <c r="E85" s="2566"/>
      <c r="F85" s="2566"/>
      <c r="G85" s="2566"/>
      <c r="H85" s="2566"/>
      <c r="I85" s="2579"/>
      <c r="J85" s="2579"/>
      <c r="K85" s="2579"/>
      <c r="L85" s="2579"/>
      <c r="M85" s="2579"/>
      <c r="N85" s="2579"/>
      <c r="O85" s="2579"/>
    </row>
    <row r="86" spans="1:15" s="2463" customFormat="1" ht="12.75">
      <c r="A86" s="2531"/>
      <c r="B86" s="2533"/>
      <c r="C86" s="2531"/>
      <c r="D86" s="2566"/>
      <c r="E86" s="2566"/>
      <c r="F86" s="2566"/>
      <c r="G86" s="2566"/>
      <c r="H86" s="2566"/>
      <c r="I86" s="2579"/>
      <c r="J86" s="2579"/>
      <c r="K86" s="2579"/>
      <c r="L86" s="2579"/>
      <c r="M86" s="2579"/>
      <c r="N86" s="2579"/>
      <c r="O86" s="2579"/>
    </row>
    <row r="87" spans="1:15" s="2463" customFormat="1" ht="12.75">
      <c r="A87" s="2531"/>
      <c r="B87" s="2533"/>
      <c r="C87" s="2531"/>
      <c r="D87" s="2566"/>
      <c r="E87" s="2566"/>
      <c r="F87" s="2566"/>
      <c r="G87" s="2566"/>
      <c r="H87" s="2566"/>
      <c r="I87" s="2579"/>
      <c r="J87" s="2579"/>
      <c r="K87" s="2579"/>
      <c r="L87" s="2579"/>
      <c r="M87" s="2579"/>
      <c r="N87" s="2579"/>
      <c r="O87" s="2579"/>
    </row>
    <row r="88" spans="1:15" s="2463" customFormat="1" ht="12.75">
      <c r="A88" s="2531"/>
      <c r="B88" s="2533"/>
      <c r="C88" s="2531"/>
      <c r="D88" s="2566"/>
      <c r="E88" s="2566"/>
      <c r="F88" s="2566"/>
      <c r="G88" s="2566"/>
      <c r="H88" s="2566"/>
      <c r="I88" s="2579"/>
      <c r="J88" s="2579"/>
      <c r="K88" s="2579"/>
      <c r="L88" s="2579"/>
      <c r="M88" s="2579"/>
      <c r="N88" s="2579"/>
      <c r="O88" s="2579"/>
    </row>
    <row r="89" spans="1:15" s="2463" customFormat="1" ht="12.75">
      <c r="A89" s="2531"/>
      <c r="B89" s="2533"/>
      <c r="C89" s="2531"/>
      <c r="D89" s="2566"/>
      <c r="E89" s="2566"/>
      <c r="F89" s="2566"/>
      <c r="G89" s="2566"/>
      <c r="H89" s="2566"/>
      <c r="I89" s="2579"/>
      <c r="J89" s="2579"/>
      <c r="K89" s="2579"/>
      <c r="L89" s="2579"/>
      <c r="M89" s="2579"/>
      <c r="N89" s="2579"/>
      <c r="O89" s="2579"/>
    </row>
    <row r="90" spans="1:15" s="2463" customFormat="1" ht="12.75">
      <c r="A90" s="2531"/>
      <c r="B90" s="2533"/>
      <c r="C90" s="2531"/>
      <c r="D90" s="2566"/>
      <c r="E90" s="2566"/>
      <c r="F90" s="2566"/>
      <c r="G90" s="2566"/>
      <c r="H90" s="2566"/>
      <c r="I90" s="2579"/>
      <c r="J90" s="2579"/>
      <c r="K90" s="2579"/>
      <c r="L90" s="2579"/>
      <c r="M90" s="2579"/>
      <c r="N90" s="2579"/>
      <c r="O90" s="2579"/>
    </row>
    <row r="91" spans="1:15" s="2463" customFormat="1" ht="12.75">
      <c r="A91" s="2531"/>
      <c r="B91" s="2533"/>
      <c r="C91" s="2531"/>
      <c r="D91" s="2566"/>
      <c r="E91" s="2566"/>
      <c r="F91" s="2566"/>
      <c r="G91" s="2566"/>
      <c r="H91" s="2566"/>
      <c r="I91" s="2579"/>
      <c r="J91" s="2579"/>
      <c r="K91" s="2579"/>
      <c r="L91" s="2579"/>
      <c r="M91" s="2579"/>
      <c r="N91" s="2579"/>
      <c r="O91" s="2579"/>
    </row>
    <row r="92" spans="1:15" s="2463" customFormat="1" ht="12.75">
      <c r="A92" s="2531"/>
      <c r="B92" s="2533"/>
      <c r="C92" s="2531"/>
      <c r="D92" s="2566"/>
      <c r="E92" s="2566"/>
      <c r="F92" s="2566"/>
      <c r="G92" s="2566"/>
      <c r="H92" s="2566"/>
      <c r="I92" s="2579"/>
      <c r="J92" s="2579"/>
      <c r="K92" s="2579"/>
      <c r="L92" s="2579"/>
      <c r="M92" s="2579"/>
      <c r="N92" s="2579"/>
      <c r="O92" s="2579"/>
    </row>
    <row r="93" spans="1:15" s="2463" customFormat="1" ht="12.75">
      <c r="A93" s="2531"/>
      <c r="B93" s="2533"/>
      <c r="C93" s="2531"/>
      <c r="D93" s="2566"/>
      <c r="E93" s="2566"/>
      <c r="F93" s="2566"/>
      <c r="G93" s="2566"/>
      <c r="H93" s="2566"/>
      <c r="I93" s="2579"/>
      <c r="J93" s="2579"/>
      <c r="K93" s="2579"/>
      <c r="L93" s="2579"/>
      <c r="M93" s="2579"/>
      <c r="N93" s="2579"/>
      <c r="O93" s="2579"/>
    </row>
    <row r="94" spans="1:15" s="2463" customFormat="1" ht="12.75">
      <c r="A94" s="2531"/>
      <c r="B94" s="2533"/>
      <c r="C94" s="2531"/>
      <c r="D94" s="2566"/>
      <c r="E94" s="2566"/>
      <c r="F94" s="2566"/>
      <c r="G94" s="2566"/>
      <c r="H94" s="2566"/>
      <c r="I94" s="2579"/>
      <c r="J94" s="2579"/>
      <c r="K94" s="2579"/>
      <c r="L94" s="2579"/>
      <c r="M94" s="2579"/>
      <c r="N94" s="2579"/>
      <c r="O94" s="2579"/>
    </row>
    <row r="95" spans="1:15" s="2463" customFormat="1" ht="12.75">
      <c r="A95" s="2531"/>
      <c r="B95" s="2533"/>
      <c r="C95" s="2531"/>
      <c r="D95" s="2566"/>
      <c r="E95" s="2566"/>
      <c r="F95" s="2566"/>
      <c r="G95" s="2566"/>
      <c r="H95" s="2566"/>
      <c r="I95" s="2579"/>
      <c r="J95" s="2579"/>
      <c r="K95" s="2579"/>
      <c r="L95" s="2579"/>
      <c r="M95" s="2579"/>
      <c r="N95" s="2579"/>
      <c r="O95" s="2579"/>
    </row>
    <row r="96" spans="1:15" s="2463" customFormat="1" ht="12.75">
      <c r="A96" s="2531"/>
      <c r="B96" s="2533"/>
      <c r="C96" s="2531"/>
      <c r="D96" s="2566"/>
      <c r="E96" s="2566"/>
      <c r="F96" s="2566"/>
      <c r="G96" s="2566"/>
      <c r="H96" s="2566"/>
      <c r="I96" s="2579"/>
      <c r="J96" s="2579"/>
      <c r="K96" s="2579"/>
      <c r="L96" s="2579"/>
      <c r="M96" s="2579"/>
      <c r="N96" s="2579"/>
      <c r="O96" s="2579"/>
    </row>
    <row r="97" spans="1:15" s="2463" customFormat="1" ht="12.75">
      <c r="A97" s="2531"/>
      <c r="B97" s="2533"/>
      <c r="C97" s="2531"/>
      <c r="D97" s="2566"/>
      <c r="E97" s="2566"/>
      <c r="F97" s="2566"/>
      <c r="G97" s="2566"/>
      <c r="H97" s="2566"/>
      <c r="I97" s="2579"/>
      <c r="J97" s="2579"/>
      <c r="K97" s="2579"/>
      <c r="L97" s="2579"/>
      <c r="M97" s="2579"/>
      <c r="N97" s="2579"/>
      <c r="O97" s="2579"/>
    </row>
    <row r="98" spans="1:15" s="2463" customFormat="1" ht="12.75">
      <c r="A98" s="2531"/>
      <c r="B98" s="2533"/>
      <c r="C98" s="2531"/>
      <c r="D98" s="2566"/>
      <c r="E98" s="2566"/>
      <c r="F98" s="2566"/>
      <c r="G98" s="2566"/>
      <c r="H98" s="2566"/>
      <c r="I98" s="2579"/>
      <c r="J98" s="2579"/>
      <c r="K98" s="2579"/>
      <c r="L98" s="2579"/>
      <c r="M98" s="2579"/>
      <c r="N98" s="2579"/>
      <c r="O98" s="2579"/>
    </row>
    <row r="99" spans="1:15" s="2463" customFormat="1" ht="12.75">
      <c r="A99" s="2531"/>
      <c r="B99" s="2533"/>
      <c r="C99" s="2531"/>
      <c r="D99" s="2566"/>
      <c r="E99" s="2566"/>
      <c r="F99" s="2566"/>
      <c r="G99" s="2566"/>
      <c r="H99" s="2566"/>
      <c r="I99" s="2579"/>
      <c r="J99" s="2579"/>
      <c r="K99" s="2579"/>
      <c r="L99" s="2579"/>
      <c r="M99" s="2579"/>
      <c r="N99" s="2579"/>
      <c r="O99" s="2579"/>
    </row>
    <row r="100" spans="1:15" s="2463" customFormat="1" ht="12.75">
      <c r="A100" s="2531"/>
      <c r="B100" s="2533"/>
      <c r="C100" s="2531"/>
      <c r="D100" s="2566"/>
      <c r="E100" s="2566"/>
      <c r="F100" s="2566"/>
      <c r="G100" s="2566"/>
      <c r="H100" s="2566"/>
      <c r="I100" s="2579"/>
      <c r="J100" s="2579"/>
      <c r="K100" s="2579"/>
      <c r="L100" s="2579"/>
      <c r="M100" s="2579"/>
      <c r="N100" s="2579"/>
      <c r="O100" s="2579"/>
    </row>
    <row r="101" spans="1:15" s="2463" customFormat="1" ht="12.75">
      <c r="A101" s="2531"/>
      <c r="B101" s="2533"/>
      <c r="C101" s="2531"/>
      <c r="D101" s="2566"/>
      <c r="E101" s="2566"/>
      <c r="F101" s="2566"/>
      <c r="G101" s="2566"/>
      <c r="H101" s="2566"/>
      <c r="I101" s="2579"/>
      <c r="J101" s="2579"/>
      <c r="K101" s="2579"/>
      <c r="L101" s="2579"/>
      <c r="M101" s="2579"/>
      <c r="N101" s="2579"/>
      <c r="O101" s="2579"/>
    </row>
    <row r="102" spans="1:15" s="2463" customFormat="1" ht="12.75">
      <c r="A102" s="2531"/>
      <c r="B102" s="2533"/>
      <c r="C102" s="2531"/>
      <c r="D102" s="2566"/>
      <c r="E102" s="2566"/>
      <c r="F102" s="2566"/>
      <c r="G102" s="2566"/>
      <c r="H102" s="2566"/>
      <c r="I102" s="2579"/>
      <c r="J102" s="2579"/>
      <c r="K102" s="2579"/>
      <c r="L102" s="2579"/>
      <c r="M102" s="2579"/>
      <c r="N102" s="2579"/>
      <c r="O102" s="2579"/>
    </row>
    <row r="103" spans="1:15" s="2463" customFormat="1" ht="12.75">
      <c r="A103" s="2531"/>
      <c r="B103" s="2533"/>
      <c r="C103" s="2531"/>
      <c r="D103" s="2566"/>
      <c r="E103" s="2566"/>
      <c r="F103" s="2566"/>
      <c r="G103" s="2566"/>
      <c r="H103" s="2566"/>
      <c r="I103" s="2579"/>
      <c r="J103" s="2579"/>
      <c r="K103" s="2579"/>
      <c r="L103" s="2579"/>
      <c r="M103" s="2579"/>
      <c r="N103" s="2579"/>
      <c r="O103" s="2579"/>
    </row>
    <row r="104" spans="1:15" s="2463" customFormat="1" ht="12.75">
      <c r="A104" s="2531"/>
      <c r="B104" s="2533"/>
      <c r="C104" s="2531"/>
      <c r="D104" s="2566"/>
      <c r="E104" s="2566"/>
      <c r="F104" s="2566"/>
      <c r="G104" s="2566"/>
      <c r="H104" s="2566"/>
      <c r="I104" s="2579"/>
      <c r="J104" s="2579"/>
      <c r="K104" s="2579"/>
      <c r="L104" s="2579"/>
      <c r="M104" s="2579"/>
      <c r="N104" s="2579"/>
      <c r="O104" s="2579"/>
    </row>
    <row r="105" spans="1:15" s="2463" customFormat="1" ht="12.75">
      <c r="A105" s="2531"/>
      <c r="B105" s="2533"/>
      <c r="C105" s="2531"/>
      <c r="D105" s="2566"/>
      <c r="E105" s="2566"/>
      <c r="F105" s="2566"/>
      <c r="G105" s="2566"/>
      <c r="H105" s="2566"/>
      <c r="I105" s="2579"/>
      <c r="J105" s="2579"/>
      <c r="K105" s="2579"/>
      <c r="L105" s="2579"/>
      <c r="M105" s="2579"/>
      <c r="N105" s="2579"/>
      <c r="O105" s="2579"/>
    </row>
    <row r="106" spans="1:15" s="2463" customFormat="1" ht="12.75">
      <c r="A106" s="2531"/>
      <c r="B106" s="2533"/>
      <c r="C106" s="2531"/>
      <c r="D106" s="2566"/>
      <c r="E106" s="2566"/>
      <c r="F106" s="2566"/>
      <c r="G106" s="2566"/>
      <c r="H106" s="2566"/>
      <c r="I106" s="2579"/>
      <c r="J106" s="2579"/>
      <c r="K106" s="2579"/>
      <c r="L106" s="2579"/>
      <c r="M106" s="2579"/>
      <c r="N106" s="2579"/>
      <c r="O106" s="2579"/>
    </row>
    <row r="107" spans="1:15" s="2463" customFormat="1" ht="12.75">
      <c r="A107" s="2531"/>
      <c r="B107" s="2533"/>
      <c r="C107" s="2531"/>
      <c r="D107" s="2566"/>
      <c r="E107" s="2566"/>
      <c r="F107" s="2566"/>
      <c r="G107" s="2566"/>
      <c r="H107" s="2566"/>
      <c r="I107" s="2579"/>
      <c r="J107" s="2579"/>
      <c r="K107" s="2579"/>
      <c r="L107" s="2579"/>
      <c r="M107" s="2579"/>
      <c r="N107" s="2579"/>
      <c r="O107" s="2579"/>
    </row>
    <row r="108" spans="1:15" s="2463" customFormat="1" ht="12.75">
      <c r="A108" s="2531"/>
      <c r="B108" s="2533"/>
      <c r="C108" s="2531"/>
      <c r="D108" s="2566"/>
      <c r="E108" s="2566"/>
      <c r="F108" s="2566"/>
      <c r="G108" s="2566"/>
      <c r="H108" s="2566"/>
      <c r="I108" s="2579"/>
      <c r="J108" s="2579"/>
      <c r="K108" s="2579"/>
      <c r="L108" s="2579"/>
      <c r="M108" s="2579"/>
      <c r="N108" s="2579"/>
      <c r="O108" s="2579"/>
    </row>
    <row r="109" spans="1:15" s="2463" customFormat="1" ht="12.75">
      <c r="A109" s="2531"/>
      <c r="B109" s="2533"/>
      <c r="C109" s="2531"/>
      <c r="D109" s="2566"/>
      <c r="E109" s="2566"/>
      <c r="F109" s="2566"/>
      <c r="G109" s="2566"/>
      <c r="H109" s="2566"/>
      <c r="I109" s="2579"/>
      <c r="J109" s="2579"/>
      <c r="K109" s="2579"/>
      <c r="L109" s="2579"/>
      <c r="M109" s="2579"/>
      <c r="N109" s="2579"/>
      <c r="O109" s="2579"/>
    </row>
    <row r="110" spans="1:15" s="2463" customFormat="1" ht="12.75">
      <c r="A110" s="2531"/>
      <c r="B110" s="2533"/>
      <c r="C110" s="2531"/>
      <c r="D110" s="2566"/>
      <c r="E110" s="2566"/>
      <c r="F110" s="2566"/>
      <c r="G110" s="2566"/>
      <c r="H110" s="2566"/>
      <c r="I110" s="2579"/>
      <c r="J110" s="2579"/>
      <c r="K110" s="2579"/>
      <c r="L110" s="2579"/>
      <c r="M110" s="2579"/>
      <c r="N110" s="2579"/>
      <c r="O110" s="2579"/>
    </row>
    <row r="111" spans="1:15" s="2463" customFormat="1" ht="12.75">
      <c r="A111" s="2531"/>
      <c r="B111" s="2533"/>
      <c r="C111" s="2531"/>
      <c r="D111" s="2566"/>
      <c r="E111" s="2566"/>
      <c r="F111" s="2566"/>
      <c r="G111" s="2566"/>
      <c r="H111" s="2566"/>
      <c r="I111" s="2579"/>
      <c r="J111" s="2579"/>
      <c r="K111" s="2579"/>
      <c r="L111" s="2579"/>
      <c r="M111" s="2579"/>
      <c r="N111" s="2579"/>
      <c r="O111" s="2579"/>
    </row>
    <row r="112" spans="1:15" s="2463" customFormat="1" ht="12.75">
      <c r="A112" s="2531"/>
      <c r="B112" s="2533"/>
      <c r="C112" s="2531"/>
      <c r="D112" s="2566"/>
      <c r="E112" s="2566"/>
      <c r="F112" s="2566"/>
      <c r="G112" s="2566"/>
      <c r="H112" s="2566"/>
      <c r="I112" s="2579"/>
      <c r="J112" s="2579"/>
      <c r="K112" s="2579"/>
      <c r="L112" s="2579"/>
      <c r="M112" s="2579"/>
      <c r="N112" s="2579"/>
      <c r="O112" s="2579"/>
    </row>
    <row r="113" spans="1:15" s="2463" customFormat="1" ht="12.75">
      <c r="A113" s="4876"/>
      <c r="B113" s="4876"/>
      <c r="C113" s="4876"/>
      <c r="D113" s="4876"/>
      <c r="E113" s="4876"/>
      <c r="F113" s="4876"/>
      <c r="G113" s="4876"/>
      <c r="H113" s="4876"/>
      <c r="I113" s="2579"/>
      <c r="J113" s="2579"/>
      <c r="K113" s="2579"/>
      <c r="L113" s="2579"/>
      <c r="M113" s="2579"/>
      <c r="N113" s="2579"/>
      <c r="O113" s="2579"/>
    </row>
    <row r="114" spans="1:15" s="2463" customFormat="1" ht="12.75">
      <c r="A114" s="4877"/>
      <c r="B114" s="4877"/>
      <c r="C114" s="4877"/>
      <c r="D114" s="4877"/>
      <c r="E114" s="4877"/>
      <c r="F114" s="4877"/>
      <c r="G114" s="4877"/>
      <c r="H114" s="4877"/>
      <c r="I114" s="2579"/>
      <c r="J114" s="2579"/>
      <c r="K114" s="2579"/>
      <c r="L114" s="2579"/>
      <c r="M114" s="2579"/>
      <c r="N114" s="2579"/>
      <c r="O114" s="2579"/>
    </row>
    <row r="115" spans="1:15" s="2463" customFormat="1">
      <c r="A115" s="2529"/>
      <c r="B115" s="2529"/>
      <c r="C115" s="2529"/>
      <c r="D115" s="2529"/>
      <c r="E115" s="2529"/>
      <c r="F115" s="2529"/>
      <c r="G115" s="2529"/>
      <c r="H115" s="2529"/>
      <c r="I115" s="2579"/>
      <c r="J115" s="2579"/>
      <c r="K115" s="2579"/>
      <c r="L115" s="2579"/>
      <c r="M115" s="2579"/>
      <c r="N115" s="2579"/>
      <c r="O115" s="2579"/>
    </row>
    <row r="116" spans="1:15" s="2463" customFormat="1">
      <c r="A116" s="2568"/>
      <c r="B116" s="2567"/>
      <c r="C116" s="2529"/>
      <c r="D116" s="2566"/>
      <c r="E116" s="2566"/>
      <c r="F116" s="2566"/>
      <c r="G116" s="2566"/>
      <c r="H116" s="2566"/>
      <c r="I116" s="2579"/>
      <c r="J116" s="2579"/>
      <c r="K116" s="2579"/>
      <c r="L116" s="2579"/>
      <c r="M116" s="2579"/>
      <c r="N116" s="2579"/>
      <c r="O116" s="2579"/>
    </row>
    <row r="117" spans="1:15" s="2463" customFormat="1" ht="12.75">
      <c r="A117" s="1269"/>
      <c r="B117" s="1269"/>
      <c r="C117" s="2542"/>
      <c r="D117" s="2541"/>
      <c r="E117" s="2561"/>
      <c r="F117" s="2540"/>
      <c r="G117" s="2565"/>
      <c r="H117" s="2561"/>
      <c r="I117" s="2579"/>
      <c r="J117" s="2579"/>
      <c r="K117" s="2579"/>
      <c r="L117" s="2579"/>
      <c r="M117" s="2579"/>
      <c r="N117" s="2579"/>
      <c r="O117" s="2579"/>
    </row>
    <row r="118" spans="1:15" s="2463" customFormat="1" ht="23.25">
      <c r="A118" s="2564"/>
      <c r="B118" s="2564"/>
      <c r="C118" s="2563"/>
      <c r="D118" s="2541"/>
      <c r="E118" s="2561"/>
      <c r="F118" s="2540"/>
      <c r="G118" s="2562"/>
      <c r="H118" s="2561"/>
      <c r="I118" s="2579"/>
      <c r="J118" s="2579"/>
      <c r="K118" s="2579"/>
      <c r="L118" s="2579"/>
      <c r="M118" s="2579"/>
      <c r="N118" s="2579"/>
      <c r="O118" s="2579"/>
    </row>
    <row r="119" spans="1:15" s="2463" customFormat="1" ht="12.75">
      <c r="A119" s="4879"/>
      <c r="B119" s="4879"/>
      <c r="C119" s="2559"/>
      <c r="D119" s="2560"/>
      <c r="E119" s="4880"/>
      <c r="F119" s="4880"/>
      <c r="G119" s="4880"/>
      <c r="H119" s="2557"/>
      <c r="I119" s="2579"/>
      <c r="J119" s="2579"/>
      <c r="K119" s="2579"/>
      <c r="L119" s="2579"/>
      <c r="M119" s="2579"/>
      <c r="N119" s="2579"/>
      <c r="O119" s="2579"/>
    </row>
    <row r="120" spans="1:15" s="2463" customFormat="1" ht="12.75">
      <c r="A120" s="4879"/>
      <c r="B120" s="4879"/>
      <c r="C120" s="2559"/>
      <c r="D120" s="2558"/>
      <c r="E120" s="2558"/>
      <c r="F120" s="2558"/>
      <c r="G120" s="2558"/>
      <c r="H120" s="2558"/>
      <c r="I120" s="2579"/>
      <c r="J120" s="2579"/>
      <c r="K120" s="2579"/>
      <c r="L120" s="2579"/>
      <c r="M120" s="2579"/>
      <c r="N120" s="2579"/>
      <c r="O120" s="2579"/>
    </row>
    <row r="121" spans="1:15" s="2463" customFormat="1" ht="12.75">
      <c r="A121" s="4879"/>
      <c r="B121" s="4879"/>
      <c r="C121" s="2557"/>
      <c r="D121" s="2555"/>
      <c r="E121" s="2555"/>
      <c r="F121" s="2555"/>
      <c r="G121" s="2556"/>
      <c r="H121" s="2555"/>
      <c r="I121" s="2579"/>
      <c r="J121" s="2579"/>
      <c r="K121" s="2579"/>
      <c r="L121" s="2579"/>
      <c r="M121" s="2579"/>
      <c r="N121" s="2579"/>
      <c r="O121" s="2579"/>
    </row>
    <row r="122" spans="1:15" s="2463" customFormat="1" ht="12.75">
      <c r="A122" s="2554"/>
      <c r="B122" s="2553"/>
      <c r="C122" s="2552"/>
      <c r="D122" s="2551"/>
      <c r="E122" s="2551"/>
      <c r="F122" s="2551"/>
      <c r="G122" s="2551"/>
      <c r="H122" s="2551"/>
      <c r="I122" s="2579"/>
      <c r="J122" s="2579"/>
      <c r="K122" s="2579"/>
      <c r="L122" s="2579"/>
      <c r="M122" s="2579"/>
      <c r="N122" s="2579"/>
      <c r="O122" s="2579"/>
    </row>
    <row r="123" spans="1:15" s="2463" customFormat="1" ht="12.75">
      <c r="A123" s="2549"/>
      <c r="B123" s="2549"/>
      <c r="C123" s="2550"/>
      <c r="D123" s="2548"/>
      <c r="E123" s="2548"/>
      <c r="F123" s="2540"/>
      <c r="G123" s="2548"/>
      <c r="H123" s="2548"/>
      <c r="I123" s="2579"/>
      <c r="J123" s="2579"/>
      <c r="K123" s="2579"/>
      <c r="L123" s="2579"/>
      <c r="M123" s="2579"/>
      <c r="N123" s="2579"/>
      <c r="O123" s="2579"/>
    </row>
    <row r="124" spans="1:15" s="2463" customFormat="1" ht="12.75">
      <c r="A124" s="2549"/>
      <c r="B124" s="2549"/>
      <c r="C124" s="2545"/>
      <c r="D124" s="2548"/>
      <c r="E124" s="2548"/>
      <c r="F124" s="2540"/>
      <c r="G124" s="2548"/>
      <c r="H124" s="2548"/>
      <c r="I124" s="2579"/>
      <c r="J124" s="2579"/>
      <c r="K124" s="2579"/>
      <c r="L124" s="2579"/>
      <c r="M124" s="2579"/>
      <c r="N124" s="2579"/>
      <c r="O124" s="2579"/>
    </row>
    <row r="125" spans="1:15" s="2463" customFormat="1" ht="12.75">
      <c r="A125" s="2547"/>
      <c r="B125" s="2546"/>
      <c r="C125" s="2545"/>
      <c r="D125" s="2541"/>
      <c r="E125" s="2544"/>
      <c r="F125" s="2540"/>
      <c r="G125" s="2544"/>
      <c r="H125" s="2544"/>
      <c r="I125" s="2579"/>
      <c r="J125" s="2579"/>
      <c r="K125" s="2579"/>
      <c r="L125" s="2579"/>
      <c r="M125" s="2579"/>
      <c r="N125" s="2579"/>
      <c r="O125" s="2579"/>
    </row>
    <row r="126" spans="1:15" s="2463" customFormat="1" ht="12.75">
      <c r="A126" s="2543"/>
      <c r="B126" s="2543"/>
      <c r="C126" s="2542"/>
      <c r="D126" s="2541"/>
      <c r="E126" s="2539"/>
      <c r="F126" s="2540"/>
      <c r="G126" s="2539"/>
      <c r="H126" s="2539"/>
      <c r="I126" s="2579"/>
      <c r="J126" s="2579"/>
      <c r="K126" s="2579"/>
      <c r="L126" s="2579"/>
      <c r="M126" s="2579"/>
      <c r="N126" s="2579"/>
      <c r="O126" s="2579"/>
    </row>
    <row r="127" spans="1:15" s="2463" customFormat="1" ht="12.75">
      <c r="A127" s="2538"/>
      <c r="B127" s="2538"/>
      <c r="C127" s="2537"/>
      <c r="D127" s="2536"/>
      <c r="E127" s="2536"/>
      <c r="F127" s="2536"/>
      <c r="G127" s="2536"/>
      <c r="H127" s="2536"/>
      <c r="I127" s="2579"/>
      <c r="J127" s="2579"/>
      <c r="K127" s="2579"/>
      <c r="L127" s="2579"/>
      <c r="M127" s="2579"/>
      <c r="N127" s="2579"/>
      <c r="O127" s="2579"/>
    </row>
    <row r="128" spans="1:15" s="2463" customFormat="1" ht="12.75">
      <c r="A128" s="2538"/>
      <c r="B128" s="2538"/>
      <c r="C128" s="2537"/>
      <c r="D128" s="2536"/>
      <c r="E128" s="2536"/>
      <c r="F128" s="2536"/>
      <c r="G128" s="2536"/>
      <c r="H128" s="2536"/>
      <c r="I128" s="2579"/>
      <c r="J128" s="2579"/>
      <c r="K128" s="2579"/>
      <c r="L128" s="2579"/>
      <c r="M128" s="2579"/>
      <c r="N128" s="2579"/>
      <c r="O128" s="2579"/>
    </row>
    <row r="129" spans="1:15" s="2463" customFormat="1">
      <c r="A129" s="1269"/>
      <c r="B129" s="2529"/>
      <c r="C129" s="2535"/>
      <c r="D129" s="2529"/>
      <c r="E129" s="4877"/>
      <c r="F129" s="4877"/>
      <c r="G129" s="1269"/>
      <c r="H129" s="2529"/>
      <c r="I129" s="2579"/>
      <c r="J129" s="2579"/>
      <c r="K129" s="2579"/>
      <c r="L129" s="2579"/>
      <c r="M129" s="2579"/>
      <c r="N129" s="2579"/>
      <c r="O129" s="2579"/>
    </row>
    <row r="130" spans="1:15" s="2463" customFormat="1">
      <c r="A130" s="2529"/>
      <c r="B130" s="1269"/>
      <c r="C130" s="2535"/>
      <c r="D130" s="1269"/>
      <c r="E130" s="1269"/>
      <c r="F130" s="1269"/>
      <c r="G130" s="1269"/>
      <c r="H130" s="2529"/>
      <c r="I130" s="2579"/>
      <c r="J130" s="2579"/>
      <c r="K130" s="2579"/>
      <c r="L130" s="2579"/>
      <c r="M130" s="2579"/>
      <c r="N130" s="2579"/>
      <c r="O130" s="2579"/>
    </row>
    <row r="131" spans="1:15" s="2463" customFormat="1" ht="12.75">
      <c r="A131" s="2534"/>
      <c r="B131" s="1269"/>
      <c r="C131" s="4881"/>
      <c r="D131" s="4881"/>
      <c r="E131" s="4876"/>
      <c r="F131" s="4876"/>
      <c r="G131" s="4876"/>
      <c r="H131" s="4876"/>
      <c r="I131" s="2579"/>
      <c r="J131" s="2579"/>
      <c r="K131" s="2579"/>
      <c r="L131" s="2579"/>
      <c r="M131" s="2579"/>
      <c r="N131" s="2579"/>
      <c r="O131" s="2579"/>
    </row>
    <row r="132" spans="1:15" s="2463" customFormat="1" ht="12.75">
      <c r="A132" s="2531"/>
      <c r="B132" s="2533"/>
      <c r="C132" s="4874"/>
      <c r="D132" s="4874"/>
      <c r="E132" s="4875"/>
      <c r="F132" s="4875"/>
      <c r="G132" s="4875"/>
      <c r="H132" s="4875"/>
      <c r="I132" s="2579"/>
      <c r="J132" s="2579"/>
      <c r="K132" s="2579"/>
      <c r="L132" s="2579"/>
      <c r="M132" s="2579"/>
      <c r="N132" s="2579"/>
      <c r="O132" s="2579"/>
    </row>
    <row r="133" spans="1:15" s="2463" customFormat="1">
      <c r="A133" s="2529"/>
      <c r="B133" s="2529"/>
      <c r="C133" s="2529"/>
      <c r="D133" s="2529"/>
      <c r="E133" s="2529"/>
      <c r="F133" s="2529"/>
      <c r="G133" s="2529"/>
      <c r="H133" s="2529"/>
      <c r="I133" s="2579"/>
      <c r="J133" s="2579"/>
      <c r="K133" s="2579"/>
      <c r="L133" s="2579"/>
      <c r="M133" s="2579"/>
      <c r="N133" s="2579"/>
      <c r="O133" s="2579"/>
    </row>
    <row r="134" spans="1:15" s="2463" customFormat="1">
      <c r="A134" s="2529"/>
      <c r="B134" s="2529"/>
      <c r="C134" s="2529"/>
      <c r="D134" s="2529"/>
      <c r="E134" s="2529"/>
      <c r="F134" s="2529"/>
      <c r="G134" s="2529"/>
      <c r="H134" s="2529"/>
      <c r="I134" s="2579"/>
      <c r="J134" s="2579"/>
      <c r="K134" s="2579"/>
      <c r="L134" s="2579"/>
      <c r="M134" s="2579"/>
      <c r="N134" s="2579"/>
      <c r="O134" s="2579"/>
    </row>
    <row r="135" spans="1:15" s="2463" customFormat="1">
      <c r="A135" s="2529"/>
      <c r="B135" s="2529"/>
      <c r="C135" s="2529"/>
      <c r="D135" s="2529"/>
      <c r="E135" s="2529"/>
      <c r="F135" s="2529"/>
      <c r="G135" s="2529"/>
      <c r="H135" s="2529"/>
      <c r="I135" s="2579"/>
      <c r="J135" s="2579"/>
      <c r="K135" s="2579"/>
      <c r="L135" s="2579"/>
      <c r="M135" s="2579"/>
      <c r="N135" s="2579"/>
      <c r="O135" s="2579"/>
    </row>
    <row r="136" spans="1:15" s="2463" customFormat="1">
      <c r="A136" s="2529"/>
      <c r="B136" s="2529"/>
      <c r="C136" s="2529"/>
      <c r="D136" s="2529"/>
      <c r="E136" s="2529"/>
      <c r="F136" s="2529"/>
      <c r="G136" s="2529"/>
      <c r="H136" s="2529"/>
      <c r="I136" s="2579"/>
      <c r="J136" s="2579"/>
      <c r="K136" s="2579"/>
      <c r="L136" s="2579"/>
      <c r="M136" s="2579"/>
      <c r="N136" s="2579"/>
      <c r="O136" s="2579"/>
    </row>
    <row r="137" spans="1:15" s="2463" customFormat="1">
      <c r="A137" s="2529"/>
      <c r="B137" s="2529"/>
      <c r="C137" s="2529"/>
      <c r="D137" s="2529"/>
      <c r="E137" s="2529"/>
      <c r="F137" s="2529"/>
      <c r="G137" s="2529"/>
      <c r="H137" s="2529"/>
      <c r="I137" s="2579"/>
      <c r="J137" s="2579"/>
      <c r="K137" s="2579"/>
      <c r="L137" s="2579"/>
      <c r="M137" s="2579"/>
      <c r="N137" s="2579"/>
      <c r="O137" s="2579"/>
    </row>
    <row r="138" spans="1:15" s="2463" customFormat="1">
      <c r="A138" s="2529"/>
      <c r="B138" s="2529"/>
      <c r="C138" s="2529"/>
      <c r="D138" s="2529"/>
      <c r="E138" s="2529"/>
      <c r="F138" s="2529"/>
      <c r="G138" s="2529"/>
      <c r="H138" s="2529"/>
      <c r="I138" s="2579"/>
      <c r="J138" s="2579"/>
      <c r="K138" s="2579"/>
      <c r="L138" s="2579"/>
      <c r="M138" s="2579"/>
      <c r="N138" s="2579"/>
      <c r="O138" s="2579"/>
    </row>
    <row r="139" spans="1:15" s="2463" customFormat="1">
      <c r="A139" s="2529"/>
      <c r="B139" s="2529"/>
      <c r="C139" s="2529"/>
      <c r="D139" s="2529"/>
      <c r="E139" s="2529"/>
      <c r="F139" s="2529"/>
      <c r="G139" s="2529"/>
      <c r="H139" s="2529"/>
      <c r="I139" s="2579"/>
      <c r="J139" s="2579"/>
      <c r="K139" s="2579"/>
      <c r="L139" s="2579"/>
      <c r="M139" s="2579"/>
      <c r="N139" s="2579"/>
      <c r="O139" s="2579"/>
    </row>
    <row r="140" spans="1:15" s="2463" customFormat="1">
      <c r="A140" s="2529"/>
      <c r="B140" s="2529"/>
      <c r="C140" s="2529"/>
      <c r="D140" s="2529"/>
      <c r="E140" s="2529"/>
      <c r="F140" s="2529"/>
      <c r="G140" s="2529"/>
      <c r="H140" s="2529"/>
      <c r="I140" s="2579"/>
      <c r="J140" s="2579"/>
      <c r="K140" s="2579"/>
      <c r="L140" s="2579"/>
      <c r="M140" s="2579"/>
      <c r="N140" s="2579"/>
      <c r="O140" s="2579"/>
    </row>
    <row r="141" spans="1:15" s="2463" customFormat="1">
      <c r="A141" s="2529"/>
      <c r="B141" s="2529"/>
      <c r="C141" s="2529"/>
      <c r="D141" s="2529"/>
      <c r="E141" s="2529"/>
      <c r="F141" s="2529"/>
      <c r="G141" s="2529"/>
      <c r="H141" s="2529"/>
      <c r="I141" s="2579"/>
      <c r="J141" s="2579"/>
      <c r="K141" s="2579"/>
      <c r="L141" s="2579"/>
      <c r="M141" s="2579"/>
      <c r="N141" s="2579"/>
      <c r="O141" s="2579"/>
    </row>
    <row r="142" spans="1:15" s="2463" customFormat="1">
      <c r="A142" s="2462"/>
      <c r="B142" s="2462"/>
      <c r="C142" s="2462"/>
      <c r="D142" s="2462"/>
      <c r="E142" s="2462"/>
      <c r="F142" s="2462"/>
      <c r="G142" s="2462"/>
      <c r="H142" s="2462"/>
      <c r="I142" s="2579"/>
      <c r="J142" s="2579"/>
      <c r="K142" s="2579"/>
      <c r="L142" s="2579"/>
      <c r="M142" s="2579"/>
      <c r="N142" s="2579"/>
      <c r="O142" s="2579"/>
    </row>
    <row r="143" spans="1:15" s="2463" customFormat="1">
      <c r="A143" s="2462"/>
      <c r="B143" s="2462"/>
      <c r="C143" s="2462"/>
      <c r="D143" s="2462"/>
      <c r="E143" s="2462"/>
      <c r="F143" s="2462"/>
      <c r="G143" s="2462"/>
      <c r="H143" s="2462"/>
      <c r="I143" s="2579"/>
      <c r="J143" s="2579"/>
      <c r="K143" s="2579"/>
      <c r="L143" s="2579"/>
      <c r="M143" s="2579"/>
      <c r="N143" s="2579"/>
      <c r="O143" s="2579"/>
    </row>
    <row r="144" spans="1:15" s="2463" customFormat="1">
      <c r="A144" s="2462"/>
      <c r="B144" s="2462"/>
      <c r="C144" s="2462"/>
      <c r="D144" s="2462"/>
      <c r="E144" s="2462"/>
      <c r="F144" s="2462"/>
      <c r="G144" s="2462"/>
      <c r="H144" s="2462"/>
      <c r="I144" s="2579"/>
      <c r="J144" s="2579"/>
      <c r="K144" s="2579"/>
      <c r="L144" s="2579"/>
      <c r="M144" s="2579"/>
      <c r="N144" s="2579"/>
      <c r="O144" s="2579"/>
    </row>
    <row r="145" spans="1:15" s="2463" customFormat="1">
      <c r="A145" s="2462"/>
      <c r="B145" s="2462"/>
      <c r="C145" s="2462"/>
      <c r="D145" s="2462"/>
      <c r="E145" s="2462"/>
      <c r="F145" s="2462"/>
      <c r="G145" s="2462"/>
      <c r="H145" s="2462"/>
      <c r="I145" s="2579"/>
      <c r="J145" s="2579"/>
      <c r="K145" s="2579"/>
      <c r="L145" s="2579"/>
      <c r="M145" s="2579"/>
      <c r="N145" s="2579"/>
      <c r="O145" s="2579"/>
    </row>
    <row r="146" spans="1:15" s="2463" customFormat="1">
      <c r="A146" s="2462"/>
      <c r="B146" s="2462"/>
      <c r="C146" s="2462"/>
      <c r="D146" s="2462"/>
      <c r="E146" s="2462"/>
      <c r="F146" s="2462"/>
      <c r="G146" s="2462"/>
      <c r="H146" s="2462"/>
      <c r="I146" s="2579"/>
      <c r="J146" s="2579"/>
      <c r="K146" s="2579"/>
      <c r="L146" s="2579"/>
      <c r="M146" s="2579"/>
      <c r="N146" s="2579"/>
      <c r="O146" s="2579"/>
    </row>
    <row r="147" spans="1:15" s="2463" customFormat="1">
      <c r="A147" s="2462"/>
      <c r="B147" s="2462"/>
      <c r="C147" s="2462"/>
      <c r="D147" s="2462"/>
      <c r="E147" s="2462"/>
      <c r="F147" s="2462"/>
      <c r="G147" s="2462"/>
      <c r="H147" s="2462"/>
      <c r="I147" s="2579"/>
      <c r="J147" s="2579"/>
      <c r="K147" s="2579"/>
      <c r="L147" s="2579"/>
      <c r="M147" s="2579"/>
      <c r="N147" s="2579"/>
      <c r="O147" s="2579"/>
    </row>
    <row r="148" spans="1:15" s="2463" customFormat="1">
      <c r="A148" s="2462"/>
      <c r="B148" s="2462"/>
      <c r="C148" s="2462"/>
      <c r="D148" s="2462"/>
      <c r="E148" s="2462"/>
      <c r="F148" s="2462"/>
      <c r="G148" s="2462"/>
      <c r="H148" s="2462"/>
      <c r="I148" s="2579"/>
      <c r="J148" s="2579"/>
      <c r="K148" s="2579"/>
      <c r="L148" s="2579"/>
      <c r="M148" s="2579"/>
      <c r="N148" s="2579"/>
      <c r="O148" s="2579"/>
    </row>
    <row r="149" spans="1:15" s="2463" customFormat="1">
      <c r="A149" s="2462"/>
      <c r="B149" s="2462"/>
      <c r="C149" s="2462"/>
      <c r="D149" s="2462"/>
      <c r="E149" s="2462"/>
      <c r="F149" s="2462"/>
      <c r="G149" s="2462"/>
      <c r="H149" s="2462"/>
      <c r="I149" s="2579"/>
      <c r="J149" s="2579"/>
      <c r="K149" s="2579"/>
      <c r="L149" s="2579"/>
      <c r="M149" s="2579"/>
      <c r="N149" s="2579"/>
      <c r="O149" s="2579"/>
    </row>
    <row r="150" spans="1:15" s="2463" customFormat="1">
      <c r="A150" s="2462"/>
      <c r="B150" s="2462"/>
      <c r="C150" s="2462"/>
      <c r="D150" s="2462"/>
      <c r="E150" s="2462"/>
      <c r="F150" s="2462"/>
      <c r="G150" s="2462"/>
      <c r="H150" s="2462"/>
      <c r="I150" s="2579"/>
      <c r="J150" s="2579"/>
      <c r="K150" s="2579"/>
      <c r="L150" s="2579"/>
      <c r="M150" s="2579"/>
      <c r="N150" s="2579"/>
      <c r="O150" s="2579"/>
    </row>
    <row r="151" spans="1:15" s="2463" customFormat="1">
      <c r="A151" s="2462"/>
      <c r="B151" s="2462"/>
      <c r="C151" s="2462"/>
      <c r="D151" s="2462"/>
      <c r="E151" s="2462"/>
      <c r="F151" s="2462"/>
      <c r="G151" s="2462"/>
      <c r="H151" s="2462"/>
      <c r="I151" s="2579"/>
      <c r="J151" s="2579"/>
      <c r="K151" s="2579"/>
      <c r="L151" s="2579"/>
      <c r="M151" s="2579"/>
      <c r="N151" s="2579"/>
      <c r="O151" s="2579"/>
    </row>
    <row r="152" spans="1:15" s="2463" customFormat="1">
      <c r="A152" s="2462"/>
      <c r="B152" s="2462"/>
      <c r="C152" s="2462"/>
      <c r="D152" s="2462"/>
      <c r="E152" s="2462"/>
      <c r="F152" s="2462"/>
      <c r="G152" s="2462"/>
      <c r="H152" s="2462"/>
      <c r="I152" s="2579"/>
      <c r="J152" s="2579"/>
      <c r="K152" s="2579"/>
      <c r="L152" s="2579"/>
      <c r="M152" s="2579"/>
      <c r="N152" s="2579"/>
      <c r="O152" s="2579"/>
    </row>
    <row r="153" spans="1:15" s="2463" customFormat="1">
      <c r="A153" s="2462"/>
      <c r="B153" s="2462"/>
      <c r="C153" s="2462"/>
      <c r="D153" s="2462"/>
      <c r="E153" s="2462"/>
      <c r="F153" s="2462"/>
      <c r="G153" s="2462"/>
      <c r="H153" s="2462"/>
      <c r="I153" s="2579"/>
      <c r="J153" s="2579"/>
      <c r="K153" s="2579"/>
      <c r="L153" s="2579"/>
      <c r="M153" s="2579"/>
      <c r="N153" s="2579"/>
      <c r="O153" s="2579"/>
    </row>
    <row r="154" spans="1:15" s="2463" customFormat="1">
      <c r="A154" s="2462"/>
      <c r="B154" s="2462"/>
      <c r="C154" s="2462"/>
      <c r="D154" s="2462"/>
      <c r="E154" s="2462"/>
      <c r="F154" s="2462"/>
      <c r="G154" s="2462"/>
      <c r="H154" s="2462"/>
      <c r="I154" s="2579"/>
      <c r="J154" s="2579"/>
      <c r="K154" s="2579"/>
      <c r="L154" s="2579"/>
      <c r="M154" s="2579"/>
      <c r="N154" s="2579"/>
      <c r="O154" s="2579"/>
    </row>
    <row r="155" spans="1:15" s="2532" customFormat="1">
      <c r="A155" s="2462"/>
      <c r="B155" s="2462"/>
      <c r="C155" s="2462"/>
      <c r="D155" s="2462"/>
      <c r="E155" s="2462"/>
      <c r="F155" s="2462"/>
      <c r="G155" s="2462"/>
      <c r="H155" s="2462"/>
    </row>
    <row r="156" spans="1:15" s="2532" customFormat="1">
      <c r="A156" s="2462"/>
      <c r="B156" s="2462"/>
      <c r="C156" s="2462"/>
      <c r="D156" s="2462"/>
      <c r="E156" s="2462"/>
      <c r="F156" s="2462"/>
      <c r="G156" s="2462"/>
      <c r="H156" s="2462"/>
    </row>
    <row r="157" spans="1:15" s="2532" customFormat="1">
      <c r="A157" s="2462"/>
      <c r="B157" s="2462"/>
      <c r="C157" s="2462"/>
      <c r="D157" s="2462"/>
      <c r="E157" s="2462"/>
      <c r="F157" s="2462"/>
      <c r="G157" s="2462"/>
      <c r="H157" s="2462"/>
    </row>
    <row r="158" spans="1:15" s="2532" customFormat="1">
      <c r="A158" s="2462"/>
      <c r="B158" s="2462"/>
      <c r="C158" s="2462"/>
      <c r="D158" s="2462"/>
      <c r="E158" s="2462"/>
      <c r="F158" s="2462"/>
      <c r="G158" s="2462"/>
      <c r="H158" s="2462"/>
    </row>
    <row r="159" spans="1:15" s="2532" customFormat="1">
      <c r="A159" s="2462"/>
      <c r="B159" s="2462"/>
      <c r="C159" s="2462"/>
      <c r="D159" s="2462"/>
      <c r="E159" s="2462"/>
      <c r="F159" s="2462"/>
      <c r="G159" s="2462"/>
      <c r="H159" s="2462"/>
    </row>
    <row r="160" spans="1:15" s="2532" customFormat="1">
      <c r="A160" s="2462"/>
      <c r="B160" s="2462"/>
      <c r="C160" s="2462"/>
      <c r="D160" s="2462"/>
      <c r="E160" s="2462"/>
      <c r="F160" s="2462"/>
      <c r="G160" s="2462"/>
      <c r="H160" s="2462"/>
    </row>
    <row r="161" spans="1:15" s="2532" customFormat="1">
      <c r="A161" s="2462"/>
      <c r="B161" s="2462"/>
      <c r="C161" s="2462"/>
      <c r="D161" s="2462"/>
      <c r="E161" s="2462"/>
      <c r="F161" s="2462"/>
      <c r="G161" s="2462"/>
      <c r="H161" s="2462"/>
    </row>
    <row r="162" spans="1:15" s="2532" customFormat="1">
      <c r="A162" s="2462"/>
      <c r="B162" s="2462"/>
      <c r="C162" s="2462"/>
      <c r="D162" s="2462"/>
      <c r="E162" s="2462"/>
      <c r="F162" s="2462"/>
      <c r="G162" s="2462"/>
      <c r="H162" s="2462"/>
    </row>
    <row r="163" spans="1:15" s="2463" customFormat="1">
      <c r="A163" s="2462"/>
      <c r="B163" s="2462"/>
      <c r="C163" s="2462"/>
      <c r="D163" s="2462"/>
      <c r="E163" s="2462"/>
      <c r="F163" s="2462"/>
      <c r="G163" s="2462"/>
      <c r="H163" s="2462"/>
      <c r="I163" s="2579"/>
      <c r="J163" s="2579"/>
      <c r="K163" s="2579"/>
      <c r="L163" s="2579"/>
      <c r="M163" s="2579"/>
      <c r="N163" s="2579"/>
      <c r="O163" s="2579"/>
    </row>
    <row r="164" spans="1:15" s="2463" customFormat="1">
      <c r="A164" s="2462"/>
      <c r="B164" s="2462"/>
      <c r="C164" s="2462"/>
      <c r="D164" s="2462"/>
      <c r="E164" s="2462"/>
      <c r="F164" s="2462"/>
      <c r="G164" s="2462"/>
      <c r="H164" s="2462"/>
      <c r="I164" s="2579"/>
      <c r="J164" s="2579"/>
      <c r="K164" s="2579"/>
      <c r="L164" s="2579"/>
      <c r="M164" s="2579"/>
      <c r="N164" s="2579"/>
      <c r="O164" s="2579"/>
    </row>
    <row r="165" spans="1:15" s="2463" customFormat="1">
      <c r="A165" s="2462"/>
      <c r="B165" s="2462"/>
      <c r="C165" s="2462"/>
      <c r="D165" s="2462"/>
      <c r="E165" s="2462"/>
      <c r="F165" s="2462"/>
      <c r="G165" s="2462"/>
      <c r="H165" s="2462"/>
      <c r="I165" s="2579"/>
      <c r="J165" s="2579"/>
      <c r="K165" s="2579"/>
      <c r="L165" s="2579"/>
      <c r="M165" s="2579"/>
      <c r="N165" s="2579"/>
      <c r="O165" s="2579"/>
    </row>
    <row r="166" spans="1:15" s="2463" customFormat="1">
      <c r="A166" s="2462"/>
      <c r="B166" s="2462"/>
      <c r="C166" s="2462"/>
      <c r="D166" s="2462"/>
      <c r="E166" s="2462"/>
      <c r="F166" s="2462"/>
      <c r="G166" s="2462"/>
      <c r="H166" s="2462"/>
      <c r="I166" s="2579"/>
      <c r="J166" s="2579"/>
      <c r="K166" s="2579"/>
      <c r="L166" s="2579"/>
      <c r="M166" s="2579"/>
      <c r="N166" s="2579"/>
      <c r="O166" s="2579"/>
    </row>
    <row r="167" spans="1:15" s="2463" customFormat="1">
      <c r="A167" s="2462"/>
      <c r="B167" s="2462"/>
      <c r="C167" s="2462"/>
      <c r="D167" s="2462"/>
      <c r="E167" s="2462"/>
      <c r="F167" s="2462"/>
      <c r="G167" s="2462"/>
      <c r="H167" s="2462"/>
      <c r="I167" s="2579"/>
      <c r="J167" s="2579"/>
      <c r="K167" s="2579"/>
      <c r="L167" s="2579"/>
      <c r="M167" s="2579"/>
      <c r="N167" s="2579"/>
      <c r="O167" s="2579"/>
    </row>
    <row r="168" spans="1:15" s="2463" customFormat="1">
      <c r="A168" s="2462"/>
      <c r="B168" s="2462"/>
      <c r="C168" s="2462"/>
      <c r="D168" s="2462"/>
      <c r="E168" s="2462"/>
      <c r="F168" s="2462"/>
      <c r="G168" s="2462"/>
      <c r="H168" s="2462"/>
      <c r="I168" s="2579"/>
      <c r="J168" s="2579"/>
      <c r="K168" s="2579"/>
      <c r="L168" s="2579"/>
      <c r="M168" s="2579"/>
      <c r="N168" s="2579"/>
      <c r="O168" s="2579"/>
    </row>
    <row r="169" spans="1:15" s="2463" customFormat="1">
      <c r="A169" s="2462"/>
      <c r="B169" s="2462"/>
      <c r="C169" s="2462"/>
      <c r="D169" s="2462"/>
      <c r="E169" s="2462"/>
      <c r="F169" s="2462"/>
      <c r="G169" s="2462"/>
      <c r="H169" s="2462"/>
      <c r="I169" s="2579"/>
      <c r="J169" s="2579"/>
      <c r="K169" s="2579"/>
      <c r="L169" s="2579"/>
      <c r="M169" s="2579"/>
      <c r="N169" s="2579"/>
      <c r="O169" s="2579"/>
    </row>
    <row r="170" spans="1:15" s="2463" customFormat="1">
      <c r="A170" s="2462"/>
      <c r="B170" s="2462"/>
      <c r="C170" s="2462"/>
      <c r="D170" s="2462"/>
      <c r="E170" s="2462"/>
      <c r="F170" s="2462"/>
      <c r="G170" s="2462"/>
      <c r="H170" s="2462"/>
      <c r="I170" s="2579"/>
      <c r="J170" s="2579"/>
      <c r="K170" s="2579"/>
      <c r="L170" s="2579"/>
      <c r="M170" s="2579"/>
      <c r="N170" s="2579"/>
      <c r="O170" s="2579"/>
    </row>
    <row r="171" spans="1:15" s="2463" customFormat="1">
      <c r="A171" s="2462"/>
      <c r="B171" s="2462"/>
      <c r="C171" s="2462"/>
      <c r="D171" s="2462"/>
      <c r="E171" s="2462"/>
      <c r="F171" s="2462"/>
      <c r="G171" s="2462"/>
      <c r="H171" s="2462"/>
      <c r="I171" s="2579"/>
      <c r="J171" s="2579"/>
      <c r="K171" s="2579"/>
      <c r="L171" s="2579"/>
      <c r="M171" s="2579"/>
      <c r="N171" s="2579"/>
      <c r="O171" s="2579"/>
    </row>
    <row r="172" spans="1:15" s="2463" customFormat="1">
      <c r="A172" s="2462"/>
      <c r="B172" s="2462"/>
      <c r="C172" s="2462"/>
      <c r="D172" s="2462"/>
      <c r="E172" s="2462"/>
      <c r="F172" s="2462"/>
      <c r="G172" s="2462"/>
      <c r="H172" s="2462"/>
      <c r="I172" s="2579"/>
      <c r="J172" s="2579"/>
      <c r="K172" s="2579"/>
      <c r="L172" s="2579"/>
      <c r="M172" s="2579"/>
      <c r="N172" s="2579"/>
      <c r="O172" s="2579"/>
    </row>
    <row r="173" spans="1:15" s="2463" customFormat="1">
      <c r="A173" s="2462"/>
      <c r="B173" s="2462"/>
      <c r="C173" s="2462"/>
      <c r="D173" s="2462"/>
      <c r="E173" s="2462"/>
      <c r="F173" s="2462"/>
      <c r="G173" s="2462"/>
      <c r="H173" s="2462"/>
      <c r="I173" s="2579"/>
      <c r="J173" s="2579"/>
      <c r="K173" s="2579"/>
      <c r="L173" s="2579"/>
      <c r="M173" s="2579"/>
      <c r="N173" s="2579"/>
      <c r="O173" s="2579"/>
    </row>
    <row r="174" spans="1:15" s="2463" customFormat="1">
      <c r="A174" s="2462"/>
      <c r="B174" s="2462"/>
      <c r="C174" s="2462"/>
      <c r="D174" s="2462"/>
      <c r="E174" s="2462"/>
      <c r="F174" s="2462"/>
      <c r="G174" s="2462"/>
      <c r="H174" s="2462"/>
      <c r="I174" s="2579"/>
      <c r="J174" s="2579"/>
      <c r="K174" s="2579"/>
      <c r="L174" s="2579"/>
      <c r="M174" s="2579"/>
      <c r="N174" s="2579"/>
      <c r="O174" s="2579"/>
    </row>
    <row r="175" spans="1:15" s="2463" customFormat="1">
      <c r="A175" s="2462"/>
      <c r="B175" s="2462"/>
      <c r="C175" s="2462"/>
      <c r="D175" s="2462"/>
      <c r="E175" s="2462"/>
      <c r="F175" s="2462"/>
      <c r="G175" s="2462"/>
      <c r="H175" s="2462"/>
      <c r="I175" s="2579"/>
      <c r="J175" s="2579"/>
      <c r="K175" s="2579"/>
      <c r="L175" s="2579"/>
      <c r="M175" s="2579"/>
      <c r="N175" s="2579"/>
      <c r="O175" s="2579"/>
    </row>
    <row r="176" spans="1:15" s="2463" customFormat="1">
      <c r="A176" s="2462"/>
      <c r="B176" s="2462"/>
      <c r="C176" s="2462"/>
      <c r="D176" s="2462"/>
      <c r="E176" s="2462"/>
      <c r="F176" s="2462"/>
      <c r="G176" s="2462"/>
      <c r="H176" s="2462"/>
      <c r="I176" s="2579"/>
      <c r="J176" s="2579"/>
      <c r="K176" s="2579"/>
      <c r="L176" s="2579"/>
      <c r="M176" s="2579"/>
      <c r="N176" s="2579"/>
      <c r="O176" s="2579"/>
    </row>
    <row r="177" spans="1:15" s="2463" customFormat="1">
      <c r="A177" s="2462"/>
      <c r="B177" s="2462"/>
      <c r="C177" s="2462"/>
      <c r="D177" s="2462"/>
      <c r="E177" s="2462"/>
      <c r="F177" s="2462"/>
      <c r="G177" s="2462"/>
      <c r="H177" s="2462"/>
      <c r="I177" s="2579"/>
      <c r="J177" s="2579"/>
      <c r="K177" s="2579"/>
      <c r="L177" s="2579"/>
      <c r="M177" s="2579"/>
      <c r="N177" s="2579"/>
      <c r="O177" s="2579"/>
    </row>
    <row r="178" spans="1:15" s="2463" customFormat="1">
      <c r="A178" s="2462"/>
      <c r="B178" s="2462"/>
      <c r="C178" s="2462"/>
      <c r="D178" s="2462"/>
      <c r="E178" s="2462"/>
      <c r="F178" s="2462"/>
      <c r="G178" s="2462"/>
      <c r="H178" s="2462"/>
      <c r="I178" s="2579"/>
      <c r="J178" s="2579"/>
      <c r="K178" s="2579"/>
      <c r="L178" s="2579"/>
      <c r="M178" s="2579"/>
      <c r="N178" s="2579"/>
      <c r="O178" s="2579"/>
    </row>
    <row r="179" spans="1:15" s="2463" customFormat="1">
      <c r="A179" s="2462"/>
      <c r="B179" s="2462"/>
      <c r="C179" s="2462"/>
      <c r="D179" s="2462"/>
      <c r="E179" s="2462"/>
      <c r="F179" s="2462"/>
      <c r="G179" s="2462"/>
      <c r="H179" s="2462"/>
      <c r="I179" s="2579"/>
      <c r="J179" s="2579"/>
      <c r="K179" s="2579"/>
      <c r="L179" s="2579"/>
      <c r="M179" s="2579"/>
      <c r="N179" s="2579"/>
      <c r="O179" s="2579"/>
    </row>
    <row r="180" spans="1:15" s="2463" customFormat="1">
      <c r="A180" s="2462"/>
      <c r="B180" s="2462"/>
      <c r="C180" s="2462"/>
      <c r="D180" s="2462"/>
      <c r="E180" s="2462"/>
      <c r="F180" s="2462"/>
      <c r="G180" s="2462"/>
      <c r="H180" s="2462"/>
      <c r="I180" s="2579"/>
      <c r="J180" s="2579"/>
      <c r="K180" s="2579"/>
      <c r="L180" s="2579"/>
      <c r="M180" s="2579"/>
      <c r="N180" s="2579"/>
      <c r="O180" s="2579"/>
    </row>
    <row r="181" spans="1:15" s="2463" customFormat="1">
      <c r="A181" s="2462"/>
      <c r="B181" s="2462"/>
      <c r="C181" s="2462"/>
      <c r="D181" s="2462"/>
      <c r="E181" s="2462"/>
      <c r="F181" s="2462"/>
      <c r="G181" s="2462"/>
      <c r="H181" s="2462"/>
      <c r="I181" s="2579"/>
      <c r="J181" s="2579"/>
      <c r="K181" s="2579"/>
      <c r="L181" s="2579"/>
      <c r="M181" s="2579"/>
      <c r="N181" s="2579"/>
      <c r="O181" s="2579"/>
    </row>
    <row r="182" spans="1:15" s="2463" customFormat="1">
      <c r="A182" s="2462"/>
      <c r="B182" s="2462"/>
      <c r="C182" s="2462"/>
      <c r="D182" s="2462"/>
      <c r="E182" s="2462"/>
      <c r="F182" s="2462"/>
      <c r="G182" s="2462"/>
      <c r="H182" s="2462"/>
      <c r="I182" s="2579"/>
      <c r="J182" s="2579"/>
      <c r="K182" s="2579"/>
      <c r="L182" s="2579"/>
      <c r="M182" s="2579"/>
      <c r="N182" s="2579"/>
      <c r="O182" s="2579"/>
    </row>
    <row r="183" spans="1:15" s="2463" customFormat="1">
      <c r="A183" s="2462"/>
      <c r="B183" s="2462"/>
      <c r="C183" s="2462"/>
      <c r="D183" s="2462"/>
      <c r="E183" s="2462"/>
      <c r="F183" s="2462"/>
      <c r="G183" s="2462"/>
      <c r="H183" s="2462"/>
      <c r="I183" s="2579"/>
      <c r="J183" s="2579"/>
      <c r="K183" s="2579"/>
      <c r="L183" s="2579"/>
      <c r="M183" s="2579"/>
      <c r="N183" s="2579"/>
      <c r="O183" s="2579"/>
    </row>
    <row r="184" spans="1:15" s="2463" customFormat="1">
      <c r="A184" s="2462"/>
      <c r="B184" s="2462"/>
      <c r="C184" s="2462"/>
      <c r="D184" s="2462"/>
      <c r="E184" s="2462"/>
      <c r="F184" s="2462"/>
      <c r="G184" s="2462"/>
      <c r="H184" s="2462"/>
      <c r="I184" s="2579"/>
      <c r="J184" s="2579"/>
      <c r="K184" s="2579"/>
      <c r="L184" s="2579"/>
      <c r="M184" s="2579"/>
      <c r="N184" s="2579"/>
      <c r="O184" s="2579"/>
    </row>
    <row r="185" spans="1:15" s="2463" customFormat="1">
      <c r="A185" s="2462"/>
      <c r="B185" s="2462"/>
      <c r="C185" s="2462"/>
      <c r="D185" s="2462"/>
      <c r="E185" s="2462"/>
      <c r="F185" s="2462"/>
      <c r="G185" s="2462"/>
      <c r="H185" s="2462"/>
      <c r="I185" s="2579"/>
      <c r="J185" s="2579"/>
      <c r="K185" s="2579"/>
      <c r="L185" s="2579"/>
      <c r="M185" s="2579"/>
      <c r="N185" s="2579"/>
      <c r="O185" s="2579"/>
    </row>
    <row r="186" spans="1:15" s="2463" customFormat="1">
      <c r="A186" s="2462"/>
      <c r="B186" s="2462"/>
      <c r="C186" s="2462"/>
      <c r="D186" s="2462"/>
      <c r="E186" s="2462"/>
      <c r="F186" s="2462"/>
      <c r="G186" s="2462"/>
      <c r="H186" s="2462"/>
      <c r="I186" s="2579"/>
      <c r="J186" s="2579"/>
      <c r="K186" s="2579"/>
      <c r="L186" s="2579"/>
      <c r="M186" s="2579"/>
      <c r="N186" s="2579"/>
      <c r="O186" s="2579"/>
    </row>
    <row r="187" spans="1:15" s="2463" customFormat="1">
      <c r="A187" s="2462"/>
      <c r="B187" s="2462"/>
      <c r="C187" s="2462"/>
      <c r="D187" s="2462"/>
      <c r="E187" s="2462"/>
      <c r="F187" s="2462"/>
      <c r="G187" s="2462"/>
      <c r="H187" s="2462"/>
      <c r="I187" s="2579"/>
      <c r="J187" s="2579"/>
      <c r="K187" s="2579"/>
      <c r="L187" s="2579"/>
      <c r="M187" s="2579"/>
      <c r="N187" s="2579"/>
      <c r="O187" s="2579"/>
    </row>
    <row r="188" spans="1:15" s="2463" customFormat="1">
      <c r="A188" s="2462"/>
      <c r="B188" s="2462"/>
      <c r="C188" s="2462"/>
      <c r="D188" s="2462"/>
      <c r="E188" s="2462"/>
      <c r="F188" s="2462"/>
      <c r="G188" s="2462"/>
      <c r="H188" s="2462"/>
      <c r="I188" s="2579"/>
      <c r="J188" s="2579"/>
      <c r="K188" s="2579"/>
      <c r="L188" s="2579"/>
      <c r="M188" s="2579"/>
      <c r="N188" s="2579"/>
      <c r="O188" s="2579"/>
    </row>
    <row r="189" spans="1:15" s="2463" customFormat="1">
      <c r="A189" s="2462"/>
      <c r="B189" s="2462"/>
      <c r="C189" s="2462"/>
      <c r="D189" s="2462"/>
      <c r="E189" s="2462"/>
      <c r="F189" s="2462"/>
      <c r="G189" s="2462"/>
      <c r="H189" s="2462"/>
      <c r="I189" s="2579"/>
      <c r="J189" s="2579"/>
      <c r="K189" s="2579"/>
      <c r="L189" s="2579"/>
      <c r="M189" s="2579"/>
      <c r="N189" s="2579"/>
      <c r="O189" s="2579"/>
    </row>
    <row r="190" spans="1:15" s="2463" customFormat="1">
      <c r="A190" s="2462"/>
      <c r="B190" s="2462"/>
      <c r="C190" s="2462"/>
      <c r="D190" s="2462"/>
      <c r="E190" s="2462"/>
      <c r="F190" s="2462"/>
      <c r="G190" s="2462"/>
      <c r="H190" s="2462"/>
      <c r="I190" s="2579"/>
      <c r="J190" s="2579"/>
      <c r="K190" s="2579"/>
      <c r="L190" s="2579"/>
      <c r="M190" s="2579"/>
      <c r="N190" s="2579"/>
      <c r="O190" s="2579"/>
    </row>
    <row r="191" spans="1:15" s="2463" customFormat="1">
      <c r="A191" s="2462"/>
      <c r="B191" s="2462"/>
      <c r="C191" s="2462"/>
      <c r="D191" s="2462"/>
      <c r="E191" s="2462"/>
      <c r="F191" s="2462"/>
      <c r="G191" s="2462"/>
      <c r="H191" s="2462"/>
      <c r="I191" s="2579"/>
      <c r="J191" s="2579"/>
      <c r="K191" s="2579"/>
      <c r="L191" s="2579"/>
      <c r="M191" s="2579"/>
      <c r="N191" s="2579"/>
      <c r="O191" s="2579"/>
    </row>
    <row r="192" spans="1:15" s="2463" customFormat="1">
      <c r="A192" s="2462"/>
      <c r="B192" s="2462"/>
      <c r="C192" s="2462"/>
      <c r="D192" s="2462"/>
      <c r="E192" s="2462"/>
      <c r="F192" s="2462"/>
      <c r="G192" s="2462"/>
      <c r="H192" s="2462"/>
      <c r="I192" s="2579"/>
      <c r="J192" s="2579"/>
      <c r="K192" s="2579"/>
      <c r="L192" s="2579"/>
      <c r="M192" s="2579"/>
      <c r="N192" s="2579"/>
      <c r="O192" s="2579"/>
    </row>
    <row r="193" spans="1:15" s="2463" customFormat="1">
      <c r="A193" s="2462"/>
      <c r="B193" s="2462"/>
      <c r="C193" s="2462"/>
      <c r="D193" s="2462"/>
      <c r="E193" s="2462"/>
      <c r="F193" s="2462"/>
      <c r="G193" s="2462"/>
      <c r="H193" s="2462"/>
      <c r="I193" s="2579"/>
      <c r="J193" s="2579"/>
      <c r="K193" s="2579"/>
      <c r="L193" s="2579"/>
      <c r="M193" s="2579"/>
      <c r="N193" s="2579"/>
      <c r="O193" s="2579"/>
    </row>
    <row r="194" spans="1:15" s="2463" customFormat="1">
      <c r="A194" s="2462"/>
      <c r="B194" s="2462"/>
      <c r="C194" s="2462"/>
      <c r="D194" s="2462"/>
      <c r="E194" s="2462"/>
      <c r="F194" s="2462"/>
      <c r="G194" s="2462"/>
      <c r="H194" s="2462"/>
      <c r="I194" s="2579"/>
      <c r="J194" s="2579"/>
      <c r="K194" s="2579"/>
      <c r="L194" s="2579"/>
      <c r="M194" s="2579"/>
      <c r="N194" s="2579"/>
      <c r="O194" s="2579"/>
    </row>
    <row r="195" spans="1:15" s="2463" customFormat="1">
      <c r="A195" s="2462"/>
      <c r="B195" s="2462"/>
      <c r="C195" s="2462"/>
      <c r="D195" s="2462"/>
      <c r="E195" s="2462"/>
      <c r="F195" s="2462"/>
      <c r="G195" s="2462"/>
      <c r="H195" s="2462"/>
      <c r="I195" s="2579"/>
      <c r="J195" s="2579"/>
      <c r="K195" s="2579"/>
      <c r="L195" s="2579"/>
      <c r="M195" s="2579"/>
      <c r="N195" s="2579"/>
      <c r="O195" s="2579"/>
    </row>
    <row r="196" spans="1:15" s="2463" customFormat="1">
      <c r="A196" s="2462"/>
      <c r="B196" s="2462"/>
      <c r="C196" s="2462"/>
      <c r="D196" s="2462"/>
      <c r="E196" s="2462"/>
      <c r="F196" s="2462"/>
      <c r="G196" s="2462"/>
      <c r="H196" s="2462"/>
      <c r="I196" s="2579"/>
      <c r="J196" s="2579"/>
      <c r="K196" s="2579"/>
      <c r="L196" s="2579"/>
      <c r="M196" s="2579"/>
      <c r="N196" s="2579"/>
      <c r="O196" s="2579"/>
    </row>
    <row r="197" spans="1:15" s="2463" customFormat="1">
      <c r="A197" s="2462"/>
      <c r="B197" s="2462"/>
      <c r="C197" s="2462"/>
      <c r="D197" s="2462"/>
      <c r="E197" s="2462"/>
      <c r="F197" s="2462"/>
      <c r="G197" s="2462"/>
      <c r="H197" s="2462"/>
      <c r="I197" s="2579"/>
      <c r="J197" s="2579"/>
      <c r="K197" s="2579"/>
      <c r="L197" s="2579"/>
      <c r="M197" s="2579"/>
      <c r="N197" s="2579"/>
      <c r="O197" s="2579"/>
    </row>
    <row r="198" spans="1:15" s="2463" customFormat="1">
      <c r="A198" s="2462"/>
      <c r="B198" s="2462"/>
      <c r="C198" s="2462"/>
      <c r="D198" s="2462"/>
      <c r="E198" s="2462"/>
      <c r="F198" s="2462"/>
      <c r="G198" s="2462"/>
      <c r="H198" s="2462"/>
      <c r="I198" s="2579"/>
      <c r="J198" s="2579"/>
      <c r="K198" s="2579"/>
      <c r="L198" s="2579"/>
      <c r="M198" s="2579"/>
      <c r="N198" s="2579"/>
      <c r="O198" s="2579"/>
    </row>
    <row r="199" spans="1:15" s="2463" customFormat="1">
      <c r="A199" s="2462"/>
      <c r="B199" s="2462"/>
      <c r="C199" s="2462"/>
      <c r="D199" s="2462"/>
      <c r="E199" s="2462"/>
      <c r="F199" s="2462"/>
      <c r="G199" s="2462"/>
      <c r="H199" s="2462"/>
      <c r="I199" s="2579"/>
      <c r="J199" s="2579"/>
      <c r="K199" s="2579"/>
      <c r="L199" s="2579"/>
      <c r="M199" s="2579"/>
      <c r="N199" s="2579"/>
      <c r="O199" s="2579"/>
    </row>
    <row r="200" spans="1:15" s="2463" customFormat="1">
      <c r="A200" s="2462"/>
      <c r="B200" s="2462"/>
      <c r="C200" s="2462"/>
      <c r="D200" s="2462"/>
      <c r="E200" s="2462"/>
      <c r="F200" s="2462"/>
      <c r="G200" s="2462"/>
      <c r="H200" s="2462"/>
      <c r="I200" s="2579"/>
      <c r="J200" s="2579"/>
      <c r="K200" s="2579"/>
      <c r="L200" s="2579"/>
      <c r="M200" s="2579"/>
      <c r="N200" s="2579"/>
      <c r="O200" s="2579"/>
    </row>
    <row r="201" spans="1:15" s="2463" customFormat="1">
      <c r="A201" s="2462"/>
      <c r="B201" s="2462"/>
      <c r="C201" s="2462"/>
      <c r="D201" s="2462"/>
      <c r="E201" s="2462"/>
      <c r="F201" s="2462"/>
      <c r="G201" s="2462"/>
      <c r="H201" s="2462"/>
      <c r="I201" s="2579"/>
      <c r="J201" s="2579"/>
      <c r="K201" s="2579"/>
      <c r="L201" s="2579"/>
      <c r="M201" s="2579"/>
      <c r="N201" s="2579"/>
      <c r="O201" s="2579"/>
    </row>
    <row r="202" spans="1:15" s="2463" customFormat="1">
      <c r="A202" s="2462"/>
      <c r="B202" s="2462"/>
      <c r="C202" s="2462"/>
      <c r="D202" s="2462"/>
      <c r="E202" s="2462"/>
      <c r="F202" s="2462"/>
      <c r="G202" s="2462"/>
      <c r="H202" s="2462"/>
      <c r="I202" s="2579"/>
      <c r="J202" s="2579"/>
      <c r="K202" s="2579"/>
      <c r="L202" s="2579"/>
      <c r="M202" s="2579"/>
      <c r="N202" s="2579"/>
      <c r="O202" s="2579"/>
    </row>
    <row r="203" spans="1:15" s="2463" customFormat="1">
      <c r="A203" s="2462"/>
      <c r="B203" s="2462"/>
      <c r="C203" s="2462"/>
      <c r="D203" s="2462"/>
      <c r="E203" s="2462"/>
      <c r="F203" s="2462"/>
      <c r="G203" s="2462"/>
      <c r="H203" s="2462"/>
      <c r="I203" s="2579"/>
      <c r="J203" s="2579"/>
      <c r="K203" s="2579"/>
      <c r="L203" s="2579"/>
      <c r="M203" s="2579"/>
      <c r="N203" s="2579"/>
      <c r="O203" s="2579"/>
    </row>
    <row r="207" spans="1:15" s="2463" customFormat="1">
      <c r="A207" s="2462"/>
      <c r="B207" s="2462"/>
      <c r="C207" s="2462"/>
      <c r="D207" s="2462"/>
      <c r="E207" s="2462"/>
      <c r="F207" s="2462"/>
      <c r="G207" s="2462"/>
      <c r="H207" s="2462"/>
      <c r="I207" s="2579"/>
      <c r="J207" s="2579"/>
      <c r="K207" s="2579"/>
      <c r="L207" s="2579"/>
      <c r="M207" s="2579"/>
      <c r="N207" s="2579"/>
      <c r="O207" s="2579"/>
    </row>
    <row r="208" spans="1:15" s="2463" customFormat="1">
      <c r="A208" s="2462"/>
      <c r="B208" s="2462"/>
      <c r="C208" s="2462"/>
      <c r="D208" s="2462"/>
      <c r="E208" s="2462"/>
      <c r="F208" s="2462"/>
      <c r="G208" s="2462"/>
      <c r="H208" s="2462"/>
      <c r="I208" s="2579"/>
      <c r="J208" s="2579"/>
      <c r="K208" s="2579"/>
      <c r="L208" s="2579"/>
      <c r="M208" s="2579"/>
      <c r="N208" s="2579"/>
      <c r="O208" s="2579"/>
    </row>
    <row r="209" spans="1:15" s="2463" customFormat="1">
      <c r="A209" s="2462"/>
      <c r="B209" s="2462"/>
      <c r="C209" s="2462"/>
      <c r="D209" s="2462"/>
      <c r="E209" s="2462"/>
      <c r="F209" s="2462"/>
      <c r="G209" s="2462"/>
      <c r="H209" s="2462"/>
      <c r="I209" s="2579"/>
      <c r="J209" s="2579"/>
      <c r="K209" s="2579"/>
      <c r="L209" s="2579"/>
      <c r="M209" s="2579"/>
      <c r="N209" s="2579"/>
      <c r="O209" s="2579"/>
    </row>
    <row r="210" spans="1:15" s="2463" customFormat="1">
      <c r="A210" s="2462"/>
      <c r="B210" s="2462"/>
      <c r="C210" s="2462"/>
      <c r="D210" s="2462"/>
      <c r="E210" s="2462"/>
      <c r="F210" s="2462"/>
      <c r="G210" s="2462"/>
      <c r="H210" s="2462"/>
      <c r="I210" s="2579"/>
      <c r="J210" s="2579"/>
      <c r="K210" s="2579"/>
      <c r="L210" s="2579"/>
      <c r="M210" s="2579"/>
      <c r="N210" s="2579"/>
      <c r="O210" s="2579"/>
    </row>
    <row r="211" spans="1:15" s="2463" customFormat="1">
      <c r="A211" s="2462"/>
      <c r="B211" s="2462"/>
      <c r="C211" s="2462"/>
      <c r="D211" s="2462"/>
      <c r="E211" s="2462"/>
      <c r="F211" s="2462"/>
      <c r="G211" s="2462"/>
      <c r="H211" s="2462"/>
      <c r="I211" s="2579"/>
      <c r="J211" s="2579"/>
      <c r="K211" s="2579"/>
      <c r="L211" s="2579"/>
      <c r="M211" s="2579"/>
      <c r="N211" s="2579"/>
      <c r="O211" s="2579"/>
    </row>
    <row r="212" spans="1:15" s="2463" customFormat="1">
      <c r="A212" s="2462"/>
      <c r="B212" s="2462"/>
      <c r="C212" s="2462"/>
      <c r="D212" s="2462"/>
      <c r="E212" s="2462"/>
      <c r="F212" s="2462"/>
      <c r="G212" s="2462"/>
      <c r="H212" s="2462"/>
      <c r="I212" s="2579"/>
      <c r="J212" s="2579"/>
      <c r="K212" s="2579"/>
      <c r="L212" s="2579"/>
      <c r="M212" s="2579"/>
      <c r="N212" s="2579"/>
      <c r="O212" s="2579"/>
    </row>
    <row r="213" spans="1:15" s="2463" customFormat="1">
      <c r="A213" s="2462"/>
      <c r="B213" s="2462"/>
      <c r="C213" s="2462"/>
      <c r="D213" s="2462"/>
      <c r="E213" s="2462"/>
      <c r="F213" s="2462"/>
      <c r="G213" s="2462"/>
      <c r="H213" s="2462"/>
      <c r="I213" s="2579"/>
      <c r="J213" s="2579"/>
      <c r="K213" s="2579"/>
      <c r="L213" s="2579"/>
      <c r="M213" s="2579"/>
      <c r="N213" s="2579"/>
      <c r="O213" s="2579"/>
    </row>
    <row r="214" spans="1:15" s="2463" customFormat="1">
      <c r="A214" s="2462"/>
      <c r="B214" s="2462"/>
      <c r="C214" s="2462"/>
      <c r="D214" s="2462"/>
      <c r="E214" s="2462"/>
      <c r="F214" s="2462"/>
      <c r="G214" s="2462"/>
      <c r="H214" s="2462"/>
      <c r="I214" s="2579"/>
      <c r="J214" s="2579"/>
      <c r="K214" s="2579"/>
      <c r="L214" s="2579"/>
      <c r="M214" s="2579"/>
      <c r="N214" s="2579"/>
      <c r="O214" s="2579"/>
    </row>
    <row r="215" spans="1:15" s="2463" customFormat="1">
      <c r="A215" s="2462"/>
      <c r="B215" s="2462"/>
      <c r="C215" s="2462"/>
      <c r="D215" s="2462"/>
      <c r="E215" s="2462"/>
      <c r="F215" s="2462"/>
      <c r="G215" s="2462"/>
      <c r="H215" s="2462"/>
      <c r="I215" s="2579"/>
      <c r="J215" s="2579"/>
      <c r="K215" s="2579"/>
      <c r="L215" s="2579"/>
      <c r="M215" s="2579"/>
      <c r="N215" s="2579"/>
      <c r="O215" s="2579"/>
    </row>
    <row r="216" spans="1:15" s="2463" customFormat="1">
      <c r="A216" s="2462"/>
      <c r="B216" s="2462"/>
      <c r="C216" s="2462"/>
      <c r="D216" s="2462"/>
      <c r="E216" s="2462"/>
      <c r="F216" s="2462"/>
      <c r="G216" s="2462"/>
      <c r="H216" s="2462"/>
      <c r="I216" s="2579"/>
      <c r="J216" s="2579"/>
      <c r="K216" s="2579"/>
      <c r="L216" s="2579"/>
      <c r="M216" s="2579"/>
      <c r="N216" s="2579"/>
      <c r="O216" s="2579"/>
    </row>
    <row r="217" spans="1:15" s="2463" customFormat="1">
      <c r="A217" s="2462"/>
      <c r="B217" s="2462"/>
      <c r="C217" s="2462"/>
      <c r="D217" s="2462"/>
      <c r="E217" s="2462"/>
      <c r="F217" s="2462"/>
      <c r="G217" s="2462"/>
      <c r="H217" s="2462"/>
      <c r="I217" s="2579"/>
      <c r="J217" s="2579"/>
      <c r="K217" s="2579"/>
      <c r="L217" s="2579"/>
      <c r="M217" s="2579"/>
      <c r="N217" s="2579"/>
      <c r="O217" s="2579"/>
    </row>
    <row r="218" spans="1:15" s="2463" customFormat="1">
      <c r="A218" s="2462"/>
      <c r="B218" s="2462"/>
      <c r="C218" s="2462"/>
      <c r="D218" s="2462"/>
      <c r="E218" s="2462"/>
      <c r="F218" s="2462"/>
      <c r="G218" s="2462"/>
      <c r="H218" s="2462"/>
      <c r="I218" s="2579"/>
      <c r="J218" s="2579"/>
      <c r="K218" s="2579"/>
      <c r="L218" s="2579"/>
      <c r="M218" s="2579"/>
      <c r="N218" s="2579"/>
      <c r="O218" s="2579"/>
    </row>
    <row r="219" spans="1:15" s="2463" customFormat="1">
      <c r="A219" s="2462"/>
      <c r="B219" s="2462"/>
      <c r="C219" s="2462"/>
      <c r="D219" s="2462"/>
      <c r="E219" s="2462"/>
      <c r="F219" s="2462"/>
      <c r="G219" s="2462"/>
      <c r="H219" s="2462"/>
      <c r="I219" s="2579"/>
      <c r="J219" s="2579"/>
      <c r="K219" s="2579"/>
      <c r="L219" s="2579"/>
      <c r="M219" s="2579"/>
      <c r="N219" s="2579"/>
      <c r="O219" s="2579"/>
    </row>
    <row r="220" spans="1:15" s="2463" customFormat="1">
      <c r="A220" s="2462"/>
      <c r="B220" s="2462"/>
      <c r="C220" s="2462"/>
      <c r="D220" s="2462"/>
      <c r="E220" s="2462"/>
      <c r="F220" s="2462"/>
      <c r="G220" s="2462"/>
      <c r="H220" s="2462"/>
      <c r="I220" s="2579"/>
      <c r="J220" s="2579"/>
      <c r="K220" s="2579"/>
      <c r="L220" s="2579"/>
      <c r="M220" s="2579"/>
      <c r="N220" s="2579"/>
      <c r="O220" s="2579"/>
    </row>
    <row r="221" spans="1:15" s="2463" customFormat="1">
      <c r="A221" s="2462"/>
      <c r="B221" s="2462"/>
      <c r="C221" s="2462"/>
      <c r="D221" s="2462"/>
      <c r="E221" s="2462"/>
      <c r="F221" s="2462"/>
      <c r="G221" s="2462"/>
      <c r="H221" s="2462"/>
      <c r="I221" s="2579"/>
      <c r="J221" s="2579"/>
      <c r="K221" s="2579"/>
      <c r="L221" s="2579"/>
      <c r="M221" s="2579"/>
      <c r="N221" s="2579"/>
      <c r="O221" s="2579"/>
    </row>
    <row r="222" spans="1:15" s="2463" customFormat="1">
      <c r="A222" s="2462"/>
      <c r="B222" s="2462"/>
      <c r="C222" s="2462"/>
      <c r="D222" s="2462"/>
      <c r="E222" s="2462"/>
      <c r="F222" s="2462"/>
      <c r="G222" s="2462"/>
      <c r="H222" s="2462"/>
      <c r="I222" s="2579"/>
      <c r="J222" s="2579"/>
      <c r="K222" s="2579"/>
      <c r="L222" s="2579"/>
      <c r="M222" s="2579"/>
      <c r="N222" s="2579"/>
      <c r="O222" s="2579"/>
    </row>
    <row r="223" spans="1:15" s="2463" customFormat="1">
      <c r="A223" s="2462"/>
      <c r="B223" s="2462"/>
      <c r="C223" s="2462"/>
      <c r="D223" s="2462"/>
      <c r="E223" s="2462"/>
      <c r="F223" s="2462"/>
      <c r="G223" s="2462"/>
      <c r="H223" s="2462"/>
      <c r="I223" s="2579"/>
      <c r="J223" s="2579"/>
      <c r="K223" s="2579"/>
      <c r="L223" s="2579"/>
      <c r="M223" s="2579"/>
      <c r="N223" s="2579"/>
      <c r="O223" s="2579"/>
    </row>
    <row r="224" spans="1:15" s="2463" customFormat="1">
      <c r="A224" s="2462"/>
      <c r="B224" s="2462"/>
      <c r="C224" s="2462"/>
      <c r="D224" s="2462"/>
      <c r="E224" s="2462"/>
      <c r="F224" s="2462"/>
      <c r="G224" s="2462"/>
      <c r="H224" s="2462"/>
      <c r="I224" s="2579"/>
      <c r="J224" s="2579"/>
      <c r="K224" s="2579"/>
      <c r="L224" s="2579"/>
      <c r="M224" s="2579"/>
      <c r="N224" s="2579"/>
      <c r="O224" s="2579"/>
    </row>
    <row r="225" spans="1:15" s="2463" customFormat="1">
      <c r="A225" s="2462"/>
      <c r="B225" s="2462"/>
      <c r="C225" s="2462"/>
      <c r="D225" s="2462"/>
      <c r="E225" s="2462"/>
      <c r="F225" s="2462"/>
      <c r="G225" s="2462"/>
      <c r="H225" s="2462"/>
      <c r="I225" s="2579"/>
      <c r="J225" s="2579"/>
      <c r="K225" s="2579"/>
      <c r="L225" s="2579"/>
      <c r="M225" s="2579"/>
      <c r="N225" s="2579"/>
      <c r="O225" s="2579"/>
    </row>
    <row r="226" spans="1:15" s="2463" customFormat="1">
      <c r="A226" s="2462"/>
      <c r="B226" s="2462"/>
      <c r="C226" s="2462"/>
      <c r="D226" s="2462"/>
      <c r="E226" s="2462"/>
      <c r="F226" s="2462"/>
      <c r="G226" s="2462"/>
      <c r="H226" s="2462"/>
      <c r="I226" s="2579"/>
      <c r="J226" s="2579"/>
      <c r="K226" s="2579"/>
      <c r="L226" s="2579"/>
      <c r="M226" s="2579"/>
      <c r="N226" s="2579"/>
      <c r="O226" s="2579"/>
    </row>
    <row r="227" spans="1:15" s="2463" customFormat="1">
      <c r="A227" s="2462"/>
      <c r="B227" s="2462"/>
      <c r="C227" s="2462"/>
      <c r="D227" s="2462"/>
      <c r="E227" s="2462"/>
      <c r="F227" s="2462"/>
      <c r="G227" s="2462"/>
      <c r="H227" s="2462"/>
      <c r="I227" s="2579"/>
      <c r="J227" s="2579"/>
      <c r="K227" s="2579"/>
      <c r="L227" s="2579"/>
      <c r="M227" s="2579"/>
      <c r="N227" s="2579"/>
      <c r="O227" s="2579"/>
    </row>
    <row r="228" spans="1:15" s="2463" customFormat="1">
      <c r="A228" s="2462"/>
      <c r="B228" s="2462"/>
      <c r="C228" s="2462"/>
      <c r="D228" s="2462"/>
      <c r="E228" s="2462"/>
      <c r="F228" s="2462"/>
      <c r="G228" s="2462"/>
      <c r="H228" s="2462"/>
      <c r="I228" s="2579"/>
      <c r="J228" s="2579"/>
      <c r="K228" s="2579"/>
      <c r="L228" s="2579"/>
      <c r="M228" s="2579"/>
      <c r="N228" s="2579"/>
      <c r="O228" s="2579"/>
    </row>
    <row r="229" spans="1:15" s="2463" customFormat="1">
      <c r="A229" s="2462"/>
      <c r="B229" s="2462"/>
      <c r="C229" s="2462"/>
      <c r="D229" s="2462"/>
      <c r="E229" s="2462"/>
      <c r="F229" s="2462"/>
      <c r="G229" s="2462"/>
      <c r="H229" s="2462"/>
      <c r="I229" s="2579"/>
      <c r="J229" s="2579"/>
      <c r="K229" s="2579"/>
      <c r="L229" s="2579"/>
      <c r="M229" s="2579"/>
      <c r="N229" s="2579"/>
      <c r="O229" s="2579"/>
    </row>
    <row r="230" spans="1:15" s="2463" customFormat="1">
      <c r="A230" s="2462"/>
      <c r="B230" s="2462"/>
      <c r="C230" s="2462"/>
      <c r="D230" s="2462"/>
      <c r="E230" s="2462"/>
      <c r="F230" s="2462"/>
      <c r="G230" s="2462"/>
      <c r="H230" s="2462"/>
      <c r="I230" s="2579"/>
      <c r="J230" s="2579"/>
      <c r="K230" s="2579"/>
      <c r="L230" s="2579"/>
      <c r="M230" s="2579"/>
      <c r="N230" s="2579"/>
      <c r="O230" s="2579"/>
    </row>
    <row r="231" spans="1:15" s="2463" customFormat="1">
      <c r="A231" s="2462"/>
      <c r="B231" s="2462"/>
      <c r="C231" s="2462"/>
      <c r="D231" s="2462"/>
      <c r="E231" s="2462"/>
      <c r="F231" s="2462"/>
      <c r="G231" s="2462"/>
      <c r="H231" s="2462"/>
      <c r="I231" s="2579"/>
      <c r="J231" s="2579"/>
      <c r="K231" s="2579"/>
      <c r="L231" s="2579"/>
      <c r="M231" s="2579"/>
      <c r="N231" s="2579"/>
      <c r="O231" s="2579"/>
    </row>
    <row r="232" spans="1:15" s="2463" customFormat="1">
      <c r="A232" s="2462"/>
      <c r="B232" s="2462"/>
      <c r="C232" s="2462"/>
      <c r="D232" s="2462"/>
      <c r="E232" s="2462"/>
      <c r="F232" s="2462"/>
      <c r="G232" s="2462"/>
      <c r="H232" s="2462"/>
      <c r="I232" s="2579"/>
      <c r="J232" s="2579"/>
      <c r="K232" s="2579"/>
      <c r="L232" s="2579"/>
      <c r="M232" s="2579"/>
      <c r="N232" s="2579"/>
      <c r="O232" s="2579"/>
    </row>
    <row r="233" spans="1:15" s="2463" customFormat="1">
      <c r="A233" s="2462"/>
      <c r="B233" s="2462"/>
      <c r="C233" s="2462"/>
      <c r="D233" s="2462"/>
      <c r="E233" s="2462"/>
      <c r="F233" s="2462"/>
      <c r="G233" s="2462"/>
      <c r="H233" s="2462"/>
      <c r="I233" s="2579"/>
      <c r="J233" s="2579"/>
      <c r="K233" s="2579"/>
      <c r="L233" s="2579"/>
      <c r="M233" s="2579"/>
      <c r="N233" s="2579"/>
      <c r="O233" s="2579"/>
    </row>
    <row r="234" spans="1:15" s="2463" customFormat="1">
      <c r="A234" s="2462"/>
      <c r="B234" s="2462"/>
      <c r="C234" s="2462"/>
      <c r="D234" s="2462"/>
      <c r="E234" s="2462"/>
      <c r="F234" s="2462"/>
      <c r="G234" s="2462"/>
      <c r="H234" s="2462"/>
      <c r="I234" s="2579"/>
      <c r="J234" s="2579"/>
      <c r="K234" s="2579"/>
      <c r="L234" s="2579"/>
      <c r="M234" s="2579"/>
      <c r="N234" s="2579"/>
      <c r="O234" s="2579"/>
    </row>
    <row r="235" spans="1:15" s="2463" customFormat="1">
      <c r="A235" s="2462"/>
      <c r="B235" s="2462"/>
      <c r="C235" s="2462"/>
      <c r="D235" s="2462"/>
      <c r="E235" s="2462"/>
      <c r="F235" s="2462"/>
      <c r="G235" s="2462"/>
      <c r="H235" s="2462"/>
      <c r="I235" s="2579"/>
      <c r="J235" s="2579"/>
      <c r="K235" s="2579"/>
      <c r="L235" s="2579"/>
      <c r="M235" s="2579"/>
      <c r="N235" s="2579"/>
      <c r="O235" s="2579"/>
    </row>
    <row r="236" spans="1:15" s="2463" customFormat="1">
      <c r="A236" s="2462"/>
      <c r="B236" s="2462"/>
      <c r="C236" s="2462"/>
      <c r="D236" s="2462"/>
      <c r="E236" s="2462"/>
      <c r="F236" s="2462"/>
      <c r="G236" s="2462"/>
      <c r="H236" s="2462"/>
      <c r="I236" s="2579"/>
      <c r="J236" s="2579"/>
      <c r="K236" s="2579"/>
      <c r="L236" s="2579"/>
      <c r="M236" s="2579"/>
      <c r="N236" s="2579"/>
      <c r="O236" s="2579"/>
    </row>
    <row r="237" spans="1:15" s="2463" customFormat="1">
      <c r="A237" s="2462"/>
      <c r="B237" s="2462"/>
      <c r="C237" s="2462"/>
      <c r="D237" s="2462"/>
      <c r="E237" s="2462"/>
      <c r="F237" s="2462"/>
      <c r="G237" s="2462"/>
      <c r="H237" s="2462"/>
      <c r="I237" s="2579"/>
      <c r="J237" s="2579"/>
      <c r="K237" s="2579"/>
      <c r="L237" s="2579"/>
      <c r="M237" s="2579"/>
      <c r="N237" s="2579"/>
      <c r="O237" s="2579"/>
    </row>
    <row r="238" spans="1:15" s="2463" customFormat="1">
      <c r="A238" s="2462"/>
      <c r="B238" s="2462"/>
      <c r="C238" s="2462"/>
      <c r="D238" s="2462"/>
      <c r="E238" s="2462"/>
      <c r="F238" s="2462"/>
      <c r="G238" s="2462"/>
      <c r="H238" s="2462"/>
      <c r="I238" s="2579"/>
      <c r="J238" s="2579"/>
      <c r="K238" s="2579"/>
      <c r="L238" s="2579"/>
      <c r="M238" s="2579"/>
      <c r="N238" s="2579"/>
      <c r="O238" s="2579"/>
    </row>
    <row r="239" spans="1:15" s="2463" customFormat="1">
      <c r="A239" s="2462"/>
      <c r="B239" s="2462"/>
      <c r="C239" s="2462"/>
      <c r="D239" s="2462"/>
      <c r="E239" s="2462"/>
      <c r="F239" s="2462"/>
      <c r="G239" s="2462"/>
      <c r="H239" s="2462"/>
      <c r="I239" s="2579"/>
      <c r="J239" s="2579"/>
      <c r="K239" s="2579"/>
      <c r="L239" s="2579"/>
      <c r="M239" s="2579"/>
      <c r="N239" s="2579"/>
      <c r="O239" s="2579"/>
    </row>
    <row r="240" spans="1:15" s="2463" customFormat="1">
      <c r="A240" s="2462"/>
      <c r="B240" s="2462"/>
      <c r="C240" s="2462"/>
      <c r="D240" s="2462"/>
      <c r="E240" s="2462"/>
      <c r="F240" s="2462"/>
      <c r="G240" s="2462"/>
      <c r="H240" s="2462"/>
      <c r="I240" s="2579"/>
      <c r="J240" s="2579"/>
      <c r="K240" s="2579"/>
      <c r="L240" s="2579"/>
      <c r="M240" s="2579"/>
      <c r="N240" s="2579"/>
      <c r="O240" s="2579"/>
    </row>
    <row r="241" spans="1:15" s="2463" customFormat="1">
      <c r="A241" s="2462"/>
      <c r="B241" s="2462"/>
      <c r="C241" s="2462"/>
      <c r="D241" s="2462"/>
      <c r="E241" s="2462"/>
      <c r="F241" s="2462"/>
      <c r="G241" s="2462"/>
      <c r="H241" s="2462"/>
      <c r="I241" s="2579"/>
      <c r="J241" s="2579"/>
      <c r="K241" s="2579"/>
      <c r="L241" s="2579"/>
      <c r="M241" s="2579"/>
      <c r="N241" s="2579"/>
      <c r="O241" s="2579"/>
    </row>
    <row r="242" spans="1:15" s="2463" customFormat="1">
      <c r="A242" s="2462"/>
      <c r="B242" s="2462"/>
      <c r="C242" s="2462"/>
      <c r="D242" s="2462"/>
      <c r="E242" s="2462"/>
      <c r="F242" s="2462"/>
      <c r="G242" s="2462"/>
      <c r="H242" s="2462"/>
      <c r="I242" s="2579"/>
      <c r="J242" s="2579"/>
      <c r="K242" s="2579"/>
      <c r="L242" s="2579"/>
      <c r="M242" s="2579"/>
      <c r="N242" s="2579"/>
      <c r="O242" s="2579"/>
    </row>
    <row r="243" spans="1:15" s="2463" customFormat="1">
      <c r="A243" s="2462"/>
      <c r="B243" s="2462"/>
      <c r="C243" s="2462"/>
      <c r="D243" s="2462"/>
      <c r="E243" s="2462"/>
      <c r="F243" s="2462"/>
      <c r="G243" s="2462"/>
      <c r="H243" s="2462"/>
      <c r="I243" s="2579"/>
      <c r="J243" s="2579"/>
      <c r="K243" s="2579"/>
      <c r="L243" s="2579"/>
      <c r="M243" s="2579"/>
      <c r="N243" s="2579"/>
      <c r="O243" s="2579"/>
    </row>
    <row r="244" spans="1:15" s="2463" customFormat="1">
      <c r="A244" s="2462"/>
      <c r="B244" s="2462"/>
      <c r="C244" s="2462"/>
      <c r="D244" s="2462"/>
      <c r="E244" s="2462"/>
      <c r="F244" s="2462"/>
      <c r="G244" s="2462"/>
      <c r="H244" s="2462"/>
      <c r="I244" s="2579"/>
      <c r="J244" s="2579"/>
      <c r="K244" s="2579"/>
      <c r="L244" s="2579"/>
      <c r="M244" s="2579"/>
      <c r="N244" s="2579"/>
      <c r="O244" s="2579"/>
    </row>
    <row r="250" spans="1:15" s="2463" customFormat="1">
      <c r="A250" s="2462"/>
      <c r="B250" s="2462"/>
      <c r="C250" s="2462"/>
      <c r="D250" s="2462"/>
      <c r="E250" s="2462"/>
      <c r="F250" s="2462"/>
      <c r="G250" s="2462"/>
      <c r="H250" s="2462"/>
      <c r="I250" s="2579"/>
      <c r="J250" s="2579"/>
      <c r="K250" s="2579"/>
      <c r="L250" s="2579"/>
      <c r="M250" s="2579"/>
      <c r="N250" s="2579"/>
      <c r="O250" s="2579"/>
    </row>
    <row r="251" spans="1:15" s="2463" customFormat="1">
      <c r="A251" s="2462"/>
      <c r="B251" s="2462"/>
      <c r="C251" s="2462"/>
      <c r="D251" s="2462"/>
      <c r="E251" s="2462"/>
      <c r="F251" s="2462"/>
      <c r="G251" s="2462"/>
      <c r="H251" s="2462"/>
      <c r="I251" s="2579"/>
      <c r="J251" s="2579"/>
      <c r="K251" s="2579"/>
      <c r="L251" s="2579"/>
      <c r="M251" s="2579"/>
      <c r="N251" s="2579"/>
      <c r="O251" s="2579"/>
    </row>
    <row r="252" spans="1:15" s="2463" customFormat="1">
      <c r="A252" s="2462"/>
      <c r="B252" s="2462"/>
      <c r="C252" s="2462"/>
      <c r="D252" s="2462"/>
      <c r="E252" s="2462"/>
      <c r="F252" s="2462"/>
      <c r="G252" s="2462"/>
      <c r="H252" s="2462"/>
      <c r="I252" s="2579"/>
      <c r="J252" s="2579"/>
      <c r="K252" s="2579"/>
      <c r="L252" s="2579"/>
      <c r="M252" s="2579"/>
      <c r="N252" s="2579"/>
      <c r="O252" s="2579"/>
    </row>
    <row r="253" spans="1:15" s="2463" customFormat="1">
      <c r="A253" s="2462"/>
      <c r="B253" s="2462"/>
      <c r="C253" s="2462"/>
      <c r="D253" s="2462"/>
      <c r="E253" s="2462"/>
      <c r="F253" s="2462"/>
      <c r="G253" s="2462"/>
      <c r="H253" s="2462"/>
      <c r="I253" s="2579"/>
      <c r="J253" s="2579"/>
      <c r="K253" s="2579"/>
      <c r="L253" s="2579"/>
      <c r="M253" s="2579"/>
      <c r="N253" s="2579"/>
      <c r="O253" s="2579"/>
    </row>
    <row r="254" spans="1:15" s="2463" customFormat="1">
      <c r="A254" s="2462"/>
      <c r="B254" s="2462"/>
      <c r="C254" s="2462"/>
      <c r="D254" s="2462"/>
      <c r="E254" s="2462"/>
      <c r="F254" s="2462"/>
      <c r="G254" s="2462"/>
      <c r="H254" s="2462"/>
      <c r="I254" s="2579"/>
      <c r="J254" s="2579"/>
      <c r="K254" s="2579"/>
      <c r="L254" s="2579"/>
      <c r="M254" s="2579"/>
      <c r="N254" s="2579"/>
      <c r="O254" s="2579"/>
    </row>
    <row r="255" spans="1:15" s="2463" customFormat="1">
      <c r="A255" s="2462"/>
      <c r="B255" s="2462"/>
      <c r="C255" s="2462"/>
      <c r="D255" s="2462"/>
      <c r="E255" s="2462"/>
      <c r="F255" s="2462"/>
      <c r="G255" s="2462"/>
      <c r="H255" s="2462"/>
      <c r="I255" s="2579"/>
      <c r="J255" s="2579"/>
      <c r="K255" s="2579"/>
      <c r="L255" s="2579"/>
      <c r="M255" s="2579"/>
      <c r="N255" s="2579"/>
      <c r="O255" s="2579"/>
    </row>
    <row r="256" spans="1:15" s="2463" customFormat="1">
      <c r="A256" s="2462"/>
      <c r="B256" s="2462"/>
      <c r="C256" s="2462"/>
      <c r="D256" s="2462"/>
      <c r="E256" s="2462"/>
      <c r="F256" s="2462"/>
      <c r="G256" s="2462"/>
      <c r="H256" s="2462"/>
      <c r="I256" s="2579"/>
      <c r="J256" s="2579"/>
      <c r="K256" s="2579"/>
      <c r="L256" s="2579"/>
      <c r="M256" s="2579"/>
      <c r="N256" s="2579"/>
      <c r="O256" s="2579"/>
    </row>
    <row r="257" spans="1:15" s="2463" customFormat="1">
      <c r="A257" s="2462"/>
      <c r="B257" s="2462"/>
      <c r="C257" s="2462"/>
      <c r="D257" s="2462"/>
      <c r="E257" s="2462"/>
      <c r="F257" s="2462"/>
      <c r="G257" s="2462"/>
      <c r="H257" s="2462"/>
      <c r="I257" s="2579"/>
      <c r="J257" s="2579"/>
      <c r="K257" s="2579"/>
      <c r="L257" s="2579"/>
      <c r="M257" s="2579"/>
      <c r="N257" s="2579"/>
      <c r="O257" s="2579"/>
    </row>
    <row r="258" spans="1:15" s="2463" customFormat="1">
      <c r="A258" s="2462"/>
      <c r="B258" s="2462"/>
      <c r="C258" s="2462"/>
      <c r="D258" s="2462"/>
      <c r="E258" s="2462"/>
      <c r="F258" s="2462"/>
      <c r="G258" s="2462"/>
      <c r="H258" s="2462"/>
      <c r="I258" s="2579"/>
      <c r="J258" s="2579"/>
      <c r="K258" s="2579"/>
      <c r="L258" s="2579"/>
      <c r="M258" s="2579"/>
      <c r="N258" s="2579"/>
      <c r="O258" s="2579"/>
    </row>
    <row r="259" spans="1:15" s="2463" customFormat="1">
      <c r="A259" s="2462"/>
      <c r="B259" s="2462"/>
      <c r="C259" s="2462"/>
      <c r="D259" s="2462"/>
      <c r="E259" s="2462"/>
      <c r="F259" s="2462"/>
      <c r="G259" s="2462"/>
      <c r="H259" s="2462"/>
      <c r="I259" s="2579"/>
      <c r="J259" s="2579"/>
      <c r="K259" s="2579"/>
      <c r="L259" s="2579"/>
      <c r="M259" s="2579"/>
      <c r="N259" s="2579"/>
      <c r="O259" s="2579"/>
    </row>
    <row r="260" spans="1:15" s="2463" customFormat="1">
      <c r="A260" s="2462"/>
      <c r="B260" s="2462"/>
      <c r="C260" s="2462"/>
      <c r="D260" s="2462"/>
      <c r="E260" s="2462"/>
      <c r="F260" s="2462"/>
      <c r="G260" s="2462"/>
      <c r="H260" s="2462"/>
      <c r="I260" s="2579"/>
      <c r="J260" s="2579"/>
      <c r="K260" s="2579"/>
      <c r="L260" s="2579"/>
      <c r="M260" s="2579"/>
      <c r="N260" s="2579"/>
      <c r="O260" s="2579"/>
    </row>
    <row r="261" spans="1:15" s="2463" customFormat="1">
      <c r="A261" s="2462"/>
      <c r="B261" s="2462"/>
      <c r="C261" s="2462"/>
      <c r="D261" s="2462"/>
      <c r="E261" s="2462"/>
      <c r="F261" s="2462"/>
      <c r="G261" s="2462"/>
      <c r="H261" s="2462"/>
      <c r="I261" s="2579"/>
      <c r="J261" s="2579"/>
      <c r="K261" s="2579"/>
      <c r="L261" s="2579"/>
      <c r="M261" s="2579"/>
      <c r="N261" s="2579"/>
      <c r="O261" s="2579"/>
    </row>
    <row r="262" spans="1:15" s="2463" customFormat="1">
      <c r="A262" s="2462"/>
      <c r="B262" s="2462"/>
      <c r="C262" s="2462"/>
      <c r="D262" s="2462"/>
      <c r="E262" s="2462"/>
      <c r="F262" s="2462"/>
      <c r="G262" s="2462"/>
      <c r="H262" s="2462"/>
      <c r="I262" s="2579"/>
      <c r="J262" s="2579"/>
      <c r="K262" s="2579"/>
      <c r="L262" s="2579"/>
      <c r="M262" s="2579"/>
      <c r="N262" s="2579"/>
      <c r="O262" s="2579"/>
    </row>
    <row r="263" spans="1:15" s="2463" customFormat="1">
      <c r="A263" s="2462"/>
      <c r="B263" s="2462"/>
      <c r="C263" s="2462"/>
      <c r="D263" s="2462"/>
      <c r="E263" s="2462"/>
      <c r="F263" s="2462"/>
      <c r="G263" s="2462"/>
      <c r="H263" s="2462"/>
      <c r="I263" s="2579"/>
      <c r="J263" s="2579"/>
      <c r="K263" s="2579"/>
      <c r="L263" s="2579"/>
      <c r="M263" s="2579"/>
      <c r="N263" s="2579"/>
      <c r="O263" s="2579"/>
    </row>
    <row r="264" spans="1:15" s="2463" customFormat="1">
      <c r="A264" s="2462"/>
      <c r="B264" s="2462"/>
      <c r="C264" s="2462"/>
      <c r="D264" s="2462"/>
      <c r="E264" s="2462"/>
      <c r="F264" s="2462"/>
      <c r="G264" s="2462"/>
      <c r="H264" s="2462"/>
      <c r="I264" s="2579"/>
      <c r="J264" s="2579"/>
      <c r="K264" s="2579"/>
      <c r="L264" s="2579"/>
      <c r="M264" s="2579"/>
      <c r="N264" s="2579"/>
      <c r="O264" s="2579"/>
    </row>
    <row r="265" spans="1:15" s="2463" customFormat="1">
      <c r="A265" s="2462"/>
      <c r="B265" s="2462"/>
      <c r="C265" s="2462"/>
      <c r="D265" s="2462"/>
      <c r="E265" s="2462"/>
      <c r="F265" s="2462"/>
      <c r="G265" s="2462"/>
      <c r="H265" s="2462"/>
      <c r="I265" s="2579"/>
      <c r="J265" s="2579"/>
      <c r="K265" s="2579"/>
      <c r="L265" s="2579"/>
      <c r="M265" s="2579"/>
      <c r="N265" s="2579"/>
      <c r="O265" s="2579"/>
    </row>
    <row r="266" spans="1:15" s="2463" customFormat="1">
      <c r="A266" s="2462"/>
      <c r="B266" s="2462"/>
      <c r="C266" s="2462"/>
      <c r="D266" s="2462"/>
      <c r="E266" s="2462"/>
      <c r="F266" s="2462"/>
      <c r="G266" s="2462"/>
      <c r="H266" s="2462"/>
      <c r="I266" s="2579"/>
      <c r="J266" s="2579"/>
      <c r="K266" s="2579"/>
      <c r="L266" s="2579"/>
      <c r="M266" s="2579"/>
      <c r="N266" s="2579"/>
      <c r="O266" s="2579"/>
    </row>
    <row r="267" spans="1:15" s="2463" customFormat="1">
      <c r="A267" s="2462"/>
      <c r="B267" s="2462"/>
      <c r="C267" s="2462"/>
      <c r="D267" s="2462"/>
      <c r="E267" s="2462"/>
      <c r="F267" s="2462"/>
      <c r="G267" s="2462"/>
      <c r="H267" s="2462"/>
      <c r="I267" s="2579"/>
      <c r="J267" s="2579"/>
      <c r="K267" s="2579"/>
      <c r="L267" s="2579"/>
      <c r="M267" s="2579"/>
      <c r="N267" s="2579"/>
      <c r="O267" s="2579"/>
    </row>
    <row r="268" spans="1:15" s="2463" customFormat="1">
      <c r="A268" s="2462"/>
      <c r="B268" s="2462"/>
      <c r="C268" s="2462"/>
      <c r="D268" s="2462"/>
      <c r="E268" s="2462"/>
      <c r="F268" s="2462"/>
      <c r="G268" s="2462"/>
      <c r="H268" s="2462"/>
      <c r="I268" s="2579"/>
      <c r="J268" s="2579"/>
      <c r="K268" s="2579"/>
      <c r="L268" s="2579"/>
      <c r="M268" s="2579"/>
      <c r="N268" s="2579"/>
      <c r="O268" s="2579"/>
    </row>
    <row r="269" spans="1:15" s="2463" customFormat="1">
      <c r="A269" s="2462"/>
      <c r="B269" s="2462"/>
      <c r="C269" s="2462"/>
      <c r="D269" s="2462"/>
      <c r="E269" s="2462"/>
      <c r="F269" s="2462"/>
      <c r="G269" s="2462"/>
      <c r="H269" s="2462"/>
      <c r="I269" s="2579"/>
      <c r="J269" s="2579"/>
      <c r="K269" s="2579"/>
      <c r="L269" s="2579"/>
      <c r="M269" s="2579"/>
      <c r="N269" s="2579"/>
      <c r="O269" s="2579"/>
    </row>
    <row r="270" spans="1:15" s="2463" customFormat="1">
      <c r="A270" s="2462"/>
      <c r="B270" s="2462"/>
      <c r="C270" s="2462"/>
      <c r="D270" s="2462"/>
      <c r="E270" s="2462"/>
      <c r="F270" s="2462"/>
      <c r="G270" s="2462"/>
      <c r="H270" s="2462"/>
      <c r="I270" s="2579"/>
      <c r="J270" s="2579"/>
      <c r="K270" s="2579"/>
      <c r="L270" s="2579"/>
      <c r="M270" s="2579"/>
      <c r="N270" s="2579"/>
      <c r="O270" s="2579"/>
    </row>
    <row r="271" spans="1:15" s="2463" customFormat="1">
      <c r="A271" s="2462"/>
      <c r="B271" s="2462"/>
      <c r="C271" s="2462"/>
      <c r="D271" s="2462"/>
      <c r="E271" s="2462"/>
      <c r="F271" s="2462"/>
      <c r="G271" s="2462"/>
      <c r="H271" s="2462"/>
      <c r="I271" s="2579"/>
      <c r="J271" s="2579"/>
      <c r="K271" s="2579"/>
      <c r="L271" s="2579"/>
      <c r="M271" s="2579"/>
      <c r="N271" s="2579"/>
      <c r="O271" s="2579"/>
    </row>
    <row r="272" spans="1:15" s="2463" customFormat="1">
      <c r="A272" s="2462"/>
      <c r="B272" s="2462"/>
      <c r="C272" s="2462"/>
      <c r="D272" s="2462"/>
      <c r="E272" s="2462"/>
      <c r="F272" s="2462"/>
      <c r="G272" s="2462"/>
      <c r="H272" s="2462"/>
      <c r="I272" s="2579"/>
      <c r="J272" s="2579"/>
      <c r="K272" s="2579"/>
      <c r="L272" s="2579"/>
      <c r="M272" s="2579"/>
      <c r="N272" s="2579"/>
      <c r="O272" s="2579"/>
    </row>
    <row r="273" spans="1:15" s="2463" customFormat="1">
      <c r="A273" s="2462"/>
      <c r="B273" s="2462"/>
      <c r="C273" s="2462"/>
      <c r="D273" s="2462"/>
      <c r="E273" s="2462"/>
      <c r="F273" s="2462"/>
      <c r="G273" s="2462"/>
      <c r="H273" s="2462"/>
      <c r="I273" s="2579"/>
      <c r="J273" s="2579"/>
      <c r="K273" s="2579"/>
      <c r="L273" s="2579"/>
      <c r="M273" s="2579"/>
      <c r="N273" s="2579"/>
      <c r="O273" s="2579"/>
    </row>
    <row r="274" spans="1:15" s="2463" customFormat="1">
      <c r="A274" s="2462"/>
      <c r="B274" s="2462"/>
      <c r="C274" s="2462"/>
      <c r="D274" s="2462"/>
      <c r="E274" s="2462"/>
      <c r="F274" s="2462"/>
      <c r="G274" s="2462"/>
      <c r="H274" s="2462"/>
      <c r="I274" s="2579"/>
      <c r="J274" s="2579"/>
      <c r="K274" s="2579"/>
      <c r="L274" s="2579"/>
      <c r="M274" s="2579"/>
      <c r="N274" s="2579"/>
      <c r="O274" s="2579"/>
    </row>
    <row r="275" spans="1:15" s="2463" customFormat="1">
      <c r="A275" s="2462"/>
      <c r="B275" s="2462"/>
      <c r="C275" s="2462"/>
      <c r="D275" s="2462"/>
      <c r="E275" s="2462"/>
      <c r="F275" s="2462"/>
      <c r="G275" s="2462"/>
      <c r="H275" s="2462"/>
      <c r="I275" s="2579"/>
      <c r="J275" s="2579"/>
      <c r="K275" s="2579"/>
      <c r="L275" s="2579"/>
      <c r="M275" s="2579"/>
      <c r="N275" s="2579"/>
      <c r="O275" s="2579"/>
    </row>
    <row r="276" spans="1:15" s="2463" customFormat="1">
      <c r="A276" s="2462"/>
      <c r="B276" s="2462"/>
      <c r="C276" s="2462"/>
      <c r="D276" s="2462"/>
      <c r="E276" s="2462"/>
      <c r="F276" s="2462"/>
      <c r="G276" s="2462"/>
      <c r="H276" s="2462"/>
      <c r="I276" s="2579"/>
      <c r="J276" s="2579"/>
      <c r="K276" s="2579"/>
      <c r="L276" s="2579"/>
      <c r="M276" s="2579"/>
      <c r="N276" s="2579"/>
      <c r="O276" s="2579"/>
    </row>
    <row r="277" spans="1:15" s="2463" customFormat="1">
      <c r="A277" s="2462"/>
      <c r="B277" s="2462"/>
      <c r="C277" s="2462"/>
      <c r="D277" s="2462"/>
      <c r="E277" s="2462"/>
      <c r="F277" s="2462"/>
      <c r="G277" s="2462"/>
      <c r="H277" s="2462"/>
      <c r="I277" s="2579"/>
      <c r="J277" s="2579"/>
      <c r="K277" s="2579"/>
      <c r="L277" s="2579"/>
      <c r="M277" s="2579"/>
      <c r="N277" s="2579"/>
      <c r="O277" s="2579"/>
    </row>
    <row r="278" spans="1:15" s="2463" customFormat="1">
      <c r="A278" s="2462"/>
      <c r="B278" s="2462"/>
      <c r="C278" s="2462"/>
      <c r="D278" s="2462"/>
      <c r="E278" s="2462"/>
      <c r="F278" s="2462"/>
      <c r="G278" s="2462"/>
      <c r="H278" s="2462"/>
      <c r="I278" s="2579"/>
      <c r="J278" s="2579"/>
      <c r="K278" s="2579"/>
      <c r="L278" s="2579"/>
      <c r="M278" s="2579"/>
      <c r="N278" s="2579"/>
      <c r="O278" s="2579"/>
    </row>
    <row r="279" spans="1:15" s="2463" customFormat="1">
      <c r="A279" s="2462"/>
      <c r="B279" s="2462"/>
      <c r="C279" s="2462"/>
      <c r="D279" s="2462"/>
      <c r="E279" s="2462"/>
      <c r="F279" s="2462"/>
      <c r="G279" s="2462"/>
      <c r="H279" s="2462"/>
      <c r="I279" s="2579"/>
      <c r="J279" s="2579"/>
      <c r="K279" s="2579"/>
      <c r="L279" s="2579"/>
      <c r="M279" s="2579"/>
      <c r="N279" s="2579"/>
      <c r="O279" s="2579"/>
    </row>
    <row r="280" spans="1:15" s="2463" customFormat="1">
      <c r="A280" s="2462"/>
      <c r="B280" s="2462"/>
      <c r="C280" s="2462"/>
      <c r="D280" s="2462"/>
      <c r="E280" s="2462"/>
      <c r="F280" s="2462"/>
      <c r="G280" s="2462"/>
      <c r="H280" s="2462"/>
      <c r="I280" s="2579"/>
      <c r="J280" s="2579"/>
      <c r="K280" s="2579"/>
      <c r="L280" s="2579"/>
      <c r="M280" s="2579"/>
      <c r="N280" s="2579"/>
      <c r="O280" s="2579"/>
    </row>
    <row r="281" spans="1:15" s="2463" customFormat="1">
      <c r="A281" s="2462"/>
      <c r="B281" s="2462"/>
      <c r="C281" s="2462"/>
      <c r="D281" s="2462"/>
      <c r="E281" s="2462"/>
      <c r="F281" s="2462"/>
      <c r="G281" s="2462"/>
      <c r="H281" s="2462"/>
      <c r="I281" s="2579"/>
      <c r="J281" s="2579"/>
      <c r="K281" s="2579"/>
      <c r="L281" s="2579"/>
      <c r="M281" s="2579"/>
      <c r="N281" s="2579"/>
      <c r="O281" s="2579"/>
    </row>
    <row r="282" spans="1:15" s="2463" customFormat="1">
      <c r="A282" s="2462"/>
      <c r="B282" s="2462"/>
      <c r="C282" s="2462"/>
      <c r="D282" s="2462"/>
      <c r="E282" s="2462"/>
      <c r="F282" s="2462"/>
      <c r="G282" s="2462"/>
      <c r="H282" s="2462"/>
      <c r="I282" s="2579"/>
      <c r="J282" s="2579"/>
      <c r="K282" s="2579"/>
      <c r="L282" s="2579"/>
      <c r="M282" s="2579"/>
      <c r="N282" s="2579"/>
      <c r="O282" s="2579"/>
    </row>
    <row r="283" spans="1:15" s="2463" customFormat="1">
      <c r="A283" s="2462"/>
      <c r="B283" s="2462"/>
      <c r="C283" s="2462"/>
      <c r="D283" s="2462"/>
      <c r="E283" s="2462"/>
      <c r="F283" s="2462"/>
      <c r="G283" s="2462"/>
      <c r="H283" s="2462"/>
      <c r="I283" s="2579"/>
      <c r="J283" s="2579"/>
      <c r="K283" s="2579"/>
      <c r="L283" s="2579"/>
      <c r="M283" s="2579"/>
      <c r="N283" s="2579"/>
      <c r="O283" s="2579"/>
    </row>
    <row r="284" spans="1:15" s="2463" customFormat="1">
      <c r="A284" s="2462"/>
      <c r="B284" s="2462"/>
      <c r="C284" s="2462"/>
      <c r="D284" s="2462"/>
      <c r="E284" s="2462"/>
      <c r="F284" s="2462"/>
      <c r="G284" s="2462"/>
      <c r="H284" s="2462"/>
      <c r="I284" s="2579"/>
      <c r="J284" s="2579"/>
      <c r="K284" s="2579"/>
      <c r="L284" s="2579"/>
      <c r="M284" s="2579"/>
      <c r="N284" s="2579"/>
      <c r="O284" s="2579"/>
    </row>
    <row r="285" spans="1:15" s="2463" customFormat="1">
      <c r="A285" s="2462"/>
      <c r="B285" s="2462"/>
      <c r="C285" s="2462"/>
      <c r="D285" s="2462"/>
      <c r="E285" s="2462"/>
      <c r="F285" s="2462"/>
      <c r="G285" s="2462"/>
      <c r="H285" s="2462"/>
      <c r="I285" s="2579"/>
      <c r="J285" s="2579"/>
      <c r="K285" s="2579"/>
      <c r="L285" s="2579"/>
      <c r="M285" s="2579"/>
      <c r="N285" s="2579"/>
      <c r="O285" s="2579"/>
    </row>
    <row r="286" spans="1:15" s="2463" customFormat="1">
      <c r="A286" s="2462"/>
      <c r="B286" s="2462"/>
      <c r="C286" s="2462"/>
      <c r="D286" s="2462"/>
      <c r="E286" s="2462"/>
      <c r="F286" s="2462"/>
      <c r="G286" s="2462"/>
      <c r="H286" s="2462"/>
      <c r="I286" s="2579"/>
      <c r="J286" s="2579"/>
      <c r="K286" s="2579"/>
      <c r="L286" s="2579"/>
      <c r="M286" s="2579"/>
      <c r="N286" s="2579"/>
      <c r="O286" s="2579"/>
    </row>
    <row r="287" spans="1:15" s="2463" customFormat="1">
      <c r="A287" s="2462"/>
      <c r="B287" s="2462"/>
      <c r="C287" s="2462"/>
      <c r="D287" s="2462"/>
      <c r="E287" s="2462"/>
      <c r="F287" s="2462"/>
      <c r="G287" s="2462"/>
      <c r="H287" s="2462"/>
      <c r="I287" s="2579"/>
      <c r="J287" s="2579"/>
      <c r="K287" s="2579"/>
      <c r="L287" s="2579"/>
      <c r="M287" s="2579"/>
      <c r="N287" s="2579"/>
      <c r="O287" s="2579"/>
    </row>
    <row r="288" spans="1:15" s="2463" customFormat="1">
      <c r="A288" s="2462"/>
      <c r="B288" s="2462"/>
      <c r="C288" s="2462"/>
      <c r="D288" s="2462"/>
      <c r="E288" s="2462"/>
      <c r="F288" s="2462"/>
      <c r="G288" s="2462"/>
      <c r="H288" s="2462"/>
      <c r="I288" s="2579"/>
      <c r="J288" s="2579"/>
      <c r="K288" s="2579"/>
      <c r="L288" s="2579"/>
      <c r="M288" s="2579"/>
      <c r="N288" s="2579"/>
      <c r="O288" s="2579"/>
    </row>
    <row r="293" spans="1:15" s="2463" customFormat="1">
      <c r="A293" s="2462"/>
      <c r="B293" s="2462"/>
      <c r="C293" s="2462"/>
      <c r="D293" s="2462"/>
      <c r="E293" s="2462"/>
      <c r="F293" s="2462"/>
      <c r="G293" s="2462"/>
      <c r="H293" s="2462"/>
      <c r="I293" s="2579"/>
      <c r="J293" s="2579"/>
      <c r="K293" s="2579"/>
      <c r="L293" s="2579"/>
      <c r="M293" s="2579"/>
      <c r="N293" s="2579"/>
      <c r="O293" s="2579"/>
    </row>
    <row r="294" spans="1:15" s="2463" customFormat="1">
      <c r="A294" s="2462"/>
      <c r="B294" s="2462"/>
      <c r="C294" s="2462"/>
      <c r="D294" s="2462"/>
      <c r="E294" s="2462"/>
      <c r="F294" s="2462"/>
      <c r="G294" s="2462"/>
      <c r="H294" s="2462"/>
      <c r="I294" s="2579"/>
      <c r="J294" s="2579"/>
      <c r="K294" s="2579"/>
      <c r="L294" s="2579"/>
      <c r="M294" s="2579"/>
      <c r="N294" s="2579"/>
      <c r="O294" s="2579"/>
    </row>
    <row r="295" spans="1:15" s="2463" customFormat="1">
      <c r="A295" s="2462"/>
      <c r="B295" s="2462"/>
      <c r="C295" s="2462"/>
      <c r="D295" s="2462"/>
      <c r="E295" s="2462"/>
      <c r="F295" s="2462"/>
      <c r="G295" s="2462"/>
      <c r="H295" s="2462"/>
      <c r="I295" s="2579"/>
      <c r="J295" s="2579"/>
      <c r="K295" s="2579"/>
      <c r="L295" s="2579"/>
      <c r="M295" s="2579"/>
      <c r="N295" s="2579"/>
      <c r="O295" s="2579"/>
    </row>
    <row r="296" spans="1:15" s="2463" customFormat="1">
      <c r="A296" s="2462"/>
      <c r="B296" s="2462"/>
      <c r="C296" s="2462"/>
      <c r="D296" s="2462"/>
      <c r="E296" s="2462"/>
      <c r="F296" s="2462"/>
      <c r="G296" s="2462"/>
      <c r="H296" s="2462"/>
      <c r="I296" s="2579"/>
      <c r="J296" s="2579"/>
      <c r="K296" s="2579"/>
      <c r="L296" s="2579"/>
      <c r="M296" s="2579"/>
      <c r="N296" s="2579"/>
      <c r="O296" s="2579"/>
    </row>
    <row r="297" spans="1:15" s="2463" customFormat="1">
      <c r="A297" s="2462"/>
      <c r="B297" s="2462"/>
      <c r="C297" s="2462"/>
      <c r="D297" s="2462"/>
      <c r="E297" s="2462"/>
      <c r="F297" s="2462"/>
      <c r="G297" s="2462"/>
      <c r="H297" s="2462"/>
      <c r="I297" s="2579"/>
      <c r="J297" s="2579"/>
      <c r="K297" s="2579"/>
      <c r="L297" s="2579"/>
      <c r="M297" s="2579"/>
      <c r="N297" s="2579"/>
      <c r="O297" s="2579"/>
    </row>
    <row r="298" spans="1:15" s="2463" customFormat="1">
      <c r="A298" s="2462"/>
      <c r="B298" s="2462"/>
      <c r="C298" s="2462"/>
      <c r="D298" s="2462"/>
      <c r="E298" s="2462"/>
      <c r="F298" s="2462"/>
      <c r="G298" s="2462"/>
      <c r="H298" s="2462"/>
      <c r="I298" s="2579"/>
      <c r="J298" s="2579"/>
      <c r="K298" s="2579"/>
      <c r="L298" s="2579"/>
      <c r="M298" s="2579"/>
      <c r="N298" s="2579"/>
      <c r="O298" s="2579"/>
    </row>
    <row r="299" spans="1:15" s="2463" customFormat="1">
      <c r="A299" s="2462"/>
      <c r="B299" s="2462"/>
      <c r="C299" s="2462"/>
      <c r="D299" s="2462"/>
      <c r="E299" s="2462"/>
      <c r="F299" s="2462"/>
      <c r="G299" s="2462"/>
      <c r="H299" s="2462"/>
      <c r="I299" s="2579"/>
      <c r="J299" s="2579"/>
      <c r="K299" s="2579"/>
      <c r="L299" s="2579"/>
      <c r="M299" s="2579"/>
      <c r="N299" s="2579"/>
      <c r="O299" s="2579"/>
    </row>
    <row r="300" spans="1:15" s="2463" customFormat="1">
      <c r="A300" s="2462"/>
      <c r="B300" s="2462"/>
      <c r="C300" s="2462"/>
      <c r="D300" s="2462"/>
      <c r="E300" s="2462"/>
      <c r="F300" s="2462"/>
      <c r="G300" s="2462"/>
      <c r="H300" s="2462"/>
      <c r="I300" s="2579"/>
      <c r="J300" s="2579"/>
      <c r="K300" s="2579"/>
      <c r="L300" s="2579"/>
      <c r="M300" s="2579"/>
      <c r="N300" s="2579"/>
      <c r="O300" s="2579"/>
    </row>
    <row r="301" spans="1:15" s="2463" customFormat="1">
      <c r="A301" s="2462"/>
      <c r="B301" s="2462"/>
      <c r="C301" s="2462"/>
      <c r="D301" s="2462"/>
      <c r="E301" s="2462"/>
      <c r="F301" s="2462"/>
      <c r="G301" s="2462"/>
      <c r="H301" s="2462"/>
      <c r="I301" s="2579"/>
      <c r="J301" s="2579"/>
      <c r="K301" s="2579"/>
      <c r="L301" s="2579"/>
      <c r="M301" s="2579"/>
      <c r="N301" s="2579"/>
      <c r="O301" s="2579"/>
    </row>
    <row r="302" spans="1:15" s="2463" customFormat="1">
      <c r="A302" s="2462"/>
      <c r="B302" s="2462"/>
      <c r="C302" s="2462"/>
      <c r="D302" s="2462"/>
      <c r="E302" s="2462"/>
      <c r="F302" s="2462"/>
      <c r="G302" s="2462"/>
      <c r="H302" s="2462"/>
      <c r="I302" s="2579"/>
      <c r="J302" s="2579"/>
      <c r="K302" s="2579"/>
      <c r="L302" s="2579"/>
      <c r="M302" s="2579"/>
      <c r="N302" s="2579"/>
      <c r="O302" s="2579"/>
    </row>
    <row r="303" spans="1:15" s="2463" customFormat="1">
      <c r="A303" s="2462"/>
      <c r="B303" s="2462"/>
      <c r="C303" s="2462"/>
      <c r="D303" s="2462"/>
      <c r="E303" s="2462"/>
      <c r="F303" s="2462"/>
      <c r="G303" s="2462"/>
      <c r="H303" s="2462"/>
      <c r="I303" s="2579"/>
      <c r="J303" s="2579"/>
      <c r="K303" s="2579"/>
      <c r="L303" s="2579"/>
      <c r="M303" s="2579"/>
      <c r="N303" s="2579"/>
      <c r="O303" s="2579"/>
    </row>
    <row r="304" spans="1:15" s="2463" customFormat="1">
      <c r="A304" s="2462"/>
      <c r="B304" s="2462"/>
      <c r="C304" s="2462"/>
      <c r="D304" s="2462"/>
      <c r="E304" s="2462"/>
      <c r="F304" s="2462"/>
      <c r="G304" s="2462"/>
      <c r="H304" s="2462"/>
      <c r="I304" s="2579"/>
      <c r="J304" s="2579"/>
      <c r="K304" s="2579"/>
      <c r="L304" s="2579"/>
      <c r="M304" s="2579"/>
      <c r="N304" s="2579"/>
      <c r="O304" s="2579"/>
    </row>
    <row r="305" spans="1:15" s="2463" customFormat="1">
      <c r="A305" s="2462"/>
      <c r="B305" s="2462"/>
      <c r="C305" s="2462"/>
      <c r="D305" s="2462"/>
      <c r="E305" s="2462"/>
      <c r="F305" s="2462"/>
      <c r="G305" s="2462"/>
      <c r="H305" s="2462"/>
      <c r="I305" s="2579"/>
      <c r="J305" s="2579"/>
      <c r="K305" s="2579"/>
      <c r="L305" s="2579"/>
      <c r="M305" s="2579"/>
      <c r="N305" s="2579"/>
      <c r="O305" s="2579"/>
    </row>
    <row r="306" spans="1:15" s="2463" customFormat="1">
      <c r="A306" s="2462"/>
      <c r="B306" s="2462"/>
      <c r="C306" s="2462"/>
      <c r="D306" s="2462"/>
      <c r="E306" s="2462"/>
      <c r="F306" s="2462"/>
      <c r="G306" s="2462"/>
      <c r="H306" s="2462"/>
      <c r="I306" s="2579"/>
      <c r="J306" s="2579"/>
      <c r="K306" s="2579"/>
      <c r="L306" s="2579"/>
      <c r="M306" s="2579"/>
      <c r="N306" s="2579"/>
      <c r="O306" s="2579"/>
    </row>
    <row r="307" spans="1:15" s="2463" customFormat="1">
      <c r="A307" s="2462"/>
      <c r="B307" s="2462"/>
      <c r="C307" s="2462"/>
      <c r="D307" s="2462"/>
      <c r="E307" s="2462"/>
      <c r="F307" s="2462"/>
      <c r="G307" s="2462"/>
      <c r="H307" s="2462"/>
      <c r="I307" s="2579"/>
      <c r="J307" s="2579"/>
      <c r="K307" s="2579"/>
      <c r="L307" s="2579"/>
      <c r="M307" s="2579"/>
      <c r="N307" s="2579"/>
      <c r="O307" s="2579"/>
    </row>
    <row r="308" spans="1:15" s="2463" customFormat="1">
      <c r="A308" s="2462"/>
      <c r="B308" s="2462"/>
      <c r="C308" s="2462"/>
      <c r="D308" s="2462"/>
      <c r="E308" s="2462"/>
      <c r="F308" s="2462"/>
      <c r="G308" s="2462"/>
      <c r="H308" s="2462"/>
      <c r="I308" s="2579"/>
      <c r="J308" s="2579"/>
      <c r="K308" s="2579"/>
      <c r="L308" s="2579"/>
      <c r="M308" s="2579"/>
      <c r="N308" s="2579"/>
      <c r="O308" s="2579"/>
    </row>
    <row r="309" spans="1:15" s="2463" customFormat="1">
      <c r="A309" s="2462"/>
      <c r="B309" s="2462"/>
      <c r="C309" s="2462"/>
      <c r="D309" s="2462"/>
      <c r="E309" s="2462"/>
      <c r="F309" s="2462"/>
      <c r="G309" s="2462"/>
      <c r="H309" s="2462"/>
      <c r="I309" s="2579"/>
      <c r="J309" s="2579"/>
      <c r="K309" s="2579"/>
      <c r="L309" s="2579"/>
      <c r="M309" s="2579"/>
      <c r="N309" s="2579"/>
      <c r="O309" s="2579"/>
    </row>
    <row r="310" spans="1:15" s="2463" customFormat="1">
      <c r="A310" s="2462"/>
      <c r="B310" s="2462"/>
      <c r="C310" s="2462"/>
      <c r="D310" s="2462"/>
      <c r="E310" s="2462"/>
      <c r="F310" s="2462"/>
      <c r="G310" s="2462"/>
      <c r="H310" s="2462"/>
      <c r="I310" s="2579"/>
      <c r="J310" s="2579"/>
      <c r="K310" s="2579"/>
      <c r="L310" s="2579"/>
      <c r="M310" s="2579"/>
      <c r="N310" s="2579"/>
      <c r="O310" s="2579"/>
    </row>
    <row r="311" spans="1:15" s="2463" customFormat="1">
      <c r="A311" s="2462"/>
      <c r="B311" s="2462"/>
      <c r="C311" s="2462"/>
      <c r="D311" s="2462"/>
      <c r="E311" s="2462"/>
      <c r="F311" s="2462"/>
      <c r="G311" s="2462"/>
      <c r="H311" s="2462"/>
      <c r="I311" s="2579"/>
      <c r="J311" s="2579"/>
      <c r="K311" s="2579"/>
      <c r="L311" s="2579"/>
      <c r="M311" s="2579"/>
      <c r="N311" s="2579"/>
      <c r="O311" s="2579"/>
    </row>
    <row r="312" spans="1:15" s="2463" customFormat="1">
      <c r="A312" s="2462"/>
      <c r="B312" s="2462"/>
      <c r="C312" s="2462"/>
      <c r="D312" s="2462"/>
      <c r="E312" s="2462"/>
      <c r="F312" s="2462"/>
      <c r="G312" s="2462"/>
      <c r="H312" s="2462"/>
      <c r="I312" s="2579"/>
      <c r="J312" s="2579"/>
      <c r="K312" s="2579"/>
      <c r="L312" s="2579"/>
      <c r="M312" s="2579"/>
      <c r="N312" s="2579"/>
      <c r="O312" s="2579"/>
    </row>
    <row r="313" spans="1:15" s="2463" customFormat="1">
      <c r="A313" s="2462"/>
      <c r="B313" s="2462"/>
      <c r="C313" s="2462"/>
      <c r="D313" s="2462"/>
      <c r="E313" s="2462"/>
      <c r="F313" s="2462"/>
      <c r="G313" s="2462"/>
      <c r="H313" s="2462"/>
      <c r="I313" s="2579"/>
      <c r="J313" s="2579"/>
      <c r="K313" s="2579"/>
      <c r="L313" s="2579"/>
      <c r="M313" s="2579"/>
      <c r="N313" s="2579"/>
      <c r="O313" s="2579"/>
    </row>
    <row r="314" spans="1:15" s="2463" customFormat="1">
      <c r="A314" s="2462"/>
      <c r="B314" s="2462"/>
      <c r="C314" s="2462"/>
      <c r="D314" s="2462"/>
      <c r="E314" s="2462"/>
      <c r="F314" s="2462"/>
      <c r="G314" s="2462"/>
      <c r="H314" s="2462"/>
      <c r="I314" s="2579"/>
      <c r="J314" s="2579"/>
      <c r="K314" s="2579"/>
      <c r="L314" s="2579"/>
      <c r="M314" s="2579"/>
      <c r="N314" s="2579"/>
      <c r="O314" s="2579"/>
    </row>
    <row r="315" spans="1:15" s="2463" customFormat="1">
      <c r="A315" s="2462"/>
      <c r="B315" s="2462"/>
      <c r="C315" s="2462"/>
      <c r="D315" s="2462"/>
      <c r="E315" s="2462"/>
      <c r="F315" s="2462"/>
      <c r="G315" s="2462"/>
      <c r="H315" s="2462"/>
      <c r="I315" s="2579"/>
      <c r="J315" s="2579"/>
      <c r="K315" s="2579"/>
      <c r="L315" s="2579"/>
      <c r="M315" s="2579"/>
      <c r="N315" s="2579"/>
      <c r="O315" s="2579"/>
    </row>
    <row r="316" spans="1:15" s="2463" customFormat="1">
      <c r="A316" s="2462"/>
      <c r="B316" s="2462"/>
      <c r="C316" s="2462"/>
      <c r="D316" s="2462"/>
      <c r="E316" s="2462"/>
      <c r="F316" s="2462"/>
      <c r="G316" s="2462"/>
      <c r="H316" s="2462"/>
      <c r="I316" s="2579"/>
      <c r="J316" s="2579"/>
      <c r="K316" s="2579"/>
      <c r="L316" s="2579"/>
      <c r="M316" s="2579"/>
      <c r="N316" s="2579"/>
      <c r="O316" s="2579"/>
    </row>
    <row r="317" spans="1:15" s="2463" customFormat="1">
      <c r="A317" s="2462"/>
      <c r="B317" s="2462"/>
      <c r="C317" s="2462"/>
      <c r="D317" s="2462"/>
      <c r="E317" s="2462"/>
      <c r="F317" s="2462"/>
      <c r="G317" s="2462"/>
      <c r="H317" s="2462"/>
      <c r="I317" s="2579"/>
      <c r="J317" s="2579"/>
      <c r="K317" s="2579"/>
      <c r="L317" s="2579"/>
      <c r="M317" s="2579"/>
      <c r="N317" s="2579"/>
      <c r="O317" s="2579"/>
    </row>
    <row r="318" spans="1:15" s="2463" customFormat="1">
      <c r="A318" s="2462"/>
      <c r="B318" s="2462"/>
      <c r="C318" s="2462"/>
      <c r="D318" s="2462"/>
      <c r="E318" s="2462"/>
      <c r="F318" s="2462"/>
      <c r="G318" s="2462"/>
      <c r="H318" s="2462"/>
      <c r="I318" s="2579"/>
      <c r="J318" s="2579"/>
      <c r="K318" s="2579"/>
      <c r="L318" s="2579"/>
      <c r="M318" s="2579"/>
      <c r="N318" s="2579"/>
      <c r="O318" s="2579"/>
    </row>
    <row r="319" spans="1:15" s="2463" customFormat="1">
      <c r="A319" s="2462"/>
      <c r="B319" s="2462"/>
      <c r="C319" s="2462"/>
      <c r="D319" s="2462"/>
      <c r="E319" s="2462"/>
      <c r="F319" s="2462"/>
      <c r="G319" s="2462"/>
      <c r="H319" s="2462"/>
      <c r="I319" s="2579"/>
      <c r="J319" s="2579"/>
      <c r="K319" s="2579"/>
      <c r="L319" s="2579"/>
      <c r="M319" s="2579"/>
      <c r="N319" s="2579"/>
      <c r="O319" s="2579"/>
    </row>
    <row r="320" spans="1:15" s="2463" customFormat="1">
      <c r="A320" s="2462"/>
      <c r="B320" s="2462"/>
      <c r="C320" s="2462"/>
      <c r="D320" s="2462"/>
      <c r="E320" s="2462"/>
      <c r="F320" s="2462"/>
      <c r="G320" s="2462"/>
      <c r="H320" s="2462"/>
      <c r="I320" s="2579"/>
      <c r="J320" s="2579"/>
      <c r="K320" s="2579"/>
      <c r="L320" s="2579"/>
      <c r="M320" s="2579"/>
      <c r="N320" s="2579"/>
      <c r="O320" s="2579"/>
    </row>
    <row r="321" spans="1:15" s="2463" customFormat="1">
      <c r="A321" s="2462"/>
      <c r="B321" s="2462"/>
      <c r="C321" s="2462"/>
      <c r="D321" s="2462"/>
      <c r="E321" s="2462"/>
      <c r="F321" s="2462"/>
      <c r="G321" s="2462"/>
      <c r="H321" s="2462"/>
      <c r="I321" s="2579"/>
      <c r="J321" s="2579"/>
      <c r="K321" s="2579"/>
      <c r="L321" s="2579"/>
      <c r="M321" s="2579"/>
      <c r="N321" s="2579"/>
      <c r="O321" s="2579"/>
    </row>
    <row r="322" spans="1:15" s="2463" customFormat="1">
      <c r="A322" s="2462"/>
      <c r="B322" s="2462"/>
      <c r="C322" s="2462"/>
      <c r="D322" s="2462"/>
      <c r="E322" s="2462"/>
      <c r="F322" s="2462"/>
      <c r="G322" s="2462"/>
      <c r="H322" s="2462"/>
      <c r="I322" s="2579"/>
      <c r="J322" s="2579"/>
      <c r="K322" s="2579"/>
      <c r="L322" s="2579"/>
      <c r="M322" s="2579"/>
      <c r="N322" s="2579"/>
      <c r="O322" s="2579"/>
    </row>
    <row r="323" spans="1:15" s="2463" customFormat="1">
      <c r="A323" s="2462"/>
      <c r="B323" s="2462"/>
      <c r="C323" s="2462"/>
      <c r="D323" s="2462"/>
      <c r="E323" s="2462"/>
      <c r="F323" s="2462"/>
      <c r="G323" s="2462"/>
      <c r="H323" s="2462"/>
      <c r="I323" s="2579"/>
      <c r="J323" s="2579"/>
      <c r="K323" s="2579"/>
      <c r="L323" s="2579"/>
      <c r="M323" s="2579"/>
      <c r="N323" s="2579"/>
      <c r="O323" s="2579"/>
    </row>
    <row r="324" spans="1:15" s="2463" customFormat="1">
      <c r="A324" s="2462"/>
      <c r="B324" s="2462"/>
      <c r="C324" s="2462"/>
      <c r="D324" s="2462"/>
      <c r="E324" s="2462"/>
      <c r="F324" s="2462"/>
      <c r="G324" s="2462"/>
      <c r="H324" s="2462"/>
      <c r="I324" s="2579"/>
      <c r="J324" s="2579"/>
      <c r="K324" s="2579"/>
      <c r="L324" s="2579"/>
      <c r="M324" s="2579"/>
      <c r="N324" s="2579"/>
      <c r="O324" s="2579"/>
    </row>
    <row r="325" spans="1:15" s="2463" customFormat="1">
      <c r="A325" s="2462"/>
      <c r="B325" s="2462"/>
      <c r="C325" s="2462"/>
      <c r="D325" s="2462"/>
      <c r="E325" s="2462"/>
      <c r="F325" s="2462"/>
      <c r="G325" s="2462"/>
      <c r="H325" s="2462"/>
      <c r="I325" s="2579"/>
      <c r="J325" s="2579"/>
      <c r="K325" s="2579"/>
      <c r="L325" s="2579"/>
      <c r="M325" s="2579"/>
      <c r="N325" s="2579"/>
      <c r="O325" s="2579"/>
    </row>
    <row r="326" spans="1:15" s="2463" customFormat="1">
      <c r="A326" s="2462"/>
      <c r="B326" s="2462"/>
      <c r="C326" s="2462"/>
      <c r="D326" s="2462"/>
      <c r="E326" s="2462"/>
      <c r="F326" s="2462"/>
      <c r="G326" s="2462"/>
      <c r="H326" s="2462"/>
      <c r="I326" s="2579"/>
      <c r="J326" s="2579"/>
      <c r="K326" s="2579"/>
      <c r="L326" s="2579"/>
      <c r="M326" s="2579"/>
      <c r="N326" s="2579"/>
      <c r="O326" s="2579"/>
    </row>
    <row r="327" spans="1:15" s="2463" customFormat="1">
      <c r="A327" s="2462"/>
      <c r="B327" s="2462"/>
      <c r="C327" s="2462"/>
      <c r="D327" s="2462"/>
      <c r="E327" s="2462"/>
      <c r="F327" s="2462"/>
      <c r="G327" s="2462"/>
      <c r="H327" s="2462"/>
      <c r="I327" s="2579"/>
      <c r="J327" s="2579"/>
      <c r="K327" s="2579"/>
      <c r="L327" s="2579"/>
      <c r="M327" s="2579"/>
      <c r="N327" s="2579"/>
      <c r="O327" s="2579"/>
    </row>
    <row r="328" spans="1:15" s="2463" customFormat="1">
      <c r="A328" s="2462"/>
      <c r="B328" s="2462"/>
      <c r="C328" s="2462"/>
      <c r="D328" s="2462"/>
      <c r="E328" s="2462"/>
      <c r="F328" s="2462"/>
      <c r="G328" s="2462"/>
      <c r="H328" s="2462"/>
      <c r="I328" s="2579"/>
      <c r="J328" s="2579"/>
      <c r="K328" s="2579"/>
      <c r="L328" s="2579"/>
      <c r="M328" s="2579"/>
      <c r="N328" s="2579"/>
      <c r="O328" s="2579"/>
    </row>
    <row r="329" spans="1:15" s="2463" customFormat="1">
      <c r="A329" s="2462"/>
      <c r="B329" s="2462"/>
      <c r="C329" s="2462"/>
      <c r="D329" s="2462"/>
      <c r="E329" s="2462"/>
      <c r="F329" s="2462"/>
      <c r="G329" s="2462"/>
      <c r="H329" s="2462"/>
      <c r="I329" s="2579"/>
      <c r="J329" s="2579"/>
      <c r="K329" s="2579"/>
      <c r="L329" s="2579"/>
      <c r="M329" s="2579"/>
      <c r="N329" s="2579"/>
      <c r="O329" s="2579"/>
    </row>
    <row r="330" spans="1:15" s="2463" customFormat="1">
      <c r="A330" s="2462"/>
      <c r="B330" s="2462"/>
      <c r="C330" s="2462"/>
      <c r="D330" s="2462"/>
      <c r="E330" s="2462"/>
      <c r="F330" s="2462"/>
      <c r="G330" s="2462"/>
      <c r="H330" s="2462"/>
      <c r="I330" s="2579"/>
      <c r="J330" s="2579"/>
      <c r="K330" s="2579"/>
      <c r="L330" s="2579"/>
      <c r="M330" s="2579"/>
      <c r="N330" s="2579"/>
      <c r="O330" s="2579"/>
    </row>
    <row r="331" spans="1:15" s="2463" customFormat="1">
      <c r="A331" s="2462"/>
      <c r="B331" s="2462"/>
      <c r="C331" s="2462"/>
      <c r="D331" s="2462"/>
      <c r="E331" s="2462"/>
      <c r="F331" s="2462"/>
      <c r="G331" s="2462"/>
      <c r="H331" s="2462"/>
      <c r="I331" s="2579"/>
      <c r="J331" s="2579"/>
      <c r="K331" s="2579"/>
      <c r="L331" s="2579"/>
      <c r="M331" s="2579"/>
      <c r="N331" s="2579"/>
      <c r="O331" s="2579"/>
    </row>
    <row r="332" spans="1:15" s="2463" customFormat="1">
      <c r="A332" s="2462"/>
      <c r="B332" s="2462"/>
      <c r="C332" s="2462"/>
      <c r="D332" s="2462"/>
      <c r="E332" s="2462"/>
      <c r="F332" s="2462"/>
      <c r="G332" s="2462"/>
      <c r="H332" s="2462"/>
      <c r="I332" s="2579"/>
      <c r="J332" s="2579"/>
      <c r="K332" s="2579"/>
      <c r="L332" s="2579"/>
      <c r="M332" s="2579"/>
      <c r="N332" s="2579"/>
      <c r="O332" s="2579"/>
    </row>
    <row r="337" spans="1:15" s="2463" customFormat="1">
      <c r="A337" s="2462"/>
      <c r="B337" s="2462"/>
      <c r="C337" s="2462"/>
      <c r="D337" s="2462"/>
      <c r="E337" s="2462"/>
      <c r="F337" s="2462"/>
      <c r="G337" s="2462"/>
      <c r="H337" s="2462"/>
      <c r="I337" s="2579"/>
      <c r="J337" s="2579"/>
      <c r="K337" s="2579"/>
      <c r="L337" s="2579"/>
      <c r="M337" s="2579"/>
      <c r="N337" s="2579"/>
      <c r="O337" s="2579"/>
    </row>
    <row r="338" spans="1:15" s="2463" customFormat="1">
      <c r="A338" s="2462"/>
      <c r="B338" s="2462"/>
      <c r="C338" s="2462"/>
      <c r="D338" s="2462"/>
      <c r="E338" s="2462"/>
      <c r="F338" s="2462"/>
      <c r="G338" s="2462"/>
      <c r="H338" s="2462"/>
      <c r="I338" s="2579"/>
      <c r="J338" s="2579"/>
      <c r="K338" s="2579"/>
      <c r="L338" s="2579"/>
      <c r="M338" s="2579"/>
      <c r="N338" s="2579"/>
      <c r="O338" s="2579"/>
    </row>
    <row r="339" spans="1:15" s="2463" customFormat="1">
      <c r="A339" s="2462"/>
      <c r="B339" s="2462"/>
      <c r="C339" s="2462"/>
      <c r="D339" s="2462"/>
      <c r="E339" s="2462"/>
      <c r="F339" s="2462"/>
      <c r="G339" s="2462"/>
      <c r="H339" s="2462"/>
      <c r="I339" s="2579"/>
      <c r="J339" s="2579"/>
      <c r="K339" s="2579"/>
      <c r="L339" s="2579"/>
      <c r="M339" s="2579"/>
      <c r="N339" s="2579"/>
      <c r="O339" s="2579"/>
    </row>
    <row r="340" spans="1:15" s="2463" customFormat="1">
      <c r="A340" s="2462"/>
      <c r="B340" s="2462"/>
      <c r="C340" s="2462"/>
      <c r="D340" s="2462"/>
      <c r="E340" s="2462"/>
      <c r="F340" s="2462"/>
      <c r="G340" s="2462"/>
      <c r="H340" s="2462"/>
      <c r="I340" s="2579"/>
      <c r="J340" s="2579"/>
      <c r="K340" s="2579"/>
      <c r="L340" s="2579"/>
      <c r="M340" s="2579"/>
      <c r="N340" s="2579"/>
      <c r="O340" s="2579"/>
    </row>
    <row r="341" spans="1:15" s="2463" customFormat="1">
      <c r="A341" s="2462"/>
      <c r="B341" s="2462"/>
      <c r="C341" s="2462"/>
      <c r="D341" s="2462"/>
      <c r="E341" s="2462"/>
      <c r="F341" s="2462"/>
      <c r="G341" s="2462"/>
      <c r="H341" s="2462"/>
      <c r="I341" s="2579"/>
      <c r="J341" s="2579"/>
      <c r="K341" s="2579"/>
      <c r="L341" s="2579"/>
      <c r="M341" s="2579"/>
      <c r="N341" s="2579"/>
      <c r="O341" s="2579"/>
    </row>
    <row r="342" spans="1:15" s="2463" customFormat="1">
      <c r="A342" s="2462"/>
      <c r="B342" s="2462"/>
      <c r="C342" s="2462"/>
      <c r="D342" s="2462"/>
      <c r="E342" s="2462"/>
      <c r="F342" s="2462"/>
      <c r="G342" s="2462"/>
      <c r="H342" s="2462"/>
      <c r="I342" s="2579"/>
      <c r="J342" s="2579"/>
      <c r="K342" s="2579"/>
      <c r="L342" s="2579"/>
      <c r="M342" s="2579"/>
      <c r="N342" s="2579"/>
      <c r="O342" s="2579"/>
    </row>
    <row r="343" spans="1:15" s="2463" customFormat="1">
      <c r="A343" s="2462"/>
      <c r="B343" s="2462"/>
      <c r="C343" s="2462"/>
      <c r="D343" s="2462"/>
      <c r="E343" s="2462"/>
      <c r="F343" s="2462"/>
      <c r="G343" s="2462"/>
      <c r="H343" s="2462"/>
      <c r="I343" s="2579"/>
      <c r="J343" s="2579"/>
      <c r="K343" s="2579"/>
      <c r="L343" s="2579"/>
      <c r="M343" s="2579"/>
      <c r="N343" s="2579"/>
      <c r="O343" s="2579"/>
    </row>
    <row r="344" spans="1:15" s="2463" customFormat="1">
      <c r="A344" s="2462"/>
      <c r="B344" s="2462"/>
      <c r="C344" s="2462"/>
      <c r="D344" s="2462"/>
      <c r="E344" s="2462"/>
      <c r="F344" s="2462"/>
      <c r="G344" s="2462"/>
      <c r="H344" s="2462"/>
      <c r="I344" s="2579"/>
      <c r="J344" s="2579"/>
      <c r="K344" s="2579"/>
      <c r="L344" s="2579"/>
      <c r="M344" s="2579"/>
      <c r="N344" s="2579"/>
      <c r="O344" s="2579"/>
    </row>
    <row r="345" spans="1:15" s="2463" customFormat="1">
      <c r="A345" s="2462"/>
      <c r="B345" s="2462"/>
      <c r="C345" s="2462"/>
      <c r="D345" s="2462"/>
      <c r="E345" s="2462"/>
      <c r="F345" s="2462"/>
      <c r="G345" s="2462"/>
      <c r="H345" s="2462"/>
      <c r="I345" s="2579"/>
      <c r="J345" s="2579"/>
      <c r="K345" s="2579"/>
      <c r="L345" s="2579"/>
      <c r="M345" s="2579"/>
      <c r="N345" s="2579"/>
      <c r="O345" s="2579"/>
    </row>
    <row r="346" spans="1:15" s="2463" customFormat="1">
      <c r="A346" s="2462"/>
      <c r="B346" s="2462"/>
      <c r="C346" s="2462"/>
      <c r="D346" s="2462"/>
      <c r="E346" s="2462"/>
      <c r="F346" s="2462"/>
      <c r="G346" s="2462"/>
      <c r="H346" s="2462"/>
      <c r="I346" s="2579"/>
      <c r="J346" s="2579"/>
      <c r="K346" s="2579"/>
      <c r="L346" s="2579"/>
      <c r="M346" s="2579"/>
      <c r="N346" s="2579"/>
      <c r="O346" s="2579"/>
    </row>
    <row r="347" spans="1:15" s="2463" customFormat="1">
      <c r="A347" s="2462"/>
      <c r="B347" s="2462"/>
      <c r="C347" s="2462"/>
      <c r="D347" s="2462"/>
      <c r="E347" s="2462"/>
      <c r="F347" s="2462"/>
      <c r="G347" s="2462"/>
      <c r="H347" s="2462"/>
      <c r="I347" s="2579"/>
      <c r="J347" s="2579"/>
      <c r="K347" s="2579"/>
      <c r="L347" s="2579"/>
      <c r="M347" s="2579"/>
      <c r="N347" s="2579"/>
      <c r="O347" s="2579"/>
    </row>
    <row r="348" spans="1:15" s="2463" customFormat="1">
      <c r="A348" s="2462"/>
      <c r="B348" s="2462"/>
      <c r="C348" s="2462"/>
      <c r="D348" s="2462"/>
      <c r="E348" s="2462"/>
      <c r="F348" s="2462"/>
      <c r="G348" s="2462"/>
      <c r="H348" s="2462"/>
      <c r="I348" s="2579"/>
      <c r="J348" s="2579"/>
      <c r="K348" s="2579"/>
      <c r="L348" s="2579"/>
      <c r="M348" s="2579"/>
      <c r="N348" s="2579"/>
      <c r="O348" s="2579"/>
    </row>
    <row r="349" spans="1:15" s="2463" customFormat="1">
      <c r="A349" s="2462"/>
      <c r="B349" s="2462"/>
      <c r="C349" s="2462"/>
      <c r="D349" s="2462"/>
      <c r="E349" s="2462"/>
      <c r="F349" s="2462"/>
      <c r="G349" s="2462"/>
      <c r="H349" s="2462"/>
      <c r="I349" s="2579"/>
      <c r="J349" s="2579"/>
      <c r="K349" s="2579"/>
      <c r="L349" s="2579"/>
      <c r="M349" s="2579"/>
      <c r="N349" s="2579"/>
      <c r="O349" s="2579"/>
    </row>
    <row r="350" spans="1:15" s="2463" customFormat="1">
      <c r="A350" s="2462"/>
      <c r="B350" s="2462"/>
      <c r="C350" s="2462"/>
      <c r="D350" s="2462"/>
      <c r="E350" s="2462"/>
      <c r="F350" s="2462"/>
      <c r="G350" s="2462"/>
      <c r="H350" s="2462"/>
      <c r="I350" s="2579"/>
      <c r="J350" s="2579"/>
      <c r="K350" s="2579"/>
      <c r="L350" s="2579"/>
      <c r="M350" s="2579"/>
      <c r="N350" s="2579"/>
      <c r="O350" s="2579"/>
    </row>
    <row r="351" spans="1:15" s="2463" customFormat="1">
      <c r="A351" s="2462"/>
      <c r="B351" s="2462"/>
      <c r="C351" s="2462"/>
      <c r="D351" s="2462"/>
      <c r="E351" s="2462"/>
      <c r="F351" s="2462"/>
      <c r="G351" s="2462"/>
      <c r="H351" s="2462"/>
      <c r="I351" s="2579"/>
      <c r="J351" s="2579"/>
      <c r="K351" s="2579"/>
      <c r="L351" s="2579"/>
      <c r="M351" s="2579"/>
      <c r="N351" s="2579"/>
      <c r="O351" s="2579"/>
    </row>
    <row r="352" spans="1:15" s="2463" customFormat="1">
      <c r="A352" s="2462"/>
      <c r="B352" s="2462"/>
      <c r="C352" s="2462"/>
      <c r="D352" s="2462"/>
      <c r="E352" s="2462"/>
      <c r="F352" s="2462"/>
      <c r="G352" s="2462"/>
      <c r="H352" s="2462"/>
      <c r="I352" s="2579"/>
      <c r="J352" s="2579"/>
      <c r="K352" s="2579"/>
      <c r="L352" s="2579"/>
      <c r="M352" s="2579"/>
      <c r="N352" s="2579"/>
      <c r="O352" s="2579"/>
    </row>
    <row r="353" spans="1:15" s="2463" customFormat="1">
      <c r="A353" s="2462"/>
      <c r="B353" s="2462"/>
      <c r="C353" s="2462"/>
      <c r="D353" s="2462"/>
      <c r="E353" s="2462"/>
      <c r="F353" s="2462"/>
      <c r="G353" s="2462"/>
      <c r="H353" s="2462"/>
      <c r="I353" s="2579"/>
      <c r="J353" s="2579"/>
      <c r="K353" s="2579"/>
      <c r="L353" s="2579"/>
      <c r="M353" s="2579"/>
      <c r="N353" s="2579"/>
      <c r="O353" s="2579"/>
    </row>
    <row r="354" spans="1:15" s="2463" customFormat="1">
      <c r="A354" s="2462"/>
      <c r="B354" s="2462"/>
      <c r="C354" s="2462"/>
      <c r="D354" s="2462"/>
      <c r="E354" s="2462"/>
      <c r="F354" s="2462"/>
      <c r="G354" s="2462"/>
      <c r="H354" s="2462"/>
      <c r="I354" s="2579"/>
      <c r="J354" s="2579"/>
      <c r="K354" s="2579"/>
      <c r="L354" s="2579"/>
      <c r="M354" s="2579"/>
      <c r="N354" s="2579"/>
      <c r="O354" s="2579"/>
    </row>
    <row r="355" spans="1:15" s="2463" customFormat="1">
      <c r="A355" s="2462"/>
      <c r="B355" s="2462"/>
      <c r="C355" s="2462"/>
      <c r="D355" s="2462"/>
      <c r="E355" s="2462"/>
      <c r="F355" s="2462"/>
      <c r="G355" s="2462"/>
      <c r="H355" s="2462"/>
      <c r="I355" s="2579"/>
      <c r="J355" s="2579"/>
      <c r="K355" s="2579"/>
      <c r="L355" s="2579"/>
      <c r="M355" s="2579"/>
      <c r="N355" s="2579"/>
      <c r="O355" s="2579"/>
    </row>
    <row r="356" spans="1:15" s="2463" customFormat="1">
      <c r="A356" s="2462"/>
      <c r="B356" s="2462"/>
      <c r="C356" s="2462"/>
      <c r="D356" s="2462"/>
      <c r="E356" s="2462"/>
      <c r="F356" s="2462"/>
      <c r="G356" s="2462"/>
      <c r="H356" s="2462"/>
      <c r="I356" s="2579"/>
      <c r="J356" s="2579"/>
      <c r="K356" s="2579"/>
      <c r="L356" s="2579"/>
      <c r="M356" s="2579"/>
      <c r="N356" s="2579"/>
      <c r="O356" s="2579"/>
    </row>
    <row r="357" spans="1:15" s="2463" customFormat="1">
      <c r="A357" s="2462"/>
      <c r="B357" s="2462"/>
      <c r="C357" s="2462"/>
      <c r="D357" s="2462"/>
      <c r="E357" s="2462"/>
      <c r="F357" s="2462"/>
      <c r="G357" s="2462"/>
      <c r="H357" s="2462"/>
      <c r="I357" s="2579"/>
      <c r="J357" s="2579"/>
      <c r="K357" s="2579"/>
      <c r="L357" s="2579"/>
      <c r="M357" s="2579"/>
      <c r="N357" s="2579"/>
      <c r="O357" s="2579"/>
    </row>
    <row r="358" spans="1:15" s="2463" customFormat="1">
      <c r="A358" s="2462"/>
      <c r="B358" s="2462"/>
      <c r="C358" s="2462"/>
      <c r="D358" s="2462"/>
      <c r="E358" s="2462"/>
      <c r="F358" s="2462"/>
      <c r="G358" s="2462"/>
      <c r="H358" s="2462"/>
      <c r="I358" s="2579"/>
      <c r="J358" s="2579"/>
      <c r="K358" s="2579"/>
      <c r="L358" s="2579"/>
      <c r="M358" s="2579"/>
      <c r="N358" s="2579"/>
      <c r="O358" s="2579"/>
    </row>
    <row r="359" spans="1:15" s="2463" customFormat="1">
      <c r="A359" s="2462"/>
      <c r="B359" s="2462"/>
      <c r="C359" s="2462"/>
      <c r="D359" s="2462"/>
      <c r="E359" s="2462"/>
      <c r="F359" s="2462"/>
      <c r="G359" s="2462"/>
      <c r="H359" s="2462"/>
      <c r="I359" s="2579"/>
      <c r="J359" s="2579"/>
      <c r="K359" s="2579"/>
      <c r="L359" s="2579"/>
      <c r="M359" s="2579"/>
      <c r="N359" s="2579"/>
      <c r="O359" s="2579"/>
    </row>
    <row r="360" spans="1:15" s="2463" customFormat="1">
      <c r="A360" s="2462"/>
      <c r="B360" s="2462"/>
      <c r="C360" s="2462"/>
      <c r="D360" s="2462"/>
      <c r="E360" s="2462"/>
      <c r="F360" s="2462"/>
      <c r="G360" s="2462"/>
      <c r="H360" s="2462"/>
      <c r="I360" s="2579"/>
      <c r="J360" s="2579"/>
      <c r="K360" s="2579"/>
      <c r="L360" s="2579"/>
      <c r="M360" s="2579"/>
      <c r="N360" s="2579"/>
      <c r="O360" s="2579"/>
    </row>
    <row r="361" spans="1:15" s="2463" customFormat="1">
      <c r="A361" s="2462"/>
      <c r="B361" s="2462"/>
      <c r="C361" s="2462"/>
      <c r="D361" s="2462"/>
      <c r="E361" s="2462"/>
      <c r="F361" s="2462"/>
      <c r="G361" s="2462"/>
      <c r="H361" s="2462"/>
      <c r="I361" s="2579"/>
      <c r="J361" s="2579"/>
      <c r="K361" s="2579"/>
      <c r="L361" s="2579"/>
      <c r="M361" s="2579"/>
      <c r="N361" s="2579"/>
      <c r="O361" s="2579"/>
    </row>
    <row r="362" spans="1:15" s="2463" customFormat="1">
      <c r="A362" s="2462"/>
      <c r="B362" s="2462"/>
      <c r="C362" s="2462"/>
      <c r="D362" s="2462"/>
      <c r="E362" s="2462"/>
      <c r="F362" s="2462"/>
      <c r="G362" s="2462"/>
      <c r="H362" s="2462"/>
      <c r="I362" s="2579"/>
      <c r="J362" s="2579"/>
      <c r="K362" s="2579"/>
      <c r="L362" s="2579"/>
      <c r="M362" s="2579"/>
      <c r="N362" s="2579"/>
      <c r="O362" s="2579"/>
    </row>
    <row r="363" spans="1:15" s="2463" customFormat="1">
      <c r="A363" s="2462"/>
      <c r="B363" s="2462"/>
      <c r="C363" s="2462"/>
      <c r="D363" s="2462"/>
      <c r="E363" s="2462"/>
      <c r="F363" s="2462"/>
      <c r="G363" s="2462"/>
      <c r="H363" s="2462"/>
      <c r="I363" s="2579"/>
      <c r="J363" s="2579"/>
      <c r="K363" s="2579"/>
      <c r="L363" s="2579"/>
      <c r="M363" s="2579"/>
      <c r="N363" s="2579"/>
      <c r="O363" s="2579"/>
    </row>
    <row r="364" spans="1:15" s="2463" customFormat="1">
      <c r="A364" s="2462"/>
      <c r="B364" s="2462"/>
      <c r="C364" s="2462"/>
      <c r="D364" s="2462"/>
      <c r="E364" s="2462"/>
      <c r="F364" s="2462"/>
      <c r="G364" s="2462"/>
      <c r="H364" s="2462"/>
      <c r="I364" s="2579"/>
      <c r="J364" s="2579"/>
      <c r="K364" s="2579"/>
      <c r="L364" s="2579"/>
      <c r="M364" s="2579"/>
      <c r="N364" s="2579"/>
      <c r="O364" s="2579"/>
    </row>
    <row r="365" spans="1:15" s="2463" customFormat="1">
      <c r="A365" s="2462"/>
      <c r="B365" s="2462"/>
      <c r="C365" s="2462"/>
      <c r="D365" s="2462"/>
      <c r="E365" s="2462"/>
      <c r="F365" s="2462"/>
      <c r="G365" s="2462"/>
      <c r="H365" s="2462"/>
      <c r="I365" s="2579"/>
      <c r="J365" s="2579"/>
      <c r="K365" s="2579"/>
      <c r="L365" s="2579"/>
      <c r="M365" s="2579"/>
      <c r="N365" s="2579"/>
      <c r="O365" s="2579"/>
    </row>
    <row r="366" spans="1:15" s="2463" customFormat="1">
      <c r="A366" s="2462"/>
      <c r="B366" s="2462"/>
      <c r="C366" s="2462"/>
      <c r="D366" s="2462"/>
      <c r="E366" s="2462"/>
      <c r="F366" s="2462"/>
      <c r="G366" s="2462"/>
      <c r="H366" s="2462"/>
      <c r="I366" s="2579"/>
      <c r="J366" s="2579"/>
      <c r="K366" s="2579"/>
      <c r="L366" s="2579"/>
      <c r="M366" s="2579"/>
      <c r="N366" s="2579"/>
      <c r="O366" s="2579"/>
    </row>
    <row r="367" spans="1:15" s="2463" customFormat="1">
      <c r="A367" s="2462"/>
      <c r="B367" s="2462"/>
      <c r="C367" s="2462"/>
      <c r="D367" s="2462"/>
      <c r="E367" s="2462"/>
      <c r="F367" s="2462"/>
      <c r="G367" s="2462"/>
      <c r="H367" s="2462"/>
      <c r="I367" s="2579"/>
      <c r="J367" s="2579"/>
      <c r="K367" s="2579"/>
      <c r="L367" s="2579"/>
      <c r="M367" s="2579"/>
      <c r="N367" s="2579"/>
      <c r="O367" s="2579"/>
    </row>
    <row r="368" spans="1:15" s="2463" customFormat="1">
      <c r="A368" s="2462"/>
      <c r="B368" s="2462"/>
      <c r="C368" s="2462"/>
      <c r="D368" s="2462"/>
      <c r="E368" s="2462"/>
      <c r="F368" s="2462"/>
      <c r="G368" s="2462"/>
      <c r="H368" s="2462"/>
      <c r="I368" s="2579"/>
      <c r="J368" s="2579"/>
      <c r="K368" s="2579"/>
      <c r="L368" s="2579"/>
      <c r="M368" s="2579"/>
      <c r="N368" s="2579"/>
      <c r="O368" s="2579"/>
    </row>
    <row r="369" spans="1:15" s="2463" customFormat="1">
      <c r="A369" s="2462"/>
      <c r="B369" s="2462"/>
      <c r="C369" s="2462"/>
      <c r="D369" s="2462"/>
      <c r="E369" s="2462"/>
      <c r="F369" s="2462"/>
      <c r="G369" s="2462"/>
      <c r="H369" s="2462"/>
      <c r="I369" s="2579"/>
      <c r="J369" s="2579"/>
      <c r="K369" s="2579"/>
      <c r="L369" s="2579"/>
      <c r="M369" s="2579"/>
      <c r="N369" s="2579"/>
      <c r="O369" s="2579"/>
    </row>
    <row r="370" spans="1:15" s="2463" customFormat="1">
      <c r="A370" s="2462"/>
      <c r="B370" s="2462"/>
      <c r="C370" s="2462"/>
      <c r="D370" s="2462"/>
      <c r="E370" s="2462"/>
      <c r="F370" s="2462"/>
      <c r="G370" s="2462"/>
      <c r="H370" s="2462"/>
      <c r="I370" s="2579"/>
      <c r="J370" s="2579"/>
      <c r="K370" s="2579"/>
      <c r="L370" s="2579"/>
      <c r="M370" s="2579"/>
      <c r="N370" s="2579"/>
      <c r="O370" s="2579"/>
    </row>
    <row r="371" spans="1:15" s="2463" customFormat="1">
      <c r="A371" s="2462"/>
      <c r="B371" s="2462"/>
      <c r="C371" s="2462"/>
      <c r="D371" s="2462"/>
      <c r="E371" s="2462"/>
      <c r="F371" s="2462"/>
      <c r="G371" s="2462"/>
      <c r="H371" s="2462"/>
      <c r="I371" s="2579"/>
      <c r="J371" s="2579"/>
      <c r="K371" s="2579"/>
      <c r="L371" s="2579"/>
      <c r="M371" s="2579"/>
      <c r="N371" s="2579"/>
      <c r="O371" s="2579"/>
    </row>
    <row r="372" spans="1:15" s="2463" customFormat="1">
      <c r="A372" s="2462"/>
      <c r="B372" s="2462"/>
      <c r="C372" s="2462"/>
      <c r="D372" s="2462"/>
      <c r="E372" s="2462"/>
      <c r="F372" s="2462"/>
      <c r="G372" s="2462"/>
      <c r="H372" s="2462"/>
      <c r="I372" s="2579"/>
      <c r="J372" s="2579"/>
      <c r="K372" s="2579"/>
      <c r="L372" s="2579"/>
      <c r="M372" s="2579"/>
      <c r="N372" s="2579"/>
      <c r="O372" s="2579"/>
    </row>
    <row r="373" spans="1:15" s="2463" customFormat="1">
      <c r="A373" s="2462"/>
      <c r="B373" s="2462"/>
      <c r="C373" s="2462"/>
      <c r="D373" s="2462"/>
      <c r="E373" s="2462"/>
      <c r="F373" s="2462"/>
      <c r="G373" s="2462"/>
      <c r="H373" s="2462"/>
      <c r="I373" s="2579"/>
      <c r="J373" s="2579"/>
      <c r="K373" s="2579"/>
      <c r="L373" s="2579"/>
      <c r="M373" s="2579"/>
      <c r="N373" s="2579"/>
      <c r="O373" s="2579"/>
    </row>
    <row r="378" spans="1:15" s="2463" customFormat="1">
      <c r="A378" s="2462"/>
      <c r="B378" s="2462"/>
      <c r="C378" s="2462"/>
      <c r="D378" s="2462"/>
      <c r="E378" s="2462"/>
      <c r="F378" s="2462"/>
      <c r="G378" s="2462"/>
      <c r="H378" s="2462"/>
      <c r="I378" s="2579"/>
      <c r="J378" s="2579"/>
      <c r="K378" s="2579"/>
      <c r="L378" s="2579"/>
      <c r="M378" s="2579"/>
      <c r="N378" s="2579"/>
      <c r="O378" s="2579"/>
    </row>
    <row r="379" spans="1:15" s="2463" customFormat="1">
      <c r="A379" s="2462"/>
      <c r="B379" s="2462"/>
      <c r="C379" s="2462"/>
      <c r="D379" s="2462"/>
      <c r="E379" s="2462"/>
      <c r="F379" s="2462"/>
      <c r="G379" s="2462"/>
      <c r="H379" s="2462"/>
      <c r="I379" s="2579"/>
      <c r="J379" s="2579"/>
      <c r="K379" s="2579"/>
      <c r="L379" s="2579"/>
      <c r="M379" s="2579"/>
      <c r="N379" s="2579"/>
      <c r="O379" s="2579"/>
    </row>
    <row r="380" spans="1:15" s="2463" customFormat="1">
      <c r="A380" s="2462"/>
      <c r="B380" s="2462"/>
      <c r="C380" s="2462"/>
      <c r="D380" s="2462"/>
      <c r="E380" s="2462"/>
      <c r="F380" s="2462"/>
      <c r="G380" s="2462"/>
      <c r="H380" s="2462"/>
      <c r="I380" s="2579"/>
      <c r="J380" s="2579"/>
      <c r="K380" s="2579"/>
      <c r="L380" s="2579"/>
      <c r="M380" s="2579"/>
      <c r="N380" s="2579"/>
      <c r="O380" s="2579"/>
    </row>
    <row r="381" spans="1:15" s="2463" customFormat="1">
      <c r="A381" s="2462"/>
      <c r="B381" s="2462"/>
      <c r="C381" s="2462"/>
      <c r="D381" s="2462"/>
      <c r="E381" s="2462"/>
      <c r="F381" s="2462"/>
      <c r="G381" s="2462"/>
      <c r="H381" s="2462"/>
      <c r="I381" s="2579"/>
      <c r="J381" s="2579"/>
      <c r="K381" s="2579"/>
      <c r="L381" s="2579"/>
      <c r="M381" s="2579"/>
      <c r="N381" s="2579"/>
      <c r="O381" s="2579"/>
    </row>
    <row r="382" spans="1:15" s="2463" customFormat="1">
      <c r="A382" s="2462"/>
      <c r="B382" s="2462"/>
      <c r="C382" s="2462"/>
      <c r="D382" s="2462"/>
      <c r="E382" s="2462"/>
      <c r="F382" s="2462"/>
      <c r="G382" s="2462"/>
      <c r="H382" s="2462"/>
      <c r="I382" s="2579"/>
      <c r="J382" s="2579"/>
      <c r="K382" s="2579"/>
      <c r="L382" s="2579"/>
      <c r="M382" s="2579"/>
      <c r="N382" s="2579"/>
      <c r="O382" s="2579"/>
    </row>
    <row r="383" spans="1:15" s="2463" customFormat="1">
      <c r="A383" s="2462"/>
      <c r="B383" s="2462"/>
      <c r="C383" s="2462"/>
      <c r="D383" s="2462"/>
      <c r="E383" s="2462"/>
      <c r="F383" s="2462"/>
      <c r="G383" s="2462"/>
      <c r="H383" s="2462"/>
      <c r="I383" s="2579"/>
      <c r="J383" s="2579"/>
      <c r="K383" s="2579"/>
      <c r="L383" s="2579"/>
      <c r="M383" s="2579"/>
      <c r="N383" s="2579"/>
      <c r="O383" s="2579"/>
    </row>
    <row r="384" spans="1:15" s="2463" customFormat="1">
      <c r="A384" s="2462"/>
      <c r="B384" s="2462"/>
      <c r="C384" s="2462"/>
      <c r="D384" s="2462"/>
      <c r="E384" s="2462"/>
      <c r="F384" s="2462"/>
      <c r="G384" s="2462"/>
      <c r="H384" s="2462"/>
      <c r="I384" s="2579"/>
      <c r="J384" s="2579"/>
      <c r="K384" s="2579"/>
      <c r="L384" s="2579"/>
      <c r="M384" s="2579"/>
      <c r="N384" s="2579"/>
      <c r="O384" s="2579"/>
    </row>
    <row r="385" spans="1:15" s="2463" customFormat="1">
      <c r="A385" s="2462"/>
      <c r="B385" s="2462"/>
      <c r="C385" s="2462"/>
      <c r="D385" s="2462"/>
      <c r="E385" s="2462"/>
      <c r="F385" s="2462"/>
      <c r="G385" s="2462"/>
      <c r="H385" s="2462"/>
      <c r="I385" s="2579"/>
      <c r="J385" s="2579"/>
      <c r="K385" s="2579"/>
      <c r="L385" s="2579"/>
      <c r="M385" s="2579"/>
      <c r="N385" s="2579"/>
      <c r="O385" s="2579"/>
    </row>
    <row r="386" spans="1:15" s="2463" customFormat="1">
      <c r="A386" s="2462"/>
      <c r="B386" s="2462"/>
      <c r="C386" s="2462"/>
      <c r="D386" s="2462"/>
      <c r="E386" s="2462"/>
      <c r="F386" s="2462"/>
      <c r="G386" s="2462"/>
      <c r="H386" s="2462"/>
      <c r="I386" s="2579"/>
      <c r="J386" s="2579"/>
      <c r="K386" s="2579"/>
      <c r="L386" s="2579"/>
      <c r="M386" s="2579"/>
      <c r="N386" s="2579"/>
      <c r="O386" s="2579"/>
    </row>
    <row r="387" spans="1:15" s="2463" customFormat="1">
      <c r="A387" s="2462"/>
      <c r="B387" s="2462"/>
      <c r="C387" s="2462"/>
      <c r="D387" s="2462"/>
      <c r="E387" s="2462"/>
      <c r="F387" s="2462"/>
      <c r="G387" s="2462"/>
      <c r="H387" s="2462"/>
      <c r="I387" s="2579"/>
      <c r="J387" s="2579"/>
      <c r="K387" s="2579"/>
      <c r="L387" s="2579"/>
      <c r="M387" s="2579"/>
      <c r="N387" s="2579"/>
      <c r="O387" s="2579"/>
    </row>
    <row r="388" spans="1:15" s="2463" customFormat="1">
      <c r="A388" s="2462"/>
      <c r="B388" s="2462"/>
      <c r="C388" s="2462"/>
      <c r="D388" s="2462"/>
      <c r="E388" s="2462"/>
      <c r="F388" s="2462"/>
      <c r="G388" s="2462"/>
      <c r="H388" s="2462"/>
      <c r="I388" s="2579"/>
      <c r="J388" s="2579"/>
      <c r="K388" s="2579"/>
      <c r="L388" s="2579"/>
      <c r="M388" s="2579"/>
      <c r="N388" s="2579"/>
      <c r="O388" s="2579"/>
    </row>
    <row r="389" spans="1:15" s="2463" customFormat="1">
      <c r="A389" s="2462"/>
      <c r="B389" s="2462"/>
      <c r="C389" s="2462"/>
      <c r="D389" s="2462"/>
      <c r="E389" s="2462"/>
      <c r="F389" s="2462"/>
      <c r="G389" s="2462"/>
      <c r="H389" s="2462"/>
      <c r="I389" s="2579"/>
      <c r="J389" s="2579"/>
      <c r="K389" s="2579"/>
      <c r="L389" s="2579"/>
      <c r="M389" s="2579"/>
      <c r="N389" s="2579"/>
      <c r="O389" s="2579"/>
    </row>
    <row r="390" spans="1:15" s="2463" customFormat="1">
      <c r="A390" s="2462"/>
      <c r="B390" s="2462"/>
      <c r="C390" s="2462"/>
      <c r="D390" s="2462"/>
      <c r="E390" s="2462"/>
      <c r="F390" s="2462"/>
      <c r="G390" s="2462"/>
      <c r="H390" s="2462"/>
      <c r="I390" s="2579"/>
      <c r="J390" s="2579"/>
      <c r="K390" s="2579"/>
      <c r="L390" s="2579"/>
      <c r="M390" s="2579"/>
      <c r="N390" s="2579"/>
      <c r="O390" s="2579"/>
    </row>
    <row r="391" spans="1:15" s="2463" customFormat="1">
      <c r="A391" s="2462"/>
      <c r="B391" s="2462"/>
      <c r="C391" s="2462"/>
      <c r="D391" s="2462"/>
      <c r="E391" s="2462"/>
      <c r="F391" s="2462"/>
      <c r="G391" s="2462"/>
      <c r="H391" s="2462"/>
      <c r="I391" s="2579"/>
      <c r="J391" s="2579"/>
      <c r="K391" s="2579"/>
      <c r="L391" s="2579"/>
      <c r="M391" s="2579"/>
      <c r="N391" s="2579"/>
      <c r="O391" s="2579"/>
    </row>
    <row r="392" spans="1:15" s="2463" customFormat="1">
      <c r="A392" s="2462"/>
      <c r="B392" s="2462"/>
      <c r="C392" s="2462"/>
      <c r="D392" s="2462"/>
      <c r="E392" s="2462"/>
      <c r="F392" s="2462"/>
      <c r="G392" s="2462"/>
      <c r="H392" s="2462"/>
      <c r="I392" s="2579"/>
      <c r="J392" s="2579"/>
      <c r="K392" s="2579"/>
      <c r="L392" s="2579"/>
      <c r="M392" s="2579"/>
      <c r="N392" s="2579"/>
      <c r="O392" s="2579"/>
    </row>
    <row r="393" spans="1:15" s="2463" customFormat="1">
      <c r="A393" s="2462"/>
      <c r="B393" s="2462"/>
      <c r="C393" s="2462"/>
      <c r="D393" s="2462"/>
      <c r="E393" s="2462"/>
      <c r="F393" s="2462"/>
      <c r="G393" s="2462"/>
      <c r="H393" s="2462"/>
      <c r="I393" s="2579"/>
      <c r="J393" s="2579"/>
      <c r="K393" s="2579"/>
      <c r="L393" s="2579"/>
      <c r="M393" s="2579"/>
      <c r="N393" s="2579"/>
      <c r="O393" s="2579"/>
    </row>
    <row r="394" spans="1:15" s="2463" customFormat="1">
      <c r="A394" s="2462"/>
      <c r="B394" s="2462"/>
      <c r="C394" s="2462"/>
      <c r="D394" s="2462"/>
      <c r="E394" s="2462"/>
      <c r="F394" s="2462"/>
      <c r="G394" s="2462"/>
      <c r="H394" s="2462"/>
      <c r="I394" s="2579"/>
      <c r="J394" s="2579"/>
      <c r="K394" s="2579"/>
      <c r="L394" s="2579"/>
      <c r="M394" s="2579"/>
      <c r="N394" s="2579"/>
      <c r="O394" s="2579"/>
    </row>
    <row r="395" spans="1:15" s="2463" customFormat="1">
      <c r="A395" s="2462"/>
      <c r="B395" s="2462"/>
      <c r="C395" s="2462"/>
      <c r="D395" s="2462"/>
      <c r="E395" s="2462"/>
      <c r="F395" s="2462"/>
      <c r="G395" s="2462"/>
      <c r="H395" s="2462"/>
      <c r="I395" s="2579"/>
      <c r="J395" s="2579"/>
      <c r="K395" s="2579"/>
      <c r="L395" s="2579"/>
      <c r="M395" s="2579"/>
      <c r="N395" s="2579"/>
      <c r="O395" s="2579"/>
    </row>
    <row r="396" spans="1:15" s="2463" customFormat="1">
      <c r="A396" s="2462"/>
      <c r="B396" s="2462"/>
      <c r="C396" s="2462"/>
      <c r="D396" s="2462"/>
      <c r="E396" s="2462"/>
      <c r="F396" s="2462"/>
      <c r="G396" s="2462"/>
      <c r="H396" s="2462"/>
      <c r="I396" s="2579"/>
      <c r="J396" s="2579"/>
      <c r="K396" s="2579"/>
      <c r="L396" s="2579"/>
      <c r="M396" s="2579"/>
      <c r="N396" s="2579"/>
      <c r="O396" s="2579"/>
    </row>
    <row r="397" spans="1:15" s="2463" customFormat="1">
      <c r="A397" s="2462"/>
      <c r="B397" s="2462"/>
      <c r="C397" s="2462"/>
      <c r="D397" s="2462"/>
      <c r="E397" s="2462"/>
      <c r="F397" s="2462"/>
      <c r="G397" s="2462"/>
      <c r="H397" s="2462"/>
      <c r="I397" s="2579"/>
      <c r="J397" s="2579"/>
      <c r="K397" s="2579"/>
      <c r="L397" s="2579"/>
      <c r="M397" s="2579"/>
      <c r="N397" s="2579"/>
      <c r="O397" s="2579"/>
    </row>
    <row r="398" spans="1:15" s="2463" customFormat="1">
      <c r="A398" s="2462"/>
      <c r="B398" s="2462"/>
      <c r="C398" s="2462"/>
      <c r="D398" s="2462"/>
      <c r="E398" s="2462"/>
      <c r="F398" s="2462"/>
      <c r="G398" s="2462"/>
      <c r="H398" s="2462"/>
      <c r="I398" s="2579"/>
      <c r="J398" s="2579"/>
      <c r="K398" s="2579"/>
      <c r="L398" s="2579"/>
      <c r="M398" s="2579"/>
      <c r="N398" s="2579"/>
      <c r="O398" s="2579"/>
    </row>
    <row r="399" spans="1:15" s="2463" customFormat="1">
      <c r="A399" s="2462"/>
      <c r="B399" s="2462"/>
      <c r="C399" s="2462"/>
      <c r="D399" s="2462"/>
      <c r="E399" s="2462"/>
      <c r="F399" s="2462"/>
      <c r="G399" s="2462"/>
      <c r="H399" s="2462"/>
      <c r="I399" s="2579"/>
      <c r="J399" s="2579"/>
      <c r="K399" s="2579"/>
      <c r="L399" s="2579"/>
      <c r="M399" s="2579"/>
      <c r="N399" s="2579"/>
      <c r="O399" s="2579"/>
    </row>
    <row r="400" spans="1:15" s="2463" customFormat="1">
      <c r="A400" s="2462"/>
      <c r="B400" s="2462"/>
      <c r="C400" s="2462"/>
      <c r="D400" s="2462"/>
      <c r="E400" s="2462"/>
      <c r="F400" s="2462"/>
      <c r="G400" s="2462"/>
      <c r="H400" s="2462"/>
      <c r="I400" s="2579"/>
      <c r="J400" s="2579"/>
      <c r="K400" s="2579"/>
      <c r="L400" s="2579"/>
      <c r="M400" s="2579"/>
      <c r="N400" s="2579"/>
      <c r="O400" s="2579"/>
    </row>
    <row r="401" spans="1:15" s="2463" customFormat="1">
      <c r="A401" s="2462"/>
      <c r="B401" s="2462"/>
      <c r="C401" s="2462"/>
      <c r="D401" s="2462"/>
      <c r="E401" s="2462"/>
      <c r="F401" s="2462"/>
      <c r="G401" s="2462"/>
      <c r="H401" s="2462"/>
      <c r="I401" s="2579"/>
      <c r="J401" s="2579"/>
      <c r="K401" s="2579"/>
      <c r="L401" s="2579"/>
      <c r="M401" s="2579"/>
      <c r="N401" s="2579"/>
      <c r="O401" s="2579"/>
    </row>
    <row r="402" spans="1:15" s="2463" customFormat="1">
      <c r="A402" s="2462"/>
      <c r="B402" s="2462"/>
      <c r="C402" s="2462"/>
      <c r="D402" s="2462"/>
      <c r="E402" s="2462"/>
      <c r="F402" s="2462"/>
      <c r="G402" s="2462"/>
      <c r="H402" s="2462"/>
      <c r="I402" s="2579"/>
      <c r="J402" s="2579"/>
      <c r="K402" s="2579"/>
      <c r="L402" s="2579"/>
      <c r="M402" s="2579"/>
      <c r="N402" s="2579"/>
      <c r="O402" s="2579"/>
    </row>
    <row r="403" spans="1:15" s="2463" customFormat="1">
      <c r="A403" s="2462"/>
      <c r="B403" s="2462"/>
      <c r="C403" s="2462"/>
      <c r="D403" s="2462"/>
      <c r="E403" s="2462"/>
      <c r="F403" s="2462"/>
      <c r="G403" s="2462"/>
      <c r="H403" s="2462"/>
      <c r="I403" s="2579"/>
      <c r="J403" s="2579"/>
      <c r="K403" s="2579"/>
      <c r="L403" s="2579"/>
      <c r="M403" s="2579"/>
      <c r="N403" s="2579"/>
      <c r="O403" s="2579"/>
    </row>
    <row r="404" spans="1:15" s="2463" customFormat="1">
      <c r="A404" s="2462"/>
      <c r="B404" s="2462"/>
      <c r="C404" s="2462"/>
      <c r="D404" s="2462"/>
      <c r="E404" s="2462"/>
      <c r="F404" s="2462"/>
      <c r="G404" s="2462"/>
      <c r="H404" s="2462"/>
      <c r="I404" s="2579"/>
      <c r="J404" s="2579"/>
      <c r="K404" s="2579"/>
      <c r="L404" s="2579"/>
      <c r="M404" s="2579"/>
      <c r="N404" s="2579"/>
      <c r="O404" s="2579"/>
    </row>
    <row r="405" spans="1:15" s="2463" customFormat="1">
      <c r="A405" s="2462"/>
      <c r="B405" s="2462"/>
      <c r="C405" s="2462"/>
      <c r="D405" s="2462"/>
      <c r="E405" s="2462"/>
      <c r="F405" s="2462"/>
      <c r="G405" s="2462"/>
      <c r="H405" s="2462"/>
      <c r="I405" s="2579"/>
      <c r="J405" s="2579"/>
      <c r="K405" s="2579"/>
      <c r="L405" s="2579"/>
      <c r="M405" s="2579"/>
      <c r="N405" s="2579"/>
      <c r="O405" s="2579"/>
    </row>
    <row r="406" spans="1:15" s="2463" customFormat="1">
      <c r="A406" s="2462"/>
      <c r="B406" s="2462"/>
      <c r="C406" s="2462"/>
      <c r="D406" s="2462"/>
      <c r="E406" s="2462"/>
      <c r="F406" s="2462"/>
      <c r="G406" s="2462"/>
      <c r="H406" s="2462"/>
      <c r="I406" s="2579"/>
      <c r="J406" s="2579"/>
      <c r="K406" s="2579"/>
      <c r="L406" s="2579"/>
      <c r="M406" s="2579"/>
      <c r="N406" s="2579"/>
      <c r="O406" s="2579"/>
    </row>
    <row r="407" spans="1:15" s="2463" customFormat="1">
      <c r="A407" s="2462"/>
      <c r="B407" s="2462"/>
      <c r="C407" s="2462"/>
      <c r="D407" s="2462"/>
      <c r="E407" s="2462"/>
      <c r="F407" s="2462"/>
      <c r="G407" s="2462"/>
      <c r="H407" s="2462"/>
      <c r="I407" s="2579"/>
      <c r="J407" s="2579"/>
      <c r="K407" s="2579"/>
      <c r="L407" s="2579"/>
      <c r="M407" s="2579"/>
      <c r="N407" s="2579"/>
      <c r="O407" s="2579"/>
    </row>
    <row r="408" spans="1:15" s="2463" customFormat="1">
      <c r="A408" s="2462"/>
      <c r="B408" s="2462"/>
      <c r="C408" s="2462"/>
      <c r="D408" s="2462"/>
      <c r="E408" s="2462"/>
      <c r="F408" s="2462"/>
      <c r="G408" s="2462"/>
      <c r="H408" s="2462"/>
      <c r="I408" s="2579"/>
      <c r="J408" s="2579"/>
      <c r="K408" s="2579"/>
      <c r="L408" s="2579"/>
      <c r="M408" s="2579"/>
      <c r="N408" s="2579"/>
      <c r="O408" s="2579"/>
    </row>
    <row r="409" spans="1:15" s="2463" customFormat="1">
      <c r="A409" s="2462"/>
      <c r="B409" s="2462"/>
      <c r="C409" s="2462"/>
      <c r="D409" s="2462"/>
      <c r="E409" s="2462"/>
      <c r="F409" s="2462"/>
      <c r="G409" s="2462"/>
      <c r="H409" s="2462"/>
      <c r="I409" s="2579"/>
      <c r="J409" s="2579"/>
      <c r="K409" s="2579"/>
      <c r="L409" s="2579"/>
      <c r="M409" s="2579"/>
      <c r="N409" s="2579"/>
      <c r="O409" s="2579"/>
    </row>
    <row r="410" spans="1:15" s="2463" customFormat="1">
      <c r="A410" s="2462"/>
      <c r="B410" s="2462"/>
      <c r="C410" s="2462"/>
      <c r="D410" s="2462"/>
      <c r="E410" s="2462"/>
      <c r="F410" s="2462"/>
      <c r="G410" s="2462"/>
      <c r="H410" s="2462"/>
      <c r="I410" s="2579"/>
      <c r="J410" s="2579"/>
      <c r="K410" s="2579"/>
      <c r="L410" s="2579"/>
      <c r="M410" s="2579"/>
      <c r="N410" s="2579"/>
      <c r="O410" s="2579"/>
    </row>
    <row r="411" spans="1:15" s="2463" customFormat="1">
      <c r="A411" s="2462"/>
      <c r="B411" s="2462"/>
      <c r="C411" s="2462"/>
      <c r="D411" s="2462"/>
      <c r="E411" s="2462"/>
      <c r="F411" s="2462"/>
      <c r="G411" s="2462"/>
      <c r="H411" s="2462"/>
      <c r="I411" s="2579"/>
      <c r="J411" s="2579"/>
      <c r="K411" s="2579"/>
      <c r="L411" s="2579"/>
      <c r="M411" s="2579"/>
      <c r="N411" s="2579"/>
      <c r="O411" s="2579"/>
    </row>
    <row r="412" spans="1:15" s="2463" customFormat="1">
      <c r="A412" s="2462"/>
      <c r="B412" s="2462"/>
      <c r="C412" s="2462"/>
      <c r="D412" s="2462"/>
      <c r="E412" s="2462"/>
      <c r="F412" s="2462"/>
      <c r="G412" s="2462"/>
      <c r="H412" s="2462"/>
      <c r="I412" s="2579"/>
      <c r="J412" s="2579"/>
      <c r="K412" s="2579"/>
      <c r="L412" s="2579"/>
      <c r="M412" s="2579"/>
      <c r="N412" s="2579"/>
      <c r="O412" s="2579"/>
    </row>
    <row r="413" spans="1:15" s="2463" customFormat="1">
      <c r="A413" s="2462"/>
      <c r="B413" s="2462"/>
      <c r="C413" s="2462"/>
      <c r="D413" s="2462"/>
      <c r="E413" s="2462"/>
      <c r="F413" s="2462"/>
      <c r="G413" s="2462"/>
      <c r="H413" s="2462"/>
      <c r="I413" s="2579"/>
      <c r="J413" s="2579"/>
      <c r="K413" s="2579"/>
      <c r="L413" s="2579"/>
      <c r="M413" s="2579"/>
      <c r="N413" s="2579"/>
      <c r="O413" s="2579"/>
    </row>
    <row r="419" spans="1:15" s="2463" customFormat="1">
      <c r="A419" s="2462"/>
      <c r="B419" s="2462"/>
      <c r="C419" s="2462"/>
      <c r="D419" s="2462"/>
      <c r="E419" s="2462"/>
      <c r="F419" s="2462"/>
      <c r="G419" s="2462"/>
      <c r="H419" s="2462"/>
      <c r="I419" s="2579"/>
      <c r="J419" s="2579"/>
      <c r="K419" s="2579"/>
      <c r="L419" s="2579"/>
      <c r="M419" s="2579"/>
      <c r="N419" s="2579"/>
      <c r="O419" s="2579"/>
    </row>
    <row r="420" spans="1:15" s="2463" customFormat="1">
      <c r="A420" s="2462"/>
      <c r="B420" s="2462"/>
      <c r="C420" s="2462"/>
      <c r="D420" s="2462"/>
      <c r="E420" s="2462"/>
      <c r="F420" s="2462"/>
      <c r="G420" s="2462"/>
      <c r="H420" s="2462"/>
      <c r="I420" s="2579"/>
      <c r="J420" s="2579"/>
      <c r="K420" s="2579"/>
      <c r="L420" s="2579"/>
      <c r="M420" s="2579"/>
      <c r="N420" s="2579"/>
      <c r="O420" s="2579"/>
    </row>
    <row r="421" spans="1:15" s="2463" customFormat="1">
      <c r="A421" s="2462"/>
      <c r="B421" s="2462"/>
      <c r="C421" s="2462"/>
      <c r="D421" s="2462"/>
      <c r="E421" s="2462"/>
      <c r="F421" s="2462"/>
      <c r="G421" s="2462"/>
      <c r="H421" s="2462"/>
      <c r="I421" s="2579"/>
      <c r="J421" s="2579"/>
      <c r="K421" s="2579"/>
      <c r="L421" s="2579"/>
      <c r="M421" s="2579"/>
      <c r="N421" s="2579"/>
      <c r="O421" s="2579"/>
    </row>
    <row r="422" spans="1:15" s="2463" customFormat="1">
      <c r="A422" s="2462"/>
      <c r="B422" s="2462"/>
      <c r="C422" s="2462"/>
      <c r="D422" s="2462"/>
      <c r="E422" s="2462"/>
      <c r="F422" s="2462"/>
      <c r="G422" s="2462"/>
      <c r="H422" s="2462"/>
      <c r="I422" s="2579"/>
      <c r="J422" s="2579"/>
      <c r="K422" s="2579"/>
      <c r="L422" s="2579"/>
      <c r="M422" s="2579"/>
      <c r="N422" s="2579"/>
      <c r="O422" s="2579"/>
    </row>
    <row r="423" spans="1:15" s="2463" customFormat="1">
      <c r="A423" s="2462"/>
      <c r="B423" s="2462"/>
      <c r="C423" s="2462"/>
      <c r="D423" s="2462"/>
      <c r="E423" s="2462"/>
      <c r="F423" s="2462"/>
      <c r="G423" s="2462"/>
      <c r="H423" s="2462"/>
      <c r="I423" s="2579"/>
      <c r="J423" s="2579"/>
      <c r="K423" s="2579"/>
      <c r="L423" s="2579"/>
      <c r="M423" s="2579"/>
      <c r="N423" s="2579"/>
      <c r="O423" s="2579"/>
    </row>
    <row r="424" spans="1:15" s="2463" customFormat="1">
      <c r="A424" s="2462"/>
      <c r="B424" s="2462"/>
      <c r="C424" s="2462"/>
      <c r="D424" s="2462"/>
      <c r="E424" s="2462"/>
      <c r="F424" s="2462"/>
      <c r="G424" s="2462"/>
      <c r="H424" s="2462"/>
      <c r="I424" s="2579"/>
      <c r="J424" s="2579"/>
      <c r="K424" s="2579"/>
      <c r="L424" s="2579"/>
      <c r="M424" s="2579"/>
      <c r="N424" s="2579"/>
      <c r="O424" s="2579"/>
    </row>
    <row r="425" spans="1:15" s="2463" customFormat="1">
      <c r="A425" s="2462"/>
      <c r="B425" s="2462"/>
      <c r="C425" s="2462"/>
      <c r="D425" s="2462"/>
      <c r="E425" s="2462"/>
      <c r="F425" s="2462"/>
      <c r="G425" s="2462"/>
      <c r="H425" s="2462"/>
      <c r="I425" s="2579"/>
      <c r="J425" s="2579"/>
      <c r="K425" s="2579"/>
      <c r="L425" s="2579"/>
      <c r="M425" s="2579"/>
      <c r="N425" s="2579"/>
      <c r="O425" s="2579"/>
    </row>
    <row r="426" spans="1:15" s="2463" customFormat="1">
      <c r="A426" s="2462"/>
      <c r="B426" s="2462"/>
      <c r="C426" s="2462"/>
      <c r="D426" s="2462"/>
      <c r="E426" s="2462"/>
      <c r="F426" s="2462"/>
      <c r="G426" s="2462"/>
      <c r="H426" s="2462"/>
      <c r="I426" s="2579"/>
      <c r="J426" s="2579"/>
      <c r="K426" s="2579"/>
      <c r="L426" s="2579"/>
      <c r="M426" s="2579"/>
      <c r="N426" s="2579"/>
      <c r="O426" s="2579"/>
    </row>
    <row r="427" spans="1:15" s="2463" customFormat="1">
      <c r="A427" s="2462"/>
      <c r="B427" s="2462"/>
      <c r="C427" s="2462"/>
      <c r="D427" s="2462"/>
      <c r="E427" s="2462"/>
      <c r="F427" s="2462"/>
      <c r="G427" s="2462"/>
      <c r="H427" s="2462"/>
      <c r="I427" s="2579"/>
      <c r="J427" s="2579"/>
      <c r="K427" s="2579"/>
      <c r="L427" s="2579"/>
      <c r="M427" s="2579"/>
      <c r="N427" s="2579"/>
      <c r="O427" s="2579"/>
    </row>
    <row r="428" spans="1:15" s="2463" customFormat="1">
      <c r="A428" s="2462"/>
      <c r="B428" s="2462"/>
      <c r="C428" s="2462"/>
      <c r="D428" s="2462"/>
      <c r="E428" s="2462"/>
      <c r="F428" s="2462"/>
      <c r="G428" s="2462"/>
      <c r="H428" s="2462"/>
      <c r="I428" s="2579"/>
      <c r="J428" s="2579"/>
      <c r="K428" s="2579"/>
      <c r="L428" s="2579"/>
      <c r="M428" s="2579"/>
      <c r="N428" s="2579"/>
      <c r="O428" s="2579"/>
    </row>
    <row r="429" spans="1:15" s="2463" customFormat="1">
      <c r="A429" s="2462"/>
      <c r="B429" s="2462"/>
      <c r="C429" s="2462"/>
      <c r="D429" s="2462"/>
      <c r="E429" s="2462"/>
      <c r="F429" s="2462"/>
      <c r="G429" s="2462"/>
      <c r="H429" s="2462"/>
      <c r="I429" s="2579"/>
      <c r="J429" s="2579"/>
      <c r="K429" s="2579"/>
      <c r="L429" s="2579"/>
      <c r="M429" s="2579"/>
      <c r="N429" s="2579"/>
      <c r="O429" s="2579"/>
    </row>
    <row r="430" spans="1:15" s="2463" customFormat="1">
      <c r="A430" s="2462"/>
      <c r="B430" s="2462"/>
      <c r="C430" s="2462"/>
      <c r="D430" s="2462"/>
      <c r="E430" s="2462"/>
      <c r="F430" s="2462"/>
      <c r="G430" s="2462"/>
      <c r="H430" s="2462"/>
      <c r="I430" s="2579"/>
      <c r="J430" s="2579"/>
      <c r="K430" s="2579"/>
      <c r="L430" s="2579"/>
      <c r="M430" s="2579"/>
      <c r="N430" s="2579"/>
      <c r="O430" s="2579"/>
    </row>
    <row r="431" spans="1:15" s="2463" customFormat="1">
      <c r="A431" s="2462"/>
      <c r="B431" s="2462"/>
      <c r="C431" s="2462"/>
      <c r="D431" s="2462"/>
      <c r="E431" s="2462"/>
      <c r="F431" s="2462"/>
      <c r="G431" s="2462"/>
      <c r="H431" s="2462"/>
      <c r="I431" s="2579"/>
      <c r="J431" s="2579"/>
      <c r="K431" s="2579"/>
      <c r="L431" s="2579"/>
      <c r="M431" s="2579"/>
      <c r="N431" s="2579"/>
      <c r="O431" s="2579"/>
    </row>
    <row r="432" spans="1:15" s="2463" customFormat="1">
      <c r="A432" s="2462"/>
      <c r="B432" s="2462"/>
      <c r="C432" s="2462"/>
      <c r="D432" s="2462"/>
      <c r="E432" s="2462"/>
      <c r="F432" s="2462"/>
      <c r="G432" s="2462"/>
      <c r="H432" s="2462"/>
      <c r="I432" s="2579"/>
      <c r="J432" s="2579"/>
      <c r="K432" s="2579"/>
      <c r="L432" s="2579"/>
      <c r="M432" s="2579"/>
      <c r="N432" s="2579"/>
      <c r="O432" s="2579"/>
    </row>
    <row r="433" spans="1:15" s="2463" customFormat="1">
      <c r="A433" s="2462"/>
      <c r="B433" s="2462"/>
      <c r="C433" s="2462"/>
      <c r="D433" s="2462"/>
      <c r="E433" s="2462"/>
      <c r="F433" s="2462"/>
      <c r="G433" s="2462"/>
      <c r="H433" s="2462"/>
      <c r="I433" s="2579"/>
      <c r="J433" s="2579"/>
      <c r="K433" s="2579"/>
      <c r="L433" s="2579"/>
      <c r="M433" s="2579"/>
      <c r="N433" s="2579"/>
      <c r="O433" s="2579"/>
    </row>
    <row r="434" spans="1:15" s="2463" customFormat="1">
      <c r="A434" s="2462"/>
      <c r="B434" s="2462"/>
      <c r="C434" s="2462"/>
      <c r="D434" s="2462"/>
      <c r="E434" s="2462"/>
      <c r="F434" s="2462"/>
      <c r="G434" s="2462"/>
      <c r="H434" s="2462"/>
      <c r="I434" s="2579"/>
      <c r="J434" s="2579"/>
      <c r="K434" s="2579"/>
      <c r="L434" s="2579"/>
      <c r="M434" s="2579"/>
      <c r="N434" s="2579"/>
      <c r="O434" s="2579"/>
    </row>
    <row r="435" spans="1:15" s="2463" customFormat="1">
      <c r="A435" s="2462"/>
      <c r="B435" s="2462"/>
      <c r="C435" s="2462"/>
      <c r="D435" s="2462"/>
      <c r="E435" s="2462"/>
      <c r="F435" s="2462"/>
      <c r="G435" s="2462"/>
      <c r="H435" s="2462"/>
      <c r="I435" s="2579"/>
      <c r="J435" s="2579"/>
      <c r="K435" s="2579"/>
      <c r="L435" s="2579"/>
      <c r="M435" s="2579"/>
      <c r="N435" s="2579"/>
      <c r="O435" s="2579"/>
    </row>
    <row r="436" spans="1:15" s="2463" customFormat="1">
      <c r="A436" s="2462"/>
      <c r="B436" s="2462"/>
      <c r="C436" s="2462"/>
      <c r="D436" s="2462"/>
      <c r="E436" s="2462"/>
      <c r="F436" s="2462"/>
      <c r="G436" s="2462"/>
      <c r="H436" s="2462"/>
      <c r="I436" s="2579"/>
      <c r="J436" s="2579"/>
      <c r="K436" s="2579"/>
      <c r="L436" s="2579"/>
      <c r="M436" s="2579"/>
      <c r="N436" s="2579"/>
      <c r="O436" s="2579"/>
    </row>
    <row r="437" spans="1:15" s="2463" customFormat="1">
      <c r="A437" s="2462"/>
      <c r="B437" s="2462"/>
      <c r="C437" s="2462"/>
      <c r="D437" s="2462"/>
      <c r="E437" s="2462"/>
      <c r="F437" s="2462"/>
      <c r="G437" s="2462"/>
      <c r="H437" s="2462"/>
      <c r="I437" s="2579"/>
      <c r="J437" s="2579"/>
      <c r="K437" s="2579"/>
      <c r="L437" s="2579"/>
      <c r="M437" s="2579"/>
      <c r="N437" s="2579"/>
      <c r="O437" s="2579"/>
    </row>
    <row r="438" spans="1:15" s="2463" customFormat="1">
      <c r="A438" s="2462"/>
      <c r="B438" s="2462"/>
      <c r="C438" s="2462"/>
      <c r="D438" s="2462"/>
      <c r="E438" s="2462"/>
      <c r="F438" s="2462"/>
      <c r="G438" s="2462"/>
      <c r="H438" s="2462"/>
      <c r="I438" s="2579"/>
      <c r="J438" s="2579"/>
      <c r="K438" s="2579"/>
      <c r="L438" s="2579"/>
      <c r="M438" s="2579"/>
      <c r="N438" s="2579"/>
      <c r="O438" s="2579"/>
    </row>
    <row r="439" spans="1:15" s="2463" customFormat="1">
      <c r="A439" s="2462"/>
      <c r="B439" s="2462"/>
      <c r="C439" s="2462"/>
      <c r="D439" s="2462"/>
      <c r="E439" s="2462"/>
      <c r="F439" s="2462"/>
      <c r="G439" s="2462"/>
      <c r="H439" s="2462"/>
      <c r="I439" s="2579"/>
      <c r="J439" s="2579"/>
      <c r="K439" s="2579"/>
      <c r="L439" s="2579"/>
      <c r="M439" s="2579"/>
      <c r="N439" s="2579"/>
      <c r="O439" s="2579"/>
    </row>
    <row r="440" spans="1:15" s="2463" customFormat="1">
      <c r="A440" s="2462"/>
      <c r="B440" s="2462"/>
      <c r="C440" s="2462"/>
      <c r="D440" s="2462"/>
      <c r="E440" s="2462"/>
      <c r="F440" s="2462"/>
      <c r="G440" s="2462"/>
      <c r="H440" s="2462"/>
      <c r="I440" s="2579"/>
      <c r="J440" s="2579"/>
      <c r="K440" s="2579"/>
      <c r="L440" s="2579"/>
      <c r="M440" s="2579"/>
      <c r="N440" s="2579"/>
      <c r="O440" s="2579"/>
    </row>
    <row r="441" spans="1:15" s="2463" customFormat="1">
      <c r="A441" s="2462"/>
      <c r="B441" s="2462"/>
      <c r="C441" s="2462"/>
      <c r="D441" s="2462"/>
      <c r="E441" s="2462"/>
      <c r="F441" s="2462"/>
      <c r="G441" s="2462"/>
      <c r="H441" s="2462"/>
      <c r="I441" s="2579"/>
      <c r="J441" s="2579"/>
      <c r="K441" s="2579"/>
      <c r="L441" s="2579"/>
      <c r="M441" s="2579"/>
      <c r="N441" s="2579"/>
      <c r="O441" s="2579"/>
    </row>
    <row r="442" spans="1:15" s="2463" customFormat="1">
      <c r="A442" s="2462"/>
      <c r="B442" s="2462"/>
      <c r="C442" s="2462"/>
      <c r="D442" s="2462"/>
      <c r="E442" s="2462"/>
      <c r="F442" s="2462"/>
      <c r="G442" s="2462"/>
      <c r="H442" s="2462"/>
      <c r="I442" s="2579"/>
      <c r="J442" s="2579"/>
      <c r="K442" s="2579"/>
      <c r="L442" s="2579"/>
      <c r="M442" s="2579"/>
      <c r="N442" s="2579"/>
      <c r="O442" s="2579"/>
    </row>
    <row r="443" spans="1:15" s="2463" customFormat="1">
      <c r="A443" s="2462"/>
      <c r="B443" s="2462"/>
      <c r="C443" s="2462"/>
      <c r="D443" s="2462"/>
      <c r="E443" s="2462"/>
      <c r="F443" s="2462"/>
      <c r="G443" s="2462"/>
      <c r="H443" s="2462"/>
      <c r="I443" s="2579"/>
      <c r="J443" s="2579"/>
      <c r="K443" s="2579"/>
      <c r="L443" s="2579"/>
      <c r="M443" s="2579"/>
      <c r="N443" s="2579"/>
      <c r="O443" s="2579"/>
    </row>
    <row r="444" spans="1:15" s="2463" customFormat="1">
      <c r="A444" s="2462"/>
      <c r="B444" s="2462"/>
      <c r="C444" s="2462"/>
      <c r="D444" s="2462"/>
      <c r="E444" s="2462"/>
      <c r="F444" s="2462"/>
      <c r="G444" s="2462"/>
      <c r="H444" s="2462"/>
      <c r="I444" s="2579"/>
      <c r="J444" s="2579"/>
      <c r="K444" s="2579"/>
      <c r="L444" s="2579"/>
      <c r="M444" s="2579"/>
      <c r="N444" s="2579"/>
      <c r="O444" s="2579"/>
    </row>
    <row r="445" spans="1:15" s="2463" customFormat="1">
      <c r="A445" s="2462"/>
      <c r="B445" s="2462"/>
      <c r="C445" s="2462"/>
      <c r="D445" s="2462"/>
      <c r="E445" s="2462"/>
      <c r="F445" s="2462"/>
      <c r="G445" s="2462"/>
      <c r="H445" s="2462"/>
      <c r="I445" s="2579"/>
      <c r="J445" s="2579"/>
      <c r="K445" s="2579"/>
      <c r="L445" s="2579"/>
      <c r="M445" s="2579"/>
      <c r="N445" s="2579"/>
      <c r="O445" s="2579"/>
    </row>
    <row r="446" spans="1:15" s="2463" customFormat="1">
      <c r="A446" s="2462"/>
      <c r="B446" s="2462"/>
      <c r="C446" s="2462"/>
      <c r="D446" s="2462"/>
      <c r="E446" s="2462"/>
      <c r="F446" s="2462"/>
      <c r="G446" s="2462"/>
      <c r="H446" s="2462"/>
      <c r="I446" s="2579"/>
      <c r="J446" s="2579"/>
      <c r="K446" s="2579"/>
      <c r="L446" s="2579"/>
      <c r="M446" s="2579"/>
      <c r="N446" s="2579"/>
      <c r="O446" s="2579"/>
    </row>
    <row r="447" spans="1:15" s="2463" customFormat="1">
      <c r="A447" s="2462"/>
      <c r="B447" s="2462"/>
      <c r="C447" s="2462"/>
      <c r="D447" s="2462"/>
      <c r="E447" s="2462"/>
      <c r="F447" s="2462"/>
      <c r="G447" s="2462"/>
      <c r="H447" s="2462"/>
      <c r="I447" s="2579"/>
      <c r="J447" s="2579"/>
      <c r="K447" s="2579"/>
      <c r="L447" s="2579"/>
      <c r="M447" s="2579"/>
      <c r="N447" s="2579"/>
      <c r="O447" s="2579"/>
    </row>
    <row r="448" spans="1:15" s="2463" customFormat="1">
      <c r="A448" s="2462"/>
      <c r="B448" s="2462"/>
      <c r="C448" s="2462"/>
      <c r="D448" s="2462"/>
      <c r="E448" s="2462"/>
      <c r="F448" s="2462"/>
      <c r="G448" s="2462"/>
      <c r="H448" s="2462"/>
      <c r="I448" s="2579"/>
      <c r="J448" s="2579"/>
      <c r="K448" s="2579"/>
      <c r="L448" s="2579"/>
      <c r="M448" s="2579"/>
      <c r="N448" s="2579"/>
      <c r="O448" s="2579"/>
    </row>
    <row r="449" spans="1:15" s="2463" customFormat="1">
      <c r="A449" s="2462"/>
      <c r="B449" s="2462"/>
      <c r="C449" s="2462"/>
      <c r="D449" s="2462"/>
      <c r="E449" s="2462"/>
      <c r="F449" s="2462"/>
      <c r="G449" s="2462"/>
      <c r="H449" s="2462"/>
      <c r="I449" s="2579"/>
      <c r="J449" s="2579"/>
      <c r="K449" s="2579"/>
      <c r="L449" s="2579"/>
      <c r="M449" s="2579"/>
      <c r="N449" s="2579"/>
      <c r="O449" s="2579"/>
    </row>
    <row r="450" spans="1:15" s="2463" customFormat="1">
      <c r="A450" s="2462"/>
      <c r="B450" s="2462"/>
      <c r="C450" s="2462"/>
      <c r="D450" s="2462"/>
      <c r="E450" s="2462"/>
      <c r="F450" s="2462"/>
      <c r="G450" s="2462"/>
      <c r="H450" s="2462"/>
      <c r="I450" s="2579"/>
      <c r="J450" s="2579"/>
      <c r="K450" s="2579"/>
      <c r="L450" s="2579"/>
      <c r="M450" s="2579"/>
      <c r="N450" s="2579"/>
      <c r="O450" s="2579"/>
    </row>
    <row r="451" spans="1:15" s="2463" customFormat="1">
      <c r="A451" s="2462"/>
      <c r="B451" s="2462"/>
      <c r="C451" s="2462"/>
      <c r="D451" s="2462"/>
      <c r="E451" s="2462"/>
      <c r="F451" s="2462"/>
      <c r="G451" s="2462"/>
      <c r="H451" s="2462"/>
      <c r="I451" s="2579"/>
      <c r="J451" s="2579"/>
      <c r="K451" s="2579"/>
      <c r="L451" s="2579"/>
      <c r="M451" s="2579"/>
      <c r="N451" s="2579"/>
      <c r="O451" s="2579"/>
    </row>
    <row r="452" spans="1:15" s="2463" customFormat="1">
      <c r="A452" s="2462"/>
      <c r="B452" s="2462"/>
      <c r="C452" s="2462"/>
      <c r="D452" s="2462"/>
      <c r="E452" s="2462"/>
      <c r="F452" s="2462"/>
      <c r="G452" s="2462"/>
      <c r="H452" s="2462"/>
      <c r="I452" s="2579"/>
      <c r="J452" s="2579"/>
      <c r="K452" s="2579"/>
      <c r="L452" s="2579"/>
      <c r="M452" s="2579"/>
      <c r="N452" s="2579"/>
      <c r="O452" s="2579"/>
    </row>
    <row r="453" spans="1:15" s="2463" customFormat="1">
      <c r="A453" s="2462"/>
      <c r="B453" s="2462"/>
      <c r="C453" s="2462"/>
      <c r="D453" s="2462"/>
      <c r="E453" s="2462"/>
      <c r="F453" s="2462"/>
      <c r="G453" s="2462"/>
      <c r="H453" s="2462"/>
      <c r="I453" s="2579"/>
      <c r="J453" s="2579"/>
      <c r="K453" s="2579"/>
      <c r="L453" s="2579"/>
      <c r="M453" s="2579"/>
      <c r="N453" s="2579"/>
      <c r="O453" s="2579"/>
    </row>
    <row r="454" spans="1:15" s="2463" customFormat="1">
      <c r="A454" s="2462"/>
      <c r="B454" s="2462"/>
      <c r="C454" s="2462"/>
      <c r="D454" s="2462"/>
      <c r="E454" s="2462"/>
      <c r="F454" s="2462"/>
      <c r="G454" s="2462"/>
      <c r="H454" s="2462"/>
      <c r="I454" s="2579"/>
      <c r="J454" s="2579"/>
      <c r="K454" s="2579"/>
      <c r="L454" s="2579"/>
      <c r="M454" s="2579"/>
      <c r="N454" s="2579"/>
      <c r="O454" s="2579"/>
    </row>
    <row r="455" spans="1:15" s="2463" customFormat="1">
      <c r="A455" s="2462"/>
      <c r="B455" s="2462"/>
      <c r="C455" s="2462"/>
      <c r="D455" s="2462"/>
      <c r="E455" s="2462"/>
      <c r="F455" s="2462"/>
      <c r="G455" s="2462"/>
      <c r="H455" s="2462"/>
      <c r="I455" s="2579"/>
      <c r="J455" s="2579"/>
      <c r="K455" s="2579"/>
      <c r="L455" s="2579"/>
      <c r="M455" s="2579"/>
      <c r="N455" s="2579"/>
      <c r="O455" s="2579"/>
    </row>
    <row r="456" spans="1:15" s="2463" customFormat="1">
      <c r="A456" s="2462"/>
      <c r="B456" s="2462"/>
      <c r="C456" s="2462"/>
      <c r="D456" s="2462"/>
      <c r="E456" s="2462"/>
      <c r="F456" s="2462"/>
      <c r="G456" s="2462"/>
      <c r="H456" s="2462"/>
      <c r="I456" s="2579"/>
      <c r="J456" s="2579"/>
      <c r="K456" s="2579"/>
      <c r="L456" s="2579"/>
      <c r="M456" s="2579"/>
      <c r="N456" s="2579"/>
      <c r="O456" s="2579"/>
    </row>
    <row r="461" spans="1:15" s="2463" customFormat="1">
      <c r="A461" s="2462"/>
      <c r="B461" s="2462"/>
      <c r="C461" s="2462"/>
      <c r="D461" s="2462"/>
      <c r="E461" s="2462"/>
      <c r="F461" s="2462"/>
      <c r="G461" s="2462"/>
      <c r="H461" s="2462"/>
      <c r="I461" s="2579"/>
      <c r="J461" s="2579"/>
      <c r="K461" s="2579"/>
      <c r="L461" s="2579"/>
      <c r="M461" s="2579"/>
      <c r="N461" s="2579"/>
      <c r="O461" s="2579"/>
    </row>
    <row r="462" spans="1:15" s="2463" customFormat="1">
      <c r="A462" s="2462"/>
      <c r="B462" s="2462"/>
      <c r="C462" s="2462"/>
      <c r="D462" s="2462"/>
      <c r="E462" s="2462"/>
      <c r="F462" s="2462"/>
      <c r="G462" s="2462"/>
      <c r="H462" s="2462"/>
      <c r="I462" s="2579"/>
      <c r="J462" s="2579"/>
      <c r="K462" s="2579"/>
      <c r="L462" s="2579"/>
      <c r="M462" s="2579"/>
      <c r="N462" s="2579"/>
      <c r="O462" s="2579"/>
    </row>
    <row r="463" spans="1:15" s="2463" customFormat="1">
      <c r="A463" s="2462"/>
      <c r="B463" s="2462"/>
      <c r="C463" s="2462"/>
      <c r="D463" s="2462"/>
      <c r="E463" s="2462"/>
      <c r="F463" s="2462"/>
      <c r="G463" s="2462"/>
      <c r="H463" s="2462"/>
      <c r="I463" s="2579"/>
      <c r="J463" s="2579"/>
      <c r="K463" s="2579"/>
      <c r="L463" s="2579"/>
      <c r="M463" s="2579"/>
      <c r="N463" s="2579"/>
      <c r="O463" s="2579"/>
    </row>
    <row r="464" spans="1:15" s="2463" customFormat="1">
      <c r="A464" s="2462"/>
      <c r="B464" s="2462"/>
      <c r="C464" s="2462"/>
      <c r="D464" s="2462"/>
      <c r="E464" s="2462"/>
      <c r="F464" s="2462"/>
      <c r="G464" s="2462"/>
      <c r="H464" s="2462"/>
      <c r="I464" s="2579"/>
      <c r="J464" s="2579"/>
      <c r="K464" s="2579"/>
      <c r="L464" s="2579"/>
      <c r="M464" s="2579"/>
      <c r="N464" s="2579"/>
      <c r="O464" s="2579"/>
    </row>
    <row r="465" spans="1:15" s="2463" customFormat="1">
      <c r="A465" s="2462"/>
      <c r="B465" s="2462"/>
      <c r="C465" s="2462"/>
      <c r="D465" s="2462"/>
      <c r="E465" s="2462"/>
      <c r="F465" s="2462"/>
      <c r="G465" s="2462"/>
      <c r="H465" s="2462"/>
      <c r="I465" s="2579"/>
      <c r="J465" s="2579"/>
      <c r="K465" s="2579"/>
      <c r="L465" s="2579"/>
      <c r="M465" s="2579"/>
      <c r="N465" s="2579"/>
      <c r="O465" s="2579"/>
    </row>
    <row r="466" spans="1:15" s="2463" customFormat="1">
      <c r="A466" s="2462"/>
      <c r="B466" s="2462"/>
      <c r="C466" s="2462"/>
      <c r="D466" s="2462"/>
      <c r="E466" s="2462"/>
      <c r="F466" s="2462"/>
      <c r="G466" s="2462"/>
      <c r="H466" s="2462"/>
      <c r="I466" s="2579"/>
      <c r="J466" s="2579"/>
      <c r="K466" s="2579"/>
      <c r="L466" s="2579"/>
      <c r="M466" s="2579"/>
      <c r="N466" s="2579"/>
      <c r="O466" s="2579"/>
    </row>
    <row r="467" spans="1:15" s="2463" customFormat="1">
      <c r="A467" s="2462"/>
      <c r="B467" s="2462"/>
      <c r="C467" s="2462"/>
      <c r="D467" s="2462"/>
      <c r="E467" s="2462"/>
      <c r="F467" s="2462"/>
      <c r="G467" s="2462"/>
      <c r="H467" s="2462"/>
      <c r="I467" s="2579"/>
      <c r="J467" s="2579"/>
      <c r="K467" s="2579"/>
      <c r="L467" s="2579"/>
      <c r="M467" s="2579"/>
      <c r="N467" s="2579"/>
      <c r="O467" s="2579"/>
    </row>
    <row r="468" spans="1:15" s="2463" customFormat="1">
      <c r="A468" s="2462"/>
      <c r="B468" s="2462"/>
      <c r="C468" s="2462"/>
      <c r="D468" s="2462"/>
      <c r="E468" s="2462"/>
      <c r="F468" s="2462"/>
      <c r="G468" s="2462"/>
      <c r="H468" s="2462"/>
      <c r="I468" s="2579"/>
      <c r="J468" s="2579"/>
      <c r="K468" s="2579"/>
      <c r="L468" s="2579"/>
      <c r="M468" s="2579"/>
      <c r="N468" s="2579"/>
      <c r="O468" s="2579"/>
    </row>
    <row r="469" spans="1:15" s="2463" customFormat="1">
      <c r="A469" s="2462"/>
      <c r="B469" s="2462"/>
      <c r="C469" s="2462"/>
      <c r="D469" s="2462"/>
      <c r="E469" s="2462"/>
      <c r="F469" s="2462"/>
      <c r="G469" s="2462"/>
      <c r="H469" s="2462"/>
      <c r="I469" s="2579"/>
      <c r="J469" s="2579"/>
      <c r="K469" s="2579"/>
      <c r="L469" s="2579"/>
      <c r="M469" s="2579"/>
      <c r="N469" s="2579"/>
      <c r="O469" s="2579"/>
    </row>
    <row r="470" spans="1:15" s="2463" customFormat="1">
      <c r="A470" s="2462"/>
      <c r="B470" s="2462"/>
      <c r="C470" s="2462"/>
      <c r="D470" s="2462"/>
      <c r="E470" s="2462"/>
      <c r="F470" s="2462"/>
      <c r="G470" s="2462"/>
      <c r="H470" s="2462"/>
      <c r="I470" s="2579"/>
      <c r="J470" s="2579"/>
      <c r="K470" s="2579"/>
      <c r="L470" s="2579"/>
      <c r="M470" s="2579"/>
      <c r="N470" s="2579"/>
      <c r="O470" s="2579"/>
    </row>
    <row r="471" spans="1:15" s="2463" customFormat="1">
      <c r="A471" s="2462"/>
      <c r="B471" s="2462"/>
      <c r="C471" s="2462"/>
      <c r="D471" s="2462"/>
      <c r="E471" s="2462"/>
      <c r="F471" s="2462"/>
      <c r="G471" s="2462"/>
      <c r="H471" s="2462"/>
      <c r="I471" s="2579"/>
      <c r="J471" s="2579"/>
      <c r="K471" s="2579"/>
      <c r="L471" s="2579"/>
      <c r="M471" s="2579"/>
      <c r="N471" s="2579"/>
      <c r="O471" s="2579"/>
    </row>
    <row r="472" spans="1:15" s="2463" customFormat="1">
      <c r="A472" s="2462"/>
      <c r="B472" s="2462"/>
      <c r="C472" s="2462"/>
      <c r="D472" s="2462"/>
      <c r="E472" s="2462"/>
      <c r="F472" s="2462"/>
      <c r="G472" s="2462"/>
      <c r="H472" s="2462"/>
      <c r="I472" s="2579"/>
      <c r="J472" s="2579"/>
      <c r="K472" s="2579"/>
      <c r="L472" s="2579"/>
      <c r="M472" s="2579"/>
      <c r="N472" s="2579"/>
      <c r="O472" s="2579"/>
    </row>
    <row r="473" spans="1:15" s="2463" customFormat="1">
      <c r="A473" s="2462"/>
      <c r="B473" s="2462"/>
      <c r="C473" s="2462"/>
      <c r="D473" s="2462"/>
      <c r="E473" s="2462"/>
      <c r="F473" s="2462"/>
      <c r="G473" s="2462"/>
      <c r="H473" s="2462"/>
      <c r="I473" s="2579"/>
      <c r="J473" s="2579"/>
      <c r="K473" s="2579"/>
      <c r="L473" s="2579"/>
      <c r="M473" s="2579"/>
      <c r="N473" s="2579"/>
      <c r="O473" s="2579"/>
    </row>
    <row r="474" spans="1:15" s="2463" customFormat="1">
      <c r="A474" s="2462"/>
      <c r="B474" s="2462"/>
      <c r="C474" s="2462"/>
      <c r="D474" s="2462"/>
      <c r="E474" s="2462"/>
      <c r="F474" s="2462"/>
      <c r="G474" s="2462"/>
      <c r="H474" s="2462"/>
      <c r="I474" s="2579"/>
      <c r="J474" s="2579"/>
      <c r="K474" s="2579"/>
      <c r="L474" s="2579"/>
      <c r="M474" s="2579"/>
      <c r="N474" s="2579"/>
      <c r="O474" s="2579"/>
    </row>
    <row r="475" spans="1:15" s="2463" customFormat="1">
      <c r="A475" s="2462"/>
      <c r="B475" s="2462"/>
      <c r="C475" s="2462"/>
      <c r="D475" s="2462"/>
      <c r="E475" s="2462"/>
      <c r="F475" s="2462"/>
      <c r="G475" s="2462"/>
      <c r="H475" s="2462"/>
      <c r="I475" s="2579"/>
      <c r="J475" s="2579"/>
      <c r="K475" s="2579"/>
      <c r="L475" s="2579"/>
      <c r="M475" s="2579"/>
      <c r="N475" s="2579"/>
      <c r="O475" s="2579"/>
    </row>
    <row r="476" spans="1:15" s="2463" customFormat="1">
      <c r="A476" s="2462"/>
      <c r="B476" s="2462"/>
      <c r="C476" s="2462"/>
      <c r="D476" s="2462"/>
      <c r="E476" s="2462"/>
      <c r="F476" s="2462"/>
      <c r="G476" s="2462"/>
      <c r="H476" s="2462"/>
      <c r="I476" s="2579"/>
      <c r="J476" s="2579"/>
      <c r="K476" s="2579"/>
      <c r="L476" s="2579"/>
      <c r="M476" s="2579"/>
      <c r="N476" s="2579"/>
      <c r="O476" s="2579"/>
    </row>
    <row r="477" spans="1:15" s="2463" customFormat="1">
      <c r="A477" s="2462"/>
      <c r="B477" s="2462"/>
      <c r="C477" s="2462"/>
      <c r="D477" s="2462"/>
      <c r="E477" s="2462"/>
      <c r="F477" s="2462"/>
      <c r="G477" s="2462"/>
      <c r="H477" s="2462"/>
      <c r="I477" s="2579"/>
      <c r="J477" s="2579"/>
      <c r="K477" s="2579"/>
      <c r="L477" s="2579"/>
      <c r="M477" s="2579"/>
      <c r="N477" s="2579"/>
      <c r="O477" s="2579"/>
    </row>
    <row r="478" spans="1:15" s="2463" customFormat="1">
      <c r="A478" s="2462"/>
      <c r="B478" s="2462"/>
      <c r="C478" s="2462"/>
      <c r="D478" s="2462"/>
      <c r="E478" s="2462"/>
      <c r="F478" s="2462"/>
      <c r="G478" s="2462"/>
      <c r="H478" s="2462"/>
      <c r="I478" s="2579"/>
      <c r="J478" s="2579"/>
      <c r="K478" s="2579"/>
      <c r="L478" s="2579"/>
      <c r="M478" s="2579"/>
      <c r="N478" s="2579"/>
      <c r="O478" s="2579"/>
    </row>
    <row r="479" spans="1:15" s="2463" customFormat="1">
      <c r="A479" s="2462"/>
      <c r="B479" s="2462"/>
      <c r="C479" s="2462"/>
      <c r="D479" s="2462"/>
      <c r="E479" s="2462"/>
      <c r="F479" s="2462"/>
      <c r="G479" s="2462"/>
      <c r="H479" s="2462"/>
      <c r="I479" s="2579"/>
      <c r="J479" s="2579"/>
      <c r="K479" s="2579"/>
      <c r="L479" s="2579"/>
      <c r="M479" s="2579"/>
      <c r="N479" s="2579"/>
      <c r="O479" s="2579"/>
    </row>
    <row r="480" spans="1:15" s="2463" customFormat="1">
      <c r="A480" s="2462"/>
      <c r="B480" s="2462"/>
      <c r="C480" s="2462"/>
      <c r="D480" s="2462"/>
      <c r="E480" s="2462"/>
      <c r="F480" s="2462"/>
      <c r="G480" s="2462"/>
      <c r="H480" s="2462"/>
      <c r="I480" s="2579"/>
      <c r="J480" s="2579"/>
      <c r="K480" s="2579"/>
      <c r="L480" s="2579"/>
      <c r="M480" s="2579"/>
      <c r="N480" s="2579"/>
      <c r="O480" s="2579"/>
    </row>
    <row r="481" spans="1:15" s="2463" customFormat="1">
      <c r="A481" s="2462"/>
      <c r="B481" s="2462"/>
      <c r="C481" s="2462"/>
      <c r="D481" s="2462"/>
      <c r="E481" s="2462"/>
      <c r="F481" s="2462"/>
      <c r="G481" s="2462"/>
      <c r="H481" s="2462"/>
      <c r="I481" s="2579"/>
      <c r="J481" s="2579"/>
      <c r="K481" s="2579"/>
      <c r="L481" s="2579"/>
      <c r="M481" s="2579"/>
      <c r="N481" s="2579"/>
      <c r="O481" s="2579"/>
    </row>
    <row r="482" spans="1:15" s="2463" customFormat="1">
      <c r="A482" s="2462"/>
      <c r="B482" s="2462"/>
      <c r="C482" s="2462"/>
      <c r="D482" s="2462"/>
      <c r="E482" s="2462"/>
      <c r="F482" s="2462"/>
      <c r="G482" s="2462"/>
      <c r="H482" s="2462"/>
      <c r="I482" s="2579"/>
      <c r="J482" s="2579"/>
      <c r="K482" s="2579"/>
      <c r="L482" s="2579"/>
      <c r="M482" s="2579"/>
      <c r="N482" s="2579"/>
      <c r="O482" s="2579"/>
    </row>
    <row r="483" spans="1:15" s="2463" customFormat="1">
      <c r="A483" s="2462"/>
      <c r="B483" s="2462"/>
      <c r="C483" s="2462"/>
      <c r="D483" s="2462"/>
      <c r="E483" s="2462"/>
      <c r="F483" s="2462"/>
      <c r="G483" s="2462"/>
      <c r="H483" s="2462"/>
      <c r="I483" s="2579"/>
      <c r="J483" s="2579"/>
      <c r="K483" s="2579"/>
      <c r="L483" s="2579"/>
      <c r="M483" s="2579"/>
      <c r="N483" s="2579"/>
      <c r="O483" s="2579"/>
    </row>
    <row r="484" spans="1:15" s="2463" customFormat="1">
      <c r="A484" s="2462"/>
      <c r="B484" s="2462"/>
      <c r="C484" s="2462"/>
      <c r="D484" s="2462"/>
      <c r="E484" s="2462"/>
      <c r="F484" s="2462"/>
      <c r="G484" s="2462"/>
      <c r="H484" s="2462"/>
      <c r="I484" s="2579"/>
      <c r="J484" s="2579"/>
      <c r="K484" s="2579"/>
      <c r="L484" s="2579"/>
      <c r="M484" s="2579"/>
      <c r="N484" s="2579"/>
      <c r="O484" s="2579"/>
    </row>
    <row r="485" spans="1:15" s="2463" customFormat="1">
      <c r="A485" s="2462"/>
      <c r="B485" s="2462"/>
      <c r="C485" s="2462"/>
      <c r="D485" s="2462"/>
      <c r="E485" s="2462"/>
      <c r="F485" s="2462"/>
      <c r="G485" s="2462"/>
      <c r="H485" s="2462"/>
      <c r="I485" s="2579"/>
      <c r="J485" s="2579"/>
      <c r="K485" s="2579"/>
      <c r="L485" s="2579"/>
      <c r="M485" s="2579"/>
      <c r="N485" s="2579"/>
      <c r="O485" s="2579"/>
    </row>
    <row r="486" spans="1:15" s="2463" customFormat="1">
      <c r="A486" s="2462"/>
      <c r="B486" s="2462"/>
      <c r="C486" s="2462"/>
      <c r="D486" s="2462"/>
      <c r="E486" s="2462"/>
      <c r="F486" s="2462"/>
      <c r="G486" s="2462"/>
      <c r="H486" s="2462"/>
      <c r="I486" s="2579"/>
      <c r="J486" s="2579"/>
      <c r="K486" s="2579"/>
      <c r="L486" s="2579"/>
      <c r="M486" s="2579"/>
      <c r="N486" s="2579"/>
      <c r="O486" s="2579"/>
    </row>
    <row r="487" spans="1:15" s="2463" customFormat="1">
      <c r="A487" s="2462"/>
      <c r="B487" s="2462"/>
      <c r="C487" s="2462"/>
      <c r="D487" s="2462"/>
      <c r="E487" s="2462"/>
      <c r="F487" s="2462"/>
      <c r="G487" s="2462"/>
      <c r="H487" s="2462"/>
      <c r="I487" s="2579"/>
      <c r="J487" s="2579"/>
      <c r="K487" s="2579"/>
      <c r="L487" s="2579"/>
      <c r="M487" s="2579"/>
      <c r="N487" s="2579"/>
      <c r="O487" s="2579"/>
    </row>
    <row r="488" spans="1:15" s="2463" customFormat="1">
      <c r="A488" s="2462"/>
      <c r="B488" s="2462"/>
      <c r="C488" s="2462"/>
      <c r="D488" s="2462"/>
      <c r="E488" s="2462"/>
      <c r="F488" s="2462"/>
      <c r="G488" s="2462"/>
      <c r="H488" s="2462"/>
      <c r="I488" s="2579"/>
      <c r="J488" s="2579"/>
      <c r="K488" s="2579"/>
      <c r="L488" s="2579"/>
      <c r="M488" s="2579"/>
      <c r="N488" s="2579"/>
      <c r="O488" s="2579"/>
    </row>
    <row r="489" spans="1:15" s="2463" customFormat="1">
      <c r="A489" s="2462"/>
      <c r="B489" s="2462"/>
      <c r="C489" s="2462"/>
      <c r="D489" s="2462"/>
      <c r="E489" s="2462"/>
      <c r="F489" s="2462"/>
      <c r="G489" s="2462"/>
      <c r="H489" s="2462"/>
      <c r="I489" s="2579"/>
      <c r="J489" s="2579"/>
      <c r="K489" s="2579"/>
      <c r="L489" s="2579"/>
      <c r="M489" s="2579"/>
      <c r="N489" s="2579"/>
      <c r="O489" s="2579"/>
    </row>
    <row r="490" spans="1:15" s="2463" customFormat="1">
      <c r="A490" s="2462"/>
      <c r="B490" s="2462"/>
      <c r="C490" s="2462"/>
      <c r="D490" s="2462"/>
      <c r="E490" s="2462"/>
      <c r="F490" s="2462"/>
      <c r="G490" s="2462"/>
      <c r="H490" s="2462"/>
      <c r="I490" s="2579"/>
      <c r="J490" s="2579"/>
      <c r="K490" s="2579"/>
      <c r="L490" s="2579"/>
      <c r="M490" s="2579"/>
      <c r="N490" s="2579"/>
      <c r="O490" s="2579"/>
    </row>
    <row r="491" spans="1:15" s="2463" customFormat="1">
      <c r="A491" s="2462"/>
      <c r="B491" s="2462"/>
      <c r="C491" s="2462"/>
      <c r="D491" s="2462"/>
      <c r="E491" s="2462"/>
      <c r="F491" s="2462"/>
      <c r="G491" s="2462"/>
      <c r="H491" s="2462"/>
      <c r="I491" s="2579"/>
      <c r="J491" s="2579"/>
      <c r="K491" s="2579"/>
      <c r="L491" s="2579"/>
      <c r="M491" s="2579"/>
      <c r="N491" s="2579"/>
      <c r="O491" s="2579"/>
    </row>
    <row r="492" spans="1:15" s="2463" customFormat="1">
      <c r="A492" s="2462"/>
      <c r="B492" s="2462"/>
      <c r="C492" s="2462"/>
      <c r="D492" s="2462"/>
      <c r="E492" s="2462"/>
      <c r="F492" s="2462"/>
      <c r="G492" s="2462"/>
      <c r="H492" s="2462"/>
      <c r="I492" s="2579"/>
      <c r="J492" s="2579"/>
      <c r="K492" s="2579"/>
      <c r="L492" s="2579"/>
      <c r="M492" s="2579"/>
      <c r="N492" s="2579"/>
      <c r="O492" s="2579"/>
    </row>
    <row r="493" spans="1:15" s="2463" customFormat="1">
      <c r="A493" s="2462"/>
      <c r="B493" s="2462"/>
      <c r="C493" s="2462"/>
      <c r="D493" s="2462"/>
      <c r="E493" s="2462"/>
      <c r="F493" s="2462"/>
      <c r="G493" s="2462"/>
      <c r="H493" s="2462"/>
      <c r="I493" s="2579"/>
      <c r="J493" s="2579"/>
      <c r="K493" s="2579"/>
      <c r="L493" s="2579"/>
      <c r="M493" s="2579"/>
      <c r="N493" s="2579"/>
      <c r="O493" s="2579"/>
    </row>
    <row r="494" spans="1:15" s="2463" customFormat="1">
      <c r="A494" s="2462"/>
      <c r="B494" s="2462"/>
      <c r="C494" s="2462"/>
      <c r="D494" s="2462"/>
      <c r="E494" s="2462"/>
      <c r="F494" s="2462"/>
      <c r="G494" s="2462"/>
      <c r="H494" s="2462"/>
      <c r="I494" s="2579"/>
      <c r="J494" s="2579"/>
      <c r="K494" s="2579"/>
      <c r="L494" s="2579"/>
      <c r="M494" s="2579"/>
      <c r="N494" s="2579"/>
      <c r="O494" s="2579"/>
    </row>
    <row r="495" spans="1:15" s="2463" customFormat="1">
      <c r="A495" s="2462"/>
      <c r="B495" s="2462"/>
      <c r="C495" s="2462"/>
      <c r="D495" s="2462"/>
      <c r="E495" s="2462"/>
      <c r="F495" s="2462"/>
      <c r="G495" s="2462"/>
      <c r="H495" s="2462"/>
      <c r="I495" s="2579"/>
      <c r="J495" s="2579"/>
      <c r="K495" s="2579"/>
      <c r="L495" s="2579"/>
      <c r="M495" s="2579"/>
      <c r="N495" s="2579"/>
      <c r="O495" s="2579"/>
    </row>
    <row r="496" spans="1:15" s="2463" customFormat="1">
      <c r="A496" s="2462"/>
      <c r="B496" s="2462"/>
      <c r="C496" s="2462"/>
      <c r="D496" s="2462"/>
      <c r="E496" s="2462"/>
      <c r="F496" s="2462"/>
      <c r="G496" s="2462"/>
      <c r="H496" s="2462"/>
      <c r="I496" s="2579"/>
      <c r="J496" s="2579"/>
      <c r="K496" s="2579"/>
      <c r="L496" s="2579"/>
      <c r="M496" s="2579"/>
      <c r="N496" s="2579"/>
      <c r="O496" s="2579"/>
    </row>
    <row r="497" spans="1:15" s="2463" customFormat="1">
      <c r="A497" s="2462"/>
      <c r="B497" s="2462"/>
      <c r="C497" s="2462"/>
      <c r="D497" s="2462"/>
      <c r="E497" s="2462"/>
      <c r="F497" s="2462"/>
      <c r="G497" s="2462"/>
      <c r="H497" s="2462"/>
      <c r="I497" s="2579"/>
      <c r="J497" s="2579"/>
      <c r="K497" s="2579"/>
      <c r="L497" s="2579"/>
      <c r="M497" s="2579"/>
      <c r="N497" s="2579"/>
      <c r="O497" s="2579"/>
    </row>
    <row r="503" spans="1:15" s="2463" customFormat="1">
      <c r="A503" s="2462"/>
      <c r="B503" s="2462"/>
      <c r="C503" s="2462"/>
      <c r="D503" s="2462"/>
      <c r="E503" s="2462"/>
      <c r="F503" s="2462"/>
      <c r="G503" s="2462"/>
      <c r="H503" s="2462"/>
      <c r="I503" s="2579"/>
      <c r="J503" s="2579"/>
      <c r="K503" s="2579"/>
      <c r="L503" s="2579"/>
      <c r="M503" s="2579"/>
      <c r="N503" s="2579"/>
      <c r="O503" s="2579"/>
    </row>
    <row r="504" spans="1:15" s="2463" customFormat="1">
      <c r="A504" s="2462"/>
      <c r="B504" s="2462"/>
      <c r="C504" s="2462"/>
      <c r="D504" s="2462"/>
      <c r="E504" s="2462"/>
      <c r="F504" s="2462"/>
      <c r="G504" s="2462"/>
      <c r="H504" s="2462"/>
      <c r="I504" s="2579"/>
      <c r="J504" s="2579"/>
      <c r="K504" s="2579"/>
      <c r="L504" s="2579"/>
      <c r="M504" s="2579"/>
      <c r="N504" s="2579"/>
      <c r="O504" s="2579"/>
    </row>
    <row r="505" spans="1:15" s="2463" customFormat="1">
      <c r="A505" s="2462"/>
      <c r="B505" s="2462"/>
      <c r="C505" s="2462"/>
      <c r="D505" s="2462"/>
      <c r="E505" s="2462"/>
      <c r="F505" s="2462"/>
      <c r="G505" s="2462"/>
      <c r="H505" s="2462"/>
      <c r="I505" s="2579"/>
      <c r="J505" s="2579"/>
      <c r="K505" s="2579"/>
      <c r="L505" s="2579"/>
      <c r="M505" s="2579"/>
      <c r="N505" s="2579"/>
      <c r="O505" s="2579"/>
    </row>
    <row r="506" spans="1:15" s="2463" customFormat="1">
      <c r="A506" s="2462"/>
      <c r="B506" s="2462"/>
      <c r="C506" s="2462"/>
      <c r="D506" s="2462"/>
      <c r="E506" s="2462"/>
      <c r="F506" s="2462"/>
      <c r="G506" s="2462"/>
      <c r="H506" s="2462"/>
      <c r="I506" s="2579"/>
      <c r="J506" s="2579"/>
      <c r="K506" s="2579"/>
      <c r="L506" s="2579"/>
      <c r="M506" s="2579"/>
      <c r="N506" s="2579"/>
      <c r="O506" s="2579"/>
    </row>
    <row r="507" spans="1:15" s="2463" customFormat="1">
      <c r="A507" s="2462"/>
      <c r="B507" s="2462"/>
      <c r="C507" s="2462"/>
      <c r="D507" s="2462"/>
      <c r="E507" s="2462"/>
      <c r="F507" s="2462"/>
      <c r="G507" s="2462"/>
      <c r="H507" s="2462"/>
      <c r="I507" s="2579"/>
      <c r="J507" s="2579"/>
      <c r="K507" s="2579"/>
      <c r="L507" s="2579"/>
      <c r="M507" s="2579"/>
      <c r="N507" s="2579"/>
      <c r="O507" s="2579"/>
    </row>
    <row r="508" spans="1:15" s="2463" customFormat="1">
      <c r="A508" s="2462"/>
      <c r="B508" s="2462"/>
      <c r="C508" s="2462"/>
      <c r="D508" s="2462"/>
      <c r="E508" s="2462"/>
      <c r="F508" s="2462"/>
      <c r="G508" s="2462"/>
      <c r="H508" s="2462"/>
      <c r="I508" s="2579"/>
      <c r="J508" s="2579"/>
      <c r="K508" s="2579"/>
      <c r="L508" s="2579"/>
      <c r="M508" s="2579"/>
      <c r="N508" s="2579"/>
      <c r="O508" s="2579"/>
    </row>
    <row r="509" spans="1:15" s="2463" customFormat="1">
      <c r="A509" s="2462"/>
      <c r="B509" s="2462"/>
      <c r="C509" s="2462"/>
      <c r="D509" s="2462"/>
      <c r="E509" s="2462"/>
      <c r="F509" s="2462"/>
      <c r="G509" s="2462"/>
      <c r="H509" s="2462"/>
      <c r="I509" s="2579"/>
      <c r="J509" s="2579"/>
      <c r="K509" s="2579"/>
      <c r="L509" s="2579"/>
      <c r="M509" s="2579"/>
      <c r="N509" s="2579"/>
      <c r="O509" s="2579"/>
    </row>
    <row r="510" spans="1:15" s="2463" customFormat="1">
      <c r="A510" s="2462"/>
      <c r="B510" s="2462"/>
      <c r="C510" s="2462"/>
      <c r="D510" s="2462"/>
      <c r="E510" s="2462"/>
      <c r="F510" s="2462"/>
      <c r="G510" s="2462"/>
      <c r="H510" s="2462"/>
      <c r="I510" s="2579"/>
      <c r="J510" s="2579"/>
      <c r="K510" s="2579"/>
      <c r="L510" s="2579"/>
      <c r="M510" s="2579"/>
      <c r="N510" s="2579"/>
      <c r="O510" s="2579"/>
    </row>
    <row r="511" spans="1:15" s="2463" customFormat="1">
      <c r="A511" s="2462"/>
      <c r="B511" s="2462"/>
      <c r="C511" s="2462"/>
      <c r="D511" s="2462"/>
      <c r="E511" s="2462"/>
      <c r="F511" s="2462"/>
      <c r="G511" s="2462"/>
      <c r="H511" s="2462"/>
      <c r="I511" s="2579"/>
      <c r="J511" s="2579"/>
      <c r="K511" s="2579"/>
      <c r="L511" s="2579"/>
      <c r="M511" s="2579"/>
      <c r="N511" s="2579"/>
      <c r="O511" s="2579"/>
    </row>
    <row r="512" spans="1:15" s="2463" customFormat="1">
      <c r="A512" s="2462"/>
      <c r="B512" s="2462"/>
      <c r="C512" s="2462"/>
      <c r="D512" s="2462"/>
      <c r="E512" s="2462"/>
      <c r="F512" s="2462"/>
      <c r="G512" s="2462"/>
      <c r="H512" s="2462"/>
      <c r="I512" s="2579"/>
      <c r="J512" s="2579"/>
      <c r="K512" s="2579"/>
      <c r="L512" s="2579"/>
      <c r="M512" s="2579"/>
      <c r="N512" s="2579"/>
      <c r="O512" s="2579"/>
    </row>
    <row r="513" spans="1:15" s="2463" customFormat="1">
      <c r="A513" s="2462"/>
      <c r="B513" s="2462"/>
      <c r="C513" s="2462"/>
      <c r="D513" s="2462"/>
      <c r="E513" s="2462"/>
      <c r="F513" s="2462"/>
      <c r="G513" s="2462"/>
      <c r="H513" s="2462"/>
      <c r="I513" s="2579"/>
      <c r="J513" s="2579"/>
      <c r="K513" s="2579"/>
      <c r="L513" s="2579"/>
      <c r="M513" s="2579"/>
      <c r="N513" s="2579"/>
      <c r="O513" s="2579"/>
    </row>
    <row r="514" spans="1:15" s="2463" customFormat="1">
      <c r="A514" s="2462"/>
      <c r="B514" s="2462"/>
      <c r="C514" s="2462"/>
      <c r="D514" s="2462"/>
      <c r="E514" s="2462"/>
      <c r="F514" s="2462"/>
      <c r="G514" s="2462"/>
      <c r="H514" s="2462"/>
      <c r="I514" s="2579"/>
      <c r="J514" s="2579"/>
      <c r="K514" s="2579"/>
      <c r="L514" s="2579"/>
      <c r="M514" s="2579"/>
      <c r="N514" s="2579"/>
      <c r="O514" s="2579"/>
    </row>
    <row r="515" spans="1:15" s="2463" customFormat="1">
      <c r="A515" s="2462"/>
      <c r="B515" s="2462"/>
      <c r="C515" s="2462"/>
      <c r="D515" s="2462"/>
      <c r="E515" s="2462"/>
      <c r="F515" s="2462"/>
      <c r="G515" s="2462"/>
      <c r="H515" s="2462"/>
      <c r="I515" s="2579"/>
      <c r="J515" s="2579"/>
      <c r="K515" s="2579"/>
      <c r="L515" s="2579"/>
      <c r="M515" s="2579"/>
      <c r="N515" s="2579"/>
      <c r="O515" s="2579"/>
    </row>
    <row r="516" spans="1:15" s="2463" customFormat="1">
      <c r="A516" s="2462"/>
      <c r="B516" s="2462"/>
      <c r="C516" s="2462"/>
      <c r="D516" s="2462"/>
      <c r="E516" s="2462"/>
      <c r="F516" s="2462"/>
      <c r="G516" s="2462"/>
      <c r="H516" s="2462"/>
      <c r="I516" s="2579"/>
      <c r="J516" s="2579"/>
      <c r="K516" s="2579"/>
      <c r="L516" s="2579"/>
      <c r="M516" s="2579"/>
      <c r="N516" s="2579"/>
      <c r="O516" s="2579"/>
    </row>
    <row r="517" spans="1:15" s="2463" customFormat="1">
      <c r="A517" s="2462"/>
      <c r="B517" s="2462"/>
      <c r="C517" s="2462"/>
      <c r="D517" s="2462"/>
      <c r="E517" s="2462"/>
      <c r="F517" s="2462"/>
      <c r="G517" s="2462"/>
      <c r="H517" s="2462"/>
      <c r="I517" s="2579"/>
      <c r="J517" s="2579"/>
      <c r="K517" s="2579"/>
      <c r="L517" s="2579"/>
      <c r="M517" s="2579"/>
      <c r="N517" s="2579"/>
      <c r="O517" s="2579"/>
    </row>
    <row r="518" spans="1:15" s="2463" customFormat="1">
      <c r="A518" s="2462"/>
      <c r="B518" s="2462"/>
      <c r="C518" s="2462"/>
      <c r="D518" s="2462"/>
      <c r="E518" s="2462"/>
      <c r="F518" s="2462"/>
      <c r="G518" s="2462"/>
      <c r="H518" s="2462"/>
      <c r="I518" s="2579"/>
      <c r="J518" s="2579"/>
      <c r="K518" s="2579"/>
      <c r="L518" s="2579"/>
      <c r="M518" s="2579"/>
      <c r="N518" s="2579"/>
      <c r="O518" s="2579"/>
    </row>
    <row r="519" spans="1:15" s="2463" customFormat="1">
      <c r="A519" s="2462"/>
      <c r="B519" s="2462"/>
      <c r="C519" s="2462"/>
      <c r="D519" s="2462"/>
      <c r="E519" s="2462"/>
      <c r="F519" s="2462"/>
      <c r="G519" s="2462"/>
      <c r="H519" s="2462"/>
      <c r="I519" s="2579"/>
      <c r="J519" s="2579"/>
      <c r="K519" s="2579"/>
      <c r="L519" s="2579"/>
      <c r="M519" s="2579"/>
      <c r="N519" s="2579"/>
      <c r="O519" s="2579"/>
    </row>
    <row r="520" spans="1:15" s="2463" customFormat="1">
      <c r="A520" s="2462"/>
      <c r="B520" s="2462"/>
      <c r="C520" s="2462"/>
      <c r="D520" s="2462"/>
      <c r="E520" s="2462"/>
      <c r="F520" s="2462"/>
      <c r="G520" s="2462"/>
      <c r="H520" s="2462"/>
      <c r="I520" s="2579"/>
      <c r="J520" s="2579"/>
      <c r="K520" s="2579"/>
      <c r="L520" s="2579"/>
      <c r="M520" s="2579"/>
      <c r="N520" s="2579"/>
      <c r="O520" s="2579"/>
    </row>
    <row r="521" spans="1:15" s="2463" customFormat="1">
      <c r="A521" s="2462"/>
      <c r="B521" s="2462"/>
      <c r="C521" s="2462"/>
      <c r="D521" s="2462"/>
      <c r="E521" s="2462"/>
      <c r="F521" s="2462"/>
      <c r="G521" s="2462"/>
      <c r="H521" s="2462"/>
      <c r="I521" s="2579"/>
      <c r="J521" s="2579"/>
      <c r="K521" s="2579"/>
      <c r="L521" s="2579"/>
      <c r="M521" s="2579"/>
      <c r="N521" s="2579"/>
      <c r="O521" s="2579"/>
    </row>
    <row r="522" spans="1:15" s="2463" customFormat="1">
      <c r="A522" s="2462"/>
      <c r="B522" s="2462"/>
      <c r="C522" s="2462"/>
      <c r="D522" s="2462"/>
      <c r="E522" s="2462"/>
      <c r="F522" s="2462"/>
      <c r="G522" s="2462"/>
      <c r="H522" s="2462"/>
      <c r="I522" s="2579"/>
      <c r="J522" s="2579"/>
      <c r="K522" s="2579"/>
      <c r="L522" s="2579"/>
      <c r="M522" s="2579"/>
      <c r="N522" s="2579"/>
      <c r="O522" s="2579"/>
    </row>
    <row r="523" spans="1:15" s="2463" customFormat="1">
      <c r="A523" s="2462"/>
      <c r="B523" s="2462"/>
      <c r="C523" s="2462"/>
      <c r="D523" s="2462"/>
      <c r="E523" s="2462"/>
      <c r="F523" s="2462"/>
      <c r="G523" s="2462"/>
      <c r="H523" s="2462"/>
      <c r="I523" s="2579"/>
      <c r="J523" s="2579"/>
      <c r="K523" s="2579"/>
      <c r="L523" s="2579"/>
      <c r="M523" s="2579"/>
      <c r="N523" s="2579"/>
      <c r="O523" s="2579"/>
    </row>
    <row r="524" spans="1:15" s="2463" customFormat="1">
      <c r="A524" s="2462"/>
      <c r="B524" s="2462"/>
      <c r="C524" s="2462"/>
      <c r="D524" s="2462"/>
      <c r="E524" s="2462"/>
      <c r="F524" s="2462"/>
      <c r="G524" s="2462"/>
      <c r="H524" s="2462"/>
      <c r="I524" s="2579"/>
      <c r="J524" s="2579"/>
      <c r="K524" s="2579"/>
      <c r="L524" s="2579"/>
      <c r="M524" s="2579"/>
      <c r="N524" s="2579"/>
      <c r="O524" s="2579"/>
    </row>
    <row r="525" spans="1:15" s="2463" customFormat="1">
      <c r="A525" s="2462"/>
      <c r="B525" s="2462"/>
      <c r="C525" s="2462"/>
      <c r="D525" s="2462"/>
      <c r="E525" s="2462"/>
      <c r="F525" s="2462"/>
      <c r="G525" s="2462"/>
      <c r="H525" s="2462"/>
      <c r="I525" s="2579"/>
      <c r="J525" s="2579"/>
      <c r="K525" s="2579"/>
      <c r="L525" s="2579"/>
      <c r="M525" s="2579"/>
      <c r="N525" s="2579"/>
      <c r="O525" s="2579"/>
    </row>
    <row r="526" spans="1:15" s="2463" customFormat="1">
      <c r="A526" s="2462"/>
      <c r="B526" s="2462"/>
      <c r="C526" s="2462"/>
      <c r="D526" s="2462"/>
      <c r="E526" s="2462"/>
      <c r="F526" s="2462"/>
      <c r="G526" s="2462"/>
      <c r="H526" s="2462"/>
      <c r="I526" s="2579"/>
      <c r="J526" s="2579"/>
      <c r="K526" s="2579"/>
      <c r="L526" s="2579"/>
      <c r="M526" s="2579"/>
      <c r="N526" s="2579"/>
      <c r="O526" s="2579"/>
    </row>
    <row r="527" spans="1:15" s="2463" customFormat="1">
      <c r="A527" s="2462"/>
      <c r="B527" s="2462"/>
      <c r="C527" s="2462"/>
      <c r="D527" s="2462"/>
      <c r="E527" s="2462"/>
      <c r="F527" s="2462"/>
      <c r="G527" s="2462"/>
      <c r="H527" s="2462"/>
      <c r="I527" s="2579"/>
      <c r="J527" s="2579"/>
      <c r="K527" s="2579"/>
      <c r="L527" s="2579"/>
      <c r="M527" s="2579"/>
      <c r="N527" s="2579"/>
      <c r="O527" s="2579"/>
    </row>
    <row r="528" spans="1:15" s="2463" customFormat="1">
      <c r="A528" s="2462"/>
      <c r="B528" s="2462"/>
      <c r="C528" s="2462"/>
      <c r="D528" s="2462"/>
      <c r="E528" s="2462"/>
      <c r="F528" s="2462"/>
      <c r="G528" s="2462"/>
      <c r="H528" s="2462"/>
      <c r="I528" s="2579"/>
      <c r="J528" s="2579"/>
      <c r="K528" s="2579"/>
      <c r="L528" s="2579"/>
      <c r="M528" s="2579"/>
      <c r="N528" s="2579"/>
      <c r="O528" s="2579"/>
    </row>
    <row r="529" spans="1:15" s="2463" customFormat="1">
      <c r="A529" s="2462"/>
      <c r="B529" s="2462"/>
      <c r="C529" s="2462"/>
      <c r="D529" s="2462"/>
      <c r="E529" s="2462"/>
      <c r="F529" s="2462"/>
      <c r="G529" s="2462"/>
      <c r="H529" s="2462"/>
      <c r="I529" s="2579"/>
      <c r="J529" s="2579"/>
      <c r="K529" s="2579"/>
      <c r="L529" s="2579"/>
      <c r="M529" s="2579"/>
      <c r="N529" s="2579"/>
      <c r="O529" s="2579"/>
    </row>
    <row r="530" spans="1:15" s="2463" customFormat="1">
      <c r="A530" s="2462"/>
      <c r="B530" s="2462"/>
      <c r="C530" s="2462"/>
      <c r="D530" s="2462"/>
      <c r="E530" s="2462"/>
      <c r="F530" s="2462"/>
      <c r="G530" s="2462"/>
      <c r="H530" s="2462"/>
      <c r="I530" s="2579"/>
      <c r="J530" s="2579"/>
      <c r="K530" s="2579"/>
      <c r="L530" s="2579"/>
      <c r="M530" s="2579"/>
      <c r="N530" s="2579"/>
      <c r="O530" s="2579"/>
    </row>
    <row r="531" spans="1:15" s="2463" customFormat="1">
      <c r="A531" s="2462"/>
      <c r="B531" s="2462"/>
      <c r="C531" s="2462"/>
      <c r="D531" s="2462"/>
      <c r="E531" s="2462"/>
      <c r="F531" s="2462"/>
      <c r="G531" s="2462"/>
      <c r="H531" s="2462"/>
      <c r="I531" s="2579"/>
      <c r="J531" s="2579"/>
      <c r="K531" s="2579"/>
      <c r="L531" s="2579"/>
      <c r="M531" s="2579"/>
      <c r="N531" s="2579"/>
      <c r="O531" s="2579"/>
    </row>
    <row r="532" spans="1:15" s="2463" customFormat="1">
      <c r="A532" s="2462"/>
      <c r="B532" s="2462"/>
      <c r="C532" s="2462"/>
      <c r="D532" s="2462"/>
      <c r="E532" s="2462"/>
      <c r="F532" s="2462"/>
      <c r="G532" s="2462"/>
      <c r="H532" s="2462"/>
      <c r="I532" s="2579"/>
      <c r="J532" s="2579"/>
      <c r="K532" s="2579"/>
      <c r="L532" s="2579"/>
      <c r="M532" s="2579"/>
      <c r="N532" s="2579"/>
      <c r="O532" s="2579"/>
    </row>
    <row r="533" spans="1:15" s="2463" customFormat="1">
      <c r="A533" s="2462"/>
      <c r="B533" s="2462"/>
      <c r="C533" s="2462"/>
      <c r="D533" s="2462"/>
      <c r="E533" s="2462"/>
      <c r="F533" s="2462"/>
      <c r="G533" s="2462"/>
      <c r="H533" s="2462"/>
      <c r="I533" s="2579"/>
      <c r="J533" s="2579"/>
      <c r="K533" s="2579"/>
      <c r="L533" s="2579"/>
      <c r="M533" s="2579"/>
      <c r="N533" s="2579"/>
      <c r="O533" s="2579"/>
    </row>
    <row r="534" spans="1:15" s="2463" customFormat="1">
      <c r="A534" s="2462"/>
      <c r="B534" s="2462"/>
      <c r="C534" s="2462"/>
      <c r="D534" s="2462"/>
      <c r="E534" s="2462"/>
      <c r="F534" s="2462"/>
      <c r="G534" s="2462"/>
      <c r="H534" s="2462"/>
      <c r="I534" s="2579"/>
      <c r="J534" s="2579"/>
      <c r="K534" s="2579"/>
      <c r="L534" s="2579"/>
      <c r="M534" s="2579"/>
      <c r="N534" s="2579"/>
      <c r="O534" s="2579"/>
    </row>
    <row r="535" spans="1:15" s="2463" customFormat="1">
      <c r="A535" s="2462"/>
      <c r="B535" s="2462"/>
      <c r="C535" s="2462"/>
      <c r="D535" s="2462"/>
      <c r="E535" s="2462"/>
      <c r="F535" s="2462"/>
      <c r="G535" s="2462"/>
      <c r="H535" s="2462"/>
      <c r="I535" s="2579"/>
      <c r="J535" s="2579"/>
      <c r="K535" s="2579"/>
      <c r="L535" s="2579"/>
      <c r="M535" s="2579"/>
      <c r="N535" s="2579"/>
      <c r="O535" s="2579"/>
    </row>
    <row r="536" spans="1:15" s="2463" customFormat="1">
      <c r="A536" s="2462"/>
      <c r="B536" s="2462"/>
      <c r="C536" s="2462"/>
      <c r="D536" s="2462"/>
      <c r="E536" s="2462"/>
      <c r="F536" s="2462"/>
      <c r="G536" s="2462"/>
      <c r="H536" s="2462"/>
      <c r="I536" s="2579"/>
      <c r="J536" s="2579"/>
      <c r="K536" s="2579"/>
      <c r="L536" s="2579"/>
      <c r="M536" s="2579"/>
      <c r="N536" s="2579"/>
      <c r="O536" s="2579"/>
    </row>
    <row r="537" spans="1:15" s="2463" customFormat="1">
      <c r="A537" s="2462"/>
      <c r="B537" s="2462"/>
      <c r="C537" s="2462"/>
      <c r="D537" s="2462"/>
      <c r="E537" s="2462"/>
      <c r="F537" s="2462"/>
      <c r="G537" s="2462"/>
      <c r="H537" s="2462"/>
      <c r="I537" s="2579"/>
      <c r="J537" s="2579"/>
      <c r="K537" s="2579"/>
      <c r="L537" s="2579"/>
      <c r="M537" s="2579"/>
      <c r="N537" s="2579"/>
      <c r="O537" s="2579"/>
    </row>
    <row r="538" spans="1:15" s="2463" customFormat="1">
      <c r="A538" s="2462"/>
      <c r="B538" s="2462"/>
      <c r="C538" s="2462"/>
      <c r="D538" s="2462"/>
      <c r="E538" s="2462"/>
      <c r="F538" s="2462"/>
      <c r="G538" s="2462"/>
      <c r="H538" s="2462"/>
      <c r="I538" s="2579"/>
      <c r="J538" s="2579"/>
      <c r="K538" s="2579"/>
      <c r="L538" s="2579"/>
      <c r="M538" s="2579"/>
      <c r="N538" s="2579"/>
      <c r="O538" s="2579"/>
    </row>
    <row r="539" spans="1:15" s="2463" customFormat="1">
      <c r="A539" s="2462"/>
      <c r="B539" s="2462"/>
      <c r="C539" s="2462"/>
      <c r="D539" s="2462"/>
      <c r="E539" s="2462"/>
      <c r="F539" s="2462"/>
      <c r="G539" s="2462"/>
      <c r="H539" s="2462"/>
      <c r="I539" s="2579"/>
      <c r="J539" s="2579"/>
      <c r="K539" s="2579"/>
      <c r="L539" s="2579"/>
      <c r="M539" s="2579"/>
      <c r="N539" s="2579"/>
      <c r="O539" s="2579"/>
    </row>
    <row r="540" spans="1:15" s="2463" customFormat="1">
      <c r="A540" s="2462"/>
      <c r="B540" s="2462"/>
      <c r="C540" s="2462"/>
      <c r="D540" s="2462"/>
      <c r="E540" s="2462"/>
      <c r="F540" s="2462"/>
      <c r="G540" s="2462"/>
      <c r="H540" s="2462"/>
      <c r="I540" s="2579"/>
      <c r="J540" s="2579"/>
      <c r="K540" s="2579"/>
      <c r="L540" s="2579"/>
      <c r="M540" s="2579"/>
      <c r="N540" s="2579"/>
      <c r="O540" s="2579"/>
    </row>
    <row r="541" spans="1:15" s="2463" customFormat="1">
      <c r="A541" s="2462"/>
      <c r="B541" s="2462"/>
      <c r="C541" s="2462"/>
      <c r="D541" s="2462"/>
      <c r="E541" s="2462"/>
      <c r="F541" s="2462"/>
      <c r="G541" s="2462"/>
      <c r="H541" s="2462"/>
      <c r="I541" s="2579"/>
      <c r="J541" s="2579"/>
      <c r="K541" s="2579"/>
      <c r="L541" s="2579"/>
      <c r="M541" s="2579"/>
      <c r="N541" s="2579"/>
      <c r="O541" s="2579"/>
    </row>
    <row r="548" spans="1:15" s="2463" customFormat="1">
      <c r="A548" s="2462"/>
      <c r="B548" s="2462"/>
      <c r="C548" s="2462"/>
      <c r="D548" s="2462"/>
      <c r="E548" s="2462"/>
      <c r="F548" s="2462"/>
      <c r="G548" s="2462"/>
      <c r="H548" s="2462"/>
      <c r="I548" s="2579"/>
      <c r="J548" s="2579"/>
      <c r="K548" s="2579"/>
      <c r="L548" s="2579"/>
      <c r="M548" s="2579"/>
      <c r="N548" s="2579"/>
      <c r="O548" s="2579"/>
    </row>
    <row r="549" spans="1:15" s="2463" customFormat="1">
      <c r="A549" s="2462"/>
      <c r="B549" s="2462"/>
      <c r="C549" s="2462"/>
      <c r="D549" s="2462"/>
      <c r="E549" s="2462"/>
      <c r="F549" s="2462"/>
      <c r="G549" s="2462"/>
      <c r="H549" s="2462"/>
      <c r="I549" s="2579"/>
      <c r="J549" s="2579"/>
      <c r="K549" s="2579"/>
      <c r="L549" s="2579"/>
      <c r="M549" s="2579"/>
      <c r="N549" s="2579"/>
      <c r="O549" s="2579"/>
    </row>
    <row r="550" spans="1:15" s="2463" customFormat="1">
      <c r="A550" s="2462"/>
      <c r="B550" s="2462"/>
      <c r="C550" s="2462"/>
      <c r="D550" s="2462"/>
      <c r="E550" s="2462"/>
      <c r="F550" s="2462"/>
      <c r="G550" s="2462"/>
      <c r="H550" s="2462"/>
      <c r="I550" s="2579"/>
      <c r="J550" s="2579"/>
      <c r="K550" s="2579"/>
      <c r="L550" s="2579"/>
      <c r="M550" s="2579"/>
      <c r="N550" s="2579"/>
      <c r="O550" s="2579"/>
    </row>
    <row r="551" spans="1:15" s="2463" customFormat="1">
      <c r="A551" s="2462"/>
      <c r="B551" s="2462"/>
      <c r="C551" s="2462"/>
      <c r="D551" s="2462"/>
      <c r="E551" s="2462"/>
      <c r="F551" s="2462"/>
      <c r="G551" s="2462"/>
      <c r="H551" s="2462"/>
      <c r="I551" s="2579"/>
      <c r="J551" s="2579"/>
      <c r="K551" s="2579"/>
      <c r="L551" s="2579"/>
      <c r="M551" s="2579"/>
      <c r="N551" s="2579"/>
      <c r="O551" s="2579"/>
    </row>
    <row r="552" spans="1:15" s="2463" customFormat="1">
      <c r="A552" s="2462"/>
      <c r="B552" s="2462"/>
      <c r="C552" s="2462"/>
      <c r="D552" s="2462"/>
      <c r="E552" s="2462"/>
      <c r="F552" s="2462"/>
      <c r="G552" s="2462"/>
      <c r="H552" s="2462"/>
      <c r="I552" s="2579"/>
      <c r="J552" s="2579"/>
      <c r="K552" s="2579"/>
      <c r="L552" s="2579"/>
      <c r="M552" s="2579"/>
      <c r="N552" s="2579"/>
      <c r="O552" s="2579"/>
    </row>
    <row r="553" spans="1:15" s="2463" customFormat="1">
      <c r="A553" s="2462"/>
      <c r="B553" s="2462"/>
      <c r="C553" s="2462"/>
      <c r="D553" s="2462"/>
      <c r="E553" s="2462"/>
      <c r="F553" s="2462"/>
      <c r="G553" s="2462"/>
      <c r="H553" s="2462"/>
      <c r="I553" s="2579"/>
      <c r="J553" s="2579"/>
      <c r="K553" s="2579"/>
      <c r="L553" s="2579"/>
      <c r="M553" s="2579"/>
      <c r="N553" s="2579"/>
      <c r="O553" s="2579"/>
    </row>
    <row r="554" spans="1:15" s="2463" customFormat="1">
      <c r="A554" s="2462"/>
      <c r="B554" s="2462"/>
      <c r="C554" s="2462"/>
      <c r="D554" s="2462"/>
      <c r="E554" s="2462"/>
      <c r="F554" s="2462"/>
      <c r="G554" s="2462"/>
      <c r="H554" s="2462"/>
      <c r="I554" s="2579"/>
      <c r="J554" s="2579"/>
      <c r="K554" s="2579"/>
      <c r="L554" s="2579"/>
      <c r="M554" s="2579"/>
      <c r="N554" s="2579"/>
      <c r="O554" s="2579"/>
    </row>
    <row r="555" spans="1:15" s="2463" customFormat="1">
      <c r="A555" s="2462"/>
      <c r="B555" s="2462"/>
      <c r="C555" s="2462"/>
      <c r="D555" s="2462"/>
      <c r="E555" s="2462"/>
      <c r="F555" s="2462"/>
      <c r="G555" s="2462"/>
      <c r="H555" s="2462"/>
      <c r="I555" s="2579"/>
      <c r="J555" s="2579"/>
      <c r="K555" s="2579"/>
      <c r="L555" s="2579"/>
      <c r="M555" s="2579"/>
      <c r="N555" s="2579"/>
      <c r="O555" s="2579"/>
    </row>
    <row r="556" spans="1:15" s="2463" customFormat="1">
      <c r="A556" s="2462"/>
      <c r="B556" s="2462"/>
      <c r="C556" s="2462"/>
      <c r="D556" s="2462"/>
      <c r="E556" s="2462"/>
      <c r="F556" s="2462"/>
      <c r="G556" s="2462"/>
      <c r="H556" s="2462"/>
      <c r="I556" s="2579"/>
      <c r="J556" s="2579"/>
      <c r="K556" s="2579"/>
      <c r="L556" s="2579"/>
      <c r="M556" s="2579"/>
      <c r="N556" s="2579"/>
      <c r="O556" s="2579"/>
    </row>
    <row r="557" spans="1:15" s="2463" customFormat="1">
      <c r="A557" s="2462"/>
      <c r="B557" s="2462"/>
      <c r="C557" s="2462"/>
      <c r="D557" s="2462"/>
      <c r="E557" s="2462"/>
      <c r="F557" s="2462"/>
      <c r="G557" s="2462"/>
      <c r="H557" s="2462"/>
      <c r="I557" s="2579"/>
      <c r="J557" s="2579"/>
      <c r="K557" s="2579"/>
      <c r="L557" s="2579"/>
      <c r="M557" s="2579"/>
      <c r="N557" s="2579"/>
      <c r="O557" s="2579"/>
    </row>
    <row r="558" spans="1:15" s="2463" customFormat="1">
      <c r="A558" s="2462"/>
      <c r="B558" s="2462"/>
      <c r="C558" s="2462"/>
      <c r="D558" s="2462"/>
      <c r="E558" s="2462"/>
      <c r="F558" s="2462"/>
      <c r="G558" s="2462"/>
      <c r="H558" s="2462"/>
      <c r="I558" s="2579"/>
      <c r="J558" s="2579"/>
      <c r="K558" s="2579"/>
      <c r="L558" s="2579"/>
      <c r="M558" s="2579"/>
      <c r="N558" s="2579"/>
      <c r="O558" s="2579"/>
    </row>
    <row r="559" spans="1:15" s="2463" customFormat="1">
      <c r="A559" s="2462"/>
      <c r="B559" s="2462"/>
      <c r="C559" s="2462"/>
      <c r="D559" s="2462"/>
      <c r="E559" s="2462"/>
      <c r="F559" s="2462"/>
      <c r="G559" s="2462"/>
      <c r="H559" s="2462"/>
      <c r="I559" s="2579"/>
      <c r="J559" s="2579"/>
      <c r="K559" s="2579"/>
      <c r="L559" s="2579"/>
      <c r="M559" s="2579"/>
      <c r="N559" s="2579"/>
      <c r="O559" s="2579"/>
    </row>
    <row r="560" spans="1:15" s="2463" customFormat="1">
      <c r="A560" s="2462"/>
      <c r="B560" s="2462"/>
      <c r="C560" s="2462"/>
      <c r="D560" s="2462"/>
      <c r="E560" s="2462"/>
      <c r="F560" s="2462"/>
      <c r="G560" s="2462"/>
      <c r="H560" s="2462"/>
      <c r="I560" s="2579"/>
      <c r="J560" s="2579"/>
      <c r="K560" s="2579"/>
      <c r="L560" s="2579"/>
      <c r="M560" s="2579"/>
      <c r="N560" s="2579"/>
      <c r="O560" s="2579"/>
    </row>
    <row r="561" spans="1:15" s="2463" customFormat="1">
      <c r="A561" s="2462"/>
      <c r="B561" s="2462"/>
      <c r="C561" s="2462"/>
      <c r="D561" s="2462"/>
      <c r="E561" s="2462"/>
      <c r="F561" s="2462"/>
      <c r="G561" s="2462"/>
      <c r="H561" s="2462"/>
      <c r="I561" s="2579"/>
      <c r="J561" s="2579"/>
      <c r="K561" s="2579"/>
      <c r="L561" s="2579"/>
      <c r="M561" s="2579"/>
      <c r="N561" s="2579"/>
      <c r="O561" s="2579"/>
    </row>
    <row r="562" spans="1:15" s="2463" customFormat="1">
      <c r="A562" s="2462"/>
      <c r="B562" s="2462"/>
      <c r="C562" s="2462"/>
      <c r="D562" s="2462"/>
      <c r="E562" s="2462"/>
      <c r="F562" s="2462"/>
      <c r="G562" s="2462"/>
      <c r="H562" s="2462"/>
      <c r="I562" s="2579"/>
      <c r="J562" s="2579"/>
      <c r="K562" s="2579"/>
      <c r="L562" s="2579"/>
      <c r="M562" s="2579"/>
      <c r="N562" s="2579"/>
      <c r="O562" s="2579"/>
    </row>
    <row r="563" spans="1:15" s="2463" customFormat="1">
      <c r="A563" s="2462"/>
      <c r="B563" s="2462"/>
      <c r="C563" s="2462"/>
      <c r="D563" s="2462"/>
      <c r="E563" s="2462"/>
      <c r="F563" s="2462"/>
      <c r="G563" s="2462"/>
      <c r="H563" s="2462"/>
      <c r="I563" s="2579"/>
      <c r="J563" s="2579"/>
      <c r="K563" s="2579"/>
      <c r="L563" s="2579"/>
      <c r="M563" s="2579"/>
      <c r="N563" s="2579"/>
      <c r="O563" s="2579"/>
    </row>
    <row r="564" spans="1:15" s="2463" customFormat="1">
      <c r="A564" s="2462"/>
      <c r="B564" s="2462"/>
      <c r="C564" s="2462"/>
      <c r="D564" s="2462"/>
      <c r="E564" s="2462"/>
      <c r="F564" s="2462"/>
      <c r="G564" s="2462"/>
      <c r="H564" s="2462"/>
      <c r="I564" s="2579"/>
      <c r="J564" s="2579"/>
      <c r="K564" s="2579"/>
      <c r="L564" s="2579"/>
      <c r="M564" s="2579"/>
      <c r="N564" s="2579"/>
      <c r="O564" s="2579"/>
    </row>
    <row r="565" spans="1:15" s="2463" customFormat="1" ht="7.5" customHeight="1">
      <c r="A565" s="2462"/>
      <c r="B565" s="2462"/>
      <c r="C565" s="2462"/>
      <c r="D565" s="2462"/>
      <c r="E565" s="2462"/>
      <c r="F565" s="2462"/>
      <c r="G565" s="2462"/>
      <c r="H565" s="2462"/>
      <c r="I565" s="2579"/>
      <c r="J565" s="2579"/>
      <c r="K565" s="2579"/>
      <c r="L565" s="2579"/>
      <c r="M565" s="2579"/>
      <c r="N565" s="2579"/>
      <c r="O565" s="2579"/>
    </row>
    <row r="566" spans="1:15" s="2463" customFormat="1" ht="7.5" customHeight="1">
      <c r="A566" s="2462"/>
      <c r="B566" s="2462"/>
      <c r="C566" s="2462"/>
      <c r="D566" s="2462"/>
      <c r="E566" s="2462"/>
      <c r="F566" s="2462"/>
      <c r="G566" s="2462"/>
      <c r="H566" s="2462"/>
      <c r="I566" s="2579"/>
      <c r="J566" s="2579"/>
      <c r="K566" s="2579"/>
      <c r="L566" s="2579"/>
      <c r="M566" s="2579"/>
      <c r="N566" s="2579"/>
      <c r="O566" s="2579"/>
    </row>
    <row r="567" spans="1:15" s="2463" customFormat="1" ht="7.5" customHeight="1">
      <c r="A567" s="2462"/>
      <c r="B567" s="2462"/>
      <c r="C567" s="2462"/>
      <c r="D567" s="2462"/>
      <c r="E567" s="2462"/>
      <c r="F567" s="2462"/>
      <c r="G567" s="2462"/>
      <c r="H567" s="2462"/>
      <c r="I567" s="2579"/>
      <c r="J567" s="2579"/>
      <c r="K567" s="2579"/>
      <c r="L567" s="2579"/>
      <c r="M567" s="2579"/>
      <c r="N567" s="2579"/>
      <c r="O567" s="2579"/>
    </row>
    <row r="568" spans="1:15" s="2463" customFormat="1" ht="7.5" customHeight="1">
      <c r="A568" s="2462"/>
      <c r="B568" s="2462"/>
      <c r="C568" s="2462"/>
      <c r="D568" s="2462"/>
      <c r="E568" s="2462"/>
      <c r="F568" s="2462"/>
      <c r="G568" s="2462"/>
      <c r="H568" s="2462"/>
      <c r="I568" s="2579"/>
      <c r="J568" s="2579"/>
      <c r="K568" s="2579"/>
      <c r="L568" s="2579"/>
      <c r="M568" s="2579"/>
      <c r="N568" s="2579"/>
      <c r="O568" s="2579"/>
    </row>
    <row r="569" spans="1:15" s="2463" customFormat="1" ht="7.5" customHeight="1">
      <c r="A569" s="2462"/>
      <c r="B569" s="2462"/>
      <c r="C569" s="2462"/>
      <c r="D569" s="2462"/>
      <c r="E569" s="2462"/>
      <c r="F569" s="2462"/>
      <c r="G569" s="2462"/>
      <c r="H569" s="2462"/>
      <c r="I569" s="2579"/>
      <c r="J569" s="2579"/>
      <c r="K569" s="2579"/>
      <c r="L569" s="2579"/>
      <c r="M569" s="2579"/>
      <c r="N569" s="2579"/>
      <c r="O569" s="2579"/>
    </row>
    <row r="570" spans="1:15" s="2463" customFormat="1" ht="7.5" customHeight="1">
      <c r="A570" s="2462"/>
      <c r="B570" s="2462"/>
      <c r="C570" s="2462"/>
      <c r="D570" s="2462"/>
      <c r="E570" s="2462"/>
      <c r="F570" s="2462"/>
      <c r="G570" s="2462"/>
      <c r="H570" s="2462"/>
      <c r="I570" s="2579"/>
      <c r="J570" s="2579"/>
      <c r="K570" s="2579"/>
      <c r="L570" s="2579"/>
      <c r="M570" s="2579"/>
      <c r="N570" s="2579"/>
      <c r="O570" s="2579"/>
    </row>
    <row r="571" spans="1:15" s="2463" customFormat="1" ht="7.5" customHeight="1">
      <c r="A571" s="2462"/>
      <c r="B571" s="2462"/>
      <c r="C571" s="2462"/>
      <c r="D571" s="2462"/>
      <c r="E571" s="2462"/>
      <c r="F571" s="2462"/>
      <c r="G571" s="2462"/>
      <c r="H571" s="2462"/>
      <c r="I571" s="2579"/>
      <c r="J571" s="2579"/>
      <c r="K571" s="2579"/>
      <c r="L571" s="2579"/>
      <c r="M571" s="2579"/>
      <c r="N571" s="2579"/>
      <c r="O571" s="2579"/>
    </row>
    <row r="572" spans="1:15" s="2463" customFormat="1" ht="7.5" customHeight="1">
      <c r="A572" s="2462"/>
      <c r="B572" s="2462"/>
      <c r="C572" s="2462"/>
      <c r="D572" s="2462"/>
      <c r="E572" s="2462"/>
      <c r="F572" s="2462"/>
      <c r="G572" s="2462"/>
      <c r="H572" s="2462"/>
      <c r="I572" s="2579"/>
      <c r="J572" s="2579"/>
      <c r="K572" s="2579"/>
      <c r="L572" s="2579"/>
      <c r="M572" s="2579"/>
      <c r="N572" s="2579"/>
      <c r="O572" s="2579"/>
    </row>
    <row r="573" spans="1:15" s="2463" customFormat="1" ht="7.5" customHeight="1">
      <c r="A573" s="2462"/>
      <c r="B573" s="2462"/>
      <c r="C573" s="2462"/>
      <c r="D573" s="2462"/>
      <c r="E573" s="2462"/>
      <c r="F573" s="2462"/>
      <c r="G573" s="2462"/>
      <c r="H573" s="2462"/>
      <c r="I573" s="2579"/>
      <c r="J573" s="2579"/>
      <c r="K573" s="2579"/>
      <c r="L573" s="2579"/>
      <c r="M573" s="2579"/>
      <c r="N573" s="2579"/>
      <c r="O573" s="2579"/>
    </row>
    <row r="574" spans="1:15" s="2463" customFormat="1" ht="7.5" customHeight="1">
      <c r="A574" s="2462"/>
      <c r="B574" s="2462"/>
      <c r="C574" s="2462"/>
      <c r="D574" s="2462"/>
      <c r="E574" s="2462"/>
      <c r="F574" s="2462"/>
      <c r="G574" s="2462"/>
      <c r="H574" s="2462"/>
      <c r="I574" s="2579"/>
      <c r="J574" s="2579"/>
      <c r="K574" s="2579"/>
      <c r="L574" s="2579"/>
      <c r="M574" s="2579"/>
      <c r="N574" s="2579"/>
      <c r="O574" s="2579"/>
    </row>
    <row r="575" spans="1:15" s="2463" customFormat="1" ht="7.5" customHeight="1">
      <c r="A575" s="2462"/>
      <c r="B575" s="2462"/>
      <c r="C575" s="2462"/>
      <c r="D575" s="2462"/>
      <c r="E575" s="2462"/>
      <c r="F575" s="2462"/>
      <c r="G575" s="2462"/>
      <c r="H575" s="2462"/>
      <c r="I575" s="2579"/>
      <c r="J575" s="2579"/>
      <c r="K575" s="2579"/>
      <c r="L575" s="2579"/>
      <c r="M575" s="2579"/>
      <c r="N575" s="2579"/>
      <c r="O575" s="2579"/>
    </row>
    <row r="576" spans="1:15" s="2463" customFormat="1" ht="7.5" customHeight="1">
      <c r="A576" s="2462"/>
      <c r="B576" s="2462"/>
      <c r="C576" s="2462"/>
      <c r="D576" s="2462"/>
      <c r="E576" s="2462"/>
      <c r="F576" s="2462"/>
      <c r="G576" s="2462"/>
      <c r="H576" s="2462"/>
      <c r="I576" s="2579"/>
      <c r="J576" s="2579"/>
      <c r="K576" s="2579"/>
      <c r="L576" s="2579"/>
      <c r="M576" s="2579"/>
      <c r="N576" s="2579"/>
      <c r="O576" s="2579"/>
    </row>
    <row r="577" spans="1:15" s="2463" customFormat="1" ht="7.5" customHeight="1">
      <c r="A577" s="2462"/>
      <c r="B577" s="2462"/>
      <c r="C577" s="2462"/>
      <c r="D577" s="2462"/>
      <c r="E577" s="2462"/>
      <c r="F577" s="2462"/>
      <c r="G577" s="2462"/>
      <c r="H577" s="2462"/>
      <c r="I577" s="2579"/>
      <c r="J577" s="2579"/>
      <c r="K577" s="2579"/>
      <c r="L577" s="2579"/>
      <c r="M577" s="2579"/>
      <c r="N577" s="2579"/>
      <c r="O577" s="2579"/>
    </row>
    <row r="578" spans="1:15" s="2463" customFormat="1" ht="7.5" customHeight="1">
      <c r="A578" s="2462"/>
      <c r="B578" s="2462"/>
      <c r="C578" s="2462"/>
      <c r="D578" s="2462"/>
      <c r="E578" s="2462"/>
      <c r="F578" s="2462"/>
      <c r="G578" s="2462"/>
      <c r="H578" s="2462"/>
      <c r="I578" s="2579"/>
      <c r="J578" s="2579"/>
      <c r="K578" s="2579"/>
      <c r="L578" s="2579"/>
      <c r="M578" s="2579"/>
      <c r="N578" s="2579"/>
      <c r="O578" s="2579"/>
    </row>
    <row r="579" spans="1:15" s="2463" customFormat="1" ht="7.5" customHeight="1">
      <c r="A579" s="2462"/>
      <c r="B579" s="2462"/>
      <c r="C579" s="2462"/>
      <c r="D579" s="2462"/>
      <c r="E579" s="2462"/>
      <c r="F579" s="2462"/>
      <c r="G579" s="2462"/>
      <c r="H579" s="2462"/>
      <c r="I579" s="2579"/>
      <c r="J579" s="2579"/>
      <c r="K579" s="2579"/>
      <c r="L579" s="2579"/>
      <c r="M579" s="2579"/>
      <c r="N579" s="2579"/>
      <c r="O579" s="2579"/>
    </row>
    <row r="580" spans="1:15" s="2463" customFormat="1" ht="7.5" customHeight="1">
      <c r="A580" s="2462"/>
      <c r="B580" s="2462"/>
      <c r="C580" s="2462"/>
      <c r="D580" s="2462"/>
      <c r="E580" s="2462"/>
      <c r="F580" s="2462"/>
      <c r="G580" s="2462"/>
      <c r="H580" s="2462"/>
      <c r="I580" s="2579"/>
      <c r="J580" s="2579"/>
      <c r="K580" s="2579"/>
      <c r="L580" s="2579"/>
      <c r="M580" s="2579"/>
      <c r="N580" s="2579"/>
      <c r="O580" s="2579"/>
    </row>
    <row r="581" spans="1:15" s="2463" customFormat="1" ht="7.5" customHeight="1">
      <c r="A581" s="2462"/>
      <c r="B581" s="2462"/>
      <c r="C581" s="2462"/>
      <c r="D581" s="2462"/>
      <c r="E581" s="2462"/>
      <c r="F581" s="2462"/>
      <c r="G581" s="2462"/>
      <c r="H581" s="2462"/>
      <c r="I581" s="2579"/>
      <c r="J581" s="2579"/>
      <c r="K581" s="2579"/>
      <c r="L581" s="2579"/>
      <c r="M581" s="2579"/>
      <c r="N581" s="2579"/>
      <c r="O581" s="2579"/>
    </row>
    <row r="582" spans="1:15" s="2463" customFormat="1" ht="7.5" customHeight="1">
      <c r="A582" s="2462"/>
      <c r="B582" s="2462"/>
      <c r="C582" s="2462"/>
      <c r="D582" s="2462"/>
      <c r="E582" s="2462"/>
      <c r="F582" s="2462"/>
      <c r="G582" s="2462"/>
      <c r="H582" s="2462"/>
      <c r="I582" s="2579"/>
      <c r="J582" s="2579"/>
      <c r="K582" s="2579"/>
      <c r="L582" s="2579"/>
      <c r="M582" s="2579"/>
      <c r="N582" s="2579"/>
      <c r="O582" s="2579"/>
    </row>
    <row r="583" spans="1:15" s="2463" customFormat="1" ht="7.5" customHeight="1">
      <c r="A583" s="2462"/>
      <c r="B583" s="2462"/>
      <c r="C583" s="2462"/>
      <c r="D583" s="2462"/>
      <c r="E583" s="2462"/>
      <c r="F583" s="2462"/>
      <c r="G583" s="2462"/>
      <c r="H583" s="2462"/>
      <c r="I583" s="2579"/>
      <c r="J583" s="2579"/>
      <c r="K583" s="2579"/>
      <c r="L583" s="2579"/>
      <c r="M583" s="2579"/>
      <c r="N583" s="2579"/>
      <c r="O583" s="2579"/>
    </row>
    <row r="584" spans="1:15" s="2463" customFormat="1" ht="7.5" customHeight="1">
      <c r="A584" s="2462"/>
      <c r="B584" s="2462"/>
      <c r="C584" s="2462"/>
      <c r="D584" s="2462"/>
      <c r="E584" s="2462"/>
      <c r="F584" s="2462"/>
      <c r="G584" s="2462"/>
      <c r="H584" s="2462"/>
      <c r="I584" s="2579"/>
      <c r="J584" s="2579"/>
      <c r="K584" s="2579"/>
      <c r="L584" s="2579"/>
      <c r="M584" s="2579"/>
      <c r="N584" s="2579"/>
      <c r="O584" s="2579"/>
    </row>
    <row r="585" spans="1:15" s="2463" customFormat="1" ht="7.5" customHeight="1">
      <c r="A585" s="2462"/>
      <c r="B585" s="2462"/>
      <c r="C585" s="2462"/>
      <c r="D585" s="2462"/>
      <c r="E585" s="2462"/>
      <c r="F585" s="2462"/>
      <c r="G585" s="2462"/>
      <c r="H585" s="2462"/>
      <c r="I585" s="2579"/>
      <c r="J585" s="2579"/>
      <c r="K585" s="2579"/>
      <c r="L585" s="2579"/>
      <c r="M585" s="2579"/>
      <c r="N585" s="2579"/>
      <c r="O585" s="2579"/>
    </row>
    <row r="586" spans="1:15" s="2463" customFormat="1" ht="7.5" customHeight="1">
      <c r="A586" s="2462"/>
      <c r="B586" s="2462"/>
      <c r="C586" s="2462"/>
      <c r="D586" s="2462"/>
      <c r="E586" s="2462"/>
      <c r="F586" s="2462"/>
      <c r="G586" s="2462"/>
      <c r="H586" s="2462"/>
      <c r="I586" s="2579"/>
      <c r="J586" s="2579"/>
      <c r="K586" s="2579"/>
      <c r="L586" s="2579"/>
      <c r="M586" s="2579"/>
      <c r="N586" s="2579"/>
      <c r="O586" s="2579"/>
    </row>
    <row r="587" spans="1:15" s="2463" customFormat="1" ht="7.5" customHeight="1">
      <c r="A587" s="2462"/>
      <c r="B587" s="2462"/>
      <c r="C587" s="2462"/>
      <c r="D587" s="2462"/>
      <c r="E587" s="2462"/>
      <c r="F587" s="2462"/>
      <c r="G587" s="2462"/>
      <c r="H587" s="2462"/>
      <c r="I587" s="2579"/>
      <c r="J587" s="2579"/>
      <c r="K587" s="2579"/>
      <c r="L587" s="2579"/>
      <c r="M587" s="2579"/>
      <c r="N587" s="2579"/>
      <c r="O587" s="2579"/>
    </row>
    <row r="588" spans="1:15" s="2463" customFormat="1" ht="7.5" customHeight="1">
      <c r="A588" s="2462"/>
      <c r="B588" s="2462"/>
      <c r="C588" s="2462"/>
      <c r="D588" s="2462"/>
      <c r="E588" s="2462"/>
      <c r="F588" s="2462"/>
      <c r="G588" s="2462"/>
      <c r="H588" s="2462"/>
      <c r="I588" s="2579"/>
      <c r="J588" s="2579"/>
      <c r="K588" s="2579"/>
      <c r="L588" s="2579"/>
      <c r="M588" s="2579"/>
      <c r="N588" s="2579"/>
      <c r="O588" s="2579"/>
    </row>
    <row r="589" spans="1:15" s="2463" customFormat="1" ht="7.5" customHeight="1">
      <c r="A589" s="2462"/>
      <c r="B589" s="2462"/>
      <c r="C589" s="2462"/>
      <c r="D589" s="2462"/>
      <c r="E589" s="2462"/>
      <c r="F589" s="2462"/>
      <c r="G589" s="2462"/>
      <c r="H589" s="2462"/>
      <c r="I589" s="2579"/>
      <c r="J589" s="2579"/>
      <c r="K589" s="2579"/>
      <c r="L589" s="2579"/>
      <c r="M589" s="2579"/>
      <c r="N589" s="2579"/>
      <c r="O589" s="2579"/>
    </row>
    <row r="590" spans="1:15" s="2463" customFormat="1" ht="7.5" customHeight="1">
      <c r="A590" s="2462"/>
      <c r="B590" s="2462"/>
      <c r="C590" s="2462"/>
      <c r="D590" s="2462"/>
      <c r="E590" s="2462"/>
      <c r="F590" s="2462"/>
      <c r="G590" s="2462"/>
      <c r="H590" s="2462"/>
      <c r="I590" s="2579"/>
      <c r="J590" s="2579"/>
      <c r="K590" s="2579"/>
      <c r="L590" s="2579"/>
      <c r="M590" s="2579"/>
      <c r="N590" s="2579"/>
      <c r="O590" s="2579"/>
    </row>
    <row r="591" spans="1:15" s="2463" customFormat="1" ht="7.5" customHeight="1">
      <c r="A591" s="2462"/>
      <c r="B591" s="2462"/>
      <c r="C591" s="2462"/>
      <c r="D591" s="2462"/>
      <c r="E591" s="2462"/>
      <c r="F591" s="2462"/>
      <c r="G591" s="2462"/>
      <c r="H591" s="2462"/>
      <c r="I591" s="2579"/>
      <c r="J591" s="2579"/>
      <c r="K591" s="2579"/>
      <c r="L591" s="2579"/>
      <c r="M591" s="2579"/>
      <c r="N591" s="2579"/>
      <c r="O591" s="2579"/>
    </row>
    <row r="592" spans="1:15" s="2463" customFormat="1" ht="7.5" customHeight="1">
      <c r="A592" s="2462"/>
      <c r="B592" s="2462"/>
      <c r="C592" s="2462"/>
      <c r="D592" s="2462"/>
      <c r="E592" s="2462"/>
      <c r="F592" s="2462"/>
      <c r="G592" s="2462"/>
      <c r="H592" s="2462"/>
      <c r="I592" s="2579"/>
      <c r="J592" s="2579"/>
      <c r="K592" s="2579"/>
      <c r="L592" s="2579"/>
      <c r="M592" s="2579"/>
      <c r="N592" s="2579"/>
      <c r="O592" s="2579"/>
    </row>
    <row r="593" spans="1:15" s="2463" customFormat="1" ht="7.5" customHeight="1">
      <c r="A593" s="2462"/>
      <c r="B593" s="2462"/>
      <c r="C593" s="2462"/>
      <c r="D593" s="2462"/>
      <c r="E593" s="2462"/>
      <c r="F593" s="2462"/>
      <c r="G593" s="2462"/>
      <c r="H593" s="2462"/>
      <c r="I593" s="2579"/>
      <c r="J593" s="2579"/>
      <c r="K593" s="2579"/>
      <c r="L593" s="2579"/>
      <c r="M593" s="2579"/>
      <c r="N593" s="2579"/>
      <c r="O593" s="2579"/>
    </row>
    <row r="594" spans="1:15" s="2463" customFormat="1" ht="7.5" customHeight="1">
      <c r="A594" s="2462"/>
      <c r="B594" s="2462"/>
      <c r="C594" s="2462"/>
      <c r="D594" s="2462"/>
      <c r="E594" s="2462"/>
      <c r="F594" s="2462"/>
      <c r="G594" s="2462"/>
      <c r="H594" s="2462"/>
      <c r="I594" s="2579"/>
      <c r="J594" s="2579"/>
      <c r="K594" s="2579"/>
      <c r="L594" s="2579"/>
      <c r="M594" s="2579"/>
      <c r="N594" s="2579"/>
      <c r="O594" s="2579"/>
    </row>
    <row r="595" spans="1:15" s="2463" customFormat="1" ht="7.5" customHeight="1">
      <c r="A595" s="2462"/>
      <c r="B595" s="2462"/>
      <c r="C595" s="2462"/>
      <c r="D595" s="2462"/>
      <c r="E595" s="2462"/>
      <c r="F595" s="2462"/>
      <c r="G595" s="2462"/>
      <c r="H595" s="2462"/>
      <c r="I595" s="2579"/>
      <c r="J595" s="2579"/>
      <c r="K595" s="2579"/>
      <c r="L595" s="2579"/>
      <c r="M595" s="2579"/>
      <c r="N595" s="2579"/>
      <c r="O595" s="2579"/>
    </row>
    <row r="596" spans="1:15" s="2463" customFormat="1" ht="7.5" customHeight="1">
      <c r="A596" s="2462"/>
      <c r="B596" s="2462"/>
      <c r="C596" s="2462"/>
      <c r="D596" s="2462"/>
      <c r="E596" s="2462"/>
      <c r="F596" s="2462"/>
      <c r="G596" s="2462"/>
      <c r="H596" s="2462"/>
      <c r="I596" s="2579"/>
      <c r="J596" s="2579"/>
      <c r="K596" s="2579"/>
      <c r="L596" s="2579"/>
      <c r="M596" s="2579"/>
      <c r="N596" s="2579"/>
      <c r="O596" s="2579"/>
    </row>
    <row r="597" spans="1:15" s="2463" customFormat="1" ht="7.5" customHeight="1">
      <c r="A597" s="2462"/>
      <c r="B597" s="2462"/>
      <c r="C597" s="2462"/>
      <c r="D597" s="2462"/>
      <c r="E597" s="2462"/>
      <c r="F597" s="2462"/>
      <c r="G597" s="2462"/>
      <c r="H597" s="2462"/>
      <c r="I597" s="2579"/>
      <c r="J597" s="2579"/>
      <c r="K597" s="2579"/>
      <c r="L597" s="2579"/>
      <c r="M597" s="2579"/>
      <c r="N597" s="2579"/>
      <c r="O597" s="2579"/>
    </row>
    <row r="598" spans="1:15" s="2463" customFormat="1" ht="7.5" customHeight="1">
      <c r="A598" s="2462"/>
      <c r="B598" s="2462"/>
      <c r="C598" s="2462"/>
      <c r="D598" s="2462"/>
      <c r="E598" s="2462"/>
      <c r="F598" s="2462"/>
      <c r="G598" s="2462"/>
      <c r="H598" s="2462"/>
      <c r="I598" s="2579"/>
      <c r="J598" s="2579"/>
      <c r="K598" s="2579"/>
      <c r="L598" s="2579"/>
      <c r="M598" s="2579"/>
      <c r="N598" s="2579"/>
      <c r="O598" s="2579"/>
    </row>
    <row r="599" spans="1:15" s="2463" customFormat="1" ht="7.5" customHeight="1">
      <c r="A599" s="2462"/>
      <c r="B599" s="2462"/>
      <c r="C599" s="2462"/>
      <c r="D599" s="2462"/>
      <c r="E599" s="2462"/>
      <c r="F599" s="2462"/>
      <c r="G599" s="2462"/>
      <c r="H599" s="2462"/>
      <c r="I599" s="2579"/>
      <c r="J599" s="2579"/>
      <c r="K599" s="2579"/>
      <c r="L599" s="2579"/>
      <c r="M599" s="2579"/>
      <c r="N599" s="2579"/>
      <c r="O599" s="2579"/>
    </row>
    <row r="600" spans="1:15" s="2463" customFormat="1" ht="7.5" customHeight="1">
      <c r="A600" s="2462"/>
      <c r="B600" s="2462"/>
      <c r="C600" s="2462"/>
      <c r="D600" s="2462"/>
      <c r="E600" s="2462"/>
      <c r="F600" s="2462"/>
      <c r="G600" s="2462"/>
      <c r="H600" s="2462"/>
      <c r="I600" s="2579"/>
      <c r="J600" s="2579"/>
      <c r="K600" s="2579"/>
      <c r="L600" s="2579"/>
      <c r="M600" s="2579"/>
      <c r="N600" s="2579"/>
      <c r="O600" s="2579"/>
    </row>
    <row r="604" spans="1:15" s="2463" customFormat="1">
      <c r="A604" s="2462"/>
      <c r="B604" s="2462"/>
      <c r="C604" s="2462"/>
      <c r="D604" s="2462"/>
      <c r="E604" s="2462"/>
      <c r="F604" s="2462"/>
      <c r="G604" s="2462"/>
      <c r="H604" s="2462"/>
      <c r="I604" s="2579"/>
      <c r="J604" s="2579"/>
      <c r="K604" s="2579"/>
      <c r="L604" s="2579"/>
      <c r="M604" s="2579"/>
      <c r="N604" s="2579"/>
      <c r="O604" s="2579"/>
    </row>
    <row r="605" spans="1:15" s="2463" customFormat="1">
      <c r="A605" s="2462"/>
      <c r="B605" s="2462"/>
      <c r="C605" s="2462"/>
      <c r="D605" s="2462"/>
      <c r="E605" s="2462"/>
      <c r="F605" s="2462"/>
      <c r="G605" s="2462"/>
      <c r="H605" s="2462"/>
      <c r="I605" s="2579"/>
      <c r="J605" s="2579"/>
      <c r="K605" s="2579"/>
      <c r="L605" s="2579"/>
      <c r="M605" s="2579"/>
      <c r="N605" s="2579"/>
      <c r="O605" s="2579"/>
    </row>
    <row r="606" spans="1:15" s="2463" customFormat="1">
      <c r="A606" s="2462"/>
      <c r="B606" s="2462"/>
      <c r="C606" s="2462"/>
      <c r="D606" s="2462"/>
      <c r="E606" s="2462"/>
      <c r="F606" s="2462"/>
      <c r="G606" s="2462"/>
      <c r="H606" s="2462"/>
      <c r="I606" s="2579"/>
      <c r="J606" s="2579"/>
      <c r="K606" s="2579"/>
      <c r="L606" s="2579"/>
      <c r="M606" s="2579"/>
      <c r="N606" s="2579"/>
      <c r="O606" s="2579"/>
    </row>
    <row r="607" spans="1:15" s="2463" customFormat="1">
      <c r="A607" s="2462"/>
      <c r="B607" s="2462"/>
      <c r="C607" s="2462"/>
      <c r="D607" s="2462"/>
      <c r="E607" s="2462"/>
      <c r="F607" s="2462"/>
      <c r="G607" s="2462"/>
      <c r="H607" s="2462"/>
      <c r="I607" s="2579"/>
      <c r="J607" s="2579"/>
      <c r="K607" s="2579"/>
      <c r="L607" s="2579"/>
      <c r="M607" s="2579"/>
      <c r="N607" s="2579"/>
      <c r="O607" s="2579"/>
    </row>
    <row r="608" spans="1:15" s="2463" customFormat="1">
      <c r="A608" s="2462"/>
      <c r="B608" s="2462"/>
      <c r="C608" s="2462"/>
      <c r="D608" s="2462"/>
      <c r="E608" s="2462"/>
      <c r="F608" s="2462"/>
      <c r="G608" s="2462"/>
      <c r="H608" s="2462"/>
      <c r="I608" s="2579"/>
      <c r="J608" s="2579"/>
      <c r="K608" s="2579"/>
      <c r="L608" s="2579"/>
      <c r="M608" s="2579"/>
      <c r="N608" s="2579"/>
      <c r="O608" s="2579"/>
    </row>
    <row r="609" spans="1:15" s="2463" customFormat="1">
      <c r="A609" s="2462"/>
      <c r="B609" s="2462"/>
      <c r="C609" s="2462"/>
      <c r="D609" s="2462"/>
      <c r="E609" s="2462"/>
      <c r="F609" s="2462"/>
      <c r="G609" s="2462"/>
      <c r="H609" s="2462"/>
      <c r="I609" s="2579"/>
      <c r="J609" s="2579"/>
      <c r="K609" s="2579"/>
      <c r="L609" s="2579"/>
      <c r="M609" s="2579"/>
      <c r="N609" s="2579"/>
      <c r="O609" s="2579"/>
    </row>
    <row r="610" spans="1:15" s="2463" customFormat="1">
      <c r="A610" s="2462"/>
      <c r="B610" s="2462"/>
      <c r="C610" s="2462"/>
      <c r="D610" s="2462"/>
      <c r="E610" s="2462"/>
      <c r="F610" s="2462"/>
      <c r="G610" s="2462"/>
      <c r="H610" s="2462"/>
      <c r="I610" s="2579"/>
      <c r="J610" s="2579"/>
      <c r="K610" s="2579"/>
      <c r="L610" s="2579"/>
      <c r="M610" s="2579"/>
      <c r="N610" s="2579"/>
      <c r="O610" s="2579"/>
    </row>
    <row r="611" spans="1:15" s="2463" customFormat="1">
      <c r="A611" s="2462"/>
      <c r="B611" s="2462"/>
      <c r="C611" s="2462"/>
      <c r="D611" s="2462"/>
      <c r="E611" s="2462"/>
      <c r="F611" s="2462"/>
      <c r="G611" s="2462"/>
      <c r="H611" s="2462"/>
      <c r="I611" s="2579"/>
      <c r="J611" s="2579"/>
      <c r="K611" s="2579"/>
      <c r="L611" s="2579"/>
      <c r="M611" s="2579"/>
      <c r="N611" s="2579"/>
      <c r="O611" s="2579"/>
    </row>
    <row r="612" spans="1:15" s="2463" customFormat="1">
      <c r="A612" s="2462"/>
      <c r="B612" s="2462"/>
      <c r="C612" s="2462"/>
      <c r="D612" s="2462"/>
      <c r="E612" s="2462"/>
      <c r="F612" s="2462"/>
      <c r="G612" s="2462"/>
      <c r="H612" s="2462"/>
      <c r="I612" s="2579"/>
      <c r="J612" s="2579"/>
      <c r="K612" s="2579"/>
      <c r="L612" s="2579"/>
      <c r="M612" s="2579"/>
      <c r="N612" s="2579"/>
      <c r="O612" s="2579"/>
    </row>
    <row r="613" spans="1:15" s="2463" customFormat="1">
      <c r="A613" s="2462"/>
      <c r="B613" s="2462"/>
      <c r="C613" s="2462"/>
      <c r="D613" s="2462"/>
      <c r="E613" s="2462"/>
      <c r="F613" s="2462"/>
      <c r="G613" s="2462"/>
      <c r="H613" s="2462"/>
      <c r="I613" s="2579"/>
      <c r="J613" s="2579"/>
      <c r="K613" s="2579"/>
      <c r="L613" s="2579"/>
      <c r="M613" s="2579"/>
      <c r="N613" s="2579"/>
      <c r="O613" s="2579"/>
    </row>
    <row r="614" spans="1:15" s="2463" customFormat="1">
      <c r="A614" s="2462"/>
      <c r="B614" s="2462"/>
      <c r="C614" s="2462"/>
      <c r="D614" s="2462"/>
      <c r="E614" s="2462"/>
      <c r="F614" s="2462"/>
      <c r="G614" s="2462"/>
      <c r="H614" s="2462"/>
      <c r="I614" s="2579"/>
      <c r="J614" s="2579"/>
      <c r="K614" s="2579"/>
      <c r="L614" s="2579"/>
      <c r="M614" s="2579"/>
      <c r="N614" s="2579"/>
      <c r="O614" s="2579"/>
    </row>
    <row r="615" spans="1:15" s="2463" customFormat="1">
      <c r="A615" s="2462"/>
      <c r="B615" s="2462"/>
      <c r="C615" s="2462"/>
      <c r="D615" s="2462"/>
      <c r="E615" s="2462"/>
      <c r="F615" s="2462"/>
      <c r="G615" s="2462"/>
      <c r="H615" s="2462"/>
      <c r="I615" s="2579"/>
      <c r="J615" s="2579"/>
      <c r="K615" s="2579"/>
      <c r="L615" s="2579"/>
      <c r="M615" s="2579"/>
      <c r="N615" s="2579"/>
      <c r="O615" s="2579"/>
    </row>
    <row r="616" spans="1:15" s="2463" customFormat="1">
      <c r="A616" s="2462"/>
      <c r="B616" s="2462"/>
      <c r="C616" s="2462"/>
      <c r="D616" s="2462"/>
      <c r="E616" s="2462"/>
      <c r="F616" s="2462"/>
      <c r="G616" s="2462"/>
      <c r="H616" s="2462"/>
      <c r="I616" s="2579"/>
      <c r="J616" s="2579"/>
      <c r="K616" s="2579"/>
      <c r="L616" s="2579"/>
      <c r="M616" s="2579"/>
      <c r="N616" s="2579"/>
      <c r="O616" s="2579"/>
    </row>
    <row r="617" spans="1:15" s="2463" customFormat="1">
      <c r="A617" s="2462"/>
      <c r="B617" s="2462"/>
      <c r="C617" s="2462"/>
      <c r="D617" s="2462"/>
      <c r="E617" s="2462"/>
      <c r="F617" s="2462"/>
      <c r="G617" s="2462"/>
      <c r="H617" s="2462"/>
      <c r="I617" s="2579"/>
      <c r="J617" s="2579"/>
      <c r="K617" s="2579"/>
      <c r="L617" s="2579"/>
      <c r="M617" s="2579"/>
      <c r="N617" s="2579"/>
      <c r="O617" s="2579"/>
    </row>
    <row r="618" spans="1:15" s="2463" customFormat="1">
      <c r="A618" s="2462"/>
      <c r="B618" s="2462"/>
      <c r="C618" s="2462"/>
      <c r="D618" s="2462"/>
      <c r="E618" s="2462"/>
      <c r="F618" s="2462"/>
      <c r="G618" s="2462"/>
      <c r="H618" s="2462"/>
      <c r="I618" s="2579"/>
      <c r="J618" s="2579"/>
      <c r="K618" s="2579"/>
      <c r="L618" s="2579"/>
      <c r="M618" s="2579"/>
      <c r="N618" s="2579"/>
      <c r="O618" s="2579"/>
    </row>
    <row r="619" spans="1:15" s="2463" customFormat="1">
      <c r="A619" s="2462"/>
      <c r="B619" s="2462"/>
      <c r="C619" s="2462"/>
      <c r="D619" s="2462"/>
      <c r="E619" s="2462"/>
      <c r="F619" s="2462"/>
      <c r="G619" s="2462"/>
      <c r="H619" s="2462"/>
      <c r="I619" s="2579"/>
      <c r="J619" s="2579"/>
      <c r="K619" s="2579"/>
      <c r="L619" s="2579"/>
      <c r="M619" s="2579"/>
      <c r="N619" s="2579"/>
      <c r="O619" s="2579"/>
    </row>
    <row r="620" spans="1:15" s="2463" customFormat="1">
      <c r="A620" s="2462"/>
      <c r="B620" s="2462"/>
      <c r="C620" s="2462"/>
      <c r="D620" s="2462"/>
      <c r="E620" s="2462"/>
      <c r="F620" s="2462"/>
      <c r="G620" s="2462"/>
      <c r="H620" s="2462"/>
      <c r="I620" s="2579"/>
      <c r="J620" s="2579"/>
      <c r="K620" s="2579"/>
      <c r="L620" s="2579"/>
      <c r="M620" s="2579"/>
      <c r="N620" s="2579"/>
      <c r="O620" s="2579"/>
    </row>
  </sheetData>
  <mergeCells count="29">
    <mergeCell ref="C132:D132"/>
    <mergeCell ref="E132:H132"/>
    <mergeCell ref="C76:D76"/>
    <mergeCell ref="E76:H76"/>
    <mergeCell ref="A113:H113"/>
    <mergeCell ref="A114:H114"/>
    <mergeCell ref="A119:B121"/>
    <mergeCell ref="E119:G119"/>
    <mergeCell ref="C34:E34"/>
    <mergeCell ref="F34:H34"/>
    <mergeCell ref="E129:F129"/>
    <mergeCell ref="C131:D131"/>
    <mergeCell ref="E131:H131"/>
    <mergeCell ref="A58:H58"/>
    <mergeCell ref="A63:B65"/>
    <mergeCell ref="E63:G63"/>
    <mergeCell ref="E73:F73"/>
    <mergeCell ref="A57:H57"/>
    <mergeCell ref="C75:D75"/>
    <mergeCell ref="E75:H75"/>
    <mergeCell ref="A35:B35"/>
    <mergeCell ref="C35:E35"/>
    <mergeCell ref="A5:H5"/>
    <mergeCell ref="A6:H6"/>
    <mergeCell ref="A33:B33"/>
    <mergeCell ref="C33:E33"/>
    <mergeCell ref="F33:H33"/>
    <mergeCell ref="A11:B13"/>
    <mergeCell ref="E11:G11"/>
  </mergeCells>
  <pageMargins left="0.5" right="0" top="0.25" bottom="0" header="0.5" footer="0"/>
  <pageSetup paperSize="5"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R47"/>
  <sheetViews>
    <sheetView showGridLines="0" showOutlineSymbols="0" topLeftCell="A13" zoomScale="130" zoomScaleNormal="130" workbookViewId="0">
      <selection activeCell="C38" sqref="C38"/>
    </sheetView>
  </sheetViews>
  <sheetFormatPr defaultColWidth="12.5703125" defaultRowHeight="15.75" outlineLevelRow="2" outlineLevelCol="2"/>
  <cols>
    <col min="1" max="1" width="1.85546875" style="235" customWidth="1"/>
    <col min="2" max="2" width="37.5703125" style="235" customWidth="1"/>
    <col min="3" max="3" width="7.42578125" style="235" customWidth="1"/>
    <col min="4" max="4" width="11.140625" style="235" customWidth="1"/>
    <col min="5" max="5" width="9.85546875" style="235" customWidth="1"/>
    <col min="6" max="6" width="11.28515625" style="235" customWidth="1"/>
    <col min="7" max="8" width="10.7109375" style="235" customWidth="1"/>
    <col min="9" max="15" width="0" style="235" hidden="1" customWidth="1"/>
    <col min="16" max="47" width="12.5703125" style="235"/>
    <col min="48" max="52" width="12.5703125" style="235" outlineLevel="1"/>
    <col min="53" max="58" width="12.5703125" style="235" outlineLevel="2"/>
    <col min="59" max="61" width="12.5703125" style="235" outlineLevel="1"/>
    <col min="62" max="81" width="12.5703125" style="235"/>
    <col min="82" max="85" width="12.5703125" style="235" outlineLevel="1"/>
    <col min="86" max="133" width="12.5703125" style="235"/>
    <col min="134" max="139" width="12.5703125" style="235" outlineLevel="1"/>
    <col min="140" max="145" width="12.5703125" style="235" outlineLevel="2"/>
    <col min="146" max="148" width="12.5703125" style="235" outlineLevel="1"/>
    <col min="149" max="16384" width="12.5703125" style="235"/>
  </cols>
  <sheetData>
    <row r="1" spans="1:9" ht="14.25" customHeight="1">
      <c r="A1" s="575" t="s">
        <v>473</v>
      </c>
      <c r="B1" s="134"/>
      <c r="C1" s="573"/>
      <c r="E1" s="270"/>
      <c r="H1" s="270"/>
      <c r="I1" s="572"/>
    </row>
    <row r="2" spans="1:9" ht="14.25" customHeight="1">
      <c r="A2" s="574" t="s">
        <v>584</v>
      </c>
      <c r="B2" s="134"/>
      <c r="C2" s="573"/>
      <c r="E2" s="270"/>
      <c r="H2" s="270"/>
      <c r="I2" s="572"/>
    </row>
    <row r="3" spans="1:9" ht="14.25" customHeight="1">
      <c r="A3" s="134"/>
      <c r="B3" s="134"/>
      <c r="C3" s="573"/>
      <c r="E3" s="270"/>
      <c r="G3" s="271"/>
      <c r="H3" s="270"/>
      <c r="I3" s="572"/>
    </row>
    <row r="4" spans="1:9" ht="14.25" customHeight="1">
      <c r="A4" s="134"/>
      <c r="B4" s="134"/>
      <c r="C4" s="573"/>
      <c r="E4" s="270"/>
      <c r="G4" s="271"/>
      <c r="H4" s="270"/>
      <c r="I4" s="572"/>
    </row>
    <row r="5" spans="1:9" ht="14.25" customHeight="1">
      <c r="A5" s="4648" t="s">
        <v>471</v>
      </c>
      <c r="B5" s="4648"/>
      <c r="C5" s="4648"/>
      <c r="D5" s="4648"/>
      <c r="E5" s="4648"/>
      <c r="F5" s="4648"/>
      <c r="G5" s="4648"/>
      <c r="H5" s="4648"/>
      <c r="I5" s="572"/>
    </row>
    <row r="6" spans="1:9" ht="14.25" customHeight="1">
      <c r="A6" s="4623" t="s">
        <v>583</v>
      </c>
      <c r="B6" s="4631"/>
      <c r="C6" s="4631"/>
      <c r="D6" s="4631"/>
      <c r="E6" s="4631"/>
      <c r="F6" s="4631"/>
      <c r="G6" s="4631"/>
      <c r="H6" s="4631"/>
      <c r="I6" s="572"/>
    </row>
    <row r="7" spans="1:9" ht="14.25" customHeight="1">
      <c r="A7" s="140"/>
      <c r="B7" s="140"/>
      <c r="C7" s="140"/>
      <c r="D7" s="140"/>
      <c r="E7" s="140"/>
      <c r="F7" s="140"/>
      <c r="G7" s="140"/>
      <c r="H7" s="140"/>
    </row>
    <row r="8" spans="1:9" ht="14.25" customHeight="1">
      <c r="A8" s="140"/>
      <c r="B8" s="140"/>
      <c r="C8" s="140"/>
      <c r="D8" s="140"/>
      <c r="E8" s="140"/>
      <c r="F8" s="140"/>
      <c r="G8" s="140"/>
      <c r="H8" s="140"/>
    </row>
    <row r="9" spans="1:9" ht="15" customHeight="1">
      <c r="A9" s="571" t="s">
        <v>679</v>
      </c>
      <c r="B9" s="397"/>
      <c r="D9" s="134"/>
      <c r="E9" s="134"/>
      <c r="F9" s="134"/>
      <c r="G9" s="134"/>
      <c r="H9" s="134"/>
    </row>
    <row r="10" spans="1:9" ht="12" customHeight="1">
      <c r="A10" s="398"/>
      <c r="B10" s="397"/>
      <c r="D10" s="134"/>
      <c r="E10" s="134"/>
      <c r="F10" s="134"/>
      <c r="G10" s="134"/>
      <c r="H10" s="134"/>
    </row>
    <row r="11" spans="1:9" ht="14.25" customHeight="1">
      <c r="A11" s="4624" t="s">
        <v>468</v>
      </c>
      <c r="B11" s="4625"/>
      <c r="C11" s="570" t="s">
        <v>467</v>
      </c>
      <c r="D11" s="264" t="s">
        <v>466</v>
      </c>
      <c r="E11" s="4632" t="s">
        <v>465</v>
      </c>
      <c r="F11" s="4633"/>
      <c r="G11" s="4634"/>
      <c r="H11" s="265" t="s">
        <v>464</v>
      </c>
    </row>
    <row r="12" spans="1:9" ht="14.25" customHeight="1">
      <c r="A12" s="4626"/>
      <c r="B12" s="4627"/>
      <c r="C12" s="569" t="s">
        <v>463</v>
      </c>
      <c r="D12" s="261">
        <v>2020</v>
      </c>
      <c r="E12" s="568" t="s">
        <v>462</v>
      </c>
      <c r="F12" s="568" t="s">
        <v>461</v>
      </c>
      <c r="G12" s="262" t="s">
        <v>244</v>
      </c>
      <c r="H12" s="262">
        <v>2022</v>
      </c>
    </row>
    <row r="13" spans="1:9" ht="14.25" customHeight="1">
      <c r="A13" s="4628"/>
      <c r="B13" s="4629"/>
      <c r="C13" s="567"/>
      <c r="D13" s="258" t="s">
        <v>460</v>
      </c>
      <c r="E13" s="258" t="s">
        <v>460</v>
      </c>
      <c r="F13" s="258" t="s">
        <v>459</v>
      </c>
      <c r="G13" s="259"/>
      <c r="H13" s="258" t="s">
        <v>458</v>
      </c>
    </row>
    <row r="14" spans="1:9" ht="17.100000000000001" customHeight="1">
      <c r="A14" s="537" t="s">
        <v>456</v>
      </c>
      <c r="B14" s="566"/>
      <c r="C14" s="195"/>
      <c r="D14" s="158"/>
      <c r="E14" s="158"/>
      <c r="F14" s="158"/>
      <c r="G14" s="157"/>
      <c r="H14" s="547"/>
    </row>
    <row r="15" spans="1:9" s="347" customFormat="1" ht="17.100000000000001" customHeight="1" outlineLevel="1">
      <c r="A15" s="565" t="s">
        <v>407</v>
      </c>
      <c r="B15" s="564"/>
      <c r="C15" s="563"/>
      <c r="D15" s="561">
        <f>SUM(D16:D36)</f>
        <v>2007001.67</v>
      </c>
      <c r="E15" s="562">
        <f>SUM(E16:E36)</f>
        <v>902144.01</v>
      </c>
      <c r="F15" s="561">
        <f>SUM(F16:F36)</f>
        <v>1667855.99</v>
      </c>
      <c r="G15" s="561">
        <f>SUM(G16:G36)</f>
        <v>2570000</v>
      </c>
      <c r="H15" s="561">
        <f>SUM(H16:H36)</f>
        <v>1930000</v>
      </c>
    </row>
    <row r="16" spans="1:9" s="347" customFormat="1" ht="19.899999999999999" customHeight="1" outlineLevel="1">
      <c r="A16" s="560" t="s">
        <v>678</v>
      </c>
      <c r="B16" s="162"/>
      <c r="C16" s="559" t="s">
        <v>677</v>
      </c>
      <c r="D16" s="558"/>
      <c r="E16" s="158"/>
      <c r="F16" s="158"/>
      <c r="G16" s="547"/>
      <c r="H16" s="547"/>
    </row>
    <row r="17" spans="1:10" s="347" customFormat="1" ht="19.899999999999999" customHeight="1" outlineLevel="1">
      <c r="A17" s="550" t="s">
        <v>676</v>
      </c>
      <c r="B17" s="549"/>
      <c r="C17" s="548"/>
      <c r="D17" s="160">
        <v>53342</v>
      </c>
      <c r="E17" s="158">
        <v>8319</v>
      </c>
      <c r="F17" s="158">
        <f>SUM(G17-E17)</f>
        <v>91681</v>
      </c>
      <c r="G17" s="547">
        <v>100000</v>
      </c>
      <c r="H17" s="547">
        <v>60000</v>
      </c>
    </row>
    <row r="18" spans="1:10" s="347" customFormat="1" ht="19.899999999999999" customHeight="1" outlineLevel="1">
      <c r="A18" s="550" t="s">
        <v>404</v>
      </c>
      <c r="B18" s="549"/>
      <c r="C18" s="548"/>
      <c r="D18" s="160">
        <v>71285.84</v>
      </c>
      <c r="E18" s="381">
        <v>7250</v>
      </c>
      <c r="F18" s="158">
        <f>SUM(G18-E18)</f>
        <v>78750</v>
      </c>
      <c r="G18" s="547">
        <v>86000</v>
      </c>
      <c r="H18" s="547">
        <v>36000</v>
      </c>
    </row>
    <row r="19" spans="1:10" s="347" customFormat="1" ht="19.899999999999999" customHeight="1" outlineLevel="1">
      <c r="A19" s="550" t="s">
        <v>402</v>
      </c>
      <c r="B19" s="549"/>
      <c r="C19" s="160"/>
      <c r="D19" s="158">
        <v>102506.85</v>
      </c>
      <c r="E19" s="158">
        <v>21395</v>
      </c>
      <c r="F19" s="158">
        <f>SUM(G19-E19)</f>
        <v>53605</v>
      </c>
      <c r="G19" s="547">
        <v>75000</v>
      </c>
      <c r="H19" s="547">
        <v>25000</v>
      </c>
    </row>
    <row r="20" spans="1:10" s="347" customFormat="1" ht="19.899999999999999" customHeight="1" outlineLevel="1">
      <c r="A20" s="550" t="s">
        <v>572</v>
      </c>
      <c r="B20" s="549"/>
      <c r="C20" s="548"/>
      <c r="D20" s="160"/>
      <c r="E20" s="158"/>
      <c r="F20" s="158"/>
      <c r="G20" s="547"/>
      <c r="H20" s="547"/>
    </row>
    <row r="21" spans="1:10" s="347" customFormat="1" ht="19.899999999999999" customHeight="1" outlineLevel="1">
      <c r="A21" s="552"/>
      <c r="B21" s="557" t="s">
        <v>675</v>
      </c>
      <c r="C21" s="548"/>
      <c r="D21" s="160">
        <v>7941.2</v>
      </c>
      <c r="E21" s="158">
        <v>12170</v>
      </c>
      <c r="F21" s="158">
        <f>SUM(G21-E21)</f>
        <v>77830</v>
      </c>
      <c r="G21" s="547">
        <v>90000</v>
      </c>
      <c r="H21" s="547">
        <v>20000</v>
      </c>
    </row>
    <row r="22" spans="1:10" s="347" customFormat="1" ht="19.899999999999999" customHeight="1" outlineLevel="1">
      <c r="A22" s="550" t="s">
        <v>674</v>
      </c>
      <c r="B22" s="549"/>
      <c r="C22" s="548"/>
      <c r="D22" s="160">
        <v>185369.07</v>
      </c>
      <c r="E22" s="158">
        <v>68472.650000000009</v>
      </c>
      <c r="F22" s="158">
        <f>SUM(G22-E22)</f>
        <v>241527.34999999998</v>
      </c>
      <c r="G22" s="547">
        <v>310000</v>
      </c>
      <c r="H22" s="547">
        <v>310000</v>
      </c>
    </row>
    <row r="23" spans="1:10" s="347" customFormat="1" ht="19.899999999999999" customHeight="1" outlineLevel="1">
      <c r="A23" s="550" t="s">
        <v>673</v>
      </c>
      <c r="B23" s="549"/>
      <c r="C23" s="548"/>
      <c r="D23" s="160">
        <v>10267.049999999999</v>
      </c>
      <c r="E23" s="158">
        <v>4813.9500000000007</v>
      </c>
      <c r="F23" s="158">
        <f>SUM(G23-E23)</f>
        <v>5186.0499999999993</v>
      </c>
      <c r="G23" s="547">
        <v>10000</v>
      </c>
      <c r="H23" s="547">
        <v>10000</v>
      </c>
    </row>
    <row r="24" spans="1:10" s="347" customFormat="1" ht="19.899999999999999" customHeight="1" outlineLevel="1">
      <c r="A24" s="550" t="s">
        <v>391</v>
      </c>
      <c r="B24" s="549"/>
      <c r="C24" s="548"/>
      <c r="D24" s="160">
        <v>27304.66</v>
      </c>
      <c r="E24" s="158">
        <v>17433.41</v>
      </c>
      <c r="F24" s="158">
        <f>SUM(G24-E24)</f>
        <v>42566.59</v>
      </c>
      <c r="G24" s="547">
        <v>60000</v>
      </c>
      <c r="H24" s="547">
        <v>30000</v>
      </c>
    </row>
    <row r="25" spans="1:10" s="347" customFormat="1" ht="19.899999999999999" customHeight="1" outlineLevel="1">
      <c r="A25" s="550" t="s">
        <v>389</v>
      </c>
      <c r="B25" s="549"/>
      <c r="C25" s="548"/>
      <c r="D25" s="160">
        <v>947100</v>
      </c>
      <c r="E25" s="157">
        <v>404100</v>
      </c>
      <c r="F25" s="158">
        <f>SUM(G25-E25)</f>
        <v>559900</v>
      </c>
      <c r="G25" s="547">
        <v>964000</v>
      </c>
      <c r="H25" s="547">
        <v>864000</v>
      </c>
      <c r="J25" s="556" t="s">
        <v>672</v>
      </c>
    </row>
    <row r="26" spans="1:10" s="347" customFormat="1" ht="19.899999999999999" customHeight="1" outlineLevel="1">
      <c r="A26" s="550" t="s">
        <v>670</v>
      </c>
      <c r="B26" s="549"/>
      <c r="C26" s="548"/>
      <c r="D26" s="160"/>
      <c r="E26" s="158"/>
      <c r="F26" s="158"/>
      <c r="G26" s="547"/>
      <c r="H26" s="547"/>
      <c r="J26" s="347" t="s">
        <v>671</v>
      </c>
    </row>
    <row r="27" spans="1:10" s="347" customFormat="1" ht="19.899999999999999" customHeight="1" outlineLevel="1">
      <c r="A27" s="550"/>
      <c r="B27" s="551" t="s">
        <v>381</v>
      </c>
      <c r="C27" s="548"/>
      <c r="D27" s="160">
        <v>0</v>
      </c>
      <c r="E27" s="160">
        <v>0</v>
      </c>
      <c r="F27" s="158">
        <f>SUM(G27-E27)</f>
        <v>20000</v>
      </c>
      <c r="G27" s="547">
        <v>20000</v>
      </c>
      <c r="H27" s="547">
        <v>10000</v>
      </c>
    </row>
    <row r="28" spans="1:10" s="347" customFormat="1" ht="19.899999999999999" customHeight="1" outlineLevel="1">
      <c r="A28" s="550" t="s">
        <v>670</v>
      </c>
      <c r="B28" s="549"/>
      <c r="C28" s="548"/>
      <c r="D28" s="160"/>
      <c r="E28" s="381"/>
      <c r="F28" s="158"/>
      <c r="G28" s="547"/>
      <c r="H28" s="547"/>
    </row>
    <row r="29" spans="1:10" s="347" customFormat="1" ht="19.899999999999999" customHeight="1" outlineLevel="1">
      <c r="A29" s="555" t="s">
        <v>669</v>
      </c>
      <c r="B29" s="549"/>
      <c r="C29" s="548"/>
      <c r="D29" s="160">
        <v>0</v>
      </c>
      <c r="E29" s="554">
        <v>0</v>
      </c>
      <c r="F29" s="158">
        <f>SUM(G29-E29)</f>
        <v>20000</v>
      </c>
      <c r="G29" s="547">
        <v>20000</v>
      </c>
      <c r="H29" s="547">
        <v>10000</v>
      </c>
    </row>
    <row r="30" spans="1:10" s="347" customFormat="1" ht="19.899999999999999" customHeight="1" outlineLevel="1">
      <c r="A30" s="550" t="s">
        <v>666</v>
      </c>
      <c r="B30" s="549"/>
      <c r="C30" s="548"/>
      <c r="D30" s="160"/>
      <c r="E30" s="158"/>
      <c r="F30" s="158"/>
      <c r="G30" s="547"/>
      <c r="H30" s="547"/>
      <c r="J30" s="347" t="s">
        <v>668</v>
      </c>
    </row>
    <row r="31" spans="1:10" s="347" customFormat="1" ht="19.899999999999999" customHeight="1" outlineLevel="1">
      <c r="A31" s="550"/>
      <c r="B31" s="551" t="s">
        <v>667</v>
      </c>
      <c r="C31" s="548"/>
      <c r="D31" s="160">
        <v>0</v>
      </c>
      <c r="E31" s="158">
        <v>7390</v>
      </c>
      <c r="F31" s="158">
        <f>SUM(G31-E31)</f>
        <v>12610</v>
      </c>
      <c r="G31" s="547">
        <v>20000</v>
      </c>
      <c r="H31" s="547">
        <v>10000</v>
      </c>
      <c r="J31" s="347">
        <v>5000</v>
      </c>
    </row>
    <row r="32" spans="1:10" s="347" customFormat="1" ht="19.899999999999999" customHeight="1" outlineLevel="1">
      <c r="A32" s="550" t="s">
        <v>666</v>
      </c>
      <c r="B32" s="553"/>
      <c r="C32" s="548"/>
      <c r="D32" s="160"/>
      <c r="E32" s="158"/>
      <c r="F32" s="158"/>
      <c r="G32" s="547"/>
      <c r="H32" s="547"/>
      <c r="J32" s="347">
        <v>2000</v>
      </c>
    </row>
    <row r="33" spans="1:9" s="347" customFormat="1" ht="19.899999999999999" customHeight="1" outlineLevel="1">
      <c r="A33" s="550"/>
      <c r="B33" s="551" t="s">
        <v>665</v>
      </c>
      <c r="C33" s="548"/>
      <c r="D33" s="160">
        <v>31445</v>
      </c>
      <c r="E33" s="158">
        <v>4000</v>
      </c>
      <c r="F33" s="158">
        <f>SUM(G33-E33)</f>
        <v>91000</v>
      </c>
      <c r="G33" s="547">
        <v>95000</v>
      </c>
      <c r="H33" s="547">
        <v>25000</v>
      </c>
    </row>
    <row r="34" spans="1:9" s="347" customFormat="1" ht="19.899999999999999" customHeight="1" outlineLevel="1">
      <c r="A34" s="550" t="s">
        <v>664</v>
      </c>
      <c r="B34" s="549"/>
      <c r="C34" s="548"/>
      <c r="D34" s="160"/>
      <c r="E34" s="158"/>
      <c r="F34" s="158"/>
      <c r="G34" s="547"/>
      <c r="H34" s="547"/>
    </row>
    <row r="35" spans="1:9" s="347" customFormat="1" ht="19.899999999999999" customHeight="1" outlineLevel="1">
      <c r="A35" s="552"/>
      <c r="B35" s="551" t="s">
        <v>663</v>
      </c>
      <c r="C35" s="548"/>
      <c r="D35" s="160">
        <v>106510</v>
      </c>
      <c r="E35" s="381">
        <v>89550</v>
      </c>
      <c r="F35" s="158">
        <f>SUM(G35-E35)</f>
        <v>110450</v>
      </c>
      <c r="G35" s="547">
        <v>200000</v>
      </c>
      <c r="H35" s="547">
        <v>100000</v>
      </c>
    </row>
    <row r="36" spans="1:9" s="347" customFormat="1" ht="19.899999999999999" customHeight="1" outlineLevel="1">
      <c r="A36" s="550" t="s">
        <v>368</v>
      </c>
      <c r="B36" s="549"/>
      <c r="C36" s="548"/>
      <c r="D36" s="160">
        <v>463930</v>
      </c>
      <c r="E36" s="158">
        <v>257250</v>
      </c>
      <c r="F36" s="158">
        <f>SUM(G36-E36)</f>
        <v>262750</v>
      </c>
      <c r="G36" s="547">
        <v>520000</v>
      </c>
      <c r="H36" s="547">
        <v>420000</v>
      </c>
    </row>
    <row r="37" spans="1:9" ht="20.100000000000001" customHeight="1" outlineLevel="2" thickBot="1">
      <c r="A37" s="4649" t="s">
        <v>366</v>
      </c>
      <c r="B37" s="4650"/>
      <c r="C37" s="146"/>
      <c r="D37" s="456">
        <f>SUM(D17:D36)</f>
        <v>2007001.67</v>
      </c>
      <c r="E37" s="546">
        <f>SUM(E17:E36)</f>
        <v>902144.01</v>
      </c>
      <c r="F37" s="456">
        <f>SUM(F17:F36)</f>
        <v>1667855.99</v>
      </c>
      <c r="G37" s="456">
        <f>SUM(G17:G36)</f>
        <v>2570000</v>
      </c>
      <c r="H37" s="455">
        <f>SUM(H17:H36)</f>
        <v>1930000</v>
      </c>
      <c r="I37" s="545" t="s">
        <v>662</v>
      </c>
    </row>
    <row r="38" spans="1:9" ht="24.75" customHeight="1" thickTop="1">
      <c r="A38" s="134" t="s">
        <v>364</v>
      </c>
      <c r="C38" s="141" t="s">
        <v>363</v>
      </c>
      <c r="F38" s="544" t="s">
        <v>661</v>
      </c>
      <c r="G38" s="134"/>
      <c r="H38" s="543"/>
    </row>
    <row r="39" spans="1:9" ht="17.100000000000001" customHeight="1">
      <c r="A39" s="542"/>
      <c r="B39" s="134"/>
      <c r="C39" s="141"/>
      <c r="D39" s="134"/>
      <c r="F39" s="134"/>
      <c r="G39" s="134"/>
    </row>
    <row r="40" spans="1:9" s="134" customFormat="1" ht="24" customHeight="1">
      <c r="A40" s="4646" t="s">
        <v>660</v>
      </c>
      <c r="B40" s="4646"/>
      <c r="C40" s="4651" t="s">
        <v>360</v>
      </c>
      <c r="D40" s="4651"/>
      <c r="E40" s="4651"/>
      <c r="F40" s="4630" t="s">
        <v>359</v>
      </c>
      <c r="G40" s="4630"/>
      <c r="H40" s="541"/>
    </row>
    <row r="41" spans="1:9" s="135" customFormat="1" ht="15.6" customHeight="1">
      <c r="A41" s="4647" t="s">
        <v>659</v>
      </c>
      <c r="B41" s="4647"/>
      <c r="C41" s="4652" t="s">
        <v>658</v>
      </c>
      <c r="D41" s="4652"/>
      <c r="E41" s="4652"/>
      <c r="F41" s="4623" t="s">
        <v>356</v>
      </c>
      <c r="G41" s="4623"/>
      <c r="H41" s="540"/>
    </row>
    <row r="42" spans="1:9" s="135" customFormat="1" ht="13.5">
      <c r="A42" s="4647"/>
      <c r="B42" s="4647"/>
      <c r="C42" s="4621"/>
      <c r="D42" s="4621"/>
      <c r="E42" s="137"/>
      <c r="F42" s="137"/>
      <c r="G42" s="137"/>
      <c r="H42" s="137"/>
    </row>
    <row r="43" spans="1:9" s="135" customFormat="1" ht="12.75">
      <c r="B43" s="136"/>
      <c r="D43" s="137"/>
      <c r="E43" s="137"/>
      <c r="F43" s="137"/>
      <c r="G43" s="137"/>
      <c r="H43" s="137"/>
    </row>
    <row r="44" spans="1:9" s="336" customFormat="1" ht="15" customHeight="1">
      <c r="C44" s="471"/>
    </row>
    <row r="45" spans="1:9" s="336" customFormat="1" ht="15" customHeight="1">
      <c r="B45" s="539"/>
    </row>
    <row r="46" spans="1:9" s="336" customFormat="1" ht="15" customHeight="1"/>
    <row r="47" spans="1:9" s="336" customFormat="1" ht="9.9499999999999993" customHeight="1"/>
  </sheetData>
  <mergeCells count="13">
    <mergeCell ref="A11:B13"/>
    <mergeCell ref="A5:H5"/>
    <mergeCell ref="A6:H6"/>
    <mergeCell ref="E11:G11"/>
    <mergeCell ref="A37:B37"/>
    <mergeCell ref="A40:B40"/>
    <mergeCell ref="A41:B41"/>
    <mergeCell ref="A42:B42"/>
    <mergeCell ref="C42:D42"/>
    <mergeCell ref="F41:G41"/>
    <mergeCell ref="F40:G40"/>
    <mergeCell ref="C40:E40"/>
    <mergeCell ref="C41:E41"/>
  </mergeCells>
  <pageMargins left="0.5" right="0" top="0.25" bottom="0" header="0.5" footer="0"/>
  <pageSetup paperSize="5" orientation="portrait"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R620"/>
  <sheetViews>
    <sheetView showGridLines="0" showOutlineSymbols="0" topLeftCell="A19" workbookViewId="0">
      <pane xSplit="18525" topLeftCell="ET1"/>
      <selection activeCell="K14" sqref="K14"/>
      <selection pane="topRight" activeCell="ET1" sqref="ET1"/>
    </sheetView>
  </sheetViews>
  <sheetFormatPr defaultColWidth="12.5703125" defaultRowHeight="15.75" outlineLevelRow="2" outlineLevelCol="2"/>
  <cols>
    <col min="1" max="1" width="1.85546875" style="2462" customWidth="1"/>
    <col min="2" max="2" width="28.5703125" style="2462" customWidth="1"/>
    <col min="3" max="3" width="10.7109375" style="2462" customWidth="1"/>
    <col min="4" max="4" width="11.140625" style="2462" customWidth="1"/>
    <col min="5" max="5" width="11.85546875" style="2462" customWidth="1"/>
    <col min="6" max="6" width="11.140625" style="2462" customWidth="1"/>
    <col min="7" max="7" width="10.85546875" style="2462" customWidth="1"/>
    <col min="8" max="8" width="12.42578125" style="2462" customWidth="1"/>
    <col min="9"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8" spans="1:15" s="1390" customFormat="1" ht="14.25" customHeight="1">
      <c r="A8" s="1577" t="s">
        <v>2120</v>
      </c>
      <c r="C8" s="2525"/>
      <c r="D8" s="1403"/>
      <c r="E8" s="1403"/>
      <c r="F8" s="1403"/>
      <c r="G8" s="1403"/>
      <c r="H8" s="1403"/>
    </row>
    <row r="9" spans="1:15" s="1390" customFormat="1" ht="14.25" customHeight="1">
      <c r="B9" s="2612" t="s">
        <v>2153</v>
      </c>
      <c r="C9" s="2525"/>
      <c r="D9" s="1403"/>
      <c r="E9" s="1403"/>
      <c r="F9" s="1403"/>
      <c r="G9" s="1403"/>
      <c r="H9" s="1403"/>
    </row>
    <row r="10" spans="1:15" ht="18" customHeight="1" outlineLevel="1">
      <c r="A10" s="2564"/>
      <c r="B10" s="2564"/>
      <c r="C10" s="2563"/>
      <c r="D10" s="2570"/>
      <c r="E10" s="2569"/>
      <c r="F10" s="2540"/>
      <c r="G10" s="1388"/>
      <c r="H10" s="2561"/>
      <c r="I10" s="2666"/>
      <c r="J10" s="2530"/>
      <c r="K10" s="2530"/>
      <c r="L10" s="2530"/>
    </row>
    <row r="11" spans="1:15" ht="16.7" customHeight="1" outlineLevel="1">
      <c r="A11" s="4743" t="s">
        <v>468</v>
      </c>
      <c r="B11" s="4744"/>
      <c r="C11" s="2607" t="s">
        <v>467</v>
      </c>
      <c r="D11" s="2608" t="s">
        <v>466</v>
      </c>
      <c r="E11" s="4869" t="s">
        <v>465</v>
      </c>
      <c r="F11" s="4870"/>
      <c r="G11" s="4871"/>
      <c r="H11" s="2607" t="s">
        <v>464</v>
      </c>
      <c r="I11" s="2666"/>
      <c r="J11" s="2663"/>
      <c r="K11" s="2530"/>
      <c r="L11" s="2530"/>
    </row>
    <row r="12" spans="1:15" ht="16.7" customHeight="1" outlineLevel="1">
      <c r="A12" s="4745"/>
      <c r="B12" s="4746"/>
      <c r="C12" s="2606" t="s">
        <v>463</v>
      </c>
      <c r="D12" s="2517" t="s">
        <v>573</v>
      </c>
      <c r="E12" s="2517" t="s">
        <v>2118</v>
      </c>
      <c r="F12" s="2517" t="s">
        <v>2117</v>
      </c>
      <c r="G12" s="2517" t="s">
        <v>244</v>
      </c>
      <c r="H12" s="2517" t="s">
        <v>652</v>
      </c>
      <c r="I12" s="2681"/>
      <c r="J12" s="1302"/>
      <c r="K12" s="2659"/>
      <c r="L12" s="2530"/>
    </row>
    <row r="13" spans="1:15" ht="16.7" customHeight="1" outlineLevel="1">
      <c r="A13" s="4747"/>
      <c r="B13" s="4748"/>
      <c r="C13" s="2604"/>
      <c r="D13" s="2602" t="s">
        <v>460</v>
      </c>
      <c r="E13" s="2602" t="s">
        <v>460</v>
      </c>
      <c r="F13" s="2602" t="s">
        <v>459</v>
      </c>
      <c r="G13" s="2623"/>
      <c r="H13" s="2602" t="s">
        <v>458</v>
      </c>
      <c r="I13" s="2668"/>
      <c r="J13" s="1302"/>
      <c r="K13" s="2659"/>
      <c r="L13" s="2530"/>
    </row>
    <row r="14" spans="1:15" s="1404" customFormat="1" ht="15" customHeight="1">
      <c r="A14" s="2601" t="s">
        <v>2011</v>
      </c>
      <c r="B14" s="2605"/>
      <c r="C14" s="2515"/>
      <c r="D14" s="2513"/>
      <c r="E14" s="2513"/>
      <c r="F14" s="2513"/>
      <c r="G14" s="2603"/>
      <c r="H14" s="2513"/>
      <c r="I14" s="2616"/>
      <c r="J14" s="2616"/>
      <c r="K14" s="2616"/>
      <c r="L14" s="2616"/>
      <c r="M14" s="2616"/>
      <c r="N14" s="2616"/>
      <c r="O14" s="2616"/>
    </row>
    <row r="15" spans="1:15" ht="16.7" customHeight="1" outlineLevel="1">
      <c r="A15" s="2680" t="s">
        <v>407</v>
      </c>
      <c r="B15" s="2686"/>
      <c r="C15" s="2629"/>
      <c r="D15" s="1433">
        <f>SUM(D16:D28)</f>
        <v>379457.51</v>
      </c>
      <c r="E15" s="1433">
        <f>SUM(E16:E28)</f>
        <v>165788.21</v>
      </c>
      <c r="F15" s="1512">
        <f>SUM(F16:F28)</f>
        <v>269211.78999999998</v>
      </c>
      <c r="G15" s="1512">
        <f>SUM(G16:G28)</f>
        <v>435000</v>
      </c>
      <c r="H15" s="1512">
        <f>SUM(H16:H28)</f>
        <v>435000</v>
      </c>
      <c r="I15" s="2681"/>
      <c r="J15" s="1302"/>
      <c r="K15" s="2530"/>
      <c r="L15" s="2530"/>
    </row>
    <row r="16" spans="1:15" ht="20.100000000000001" customHeight="1" outlineLevel="1">
      <c r="A16" s="1536" t="s">
        <v>704</v>
      </c>
      <c r="B16" s="2596"/>
      <c r="C16" s="2187" t="s">
        <v>403</v>
      </c>
      <c r="D16" s="2684">
        <v>0</v>
      </c>
      <c r="E16" s="2683">
        <v>0</v>
      </c>
      <c r="F16" s="1454">
        <f>SUM(H16-E16)</f>
        <v>5800</v>
      </c>
      <c r="G16" s="2683">
        <f>E16+F16</f>
        <v>5800</v>
      </c>
      <c r="H16" s="2683">
        <v>5800</v>
      </c>
      <c r="I16" s="2676"/>
      <c r="J16" s="1302"/>
      <c r="K16" s="2530"/>
      <c r="L16" s="2530"/>
    </row>
    <row r="17" spans="1:16" ht="20.100000000000001" customHeight="1" outlineLevel="1">
      <c r="A17" s="2591" t="s">
        <v>674</v>
      </c>
      <c r="B17" s="1519"/>
      <c r="C17" s="978" t="s">
        <v>394</v>
      </c>
      <c r="D17" s="1428">
        <v>0</v>
      </c>
      <c r="E17" s="1427">
        <v>10088.209999999999</v>
      </c>
      <c r="F17" s="1454">
        <f>SUM(H17-E17)</f>
        <v>9911.7900000000009</v>
      </c>
      <c r="G17" s="1427">
        <f>E17+F17</f>
        <v>20000</v>
      </c>
      <c r="H17" s="1427">
        <v>20000</v>
      </c>
      <c r="I17" s="2668"/>
      <c r="J17" s="2663"/>
      <c r="K17" s="2530"/>
      <c r="L17" s="2530"/>
      <c r="M17" s="2682"/>
      <c r="N17" s="2682"/>
      <c r="O17" s="2530"/>
      <c r="P17" s="2529"/>
    </row>
    <row r="18" spans="1:16" ht="20.100000000000001" customHeight="1" outlineLevel="1">
      <c r="A18" s="2591" t="s">
        <v>389</v>
      </c>
      <c r="B18" s="1519"/>
      <c r="C18" s="978" t="s">
        <v>388</v>
      </c>
      <c r="D18" s="1428">
        <v>379457.51</v>
      </c>
      <c r="E18" s="1427">
        <v>155700</v>
      </c>
      <c r="F18" s="1454">
        <f>G18-E18</f>
        <v>253500</v>
      </c>
      <c r="G18" s="1427">
        <v>409200</v>
      </c>
      <c r="H18" s="1427">
        <v>409200</v>
      </c>
      <c r="I18" s="2666"/>
      <c r="J18" s="2656"/>
      <c r="K18" s="2530"/>
      <c r="L18" s="2530"/>
      <c r="M18" s="1302"/>
      <c r="N18" s="1302"/>
      <c r="O18" s="2530"/>
      <c r="P18" s="2529"/>
    </row>
    <row r="19" spans="1:16" ht="20.100000000000001" customHeight="1" outlineLevel="1">
      <c r="A19" s="2591"/>
      <c r="B19" s="1519"/>
      <c r="C19" s="978"/>
      <c r="D19" s="1428"/>
      <c r="E19" s="1427"/>
      <c r="F19" s="1454"/>
      <c r="G19" s="1427"/>
      <c r="H19" s="1427"/>
      <c r="I19" s="2666"/>
      <c r="J19" s="2656"/>
      <c r="K19" s="2530"/>
      <c r="L19" s="2530"/>
      <c r="M19" s="1302"/>
      <c r="N19" s="1302"/>
      <c r="O19" s="2530"/>
      <c r="P19" s="2529"/>
    </row>
    <row r="20" spans="1:16" ht="20.100000000000001" customHeight="1" outlineLevel="1">
      <c r="A20" s="2591"/>
      <c r="B20" s="1519"/>
      <c r="C20" s="978"/>
      <c r="D20" s="1428"/>
      <c r="E20" s="1427"/>
      <c r="F20" s="1454"/>
      <c r="G20" s="1427"/>
      <c r="H20" s="1427"/>
      <c r="I20" s="2666"/>
      <c r="J20" s="2656"/>
      <c r="K20" s="2530"/>
      <c r="L20" s="2530"/>
      <c r="M20" s="1302"/>
      <c r="N20" s="1302"/>
      <c r="O20" s="2530"/>
      <c r="P20" s="2529"/>
    </row>
    <row r="21" spans="1:16" ht="20.100000000000001" customHeight="1" outlineLevel="1">
      <c r="A21" s="1553"/>
      <c r="B21" s="2628"/>
      <c r="C21" s="978"/>
      <c r="D21" s="1428"/>
      <c r="E21" s="1427"/>
      <c r="F21" s="1454"/>
      <c r="G21" s="1427"/>
      <c r="H21" s="1427"/>
      <c r="I21" s="2666"/>
      <c r="J21" s="2656"/>
      <c r="K21" s="2530"/>
      <c r="L21" s="2530"/>
      <c r="M21" s="1302"/>
      <c r="N21" s="1302"/>
      <c r="O21" s="2530"/>
      <c r="P21" s="2529"/>
    </row>
    <row r="22" spans="1:16" ht="20.100000000000001" customHeight="1" outlineLevel="1">
      <c r="A22" s="1553"/>
      <c r="B22" s="2628"/>
      <c r="C22" s="978"/>
      <c r="D22" s="1428"/>
      <c r="E22" s="1427"/>
      <c r="F22" s="1454"/>
      <c r="G22" s="1427"/>
      <c r="H22" s="1427"/>
      <c r="I22" s="2666"/>
      <c r="J22" s="2656"/>
      <c r="K22" s="2530"/>
      <c r="L22" s="2530"/>
      <c r="M22" s="1302"/>
      <c r="N22" s="1302"/>
      <c r="O22" s="2530"/>
      <c r="P22" s="2529"/>
    </row>
    <row r="23" spans="1:16" ht="20.100000000000001" customHeight="1" outlineLevel="1">
      <c r="A23" s="1553"/>
      <c r="B23" s="2628"/>
      <c r="C23" s="978"/>
      <c r="D23" s="1428"/>
      <c r="E23" s="1427"/>
      <c r="F23" s="1454"/>
      <c r="G23" s="1427"/>
      <c r="H23" s="1427"/>
      <c r="I23" s="2666"/>
      <c r="J23" s="2656"/>
      <c r="K23" s="2530"/>
      <c r="L23" s="2530"/>
      <c r="M23" s="1302"/>
      <c r="N23" s="1302"/>
      <c r="O23" s="2530"/>
      <c r="P23" s="2529"/>
    </row>
    <row r="24" spans="1:16" ht="20.100000000000001" customHeight="1" outlineLevel="1">
      <c r="A24" s="1553"/>
      <c r="B24" s="2628"/>
      <c r="C24" s="978"/>
      <c r="D24" s="1428"/>
      <c r="E24" s="1427"/>
      <c r="F24" s="1454"/>
      <c r="G24" s="1427"/>
      <c r="H24" s="1427"/>
      <c r="I24" s="2666"/>
      <c r="J24" s="2656"/>
      <c r="K24" s="2530"/>
      <c r="L24" s="2530"/>
      <c r="M24" s="1302"/>
      <c r="N24" s="1302"/>
      <c r="O24" s="2530"/>
      <c r="P24" s="2529"/>
    </row>
    <row r="25" spans="1:16" ht="20.100000000000001" customHeight="1" outlineLevel="1">
      <c r="A25" s="1553"/>
      <c r="B25" s="2628"/>
      <c r="C25" s="978"/>
      <c r="D25" s="1428"/>
      <c r="E25" s="1427"/>
      <c r="F25" s="1454"/>
      <c r="G25" s="1427"/>
      <c r="H25" s="1427"/>
      <c r="I25" s="2666"/>
      <c r="J25" s="2656"/>
      <c r="K25" s="2530"/>
      <c r="L25" s="2530"/>
      <c r="M25" s="1302"/>
      <c r="N25" s="1302"/>
      <c r="O25" s="2530"/>
      <c r="P25" s="2529"/>
    </row>
    <row r="26" spans="1:16" ht="20.100000000000001" customHeight="1" outlineLevel="1">
      <c r="A26" s="1553"/>
      <c r="B26" s="2628"/>
      <c r="C26" s="978"/>
      <c r="D26" s="1428"/>
      <c r="E26" s="1427"/>
      <c r="F26" s="1454"/>
      <c r="G26" s="1427"/>
      <c r="H26" s="1427"/>
      <c r="I26" s="2666"/>
      <c r="J26" s="2656"/>
      <c r="K26" s="2530"/>
      <c r="L26" s="2530"/>
      <c r="M26" s="1302"/>
      <c r="N26" s="1302"/>
      <c r="O26" s="2530"/>
      <c r="P26" s="2529"/>
    </row>
    <row r="27" spans="1:16" ht="20.100000000000001" customHeight="1" outlineLevel="1">
      <c r="A27" s="1553"/>
      <c r="B27" s="2628"/>
      <c r="C27" s="978"/>
      <c r="D27" s="1428"/>
      <c r="E27" s="1427"/>
      <c r="F27" s="1454"/>
      <c r="G27" s="1427"/>
      <c r="H27" s="1427"/>
      <c r="I27" s="2666"/>
      <c r="J27" s="2656"/>
      <c r="K27" s="2530"/>
      <c r="L27" s="2530"/>
      <c r="M27" s="1302"/>
      <c r="N27" s="1302"/>
      <c r="O27" s="2530"/>
      <c r="P27" s="2529"/>
    </row>
    <row r="28" spans="1:16" s="2529" customFormat="1" ht="20.100000000000001" customHeight="1" outlineLevel="1">
      <c r="A28" s="2587"/>
      <c r="B28" s="2586"/>
      <c r="C28" s="2585"/>
      <c r="D28" s="1428"/>
      <c r="E28" s="1424"/>
      <c r="F28" s="1454"/>
      <c r="G28" s="1424"/>
      <c r="H28" s="1424"/>
      <c r="I28" s="2528"/>
      <c r="J28" s="2656"/>
      <c r="K28" s="2530"/>
      <c r="L28" s="2530"/>
      <c r="M28" s="1302"/>
      <c r="N28" s="1302"/>
      <c r="O28" s="2530"/>
    </row>
    <row r="29" spans="1:16" s="2529" customFormat="1" ht="20.100000000000001" customHeight="1" outlineLevel="1" thickBot="1">
      <c r="A29" s="2617" t="s">
        <v>366</v>
      </c>
      <c r="B29" s="2584"/>
      <c r="C29" s="1419"/>
      <c r="D29" s="2480">
        <f>SUM(D16:D18)</f>
        <v>379457.51</v>
      </c>
      <c r="E29" s="2480">
        <f>SUM(E16:E18)</f>
        <v>165788.21</v>
      </c>
      <c r="F29" s="2480">
        <f>SUM(F16:F18)</f>
        <v>269211.78999999998</v>
      </c>
      <c r="G29" s="2480">
        <f>SUM(G16:G18)</f>
        <v>435000</v>
      </c>
      <c r="H29" s="2480">
        <f>SUM(H16:H18)</f>
        <v>435000</v>
      </c>
      <c r="I29" s="2670"/>
      <c r="J29" s="2656"/>
      <c r="K29" s="2530"/>
      <c r="L29" s="2530"/>
      <c r="M29" s="1302"/>
      <c r="N29" s="2659"/>
      <c r="O29" s="2530"/>
    </row>
    <row r="30" spans="1:16" s="2288" customFormat="1" ht="19.5" customHeight="1" outlineLevel="1" thickTop="1">
      <c r="A30" s="1403" t="s">
        <v>2112</v>
      </c>
      <c r="B30" s="1390"/>
      <c r="C30" s="1403" t="s">
        <v>2111</v>
      </c>
      <c r="D30" s="1390"/>
      <c r="F30" s="2582" t="s">
        <v>2110</v>
      </c>
      <c r="G30" s="1403"/>
      <c r="H30" s="1390"/>
    </row>
    <row r="31" spans="1:16" s="2288" customFormat="1" ht="15.95" customHeight="1" outlineLevel="1">
      <c r="A31" s="1403"/>
      <c r="B31" s="1390"/>
      <c r="C31" s="1403"/>
      <c r="D31" s="1390"/>
      <c r="E31" s="2471"/>
      <c r="F31" s="2471"/>
      <c r="G31" s="1403"/>
      <c r="H31" s="1390"/>
    </row>
    <row r="32" spans="1:16" s="2288" customFormat="1" ht="10.5" customHeight="1" outlineLevel="1">
      <c r="A32" s="1390"/>
      <c r="B32" s="1403"/>
      <c r="C32" s="2581"/>
      <c r="D32" s="1403"/>
      <c r="E32" s="1403"/>
      <c r="F32" s="1403"/>
      <c r="G32" s="1403"/>
      <c r="H32" s="1390"/>
    </row>
    <row r="33" spans="1:16" s="2288" customFormat="1" ht="15.95" customHeight="1" outlineLevel="1">
      <c r="A33" s="4873" t="s">
        <v>2109</v>
      </c>
      <c r="B33" s="4873"/>
      <c r="C33" s="4760" t="s">
        <v>360</v>
      </c>
      <c r="D33" s="4760"/>
      <c r="E33" s="4760"/>
      <c r="F33" s="4741" t="s">
        <v>359</v>
      </c>
      <c r="G33" s="4741"/>
      <c r="H33" s="4741"/>
    </row>
    <row r="34" spans="1:16" s="2288" customFormat="1" ht="15.75" customHeight="1" outlineLevel="1">
      <c r="A34" s="2580"/>
      <c r="B34" s="2464" t="s">
        <v>2108</v>
      </c>
      <c r="C34" s="4754" t="s">
        <v>357</v>
      </c>
      <c r="D34" s="4754"/>
      <c r="E34" s="4754"/>
      <c r="F34" s="4868" t="s">
        <v>356</v>
      </c>
      <c r="G34" s="4868"/>
      <c r="H34" s="4868"/>
    </row>
    <row r="35" spans="1:16" s="2288" customFormat="1" ht="12" customHeight="1" outlineLevel="1">
      <c r="A35" s="4878"/>
      <c r="B35" s="4878"/>
      <c r="C35" s="4754"/>
      <c r="D35" s="4754"/>
      <c r="E35" s="4754"/>
      <c r="F35" s="1406"/>
      <c r="G35" s="1406"/>
      <c r="H35" s="1406"/>
    </row>
    <row r="36" spans="1:16" s="2529" customFormat="1" ht="12" customHeight="1" outlineLevel="1">
      <c r="A36" s="2463"/>
      <c r="B36" s="2464"/>
      <c r="C36" s="2463"/>
      <c r="D36" s="2465"/>
      <c r="E36" s="2465"/>
      <c r="F36" s="2465"/>
      <c r="G36" s="2465"/>
      <c r="H36" s="2465"/>
      <c r="I36" s="2530"/>
      <c r="J36" s="2530"/>
      <c r="K36" s="2530"/>
      <c r="L36" s="2530"/>
      <c r="M36" s="2530"/>
      <c r="N36" s="2530"/>
      <c r="O36" s="2530"/>
    </row>
    <row r="37" spans="1:16" s="2529" customFormat="1" ht="12" customHeight="1" outlineLevel="1">
      <c r="A37" s="2463"/>
      <c r="B37" s="2464"/>
      <c r="C37" s="2463"/>
      <c r="D37" s="2465"/>
      <c r="E37" s="2465"/>
      <c r="F37" s="2465"/>
      <c r="G37" s="2465"/>
      <c r="H37" s="2465"/>
      <c r="I37" s="2530"/>
      <c r="J37" s="2530"/>
      <c r="K37" s="2530"/>
      <c r="L37" s="2530"/>
      <c r="M37" s="2530"/>
      <c r="N37" s="2530"/>
      <c r="O37" s="2530"/>
    </row>
    <row r="38" spans="1:16" s="2529" customFormat="1" ht="12" customHeight="1" outlineLevel="1">
      <c r="A38" s="2463"/>
      <c r="B38" s="2464"/>
      <c r="C38" s="2463"/>
      <c r="D38" s="2465"/>
      <c r="E38" s="2465"/>
      <c r="F38" s="2465"/>
      <c r="G38" s="2465"/>
      <c r="H38" s="2465"/>
      <c r="I38" s="2530"/>
      <c r="J38" s="2530"/>
      <c r="K38" s="2530"/>
      <c r="L38" s="2530"/>
      <c r="M38" s="2530"/>
      <c r="N38" s="2530"/>
      <c r="O38" s="2530"/>
    </row>
    <row r="39" spans="1:16" s="2529" customFormat="1" ht="12" customHeight="1" outlineLevel="1">
      <c r="A39" s="2463"/>
      <c r="B39" s="2464"/>
      <c r="C39" s="2463"/>
      <c r="D39" s="2465"/>
      <c r="E39" s="2465"/>
      <c r="F39" s="2465"/>
      <c r="G39" s="2465"/>
      <c r="H39" s="2465"/>
      <c r="I39" s="2530"/>
      <c r="J39" s="2530"/>
      <c r="K39" s="2530"/>
      <c r="L39" s="2530"/>
      <c r="M39" s="2530"/>
      <c r="N39" s="2530"/>
      <c r="O39" s="2530"/>
    </row>
    <row r="40" spans="1:16" s="2529" customFormat="1" ht="12" customHeight="1" outlineLevel="1">
      <c r="A40" s="2463"/>
      <c r="B40" s="2464"/>
      <c r="C40" s="2463"/>
      <c r="D40" s="2465"/>
      <c r="E40" s="2465"/>
      <c r="F40" s="2465"/>
      <c r="G40" s="2465"/>
      <c r="H40" s="2465"/>
      <c r="I40" s="2530"/>
      <c r="J40" s="2530"/>
      <c r="K40" s="2530"/>
      <c r="L40" s="2530"/>
      <c r="M40" s="2530"/>
      <c r="N40" s="2530"/>
      <c r="O40" s="2530"/>
    </row>
    <row r="41" spans="1:16" s="2529" customFormat="1" ht="12" customHeight="1" outlineLevel="1">
      <c r="A41" s="2463"/>
      <c r="B41" s="2464"/>
      <c r="C41" s="2463"/>
      <c r="D41" s="2465"/>
      <c r="E41" s="2465"/>
      <c r="F41" s="2465"/>
      <c r="G41" s="2465"/>
      <c r="H41" s="2465"/>
      <c r="I41" s="2530"/>
      <c r="J41" s="2530"/>
      <c r="K41" s="2530"/>
      <c r="L41" s="2530"/>
      <c r="M41" s="2530"/>
      <c r="N41" s="2530"/>
      <c r="O41" s="2530"/>
    </row>
    <row r="42" spans="1:16" s="2529" customFormat="1" ht="12" customHeight="1" outlineLevel="1">
      <c r="A42" s="2463"/>
      <c r="B42" s="2464"/>
      <c r="C42" s="2463"/>
      <c r="D42" s="2465"/>
      <c r="E42" s="2465"/>
      <c r="F42" s="2465"/>
      <c r="G42" s="2465"/>
      <c r="H42" s="2465"/>
      <c r="I42" s="2530"/>
      <c r="J42" s="2530"/>
      <c r="K42" s="2530"/>
      <c r="L42" s="2530"/>
      <c r="M42" s="2530"/>
      <c r="N42" s="2530"/>
      <c r="O42" s="2530"/>
    </row>
    <row r="43" spans="1:16" s="2529" customFormat="1" ht="12" customHeight="1" outlineLevel="1">
      <c r="A43" s="2463"/>
      <c r="B43" s="2464"/>
      <c r="C43" s="2463"/>
      <c r="D43" s="2465"/>
      <c r="E43" s="2465"/>
      <c r="F43" s="2465"/>
      <c r="G43" s="2465"/>
      <c r="H43" s="2465"/>
      <c r="I43" s="2530"/>
      <c r="J43" s="2530"/>
      <c r="K43" s="2530"/>
      <c r="L43" s="2530"/>
      <c r="M43" s="2530"/>
      <c r="N43" s="2530"/>
      <c r="O43" s="2530"/>
    </row>
    <row r="44" spans="1:16" ht="20.100000000000001" customHeight="1" outlineLevel="1">
      <c r="A44" s="2463"/>
      <c r="B44" s="2464"/>
      <c r="C44" s="2463"/>
      <c r="D44" s="2465"/>
      <c r="E44" s="2465"/>
      <c r="F44" s="2465"/>
      <c r="G44" s="2465"/>
      <c r="H44" s="2465"/>
      <c r="J44" s="2530"/>
      <c r="K44" s="2530"/>
      <c r="L44" s="2530"/>
      <c r="M44" s="2530"/>
      <c r="N44" s="2530"/>
      <c r="O44" s="2530"/>
      <c r="P44" s="2529"/>
    </row>
    <row r="45" spans="1:16" ht="20.100000000000001" customHeight="1" outlineLevel="1">
      <c r="A45" s="2463"/>
      <c r="B45" s="2464"/>
      <c r="C45" s="2463"/>
      <c r="D45" s="2465"/>
      <c r="E45" s="2465"/>
      <c r="F45" s="2465"/>
      <c r="G45" s="2465"/>
      <c r="H45" s="2465"/>
      <c r="J45" s="2530"/>
      <c r="K45" s="2530"/>
      <c r="L45" s="2530"/>
      <c r="M45" s="2530"/>
      <c r="N45" s="2530"/>
      <c r="O45" s="2530"/>
      <c r="P45" s="2529"/>
    </row>
    <row r="46" spans="1:16" s="2652" customFormat="1" ht="16.7" customHeight="1" outlineLevel="1">
      <c r="A46" s="2463"/>
      <c r="B46" s="2464"/>
      <c r="C46" s="2463"/>
      <c r="D46" s="2465"/>
      <c r="E46" s="2465"/>
      <c r="F46" s="2465"/>
      <c r="G46" s="2465"/>
      <c r="H46" s="2465"/>
      <c r="I46" s="2653"/>
      <c r="J46" s="2655"/>
      <c r="K46" s="2655"/>
      <c r="L46" s="2655"/>
      <c r="M46" s="2655"/>
      <c r="N46" s="2655"/>
      <c r="O46" s="2655"/>
      <c r="P46" s="2654"/>
    </row>
    <row r="47" spans="1:16" s="2652" customFormat="1" ht="16.7" customHeight="1" outlineLevel="1">
      <c r="A47" s="2531"/>
      <c r="B47" s="2533"/>
      <c r="C47" s="2531"/>
      <c r="D47" s="2566"/>
      <c r="E47" s="2566"/>
      <c r="F47" s="2566"/>
      <c r="G47" s="2566"/>
      <c r="H47" s="2566"/>
      <c r="I47" s="2653"/>
      <c r="J47" s="2655"/>
      <c r="K47" s="2655"/>
      <c r="L47" s="2655"/>
      <c r="M47" s="2655"/>
      <c r="N47" s="2655"/>
      <c r="O47" s="2655"/>
      <c r="P47" s="2654"/>
    </row>
    <row r="48" spans="1:16" s="2652" customFormat="1" ht="16.7" customHeight="1" outlineLevel="1">
      <c r="A48" s="2531"/>
      <c r="B48" s="2533"/>
      <c r="C48" s="2531"/>
      <c r="D48" s="2566"/>
      <c r="E48" s="2566"/>
      <c r="F48" s="2566"/>
      <c r="G48" s="2566"/>
      <c r="H48" s="2566"/>
      <c r="I48" s="2653"/>
      <c r="J48" s="2655"/>
      <c r="K48" s="2655"/>
      <c r="L48" s="2655"/>
      <c r="M48" s="2655"/>
      <c r="N48" s="2655"/>
      <c r="O48" s="2655"/>
      <c r="P48" s="2654"/>
    </row>
    <row r="49" spans="1:16" s="2652" customFormat="1" ht="16.7" customHeight="1" outlineLevel="1">
      <c r="A49" s="2531"/>
      <c r="B49" s="2533"/>
      <c r="C49" s="2531"/>
      <c r="D49" s="2566"/>
      <c r="E49" s="2566"/>
      <c r="F49" s="2566"/>
      <c r="G49" s="2566"/>
      <c r="H49" s="2566"/>
      <c r="I49" s="2653"/>
      <c r="J49" s="2655"/>
      <c r="K49" s="2655"/>
      <c r="L49" s="2655"/>
      <c r="M49" s="2655"/>
      <c r="N49" s="2655"/>
      <c r="O49" s="2655"/>
      <c r="P49" s="2654"/>
    </row>
    <row r="50" spans="1:16" s="2652" customFormat="1" ht="16.7" customHeight="1" outlineLevel="1">
      <c r="A50" s="2531"/>
      <c r="B50" s="2533"/>
      <c r="C50" s="2531"/>
      <c r="D50" s="2566"/>
      <c r="E50" s="2566"/>
      <c r="F50" s="2566"/>
      <c r="G50" s="2566"/>
      <c r="H50" s="2566"/>
      <c r="I50" s="2653"/>
      <c r="J50" s="2655"/>
      <c r="K50" s="2655"/>
      <c r="L50" s="2655"/>
      <c r="M50" s="2655"/>
      <c r="N50" s="2655"/>
      <c r="O50" s="2655"/>
      <c r="P50" s="2654"/>
    </row>
    <row r="51" spans="1:16" s="2652" customFormat="1" ht="16.7" customHeight="1" outlineLevel="1">
      <c r="A51" s="2531"/>
      <c r="B51" s="2533"/>
      <c r="C51" s="2531"/>
      <c r="D51" s="2566"/>
      <c r="E51" s="2566"/>
      <c r="F51" s="2566"/>
      <c r="G51" s="2566"/>
      <c r="H51" s="2566"/>
      <c r="I51" s="2653"/>
      <c r="J51" s="2655"/>
      <c r="K51" s="2655"/>
      <c r="L51" s="2655"/>
      <c r="M51" s="2655"/>
      <c r="N51" s="2655"/>
      <c r="O51" s="2655"/>
      <c r="P51" s="2654"/>
    </row>
    <row r="52" spans="1:16" s="2652" customFormat="1" ht="16.7" customHeight="1" outlineLevel="1">
      <c r="A52" s="2531"/>
      <c r="B52" s="2533"/>
      <c r="C52" s="2531"/>
      <c r="D52" s="2566"/>
      <c r="E52" s="2566"/>
      <c r="F52" s="2566"/>
      <c r="G52" s="2566"/>
      <c r="H52" s="2566"/>
      <c r="I52" s="2653"/>
      <c r="J52" s="2655"/>
      <c r="K52" s="2655"/>
      <c r="L52" s="2655"/>
      <c r="M52" s="2655"/>
      <c r="N52" s="2655"/>
      <c r="O52" s="2655"/>
      <c r="P52" s="2654"/>
    </row>
    <row r="53" spans="1:16" s="2652" customFormat="1" ht="16.7" customHeight="1" outlineLevel="1">
      <c r="A53" s="2531"/>
      <c r="B53" s="2533"/>
      <c r="C53" s="2531"/>
      <c r="D53" s="2566"/>
      <c r="E53" s="2566"/>
      <c r="F53" s="2566"/>
      <c r="G53" s="2566"/>
      <c r="H53" s="2566"/>
      <c r="I53" s="2653"/>
      <c r="J53" s="2655"/>
      <c r="K53" s="2655"/>
      <c r="L53" s="2655"/>
      <c r="M53" s="2655"/>
      <c r="N53" s="2655"/>
      <c r="O53" s="2655"/>
      <c r="P53" s="2654"/>
    </row>
    <row r="54" spans="1:16" s="2652" customFormat="1" ht="16.7" customHeight="1" outlineLevel="1">
      <c r="A54" s="2529"/>
      <c r="B54" s="2529"/>
      <c r="C54" s="2529"/>
      <c r="D54" s="2529"/>
      <c r="E54" s="2529"/>
      <c r="F54" s="2529"/>
      <c r="G54" s="2529"/>
      <c r="H54" s="2529"/>
      <c r="I54" s="2653"/>
      <c r="J54" s="2655"/>
      <c r="K54" s="2655"/>
      <c r="L54" s="2655"/>
      <c r="M54" s="2655"/>
      <c r="N54" s="2655"/>
      <c r="O54" s="2655"/>
      <c r="P54" s="2654"/>
    </row>
    <row r="55" spans="1:16" s="2652" customFormat="1" ht="16.7" customHeight="1" outlineLevel="1">
      <c r="A55" s="2529"/>
      <c r="B55" s="2529"/>
      <c r="C55" s="2529"/>
      <c r="D55" s="2529"/>
      <c r="E55" s="2529"/>
      <c r="F55" s="2529"/>
      <c r="G55" s="2529"/>
      <c r="H55" s="2529"/>
      <c r="I55" s="2653"/>
      <c r="J55" s="2655"/>
      <c r="K55" s="2655"/>
      <c r="L55" s="2655"/>
      <c r="M55" s="2655"/>
      <c r="N55" s="2655"/>
      <c r="O55" s="2655"/>
      <c r="P55" s="2654"/>
    </row>
    <row r="56" spans="1:16" s="2652" customFormat="1" ht="16.7" customHeight="1" outlineLevel="1">
      <c r="A56" s="2529"/>
      <c r="B56" s="2529"/>
      <c r="C56" s="2529"/>
      <c r="D56" s="2529"/>
      <c r="E56" s="2529"/>
      <c r="F56" s="2529"/>
      <c r="G56" s="2529"/>
      <c r="H56" s="2529"/>
      <c r="I56" s="2653"/>
      <c r="J56" s="2655"/>
      <c r="K56" s="2655"/>
      <c r="L56" s="2655"/>
      <c r="M56" s="2655"/>
      <c r="N56" s="2655"/>
      <c r="O56" s="2655"/>
      <c r="P56" s="2654"/>
    </row>
    <row r="57" spans="1:16" s="2652" customFormat="1" ht="16.7" customHeight="1" outlineLevel="1">
      <c r="A57" s="4876"/>
      <c r="B57" s="4876"/>
      <c r="C57" s="4876"/>
      <c r="D57" s="4876"/>
      <c r="E57" s="4876"/>
      <c r="F57" s="4876"/>
      <c r="G57" s="4876"/>
      <c r="H57" s="4876"/>
      <c r="I57" s="2653"/>
      <c r="J57" s="2655"/>
      <c r="K57" s="2655"/>
      <c r="L57" s="2655"/>
      <c r="M57" s="2655"/>
      <c r="N57" s="2655"/>
      <c r="O57" s="2655"/>
      <c r="P57" s="2654"/>
    </row>
    <row r="58" spans="1:16" s="2652" customFormat="1" ht="16.7" customHeight="1" outlineLevel="1">
      <c r="A58" s="4877"/>
      <c r="B58" s="4877"/>
      <c r="C58" s="4877"/>
      <c r="D58" s="4877"/>
      <c r="E58" s="4877"/>
      <c r="F58" s="4877"/>
      <c r="G58" s="4877"/>
      <c r="H58" s="4877"/>
      <c r="I58" s="2653"/>
      <c r="J58" s="2655"/>
      <c r="K58" s="2655"/>
      <c r="L58" s="2655"/>
      <c r="M58" s="2655"/>
      <c r="N58" s="2655"/>
      <c r="O58" s="2655"/>
      <c r="P58" s="2654"/>
    </row>
    <row r="59" spans="1:16" s="2652" customFormat="1" ht="16.7" customHeight="1" outlineLevel="1">
      <c r="A59" s="2529"/>
      <c r="B59" s="2529"/>
      <c r="C59" s="2529"/>
      <c r="D59" s="2529"/>
      <c r="E59" s="2529"/>
      <c r="F59" s="2529"/>
      <c r="G59" s="2529"/>
      <c r="H59" s="2529"/>
      <c r="I59" s="2653"/>
      <c r="J59" s="2655"/>
      <c r="K59" s="2655"/>
      <c r="L59" s="2655"/>
      <c r="M59" s="2655"/>
      <c r="N59" s="2655"/>
      <c r="O59" s="2655"/>
      <c r="P59" s="2654"/>
    </row>
    <row r="60" spans="1:16" s="2652" customFormat="1" ht="16.7" customHeight="1" outlineLevel="1">
      <c r="A60" s="2568"/>
      <c r="B60" s="2567"/>
      <c r="C60" s="2529"/>
      <c r="D60" s="2566"/>
      <c r="E60" s="2566"/>
      <c r="F60" s="2566"/>
      <c r="G60" s="2566"/>
      <c r="H60" s="2566"/>
      <c r="I60" s="2653"/>
      <c r="J60" s="2653"/>
      <c r="K60" s="2653"/>
      <c r="L60" s="2653"/>
      <c r="M60" s="2653"/>
      <c r="N60" s="2653"/>
      <c r="O60" s="2653"/>
    </row>
    <row r="61" spans="1:16" s="2652" customFormat="1" ht="16.7" customHeight="1" outlineLevel="1">
      <c r="A61" s="1269"/>
      <c r="B61" s="1269"/>
      <c r="C61" s="2542"/>
      <c r="D61" s="2541"/>
      <c r="E61" s="2561"/>
      <c r="F61" s="2540"/>
      <c r="G61" s="2565"/>
      <c r="H61" s="2561"/>
      <c r="I61" s="2653"/>
      <c r="J61" s="2653"/>
      <c r="K61" s="2653"/>
      <c r="L61" s="2653"/>
      <c r="M61" s="2653"/>
      <c r="N61" s="2653"/>
      <c r="O61" s="2653"/>
    </row>
    <row r="62" spans="1:16" s="2652" customFormat="1" ht="16.7" customHeight="1" outlineLevel="1">
      <c r="A62" s="2564"/>
      <c r="B62" s="2564"/>
      <c r="C62" s="2563"/>
      <c r="D62" s="2541"/>
      <c r="E62" s="2561"/>
      <c r="F62" s="2540"/>
      <c r="G62" s="2562"/>
      <c r="H62" s="2561"/>
      <c r="I62" s="2653"/>
      <c r="J62" s="2653"/>
      <c r="K62" s="2653"/>
      <c r="L62" s="2653"/>
      <c r="M62" s="2653"/>
      <c r="N62" s="2653"/>
      <c r="O62" s="2653"/>
    </row>
    <row r="63" spans="1:16" s="2652" customFormat="1" ht="16.7" customHeight="1" outlineLevel="1">
      <c r="A63" s="4879"/>
      <c r="B63" s="4879"/>
      <c r="C63" s="2559"/>
      <c r="D63" s="2560"/>
      <c r="E63" s="4880"/>
      <c r="F63" s="4880"/>
      <c r="G63" s="4880"/>
      <c r="H63" s="2557"/>
      <c r="I63" s="2653"/>
      <c r="J63" s="2653"/>
      <c r="K63" s="2653"/>
      <c r="L63" s="2653"/>
      <c r="M63" s="2653"/>
      <c r="N63" s="2653"/>
      <c r="O63" s="2653"/>
    </row>
    <row r="64" spans="1:16" ht="16.7" customHeight="1" outlineLevel="1">
      <c r="A64" s="4879"/>
      <c r="B64" s="4879"/>
      <c r="C64" s="2559"/>
      <c r="D64" s="2558"/>
      <c r="E64" s="2558"/>
      <c r="F64" s="2558"/>
      <c r="G64" s="2558"/>
      <c r="H64" s="2558"/>
    </row>
    <row r="65" spans="1:15" ht="20.100000000000001" customHeight="1" outlineLevel="2">
      <c r="A65" s="4879"/>
      <c r="B65" s="4879"/>
      <c r="C65" s="2557"/>
      <c r="D65" s="2555"/>
      <c r="E65" s="2555"/>
      <c r="F65" s="2555"/>
      <c r="G65" s="2556"/>
      <c r="H65" s="2555"/>
    </row>
    <row r="66" spans="1:15" ht="8.4499999999999993" customHeight="1" outlineLevel="2">
      <c r="A66" s="2554"/>
      <c r="B66" s="2553"/>
      <c r="C66" s="2552"/>
      <c r="D66" s="2551"/>
      <c r="E66" s="2551"/>
      <c r="F66" s="2551"/>
      <c r="G66" s="2551"/>
      <c r="H66" s="2551"/>
    </row>
    <row r="67" spans="1:15" ht="14.45" customHeight="1">
      <c r="A67" s="2549"/>
      <c r="B67" s="2549"/>
      <c r="C67" s="2542"/>
      <c r="D67" s="2548"/>
      <c r="E67" s="2548"/>
      <c r="F67" s="2540"/>
      <c r="G67" s="2548"/>
      <c r="H67" s="2548"/>
    </row>
    <row r="68" spans="1:15" ht="13.9" customHeight="1">
      <c r="A68" s="2549"/>
      <c r="B68" s="2549"/>
      <c r="C68" s="2545"/>
      <c r="D68" s="2548"/>
      <c r="E68" s="2548"/>
      <c r="F68" s="2540"/>
      <c r="G68" s="2548"/>
      <c r="H68" s="2548"/>
    </row>
    <row r="69" spans="1:15" s="1256" customFormat="1" ht="18" customHeight="1">
      <c r="A69" s="2547"/>
      <c r="B69" s="2546"/>
      <c r="C69" s="2545"/>
      <c r="D69" s="2541"/>
      <c r="E69" s="2544"/>
      <c r="F69" s="2540"/>
      <c r="G69" s="2544"/>
      <c r="H69" s="2544"/>
      <c r="I69" s="1257"/>
      <c r="J69" s="1257"/>
      <c r="K69" s="1257"/>
      <c r="L69" s="1257"/>
      <c r="M69" s="1257"/>
      <c r="N69" s="1257"/>
      <c r="O69" s="1257"/>
    </row>
    <row r="70" spans="1:15" s="2463" customFormat="1" ht="12.75">
      <c r="A70" s="2543"/>
      <c r="B70" s="2543"/>
      <c r="C70" s="2542"/>
      <c r="D70" s="2541"/>
      <c r="E70" s="2539"/>
      <c r="F70" s="2540"/>
      <c r="G70" s="2539"/>
      <c r="H70" s="2539"/>
      <c r="I70" s="2579"/>
      <c r="J70" s="2579"/>
      <c r="K70" s="2579"/>
      <c r="L70" s="2579"/>
      <c r="M70" s="2579"/>
      <c r="N70" s="2579"/>
      <c r="O70" s="2579"/>
    </row>
    <row r="71" spans="1:15" s="2463" customFormat="1" ht="12.75">
      <c r="A71" s="2538"/>
      <c r="B71" s="2538"/>
      <c r="C71" s="2537"/>
      <c r="D71" s="2536"/>
      <c r="E71" s="2536"/>
      <c r="F71" s="2536"/>
      <c r="G71" s="2536"/>
      <c r="H71" s="2536"/>
      <c r="I71" s="2579"/>
      <c r="J71" s="2579"/>
      <c r="K71" s="2579"/>
      <c r="L71" s="2579"/>
      <c r="M71" s="2579"/>
      <c r="N71" s="2579"/>
      <c r="O71" s="2579"/>
    </row>
    <row r="72" spans="1:15" s="2463" customFormat="1" ht="12.75">
      <c r="A72" s="2538"/>
      <c r="B72" s="2538"/>
      <c r="C72" s="2537"/>
      <c r="D72" s="2536"/>
      <c r="E72" s="2536"/>
      <c r="F72" s="2536"/>
      <c r="G72" s="2536"/>
      <c r="H72" s="2536"/>
      <c r="I72" s="2579"/>
      <c r="J72" s="2579"/>
      <c r="K72" s="2579"/>
      <c r="L72" s="2579"/>
      <c r="M72" s="2579"/>
      <c r="N72" s="2579"/>
      <c r="O72" s="2579"/>
    </row>
    <row r="73" spans="1:15" s="2463" customFormat="1">
      <c r="A73" s="1269"/>
      <c r="B73" s="2529"/>
      <c r="C73" s="2535"/>
      <c r="D73" s="2529"/>
      <c r="E73" s="4877"/>
      <c r="F73" s="4877"/>
      <c r="G73" s="1269"/>
      <c r="H73" s="2529"/>
      <c r="I73" s="2579"/>
      <c r="J73" s="2579"/>
      <c r="K73" s="2579"/>
      <c r="L73" s="2579"/>
      <c r="M73" s="2579"/>
      <c r="N73" s="2579"/>
      <c r="O73" s="2579"/>
    </row>
    <row r="74" spans="1:15" s="2463" customFormat="1">
      <c r="A74" s="2529"/>
      <c r="B74" s="1269"/>
      <c r="C74" s="2535"/>
      <c r="D74" s="1269"/>
      <c r="E74" s="1269"/>
      <c r="F74" s="1269"/>
      <c r="G74" s="1269"/>
      <c r="H74" s="2529"/>
      <c r="I74" s="2579"/>
      <c r="J74" s="2579"/>
      <c r="K74" s="2579"/>
      <c r="L74" s="2579"/>
      <c r="M74" s="2579"/>
      <c r="N74" s="2579"/>
      <c r="O74" s="2579"/>
    </row>
    <row r="75" spans="1:15" s="2463" customFormat="1" ht="12.75">
      <c r="A75" s="2534"/>
      <c r="B75" s="1269"/>
      <c r="C75" s="4881"/>
      <c r="D75" s="4881"/>
      <c r="E75" s="4876"/>
      <c r="F75" s="4876"/>
      <c r="G75" s="4876"/>
      <c r="H75" s="4876"/>
      <c r="I75" s="2579"/>
      <c r="J75" s="2579"/>
      <c r="K75" s="2579"/>
      <c r="L75" s="2579"/>
      <c r="M75" s="2579"/>
      <c r="N75" s="2579"/>
      <c r="O75" s="2579"/>
    </row>
    <row r="76" spans="1:15" s="2463" customFormat="1" ht="12.75">
      <c r="A76" s="2531"/>
      <c r="B76" s="2533"/>
      <c r="C76" s="4874"/>
      <c r="D76" s="4874"/>
      <c r="E76" s="4875"/>
      <c r="F76" s="4875"/>
      <c r="G76" s="4875"/>
      <c r="H76" s="4875"/>
      <c r="I76" s="2579"/>
      <c r="J76" s="2579"/>
      <c r="K76" s="2579"/>
      <c r="L76" s="2579"/>
      <c r="M76" s="2579"/>
      <c r="N76" s="2579"/>
      <c r="O76" s="2579"/>
    </row>
    <row r="77" spans="1:15" s="2463" customFormat="1" ht="12.75">
      <c r="A77" s="2531"/>
      <c r="B77" s="2533"/>
      <c r="C77" s="2531"/>
      <c r="D77" s="2566"/>
      <c r="E77" s="2566"/>
      <c r="F77" s="2566"/>
      <c r="G77" s="2566"/>
      <c r="H77" s="2566"/>
      <c r="I77" s="2579"/>
      <c r="J77" s="2579"/>
      <c r="K77" s="2579"/>
      <c r="L77" s="2579"/>
      <c r="M77" s="2579"/>
      <c r="N77" s="2579"/>
      <c r="O77" s="2579"/>
    </row>
    <row r="78" spans="1:15" s="2463" customFormat="1" ht="12.75">
      <c r="A78" s="2531"/>
      <c r="B78" s="2533"/>
      <c r="C78" s="2531"/>
      <c r="D78" s="2566"/>
      <c r="E78" s="2566"/>
      <c r="F78" s="2566"/>
      <c r="G78" s="2566"/>
      <c r="H78" s="2566"/>
      <c r="I78" s="2579"/>
      <c r="J78" s="2579"/>
      <c r="K78" s="2579"/>
      <c r="L78" s="2579"/>
      <c r="M78" s="2579"/>
      <c r="N78" s="2579"/>
      <c r="O78" s="2579"/>
    </row>
    <row r="79" spans="1:15" s="2463" customFormat="1" ht="12.75">
      <c r="A79" s="2531"/>
      <c r="B79" s="2533"/>
      <c r="C79" s="2531"/>
      <c r="D79" s="2566"/>
      <c r="E79" s="2566"/>
      <c r="F79" s="2566"/>
      <c r="G79" s="2566"/>
      <c r="H79" s="2566"/>
      <c r="I79" s="2579"/>
      <c r="J79" s="2579"/>
      <c r="K79" s="2579"/>
      <c r="L79" s="2579"/>
      <c r="M79" s="2579"/>
      <c r="N79" s="2579"/>
      <c r="O79" s="2579"/>
    </row>
    <row r="80" spans="1:15" s="2463" customFormat="1" ht="12.75">
      <c r="A80" s="2531"/>
      <c r="B80" s="2533"/>
      <c r="C80" s="2531"/>
      <c r="D80" s="2566"/>
      <c r="E80" s="2566"/>
      <c r="F80" s="2566"/>
      <c r="G80" s="2566"/>
      <c r="H80" s="2566"/>
      <c r="I80" s="2579"/>
      <c r="J80" s="2579"/>
      <c r="K80" s="2579"/>
      <c r="L80" s="2579"/>
      <c r="M80" s="2579"/>
      <c r="N80" s="2579"/>
      <c r="O80" s="2579"/>
    </row>
    <row r="81" spans="1:15" s="2463" customFormat="1" ht="12.75">
      <c r="A81" s="2531"/>
      <c r="B81" s="2533"/>
      <c r="C81" s="2531"/>
      <c r="D81" s="2566"/>
      <c r="E81" s="2566"/>
      <c r="F81" s="2566"/>
      <c r="G81" s="2566"/>
      <c r="H81" s="2566"/>
      <c r="I81" s="2579"/>
      <c r="J81" s="2579"/>
      <c r="K81" s="2579"/>
      <c r="L81" s="2579"/>
      <c r="M81" s="2579"/>
      <c r="N81" s="2579"/>
      <c r="O81" s="2579"/>
    </row>
    <row r="82" spans="1:15" s="2463" customFormat="1" ht="12.75">
      <c r="A82" s="2531"/>
      <c r="B82" s="2533"/>
      <c r="C82" s="2531"/>
      <c r="D82" s="2566"/>
      <c r="E82" s="2566"/>
      <c r="F82" s="2566"/>
      <c r="G82" s="2566"/>
      <c r="H82" s="2566"/>
      <c r="I82" s="2579"/>
      <c r="J82" s="2579"/>
      <c r="K82" s="2579"/>
      <c r="L82" s="2579"/>
      <c r="M82" s="2579"/>
      <c r="N82" s="2579"/>
      <c r="O82" s="2579"/>
    </row>
    <row r="83" spans="1:15" s="2463" customFormat="1" ht="12.75">
      <c r="A83" s="2531"/>
      <c r="B83" s="2533"/>
      <c r="C83" s="2531"/>
      <c r="D83" s="2566"/>
      <c r="E83" s="2566"/>
      <c r="F83" s="2566"/>
      <c r="G83" s="2566"/>
      <c r="H83" s="2566"/>
      <c r="I83" s="2579"/>
      <c r="J83" s="2579"/>
      <c r="K83" s="2579"/>
      <c r="L83" s="2579"/>
      <c r="M83" s="2579"/>
      <c r="N83" s="2579"/>
      <c r="O83" s="2579"/>
    </row>
    <row r="84" spans="1:15" s="2463" customFormat="1" ht="12.75">
      <c r="A84" s="2531"/>
      <c r="B84" s="2533"/>
      <c r="C84" s="2531"/>
      <c r="D84" s="2566"/>
      <c r="E84" s="2566"/>
      <c r="F84" s="2566"/>
      <c r="G84" s="2566"/>
      <c r="H84" s="2566"/>
      <c r="I84" s="2579"/>
      <c r="J84" s="2579"/>
      <c r="K84" s="2579"/>
      <c r="L84" s="2579"/>
      <c r="M84" s="2579"/>
      <c r="N84" s="2579"/>
      <c r="O84" s="2579"/>
    </row>
    <row r="85" spans="1:15" s="2463" customFormat="1" ht="12.75">
      <c r="A85" s="2531"/>
      <c r="B85" s="2533"/>
      <c r="C85" s="2531"/>
      <c r="D85" s="2566"/>
      <c r="E85" s="2566"/>
      <c r="F85" s="2566"/>
      <c r="G85" s="2566"/>
      <c r="H85" s="2566"/>
      <c r="I85" s="2579"/>
      <c r="J85" s="2579"/>
      <c r="K85" s="2579"/>
      <c r="L85" s="2579"/>
      <c r="M85" s="2579"/>
      <c r="N85" s="2579"/>
      <c r="O85" s="2579"/>
    </row>
    <row r="86" spans="1:15" s="2463" customFormat="1" ht="12.75">
      <c r="A86" s="2531"/>
      <c r="B86" s="2533"/>
      <c r="C86" s="2531"/>
      <c r="D86" s="2566"/>
      <c r="E86" s="2566"/>
      <c r="F86" s="2566"/>
      <c r="G86" s="2566"/>
      <c r="H86" s="2566"/>
      <c r="I86" s="2579"/>
      <c r="J86" s="2579"/>
      <c r="K86" s="2579"/>
      <c r="L86" s="2579"/>
      <c r="M86" s="2579"/>
      <c r="N86" s="2579"/>
      <c r="O86" s="2579"/>
    </row>
    <row r="87" spans="1:15" s="2463" customFormat="1" ht="12.75">
      <c r="A87" s="2531"/>
      <c r="B87" s="2533"/>
      <c r="C87" s="2531"/>
      <c r="D87" s="2566"/>
      <c r="E87" s="2566"/>
      <c r="F87" s="2566"/>
      <c r="G87" s="2566"/>
      <c r="H87" s="2566"/>
      <c r="I87" s="2579"/>
      <c r="J87" s="2579"/>
      <c r="K87" s="2579"/>
      <c r="L87" s="2579"/>
      <c r="M87" s="2579"/>
      <c r="N87" s="2579"/>
      <c r="O87" s="2579"/>
    </row>
    <row r="88" spans="1:15" s="2463" customFormat="1" ht="12.75">
      <c r="A88" s="2531"/>
      <c r="B88" s="2533"/>
      <c r="C88" s="2531"/>
      <c r="D88" s="2566"/>
      <c r="E88" s="2566"/>
      <c r="F88" s="2566"/>
      <c r="G88" s="2566"/>
      <c r="H88" s="2566"/>
      <c r="I88" s="2579"/>
      <c r="J88" s="2579"/>
      <c r="K88" s="2579"/>
      <c r="L88" s="2579"/>
      <c r="M88" s="2579"/>
      <c r="N88" s="2579"/>
      <c r="O88" s="2579"/>
    </row>
    <row r="89" spans="1:15" s="2463" customFormat="1" ht="12.75">
      <c r="A89" s="2531"/>
      <c r="B89" s="2533"/>
      <c r="C89" s="2531"/>
      <c r="D89" s="2566"/>
      <c r="E89" s="2566"/>
      <c r="F89" s="2566"/>
      <c r="G89" s="2566"/>
      <c r="H89" s="2566"/>
      <c r="I89" s="2579"/>
      <c r="J89" s="2579"/>
      <c r="K89" s="2579"/>
      <c r="L89" s="2579"/>
      <c r="M89" s="2579"/>
      <c r="N89" s="2579"/>
      <c r="O89" s="2579"/>
    </row>
    <row r="90" spans="1:15" s="2463" customFormat="1" ht="12.75">
      <c r="A90" s="2531"/>
      <c r="B90" s="2533"/>
      <c r="C90" s="2531"/>
      <c r="D90" s="2566"/>
      <c r="E90" s="2566"/>
      <c r="F90" s="2566"/>
      <c r="G90" s="2566"/>
      <c r="H90" s="2566"/>
      <c r="I90" s="2579"/>
      <c r="J90" s="2579"/>
      <c r="K90" s="2579"/>
      <c r="L90" s="2579"/>
      <c r="M90" s="2579"/>
      <c r="N90" s="2579"/>
      <c r="O90" s="2579"/>
    </row>
    <row r="91" spans="1:15" s="2463" customFormat="1" ht="12.75">
      <c r="A91" s="2531"/>
      <c r="B91" s="2533"/>
      <c r="C91" s="2531"/>
      <c r="D91" s="2566"/>
      <c r="E91" s="2566"/>
      <c r="F91" s="2566"/>
      <c r="G91" s="2566"/>
      <c r="H91" s="2566"/>
      <c r="I91" s="2579"/>
      <c r="J91" s="2579"/>
      <c r="K91" s="2579"/>
      <c r="L91" s="2579"/>
      <c r="M91" s="2579"/>
      <c r="N91" s="2579"/>
      <c r="O91" s="2579"/>
    </row>
    <row r="92" spans="1:15" s="2463" customFormat="1" ht="12.75">
      <c r="A92" s="2531"/>
      <c r="B92" s="2533"/>
      <c r="C92" s="2531"/>
      <c r="D92" s="2566"/>
      <c r="E92" s="2566"/>
      <c r="F92" s="2566"/>
      <c r="G92" s="2566"/>
      <c r="H92" s="2566"/>
      <c r="I92" s="2579"/>
      <c r="J92" s="2579"/>
      <c r="K92" s="2579"/>
      <c r="L92" s="2579"/>
      <c r="M92" s="2579"/>
      <c r="N92" s="2579"/>
      <c r="O92" s="2579"/>
    </row>
    <row r="93" spans="1:15" s="2463" customFormat="1" ht="12.75">
      <c r="A93" s="2531"/>
      <c r="B93" s="2533"/>
      <c r="C93" s="2531"/>
      <c r="D93" s="2566"/>
      <c r="E93" s="2566"/>
      <c r="F93" s="2566"/>
      <c r="G93" s="2566"/>
      <c r="H93" s="2566"/>
      <c r="I93" s="2579"/>
      <c r="J93" s="2579"/>
      <c r="K93" s="2579"/>
      <c r="L93" s="2579"/>
      <c r="M93" s="2579"/>
      <c r="N93" s="2579"/>
      <c r="O93" s="2579"/>
    </row>
    <row r="94" spans="1:15" s="2463" customFormat="1" ht="12.75">
      <c r="A94" s="2531"/>
      <c r="B94" s="2533"/>
      <c r="C94" s="2531"/>
      <c r="D94" s="2566"/>
      <c r="E94" s="2566"/>
      <c r="F94" s="2566"/>
      <c r="G94" s="2566"/>
      <c r="H94" s="2566"/>
      <c r="I94" s="2579"/>
      <c r="J94" s="2579"/>
      <c r="K94" s="2579"/>
      <c r="L94" s="2579"/>
      <c r="M94" s="2579"/>
      <c r="N94" s="2579"/>
      <c r="O94" s="2579"/>
    </row>
    <row r="95" spans="1:15" s="2463" customFormat="1" ht="12.75">
      <c r="A95" s="2531"/>
      <c r="B95" s="2533"/>
      <c r="C95" s="2531"/>
      <c r="D95" s="2566"/>
      <c r="E95" s="2566"/>
      <c r="F95" s="2566"/>
      <c r="G95" s="2566"/>
      <c r="H95" s="2566"/>
      <c r="I95" s="2579"/>
      <c r="J95" s="2579"/>
      <c r="K95" s="2579"/>
      <c r="L95" s="2579"/>
      <c r="M95" s="2579"/>
      <c r="N95" s="2579"/>
      <c r="O95" s="2579"/>
    </row>
    <row r="96" spans="1:15" s="2463" customFormat="1" ht="12.75">
      <c r="A96" s="2531"/>
      <c r="B96" s="2533"/>
      <c r="C96" s="2531"/>
      <c r="D96" s="2566"/>
      <c r="E96" s="2566"/>
      <c r="F96" s="2566"/>
      <c r="G96" s="2566"/>
      <c r="H96" s="2566"/>
      <c r="I96" s="2579"/>
      <c r="J96" s="2579"/>
      <c r="K96" s="2579"/>
      <c r="L96" s="2579"/>
      <c r="M96" s="2579"/>
      <c r="N96" s="2579"/>
      <c r="O96" s="2579"/>
    </row>
    <row r="97" spans="1:15" s="2463" customFormat="1" ht="12.75">
      <c r="A97" s="2531"/>
      <c r="B97" s="2533"/>
      <c r="C97" s="2531"/>
      <c r="D97" s="2566"/>
      <c r="E97" s="2566"/>
      <c r="F97" s="2566"/>
      <c r="G97" s="2566"/>
      <c r="H97" s="2566"/>
      <c r="I97" s="2579"/>
      <c r="J97" s="2579"/>
      <c r="K97" s="2579"/>
      <c r="L97" s="2579"/>
      <c r="M97" s="2579"/>
      <c r="N97" s="2579"/>
      <c r="O97" s="2579"/>
    </row>
    <row r="98" spans="1:15" s="2463" customFormat="1" ht="12.75">
      <c r="A98" s="2531"/>
      <c r="B98" s="2533"/>
      <c r="C98" s="2531"/>
      <c r="D98" s="2566"/>
      <c r="E98" s="2566"/>
      <c r="F98" s="2566"/>
      <c r="G98" s="2566"/>
      <c r="H98" s="2566"/>
      <c r="I98" s="2579"/>
      <c r="J98" s="2579"/>
      <c r="K98" s="2579"/>
      <c r="L98" s="2579"/>
      <c r="M98" s="2579"/>
      <c r="N98" s="2579"/>
      <c r="O98" s="2579"/>
    </row>
    <row r="99" spans="1:15" s="2463" customFormat="1" ht="12.75">
      <c r="A99" s="2531"/>
      <c r="B99" s="2533"/>
      <c r="C99" s="2531"/>
      <c r="D99" s="2566"/>
      <c r="E99" s="2566"/>
      <c r="F99" s="2566"/>
      <c r="G99" s="2566"/>
      <c r="H99" s="2566"/>
      <c r="I99" s="2579"/>
      <c r="J99" s="2579"/>
      <c r="K99" s="2579"/>
      <c r="L99" s="2579"/>
      <c r="M99" s="2579"/>
      <c r="N99" s="2579"/>
      <c r="O99" s="2579"/>
    </row>
    <row r="100" spans="1:15" s="2463" customFormat="1" ht="12.75">
      <c r="A100" s="2531"/>
      <c r="B100" s="2533"/>
      <c r="C100" s="2531"/>
      <c r="D100" s="2566"/>
      <c r="E100" s="2566"/>
      <c r="F100" s="2566"/>
      <c r="G100" s="2566"/>
      <c r="H100" s="2566"/>
      <c r="I100" s="2579"/>
      <c r="J100" s="2579"/>
      <c r="K100" s="2579"/>
      <c r="L100" s="2579"/>
      <c r="M100" s="2579"/>
      <c r="N100" s="2579"/>
      <c r="O100" s="2579"/>
    </row>
    <row r="101" spans="1:15" s="2463" customFormat="1" ht="12.75">
      <c r="A101" s="2531"/>
      <c r="B101" s="2533"/>
      <c r="C101" s="2531"/>
      <c r="D101" s="2566"/>
      <c r="E101" s="2566"/>
      <c r="F101" s="2566"/>
      <c r="G101" s="2566"/>
      <c r="H101" s="2566"/>
      <c r="I101" s="2579"/>
      <c r="J101" s="2579"/>
      <c r="K101" s="2579"/>
      <c r="L101" s="2579"/>
      <c r="M101" s="2579"/>
      <c r="N101" s="2579"/>
      <c r="O101" s="2579"/>
    </row>
    <row r="102" spans="1:15" s="2463" customFormat="1" ht="12.75">
      <c r="A102" s="2531"/>
      <c r="B102" s="2533"/>
      <c r="C102" s="2531"/>
      <c r="D102" s="2566"/>
      <c r="E102" s="2566"/>
      <c r="F102" s="2566"/>
      <c r="G102" s="2566"/>
      <c r="H102" s="2566"/>
      <c r="I102" s="2579"/>
      <c r="J102" s="2579"/>
      <c r="K102" s="2579"/>
      <c r="L102" s="2579"/>
      <c r="M102" s="2579"/>
      <c r="N102" s="2579"/>
      <c r="O102" s="2579"/>
    </row>
    <row r="103" spans="1:15" s="2463" customFormat="1" ht="12.75">
      <c r="A103" s="2531"/>
      <c r="B103" s="2533"/>
      <c r="C103" s="2531"/>
      <c r="D103" s="2566"/>
      <c r="E103" s="2566"/>
      <c r="F103" s="2566"/>
      <c r="G103" s="2566"/>
      <c r="H103" s="2566"/>
      <c r="I103" s="2579"/>
      <c r="J103" s="2579"/>
      <c r="K103" s="2579"/>
      <c r="L103" s="2579"/>
      <c r="M103" s="2579"/>
      <c r="N103" s="2579"/>
      <c r="O103" s="2579"/>
    </row>
    <row r="104" spans="1:15" s="2463" customFormat="1" ht="12.75">
      <c r="A104" s="2531"/>
      <c r="B104" s="2533"/>
      <c r="C104" s="2531"/>
      <c r="D104" s="2566"/>
      <c r="E104" s="2566"/>
      <c r="F104" s="2566"/>
      <c r="G104" s="2566"/>
      <c r="H104" s="2566"/>
      <c r="I104" s="2579"/>
      <c r="J104" s="2579"/>
      <c r="K104" s="2579"/>
      <c r="L104" s="2579"/>
      <c r="M104" s="2579"/>
      <c r="N104" s="2579"/>
      <c r="O104" s="2579"/>
    </row>
    <row r="105" spans="1:15" s="2463" customFormat="1" ht="12.75">
      <c r="A105" s="2531"/>
      <c r="B105" s="2533"/>
      <c r="C105" s="2531"/>
      <c r="D105" s="2566"/>
      <c r="E105" s="2566"/>
      <c r="F105" s="2566"/>
      <c r="G105" s="2566"/>
      <c r="H105" s="2566"/>
      <c r="I105" s="2579"/>
      <c r="J105" s="2579"/>
      <c r="K105" s="2579"/>
      <c r="L105" s="2579"/>
      <c r="M105" s="2579"/>
      <c r="N105" s="2579"/>
      <c r="O105" s="2579"/>
    </row>
    <row r="106" spans="1:15" s="2463" customFormat="1" ht="12.75">
      <c r="A106" s="2531"/>
      <c r="B106" s="2533"/>
      <c r="C106" s="2531"/>
      <c r="D106" s="2566"/>
      <c r="E106" s="2566"/>
      <c r="F106" s="2566"/>
      <c r="G106" s="2566"/>
      <c r="H106" s="2566"/>
      <c r="I106" s="2579"/>
      <c r="J106" s="2579"/>
      <c r="K106" s="2579"/>
      <c r="L106" s="2579"/>
      <c r="M106" s="2579"/>
      <c r="N106" s="2579"/>
      <c r="O106" s="2579"/>
    </row>
    <row r="107" spans="1:15" s="2463" customFormat="1" ht="12.75">
      <c r="A107" s="2531"/>
      <c r="B107" s="2533"/>
      <c r="C107" s="2531"/>
      <c r="D107" s="2566"/>
      <c r="E107" s="2566"/>
      <c r="F107" s="2566"/>
      <c r="G107" s="2566"/>
      <c r="H107" s="2566"/>
      <c r="I107" s="2579"/>
      <c r="J107" s="2579"/>
      <c r="K107" s="2579"/>
      <c r="L107" s="2579"/>
      <c r="M107" s="2579"/>
      <c r="N107" s="2579"/>
      <c r="O107" s="2579"/>
    </row>
    <row r="108" spans="1:15" s="2463" customFormat="1" ht="12.75">
      <c r="A108" s="2531"/>
      <c r="B108" s="2533"/>
      <c r="C108" s="2531"/>
      <c r="D108" s="2566"/>
      <c r="E108" s="2566"/>
      <c r="F108" s="2566"/>
      <c r="G108" s="2566"/>
      <c r="H108" s="2566"/>
      <c r="I108" s="2579"/>
      <c r="J108" s="2579"/>
      <c r="K108" s="2579"/>
      <c r="L108" s="2579"/>
      <c r="M108" s="2579"/>
      <c r="N108" s="2579"/>
      <c r="O108" s="2579"/>
    </row>
    <row r="109" spans="1:15" s="2463" customFormat="1" ht="12.75">
      <c r="A109" s="2531"/>
      <c r="B109" s="2533"/>
      <c r="C109" s="2531"/>
      <c r="D109" s="2566"/>
      <c r="E109" s="2566"/>
      <c r="F109" s="2566"/>
      <c r="G109" s="2566"/>
      <c r="H109" s="2566"/>
      <c r="I109" s="2579"/>
      <c r="J109" s="2579"/>
      <c r="K109" s="2579"/>
      <c r="L109" s="2579"/>
      <c r="M109" s="2579"/>
      <c r="N109" s="2579"/>
      <c r="O109" s="2579"/>
    </row>
    <row r="110" spans="1:15" s="2463" customFormat="1" ht="12.75">
      <c r="A110" s="2531"/>
      <c r="B110" s="2533"/>
      <c r="C110" s="2531"/>
      <c r="D110" s="2566"/>
      <c r="E110" s="2566"/>
      <c r="F110" s="2566"/>
      <c r="G110" s="2566"/>
      <c r="H110" s="2566"/>
      <c r="I110" s="2579"/>
      <c r="J110" s="2579"/>
      <c r="K110" s="2579"/>
      <c r="L110" s="2579"/>
      <c r="M110" s="2579"/>
      <c r="N110" s="2579"/>
      <c r="O110" s="2579"/>
    </row>
    <row r="111" spans="1:15" s="2463" customFormat="1" ht="12.75">
      <c r="A111" s="2531"/>
      <c r="B111" s="2533"/>
      <c r="C111" s="2531"/>
      <c r="D111" s="2566"/>
      <c r="E111" s="2566"/>
      <c r="F111" s="2566"/>
      <c r="G111" s="2566"/>
      <c r="H111" s="2566"/>
      <c r="I111" s="2579"/>
      <c r="J111" s="2579"/>
      <c r="K111" s="2579"/>
      <c r="L111" s="2579"/>
      <c r="M111" s="2579"/>
      <c r="N111" s="2579"/>
      <c r="O111" s="2579"/>
    </row>
    <row r="112" spans="1:15" s="2463" customFormat="1" ht="12.75">
      <c r="A112" s="2531"/>
      <c r="B112" s="2533"/>
      <c r="C112" s="2531"/>
      <c r="D112" s="2566"/>
      <c r="E112" s="2566"/>
      <c r="F112" s="2566"/>
      <c r="G112" s="2566"/>
      <c r="H112" s="2566"/>
      <c r="I112" s="2579"/>
      <c r="J112" s="2579"/>
      <c r="K112" s="2579"/>
      <c r="L112" s="2579"/>
      <c r="M112" s="2579"/>
      <c r="N112" s="2579"/>
      <c r="O112" s="2579"/>
    </row>
    <row r="113" spans="1:15" s="2463" customFormat="1" ht="12.75">
      <c r="A113" s="4876"/>
      <c r="B113" s="4876"/>
      <c r="C113" s="4876"/>
      <c r="D113" s="4876"/>
      <c r="E113" s="4876"/>
      <c r="F113" s="4876"/>
      <c r="G113" s="4876"/>
      <c r="H113" s="4876"/>
      <c r="I113" s="2579"/>
      <c r="J113" s="2579"/>
      <c r="K113" s="2579"/>
      <c r="L113" s="2579"/>
      <c r="M113" s="2579"/>
      <c r="N113" s="2579"/>
      <c r="O113" s="2579"/>
    </row>
    <row r="114" spans="1:15" s="2463" customFormat="1" ht="12.75">
      <c r="A114" s="4877"/>
      <c r="B114" s="4877"/>
      <c r="C114" s="4877"/>
      <c r="D114" s="4877"/>
      <c r="E114" s="4877"/>
      <c r="F114" s="4877"/>
      <c r="G114" s="4877"/>
      <c r="H114" s="4877"/>
      <c r="I114" s="2579"/>
      <c r="J114" s="2579"/>
      <c r="K114" s="2579"/>
      <c r="L114" s="2579"/>
      <c r="M114" s="2579"/>
      <c r="N114" s="2579"/>
      <c r="O114" s="2579"/>
    </row>
    <row r="115" spans="1:15" s="2463" customFormat="1">
      <c r="A115" s="2529"/>
      <c r="B115" s="2529"/>
      <c r="C115" s="2529"/>
      <c r="D115" s="2529"/>
      <c r="E115" s="2529"/>
      <c r="F115" s="2529"/>
      <c r="G115" s="2529"/>
      <c r="H115" s="2529"/>
      <c r="I115" s="2579"/>
      <c r="J115" s="2579"/>
      <c r="K115" s="2579"/>
      <c r="L115" s="2579"/>
      <c r="M115" s="2579"/>
      <c r="N115" s="2579"/>
      <c r="O115" s="2579"/>
    </row>
    <row r="116" spans="1:15" s="2463" customFormat="1">
      <c r="A116" s="2568"/>
      <c r="B116" s="2567"/>
      <c r="C116" s="2529"/>
      <c r="D116" s="2566"/>
      <c r="E116" s="2566"/>
      <c r="F116" s="2566"/>
      <c r="G116" s="2566"/>
      <c r="H116" s="2566"/>
      <c r="I116" s="2579"/>
      <c r="J116" s="2579"/>
      <c r="K116" s="2579"/>
      <c r="L116" s="2579"/>
      <c r="M116" s="2579"/>
      <c r="N116" s="2579"/>
      <c r="O116" s="2579"/>
    </row>
    <row r="117" spans="1:15" s="2463" customFormat="1" ht="12.75">
      <c r="A117" s="1269"/>
      <c r="B117" s="1269"/>
      <c r="C117" s="2542"/>
      <c r="D117" s="2541"/>
      <c r="E117" s="2561"/>
      <c r="F117" s="2540"/>
      <c r="G117" s="2565"/>
      <c r="H117" s="2561"/>
      <c r="I117" s="2579"/>
      <c r="J117" s="2579"/>
      <c r="K117" s="2579"/>
      <c r="L117" s="2579"/>
      <c r="M117" s="2579"/>
      <c r="N117" s="2579"/>
      <c r="O117" s="2579"/>
    </row>
    <row r="118" spans="1:15" s="2463" customFormat="1" ht="23.25">
      <c r="A118" s="2564"/>
      <c r="B118" s="2564"/>
      <c r="C118" s="2563"/>
      <c r="D118" s="2541"/>
      <c r="E118" s="2561"/>
      <c r="F118" s="2540"/>
      <c r="G118" s="2562"/>
      <c r="H118" s="2561"/>
      <c r="I118" s="2579"/>
      <c r="J118" s="2579"/>
      <c r="K118" s="2579"/>
      <c r="L118" s="2579"/>
      <c r="M118" s="2579"/>
      <c r="N118" s="2579"/>
      <c r="O118" s="2579"/>
    </row>
    <row r="119" spans="1:15" s="2463" customFormat="1" ht="12.75">
      <c r="A119" s="4879"/>
      <c r="B119" s="4879"/>
      <c r="C119" s="2559"/>
      <c r="D119" s="2560"/>
      <c r="E119" s="4880"/>
      <c r="F119" s="4880"/>
      <c r="G119" s="4880"/>
      <c r="H119" s="2557"/>
      <c r="I119" s="2579"/>
      <c r="J119" s="2579"/>
      <c r="K119" s="2579"/>
      <c r="L119" s="2579"/>
      <c r="M119" s="2579"/>
      <c r="N119" s="2579"/>
      <c r="O119" s="2579"/>
    </row>
    <row r="120" spans="1:15" s="2463" customFormat="1" ht="12.75">
      <c r="A120" s="4879"/>
      <c r="B120" s="4879"/>
      <c r="C120" s="2559"/>
      <c r="D120" s="2558"/>
      <c r="E120" s="2558"/>
      <c r="F120" s="2558"/>
      <c r="G120" s="2558"/>
      <c r="H120" s="2558"/>
      <c r="I120" s="2579"/>
      <c r="J120" s="2579"/>
      <c r="K120" s="2579"/>
      <c r="L120" s="2579"/>
      <c r="M120" s="2579"/>
      <c r="N120" s="2579"/>
      <c r="O120" s="2579"/>
    </row>
    <row r="121" spans="1:15" s="2463" customFormat="1" ht="12.75">
      <c r="A121" s="4879"/>
      <c r="B121" s="4879"/>
      <c r="C121" s="2557"/>
      <c r="D121" s="2555"/>
      <c r="E121" s="2555"/>
      <c r="F121" s="2555"/>
      <c r="G121" s="2556"/>
      <c r="H121" s="2555"/>
      <c r="I121" s="2579"/>
      <c r="J121" s="2579"/>
      <c r="K121" s="2579"/>
      <c r="L121" s="2579"/>
      <c r="M121" s="2579"/>
      <c r="N121" s="2579"/>
      <c r="O121" s="2579"/>
    </row>
    <row r="122" spans="1:15" s="2463" customFormat="1" ht="12.75">
      <c r="A122" s="2554"/>
      <c r="B122" s="2553"/>
      <c r="C122" s="2552"/>
      <c r="D122" s="2551"/>
      <c r="E122" s="2551"/>
      <c r="F122" s="2551"/>
      <c r="G122" s="2551"/>
      <c r="H122" s="2551"/>
      <c r="I122" s="2579"/>
      <c r="J122" s="2579"/>
      <c r="K122" s="2579"/>
      <c r="L122" s="2579"/>
      <c r="M122" s="2579"/>
      <c r="N122" s="2579"/>
      <c r="O122" s="2579"/>
    </row>
    <row r="123" spans="1:15" s="2463" customFormat="1" ht="12.75">
      <c r="A123" s="2549"/>
      <c r="B123" s="2549"/>
      <c r="C123" s="2550"/>
      <c r="D123" s="2548"/>
      <c r="E123" s="2548"/>
      <c r="F123" s="2540"/>
      <c r="G123" s="2548"/>
      <c r="H123" s="2548"/>
      <c r="I123" s="2579"/>
      <c r="J123" s="2579"/>
      <c r="K123" s="2579"/>
      <c r="L123" s="2579"/>
      <c r="M123" s="2579"/>
      <c r="N123" s="2579"/>
      <c r="O123" s="2579"/>
    </row>
    <row r="124" spans="1:15" s="2463" customFormat="1" ht="12.75">
      <c r="A124" s="2549"/>
      <c r="B124" s="2549"/>
      <c r="C124" s="2545"/>
      <c r="D124" s="2548"/>
      <c r="E124" s="2548"/>
      <c r="F124" s="2540"/>
      <c r="G124" s="2548"/>
      <c r="H124" s="2548"/>
      <c r="I124" s="2579"/>
      <c r="J124" s="2579"/>
      <c r="K124" s="2579"/>
      <c r="L124" s="2579"/>
      <c r="M124" s="2579"/>
      <c r="N124" s="2579"/>
      <c r="O124" s="2579"/>
    </row>
    <row r="125" spans="1:15" s="2463" customFormat="1" ht="12.75">
      <c r="A125" s="2547"/>
      <c r="B125" s="2546"/>
      <c r="C125" s="2545"/>
      <c r="D125" s="2541"/>
      <c r="E125" s="2544"/>
      <c r="F125" s="2540"/>
      <c r="G125" s="2544"/>
      <c r="H125" s="2544"/>
      <c r="I125" s="2579"/>
      <c r="J125" s="2579"/>
      <c r="K125" s="2579"/>
      <c r="L125" s="2579"/>
      <c r="M125" s="2579"/>
      <c r="N125" s="2579"/>
      <c r="O125" s="2579"/>
    </row>
    <row r="126" spans="1:15" s="2463" customFormat="1" ht="12.75">
      <c r="A126" s="2543"/>
      <c r="B126" s="2543"/>
      <c r="C126" s="2542"/>
      <c r="D126" s="2541"/>
      <c r="E126" s="2539"/>
      <c r="F126" s="2540"/>
      <c r="G126" s="2539"/>
      <c r="H126" s="2539"/>
      <c r="I126" s="2579"/>
      <c r="J126" s="2579"/>
      <c r="K126" s="2579"/>
      <c r="L126" s="2579"/>
      <c r="M126" s="2579"/>
      <c r="N126" s="2579"/>
      <c r="O126" s="2579"/>
    </row>
    <row r="127" spans="1:15" s="2463" customFormat="1" ht="12.75">
      <c r="A127" s="2538"/>
      <c r="B127" s="2538"/>
      <c r="C127" s="2537"/>
      <c r="D127" s="2536"/>
      <c r="E127" s="2536"/>
      <c r="F127" s="2536"/>
      <c r="G127" s="2536"/>
      <c r="H127" s="2536"/>
      <c r="I127" s="2579"/>
      <c r="J127" s="2579"/>
      <c r="K127" s="2579"/>
      <c r="L127" s="2579"/>
      <c r="M127" s="2579"/>
      <c r="N127" s="2579"/>
      <c r="O127" s="2579"/>
    </row>
    <row r="128" spans="1:15" s="2463" customFormat="1" ht="12.75">
      <c r="A128" s="2538"/>
      <c r="B128" s="2538"/>
      <c r="C128" s="2537"/>
      <c r="D128" s="2536"/>
      <c r="E128" s="2536"/>
      <c r="F128" s="2536"/>
      <c r="G128" s="2536"/>
      <c r="H128" s="2536"/>
      <c r="I128" s="2579"/>
      <c r="J128" s="2579"/>
      <c r="K128" s="2579"/>
      <c r="L128" s="2579"/>
      <c r="M128" s="2579"/>
      <c r="N128" s="2579"/>
      <c r="O128" s="2579"/>
    </row>
    <row r="129" spans="1:15" s="2463" customFormat="1">
      <c r="A129" s="1269"/>
      <c r="B129" s="2529"/>
      <c r="C129" s="2535"/>
      <c r="D129" s="2529"/>
      <c r="E129" s="4877"/>
      <c r="F129" s="4877"/>
      <c r="G129" s="1269"/>
      <c r="H129" s="2529"/>
      <c r="I129" s="2579"/>
      <c r="J129" s="2579"/>
      <c r="K129" s="2579"/>
      <c r="L129" s="2579"/>
      <c r="M129" s="2579"/>
      <c r="N129" s="2579"/>
      <c r="O129" s="2579"/>
    </row>
    <row r="130" spans="1:15" s="2463" customFormat="1">
      <c r="A130" s="2529"/>
      <c r="B130" s="1269"/>
      <c r="C130" s="2535"/>
      <c r="D130" s="1269"/>
      <c r="E130" s="1269"/>
      <c r="F130" s="1269"/>
      <c r="G130" s="1269"/>
      <c r="H130" s="2529"/>
      <c r="I130" s="2579"/>
      <c r="J130" s="2579"/>
      <c r="K130" s="2579"/>
      <c r="L130" s="2579"/>
      <c r="M130" s="2579"/>
      <c r="N130" s="2579"/>
      <c r="O130" s="2579"/>
    </row>
    <row r="131" spans="1:15" s="2463" customFormat="1" ht="12.75">
      <c r="A131" s="2534"/>
      <c r="B131" s="1269"/>
      <c r="C131" s="4881"/>
      <c r="D131" s="4881"/>
      <c r="E131" s="4876"/>
      <c r="F131" s="4876"/>
      <c r="G131" s="4876"/>
      <c r="H131" s="4876"/>
      <c r="I131" s="2579"/>
      <c r="J131" s="2579"/>
      <c r="K131" s="2579"/>
      <c r="L131" s="2579"/>
      <c r="M131" s="2579"/>
      <c r="N131" s="2579"/>
      <c r="O131" s="2579"/>
    </row>
    <row r="132" spans="1:15" s="2463" customFormat="1" ht="12.75">
      <c r="A132" s="2531"/>
      <c r="B132" s="2533"/>
      <c r="C132" s="4874"/>
      <c r="D132" s="4874"/>
      <c r="E132" s="4875"/>
      <c r="F132" s="4875"/>
      <c r="G132" s="4875"/>
      <c r="H132" s="4875"/>
      <c r="I132" s="2579"/>
      <c r="J132" s="2579"/>
      <c r="K132" s="2579"/>
      <c r="L132" s="2579"/>
      <c r="M132" s="2579"/>
      <c r="N132" s="2579"/>
      <c r="O132" s="2579"/>
    </row>
    <row r="133" spans="1:15" s="2463" customFormat="1">
      <c r="A133" s="2529"/>
      <c r="B133" s="2529"/>
      <c r="C133" s="2529"/>
      <c r="D133" s="2529"/>
      <c r="E133" s="2529"/>
      <c r="F133" s="2529"/>
      <c r="G133" s="2529"/>
      <c r="H133" s="2529"/>
      <c r="I133" s="2579"/>
      <c r="J133" s="2579"/>
      <c r="K133" s="2579"/>
      <c r="L133" s="2579"/>
      <c r="M133" s="2579"/>
      <c r="N133" s="2579"/>
      <c r="O133" s="2579"/>
    </row>
    <row r="134" spans="1:15" s="2463" customFormat="1">
      <c r="A134" s="2529"/>
      <c r="B134" s="2529"/>
      <c r="C134" s="2529"/>
      <c r="D134" s="2529"/>
      <c r="E134" s="2529"/>
      <c r="F134" s="2529"/>
      <c r="G134" s="2529"/>
      <c r="H134" s="2529"/>
      <c r="I134" s="2579"/>
      <c r="J134" s="2579"/>
      <c r="K134" s="2579"/>
      <c r="L134" s="2579"/>
      <c r="M134" s="2579"/>
      <c r="N134" s="2579"/>
      <c r="O134" s="2579"/>
    </row>
    <row r="135" spans="1:15" s="2463" customFormat="1">
      <c r="A135" s="2529"/>
      <c r="B135" s="2529"/>
      <c r="C135" s="2529"/>
      <c r="D135" s="2529"/>
      <c r="E135" s="2529"/>
      <c r="F135" s="2529"/>
      <c r="G135" s="2529"/>
      <c r="H135" s="2529"/>
      <c r="I135" s="2579"/>
      <c r="J135" s="2579"/>
      <c r="K135" s="2579"/>
      <c r="L135" s="2579"/>
      <c r="M135" s="2579"/>
      <c r="N135" s="2579"/>
      <c r="O135" s="2579"/>
    </row>
    <row r="136" spans="1:15" s="2463" customFormat="1">
      <c r="A136" s="2529"/>
      <c r="B136" s="2529"/>
      <c r="C136" s="2529"/>
      <c r="D136" s="2529"/>
      <c r="E136" s="2529"/>
      <c r="F136" s="2529"/>
      <c r="G136" s="2529"/>
      <c r="H136" s="2529"/>
      <c r="I136" s="2579"/>
      <c r="J136" s="2579"/>
      <c r="K136" s="2579"/>
      <c r="L136" s="2579"/>
      <c r="M136" s="2579"/>
      <c r="N136" s="2579"/>
      <c r="O136" s="2579"/>
    </row>
    <row r="137" spans="1:15" s="2463" customFormat="1">
      <c r="A137" s="2529"/>
      <c r="B137" s="2529"/>
      <c r="C137" s="2529"/>
      <c r="D137" s="2529"/>
      <c r="E137" s="2529"/>
      <c r="F137" s="2529"/>
      <c r="G137" s="2529"/>
      <c r="H137" s="2529"/>
      <c r="I137" s="2579"/>
      <c r="J137" s="2579"/>
      <c r="K137" s="2579"/>
      <c r="L137" s="2579"/>
      <c r="M137" s="2579"/>
      <c r="N137" s="2579"/>
      <c r="O137" s="2579"/>
    </row>
    <row r="138" spans="1:15" s="2463" customFormat="1">
      <c r="A138" s="2529"/>
      <c r="B138" s="2529"/>
      <c r="C138" s="2529"/>
      <c r="D138" s="2529"/>
      <c r="E138" s="2529"/>
      <c r="F138" s="2529"/>
      <c r="G138" s="2529"/>
      <c r="H138" s="2529"/>
      <c r="I138" s="2579"/>
      <c r="J138" s="2579"/>
      <c r="K138" s="2579"/>
      <c r="L138" s="2579"/>
      <c r="M138" s="2579"/>
      <c r="N138" s="2579"/>
      <c r="O138" s="2579"/>
    </row>
    <row r="139" spans="1:15" s="2463" customFormat="1">
      <c r="A139" s="2529"/>
      <c r="B139" s="2529"/>
      <c r="C139" s="2529"/>
      <c r="D139" s="2529"/>
      <c r="E139" s="2529"/>
      <c r="F139" s="2529"/>
      <c r="G139" s="2529"/>
      <c r="H139" s="2529"/>
      <c r="I139" s="2579"/>
      <c r="J139" s="2579"/>
      <c r="K139" s="2579"/>
      <c r="L139" s="2579"/>
      <c r="M139" s="2579"/>
      <c r="N139" s="2579"/>
      <c r="O139" s="2579"/>
    </row>
    <row r="140" spans="1:15" s="2463" customFormat="1">
      <c r="A140" s="2529"/>
      <c r="B140" s="2529"/>
      <c r="C140" s="2529"/>
      <c r="D140" s="2529"/>
      <c r="E140" s="2529"/>
      <c r="F140" s="2529"/>
      <c r="G140" s="2529"/>
      <c r="H140" s="2529"/>
      <c r="I140" s="2579"/>
      <c r="J140" s="2579"/>
      <c r="K140" s="2579"/>
      <c r="L140" s="2579"/>
      <c r="M140" s="2579"/>
      <c r="N140" s="2579"/>
      <c r="O140" s="2579"/>
    </row>
    <row r="141" spans="1:15" s="2463" customFormat="1">
      <c r="A141" s="2529"/>
      <c r="B141" s="2529"/>
      <c r="C141" s="2529"/>
      <c r="D141" s="2529"/>
      <c r="E141" s="2529"/>
      <c r="F141" s="2529"/>
      <c r="G141" s="2529"/>
      <c r="H141" s="2529"/>
      <c r="I141" s="2579"/>
      <c r="J141" s="2579"/>
      <c r="K141" s="2579"/>
      <c r="L141" s="2579"/>
      <c r="M141" s="2579"/>
      <c r="N141" s="2579"/>
      <c r="O141" s="2579"/>
    </row>
    <row r="142" spans="1:15" s="2463" customFormat="1">
      <c r="A142" s="2462"/>
      <c r="B142" s="2462"/>
      <c r="C142" s="2462"/>
      <c r="D142" s="2462"/>
      <c r="E142" s="2462"/>
      <c r="F142" s="2462"/>
      <c r="G142" s="2462"/>
      <c r="H142" s="2462"/>
      <c r="I142" s="2579"/>
      <c r="J142" s="2579"/>
      <c r="K142" s="2579"/>
      <c r="L142" s="2579"/>
      <c r="M142" s="2579"/>
      <c r="N142" s="2579"/>
      <c r="O142" s="2579"/>
    </row>
    <row r="143" spans="1:15" s="2463" customFormat="1">
      <c r="A143" s="2462"/>
      <c r="B143" s="2462"/>
      <c r="C143" s="2462"/>
      <c r="D143" s="2462"/>
      <c r="E143" s="2462"/>
      <c r="F143" s="2462"/>
      <c r="G143" s="2462"/>
      <c r="H143" s="2462"/>
      <c r="I143" s="2579"/>
      <c r="J143" s="2579"/>
      <c r="K143" s="2579"/>
      <c r="L143" s="2579"/>
      <c r="M143" s="2579"/>
      <c r="N143" s="2579"/>
      <c r="O143" s="2579"/>
    </row>
    <row r="144" spans="1:15" s="2463" customFormat="1">
      <c r="A144" s="2462"/>
      <c r="B144" s="2462"/>
      <c r="C144" s="2462"/>
      <c r="D144" s="2462"/>
      <c r="E144" s="2462"/>
      <c r="F144" s="2462"/>
      <c r="G144" s="2462"/>
      <c r="H144" s="2462"/>
      <c r="I144" s="2579"/>
      <c r="J144" s="2579"/>
      <c r="K144" s="2579"/>
      <c r="L144" s="2579"/>
      <c r="M144" s="2579"/>
      <c r="N144" s="2579"/>
      <c r="O144" s="2579"/>
    </row>
    <row r="145" spans="1:15" s="2463" customFormat="1">
      <c r="A145" s="2462"/>
      <c r="B145" s="2462"/>
      <c r="C145" s="2462"/>
      <c r="D145" s="2462"/>
      <c r="E145" s="2462"/>
      <c r="F145" s="2462"/>
      <c r="G145" s="2462"/>
      <c r="H145" s="2462"/>
      <c r="I145" s="2579"/>
      <c r="J145" s="2579"/>
      <c r="K145" s="2579"/>
      <c r="L145" s="2579"/>
      <c r="M145" s="2579"/>
      <c r="N145" s="2579"/>
      <c r="O145" s="2579"/>
    </row>
    <row r="146" spans="1:15" s="2463" customFormat="1">
      <c r="A146" s="2462"/>
      <c r="B146" s="2462"/>
      <c r="C146" s="2462"/>
      <c r="D146" s="2462"/>
      <c r="E146" s="2462"/>
      <c r="F146" s="2462"/>
      <c r="G146" s="2462"/>
      <c r="H146" s="2462"/>
      <c r="I146" s="2579"/>
      <c r="J146" s="2579"/>
      <c r="K146" s="2579"/>
      <c r="L146" s="2579"/>
      <c r="M146" s="2579"/>
      <c r="N146" s="2579"/>
      <c r="O146" s="2579"/>
    </row>
    <row r="147" spans="1:15" s="2463" customFormat="1">
      <c r="A147" s="2462"/>
      <c r="B147" s="2462"/>
      <c r="C147" s="2462"/>
      <c r="D147" s="2462"/>
      <c r="E147" s="2462"/>
      <c r="F147" s="2462"/>
      <c r="G147" s="2462"/>
      <c r="H147" s="2462"/>
      <c r="I147" s="2579"/>
      <c r="J147" s="2579"/>
      <c r="K147" s="2579"/>
      <c r="L147" s="2579"/>
      <c r="M147" s="2579"/>
      <c r="N147" s="2579"/>
      <c r="O147" s="2579"/>
    </row>
    <row r="148" spans="1:15" s="2463" customFormat="1">
      <c r="A148" s="2462"/>
      <c r="B148" s="2462"/>
      <c r="C148" s="2462"/>
      <c r="D148" s="2462"/>
      <c r="E148" s="2462"/>
      <c r="F148" s="2462"/>
      <c r="G148" s="2462"/>
      <c r="H148" s="2462"/>
      <c r="I148" s="2579"/>
      <c r="J148" s="2579"/>
      <c r="K148" s="2579"/>
      <c r="L148" s="2579"/>
      <c r="M148" s="2579"/>
      <c r="N148" s="2579"/>
      <c r="O148" s="2579"/>
    </row>
    <row r="149" spans="1:15" s="2463" customFormat="1">
      <c r="A149" s="2462"/>
      <c r="B149" s="2462"/>
      <c r="C149" s="2462"/>
      <c r="D149" s="2462"/>
      <c r="E149" s="2462"/>
      <c r="F149" s="2462"/>
      <c r="G149" s="2462"/>
      <c r="H149" s="2462"/>
      <c r="I149" s="2579"/>
      <c r="J149" s="2579"/>
      <c r="K149" s="2579"/>
      <c r="L149" s="2579"/>
      <c r="M149" s="2579"/>
      <c r="N149" s="2579"/>
      <c r="O149" s="2579"/>
    </row>
    <row r="150" spans="1:15" s="2463" customFormat="1">
      <c r="A150" s="2462"/>
      <c r="B150" s="2462"/>
      <c r="C150" s="2462"/>
      <c r="D150" s="2462"/>
      <c r="E150" s="2462"/>
      <c r="F150" s="2462"/>
      <c r="G150" s="2462"/>
      <c r="H150" s="2462"/>
      <c r="I150" s="2579"/>
      <c r="J150" s="2579"/>
      <c r="K150" s="2579"/>
      <c r="L150" s="2579"/>
      <c r="M150" s="2579"/>
      <c r="N150" s="2579"/>
      <c r="O150" s="2579"/>
    </row>
    <row r="151" spans="1:15" s="2463" customFormat="1">
      <c r="A151" s="2462"/>
      <c r="B151" s="2462"/>
      <c r="C151" s="2462"/>
      <c r="D151" s="2462"/>
      <c r="E151" s="2462"/>
      <c r="F151" s="2462"/>
      <c r="G151" s="2462"/>
      <c r="H151" s="2462"/>
      <c r="I151" s="2579"/>
      <c r="J151" s="2579"/>
      <c r="K151" s="2579"/>
      <c r="L151" s="2579"/>
      <c r="M151" s="2579"/>
      <c r="N151" s="2579"/>
      <c r="O151" s="2579"/>
    </row>
    <row r="152" spans="1:15" s="2463" customFormat="1">
      <c r="A152" s="2462"/>
      <c r="B152" s="2462"/>
      <c r="C152" s="2462"/>
      <c r="D152" s="2462"/>
      <c r="E152" s="2462"/>
      <c r="F152" s="2462"/>
      <c r="G152" s="2462"/>
      <c r="H152" s="2462"/>
      <c r="I152" s="2579"/>
      <c r="J152" s="2579"/>
      <c r="K152" s="2579"/>
      <c r="L152" s="2579"/>
      <c r="M152" s="2579"/>
      <c r="N152" s="2579"/>
      <c r="O152" s="2579"/>
    </row>
    <row r="153" spans="1:15" s="2463" customFormat="1">
      <c r="A153" s="2462"/>
      <c r="B153" s="2462"/>
      <c r="C153" s="2462"/>
      <c r="D153" s="2462"/>
      <c r="E153" s="2462"/>
      <c r="F153" s="2462"/>
      <c r="G153" s="2462"/>
      <c r="H153" s="2462"/>
      <c r="I153" s="2579"/>
      <c r="J153" s="2579"/>
      <c r="K153" s="2579"/>
      <c r="L153" s="2579"/>
      <c r="M153" s="2579"/>
      <c r="N153" s="2579"/>
      <c r="O153" s="2579"/>
    </row>
    <row r="154" spans="1:15" s="2463" customFormat="1">
      <c r="A154" s="2462"/>
      <c r="B154" s="2462"/>
      <c r="C154" s="2462"/>
      <c r="D154" s="2462"/>
      <c r="E154" s="2462"/>
      <c r="F154" s="2462"/>
      <c r="G154" s="2462"/>
      <c r="H154" s="2462"/>
      <c r="I154" s="2579"/>
      <c r="J154" s="2579"/>
      <c r="K154" s="2579"/>
      <c r="L154" s="2579"/>
      <c r="M154" s="2579"/>
      <c r="N154" s="2579"/>
      <c r="O154" s="2579"/>
    </row>
    <row r="155" spans="1:15" s="2532" customFormat="1">
      <c r="A155" s="2462"/>
      <c r="B155" s="2462"/>
      <c r="C155" s="2462"/>
      <c r="D155" s="2462"/>
      <c r="E155" s="2462"/>
      <c r="F155" s="2462"/>
      <c r="G155" s="2462"/>
      <c r="H155" s="2462"/>
    </row>
    <row r="156" spans="1:15" s="2532" customFormat="1">
      <c r="A156" s="2462"/>
      <c r="B156" s="2462"/>
      <c r="C156" s="2462"/>
      <c r="D156" s="2462"/>
      <c r="E156" s="2462"/>
      <c r="F156" s="2462"/>
      <c r="G156" s="2462"/>
      <c r="H156" s="2462"/>
    </row>
    <row r="157" spans="1:15" s="2532" customFormat="1">
      <c r="A157" s="2462"/>
      <c r="B157" s="2462"/>
      <c r="C157" s="2462"/>
      <c r="D157" s="2462"/>
      <c r="E157" s="2462"/>
      <c r="F157" s="2462"/>
      <c r="G157" s="2462"/>
      <c r="H157" s="2462"/>
    </row>
    <row r="158" spans="1:15" s="2532" customFormat="1">
      <c r="A158" s="2462"/>
      <c r="B158" s="2462"/>
      <c r="C158" s="2462"/>
      <c r="D158" s="2462"/>
      <c r="E158" s="2462"/>
      <c r="F158" s="2462"/>
      <c r="G158" s="2462"/>
      <c r="H158" s="2462"/>
    </row>
    <row r="159" spans="1:15" s="2532" customFormat="1">
      <c r="A159" s="2462"/>
      <c r="B159" s="2462"/>
      <c r="C159" s="2462"/>
      <c r="D159" s="2462"/>
      <c r="E159" s="2462"/>
      <c r="F159" s="2462"/>
      <c r="G159" s="2462"/>
      <c r="H159" s="2462"/>
    </row>
    <row r="160" spans="1:15" s="2532" customFormat="1">
      <c r="A160" s="2462"/>
      <c r="B160" s="2462"/>
      <c r="C160" s="2462"/>
      <c r="D160" s="2462"/>
      <c r="E160" s="2462"/>
      <c r="F160" s="2462"/>
      <c r="G160" s="2462"/>
      <c r="H160" s="2462"/>
    </row>
    <row r="161" spans="1:15" s="2532" customFormat="1">
      <c r="A161" s="2462"/>
      <c r="B161" s="2462"/>
      <c r="C161" s="2462"/>
      <c r="D161" s="2462"/>
      <c r="E161" s="2462"/>
      <c r="F161" s="2462"/>
      <c r="G161" s="2462"/>
      <c r="H161" s="2462"/>
    </row>
    <row r="162" spans="1:15" s="2532" customFormat="1">
      <c r="A162" s="2462"/>
      <c r="B162" s="2462"/>
      <c r="C162" s="2462"/>
      <c r="D162" s="2462"/>
      <c r="E162" s="2462"/>
      <c r="F162" s="2462"/>
      <c r="G162" s="2462"/>
      <c r="H162" s="2462"/>
    </row>
    <row r="163" spans="1:15" s="2463" customFormat="1">
      <c r="A163" s="2462"/>
      <c r="B163" s="2462"/>
      <c r="C163" s="2462"/>
      <c r="D163" s="2462"/>
      <c r="E163" s="2462"/>
      <c r="F163" s="2462"/>
      <c r="G163" s="2462"/>
      <c r="H163" s="2462"/>
      <c r="I163" s="2579"/>
      <c r="J163" s="2579"/>
      <c r="K163" s="2579"/>
      <c r="L163" s="2579"/>
      <c r="M163" s="2579"/>
      <c r="N163" s="2579"/>
      <c r="O163" s="2579"/>
    </row>
    <row r="164" spans="1:15" s="2463" customFormat="1">
      <c r="A164" s="2462"/>
      <c r="B164" s="2462"/>
      <c r="C164" s="2462"/>
      <c r="D164" s="2462"/>
      <c r="E164" s="2462"/>
      <c r="F164" s="2462"/>
      <c r="G164" s="2462"/>
      <c r="H164" s="2462"/>
      <c r="I164" s="2579"/>
      <c r="J164" s="2579"/>
      <c r="K164" s="2579"/>
      <c r="L164" s="2579"/>
      <c r="M164" s="2579"/>
      <c r="N164" s="2579"/>
      <c r="O164" s="2579"/>
    </row>
    <row r="165" spans="1:15" s="2463" customFormat="1">
      <c r="A165" s="2462"/>
      <c r="B165" s="2462"/>
      <c r="C165" s="2462"/>
      <c r="D165" s="2462"/>
      <c r="E165" s="2462"/>
      <c r="F165" s="2462"/>
      <c r="G165" s="2462"/>
      <c r="H165" s="2462"/>
      <c r="I165" s="2579"/>
      <c r="J165" s="2579"/>
      <c r="K165" s="2579"/>
      <c r="L165" s="2579"/>
      <c r="M165" s="2579"/>
      <c r="N165" s="2579"/>
      <c r="O165" s="2579"/>
    </row>
    <row r="166" spans="1:15" s="2463" customFormat="1">
      <c r="A166" s="2462"/>
      <c r="B166" s="2462"/>
      <c r="C166" s="2462"/>
      <c r="D166" s="2462"/>
      <c r="E166" s="2462"/>
      <c r="F166" s="2462"/>
      <c r="G166" s="2462"/>
      <c r="H166" s="2462"/>
      <c r="I166" s="2579"/>
      <c r="J166" s="2579"/>
      <c r="K166" s="2579"/>
      <c r="L166" s="2579"/>
      <c r="M166" s="2579"/>
      <c r="N166" s="2579"/>
      <c r="O166" s="2579"/>
    </row>
    <row r="167" spans="1:15" s="2463" customFormat="1">
      <c r="A167" s="2462"/>
      <c r="B167" s="2462"/>
      <c r="C167" s="2462"/>
      <c r="D167" s="2462"/>
      <c r="E167" s="2462"/>
      <c r="F167" s="2462"/>
      <c r="G167" s="2462"/>
      <c r="H167" s="2462"/>
      <c r="I167" s="2579"/>
      <c r="J167" s="2579"/>
      <c r="K167" s="2579"/>
      <c r="L167" s="2579"/>
      <c r="M167" s="2579"/>
      <c r="N167" s="2579"/>
      <c r="O167" s="2579"/>
    </row>
    <row r="168" spans="1:15" s="2463" customFormat="1">
      <c r="A168" s="2462"/>
      <c r="B168" s="2462"/>
      <c r="C168" s="2462"/>
      <c r="D168" s="2462"/>
      <c r="E168" s="2462"/>
      <c r="F168" s="2462"/>
      <c r="G168" s="2462"/>
      <c r="H168" s="2462"/>
      <c r="I168" s="2579"/>
      <c r="J168" s="2579"/>
      <c r="K168" s="2579"/>
      <c r="L168" s="2579"/>
      <c r="M168" s="2579"/>
      <c r="N168" s="2579"/>
      <c r="O168" s="2579"/>
    </row>
    <row r="169" spans="1:15" s="2463" customFormat="1">
      <c r="A169" s="2462"/>
      <c r="B169" s="2462"/>
      <c r="C169" s="2462"/>
      <c r="D169" s="2462"/>
      <c r="E169" s="2462"/>
      <c r="F169" s="2462"/>
      <c r="G169" s="2462"/>
      <c r="H169" s="2462"/>
      <c r="I169" s="2579"/>
      <c r="J169" s="2579"/>
      <c r="K169" s="2579"/>
      <c r="L169" s="2579"/>
      <c r="M169" s="2579"/>
      <c r="N169" s="2579"/>
      <c r="O169" s="2579"/>
    </row>
    <row r="170" spans="1:15" s="2463" customFormat="1">
      <c r="A170" s="2462"/>
      <c r="B170" s="2462"/>
      <c r="C170" s="2462"/>
      <c r="D170" s="2462"/>
      <c r="E170" s="2462"/>
      <c r="F170" s="2462"/>
      <c r="G170" s="2462"/>
      <c r="H170" s="2462"/>
      <c r="I170" s="2579"/>
      <c r="J170" s="2579"/>
      <c r="K170" s="2579"/>
      <c r="L170" s="2579"/>
      <c r="M170" s="2579"/>
      <c r="N170" s="2579"/>
      <c r="O170" s="2579"/>
    </row>
    <row r="171" spans="1:15" s="2463" customFormat="1">
      <c r="A171" s="2462"/>
      <c r="B171" s="2462"/>
      <c r="C171" s="2462"/>
      <c r="D171" s="2462"/>
      <c r="E171" s="2462"/>
      <c r="F171" s="2462"/>
      <c r="G171" s="2462"/>
      <c r="H171" s="2462"/>
      <c r="I171" s="2579"/>
      <c r="J171" s="2579"/>
      <c r="K171" s="2579"/>
      <c r="L171" s="2579"/>
      <c r="M171" s="2579"/>
      <c r="N171" s="2579"/>
      <c r="O171" s="2579"/>
    </row>
    <row r="172" spans="1:15" s="2463" customFormat="1">
      <c r="A172" s="2462"/>
      <c r="B172" s="2462"/>
      <c r="C172" s="2462"/>
      <c r="D172" s="2462"/>
      <c r="E172" s="2462"/>
      <c r="F172" s="2462"/>
      <c r="G172" s="2462"/>
      <c r="H172" s="2462"/>
      <c r="I172" s="2579"/>
      <c r="J172" s="2579"/>
      <c r="K172" s="2579"/>
      <c r="L172" s="2579"/>
      <c r="M172" s="2579"/>
      <c r="N172" s="2579"/>
      <c r="O172" s="2579"/>
    </row>
    <row r="173" spans="1:15" s="2463" customFormat="1">
      <c r="A173" s="2462"/>
      <c r="B173" s="2462"/>
      <c r="C173" s="2462"/>
      <c r="D173" s="2462"/>
      <c r="E173" s="2462"/>
      <c r="F173" s="2462"/>
      <c r="G173" s="2462"/>
      <c r="H173" s="2462"/>
      <c r="I173" s="2579"/>
      <c r="J173" s="2579"/>
      <c r="K173" s="2579"/>
      <c r="L173" s="2579"/>
      <c r="M173" s="2579"/>
      <c r="N173" s="2579"/>
      <c r="O173" s="2579"/>
    </row>
    <row r="174" spans="1:15" s="2463" customFormat="1">
      <c r="A174" s="2462"/>
      <c r="B174" s="2462"/>
      <c r="C174" s="2462"/>
      <c r="D174" s="2462"/>
      <c r="E174" s="2462"/>
      <c r="F174" s="2462"/>
      <c r="G174" s="2462"/>
      <c r="H174" s="2462"/>
      <c r="I174" s="2579"/>
      <c r="J174" s="2579"/>
      <c r="K174" s="2579"/>
      <c r="L174" s="2579"/>
      <c r="M174" s="2579"/>
      <c r="N174" s="2579"/>
      <c r="O174" s="2579"/>
    </row>
    <row r="175" spans="1:15" s="2463" customFormat="1">
      <c r="A175" s="2462"/>
      <c r="B175" s="2462"/>
      <c r="C175" s="2462"/>
      <c r="D175" s="2462"/>
      <c r="E175" s="2462"/>
      <c r="F175" s="2462"/>
      <c r="G175" s="2462"/>
      <c r="H175" s="2462"/>
      <c r="I175" s="2579"/>
      <c r="J175" s="2579"/>
      <c r="K175" s="2579"/>
      <c r="L175" s="2579"/>
      <c r="M175" s="2579"/>
      <c r="N175" s="2579"/>
      <c r="O175" s="2579"/>
    </row>
    <row r="176" spans="1:15" s="2463" customFormat="1">
      <c r="A176" s="2462"/>
      <c r="B176" s="2462"/>
      <c r="C176" s="2462"/>
      <c r="D176" s="2462"/>
      <c r="E176" s="2462"/>
      <c r="F176" s="2462"/>
      <c r="G176" s="2462"/>
      <c r="H176" s="2462"/>
      <c r="I176" s="2579"/>
      <c r="J176" s="2579"/>
      <c r="K176" s="2579"/>
      <c r="L176" s="2579"/>
      <c r="M176" s="2579"/>
      <c r="N176" s="2579"/>
      <c r="O176" s="2579"/>
    </row>
    <row r="177" spans="1:15" s="2463" customFormat="1">
      <c r="A177" s="2462"/>
      <c r="B177" s="2462"/>
      <c r="C177" s="2462"/>
      <c r="D177" s="2462"/>
      <c r="E177" s="2462"/>
      <c r="F177" s="2462"/>
      <c r="G177" s="2462"/>
      <c r="H177" s="2462"/>
      <c r="I177" s="2579"/>
      <c r="J177" s="2579"/>
      <c r="K177" s="2579"/>
      <c r="L177" s="2579"/>
      <c r="M177" s="2579"/>
      <c r="N177" s="2579"/>
      <c r="O177" s="2579"/>
    </row>
    <row r="178" spans="1:15" s="2463" customFormat="1">
      <c r="A178" s="2462"/>
      <c r="B178" s="2462"/>
      <c r="C178" s="2462"/>
      <c r="D178" s="2462"/>
      <c r="E178" s="2462"/>
      <c r="F178" s="2462"/>
      <c r="G178" s="2462"/>
      <c r="H178" s="2462"/>
      <c r="I178" s="2579"/>
      <c r="J178" s="2579"/>
      <c r="K178" s="2579"/>
      <c r="L178" s="2579"/>
      <c r="M178" s="2579"/>
      <c r="N178" s="2579"/>
      <c r="O178" s="2579"/>
    </row>
    <row r="179" spans="1:15" s="2463" customFormat="1">
      <c r="A179" s="2462"/>
      <c r="B179" s="2462"/>
      <c r="C179" s="2462"/>
      <c r="D179" s="2462"/>
      <c r="E179" s="2462"/>
      <c r="F179" s="2462"/>
      <c r="G179" s="2462"/>
      <c r="H179" s="2462"/>
      <c r="I179" s="2579"/>
      <c r="J179" s="2579"/>
      <c r="K179" s="2579"/>
      <c r="L179" s="2579"/>
      <c r="M179" s="2579"/>
      <c r="N179" s="2579"/>
      <c r="O179" s="2579"/>
    </row>
    <row r="180" spans="1:15" s="2463" customFormat="1">
      <c r="A180" s="2462"/>
      <c r="B180" s="2462"/>
      <c r="C180" s="2462"/>
      <c r="D180" s="2462"/>
      <c r="E180" s="2462"/>
      <c r="F180" s="2462"/>
      <c r="G180" s="2462"/>
      <c r="H180" s="2462"/>
      <c r="I180" s="2579"/>
      <c r="J180" s="2579"/>
      <c r="K180" s="2579"/>
      <c r="L180" s="2579"/>
      <c r="M180" s="2579"/>
      <c r="N180" s="2579"/>
      <c r="O180" s="2579"/>
    </row>
    <row r="181" spans="1:15" s="2463" customFormat="1">
      <c r="A181" s="2462"/>
      <c r="B181" s="2462"/>
      <c r="C181" s="2462"/>
      <c r="D181" s="2462"/>
      <c r="E181" s="2462"/>
      <c r="F181" s="2462"/>
      <c r="G181" s="2462"/>
      <c r="H181" s="2462"/>
      <c r="I181" s="2579"/>
      <c r="J181" s="2579"/>
      <c r="K181" s="2579"/>
      <c r="L181" s="2579"/>
      <c r="M181" s="2579"/>
      <c r="N181" s="2579"/>
      <c r="O181" s="2579"/>
    </row>
    <row r="182" spans="1:15" s="2463" customFormat="1">
      <c r="A182" s="2462"/>
      <c r="B182" s="2462"/>
      <c r="C182" s="2462"/>
      <c r="D182" s="2462"/>
      <c r="E182" s="2462"/>
      <c r="F182" s="2462"/>
      <c r="G182" s="2462"/>
      <c r="H182" s="2462"/>
      <c r="I182" s="2579"/>
      <c r="J182" s="2579"/>
      <c r="K182" s="2579"/>
      <c r="L182" s="2579"/>
      <c r="M182" s="2579"/>
      <c r="N182" s="2579"/>
      <c r="O182" s="2579"/>
    </row>
    <row r="183" spans="1:15" s="2463" customFormat="1">
      <c r="A183" s="2462"/>
      <c r="B183" s="2462"/>
      <c r="C183" s="2462"/>
      <c r="D183" s="2462"/>
      <c r="E183" s="2462"/>
      <c r="F183" s="2462"/>
      <c r="G183" s="2462"/>
      <c r="H183" s="2462"/>
      <c r="I183" s="2579"/>
      <c r="J183" s="2579"/>
      <c r="K183" s="2579"/>
      <c r="L183" s="2579"/>
      <c r="M183" s="2579"/>
      <c r="N183" s="2579"/>
      <c r="O183" s="2579"/>
    </row>
    <row r="184" spans="1:15" s="2463" customFormat="1">
      <c r="A184" s="2462"/>
      <c r="B184" s="2462"/>
      <c r="C184" s="2462"/>
      <c r="D184" s="2462"/>
      <c r="E184" s="2462"/>
      <c r="F184" s="2462"/>
      <c r="G184" s="2462"/>
      <c r="H184" s="2462"/>
      <c r="I184" s="2579"/>
      <c r="J184" s="2579"/>
      <c r="K184" s="2579"/>
      <c r="L184" s="2579"/>
      <c r="M184" s="2579"/>
      <c r="N184" s="2579"/>
      <c r="O184" s="2579"/>
    </row>
    <row r="185" spans="1:15" s="2463" customFormat="1">
      <c r="A185" s="2462"/>
      <c r="B185" s="2462"/>
      <c r="C185" s="2462"/>
      <c r="D185" s="2462"/>
      <c r="E185" s="2462"/>
      <c r="F185" s="2462"/>
      <c r="G185" s="2462"/>
      <c r="H185" s="2462"/>
      <c r="I185" s="2579"/>
      <c r="J185" s="2579"/>
      <c r="K185" s="2579"/>
      <c r="L185" s="2579"/>
      <c r="M185" s="2579"/>
      <c r="N185" s="2579"/>
      <c r="O185" s="2579"/>
    </row>
    <row r="186" spans="1:15" s="2463" customFormat="1">
      <c r="A186" s="2462"/>
      <c r="B186" s="2462"/>
      <c r="C186" s="2462"/>
      <c r="D186" s="2462"/>
      <c r="E186" s="2462"/>
      <c r="F186" s="2462"/>
      <c r="G186" s="2462"/>
      <c r="H186" s="2462"/>
      <c r="I186" s="2579"/>
      <c r="J186" s="2579"/>
      <c r="K186" s="2579"/>
      <c r="L186" s="2579"/>
      <c r="M186" s="2579"/>
      <c r="N186" s="2579"/>
      <c r="O186" s="2579"/>
    </row>
    <row r="187" spans="1:15" s="2463" customFormat="1">
      <c r="A187" s="2462"/>
      <c r="B187" s="2462"/>
      <c r="C187" s="2462"/>
      <c r="D187" s="2462"/>
      <c r="E187" s="2462"/>
      <c r="F187" s="2462"/>
      <c r="G187" s="2462"/>
      <c r="H187" s="2462"/>
      <c r="I187" s="2579"/>
      <c r="J187" s="2579"/>
      <c r="K187" s="2579"/>
      <c r="L187" s="2579"/>
      <c r="M187" s="2579"/>
      <c r="N187" s="2579"/>
      <c r="O187" s="2579"/>
    </row>
    <row r="188" spans="1:15" s="2463" customFormat="1">
      <c r="A188" s="2462"/>
      <c r="B188" s="2462"/>
      <c r="C188" s="2462"/>
      <c r="D188" s="2462"/>
      <c r="E188" s="2462"/>
      <c r="F188" s="2462"/>
      <c r="G188" s="2462"/>
      <c r="H188" s="2462"/>
      <c r="I188" s="2579"/>
      <c r="J188" s="2579"/>
      <c r="K188" s="2579"/>
      <c r="L188" s="2579"/>
      <c r="M188" s="2579"/>
      <c r="N188" s="2579"/>
      <c r="O188" s="2579"/>
    </row>
    <row r="189" spans="1:15" s="2463" customFormat="1">
      <c r="A189" s="2462"/>
      <c r="B189" s="2462"/>
      <c r="C189" s="2462"/>
      <c r="D189" s="2462"/>
      <c r="E189" s="2462"/>
      <c r="F189" s="2462"/>
      <c r="G189" s="2462"/>
      <c r="H189" s="2462"/>
      <c r="I189" s="2579"/>
      <c r="J189" s="2579"/>
      <c r="K189" s="2579"/>
      <c r="L189" s="2579"/>
      <c r="M189" s="2579"/>
      <c r="N189" s="2579"/>
      <c r="O189" s="2579"/>
    </row>
    <row r="190" spans="1:15" s="2463" customFormat="1">
      <c r="A190" s="2462"/>
      <c r="B190" s="2462"/>
      <c r="C190" s="2462"/>
      <c r="D190" s="2462"/>
      <c r="E190" s="2462"/>
      <c r="F190" s="2462"/>
      <c r="G190" s="2462"/>
      <c r="H190" s="2462"/>
      <c r="I190" s="2579"/>
      <c r="J190" s="2579"/>
      <c r="K190" s="2579"/>
      <c r="L190" s="2579"/>
      <c r="M190" s="2579"/>
      <c r="N190" s="2579"/>
      <c r="O190" s="2579"/>
    </row>
    <row r="191" spans="1:15" s="2463" customFormat="1">
      <c r="A191" s="2462"/>
      <c r="B191" s="2462"/>
      <c r="C191" s="2462"/>
      <c r="D191" s="2462"/>
      <c r="E191" s="2462"/>
      <c r="F191" s="2462"/>
      <c r="G191" s="2462"/>
      <c r="H191" s="2462"/>
      <c r="I191" s="2579"/>
      <c r="J191" s="2579"/>
      <c r="K191" s="2579"/>
      <c r="L191" s="2579"/>
      <c r="M191" s="2579"/>
      <c r="N191" s="2579"/>
      <c r="O191" s="2579"/>
    </row>
    <row r="192" spans="1:15" s="2463" customFormat="1">
      <c r="A192" s="2462"/>
      <c r="B192" s="2462"/>
      <c r="C192" s="2462"/>
      <c r="D192" s="2462"/>
      <c r="E192" s="2462"/>
      <c r="F192" s="2462"/>
      <c r="G192" s="2462"/>
      <c r="H192" s="2462"/>
      <c r="I192" s="2579"/>
      <c r="J192" s="2579"/>
      <c r="K192" s="2579"/>
      <c r="L192" s="2579"/>
      <c r="M192" s="2579"/>
      <c r="N192" s="2579"/>
      <c r="O192" s="2579"/>
    </row>
    <row r="193" spans="1:15" s="2463" customFormat="1">
      <c r="A193" s="2462"/>
      <c r="B193" s="2462"/>
      <c r="C193" s="2462"/>
      <c r="D193" s="2462"/>
      <c r="E193" s="2462"/>
      <c r="F193" s="2462"/>
      <c r="G193" s="2462"/>
      <c r="H193" s="2462"/>
      <c r="I193" s="2579"/>
      <c r="J193" s="2579"/>
      <c r="K193" s="2579"/>
      <c r="L193" s="2579"/>
      <c r="M193" s="2579"/>
      <c r="N193" s="2579"/>
      <c r="O193" s="2579"/>
    </row>
    <row r="194" spans="1:15" s="2463" customFormat="1">
      <c r="A194" s="2462"/>
      <c r="B194" s="2462"/>
      <c r="C194" s="2462"/>
      <c r="D194" s="2462"/>
      <c r="E194" s="2462"/>
      <c r="F194" s="2462"/>
      <c r="G194" s="2462"/>
      <c r="H194" s="2462"/>
      <c r="I194" s="2579"/>
      <c r="J194" s="2579"/>
      <c r="K194" s="2579"/>
      <c r="L194" s="2579"/>
      <c r="M194" s="2579"/>
      <c r="N194" s="2579"/>
      <c r="O194" s="2579"/>
    </row>
    <row r="195" spans="1:15" s="2463" customFormat="1">
      <c r="A195" s="2462"/>
      <c r="B195" s="2462"/>
      <c r="C195" s="2462"/>
      <c r="D195" s="2462"/>
      <c r="E195" s="2462"/>
      <c r="F195" s="2462"/>
      <c r="G195" s="2462"/>
      <c r="H195" s="2462"/>
      <c r="I195" s="2579"/>
      <c r="J195" s="2579"/>
      <c r="K195" s="2579"/>
      <c r="L195" s="2579"/>
      <c r="M195" s="2579"/>
      <c r="N195" s="2579"/>
      <c r="O195" s="2579"/>
    </row>
    <row r="196" spans="1:15" s="2463" customFormat="1">
      <c r="A196" s="2462"/>
      <c r="B196" s="2462"/>
      <c r="C196" s="2462"/>
      <c r="D196" s="2462"/>
      <c r="E196" s="2462"/>
      <c r="F196" s="2462"/>
      <c r="G196" s="2462"/>
      <c r="H196" s="2462"/>
      <c r="I196" s="2579"/>
      <c r="J196" s="2579"/>
      <c r="K196" s="2579"/>
      <c r="L196" s="2579"/>
      <c r="M196" s="2579"/>
      <c r="N196" s="2579"/>
      <c r="O196" s="2579"/>
    </row>
    <row r="197" spans="1:15" s="2463" customFormat="1">
      <c r="A197" s="2462"/>
      <c r="B197" s="2462"/>
      <c r="C197" s="2462"/>
      <c r="D197" s="2462"/>
      <c r="E197" s="2462"/>
      <c r="F197" s="2462"/>
      <c r="G197" s="2462"/>
      <c r="H197" s="2462"/>
      <c r="I197" s="2579"/>
      <c r="J197" s="2579"/>
      <c r="K197" s="2579"/>
      <c r="L197" s="2579"/>
      <c r="M197" s="2579"/>
      <c r="N197" s="2579"/>
      <c r="O197" s="2579"/>
    </row>
    <row r="198" spans="1:15" s="2463" customFormat="1">
      <c r="A198" s="2462"/>
      <c r="B198" s="2462"/>
      <c r="C198" s="2462"/>
      <c r="D198" s="2462"/>
      <c r="E198" s="2462"/>
      <c r="F198" s="2462"/>
      <c r="G198" s="2462"/>
      <c r="H198" s="2462"/>
      <c r="I198" s="2579"/>
      <c r="J198" s="2579"/>
      <c r="K198" s="2579"/>
      <c r="L198" s="2579"/>
      <c r="M198" s="2579"/>
      <c r="N198" s="2579"/>
      <c r="O198" s="2579"/>
    </row>
    <row r="199" spans="1:15" s="2463" customFormat="1">
      <c r="A199" s="2462"/>
      <c r="B199" s="2462"/>
      <c r="C199" s="2462"/>
      <c r="D199" s="2462"/>
      <c r="E199" s="2462"/>
      <c r="F199" s="2462"/>
      <c r="G199" s="2462"/>
      <c r="H199" s="2462"/>
      <c r="I199" s="2579"/>
      <c r="J199" s="2579"/>
      <c r="K199" s="2579"/>
      <c r="L199" s="2579"/>
      <c r="M199" s="2579"/>
      <c r="N199" s="2579"/>
      <c r="O199" s="2579"/>
    </row>
    <row r="200" spans="1:15" s="2463" customFormat="1">
      <c r="A200" s="2462"/>
      <c r="B200" s="2462"/>
      <c r="C200" s="2462"/>
      <c r="D200" s="2462"/>
      <c r="E200" s="2462"/>
      <c r="F200" s="2462"/>
      <c r="G200" s="2462"/>
      <c r="H200" s="2462"/>
      <c r="I200" s="2579"/>
      <c r="J200" s="2579"/>
      <c r="K200" s="2579"/>
      <c r="L200" s="2579"/>
      <c r="M200" s="2579"/>
      <c r="N200" s="2579"/>
      <c r="O200" s="2579"/>
    </row>
    <row r="201" spans="1:15" s="2463" customFormat="1">
      <c r="A201" s="2462"/>
      <c r="B201" s="2462"/>
      <c r="C201" s="2462"/>
      <c r="D201" s="2462"/>
      <c r="E201" s="2462"/>
      <c r="F201" s="2462"/>
      <c r="G201" s="2462"/>
      <c r="H201" s="2462"/>
      <c r="I201" s="2579"/>
      <c r="J201" s="2579"/>
      <c r="K201" s="2579"/>
      <c r="L201" s="2579"/>
      <c r="M201" s="2579"/>
      <c r="N201" s="2579"/>
      <c r="O201" s="2579"/>
    </row>
    <row r="202" spans="1:15" s="2463" customFormat="1">
      <c r="A202" s="2462"/>
      <c r="B202" s="2462"/>
      <c r="C202" s="2462"/>
      <c r="D202" s="2462"/>
      <c r="E202" s="2462"/>
      <c r="F202" s="2462"/>
      <c r="G202" s="2462"/>
      <c r="H202" s="2462"/>
      <c r="I202" s="2579"/>
      <c r="J202" s="2579"/>
      <c r="K202" s="2579"/>
      <c r="L202" s="2579"/>
      <c r="M202" s="2579"/>
      <c r="N202" s="2579"/>
      <c r="O202" s="2579"/>
    </row>
    <row r="203" spans="1:15" s="2463" customFormat="1">
      <c r="A203" s="2462"/>
      <c r="B203" s="2462"/>
      <c r="C203" s="2462"/>
      <c r="D203" s="2462"/>
      <c r="E203" s="2462"/>
      <c r="F203" s="2462"/>
      <c r="G203" s="2462"/>
      <c r="H203" s="2462"/>
      <c r="I203" s="2579"/>
      <c r="J203" s="2579"/>
      <c r="K203" s="2579"/>
      <c r="L203" s="2579"/>
      <c r="M203" s="2579"/>
      <c r="N203" s="2579"/>
      <c r="O203" s="2579"/>
    </row>
    <row r="207" spans="1:15" s="2463" customFormat="1">
      <c r="A207" s="2462"/>
      <c r="B207" s="2462"/>
      <c r="C207" s="2462"/>
      <c r="D207" s="2462"/>
      <c r="E207" s="2462"/>
      <c r="F207" s="2462"/>
      <c r="G207" s="2462"/>
      <c r="H207" s="2462"/>
      <c r="I207" s="2579"/>
      <c r="J207" s="2579"/>
      <c r="K207" s="2579"/>
      <c r="L207" s="2579"/>
      <c r="M207" s="2579"/>
      <c r="N207" s="2579"/>
      <c r="O207" s="2579"/>
    </row>
    <row r="208" spans="1:15" s="2463" customFormat="1">
      <c r="A208" s="2462"/>
      <c r="B208" s="2462"/>
      <c r="C208" s="2462"/>
      <c r="D208" s="2462"/>
      <c r="E208" s="2462"/>
      <c r="F208" s="2462"/>
      <c r="G208" s="2462"/>
      <c r="H208" s="2462"/>
      <c r="I208" s="2579"/>
      <c r="J208" s="2579"/>
      <c r="K208" s="2579"/>
      <c r="L208" s="2579"/>
      <c r="M208" s="2579"/>
      <c r="N208" s="2579"/>
      <c r="O208" s="2579"/>
    </row>
    <row r="209" spans="1:15" s="2463" customFormat="1">
      <c r="A209" s="2462"/>
      <c r="B209" s="2462"/>
      <c r="C209" s="2462"/>
      <c r="D209" s="2462"/>
      <c r="E209" s="2462"/>
      <c r="F209" s="2462"/>
      <c r="G209" s="2462"/>
      <c r="H209" s="2462"/>
      <c r="I209" s="2579"/>
      <c r="J209" s="2579"/>
      <c r="K209" s="2579"/>
      <c r="L209" s="2579"/>
      <c r="M209" s="2579"/>
      <c r="N209" s="2579"/>
      <c r="O209" s="2579"/>
    </row>
    <row r="210" spans="1:15" s="2463" customFormat="1">
      <c r="A210" s="2462"/>
      <c r="B210" s="2462"/>
      <c r="C210" s="2462"/>
      <c r="D210" s="2462"/>
      <c r="E210" s="2462"/>
      <c r="F210" s="2462"/>
      <c r="G210" s="2462"/>
      <c r="H210" s="2462"/>
      <c r="I210" s="2579"/>
      <c r="J210" s="2579"/>
      <c r="K210" s="2579"/>
      <c r="L210" s="2579"/>
      <c r="M210" s="2579"/>
      <c r="N210" s="2579"/>
      <c r="O210" s="2579"/>
    </row>
    <row r="211" spans="1:15" s="2463" customFormat="1">
      <c r="A211" s="2462"/>
      <c r="B211" s="2462"/>
      <c r="C211" s="2462"/>
      <c r="D211" s="2462"/>
      <c r="E211" s="2462"/>
      <c r="F211" s="2462"/>
      <c r="G211" s="2462"/>
      <c r="H211" s="2462"/>
      <c r="I211" s="2579"/>
      <c r="J211" s="2579"/>
      <c r="K211" s="2579"/>
      <c r="L211" s="2579"/>
      <c r="M211" s="2579"/>
      <c r="N211" s="2579"/>
      <c r="O211" s="2579"/>
    </row>
    <row r="212" spans="1:15" s="2463" customFormat="1">
      <c r="A212" s="2462"/>
      <c r="B212" s="2462"/>
      <c r="C212" s="2462"/>
      <c r="D212" s="2462"/>
      <c r="E212" s="2462"/>
      <c r="F212" s="2462"/>
      <c r="G212" s="2462"/>
      <c r="H212" s="2462"/>
      <c r="I212" s="2579"/>
      <c r="J212" s="2579"/>
      <c r="K212" s="2579"/>
      <c r="L212" s="2579"/>
      <c r="M212" s="2579"/>
      <c r="N212" s="2579"/>
      <c r="O212" s="2579"/>
    </row>
    <row r="213" spans="1:15" s="2463" customFormat="1">
      <c r="A213" s="2462"/>
      <c r="B213" s="2462"/>
      <c r="C213" s="2462"/>
      <c r="D213" s="2462"/>
      <c r="E213" s="2462"/>
      <c r="F213" s="2462"/>
      <c r="G213" s="2462"/>
      <c r="H213" s="2462"/>
      <c r="I213" s="2579"/>
      <c r="J213" s="2579"/>
      <c r="K213" s="2579"/>
      <c r="L213" s="2579"/>
      <c r="M213" s="2579"/>
      <c r="N213" s="2579"/>
      <c r="O213" s="2579"/>
    </row>
    <row r="214" spans="1:15" s="2463" customFormat="1">
      <c r="A214" s="2462"/>
      <c r="B214" s="2462"/>
      <c r="C214" s="2462"/>
      <c r="D214" s="2462"/>
      <c r="E214" s="2462"/>
      <c r="F214" s="2462"/>
      <c r="G214" s="2462"/>
      <c r="H214" s="2462"/>
      <c r="I214" s="2579"/>
      <c r="J214" s="2579"/>
      <c r="K214" s="2579"/>
      <c r="L214" s="2579"/>
      <c r="M214" s="2579"/>
      <c r="N214" s="2579"/>
      <c r="O214" s="2579"/>
    </row>
    <row r="215" spans="1:15" s="2463" customFormat="1">
      <c r="A215" s="2462"/>
      <c r="B215" s="2462"/>
      <c r="C215" s="2462"/>
      <c r="D215" s="2462"/>
      <c r="E215" s="2462"/>
      <c r="F215" s="2462"/>
      <c r="G215" s="2462"/>
      <c r="H215" s="2462"/>
      <c r="I215" s="2579"/>
      <c r="J215" s="2579"/>
      <c r="K215" s="2579"/>
      <c r="L215" s="2579"/>
      <c r="M215" s="2579"/>
      <c r="N215" s="2579"/>
      <c r="O215" s="2579"/>
    </row>
    <row r="216" spans="1:15" s="2463" customFormat="1">
      <c r="A216" s="2462"/>
      <c r="B216" s="2462"/>
      <c r="C216" s="2462"/>
      <c r="D216" s="2462"/>
      <c r="E216" s="2462"/>
      <c r="F216" s="2462"/>
      <c r="G216" s="2462"/>
      <c r="H216" s="2462"/>
      <c r="I216" s="2579"/>
      <c r="J216" s="2579"/>
      <c r="K216" s="2579"/>
      <c r="L216" s="2579"/>
      <c r="M216" s="2579"/>
      <c r="N216" s="2579"/>
      <c r="O216" s="2579"/>
    </row>
    <row r="217" spans="1:15" s="2463" customFormat="1">
      <c r="A217" s="2462"/>
      <c r="B217" s="2462"/>
      <c r="C217" s="2462"/>
      <c r="D217" s="2462"/>
      <c r="E217" s="2462"/>
      <c r="F217" s="2462"/>
      <c r="G217" s="2462"/>
      <c r="H217" s="2462"/>
      <c r="I217" s="2579"/>
      <c r="J217" s="2579"/>
      <c r="K217" s="2579"/>
      <c r="L217" s="2579"/>
      <c r="M217" s="2579"/>
      <c r="N217" s="2579"/>
      <c r="O217" s="2579"/>
    </row>
    <row r="218" spans="1:15" s="2463" customFormat="1">
      <c r="A218" s="2462"/>
      <c r="B218" s="2462"/>
      <c r="C218" s="2462"/>
      <c r="D218" s="2462"/>
      <c r="E218" s="2462"/>
      <c r="F218" s="2462"/>
      <c r="G218" s="2462"/>
      <c r="H218" s="2462"/>
      <c r="I218" s="2579"/>
      <c r="J218" s="2579"/>
      <c r="K218" s="2579"/>
      <c r="L218" s="2579"/>
      <c r="M218" s="2579"/>
      <c r="N218" s="2579"/>
      <c r="O218" s="2579"/>
    </row>
    <row r="219" spans="1:15" s="2463" customFormat="1">
      <c r="A219" s="2462"/>
      <c r="B219" s="2462"/>
      <c r="C219" s="2462"/>
      <c r="D219" s="2462"/>
      <c r="E219" s="2462"/>
      <c r="F219" s="2462"/>
      <c r="G219" s="2462"/>
      <c r="H219" s="2462"/>
      <c r="I219" s="2579"/>
      <c r="J219" s="2579"/>
      <c r="K219" s="2579"/>
      <c r="L219" s="2579"/>
      <c r="M219" s="2579"/>
      <c r="N219" s="2579"/>
      <c r="O219" s="2579"/>
    </row>
    <row r="220" spans="1:15" s="2463" customFormat="1">
      <c r="A220" s="2462"/>
      <c r="B220" s="2462"/>
      <c r="C220" s="2462"/>
      <c r="D220" s="2462"/>
      <c r="E220" s="2462"/>
      <c r="F220" s="2462"/>
      <c r="G220" s="2462"/>
      <c r="H220" s="2462"/>
      <c r="I220" s="2579"/>
      <c r="J220" s="2579"/>
      <c r="K220" s="2579"/>
      <c r="L220" s="2579"/>
      <c r="M220" s="2579"/>
      <c r="N220" s="2579"/>
      <c r="O220" s="2579"/>
    </row>
    <row r="221" spans="1:15" s="2463" customFormat="1">
      <c r="A221" s="2462"/>
      <c r="B221" s="2462"/>
      <c r="C221" s="2462"/>
      <c r="D221" s="2462"/>
      <c r="E221" s="2462"/>
      <c r="F221" s="2462"/>
      <c r="G221" s="2462"/>
      <c r="H221" s="2462"/>
      <c r="I221" s="2579"/>
      <c r="J221" s="2579"/>
      <c r="K221" s="2579"/>
      <c r="L221" s="2579"/>
      <c r="M221" s="2579"/>
      <c r="N221" s="2579"/>
      <c r="O221" s="2579"/>
    </row>
    <row r="222" spans="1:15" s="2463" customFormat="1">
      <c r="A222" s="2462"/>
      <c r="B222" s="2462"/>
      <c r="C222" s="2462"/>
      <c r="D222" s="2462"/>
      <c r="E222" s="2462"/>
      <c r="F222" s="2462"/>
      <c r="G222" s="2462"/>
      <c r="H222" s="2462"/>
      <c r="I222" s="2579"/>
      <c r="J222" s="2579"/>
      <c r="K222" s="2579"/>
      <c r="L222" s="2579"/>
      <c r="M222" s="2579"/>
      <c r="N222" s="2579"/>
      <c r="O222" s="2579"/>
    </row>
    <row r="223" spans="1:15" s="2463" customFormat="1">
      <c r="A223" s="2462"/>
      <c r="B223" s="2462"/>
      <c r="C223" s="2462"/>
      <c r="D223" s="2462"/>
      <c r="E223" s="2462"/>
      <c r="F223" s="2462"/>
      <c r="G223" s="2462"/>
      <c r="H223" s="2462"/>
      <c r="I223" s="2579"/>
      <c r="J223" s="2579"/>
      <c r="K223" s="2579"/>
      <c r="L223" s="2579"/>
      <c r="M223" s="2579"/>
      <c r="N223" s="2579"/>
      <c r="O223" s="2579"/>
    </row>
    <row r="224" spans="1:15" s="2463" customFormat="1">
      <c r="A224" s="2462"/>
      <c r="B224" s="2462"/>
      <c r="C224" s="2462"/>
      <c r="D224" s="2462"/>
      <c r="E224" s="2462"/>
      <c r="F224" s="2462"/>
      <c r="G224" s="2462"/>
      <c r="H224" s="2462"/>
      <c r="I224" s="2579"/>
      <c r="J224" s="2579"/>
      <c r="K224" s="2579"/>
      <c r="L224" s="2579"/>
      <c r="M224" s="2579"/>
      <c r="N224" s="2579"/>
      <c r="O224" s="2579"/>
    </row>
    <row r="225" spans="1:15" s="2463" customFormat="1">
      <c r="A225" s="2462"/>
      <c r="B225" s="2462"/>
      <c r="C225" s="2462"/>
      <c r="D225" s="2462"/>
      <c r="E225" s="2462"/>
      <c r="F225" s="2462"/>
      <c r="G225" s="2462"/>
      <c r="H225" s="2462"/>
      <c r="I225" s="2579"/>
      <c r="J225" s="2579"/>
      <c r="K225" s="2579"/>
      <c r="L225" s="2579"/>
      <c r="M225" s="2579"/>
      <c r="N225" s="2579"/>
      <c r="O225" s="2579"/>
    </row>
    <row r="226" spans="1:15" s="2463" customFormat="1">
      <c r="A226" s="2462"/>
      <c r="B226" s="2462"/>
      <c r="C226" s="2462"/>
      <c r="D226" s="2462"/>
      <c r="E226" s="2462"/>
      <c r="F226" s="2462"/>
      <c r="G226" s="2462"/>
      <c r="H226" s="2462"/>
      <c r="I226" s="2579"/>
      <c r="J226" s="2579"/>
      <c r="K226" s="2579"/>
      <c r="L226" s="2579"/>
      <c r="M226" s="2579"/>
      <c r="N226" s="2579"/>
      <c r="O226" s="2579"/>
    </row>
    <row r="227" spans="1:15" s="2463" customFormat="1">
      <c r="A227" s="2462"/>
      <c r="B227" s="2462"/>
      <c r="C227" s="2462"/>
      <c r="D227" s="2462"/>
      <c r="E227" s="2462"/>
      <c r="F227" s="2462"/>
      <c r="G227" s="2462"/>
      <c r="H227" s="2462"/>
      <c r="I227" s="2579"/>
      <c r="J227" s="2579"/>
      <c r="K227" s="2579"/>
      <c r="L227" s="2579"/>
      <c r="M227" s="2579"/>
      <c r="N227" s="2579"/>
      <c r="O227" s="2579"/>
    </row>
    <row r="228" spans="1:15" s="2463" customFormat="1">
      <c r="A228" s="2462"/>
      <c r="B228" s="2462"/>
      <c r="C228" s="2462"/>
      <c r="D228" s="2462"/>
      <c r="E228" s="2462"/>
      <c r="F228" s="2462"/>
      <c r="G228" s="2462"/>
      <c r="H228" s="2462"/>
      <c r="I228" s="2579"/>
      <c r="J228" s="2579"/>
      <c r="K228" s="2579"/>
      <c r="L228" s="2579"/>
      <c r="M228" s="2579"/>
      <c r="N228" s="2579"/>
      <c r="O228" s="2579"/>
    </row>
    <row r="229" spans="1:15" s="2463" customFormat="1">
      <c r="A229" s="2462"/>
      <c r="B229" s="2462"/>
      <c r="C229" s="2462"/>
      <c r="D229" s="2462"/>
      <c r="E229" s="2462"/>
      <c r="F229" s="2462"/>
      <c r="G229" s="2462"/>
      <c r="H229" s="2462"/>
      <c r="I229" s="2579"/>
      <c r="J229" s="2579"/>
      <c r="K229" s="2579"/>
      <c r="L229" s="2579"/>
      <c r="M229" s="2579"/>
      <c r="N229" s="2579"/>
      <c r="O229" s="2579"/>
    </row>
    <row r="230" spans="1:15" s="2463" customFormat="1">
      <c r="A230" s="2462"/>
      <c r="B230" s="2462"/>
      <c r="C230" s="2462"/>
      <c r="D230" s="2462"/>
      <c r="E230" s="2462"/>
      <c r="F230" s="2462"/>
      <c r="G230" s="2462"/>
      <c r="H230" s="2462"/>
      <c r="I230" s="2579"/>
      <c r="J230" s="2579"/>
      <c r="K230" s="2579"/>
      <c r="L230" s="2579"/>
      <c r="M230" s="2579"/>
      <c r="N230" s="2579"/>
      <c r="O230" s="2579"/>
    </row>
    <row r="231" spans="1:15" s="2463" customFormat="1">
      <c r="A231" s="2462"/>
      <c r="B231" s="2462"/>
      <c r="C231" s="2462"/>
      <c r="D231" s="2462"/>
      <c r="E231" s="2462"/>
      <c r="F231" s="2462"/>
      <c r="G231" s="2462"/>
      <c r="H231" s="2462"/>
      <c r="I231" s="2579"/>
      <c r="J231" s="2579"/>
      <c r="K231" s="2579"/>
      <c r="L231" s="2579"/>
      <c r="M231" s="2579"/>
      <c r="N231" s="2579"/>
      <c r="O231" s="2579"/>
    </row>
    <row r="232" spans="1:15" s="2463" customFormat="1">
      <c r="A232" s="2462"/>
      <c r="B232" s="2462"/>
      <c r="C232" s="2462"/>
      <c r="D232" s="2462"/>
      <c r="E232" s="2462"/>
      <c r="F232" s="2462"/>
      <c r="G232" s="2462"/>
      <c r="H232" s="2462"/>
      <c r="I232" s="2579"/>
      <c r="J232" s="2579"/>
      <c r="K232" s="2579"/>
      <c r="L232" s="2579"/>
      <c r="M232" s="2579"/>
      <c r="N232" s="2579"/>
      <c r="O232" s="2579"/>
    </row>
    <row r="233" spans="1:15" s="2463" customFormat="1">
      <c r="A233" s="2462"/>
      <c r="B233" s="2462"/>
      <c r="C233" s="2462"/>
      <c r="D233" s="2462"/>
      <c r="E233" s="2462"/>
      <c r="F233" s="2462"/>
      <c r="G233" s="2462"/>
      <c r="H233" s="2462"/>
      <c r="I233" s="2579"/>
      <c r="J233" s="2579"/>
      <c r="K233" s="2579"/>
      <c r="L233" s="2579"/>
      <c r="M233" s="2579"/>
      <c r="N233" s="2579"/>
      <c r="O233" s="2579"/>
    </row>
    <row r="234" spans="1:15" s="2463" customFormat="1">
      <c r="A234" s="2462"/>
      <c r="B234" s="2462"/>
      <c r="C234" s="2462"/>
      <c r="D234" s="2462"/>
      <c r="E234" s="2462"/>
      <c r="F234" s="2462"/>
      <c r="G234" s="2462"/>
      <c r="H234" s="2462"/>
      <c r="I234" s="2579"/>
      <c r="J234" s="2579"/>
      <c r="K234" s="2579"/>
      <c r="L234" s="2579"/>
      <c r="M234" s="2579"/>
      <c r="N234" s="2579"/>
      <c r="O234" s="2579"/>
    </row>
    <row r="235" spans="1:15" s="2463" customFormat="1">
      <c r="A235" s="2462"/>
      <c r="B235" s="2462"/>
      <c r="C235" s="2462"/>
      <c r="D235" s="2462"/>
      <c r="E235" s="2462"/>
      <c r="F235" s="2462"/>
      <c r="G235" s="2462"/>
      <c r="H235" s="2462"/>
      <c r="I235" s="2579"/>
      <c r="J235" s="2579"/>
      <c r="K235" s="2579"/>
      <c r="L235" s="2579"/>
      <c r="M235" s="2579"/>
      <c r="N235" s="2579"/>
      <c r="O235" s="2579"/>
    </row>
    <row r="236" spans="1:15" s="2463" customFormat="1">
      <c r="A236" s="2462"/>
      <c r="B236" s="2462"/>
      <c r="C236" s="2462"/>
      <c r="D236" s="2462"/>
      <c r="E236" s="2462"/>
      <c r="F236" s="2462"/>
      <c r="G236" s="2462"/>
      <c r="H236" s="2462"/>
      <c r="I236" s="2579"/>
      <c r="J236" s="2579"/>
      <c r="K236" s="2579"/>
      <c r="L236" s="2579"/>
      <c r="M236" s="2579"/>
      <c r="N236" s="2579"/>
      <c r="O236" s="2579"/>
    </row>
    <row r="237" spans="1:15" s="2463" customFormat="1">
      <c r="A237" s="2462"/>
      <c r="B237" s="2462"/>
      <c r="C237" s="2462"/>
      <c r="D237" s="2462"/>
      <c r="E237" s="2462"/>
      <c r="F237" s="2462"/>
      <c r="G237" s="2462"/>
      <c r="H237" s="2462"/>
      <c r="I237" s="2579"/>
      <c r="J237" s="2579"/>
      <c r="K237" s="2579"/>
      <c r="L237" s="2579"/>
      <c r="M237" s="2579"/>
      <c r="N237" s="2579"/>
      <c r="O237" s="2579"/>
    </row>
    <row r="238" spans="1:15" s="2463" customFormat="1">
      <c r="A238" s="2462"/>
      <c r="B238" s="2462"/>
      <c r="C238" s="2462"/>
      <c r="D238" s="2462"/>
      <c r="E238" s="2462"/>
      <c r="F238" s="2462"/>
      <c r="G238" s="2462"/>
      <c r="H238" s="2462"/>
      <c r="I238" s="2579"/>
      <c r="J238" s="2579"/>
      <c r="K238" s="2579"/>
      <c r="L238" s="2579"/>
      <c r="M238" s="2579"/>
      <c r="N238" s="2579"/>
      <c r="O238" s="2579"/>
    </row>
    <row r="239" spans="1:15" s="2463" customFormat="1">
      <c r="A239" s="2462"/>
      <c r="B239" s="2462"/>
      <c r="C239" s="2462"/>
      <c r="D239" s="2462"/>
      <c r="E239" s="2462"/>
      <c r="F239" s="2462"/>
      <c r="G239" s="2462"/>
      <c r="H239" s="2462"/>
      <c r="I239" s="2579"/>
      <c r="J239" s="2579"/>
      <c r="K239" s="2579"/>
      <c r="L239" s="2579"/>
      <c r="M239" s="2579"/>
      <c r="N239" s="2579"/>
      <c r="O239" s="2579"/>
    </row>
    <row r="240" spans="1:15" s="2463" customFormat="1">
      <c r="A240" s="2462"/>
      <c r="B240" s="2462"/>
      <c r="C240" s="2462"/>
      <c r="D240" s="2462"/>
      <c r="E240" s="2462"/>
      <c r="F240" s="2462"/>
      <c r="G240" s="2462"/>
      <c r="H240" s="2462"/>
      <c r="I240" s="2579"/>
      <c r="J240" s="2579"/>
      <c r="K240" s="2579"/>
      <c r="L240" s="2579"/>
      <c r="M240" s="2579"/>
      <c r="N240" s="2579"/>
      <c r="O240" s="2579"/>
    </row>
    <row r="241" spans="1:15" s="2463" customFormat="1">
      <c r="A241" s="2462"/>
      <c r="B241" s="2462"/>
      <c r="C241" s="2462"/>
      <c r="D241" s="2462"/>
      <c r="E241" s="2462"/>
      <c r="F241" s="2462"/>
      <c r="G241" s="2462"/>
      <c r="H241" s="2462"/>
      <c r="I241" s="2579"/>
      <c r="J241" s="2579"/>
      <c r="K241" s="2579"/>
      <c r="L241" s="2579"/>
      <c r="M241" s="2579"/>
      <c r="N241" s="2579"/>
      <c r="O241" s="2579"/>
    </row>
    <row r="242" spans="1:15" s="2463" customFormat="1">
      <c r="A242" s="2462"/>
      <c r="B242" s="2462"/>
      <c r="C242" s="2462"/>
      <c r="D242" s="2462"/>
      <c r="E242" s="2462"/>
      <c r="F242" s="2462"/>
      <c r="G242" s="2462"/>
      <c r="H242" s="2462"/>
      <c r="I242" s="2579"/>
      <c r="J242" s="2579"/>
      <c r="K242" s="2579"/>
      <c r="L242" s="2579"/>
      <c r="M242" s="2579"/>
      <c r="N242" s="2579"/>
      <c r="O242" s="2579"/>
    </row>
    <row r="243" spans="1:15" s="2463" customFormat="1">
      <c r="A243" s="2462"/>
      <c r="B243" s="2462"/>
      <c r="C243" s="2462"/>
      <c r="D243" s="2462"/>
      <c r="E243" s="2462"/>
      <c r="F243" s="2462"/>
      <c r="G243" s="2462"/>
      <c r="H243" s="2462"/>
      <c r="I243" s="2579"/>
      <c r="J243" s="2579"/>
      <c r="K243" s="2579"/>
      <c r="L243" s="2579"/>
      <c r="M243" s="2579"/>
      <c r="N243" s="2579"/>
      <c r="O243" s="2579"/>
    </row>
    <row r="244" spans="1:15" s="2463" customFormat="1">
      <c r="A244" s="2462"/>
      <c r="B244" s="2462"/>
      <c r="C244" s="2462"/>
      <c r="D244" s="2462"/>
      <c r="E244" s="2462"/>
      <c r="F244" s="2462"/>
      <c r="G244" s="2462"/>
      <c r="H244" s="2462"/>
      <c r="I244" s="2579"/>
      <c r="J244" s="2579"/>
      <c r="K244" s="2579"/>
      <c r="L244" s="2579"/>
      <c r="M244" s="2579"/>
      <c r="N244" s="2579"/>
      <c r="O244" s="2579"/>
    </row>
    <row r="250" spans="1:15" s="2463" customFormat="1">
      <c r="A250" s="2462"/>
      <c r="B250" s="2462"/>
      <c r="C250" s="2462"/>
      <c r="D250" s="2462"/>
      <c r="E250" s="2462"/>
      <c r="F250" s="2462"/>
      <c r="G250" s="2462"/>
      <c r="H250" s="2462"/>
      <c r="I250" s="2579"/>
      <c r="J250" s="2579"/>
      <c r="K250" s="2579"/>
      <c r="L250" s="2579"/>
      <c r="M250" s="2579"/>
      <c r="N250" s="2579"/>
      <c r="O250" s="2579"/>
    </row>
    <row r="251" spans="1:15" s="2463" customFormat="1">
      <c r="A251" s="2462"/>
      <c r="B251" s="2462"/>
      <c r="C251" s="2462"/>
      <c r="D251" s="2462"/>
      <c r="E251" s="2462"/>
      <c r="F251" s="2462"/>
      <c r="G251" s="2462"/>
      <c r="H251" s="2462"/>
      <c r="I251" s="2579"/>
      <c r="J251" s="2579"/>
      <c r="K251" s="2579"/>
      <c r="L251" s="2579"/>
      <c r="M251" s="2579"/>
      <c r="N251" s="2579"/>
      <c r="O251" s="2579"/>
    </row>
    <row r="252" spans="1:15" s="2463" customFormat="1">
      <c r="A252" s="2462"/>
      <c r="B252" s="2462"/>
      <c r="C252" s="2462"/>
      <c r="D252" s="2462"/>
      <c r="E252" s="2462"/>
      <c r="F252" s="2462"/>
      <c r="G252" s="2462"/>
      <c r="H252" s="2462"/>
      <c r="I252" s="2579"/>
      <c r="J252" s="2579"/>
      <c r="K252" s="2579"/>
      <c r="L252" s="2579"/>
      <c r="M252" s="2579"/>
      <c r="N252" s="2579"/>
      <c r="O252" s="2579"/>
    </row>
    <row r="253" spans="1:15" s="2463" customFormat="1">
      <c r="A253" s="2462"/>
      <c r="B253" s="2462"/>
      <c r="C253" s="2462"/>
      <c r="D253" s="2462"/>
      <c r="E253" s="2462"/>
      <c r="F253" s="2462"/>
      <c r="G253" s="2462"/>
      <c r="H253" s="2462"/>
      <c r="I253" s="2579"/>
      <c r="J253" s="2579"/>
      <c r="K253" s="2579"/>
      <c r="L253" s="2579"/>
      <c r="M253" s="2579"/>
      <c r="N253" s="2579"/>
      <c r="O253" s="2579"/>
    </row>
    <row r="254" spans="1:15" s="2463" customFormat="1">
      <c r="A254" s="2462"/>
      <c r="B254" s="2462"/>
      <c r="C254" s="2462"/>
      <c r="D254" s="2462"/>
      <c r="E254" s="2462"/>
      <c r="F254" s="2462"/>
      <c r="G254" s="2462"/>
      <c r="H254" s="2462"/>
      <c r="I254" s="2579"/>
      <c r="J254" s="2579"/>
      <c r="K254" s="2579"/>
      <c r="L254" s="2579"/>
      <c r="M254" s="2579"/>
      <c r="N254" s="2579"/>
      <c r="O254" s="2579"/>
    </row>
    <row r="255" spans="1:15" s="2463" customFormat="1">
      <c r="A255" s="2462"/>
      <c r="B255" s="2462"/>
      <c r="C255" s="2462"/>
      <c r="D255" s="2462"/>
      <c r="E255" s="2462"/>
      <c r="F255" s="2462"/>
      <c r="G255" s="2462"/>
      <c r="H255" s="2462"/>
      <c r="I255" s="2579"/>
      <c r="J255" s="2579"/>
      <c r="K255" s="2579"/>
      <c r="L255" s="2579"/>
      <c r="M255" s="2579"/>
      <c r="N255" s="2579"/>
      <c r="O255" s="2579"/>
    </row>
    <row r="256" spans="1:15" s="2463" customFormat="1">
      <c r="A256" s="2462"/>
      <c r="B256" s="2462"/>
      <c r="C256" s="2462"/>
      <c r="D256" s="2462"/>
      <c r="E256" s="2462"/>
      <c r="F256" s="2462"/>
      <c r="G256" s="2462"/>
      <c r="H256" s="2462"/>
      <c r="I256" s="2579"/>
      <c r="J256" s="2579"/>
      <c r="K256" s="2579"/>
      <c r="L256" s="2579"/>
      <c r="M256" s="2579"/>
      <c r="N256" s="2579"/>
      <c r="O256" s="2579"/>
    </row>
    <row r="257" spans="1:15" s="2463" customFormat="1">
      <c r="A257" s="2462"/>
      <c r="B257" s="2462"/>
      <c r="C257" s="2462"/>
      <c r="D257" s="2462"/>
      <c r="E257" s="2462"/>
      <c r="F257" s="2462"/>
      <c r="G257" s="2462"/>
      <c r="H257" s="2462"/>
      <c r="I257" s="2579"/>
      <c r="J257" s="2579"/>
      <c r="K257" s="2579"/>
      <c r="L257" s="2579"/>
      <c r="M257" s="2579"/>
      <c r="N257" s="2579"/>
      <c r="O257" s="2579"/>
    </row>
    <row r="258" spans="1:15" s="2463" customFormat="1">
      <c r="A258" s="2462"/>
      <c r="B258" s="2462"/>
      <c r="C258" s="2462"/>
      <c r="D258" s="2462"/>
      <c r="E258" s="2462"/>
      <c r="F258" s="2462"/>
      <c r="G258" s="2462"/>
      <c r="H258" s="2462"/>
      <c r="I258" s="2579"/>
      <c r="J258" s="2579"/>
      <c r="K258" s="2579"/>
      <c r="L258" s="2579"/>
      <c r="M258" s="2579"/>
      <c r="N258" s="2579"/>
      <c r="O258" s="2579"/>
    </row>
    <row r="259" spans="1:15" s="2463" customFormat="1">
      <c r="A259" s="2462"/>
      <c r="B259" s="2462"/>
      <c r="C259" s="2462"/>
      <c r="D259" s="2462"/>
      <c r="E259" s="2462"/>
      <c r="F259" s="2462"/>
      <c r="G259" s="2462"/>
      <c r="H259" s="2462"/>
      <c r="I259" s="2579"/>
      <c r="J259" s="2579"/>
      <c r="K259" s="2579"/>
      <c r="L259" s="2579"/>
      <c r="M259" s="2579"/>
      <c r="N259" s="2579"/>
      <c r="O259" s="2579"/>
    </row>
    <row r="260" spans="1:15" s="2463" customFormat="1">
      <c r="A260" s="2462"/>
      <c r="B260" s="2462"/>
      <c r="C260" s="2462"/>
      <c r="D260" s="2462"/>
      <c r="E260" s="2462"/>
      <c r="F260" s="2462"/>
      <c r="G260" s="2462"/>
      <c r="H260" s="2462"/>
      <c r="I260" s="2579"/>
      <c r="J260" s="2579"/>
      <c r="K260" s="2579"/>
      <c r="L260" s="2579"/>
      <c r="M260" s="2579"/>
      <c r="N260" s="2579"/>
      <c r="O260" s="2579"/>
    </row>
    <row r="261" spans="1:15" s="2463" customFormat="1">
      <c r="A261" s="2462"/>
      <c r="B261" s="2462"/>
      <c r="C261" s="2462"/>
      <c r="D261" s="2462"/>
      <c r="E261" s="2462"/>
      <c r="F261" s="2462"/>
      <c r="G261" s="2462"/>
      <c r="H261" s="2462"/>
      <c r="I261" s="2579"/>
      <c r="J261" s="2579"/>
      <c r="K261" s="2579"/>
      <c r="L261" s="2579"/>
      <c r="M261" s="2579"/>
      <c r="N261" s="2579"/>
      <c r="O261" s="2579"/>
    </row>
    <row r="262" spans="1:15" s="2463" customFormat="1">
      <c r="A262" s="2462"/>
      <c r="B262" s="2462"/>
      <c r="C262" s="2462"/>
      <c r="D262" s="2462"/>
      <c r="E262" s="2462"/>
      <c r="F262" s="2462"/>
      <c r="G262" s="2462"/>
      <c r="H262" s="2462"/>
      <c r="I262" s="2579"/>
      <c r="J262" s="2579"/>
      <c r="K262" s="2579"/>
      <c r="L262" s="2579"/>
      <c r="M262" s="2579"/>
      <c r="N262" s="2579"/>
      <c r="O262" s="2579"/>
    </row>
    <row r="263" spans="1:15" s="2463" customFormat="1">
      <c r="A263" s="2462"/>
      <c r="B263" s="2462"/>
      <c r="C263" s="2462"/>
      <c r="D263" s="2462"/>
      <c r="E263" s="2462"/>
      <c r="F263" s="2462"/>
      <c r="G263" s="2462"/>
      <c r="H263" s="2462"/>
      <c r="I263" s="2579"/>
      <c r="J263" s="2579"/>
      <c r="K263" s="2579"/>
      <c r="L263" s="2579"/>
      <c r="M263" s="2579"/>
      <c r="N263" s="2579"/>
      <c r="O263" s="2579"/>
    </row>
    <row r="264" spans="1:15" s="2463" customFormat="1">
      <c r="A264" s="2462"/>
      <c r="B264" s="2462"/>
      <c r="C264" s="2462"/>
      <c r="D264" s="2462"/>
      <c r="E264" s="2462"/>
      <c r="F264" s="2462"/>
      <c r="G264" s="2462"/>
      <c r="H264" s="2462"/>
      <c r="I264" s="2579"/>
      <c r="J264" s="2579"/>
      <c r="K264" s="2579"/>
      <c r="L264" s="2579"/>
      <c r="M264" s="2579"/>
      <c r="N264" s="2579"/>
      <c r="O264" s="2579"/>
    </row>
    <row r="265" spans="1:15" s="2463" customFormat="1">
      <c r="A265" s="2462"/>
      <c r="B265" s="2462"/>
      <c r="C265" s="2462"/>
      <c r="D265" s="2462"/>
      <c r="E265" s="2462"/>
      <c r="F265" s="2462"/>
      <c r="G265" s="2462"/>
      <c r="H265" s="2462"/>
      <c r="I265" s="2579"/>
      <c r="J265" s="2579"/>
      <c r="K265" s="2579"/>
      <c r="L265" s="2579"/>
      <c r="M265" s="2579"/>
      <c r="N265" s="2579"/>
      <c r="O265" s="2579"/>
    </row>
    <row r="266" spans="1:15" s="2463" customFormat="1">
      <c r="A266" s="2462"/>
      <c r="B266" s="2462"/>
      <c r="C266" s="2462"/>
      <c r="D266" s="2462"/>
      <c r="E266" s="2462"/>
      <c r="F266" s="2462"/>
      <c r="G266" s="2462"/>
      <c r="H266" s="2462"/>
      <c r="I266" s="2579"/>
      <c r="J266" s="2579"/>
      <c r="K266" s="2579"/>
      <c r="L266" s="2579"/>
      <c r="M266" s="2579"/>
      <c r="N266" s="2579"/>
      <c r="O266" s="2579"/>
    </row>
    <row r="267" spans="1:15" s="2463" customFormat="1">
      <c r="A267" s="2462"/>
      <c r="B267" s="2462"/>
      <c r="C267" s="2462"/>
      <c r="D267" s="2462"/>
      <c r="E267" s="2462"/>
      <c r="F267" s="2462"/>
      <c r="G267" s="2462"/>
      <c r="H267" s="2462"/>
      <c r="I267" s="2579"/>
      <c r="J267" s="2579"/>
      <c r="K267" s="2579"/>
      <c r="L267" s="2579"/>
      <c r="M267" s="2579"/>
      <c r="N267" s="2579"/>
      <c r="O267" s="2579"/>
    </row>
    <row r="268" spans="1:15" s="2463" customFormat="1">
      <c r="A268" s="2462"/>
      <c r="B268" s="2462"/>
      <c r="C268" s="2462"/>
      <c r="D268" s="2462"/>
      <c r="E268" s="2462"/>
      <c r="F268" s="2462"/>
      <c r="G268" s="2462"/>
      <c r="H268" s="2462"/>
      <c r="I268" s="2579"/>
      <c r="J268" s="2579"/>
      <c r="K268" s="2579"/>
      <c r="L268" s="2579"/>
      <c r="M268" s="2579"/>
      <c r="N268" s="2579"/>
      <c r="O268" s="2579"/>
    </row>
    <row r="269" spans="1:15" s="2463" customFormat="1">
      <c r="A269" s="2462"/>
      <c r="B269" s="2462"/>
      <c r="C269" s="2462"/>
      <c r="D269" s="2462"/>
      <c r="E269" s="2462"/>
      <c r="F269" s="2462"/>
      <c r="G269" s="2462"/>
      <c r="H269" s="2462"/>
      <c r="I269" s="2579"/>
      <c r="J269" s="2579"/>
      <c r="K269" s="2579"/>
      <c r="L269" s="2579"/>
      <c r="M269" s="2579"/>
      <c r="N269" s="2579"/>
      <c r="O269" s="2579"/>
    </row>
    <row r="270" spans="1:15" s="2463" customFormat="1">
      <c r="A270" s="2462"/>
      <c r="B270" s="2462"/>
      <c r="C270" s="2462"/>
      <c r="D270" s="2462"/>
      <c r="E270" s="2462"/>
      <c r="F270" s="2462"/>
      <c r="G270" s="2462"/>
      <c r="H270" s="2462"/>
      <c r="I270" s="2579"/>
      <c r="J270" s="2579"/>
      <c r="K270" s="2579"/>
      <c r="L270" s="2579"/>
      <c r="M270" s="2579"/>
      <c r="N270" s="2579"/>
      <c r="O270" s="2579"/>
    </row>
    <row r="271" spans="1:15" s="2463" customFormat="1">
      <c r="A271" s="2462"/>
      <c r="B271" s="2462"/>
      <c r="C271" s="2462"/>
      <c r="D271" s="2462"/>
      <c r="E271" s="2462"/>
      <c r="F271" s="2462"/>
      <c r="G271" s="2462"/>
      <c r="H271" s="2462"/>
      <c r="I271" s="2579"/>
      <c r="J271" s="2579"/>
      <c r="K271" s="2579"/>
      <c r="L271" s="2579"/>
      <c r="M271" s="2579"/>
      <c r="N271" s="2579"/>
      <c r="O271" s="2579"/>
    </row>
    <row r="272" spans="1:15" s="2463" customFormat="1">
      <c r="A272" s="2462"/>
      <c r="B272" s="2462"/>
      <c r="C272" s="2462"/>
      <c r="D272" s="2462"/>
      <c r="E272" s="2462"/>
      <c r="F272" s="2462"/>
      <c r="G272" s="2462"/>
      <c r="H272" s="2462"/>
      <c r="I272" s="2579"/>
      <c r="J272" s="2579"/>
      <c r="K272" s="2579"/>
      <c r="L272" s="2579"/>
      <c r="M272" s="2579"/>
      <c r="N272" s="2579"/>
      <c r="O272" s="2579"/>
    </row>
    <row r="273" spans="1:15" s="2463" customFormat="1">
      <c r="A273" s="2462"/>
      <c r="B273" s="2462"/>
      <c r="C273" s="2462"/>
      <c r="D273" s="2462"/>
      <c r="E273" s="2462"/>
      <c r="F273" s="2462"/>
      <c r="G273" s="2462"/>
      <c r="H273" s="2462"/>
      <c r="I273" s="2579"/>
      <c r="J273" s="2579"/>
      <c r="K273" s="2579"/>
      <c r="L273" s="2579"/>
      <c r="M273" s="2579"/>
      <c r="N273" s="2579"/>
      <c r="O273" s="2579"/>
    </row>
    <row r="274" spans="1:15" s="2463" customFormat="1">
      <c r="A274" s="2462"/>
      <c r="B274" s="2462"/>
      <c r="C274" s="2462"/>
      <c r="D274" s="2462"/>
      <c r="E274" s="2462"/>
      <c r="F274" s="2462"/>
      <c r="G274" s="2462"/>
      <c r="H274" s="2462"/>
      <c r="I274" s="2579"/>
      <c r="J274" s="2579"/>
      <c r="K274" s="2579"/>
      <c r="L274" s="2579"/>
      <c r="M274" s="2579"/>
      <c r="N274" s="2579"/>
      <c r="O274" s="2579"/>
    </row>
    <row r="275" spans="1:15" s="2463" customFormat="1">
      <c r="A275" s="2462"/>
      <c r="B275" s="2462"/>
      <c r="C275" s="2462"/>
      <c r="D275" s="2462"/>
      <c r="E275" s="2462"/>
      <c r="F275" s="2462"/>
      <c r="G275" s="2462"/>
      <c r="H275" s="2462"/>
      <c r="I275" s="2579"/>
      <c r="J275" s="2579"/>
      <c r="K275" s="2579"/>
      <c r="L275" s="2579"/>
      <c r="M275" s="2579"/>
      <c r="N275" s="2579"/>
      <c r="O275" s="2579"/>
    </row>
    <row r="276" spans="1:15" s="2463" customFormat="1">
      <c r="A276" s="2462"/>
      <c r="B276" s="2462"/>
      <c r="C276" s="2462"/>
      <c r="D276" s="2462"/>
      <c r="E276" s="2462"/>
      <c r="F276" s="2462"/>
      <c r="G276" s="2462"/>
      <c r="H276" s="2462"/>
      <c r="I276" s="2579"/>
      <c r="J276" s="2579"/>
      <c r="K276" s="2579"/>
      <c r="L276" s="2579"/>
      <c r="M276" s="2579"/>
      <c r="N276" s="2579"/>
      <c r="O276" s="2579"/>
    </row>
    <row r="277" spans="1:15" s="2463" customFormat="1">
      <c r="A277" s="2462"/>
      <c r="B277" s="2462"/>
      <c r="C277" s="2462"/>
      <c r="D277" s="2462"/>
      <c r="E277" s="2462"/>
      <c r="F277" s="2462"/>
      <c r="G277" s="2462"/>
      <c r="H277" s="2462"/>
      <c r="I277" s="2579"/>
      <c r="J277" s="2579"/>
      <c r="K277" s="2579"/>
      <c r="L277" s="2579"/>
      <c r="M277" s="2579"/>
      <c r="N277" s="2579"/>
      <c r="O277" s="2579"/>
    </row>
    <row r="278" spans="1:15" s="2463" customFormat="1">
      <c r="A278" s="2462"/>
      <c r="B278" s="2462"/>
      <c r="C278" s="2462"/>
      <c r="D278" s="2462"/>
      <c r="E278" s="2462"/>
      <c r="F278" s="2462"/>
      <c r="G278" s="2462"/>
      <c r="H278" s="2462"/>
      <c r="I278" s="2579"/>
      <c r="J278" s="2579"/>
      <c r="K278" s="2579"/>
      <c r="L278" s="2579"/>
      <c r="M278" s="2579"/>
      <c r="N278" s="2579"/>
      <c r="O278" s="2579"/>
    </row>
    <row r="279" spans="1:15" s="2463" customFormat="1">
      <c r="A279" s="2462"/>
      <c r="B279" s="2462"/>
      <c r="C279" s="2462"/>
      <c r="D279" s="2462"/>
      <c r="E279" s="2462"/>
      <c r="F279" s="2462"/>
      <c r="G279" s="2462"/>
      <c r="H279" s="2462"/>
      <c r="I279" s="2579"/>
      <c r="J279" s="2579"/>
      <c r="K279" s="2579"/>
      <c r="L279" s="2579"/>
      <c r="M279" s="2579"/>
      <c r="N279" s="2579"/>
      <c r="O279" s="2579"/>
    </row>
    <row r="280" spans="1:15" s="2463" customFormat="1">
      <c r="A280" s="2462"/>
      <c r="B280" s="2462"/>
      <c r="C280" s="2462"/>
      <c r="D280" s="2462"/>
      <c r="E280" s="2462"/>
      <c r="F280" s="2462"/>
      <c r="G280" s="2462"/>
      <c r="H280" s="2462"/>
      <c r="I280" s="2579"/>
      <c r="J280" s="2579"/>
      <c r="K280" s="2579"/>
      <c r="L280" s="2579"/>
      <c r="M280" s="2579"/>
      <c r="N280" s="2579"/>
      <c r="O280" s="2579"/>
    </row>
    <row r="281" spans="1:15" s="2463" customFormat="1">
      <c r="A281" s="2462"/>
      <c r="B281" s="2462"/>
      <c r="C281" s="2462"/>
      <c r="D281" s="2462"/>
      <c r="E281" s="2462"/>
      <c r="F281" s="2462"/>
      <c r="G281" s="2462"/>
      <c r="H281" s="2462"/>
      <c r="I281" s="2579"/>
      <c r="J281" s="2579"/>
      <c r="K281" s="2579"/>
      <c r="L281" s="2579"/>
      <c r="M281" s="2579"/>
      <c r="N281" s="2579"/>
      <c r="O281" s="2579"/>
    </row>
    <row r="282" spans="1:15" s="2463" customFormat="1">
      <c r="A282" s="2462"/>
      <c r="B282" s="2462"/>
      <c r="C282" s="2462"/>
      <c r="D282" s="2462"/>
      <c r="E282" s="2462"/>
      <c r="F282" s="2462"/>
      <c r="G282" s="2462"/>
      <c r="H282" s="2462"/>
      <c r="I282" s="2579"/>
      <c r="J282" s="2579"/>
      <c r="K282" s="2579"/>
      <c r="L282" s="2579"/>
      <c r="M282" s="2579"/>
      <c r="N282" s="2579"/>
      <c r="O282" s="2579"/>
    </row>
    <row r="283" spans="1:15" s="2463" customFormat="1">
      <c r="A283" s="2462"/>
      <c r="B283" s="2462"/>
      <c r="C283" s="2462"/>
      <c r="D283" s="2462"/>
      <c r="E283" s="2462"/>
      <c r="F283" s="2462"/>
      <c r="G283" s="2462"/>
      <c r="H283" s="2462"/>
      <c r="I283" s="2579"/>
      <c r="J283" s="2579"/>
      <c r="K283" s="2579"/>
      <c r="L283" s="2579"/>
      <c r="M283" s="2579"/>
      <c r="N283" s="2579"/>
      <c r="O283" s="2579"/>
    </row>
    <row r="284" spans="1:15" s="2463" customFormat="1">
      <c r="A284" s="2462"/>
      <c r="B284" s="2462"/>
      <c r="C284" s="2462"/>
      <c r="D284" s="2462"/>
      <c r="E284" s="2462"/>
      <c r="F284" s="2462"/>
      <c r="G284" s="2462"/>
      <c r="H284" s="2462"/>
      <c r="I284" s="2579"/>
      <c r="J284" s="2579"/>
      <c r="K284" s="2579"/>
      <c r="L284" s="2579"/>
      <c r="M284" s="2579"/>
      <c r="N284" s="2579"/>
      <c r="O284" s="2579"/>
    </row>
    <row r="285" spans="1:15" s="2463" customFormat="1">
      <c r="A285" s="2462"/>
      <c r="B285" s="2462"/>
      <c r="C285" s="2462"/>
      <c r="D285" s="2462"/>
      <c r="E285" s="2462"/>
      <c r="F285" s="2462"/>
      <c r="G285" s="2462"/>
      <c r="H285" s="2462"/>
      <c r="I285" s="2579"/>
      <c r="J285" s="2579"/>
      <c r="K285" s="2579"/>
      <c r="L285" s="2579"/>
      <c r="M285" s="2579"/>
      <c r="N285" s="2579"/>
      <c r="O285" s="2579"/>
    </row>
    <row r="286" spans="1:15" s="2463" customFormat="1">
      <c r="A286" s="2462"/>
      <c r="B286" s="2462"/>
      <c r="C286" s="2462"/>
      <c r="D286" s="2462"/>
      <c r="E286" s="2462"/>
      <c r="F286" s="2462"/>
      <c r="G286" s="2462"/>
      <c r="H286" s="2462"/>
      <c r="I286" s="2579"/>
      <c r="J286" s="2579"/>
      <c r="K286" s="2579"/>
      <c r="L286" s="2579"/>
      <c r="M286" s="2579"/>
      <c r="N286" s="2579"/>
      <c r="O286" s="2579"/>
    </row>
    <row r="287" spans="1:15" s="2463" customFormat="1">
      <c r="A287" s="2462"/>
      <c r="B287" s="2462"/>
      <c r="C287" s="2462"/>
      <c r="D287" s="2462"/>
      <c r="E287" s="2462"/>
      <c r="F287" s="2462"/>
      <c r="G287" s="2462"/>
      <c r="H287" s="2462"/>
      <c r="I287" s="2579"/>
      <c r="J287" s="2579"/>
      <c r="K287" s="2579"/>
      <c r="L287" s="2579"/>
      <c r="M287" s="2579"/>
      <c r="N287" s="2579"/>
      <c r="O287" s="2579"/>
    </row>
    <row r="288" spans="1:15" s="2463" customFormat="1">
      <c r="A288" s="2462"/>
      <c r="B288" s="2462"/>
      <c r="C288" s="2462"/>
      <c r="D288" s="2462"/>
      <c r="E288" s="2462"/>
      <c r="F288" s="2462"/>
      <c r="G288" s="2462"/>
      <c r="H288" s="2462"/>
      <c r="I288" s="2579"/>
      <c r="J288" s="2579"/>
      <c r="K288" s="2579"/>
      <c r="L288" s="2579"/>
      <c r="M288" s="2579"/>
      <c r="N288" s="2579"/>
      <c r="O288" s="2579"/>
    </row>
    <row r="293" spans="1:15" s="2463" customFormat="1">
      <c r="A293" s="2462"/>
      <c r="B293" s="2462"/>
      <c r="C293" s="2462"/>
      <c r="D293" s="2462"/>
      <c r="E293" s="2462"/>
      <c r="F293" s="2462"/>
      <c r="G293" s="2462"/>
      <c r="H293" s="2462"/>
      <c r="I293" s="2579"/>
      <c r="J293" s="2579"/>
      <c r="K293" s="2579"/>
      <c r="L293" s="2579"/>
      <c r="M293" s="2579"/>
      <c r="N293" s="2579"/>
      <c r="O293" s="2579"/>
    </row>
    <row r="294" spans="1:15" s="2463" customFormat="1">
      <c r="A294" s="2462"/>
      <c r="B294" s="2462"/>
      <c r="C294" s="2462"/>
      <c r="D294" s="2462"/>
      <c r="E294" s="2462"/>
      <c r="F294" s="2462"/>
      <c r="G294" s="2462"/>
      <c r="H294" s="2462"/>
      <c r="I294" s="2579"/>
      <c r="J294" s="2579"/>
      <c r="K294" s="2579"/>
      <c r="L294" s="2579"/>
      <c r="M294" s="2579"/>
      <c r="N294" s="2579"/>
      <c r="O294" s="2579"/>
    </row>
    <row r="295" spans="1:15" s="2463" customFormat="1">
      <c r="A295" s="2462"/>
      <c r="B295" s="2462"/>
      <c r="C295" s="2462"/>
      <c r="D295" s="2462"/>
      <c r="E295" s="2462"/>
      <c r="F295" s="2462"/>
      <c r="G295" s="2462"/>
      <c r="H295" s="2462"/>
      <c r="I295" s="2579"/>
      <c r="J295" s="2579"/>
      <c r="K295" s="2579"/>
      <c r="L295" s="2579"/>
      <c r="M295" s="2579"/>
      <c r="N295" s="2579"/>
      <c r="O295" s="2579"/>
    </row>
    <row r="296" spans="1:15" s="2463" customFormat="1">
      <c r="A296" s="2462"/>
      <c r="B296" s="2462"/>
      <c r="C296" s="2462"/>
      <c r="D296" s="2462"/>
      <c r="E296" s="2462"/>
      <c r="F296" s="2462"/>
      <c r="G296" s="2462"/>
      <c r="H296" s="2462"/>
      <c r="I296" s="2579"/>
      <c r="J296" s="2579"/>
      <c r="K296" s="2579"/>
      <c r="L296" s="2579"/>
      <c r="M296" s="2579"/>
      <c r="N296" s="2579"/>
      <c r="O296" s="2579"/>
    </row>
    <row r="297" spans="1:15" s="2463" customFormat="1">
      <c r="A297" s="2462"/>
      <c r="B297" s="2462"/>
      <c r="C297" s="2462"/>
      <c r="D297" s="2462"/>
      <c r="E297" s="2462"/>
      <c r="F297" s="2462"/>
      <c r="G297" s="2462"/>
      <c r="H297" s="2462"/>
      <c r="I297" s="2579"/>
      <c r="J297" s="2579"/>
      <c r="K297" s="2579"/>
      <c r="L297" s="2579"/>
      <c r="M297" s="2579"/>
      <c r="N297" s="2579"/>
      <c r="O297" s="2579"/>
    </row>
    <row r="298" spans="1:15" s="2463" customFormat="1">
      <c r="A298" s="2462"/>
      <c r="B298" s="2462"/>
      <c r="C298" s="2462"/>
      <c r="D298" s="2462"/>
      <c r="E298" s="2462"/>
      <c r="F298" s="2462"/>
      <c r="G298" s="2462"/>
      <c r="H298" s="2462"/>
      <c r="I298" s="2579"/>
      <c r="J298" s="2579"/>
      <c r="K298" s="2579"/>
      <c r="L298" s="2579"/>
      <c r="M298" s="2579"/>
      <c r="N298" s="2579"/>
      <c r="O298" s="2579"/>
    </row>
    <row r="299" spans="1:15" s="2463" customFormat="1">
      <c r="A299" s="2462"/>
      <c r="B299" s="2462"/>
      <c r="C299" s="2462"/>
      <c r="D299" s="2462"/>
      <c r="E299" s="2462"/>
      <c r="F299" s="2462"/>
      <c r="G299" s="2462"/>
      <c r="H299" s="2462"/>
      <c r="I299" s="2579"/>
      <c r="J299" s="2579"/>
      <c r="K299" s="2579"/>
      <c r="L299" s="2579"/>
      <c r="M299" s="2579"/>
      <c r="N299" s="2579"/>
      <c r="O299" s="2579"/>
    </row>
    <row r="300" spans="1:15" s="2463" customFormat="1">
      <c r="A300" s="2462"/>
      <c r="B300" s="2462"/>
      <c r="C300" s="2462"/>
      <c r="D300" s="2462"/>
      <c r="E300" s="2462"/>
      <c r="F300" s="2462"/>
      <c r="G300" s="2462"/>
      <c r="H300" s="2462"/>
      <c r="I300" s="2579"/>
      <c r="J300" s="2579"/>
      <c r="K300" s="2579"/>
      <c r="L300" s="2579"/>
      <c r="M300" s="2579"/>
      <c r="N300" s="2579"/>
      <c r="O300" s="2579"/>
    </row>
    <row r="301" spans="1:15" s="2463" customFormat="1">
      <c r="A301" s="2462"/>
      <c r="B301" s="2462"/>
      <c r="C301" s="2462"/>
      <c r="D301" s="2462"/>
      <c r="E301" s="2462"/>
      <c r="F301" s="2462"/>
      <c r="G301" s="2462"/>
      <c r="H301" s="2462"/>
      <c r="I301" s="2579"/>
      <c r="J301" s="2579"/>
      <c r="K301" s="2579"/>
      <c r="L301" s="2579"/>
      <c r="M301" s="2579"/>
      <c r="N301" s="2579"/>
      <c r="O301" s="2579"/>
    </row>
    <row r="302" spans="1:15" s="2463" customFormat="1">
      <c r="A302" s="2462"/>
      <c r="B302" s="2462"/>
      <c r="C302" s="2462"/>
      <c r="D302" s="2462"/>
      <c r="E302" s="2462"/>
      <c r="F302" s="2462"/>
      <c r="G302" s="2462"/>
      <c r="H302" s="2462"/>
      <c r="I302" s="2579"/>
      <c r="J302" s="2579"/>
      <c r="K302" s="2579"/>
      <c r="L302" s="2579"/>
      <c r="M302" s="2579"/>
      <c r="N302" s="2579"/>
      <c r="O302" s="2579"/>
    </row>
    <row r="303" spans="1:15" s="2463" customFormat="1">
      <c r="A303" s="2462"/>
      <c r="B303" s="2462"/>
      <c r="C303" s="2462"/>
      <c r="D303" s="2462"/>
      <c r="E303" s="2462"/>
      <c r="F303" s="2462"/>
      <c r="G303" s="2462"/>
      <c r="H303" s="2462"/>
      <c r="I303" s="2579"/>
      <c r="J303" s="2579"/>
      <c r="K303" s="2579"/>
      <c r="L303" s="2579"/>
      <c r="M303" s="2579"/>
      <c r="N303" s="2579"/>
      <c r="O303" s="2579"/>
    </row>
    <row r="304" spans="1:15" s="2463" customFormat="1">
      <c r="A304" s="2462"/>
      <c r="B304" s="2462"/>
      <c r="C304" s="2462"/>
      <c r="D304" s="2462"/>
      <c r="E304" s="2462"/>
      <c r="F304" s="2462"/>
      <c r="G304" s="2462"/>
      <c r="H304" s="2462"/>
      <c r="I304" s="2579"/>
      <c r="J304" s="2579"/>
      <c r="K304" s="2579"/>
      <c r="L304" s="2579"/>
      <c r="M304" s="2579"/>
      <c r="N304" s="2579"/>
      <c r="O304" s="2579"/>
    </row>
    <row r="305" spans="1:15" s="2463" customFormat="1">
      <c r="A305" s="2462"/>
      <c r="B305" s="2462"/>
      <c r="C305" s="2462"/>
      <c r="D305" s="2462"/>
      <c r="E305" s="2462"/>
      <c r="F305" s="2462"/>
      <c r="G305" s="2462"/>
      <c r="H305" s="2462"/>
      <c r="I305" s="2579"/>
      <c r="J305" s="2579"/>
      <c r="K305" s="2579"/>
      <c r="L305" s="2579"/>
      <c r="M305" s="2579"/>
      <c r="N305" s="2579"/>
      <c r="O305" s="2579"/>
    </row>
    <row r="306" spans="1:15" s="2463" customFormat="1">
      <c r="A306" s="2462"/>
      <c r="B306" s="2462"/>
      <c r="C306" s="2462"/>
      <c r="D306" s="2462"/>
      <c r="E306" s="2462"/>
      <c r="F306" s="2462"/>
      <c r="G306" s="2462"/>
      <c r="H306" s="2462"/>
      <c r="I306" s="2579"/>
      <c r="J306" s="2579"/>
      <c r="K306" s="2579"/>
      <c r="L306" s="2579"/>
      <c r="M306" s="2579"/>
      <c r="N306" s="2579"/>
      <c r="O306" s="2579"/>
    </row>
    <row r="307" spans="1:15" s="2463" customFormat="1">
      <c r="A307" s="2462"/>
      <c r="B307" s="2462"/>
      <c r="C307" s="2462"/>
      <c r="D307" s="2462"/>
      <c r="E307" s="2462"/>
      <c r="F307" s="2462"/>
      <c r="G307" s="2462"/>
      <c r="H307" s="2462"/>
      <c r="I307" s="2579"/>
      <c r="J307" s="2579"/>
      <c r="K307" s="2579"/>
      <c r="L307" s="2579"/>
      <c r="M307" s="2579"/>
      <c r="N307" s="2579"/>
      <c r="O307" s="2579"/>
    </row>
    <row r="308" spans="1:15" s="2463" customFormat="1">
      <c r="A308" s="2462"/>
      <c r="B308" s="2462"/>
      <c r="C308" s="2462"/>
      <c r="D308" s="2462"/>
      <c r="E308" s="2462"/>
      <c r="F308" s="2462"/>
      <c r="G308" s="2462"/>
      <c r="H308" s="2462"/>
      <c r="I308" s="2579"/>
      <c r="J308" s="2579"/>
      <c r="K308" s="2579"/>
      <c r="L308" s="2579"/>
      <c r="M308" s="2579"/>
      <c r="N308" s="2579"/>
      <c r="O308" s="2579"/>
    </row>
    <row r="309" spans="1:15" s="2463" customFormat="1">
      <c r="A309" s="2462"/>
      <c r="B309" s="2462"/>
      <c r="C309" s="2462"/>
      <c r="D309" s="2462"/>
      <c r="E309" s="2462"/>
      <c r="F309" s="2462"/>
      <c r="G309" s="2462"/>
      <c r="H309" s="2462"/>
      <c r="I309" s="2579"/>
      <c r="J309" s="2579"/>
      <c r="K309" s="2579"/>
      <c r="L309" s="2579"/>
      <c r="M309" s="2579"/>
      <c r="N309" s="2579"/>
      <c r="O309" s="2579"/>
    </row>
    <row r="310" spans="1:15" s="2463" customFormat="1">
      <c r="A310" s="2462"/>
      <c r="B310" s="2462"/>
      <c r="C310" s="2462"/>
      <c r="D310" s="2462"/>
      <c r="E310" s="2462"/>
      <c r="F310" s="2462"/>
      <c r="G310" s="2462"/>
      <c r="H310" s="2462"/>
      <c r="I310" s="2579"/>
      <c r="J310" s="2579"/>
      <c r="K310" s="2579"/>
      <c r="L310" s="2579"/>
      <c r="M310" s="2579"/>
      <c r="N310" s="2579"/>
      <c r="O310" s="2579"/>
    </row>
    <row r="311" spans="1:15" s="2463" customFormat="1">
      <c r="A311" s="2462"/>
      <c r="B311" s="2462"/>
      <c r="C311" s="2462"/>
      <c r="D311" s="2462"/>
      <c r="E311" s="2462"/>
      <c r="F311" s="2462"/>
      <c r="G311" s="2462"/>
      <c r="H311" s="2462"/>
      <c r="I311" s="2579"/>
      <c r="J311" s="2579"/>
      <c r="K311" s="2579"/>
      <c r="L311" s="2579"/>
      <c r="M311" s="2579"/>
      <c r="N311" s="2579"/>
      <c r="O311" s="2579"/>
    </row>
    <row r="312" spans="1:15" s="2463" customFormat="1">
      <c r="A312" s="2462"/>
      <c r="B312" s="2462"/>
      <c r="C312" s="2462"/>
      <c r="D312" s="2462"/>
      <c r="E312" s="2462"/>
      <c r="F312" s="2462"/>
      <c r="G312" s="2462"/>
      <c r="H312" s="2462"/>
      <c r="I312" s="2579"/>
      <c r="J312" s="2579"/>
      <c r="K312" s="2579"/>
      <c r="L312" s="2579"/>
      <c r="M312" s="2579"/>
      <c r="N312" s="2579"/>
      <c r="O312" s="2579"/>
    </row>
    <row r="313" spans="1:15" s="2463" customFormat="1">
      <c r="A313" s="2462"/>
      <c r="B313" s="2462"/>
      <c r="C313" s="2462"/>
      <c r="D313" s="2462"/>
      <c r="E313" s="2462"/>
      <c r="F313" s="2462"/>
      <c r="G313" s="2462"/>
      <c r="H313" s="2462"/>
      <c r="I313" s="2579"/>
      <c r="J313" s="2579"/>
      <c r="K313" s="2579"/>
      <c r="L313" s="2579"/>
      <c r="M313" s="2579"/>
      <c r="N313" s="2579"/>
      <c r="O313" s="2579"/>
    </row>
    <row r="314" spans="1:15" s="2463" customFormat="1">
      <c r="A314" s="2462"/>
      <c r="B314" s="2462"/>
      <c r="C314" s="2462"/>
      <c r="D314" s="2462"/>
      <c r="E314" s="2462"/>
      <c r="F314" s="2462"/>
      <c r="G314" s="2462"/>
      <c r="H314" s="2462"/>
      <c r="I314" s="2579"/>
      <c r="J314" s="2579"/>
      <c r="K314" s="2579"/>
      <c r="L314" s="2579"/>
      <c r="M314" s="2579"/>
      <c r="N314" s="2579"/>
      <c r="O314" s="2579"/>
    </row>
    <row r="315" spans="1:15" s="2463" customFormat="1">
      <c r="A315" s="2462"/>
      <c r="B315" s="2462"/>
      <c r="C315" s="2462"/>
      <c r="D315" s="2462"/>
      <c r="E315" s="2462"/>
      <c r="F315" s="2462"/>
      <c r="G315" s="2462"/>
      <c r="H315" s="2462"/>
      <c r="I315" s="2579"/>
      <c r="J315" s="2579"/>
      <c r="K315" s="2579"/>
      <c r="L315" s="2579"/>
      <c r="M315" s="2579"/>
      <c r="N315" s="2579"/>
      <c r="O315" s="2579"/>
    </row>
    <row r="316" spans="1:15" s="2463" customFormat="1">
      <c r="A316" s="2462"/>
      <c r="B316" s="2462"/>
      <c r="C316" s="2462"/>
      <c r="D316" s="2462"/>
      <c r="E316" s="2462"/>
      <c r="F316" s="2462"/>
      <c r="G316" s="2462"/>
      <c r="H316" s="2462"/>
      <c r="I316" s="2579"/>
      <c r="J316" s="2579"/>
      <c r="K316" s="2579"/>
      <c r="L316" s="2579"/>
      <c r="M316" s="2579"/>
      <c r="N316" s="2579"/>
      <c r="O316" s="2579"/>
    </row>
    <row r="317" spans="1:15" s="2463" customFormat="1">
      <c r="A317" s="2462"/>
      <c r="B317" s="2462"/>
      <c r="C317" s="2462"/>
      <c r="D317" s="2462"/>
      <c r="E317" s="2462"/>
      <c r="F317" s="2462"/>
      <c r="G317" s="2462"/>
      <c r="H317" s="2462"/>
      <c r="I317" s="2579"/>
      <c r="J317" s="2579"/>
      <c r="K317" s="2579"/>
      <c r="L317" s="2579"/>
      <c r="M317" s="2579"/>
      <c r="N317" s="2579"/>
      <c r="O317" s="2579"/>
    </row>
    <row r="318" spans="1:15" s="2463" customFormat="1">
      <c r="A318" s="2462"/>
      <c r="B318" s="2462"/>
      <c r="C318" s="2462"/>
      <c r="D318" s="2462"/>
      <c r="E318" s="2462"/>
      <c r="F318" s="2462"/>
      <c r="G318" s="2462"/>
      <c r="H318" s="2462"/>
      <c r="I318" s="2579"/>
      <c r="J318" s="2579"/>
      <c r="K318" s="2579"/>
      <c r="L318" s="2579"/>
      <c r="M318" s="2579"/>
      <c r="N318" s="2579"/>
      <c r="O318" s="2579"/>
    </row>
    <row r="319" spans="1:15" s="2463" customFormat="1">
      <c r="A319" s="2462"/>
      <c r="B319" s="2462"/>
      <c r="C319" s="2462"/>
      <c r="D319" s="2462"/>
      <c r="E319" s="2462"/>
      <c r="F319" s="2462"/>
      <c r="G319" s="2462"/>
      <c r="H319" s="2462"/>
      <c r="I319" s="2579"/>
      <c r="J319" s="2579"/>
      <c r="K319" s="2579"/>
      <c r="L319" s="2579"/>
      <c r="M319" s="2579"/>
      <c r="N319" s="2579"/>
      <c r="O319" s="2579"/>
    </row>
    <row r="320" spans="1:15" s="2463" customFormat="1">
      <c r="A320" s="2462"/>
      <c r="B320" s="2462"/>
      <c r="C320" s="2462"/>
      <c r="D320" s="2462"/>
      <c r="E320" s="2462"/>
      <c r="F320" s="2462"/>
      <c r="G320" s="2462"/>
      <c r="H320" s="2462"/>
      <c r="I320" s="2579"/>
      <c r="J320" s="2579"/>
      <c r="K320" s="2579"/>
      <c r="L320" s="2579"/>
      <c r="M320" s="2579"/>
      <c r="N320" s="2579"/>
      <c r="O320" s="2579"/>
    </row>
    <row r="321" spans="1:15" s="2463" customFormat="1">
      <c r="A321" s="2462"/>
      <c r="B321" s="2462"/>
      <c r="C321" s="2462"/>
      <c r="D321" s="2462"/>
      <c r="E321" s="2462"/>
      <c r="F321" s="2462"/>
      <c r="G321" s="2462"/>
      <c r="H321" s="2462"/>
      <c r="I321" s="2579"/>
      <c r="J321" s="2579"/>
      <c r="K321" s="2579"/>
      <c r="L321" s="2579"/>
      <c r="M321" s="2579"/>
      <c r="N321" s="2579"/>
      <c r="O321" s="2579"/>
    </row>
    <row r="322" spans="1:15" s="2463" customFormat="1">
      <c r="A322" s="2462"/>
      <c r="B322" s="2462"/>
      <c r="C322" s="2462"/>
      <c r="D322" s="2462"/>
      <c r="E322" s="2462"/>
      <c r="F322" s="2462"/>
      <c r="G322" s="2462"/>
      <c r="H322" s="2462"/>
      <c r="I322" s="2579"/>
      <c r="J322" s="2579"/>
      <c r="K322" s="2579"/>
      <c r="L322" s="2579"/>
      <c r="M322" s="2579"/>
      <c r="N322" s="2579"/>
      <c r="O322" s="2579"/>
    </row>
    <row r="323" spans="1:15" s="2463" customFormat="1">
      <c r="A323" s="2462"/>
      <c r="B323" s="2462"/>
      <c r="C323" s="2462"/>
      <c r="D323" s="2462"/>
      <c r="E323" s="2462"/>
      <c r="F323" s="2462"/>
      <c r="G323" s="2462"/>
      <c r="H323" s="2462"/>
      <c r="I323" s="2579"/>
      <c r="J323" s="2579"/>
      <c r="K323" s="2579"/>
      <c r="L323" s="2579"/>
      <c r="M323" s="2579"/>
      <c r="N323" s="2579"/>
      <c r="O323" s="2579"/>
    </row>
    <row r="324" spans="1:15" s="2463" customFormat="1">
      <c r="A324" s="2462"/>
      <c r="B324" s="2462"/>
      <c r="C324" s="2462"/>
      <c r="D324" s="2462"/>
      <c r="E324" s="2462"/>
      <c r="F324" s="2462"/>
      <c r="G324" s="2462"/>
      <c r="H324" s="2462"/>
      <c r="I324" s="2579"/>
      <c r="J324" s="2579"/>
      <c r="K324" s="2579"/>
      <c r="L324" s="2579"/>
      <c r="M324" s="2579"/>
      <c r="N324" s="2579"/>
      <c r="O324" s="2579"/>
    </row>
    <row r="325" spans="1:15" s="2463" customFormat="1">
      <c r="A325" s="2462"/>
      <c r="B325" s="2462"/>
      <c r="C325" s="2462"/>
      <c r="D325" s="2462"/>
      <c r="E325" s="2462"/>
      <c r="F325" s="2462"/>
      <c r="G325" s="2462"/>
      <c r="H325" s="2462"/>
      <c r="I325" s="2579"/>
      <c r="J325" s="2579"/>
      <c r="K325" s="2579"/>
      <c r="L325" s="2579"/>
      <c r="M325" s="2579"/>
      <c r="N325" s="2579"/>
      <c r="O325" s="2579"/>
    </row>
    <row r="326" spans="1:15" s="2463" customFormat="1">
      <c r="A326" s="2462"/>
      <c r="B326" s="2462"/>
      <c r="C326" s="2462"/>
      <c r="D326" s="2462"/>
      <c r="E326" s="2462"/>
      <c r="F326" s="2462"/>
      <c r="G326" s="2462"/>
      <c r="H326" s="2462"/>
      <c r="I326" s="2579"/>
      <c r="J326" s="2579"/>
      <c r="K326" s="2579"/>
      <c r="L326" s="2579"/>
      <c r="M326" s="2579"/>
      <c r="N326" s="2579"/>
      <c r="O326" s="2579"/>
    </row>
    <row r="327" spans="1:15" s="2463" customFormat="1">
      <c r="A327" s="2462"/>
      <c r="B327" s="2462"/>
      <c r="C327" s="2462"/>
      <c r="D327" s="2462"/>
      <c r="E327" s="2462"/>
      <c r="F327" s="2462"/>
      <c r="G327" s="2462"/>
      <c r="H327" s="2462"/>
      <c r="I327" s="2579"/>
      <c r="J327" s="2579"/>
      <c r="K327" s="2579"/>
      <c r="L327" s="2579"/>
      <c r="M327" s="2579"/>
      <c r="N327" s="2579"/>
      <c r="O327" s="2579"/>
    </row>
    <row r="328" spans="1:15" s="2463" customFormat="1">
      <c r="A328" s="2462"/>
      <c r="B328" s="2462"/>
      <c r="C328" s="2462"/>
      <c r="D328" s="2462"/>
      <c r="E328" s="2462"/>
      <c r="F328" s="2462"/>
      <c r="G328" s="2462"/>
      <c r="H328" s="2462"/>
      <c r="I328" s="2579"/>
      <c r="J328" s="2579"/>
      <c r="K328" s="2579"/>
      <c r="L328" s="2579"/>
      <c r="M328" s="2579"/>
      <c r="N328" s="2579"/>
      <c r="O328" s="2579"/>
    </row>
    <row r="329" spans="1:15" s="2463" customFormat="1">
      <c r="A329" s="2462"/>
      <c r="B329" s="2462"/>
      <c r="C329" s="2462"/>
      <c r="D329" s="2462"/>
      <c r="E329" s="2462"/>
      <c r="F329" s="2462"/>
      <c r="G329" s="2462"/>
      <c r="H329" s="2462"/>
      <c r="I329" s="2579"/>
      <c r="J329" s="2579"/>
      <c r="K329" s="2579"/>
      <c r="L329" s="2579"/>
      <c r="M329" s="2579"/>
      <c r="N329" s="2579"/>
      <c r="O329" s="2579"/>
    </row>
    <row r="330" spans="1:15" s="2463" customFormat="1">
      <c r="A330" s="2462"/>
      <c r="B330" s="2462"/>
      <c r="C330" s="2462"/>
      <c r="D330" s="2462"/>
      <c r="E330" s="2462"/>
      <c r="F330" s="2462"/>
      <c r="G330" s="2462"/>
      <c r="H330" s="2462"/>
      <c r="I330" s="2579"/>
      <c r="J330" s="2579"/>
      <c r="K330" s="2579"/>
      <c r="L330" s="2579"/>
      <c r="M330" s="2579"/>
      <c r="N330" s="2579"/>
      <c r="O330" s="2579"/>
    </row>
    <row r="331" spans="1:15" s="2463" customFormat="1">
      <c r="A331" s="2462"/>
      <c r="B331" s="2462"/>
      <c r="C331" s="2462"/>
      <c r="D331" s="2462"/>
      <c r="E331" s="2462"/>
      <c r="F331" s="2462"/>
      <c r="G331" s="2462"/>
      <c r="H331" s="2462"/>
      <c r="I331" s="2579"/>
      <c r="J331" s="2579"/>
      <c r="K331" s="2579"/>
      <c r="L331" s="2579"/>
      <c r="M331" s="2579"/>
      <c r="N331" s="2579"/>
      <c r="O331" s="2579"/>
    </row>
    <row r="332" spans="1:15" s="2463" customFormat="1">
      <c r="A332" s="2462"/>
      <c r="B332" s="2462"/>
      <c r="C332" s="2462"/>
      <c r="D332" s="2462"/>
      <c r="E332" s="2462"/>
      <c r="F332" s="2462"/>
      <c r="G332" s="2462"/>
      <c r="H332" s="2462"/>
      <c r="I332" s="2579"/>
      <c r="J332" s="2579"/>
      <c r="K332" s="2579"/>
      <c r="L332" s="2579"/>
      <c r="M332" s="2579"/>
      <c r="N332" s="2579"/>
      <c r="O332" s="2579"/>
    </row>
    <row r="337" spans="1:15" s="2463" customFormat="1">
      <c r="A337" s="2462"/>
      <c r="B337" s="2462"/>
      <c r="C337" s="2462"/>
      <c r="D337" s="2462"/>
      <c r="E337" s="2462"/>
      <c r="F337" s="2462"/>
      <c r="G337" s="2462"/>
      <c r="H337" s="2462"/>
      <c r="I337" s="2579"/>
      <c r="J337" s="2579"/>
      <c r="K337" s="2579"/>
      <c r="L337" s="2579"/>
      <c r="M337" s="2579"/>
      <c r="N337" s="2579"/>
      <c r="O337" s="2579"/>
    </row>
    <row r="338" spans="1:15" s="2463" customFormat="1">
      <c r="A338" s="2462"/>
      <c r="B338" s="2462"/>
      <c r="C338" s="2462"/>
      <c r="D338" s="2462"/>
      <c r="E338" s="2462"/>
      <c r="F338" s="2462"/>
      <c r="G338" s="2462"/>
      <c r="H338" s="2462"/>
      <c r="I338" s="2579"/>
      <c r="J338" s="2579"/>
      <c r="K338" s="2579"/>
      <c r="L338" s="2579"/>
      <c r="M338" s="2579"/>
      <c r="N338" s="2579"/>
      <c r="O338" s="2579"/>
    </row>
    <row r="339" spans="1:15" s="2463" customFormat="1">
      <c r="A339" s="2462"/>
      <c r="B339" s="2462"/>
      <c r="C339" s="2462"/>
      <c r="D339" s="2462"/>
      <c r="E339" s="2462"/>
      <c r="F339" s="2462"/>
      <c r="G339" s="2462"/>
      <c r="H339" s="2462"/>
      <c r="I339" s="2579"/>
      <c r="J339" s="2579"/>
      <c r="K339" s="2579"/>
      <c r="L339" s="2579"/>
      <c r="M339" s="2579"/>
      <c r="N339" s="2579"/>
      <c r="O339" s="2579"/>
    </row>
    <row r="340" spans="1:15" s="2463" customFormat="1">
      <c r="A340" s="2462"/>
      <c r="B340" s="2462"/>
      <c r="C340" s="2462"/>
      <c r="D340" s="2462"/>
      <c r="E340" s="2462"/>
      <c r="F340" s="2462"/>
      <c r="G340" s="2462"/>
      <c r="H340" s="2462"/>
      <c r="I340" s="2579"/>
      <c r="J340" s="2579"/>
      <c r="K340" s="2579"/>
      <c r="L340" s="2579"/>
      <c r="M340" s="2579"/>
      <c r="N340" s="2579"/>
      <c r="O340" s="2579"/>
    </row>
    <row r="341" spans="1:15" s="2463" customFormat="1">
      <c r="A341" s="2462"/>
      <c r="B341" s="2462"/>
      <c r="C341" s="2462"/>
      <c r="D341" s="2462"/>
      <c r="E341" s="2462"/>
      <c r="F341" s="2462"/>
      <c r="G341" s="2462"/>
      <c r="H341" s="2462"/>
      <c r="I341" s="2579"/>
      <c r="J341" s="2579"/>
      <c r="K341" s="2579"/>
      <c r="L341" s="2579"/>
      <c r="M341" s="2579"/>
      <c r="N341" s="2579"/>
      <c r="O341" s="2579"/>
    </row>
    <row r="342" spans="1:15" s="2463" customFormat="1">
      <c r="A342" s="2462"/>
      <c r="B342" s="2462"/>
      <c r="C342" s="2462"/>
      <c r="D342" s="2462"/>
      <c r="E342" s="2462"/>
      <c r="F342" s="2462"/>
      <c r="G342" s="2462"/>
      <c r="H342" s="2462"/>
      <c r="I342" s="2579"/>
      <c r="J342" s="2579"/>
      <c r="K342" s="2579"/>
      <c r="L342" s="2579"/>
      <c r="M342" s="2579"/>
      <c r="N342" s="2579"/>
      <c r="O342" s="2579"/>
    </row>
    <row r="343" spans="1:15" s="2463" customFormat="1">
      <c r="A343" s="2462"/>
      <c r="B343" s="2462"/>
      <c r="C343" s="2462"/>
      <c r="D343" s="2462"/>
      <c r="E343" s="2462"/>
      <c r="F343" s="2462"/>
      <c r="G343" s="2462"/>
      <c r="H343" s="2462"/>
      <c r="I343" s="2579"/>
      <c r="J343" s="2579"/>
      <c r="K343" s="2579"/>
      <c r="L343" s="2579"/>
      <c r="M343" s="2579"/>
      <c r="N343" s="2579"/>
      <c r="O343" s="2579"/>
    </row>
    <row r="344" spans="1:15" s="2463" customFormat="1">
      <c r="A344" s="2462"/>
      <c r="B344" s="2462"/>
      <c r="C344" s="2462"/>
      <c r="D344" s="2462"/>
      <c r="E344" s="2462"/>
      <c r="F344" s="2462"/>
      <c r="G344" s="2462"/>
      <c r="H344" s="2462"/>
      <c r="I344" s="2579"/>
      <c r="J344" s="2579"/>
      <c r="K344" s="2579"/>
      <c r="L344" s="2579"/>
      <c r="M344" s="2579"/>
      <c r="N344" s="2579"/>
      <c r="O344" s="2579"/>
    </row>
    <row r="345" spans="1:15" s="2463" customFormat="1">
      <c r="A345" s="2462"/>
      <c r="B345" s="2462"/>
      <c r="C345" s="2462"/>
      <c r="D345" s="2462"/>
      <c r="E345" s="2462"/>
      <c r="F345" s="2462"/>
      <c r="G345" s="2462"/>
      <c r="H345" s="2462"/>
      <c r="I345" s="2579"/>
      <c r="J345" s="2579"/>
      <c r="K345" s="2579"/>
      <c r="L345" s="2579"/>
      <c r="M345" s="2579"/>
      <c r="N345" s="2579"/>
      <c r="O345" s="2579"/>
    </row>
    <row r="346" spans="1:15" s="2463" customFormat="1">
      <c r="A346" s="2462"/>
      <c r="B346" s="2462"/>
      <c r="C346" s="2462"/>
      <c r="D346" s="2462"/>
      <c r="E346" s="2462"/>
      <c r="F346" s="2462"/>
      <c r="G346" s="2462"/>
      <c r="H346" s="2462"/>
      <c r="I346" s="2579"/>
      <c r="J346" s="2579"/>
      <c r="K346" s="2579"/>
      <c r="L346" s="2579"/>
      <c r="M346" s="2579"/>
      <c r="N346" s="2579"/>
      <c r="O346" s="2579"/>
    </row>
    <row r="347" spans="1:15" s="2463" customFormat="1">
      <c r="A347" s="2462"/>
      <c r="B347" s="2462"/>
      <c r="C347" s="2462"/>
      <c r="D347" s="2462"/>
      <c r="E347" s="2462"/>
      <c r="F347" s="2462"/>
      <c r="G347" s="2462"/>
      <c r="H347" s="2462"/>
      <c r="I347" s="2579"/>
      <c r="J347" s="2579"/>
      <c r="K347" s="2579"/>
      <c r="L347" s="2579"/>
      <c r="M347" s="2579"/>
      <c r="N347" s="2579"/>
      <c r="O347" s="2579"/>
    </row>
    <row r="348" spans="1:15" s="2463" customFormat="1">
      <c r="A348" s="2462"/>
      <c r="B348" s="2462"/>
      <c r="C348" s="2462"/>
      <c r="D348" s="2462"/>
      <c r="E348" s="2462"/>
      <c r="F348" s="2462"/>
      <c r="G348" s="2462"/>
      <c r="H348" s="2462"/>
      <c r="I348" s="2579"/>
      <c r="J348" s="2579"/>
      <c r="K348" s="2579"/>
      <c r="L348" s="2579"/>
      <c r="M348" s="2579"/>
      <c r="N348" s="2579"/>
      <c r="O348" s="2579"/>
    </row>
    <row r="349" spans="1:15" s="2463" customFormat="1">
      <c r="A349" s="2462"/>
      <c r="B349" s="2462"/>
      <c r="C349" s="2462"/>
      <c r="D349" s="2462"/>
      <c r="E349" s="2462"/>
      <c r="F349" s="2462"/>
      <c r="G349" s="2462"/>
      <c r="H349" s="2462"/>
      <c r="I349" s="2579"/>
      <c r="J349" s="2579"/>
      <c r="K349" s="2579"/>
      <c r="L349" s="2579"/>
      <c r="M349" s="2579"/>
      <c r="N349" s="2579"/>
      <c r="O349" s="2579"/>
    </row>
    <row r="350" spans="1:15" s="2463" customFormat="1">
      <c r="A350" s="2462"/>
      <c r="B350" s="2462"/>
      <c r="C350" s="2462"/>
      <c r="D350" s="2462"/>
      <c r="E350" s="2462"/>
      <c r="F350" s="2462"/>
      <c r="G350" s="2462"/>
      <c r="H350" s="2462"/>
      <c r="I350" s="2579"/>
      <c r="J350" s="2579"/>
      <c r="K350" s="2579"/>
      <c r="L350" s="2579"/>
      <c r="M350" s="2579"/>
      <c r="N350" s="2579"/>
      <c r="O350" s="2579"/>
    </row>
    <row r="351" spans="1:15" s="2463" customFormat="1">
      <c r="A351" s="2462"/>
      <c r="B351" s="2462"/>
      <c r="C351" s="2462"/>
      <c r="D351" s="2462"/>
      <c r="E351" s="2462"/>
      <c r="F351" s="2462"/>
      <c r="G351" s="2462"/>
      <c r="H351" s="2462"/>
      <c r="I351" s="2579"/>
      <c r="J351" s="2579"/>
      <c r="K351" s="2579"/>
      <c r="L351" s="2579"/>
      <c r="M351" s="2579"/>
      <c r="N351" s="2579"/>
      <c r="O351" s="2579"/>
    </row>
    <row r="352" spans="1:15" s="2463" customFormat="1">
      <c r="A352" s="2462"/>
      <c r="B352" s="2462"/>
      <c r="C352" s="2462"/>
      <c r="D352" s="2462"/>
      <c r="E352" s="2462"/>
      <c r="F352" s="2462"/>
      <c r="G352" s="2462"/>
      <c r="H352" s="2462"/>
      <c r="I352" s="2579"/>
      <c r="J352" s="2579"/>
      <c r="K352" s="2579"/>
      <c r="L352" s="2579"/>
      <c r="M352" s="2579"/>
      <c r="N352" s="2579"/>
      <c r="O352" s="2579"/>
    </row>
    <row r="353" spans="1:15" s="2463" customFormat="1">
      <c r="A353" s="2462"/>
      <c r="B353" s="2462"/>
      <c r="C353" s="2462"/>
      <c r="D353" s="2462"/>
      <c r="E353" s="2462"/>
      <c r="F353" s="2462"/>
      <c r="G353" s="2462"/>
      <c r="H353" s="2462"/>
      <c r="I353" s="2579"/>
      <c r="J353" s="2579"/>
      <c r="K353" s="2579"/>
      <c r="L353" s="2579"/>
      <c r="M353" s="2579"/>
      <c r="N353" s="2579"/>
      <c r="O353" s="2579"/>
    </row>
    <row r="354" spans="1:15" s="2463" customFormat="1">
      <c r="A354" s="2462"/>
      <c r="B354" s="2462"/>
      <c r="C354" s="2462"/>
      <c r="D354" s="2462"/>
      <c r="E354" s="2462"/>
      <c r="F354" s="2462"/>
      <c r="G354" s="2462"/>
      <c r="H354" s="2462"/>
      <c r="I354" s="2579"/>
      <c r="J354" s="2579"/>
      <c r="K354" s="2579"/>
      <c r="L354" s="2579"/>
      <c r="M354" s="2579"/>
      <c r="N354" s="2579"/>
      <c r="O354" s="2579"/>
    </row>
    <row r="355" spans="1:15" s="2463" customFormat="1">
      <c r="A355" s="2462"/>
      <c r="B355" s="2462"/>
      <c r="C355" s="2462"/>
      <c r="D355" s="2462"/>
      <c r="E355" s="2462"/>
      <c r="F355" s="2462"/>
      <c r="G355" s="2462"/>
      <c r="H355" s="2462"/>
      <c r="I355" s="2579"/>
      <c r="J355" s="2579"/>
      <c r="K355" s="2579"/>
      <c r="L355" s="2579"/>
      <c r="M355" s="2579"/>
      <c r="N355" s="2579"/>
      <c r="O355" s="2579"/>
    </row>
    <row r="356" spans="1:15" s="2463" customFormat="1">
      <c r="A356" s="2462"/>
      <c r="B356" s="2462"/>
      <c r="C356" s="2462"/>
      <c r="D356" s="2462"/>
      <c r="E356" s="2462"/>
      <c r="F356" s="2462"/>
      <c r="G356" s="2462"/>
      <c r="H356" s="2462"/>
      <c r="I356" s="2579"/>
      <c r="J356" s="2579"/>
      <c r="K356" s="2579"/>
      <c r="L356" s="2579"/>
      <c r="M356" s="2579"/>
      <c r="N356" s="2579"/>
      <c r="O356" s="2579"/>
    </row>
    <row r="357" spans="1:15" s="2463" customFormat="1">
      <c r="A357" s="2462"/>
      <c r="B357" s="2462"/>
      <c r="C357" s="2462"/>
      <c r="D357" s="2462"/>
      <c r="E357" s="2462"/>
      <c r="F357" s="2462"/>
      <c r="G357" s="2462"/>
      <c r="H357" s="2462"/>
      <c r="I357" s="2579"/>
      <c r="J357" s="2579"/>
      <c r="K357" s="2579"/>
      <c r="L357" s="2579"/>
      <c r="M357" s="2579"/>
      <c r="N357" s="2579"/>
      <c r="O357" s="2579"/>
    </row>
    <row r="358" spans="1:15" s="2463" customFormat="1">
      <c r="A358" s="2462"/>
      <c r="B358" s="2462"/>
      <c r="C358" s="2462"/>
      <c r="D358" s="2462"/>
      <c r="E358" s="2462"/>
      <c r="F358" s="2462"/>
      <c r="G358" s="2462"/>
      <c r="H358" s="2462"/>
      <c r="I358" s="2579"/>
      <c r="J358" s="2579"/>
      <c r="K358" s="2579"/>
      <c r="L358" s="2579"/>
      <c r="M358" s="2579"/>
      <c r="N358" s="2579"/>
      <c r="O358" s="2579"/>
    </row>
    <row r="359" spans="1:15" s="2463" customFormat="1">
      <c r="A359" s="2462"/>
      <c r="B359" s="2462"/>
      <c r="C359" s="2462"/>
      <c r="D359" s="2462"/>
      <c r="E359" s="2462"/>
      <c r="F359" s="2462"/>
      <c r="G359" s="2462"/>
      <c r="H359" s="2462"/>
      <c r="I359" s="2579"/>
      <c r="J359" s="2579"/>
      <c r="K359" s="2579"/>
      <c r="L359" s="2579"/>
      <c r="M359" s="2579"/>
      <c r="N359" s="2579"/>
      <c r="O359" s="2579"/>
    </row>
    <row r="360" spans="1:15" s="2463" customFormat="1">
      <c r="A360" s="2462"/>
      <c r="B360" s="2462"/>
      <c r="C360" s="2462"/>
      <c r="D360" s="2462"/>
      <c r="E360" s="2462"/>
      <c r="F360" s="2462"/>
      <c r="G360" s="2462"/>
      <c r="H360" s="2462"/>
      <c r="I360" s="2579"/>
      <c r="J360" s="2579"/>
      <c r="K360" s="2579"/>
      <c r="L360" s="2579"/>
      <c r="M360" s="2579"/>
      <c r="N360" s="2579"/>
      <c r="O360" s="2579"/>
    </row>
    <row r="361" spans="1:15" s="2463" customFormat="1">
      <c r="A361" s="2462"/>
      <c r="B361" s="2462"/>
      <c r="C361" s="2462"/>
      <c r="D361" s="2462"/>
      <c r="E361" s="2462"/>
      <c r="F361" s="2462"/>
      <c r="G361" s="2462"/>
      <c r="H361" s="2462"/>
      <c r="I361" s="2579"/>
      <c r="J361" s="2579"/>
      <c r="K361" s="2579"/>
      <c r="L361" s="2579"/>
      <c r="M361" s="2579"/>
      <c r="N361" s="2579"/>
      <c r="O361" s="2579"/>
    </row>
    <row r="362" spans="1:15" s="2463" customFormat="1">
      <c r="A362" s="2462"/>
      <c r="B362" s="2462"/>
      <c r="C362" s="2462"/>
      <c r="D362" s="2462"/>
      <c r="E362" s="2462"/>
      <c r="F362" s="2462"/>
      <c r="G362" s="2462"/>
      <c r="H362" s="2462"/>
      <c r="I362" s="2579"/>
      <c r="J362" s="2579"/>
      <c r="K362" s="2579"/>
      <c r="L362" s="2579"/>
      <c r="M362" s="2579"/>
      <c r="N362" s="2579"/>
      <c r="O362" s="2579"/>
    </row>
    <row r="363" spans="1:15" s="2463" customFormat="1">
      <c r="A363" s="2462"/>
      <c r="B363" s="2462"/>
      <c r="C363" s="2462"/>
      <c r="D363" s="2462"/>
      <c r="E363" s="2462"/>
      <c r="F363" s="2462"/>
      <c r="G363" s="2462"/>
      <c r="H363" s="2462"/>
      <c r="I363" s="2579"/>
      <c r="J363" s="2579"/>
      <c r="K363" s="2579"/>
      <c r="L363" s="2579"/>
      <c r="M363" s="2579"/>
      <c r="N363" s="2579"/>
      <c r="O363" s="2579"/>
    </row>
    <row r="364" spans="1:15" s="2463" customFormat="1">
      <c r="A364" s="2462"/>
      <c r="B364" s="2462"/>
      <c r="C364" s="2462"/>
      <c r="D364" s="2462"/>
      <c r="E364" s="2462"/>
      <c r="F364" s="2462"/>
      <c r="G364" s="2462"/>
      <c r="H364" s="2462"/>
      <c r="I364" s="2579"/>
      <c r="J364" s="2579"/>
      <c r="K364" s="2579"/>
      <c r="L364" s="2579"/>
      <c r="M364" s="2579"/>
      <c r="N364" s="2579"/>
      <c r="O364" s="2579"/>
    </row>
    <row r="365" spans="1:15" s="2463" customFormat="1">
      <c r="A365" s="2462"/>
      <c r="B365" s="2462"/>
      <c r="C365" s="2462"/>
      <c r="D365" s="2462"/>
      <c r="E365" s="2462"/>
      <c r="F365" s="2462"/>
      <c r="G365" s="2462"/>
      <c r="H365" s="2462"/>
      <c r="I365" s="2579"/>
      <c r="J365" s="2579"/>
      <c r="K365" s="2579"/>
      <c r="L365" s="2579"/>
      <c r="M365" s="2579"/>
      <c r="N365" s="2579"/>
      <c r="O365" s="2579"/>
    </row>
    <row r="366" spans="1:15" s="2463" customFormat="1">
      <c r="A366" s="2462"/>
      <c r="B366" s="2462"/>
      <c r="C366" s="2462"/>
      <c r="D366" s="2462"/>
      <c r="E366" s="2462"/>
      <c r="F366" s="2462"/>
      <c r="G366" s="2462"/>
      <c r="H366" s="2462"/>
      <c r="I366" s="2579"/>
      <c r="J366" s="2579"/>
      <c r="K366" s="2579"/>
      <c r="L366" s="2579"/>
      <c r="M366" s="2579"/>
      <c r="N366" s="2579"/>
      <c r="O366" s="2579"/>
    </row>
    <row r="367" spans="1:15" s="2463" customFormat="1">
      <c r="A367" s="2462"/>
      <c r="B367" s="2462"/>
      <c r="C367" s="2462"/>
      <c r="D367" s="2462"/>
      <c r="E367" s="2462"/>
      <c r="F367" s="2462"/>
      <c r="G367" s="2462"/>
      <c r="H367" s="2462"/>
      <c r="I367" s="2579"/>
      <c r="J367" s="2579"/>
      <c r="K367" s="2579"/>
      <c r="L367" s="2579"/>
      <c r="M367" s="2579"/>
      <c r="N367" s="2579"/>
      <c r="O367" s="2579"/>
    </row>
    <row r="368" spans="1:15" s="2463" customFormat="1">
      <c r="A368" s="2462"/>
      <c r="B368" s="2462"/>
      <c r="C368" s="2462"/>
      <c r="D368" s="2462"/>
      <c r="E368" s="2462"/>
      <c r="F368" s="2462"/>
      <c r="G368" s="2462"/>
      <c r="H368" s="2462"/>
      <c r="I368" s="2579"/>
      <c r="J368" s="2579"/>
      <c r="K368" s="2579"/>
      <c r="L368" s="2579"/>
      <c r="M368" s="2579"/>
      <c r="N368" s="2579"/>
      <c r="O368" s="2579"/>
    </row>
    <row r="369" spans="1:15" s="2463" customFormat="1">
      <c r="A369" s="2462"/>
      <c r="B369" s="2462"/>
      <c r="C369" s="2462"/>
      <c r="D369" s="2462"/>
      <c r="E369" s="2462"/>
      <c r="F369" s="2462"/>
      <c r="G369" s="2462"/>
      <c r="H369" s="2462"/>
      <c r="I369" s="2579"/>
      <c r="J369" s="2579"/>
      <c r="K369" s="2579"/>
      <c r="L369" s="2579"/>
      <c r="M369" s="2579"/>
      <c r="N369" s="2579"/>
      <c r="O369" s="2579"/>
    </row>
    <row r="370" spans="1:15" s="2463" customFormat="1">
      <c r="A370" s="2462"/>
      <c r="B370" s="2462"/>
      <c r="C370" s="2462"/>
      <c r="D370" s="2462"/>
      <c r="E370" s="2462"/>
      <c r="F370" s="2462"/>
      <c r="G370" s="2462"/>
      <c r="H370" s="2462"/>
      <c r="I370" s="2579"/>
      <c r="J370" s="2579"/>
      <c r="K370" s="2579"/>
      <c r="L370" s="2579"/>
      <c r="M370" s="2579"/>
      <c r="N370" s="2579"/>
      <c r="O370" s="2579"/>
    </row>
    <row r="371" spans="1:15" s="2463" customFormat="1">
      <c r="A371" s="2462"/>
      <c r="B371" s="2462"/>
      <c r="C371" s="2462"/>
      <c r="D371" s="2462"/>
      <c r="E371" s="2462"/>
      <c r="F371" s="2462"/>
      <c r="G371" s="2462"/>
      <c r="H371" s="2462"/>
      <c r="I371" s="2579"/>
      <c r="J371" s="2579"/>
      <c r="K371" s="2579"/>
      <c r="L371" s="2579"/>
      <c r="M371" s="2579"/>
      <c r="N371" s="2579"/>
      <c r="O371" s="2579"/>
    </row>
    <row r="372" spans="1:15" s="2463" customFormat="1">
      <c r="A372" s="2462"/>
      <c r="B372" s="2462"/>
      <c r="C372" s="2462"/>
      <c r="D372" s="2462"/>
      <c r="E372" s="2462"/>
      <c r="F372" s="2462"/>
      <c r="G372" s="2462"/>
      <c r="H372" s="2462"/>
      <c r="I372" s="2579"/>
      <c r="J372" s="2579"/>
      <c r="K372" s="2579"/>
      <c r="L372" s="2579"/>
      <c r="M372" s="2579"/>
      <c r="N372" s="2579"/>
      <c r="O372" s="2579"/>
    </row>
    <row r="373" spans="1:15" s="2463" customFormat="1">
      <c r="A373" s="2462"/>
      <c r="B373" s="2462"/>
      <c r="C373" s="2462"/>
      <c r="D373" s="2462"/>
      <c r="E373" s="2462"/>
      <c r="F373" s="2462"/>
      <c r="G373" s="2462"/>
      <c r="H373" s="2462"/>
      <c r="I373" s="2579"/>
      <c r="J373" s="2579"/>
      <c r="K373" s="2579"/>
      <c r="L373" s="2579"/>
      <c r="M373" s="2579"/>
      <c r="N373" s="2579"/>
      <c r="O373" s="2579"/>
    </row>
    <row r="378" spans="1:15" s="2463" customFormat="1">
      <c r="A378" s="2462"/>
      <c r="B378" s="2462"/>
      <c r="C378" s="2462"/>
      <c r="D378" s="2462"/>
      <c r="E378" s="2462"/>
      <c r="F378" s="2462"/>
      <c r="G378" s="2462"/>
      <c r="H378" s="2462"/>
      <c r="I378" s="2579"/>
      <c r="J378" s="2579"/>
      <c r="K378" s="2579"/>
      <c r="L378" s="2579"/>
      <c r="M378" s="2579"/>
      <c r="N378" s="2579"/>
      <c r="O378" s="2579"/>
    </row>
    <row r="379" spans="1:15" s="2463" customFormat="1">
      <c r="A379" s="2462"/>
      <c r="B379" s="2462"/>
      <c r="C379" s="2462"/>
      <c r="D379" s="2462"/>
      <c r="E379" s="2462"/>
      <c r="F379" s="2462"/>
      <c r="G379" s="2462"/>
      <c r="H379" s="2462"/>
      <c r="I379" s="2579"/>
      <c r="J379" s="2579"/>
      <c r="K379" s="2579"/>
      <c r="L379" s="2579"/>
      <c r="M379" s="2579"/>
      <c r="N379" s="2579"/>
      <c r="O379" s="2579"/>
    </row>
    <row r="380" spans="1:15" s="2463" customFormat="1">
      <c r="A380" s="2462"/>
      <c r="B380" s="2462"/>
      <c r="C380" s="2462"/>
      <c r="D380" s="2462"/>
      <c r="E380" s="2462"/>
      <c r="F380" s="2462"/>
      <c r="G380" s="2462"/>
      <c r="H380" s="2462"/>
      <c r="I380" s="2579"/>
      <c r="J380" s="2579"/>
      <c r="K380" s="2579"/>
      <c r="L380" s="2579"/>
      <c r="M380" s="2579"/>
      <c r="N380" s="2579"/>
      <c r="O380" s="2579"/>
    </row>
    <row r="381" spans="1:15" s="2463" customFormat="1">
      <c r="A381" s="2462"/>
      <c r="B381" s="2462"/>
      <c r="C381" s="2462"/>
      <c r="D381" s="2462"/>
      <c r="E381" s="2462"/>
      <c r="F381" s="2462"/>
      <c r="G381" s="2462"/>
      <c r="H381" s="2462"/>
      <c r="I381" s="2579"/>
      <c r="J381" s="2579"/>
      <c r="K381" s="2579"/>
      <c r="L381" s="2579"/>
      <c r="M381" s="2579"/>
      <c r="N381" s="2579"/>
      <c r="O381" s="2579"/>
    </row>
    <row r="382" spans="1:15" s="2463" customFormat="1">
      <c r="A382" s="2462"/>
      <c r="B382" s="2462"/>
      <c r="C382" s="2462"/>
      <c r="D382" s="2462"/>
      <c r="E382" s="2462"/>
      <c r="F382" s="2462"/>
      <c r="G382" s="2462"/>
      <c r="H382" s="2462"/>
      <c r="I382" s="2579"/>
      <c r="J382" s="2579"/>
      <c r="K382" s="2579"/>
      <c r="L382" s="2579"/>
      <c r="M382" s="2579"/>
      <c r="N382" s="2579"/>
      <c r="O382" s="2579"/>
    </row>
    <row r="383" spans="1:15" s="2463" customFormat="1">
      <c r="A383" s="2462"/>
      <c r="B383" s="2462"/>
      <c r="C383" s="2462"/>
      <c r="D383" s="2462"/>
      <c r="E383" s="2462"/>
      <c r="F383" s="2462"/>
      <c r="G383" s="2462"/>
      <c r="H383" s="2462"/>
      <c r="I383" s="2579"/>
      <c r="J383" s="2579"/>
      <c r="K383" s="2579"/>
      <c r="L383" s="2579"/>
      <c r="M383" s="2579"/>
      <c r="N383" s="2579"/>
      <c r="O383" s="2579"/>
    </row>
    <row r="384" spans="1:15" s="2463" customFormat="1">
      <c r="A384" s="2462"/>
      <c r="B384" s="2462"/>
      <c r="C384" s="2462"/>
      <c r="D384" s="2462"/>
      <c r="E384" s="2462"/>
      <c r="F384" s="2462"/>
      <c r="G384" s="2462"/>
      <c r="H384" s="2462"/>
      <c r="I384" s="2579"/>
      <c r="J384" s="2579"/>
      <c r="K384" s="2579"/>
      <c r="L384" s="2579"/>
      <c r="M384" s="2579"/>
      <c r="N384" s="2579"/>
      <c r="O384" s="2579"/>
    </row>
    <row r="385" spans="1:15" s="2463" customFormat="1">
      <c r="A385" s="2462"/>
      <c r="B385" s="2462"/>
      <c r="C385" s="2462"/>
      <c r="D385" s="2462"/>
      <c r="E385" s="2462"/>
      <c r="F385" s="2462"/>
      <c r="G385" s="2462"/>
      <c r="H385" s="2462"/>
      <c r="I385" s="2579"/>
      <c r="J385" s="2579"/>
      <c r="K385" s="2579"/>
      <c r="L385" s="2579"/>
      <c r="M385" s="2579"/>
      <c r="N385" s="2579"/>
      <c r="O385" s="2579"/>
    </row>
    <row r="386" spans="1:15" s="2463" customFormat="1">
      <c r="A386" s="2462"/>
      <c r="B386" s="2462"/>
      <c r="C386" s="2462"/>
      <c r="D386" s="2462"/>
      <c r="E386" s="2462"/>
      <c r="F386" s="2462"/>
      <c r="G386" s="2462"/>
      <c r="H386" s="2462"/>
      <c r="I386" s="2579"/>
      <c r="J386" s="2579"/>
      <c r="K386" s="2579"/>
      <c r="L386" s="2579"/>
      <c r="M386" s="2579"/>
      <c r="N386" s="2579"/>
      <c r="O386" s="2579"/>
    </row>
    <row r="387" spans="1:15" s="2463" customFormat="1">
      <c r="A387" s="2462"/>
      <c r="B387" s="2462"/>
      <c r="C387" s="2462"/>
      <c r="D387" s="2462"/>
      <c r="E387" s="2462"/>
      <c r="F387" s="2462"/>
      <c r="G387" s="2462"/>
      <c r="H387" s="2462"/>
      <c r="I387" s="2579"/>
      <c r="J387" s="2579"/>
      <c r="K387" s="2579"/>
      <c r="L387" s="2579"/>
      <c r="M387" s="2579"/>
      <c r="N387" s="2579"/>
      <c r="O387" s="2579"/>
    </row>
    <row r="388" spans="1:15" s="2463" customFormat="1">
      <c r="A388" s="2462"/>
      <c r="B388" s="2462"/>
      <c r="C388" s="2462"/>
      <c r="D388" s="2462"/>
      <c r="E388" s="2462"/>
      <c r="F388" s="2462"/>
      <c r="G388" s="2462"/>
      <c r="H388" s="2462"/>
      <c r="I388" s="2579"/>
      <c r="J388" s="2579"/>
      <c r="K388" s="2579"/>
      <c r="L388" s="2579"/>
      <c r="M388" s="2579"/>
      <c r="N388" s="2579"/>
      <c r="O388" s="2579"/>
    </row>
    <row r="389" spans="1:15" s="2463" customFormat="1">
      <c r="A389" s="2462"/>
      <c r="B389" s="2462"/>
      <c r="C389" s="2462"/>
      <c r="D389" s="2462"/>
      <c r="E389" s="2462"/>
      <c r="F389" s="2462"/>
      <c r="G389" s="2462"/>
      <c r="H389" s="2462"/>
      <c r="I389" s="2579"/>
      <c r="J389" s="2579"/>
      <c r="K389" s="2579"/>
      <c r="L389" s="2579"/>
      <c r="M389" s="2579"/>
      <c r="N389" s="2579"/>
      <c r="O389" s="2579"/>
    </row>
    <row r="390" spans="1:15" s="2463" customFormat="1">
      <c r="A390" s="2462"/>
      <c r="B390" s="2462"/>
      <c r="C390" s="2462"/>
      <c r="D390" s="2462"/>
      <c r="E390" s="2462"/>
      <c r="F390" s="2462"/>
      <c r="G390" s="2462"/>
      <c r="H390" s="2462"/>
      <c r="I390" s="2579"/>
      <c r="J390" s="2579"/>
      <c r="K390" s="2579"/>
      <c r="L390" s="2579"/>
      <c r="M390" s="2579"/>
      <c r="N390" s="2579"/>
      <c r="O390" s="2579"/>
    </row>
    <row r="391" spans="1:15" s="2463" customFormat="1">
      <c r="A391" s="2462"/>
      <c r="B391" s="2462"/>
      <c r="C391" s="2462"/>
      <c r="D391" s="2462"/>
      <c r="E391" s="2462"/>
      <c r="F391" s="2462"/>
      <c r="G391" s="2462"/>
      <c r="H391" s="2462"/>
      <c r="I391" s="2579"/>
      <c r="J391" s="2579"/>
      <c r="K391" s="2579"/>
      <c r="L391" s="2579"/>
      <c r="M391" s="2579"/>
      <c r="N391" s="2579"/>
      <c r="O391" s="2579"/>
    </row>
    <row r="392" spans="1:15" s="2463" customFormat="1">
      <c r="A392" s="2462"/>
      <c r="B392" s="2462"/>
      <c r="C392" s="2462"/>
      <c r="D392" s="2462"/>
      <c r="E392" s="2462"/>
      <c r="F392" s="2462"/>
      <c r="G392" s="2462"/>
      <c r="H392" s="2462"/>
      <c r="I392" s="2579"/>
      <c r="J392" s="2579"/>
      <c r="K392" s="2579"/>
      <c r="L392" s="2579"/>
      <c r="M392" s="2579"/>
      <c r="N392" s="2579"/>
      <c r="O392" s="2579"/>
    </row>
    <row r="393" spans="1:15" s="2463" customFormat="1">
      <c r="A393" s="2462"/>
      <c r="B393" s="2462"/>
      <c r="C393" s="2462"/>
      <c r="D393" s="2462"/>
      <c r="E393" s="2462"/>
      <c r="F393" s="2462"/>
      <c r="G393" s="2462"/>
      <c r="H393" s="2462"/>
      <c r="I393" s="2579"/>
      <c r="J393" s="2579"/>
      <c r="K393" s="2579"/>
      <c r="L393" s="2579"/>
      <c r="M393" s="2579"/>
      <c r="N393" s="2579"/>
      <c r="O393" s="2579"/>
    </row>
    <row r="394" spans="1:15" s="2463" customFormat="1">
      <c r="A394" s="2462"/>
      <c r="B394" s="2462"/>
      <c r="C394" s="2462"/>
      <c r="D394" s="2462"/>
      <c r="E394" s="2462"/>
      <c r="F394" s="2462"/>
      <c r="G394" s="2462"/>
      <c r="H394" s="2462"/>
      <c r="I394" s="2579"/>
      <c r="J394" s="2579"/>
      <c r="K394" s="2579"/>
      <c r="L394" s="2579"/>
      <c r="M394" s="2579"/>
      <c r="N394" s="2579"/>
      <c r="O394" s="2579"/>
    </row>
    <row r="395" spans="1:15" s="2463" customFormat="1">
      <c r="A395" s="2462"/>
      <c r="B395" s="2462"/>
      <c r="C395" s="2462"/>
      <c r="D395" s="2462"/>
      <c r="E395" s="2462"/>
      <c r="F395" s="2462"/>
      <c r="G395" s="2462"/>
      <c r="H395" s="2462"/>
      <c r="I395" s="2579"/>
      <c r="J395" s="2579"/>
      <c r="K395" s="2579"/>
      <c r="L395" s="2579"/>
      <c r="M395" s="2579"/>
      <c r="N395" s="2579"/>
      <c r="O395" s="2579"/>
    </row>
    <row r="396" spans="1:15" s="2463" customFormat="1">
      <c r="A396" s="2462"/>
      <c r="B396" s="2462"/>
      <c r="C396" s="2462"/>
      <c r="D396" s="2462"/>
      <c r="E396" s="2462"/>
      <c r="F396" s="2462"/>
      <c r="G396" s="2462"/>
      <c r="H396" s="2462"/>
      <c r="I396" s="2579"/>
      <c r="J396" s="2579"/>
      <c r="K396" s="2579"/>
      <c r="L396" s="2579"/>
      <c r="M396" s="2579"/>
      <c r="N396" s="2579"/>
      <c r="O396" s="2579"/>
    </row>
    <row r="397" spans="1:15" s="2463" customFormat="1">
      <c r="A397" s="2462"/>
      <c r="B397" s="2462"/>
      <c r="C397" s="2462"/>
      <c r="D397" s="2462"/>
      <c r="E397" s="2462"/>
      <c r="F397" s="2462"/>
      <c r="G397" s="2462"/>
      <c r="H397" s="2462"/>
      <c r="I397" s="2579"/>
      <c r="J397" s="2579"/>
      <c r="K397" s="2579"/>
      <c r="L397" s="2579"/>
      <c r="M397" s="2579"/>
      <c r="N397" s="2579"/>
      <c r="O397" s="2579"/>
    </row>
    <row r="398" spans="1:15" s="2463" customFormat="1">
      <c r="A398" s="2462"/>
      <c r="B398" s="2462"/>
      <c r="C398" s="2462"/>
      <c r="D398" s="2462"/>
      <c r="E398" s="2462"/>
      <c r="F398" s="2462"/>
      <c r="G398" s="2462"/>
      <c r="H398" s="2462"/>
      <c r="I398" s="2579"/>
      <c r="J398" s="2579"/>
      <c r="K398" s="2579"/>
      <c r="L398" s="2579"/>
      <c r="M398" s="2579"/>
      <c r="N398" s="2579"/>
      <c r="O398" s="2579"/>
    </row>
    <row r="399" spans="1:15" s="2463" customFormat="1">
      <c r="A399" s="2462"/>
      <c r="B399" s="2462"/>
      <c r="C399" s="2462"/>
      <c r="D399" s="2462"/>
      <c r="E399" s="2462"/>
      <c r="F399" s="2462"/>
      <c r="G399" s="2462"/>
      <c r="H399" s="2462"/>
      <c r="I399" s="2579"/>
      <c r="J399" s="2579"/>
      <c r="K399" s="2579"/>
      <c r="L399" s="2579"/>
      <c r="M399" s="2579"/>
      <c r="N399" s="2579"/>
      <c r="O399" s="2579"/>
    </row>
    <row r="400" spans="1:15" s="2463" customFormat="1">
      <c r="A400" s="2462"/>
      <c r="B400" s="2462"/>
      <c r="C400" s="2462"/>
      <c r="D400" s="2462"/>
      <c r="E400" s="2462"/>
      <c r="F400" s="2462"/>
      <c r="G400" s="2462"/>
      <c r="H400" s="2462"/>
      <c r="I400" s="2579"/>
      <c r="J400" s="2579"/>
      <c r="K400" s="2579"/>
      <c r="L400" s="2579"/>
      <c r="M400" s="2579"/>
      <c r="N400" s="2579"/>
      <c r="O400" s="2579"/>
    </row>
    <row r="401" spans="1:15" s="2463" customFormat="1">
      <c r="A401" s="2462"/>
      <c r="B401" s="2462"/>
      <c r="C401" s="2462"/>
      <c r="D401" s="2462"/>
      <c r="E401" s="2462"/>
      <c r="F401" s="2462"/>
      <c r="G401" s="2462"/>
      <c r="H401" s="2462"/>
      <c r="I401" s="2579"/>
      <c r="J401" s="2579"/>
      <c r="K401" s="2579"/>
      <c r="L401" s="2579"/>
      <c r="M401" s="2579"/>
      <c r="N401" s="2579"/>
      <c r="O401" s="2579"/>
    </row>
    <row r="402" spans="1:15" s="2463" customFormat="1">
      <c r="A402" s="2462"/>
      <c r="B402" s="2462"/>
      <c r="C402" s="2462"/>
      <c r="D402" s="2462"/>
      <c r="E402" s="2462"/>
      <c r="F402" s="2462"/>
      <c r="G402" s="2462"/>
      <c r="H402" s="2462"/>
      <c r="I402" s="2579"/>
      <c r="J402" s="2579"/>
      <c r="K402" s="2579"/>
      <c r="L402" s="2579"/>
      <c r="M402" s="2579"/>
      <c r="N402" s="2579"/>
      <c r="O402" s="2579"/>
    </row>
    <row r="403" spans="1:15" s="2463" customFormat="1">
      <c r="A403" s="2462"/>
      <c r="B403" s="2462"/>
      <c r="C403" s="2462"/>
      <c r="D403" s="2462"/>
      <c r="E403" s="2462"/>
      <c r="F403" s="2462"/>
      <c r="G403" s="2462"/>
      <c r="H403" s="2462"/>
      <c r="I403" s="2579"/>
      <c r="J403" s="2579"/>
      <c r="K403" s="2579"/>
      <c r="L403" s="2579"/>
      <c r="M403" s="2579"/>
      <c r="N403" s="2579"/>
      <c r="O403" s="2579"/>
    </row>
    <row r="404" spans="1:15" s="2463" customFormat="1">
      <c r="A404" s="2462"/>
      <c r="B404" s="2462"/>
      <c r="C404" s="2462"/>
      <c r="D404" s="2462"/>
      <c r="E404" s="2462"/>
      <c r="F404" s="2462"/>
      <c r="G404" s="2462"/>
      <c r="H404" s="2462"/>
      <c r="I404" s="2579"/>
      <c r="J404" s="2579"/>
      <c r="K404" s="2579"/>
      <c r="L404" s="2579"/>
      <c r="M404" s="2579"/>
      <c r="N404" s="2579"/>
      <c r="O404" s="2579"/>
    </row>
    <row r="405" spans="1:15" s="2463" customFormat="1">
      <c r="A405" s="2462"/>
      <c r="B405" s="2462"/>
      <c r="C405" s="2462"/>
      <c r="D405" s="2462"/>
      <c r="E405" s="2462"/>
      <c r="F405" s="2462"/>
      <c r="G405" s="2462"/>
      <c r="H405" s="2462"/>
      <c r="I405" s="2579"/>
      <c r="J405" s="2579"/>
      <c r="K405" s="2579"/>
      <c r="L405" s="2579"/>
      <c r="M405" s="2579"/>
      <c r="N405" s="2579"/>
      <c r="O405" s="2579"/>
    </row>
    <row r="406" spans="1:15" s="2463" customFormat="1">
      <c r="A406" s="2462"/>
      <c r="B406" s="2462"/>
      <c r="C406" s="2462"/>
      <c r="D406" s="2462"/>
      <c r="E406" s="2462"/>
      <c r="F406" s="2462"/>
      <c r="G406" s="2462"/>
      <c r="H406" s="2462"/>
      <c r="I406" s="2579"/>
      <c r="J406" s="2579"/>
      <c r="K406" s="2579"/>
      <c r="L406" s="2579"/>
      <c r="M406" s="2579"/>
      <c r="N406" s="2579"/>
      <c r="O406" s="2579"/>
    </row>
    <row r="407" spans="1:15" s="2463" customFormat="1">
      <c r="A407" s="2462"/>
      <c r="B407" s="2462"/>
      <c r="C407" s="2462"/>
      <c r="D407" s="2462"/>
      <c r="E407" s="2462"/>
      <c r="F407" s="2462"/>
      <c r="G407" s="2462"/>
      <c r="H407" s="2462"/>
      <c r="I407" s="2579"/>
      <c r="J407" s="2579"/>
      <c r="K407" s="2579"/>
      <c r="L407" s="2579"/>
      <c r="M407" s="2579"/>
      <c r="N407" s="2579"/>
      <c r="O407" s="2579"/>
    </row>
    <row r="408" spans="1:15" s="2463" customFormat="1">
      <c r="A408" s="2462"/>
      <c r="B408" s="2462"/>
      <c r="C408" s="2462"/>
      <c r="D408" s="2462"/>
      <c r="E408" s="2462"/>
      <c r="F408" s="2462"/>
      <c r="G408" s="2462"/>
      <c r="H408" s="2462"/>
      <c r="I408" s="2579"/>
      <c r="J408" s="2579"/>
      <c r="K408" s="2579"/>
      <c r="L408" s="2579"/>
      <c r="M408" s="2579"/>
      <c r="N408" s="2579"/>
      <c r="O408" s="2579"/>
    </row>
    <row r="409" spans="1:15" s="2463" customFormat="1">
      <c r="A409" s="2462"/>
      <c r="B409" s="2462"/>
      <c r="C409" s="2462"/>
      <c r="D409" s="2462"/>
      <c r="E409" s="2462"/>
      <c r="F409" s="2462"/>
      <c r="G409" s="2462"/>
      <c r="H409" s="2462"/>
      <c r="I409" s="2579"/>
      <c r="J409" s="2579"/>
      <c r="K409" s="2579"/>
      <c r="L409" s="2579"/>
      <c r="M409" s="2579"/>
      <c r="N409" s="2579"/>
      <c r="O409" s="2579"/>
    </row>
    <row r="410" spans="1:15" s="2463" customFormat="1">
      <c r="A410" s="2462"/>
      <c r="B410" s="2462"/>
      <c r="C410" s="2462"/>
      <c r="D410" s="2462"/>
      <c r="E410" s="2462"/>
      <c r="F410" s="2462"/>
      <c r="G410" s="2462"/>
      <c r="H410" s="2462"/>
      <c r="I410" s="2579"/>
      <c r="J410" s="2579"/>
      <c r="K410" s="2579"/>
      <c r="L410" s="2579"/>
      <c r="M410" s="2579"/>
      <c r="N410" s="2579"/>
      <c r="O410" s="2579"/>
    </row>
    <row r="411" spans="1:15" s="2463" customFormat="1">
      <c r="A411" s="2462"/>
      <c r="B411" s="2462"/>
      <c r="C411" s="2462"/>
      <c r="D411" s="2462"/>
      <c r="E411" s="2462"/>
      <c r="F411" s="2462"/>
      <c r="G411" s="2462"/>
      <c r="H411" s="2462"/>
      <c r="I411" s="2579"/>
      <c r="J411" s="2579"/>
      <c r="K411" s="2579"/>
      <c r="L411" s="2579"/>
      <c r="M411" s="2579"/>
      <c r="N411" s="2579"/>
      <c r="O411" s="2579"/>
    </row>
    <row r="412" spans="1:15" s="2463" customFormat="1">
      <c r="A412" s="2462"/>
      <c r="B412" s="2462"/>
      <c r="C412" s="2462"/>
      <c r="D412" s="2462"/>
      <c r="E412" s="2462"/>
      <c r="F412" s="2462"/>
      <c r="G412" s="2462"/>
      <c r="H412" s="2462"/>
      <c r="I412" s="2579"/>
      <c r="J412" s="2579"/>
      <c r="K412" s="2579"/>
      <c r="L412" s="2579"/>
      <c r="M412" s="2579"/>
      <c r="N412" s="2579"/>
      <c r="O412" s="2579"/>
    </row>
    <row r="413" spans="1:15" s="2463" customFormat="1">
      <c r="A413" s="2462"/>
      <c r="B413" s="2462"/>
      <c r="C413" s="2462"/>
      <c r="D413" s="2462"/>
      <c r="E413" s="2462"/>
      <c r="F413" s="2462"/>
      <c r="G413" s="2462"/>
      <c r="H413" s="2462"/>
      <c r="I413" s="2579"/>
      <c r="J413" s="2579"/>
      <c r="K413" s="2579"/>
      <c r="L413" s="2579"/>
      <c r="M413" s="2579"/>
      <c r="N413" s="2579"/>
      <c r="O413" s="2579"/>
    </row>
    <row r="419" spans="1:15" s="2463" customFormat="1">
      <c r="A419" s="2462"/>
      <c r="B419" s="2462"/>
      <c r="C419" s="2462"/>
      <c r="D419" s="2462"/>
      <c r="E419" s="2462"/>
      <c r="F419" s="2462"/>
      <c r="G419" s="2462"/>
      <c r="H419" s="2462"/>
      <c r="I419" s="2579"/>
      <c r="J419" s="2579"/>
      <c r="K419" s="2579"/>
      <c r="L419" s="2579"/>
      <c r="M419" s="2579"/>
      <c r="N419" s="2579"/>
      <c r="O419" s="2579"/>
    </row>
    <row r="420" spans="1:15" s="2463" customFormat="1">
      <c r="A420" s="2462"/>
      <c r="B420" s="2462"/>
      <c r="C420" s="2462"/>
      <c r="D420" s="2462"/>
      <c r="E420" s="2462"/>
      <c r="F420" s="2462"/>
      <c r="G420" s="2462"/>
      <c r="H420" s="2462"/>
      <c r="I420" s="2579"/>
      <c r="J420" s="2579"/>
      <c r="K420" s="2579"/>
      <c r="L420" s="2579"/>
      <c r="M420" s="2579"/>
      <c r="N420" s="2579"/>
      <c r="O420" s="2579"/>
    </row>
    <row r="421" spans="1:15" s="2463" customFormat="1">
      <c r="A421" s="2462"/>
      <c r="B421" s="2462"/>
      <c r="C421" s="2462"/>
      <c r="D421" s="2462"/>
      <c r="E421" s="2462"/>
      <c r="F421" s="2462"/>
      <c r="G421" s="2462"/>
      <c r="H421" s="2462"/>
      <c r="I421" s="2579"/>
      <c r="J421" s="2579"/>
      <c r="K421" s="2579"/>
      <c r="L421" s="2579"/>
      <c r="M421" s="2579"/>
      <c r="N421" s="2579"/>
      <c r="O421" s="2579"/>
    </row>
    <row r="422" spans="1:15" s="2463" customFormat="1">
      <c r="A422" s="2462"/>
      <c r="B422" s="2462"/>
      <c r="C422" s="2462"/>
      <c r="D422" s="2462"/>
      <c r="E422" s="2462"/>
      <c r="F422" s="2462"/>
      <c r="G422" s="2462"/>
      <c r="H422" s="2462"/>
      <c r="I422" s="2579"/>
      <c r="J422" s="2579"/>
      <c r="K422" s="2579"/>
      <c r="L422" s="2579"/>
      <c r="M422" s="2579"/>
      <c r="N422" s="2579"/>
      <c r="O422" s="2579"/>
    </row>
    <row r="423" spans="1:15" s="2463" customFormat="1">
      <c r="A423" s="2462"/>
      <c r="B423" s="2462"/>
      <c r="C423" s="2462"/>
      <c r="D423" s="2462"/>
      <c r="E423" s="2462"/>
      <c r="F423" s="2462"/>
      <c r="G423" s="2462"/>
      <c r="H423" s="2462"/>
      <c r="I423" s="2579"/>
      <c r="J423" s="2579"/>
      <c r="K423" s="2579"/>
      <c r="L423" s="2579"/>
      <c r="M423" s="2579"/>
      <c r="N423" s="2579"/>
      <c r="O423" s="2579"/>
    </row>
    <row r="424" spans="1:15" s="2463" customFormat="1">
      <c r="A424" s="2462"/>
      <c r="B424" s="2462"/>
      <c r="C424" s="2462"/>
      <c r="D424" s="2462"/>
      <c r="E424" s="2462"/>
      <c r="F424" s="2462"/>
      <c r="G424" s="2462"/>
      <c r="H424" s="2462"/>
      <c r="I424" s="2579"/>
      <c r="J424" s="2579"/>
      <c r="K424" s="2579"/>
      <c r="L424" s="2579"/>
      <c r="M424" s="2579"/>
      <c r="N424" s="2579"/>
      <c r="O424" s="2579"/>
    </row>
    <row r="425" spans="1:15" s="2463" customFormat="1">
      <c r="A425" s="2462"/>
      <c r="B425" s="2462"/>
      <c r="C425" s="2462"/>
      <c r="D425" s="2462"/>
      <c r="E425" s="2462"/>
      <c r="F425" s="2462"/>
      <c r="G425" s="2462"/>
      <c r="H425" s="2462"/>
      <c r="I425" s="2579"/>
      <c r="J425" s="2579"/>
      <c r="K425" s="2579"/>
      <c r="L425" s="2579"/>
      <c r="M425" s="2579"/>
      <c r="N425" s="2579"/>
      <c r="O425" s="2579"/>
    </row>
    <row r="426" spans="1:15" s="2463" customFormat="1">
      <c r="A426" s="2462"/>
      <c r="B426" s="2462"/>
      <c r="C426" s="2462"/>
      <c r="D426" s="2462"/>
      <c r="E426" s="2462"/>
      <c r="F426" s="2462"/>
      <c r="G426" s="2462"/>
      <c r="H426" s="2462"/>
      <c r="I426" s="2579"/>
      <c r="J426" s="2579"/>
      <c r="K426" s="2579"/>
      <c r="L426" s="2579"/>
      <c r="M426" s="2579"/>
      <c r="N426" s="2579"/>
      <c r="O426" s="2579"/>
    </row>
    <row r="427" spans="1:15" s="2463" customFormat="1">
      <c r="A427" s="2462"/>
      <c r="B427" s="2462"/>
      <c r="C427" s="2462"/>
      <c r="D427" s="2462"/>
      <c r="E427" s="2462"/>
      <c r="F427" s="2462"/>
      <c r="G427" s="2462"/>
      <c r="H427" s="2462"/>
      <c r="I427" s="2579"/>
      <c r="J427" s="2579"/>
      <c r="K427" s="2579"/>
      <c r="L427" s="2579"/>
      <c r="M427" s="2579"/>
      <c r="N427" s="2579"/>
      <c r="O427" s="2579"/>
    </row>
    <row r="428" spans="1:15" s="2463" customFormat="1">
      <c r="A428" s="2462"/>
      <c r="B428" s="2462"/>
      <c r="C428" s="2462"/>
      <c r="D428" s="2462"/>
      <c r="E428" s="2462"/>
      <c r="F428" s="2462"/>
      <c r="G428" s="2462"/>
      <c r="H428" s="2462"/>
      <c r="I428" s="2579"/>
      <c r="J428" s="2579"/>
      <c r="K428" s="2579"/>
      <c r="L428" s="2579"/>
      <c r="M428" s="2579"/>
      <c r="N428" s="2579"/>
      <c r="O428" s="2579"/>
    </row>
    <row r="429" spans="1:15" s="2463" customFormat="1">
      <c r="A429" s="2462"/>
      <c r="B429" s="2462"/>
      <c r="C429" s="2462"/>
      <c r="D429" s="2462"/>
      <c r="E429" s="2462"/>
      <c r="F429" s="2462"/>
      <c r="G429" s="2462"/>
      <c r="H429" s="2462"/>
      <c r="I429" s="2579"/>
      <c r="J429" s="2579"/>
      <c r="K429" s="2579"/>
      <c r="L429" s="2579"/>
      <c r="M429" s="2579"/>
      <c r="N429" s="2579"/>
      <c r="O429" s="2579"/>
    </row>
    <row r="430" spans="1:15" s="2463" customFormat="1">
      <c r="A430" s="2462"/>
      <c r="B430" s="2462"/>
      <c r="C430" s="2462"/>
      <c r="D430" s="2462"/>
      <c r="E430" s="2462"/>
      <c r="F430" s="2462"/>
      <c r="G430" s="2462"/>
      <c r="H430" s="2462"/>
      <c r="I430" s="2579"/>
      <c r="J430" s="2579"/>
      <c r="K430" s="2579"/>
      <c r="L430" s="2579"/>
      <c r="M430" s="2579"/>
      <c r="N430" s="2579"/>
      <c r="O430" s="2579"/>
    </row>
    <row r="431" spans="1:15" s="2463" customFormat="1">
      <c r="A431" s="2462"/>
      <c r="B431" s="2462"/>
      <c r="C431" s="2462"/>
      <c r="D431" s="2462"/>
      <c r="E431" s="2462"/>
      <c r="F431" s="2462"/>
      <c r="G431" s="2462"/>
      <c r="H431" s="2462"/>
      <c r="I431" s="2579"/>
      <c r="J431" s="2579"/>
      <c r="K431" s="2579"/>
      <c r="L431" s="2579"/>
      <c r="M431" s="2579"/>
      <c r="N431" s="2579"/>
      <c r="O431" s="2579"/>
    </row>
    <row r="432" spans="1:15" s="2463" customFormat="1">
      <c r="A432" s="2462"/>
      <c r="B432" s="2462"/>
      <c r="C432" s="2462"/>
      <c r="D432" s="2462"/>
      <c r="E432" s="2462"/>
      <c r="F432" s="2462"/>
      <c r="G432" s="2462"/>
      <c r="H432" s="2462"/>
      <c r="I432" s="2579"/>
      <c r="J432" s="2579"/>
      <c r="K432" s="2579"/>
      <c r="L432" s="2579"/>
      <c r="M432" s="2579"/>
      <c r="N432" s="2579"/>
      <c r="O432" s="2579"/>
    </row>
    <row r="433" spans="1:15" s="2463" customFormat="1">
      <c r="A433" s="2462"/>
      <c r="B433" s="2462"/>
      <c r="C433" s="2462"/>
      <c r="D433" s="2462"/>
      <c r="E433" s="2462"/>
      <c r="F433" s="2462"/>
      <c r="G433" s="2462"/>
      <c r="H433" s="2462"/>
      <c r="I433" s="2579"/>
      <c r="J433" s="2579"/>
      <c r="K433" s="2579"/>
      <c r="L433" s="2579"/>
      <c r="M433" s="2579"/>
      <c r="N433" s="2579"/>
      <c r="O433" s="2579"/>
    </row>
    <row r="434" spans="1:15" s="2463" customFormat="1">
      <c r="A434" s="2462"/>
      <c r="B434" s="2462"/>
      <c r="C434" s="2462"/>
      <c r="D434" s="2462"/>
      <c r="E434" s="2462"/>
      <c r="F434" s="2462"/>
      <c r="G434" s="2462"/>
      <c r="H434" s="2462"/>
      <c r="I434" s="2579"/>
      <c r="J434" s="2579"/>
      <c r="K434" s="2579"/>
      <c r="L434" s="2579"/>
      <c r="M434" s="2579"/>
      <c r="N434" s="2579"/>
      <c r="O434" s="2579"/>
    </row>
    <row r="435" spans="1:15" s="2463" customFormat="1">
      <c r="A435" s="2462"/>
      <c r="B435" s="2462"/>
      <c r="C435" s="2462"/>
      <c r="D435" s="2462"/>
      <c r="E435" s="2462"/>
      <c r="F435" s="2462"/>
      <c r="G435" s="2462"/>
      <c r="H435" s="2462"/>
      <c r="I435" s="2579"/>
      <c r="J435" s="2579"/>
      <c r="K435" s="2579"/>
      <c r="L435" s="2579"/>
      <c r="M435" s="2579"/>
      <c r="N435" s="2579"/>
      <c r="O435" s="2579"/>
    </row>
    <row r="436" spans="1:15" s="2463" customFormat="1">
      <c r="A436" s="2462"/>
      <c r="B436" s="2462"/>
      <c r="C436" s="2462"/>
      <c r="D436" s="2462"/>
      <c r="E436" s="2462"/>
      <c r="F436" s="2462"/>
      <c r="G436" s="2462"/>
      <c r="H436" s="2462"/>
      <c r="I436" s="2579"/>
      <c r="J436" s="2579"/>
      <c r="K436" s="2579"/>
      <c r="L436" s="2579"/>
      <c r="M436" s="2579"/>
      <c r="N436" s="2579"/>
      <c r="O436" s="2579"/>
    </row>
    <row r="437" spans="1:15" s="2463" customFormat="1">
      <c r="A437" s="2462"/>
      <c r="B437" s="2462"/>
      <c r="C437" s="2462"/>
      <c r="D437" s="2462"/>
      <c r="E437" s="2462"/>
      <c r="F437" s="2462"/>
      <c r="G437" s="2462"/>
      <c r="H437" s="2462"/>
      <c r="I437" s="2579"/>
      <c r="J437" s="2579"/>
      <c r="K437" s="2579"/>
      <c r="L437" s="2579"/>
      <c r="M437" s="2579"/>
      <c r="N437" s="2579"/>
      <c r="O437" s="2579"/>
    </row>
    <row r="438" spans="1:15" s="2463" customFormat="1">
      <c r="A438" s="2462"/>
      <c r="B438" s="2462"/>
      <c r="C438" s="2462"/>
      <c r="D438" s="2462"/>
      <c r="E438" s="2462"/>
      <c r="F438" s="2462"/>
      <c r="G438" s="2462"/>
      <c r="H438" s="2462"/>
      <c r="I438" s="2579"/>
      <c r="J438" s="2579"/>
      <c r="K438" s="2579"/>
      <c r="L438" s="2579"/>
      <c r="M438" s="2579"/>
      <c r="N438" s="2579"/>
      <c r="O438" s="2579"/>
    </row>
    <row r="439" spans="1:15" s="2463" customFormat="1">
      <c r="A439" s="2462"/>
      <c r="B439" s="2462"/>
      <c r="C439" s="2462"/>
      <c r="D439" s="2462"/>
      <c r="E439" s="2462"/>
      <c r="F439" s="2462"/>
      <c r="G439" s="2462"/>
      <c r="H439" s="2462"/>
      <c r="I439" s="2579"/>
      <c r="J439" s="2579"/>
      <c r="K439" s="2579"/>
      <c r="L439" s="2579"/>
      <c r="M439" s="2579"/>
      <c r="N439" s="2579"/>
      <c r="O439" s="2579"/>
    </row>
    <row r="440" spans="1:15" s="2463" customFormat="1">
      <c r="A440" s="2462"/>
      <c r="B440" s="2462"/>
      <c r="C440" s="2462"/>
      <c r="D440" s="2462"/>
      <c r="E440" s="2462"/>
      <c r="F440" s="2462"/>
      <c r="G440" s="2462"/>
      <c r="H440" s="2462"/>
      <c r="I440" s="2579"/>
      <c r="J440" s="2579"/>
      <c r="K440" s="2579"/>
      <c r="L440" s="2579"/>
      <c r="M440" s="2579"/>
      <c r="N440" s="2579"/>
      <c r="O440" s="2579"/>
    </row>
    <row r="441" spans="1:15" s="2463" customFormat="1">
      <c r="A441" s="2462"/>
      <c r="B441" s="2462"/>
      <c r="C441" s="2462"/>
      <c r="D441" s="2462"/>
      <c r="E441" s="2462"/>
      <c r="F441" s="2462"/>
      <c r="G441" s="2462"/>
      <c r="H441" s="2462"/>
      <c r="I441" s="2579"/>
      <c r="J441" s="2579"/>
      <c r="K441" s="2579"/>
      <c r="L441" s="2579"/>
      <c r="M441" s="2579"/>
      <c r="N441" s="2579"/>
      <c r="O441" s="2579"/>
    </row>
    <row r="442" spans="1:15" s="2463" customFormat="1">
      <c r="A442" s="2462"/>
      <c r="B442" s="2462"/>
      <c r="C442" s="2462"/>
      <c r="D442" s="2462"/>
      <c r="E442" s="2462"/>
      <c r="F442" s="2462"/>
      <c r="G442" s="2462"/>
      <c r="H442" s="2462"/>
      <c r="I442" s="2579"/>
      <c r="J442" s="2579"/>
      <c r="K442" s="2579"/>
      <c r="L442" s="2579"/>
      <c r="M442" s="2579"/>
      <c r="N442" s="2579"/>
      <c r="O442" s="2579"/>
    </row>
    <row r="443" spans="1:15" s="2463" customFormat="1">
      <c r="A443" s="2462"/>
      <c r="B443" s="2462"/>
      <c r="C443" s="2462"/>
      <c r="D443" s="2462"/>
      <c r="E443" s="2462"/>
      <c r="F443" s="2462"/>
      <c r="G443" s="2462"/>
      <c r="H443" s="2462"/>
      <c r="I443" s="2579"/>
      <c r="J443" s="2579"/>
      <c r="K443" s="2579"/>
      <c r="L443" s="2579"/>
      <c r="M443" s="2579"/>
      <c r="N443" s="2579"/>
      <c r="O443" s="2579"/>
    </row>
    <row r="444" spans="1:15" s="2463" customFormat="1">
      <c r="A444" s="2462"/>
      <c r="B444" s="2462"/>
      <c r="C444" s="2462"/>
      <c r="D444" s="2462"/>
      <c r="E444" s="2462"/>
      <c r="F444" s="2462"/>
      <c r="G444" s="2462"/>
      <c r="H444" s="2462"/>
      <c r="I444" s="2579"/>
      <c r="J444" s="2579"/>
      <c r="K444" s="2579"/>
      <c r="L444" s="2579"/>
      <c r="M444" s="2579"/>
      <c r="N444" s="2579"/>
      <c r="O444" s="2579"/>
    </row>
    <row r="445" spans="1:15" s="2463" customFormat="1">
      <c r="A445" s="2462"/>
      <c r="B445" s="2462"/>
      <c r="C445" s="2462"/>
      <c r="D445" s="2462"/>
      <c r="E445" s="2462"/>
      <c r="F445" s="2462"/>
      <c r="G445" s="2462"/>
      <c r="H445" s="2462"/>
      <c r="I445" s="2579"/>
      <c r="J445" s="2579"/>
      <c r="K445" s="2579"/>
      <c r="L445" s="2579"/>
      <c r="M445" s="2579"/>
      <c r="N445" s="2579"/>
      <c r="O445" s="2579"/>
    </row>
    <row r="446" spans="1:15" s="2463" customFormat="1">
      <c r="A446" s="2462"/>
      <c r="B446" s="2462"/>
      <c r="C446" s="2462"/>
      <c r="D446" s="2462"/>
      <c r="E446" s="2462"/>
      <c r="F446" s="2462"/>
      <c r="G446" s="2462"/>
      <c r="H446" s="2462"/>
      <c r="I446" s="2579"/>
      <c r="J446" s="2579"/>
      <c r="K446" s="2579"/>
      <c r="L446" s="2579"/>
      <c r="M446" s="2579"/>
      <c r="N446" s="2579"/>
      <c r="O446" s="2579"/>
    </row>
    <row r="447" spans="1:15" s="2463" customFormat="1">
      <c r="A447" s="2462"/>
      <c r="B447" s="2462"/>
      <c r="C447" s="2462"/>
      <c r="D447" s="2462"/>
      <c r="E447" s="2462"/>
      <c r="F447" s="2462"/>
      <c r="G447" s="2462"/>
      <c r="H447" s="2462"/>
      <c r="I447" s="2579"/>
      <c r="J447" s="2579"/>
      <c r="K447" s="2579"/>
      <c r="L447" s="2579"/>
      <c r="M447" s="2579"/>
      <c r="N447" s="2579"/>
      <c r="O447" s="2579"/>
    </row>
    <row r="448" spans="1:15" s="2463" customFormat="1">
      <c r="A448" s="2462"/>
      <c r="B448" s="2462"/>
      <c r="C448" s="2462"/>
      <c r="D448" s="2462"/>
      <c r="E448" s="2462"/>
      <c r="F448" s="2462"/>
      <c r="G448" s="2462"/>
      <c r="H448" s="2462"/>
      <c r="I448" s="2579"/>
      <c r="J448" s="2579"/>
      <c r="K448" s="2579"/>
      <c r="L448" s="2579"/>
      <c r="M448" s="2579"/>
      <c r="N448" s="2579"/>
      <c r="O448" s="2579"/>
    </row>
    <row r="449" spans="1:15" s="2463" customFormat="1">
      <c r="A449" s="2462"/>
      <c r="B449" s="2462"/>
      <c r="C449" s="2462"/>
      <c r="D449" s="2462"/>
      <c r="E449" s="2462"/>
      <c r="F449" s="2462"/>
      <c r="G449" s="2462"/>
      <c r="H449" s="2462"/>
      <c r="I449" s="2579"/>
      <c r="J449" s="2579"/>
      <c r="K449" s="2579"/>
      <c r="L449" s="2579"/>
      <c r="M449" s="2579"/>
      <c r="N449" s="2579"/>
      <c r="O449" s="2579"/>
    </row>
    <row r="450" spans="1:15" s="2463" customFormat="1">
      <c r="A450" s="2462"/>
      <c r="B450" s="2462"/>
      <c r="C450" s="2462"/>
      <c r="D450" s="2462"/>
      <c r="E450" s="2462"/>
      <c r="F450" s="2462"/>
      <c r="G450" s="2462"/>
      <c r="H450" s="2462"/>
      <c r="I450" s="2579"/>
      <c r="J450" s="2579"/>
      <c r="K450" s="2579"/>
      <c r="L450" s="2579"/>
      <c r="M450" s="2579"/>
      <c r="N450" s="2579"/>
      <c r="O450" s="2579"/>
    </row>
    <row r="451" spans="1:15" s="2463" customFormat="1">
      <c r="A451" s="2462"/>
      <c r="B451" s="2462"/>
      <c r="C451" s="2462"/>
      <c r="D451" s="2462"/>
      <c r="E451" s="2462"/>
      <c r="F451" s="2462"/>
      <c r="G451" s="2462"/>
      <c r="H451" s="2462"/>
      <c r="I451" s="2579"/>
      <c r="J451" s="2579"/>
      <c r="K451" s="2579"/>
      <c r="L451" s="2579"/>
      <c r="M451" s="2579"/>
      <c r="N451" s="2579"/>
      <c r="O451" s="2579"/>
    </row>
    <row r="452" spans="1:15" s="2463" customFormat="1">
      <c r="A452" s="2462"/>
      <c r="B452" s="2462"/>
      <c r="C452" s="2462"/>
      <c r="D452" s="2462"/>
      <c r="E452" s="2462"/>
      <c r="F452" s="2462"/>
      <c r="G452" s="2462"/>
      <c r="H452" s="2462"/>
      <c r="I452" s="2579"/>
      <c r="J452" s="2579"/>
      <c r="K452" s="2579"/>
      <c r="L452" s="2579"/>
      <c r="M452" s="2579"/>
      <c r="N452" s="2579"/>
      <c r="O452" s="2579"/>
    </row>
    <row r="453" spans="1:15" s="2463" customFormat="1">
      <c r="A453" s="2462"/>
      <c r="B453" s="2462"/>
      <c r="C453" s="2462"/>
      <c r="D453" s="2462"/>
      <c r="E453" s="2462"/>
      <c r="F453" s="2462"/>
      <c r="G453" s="2462"/>
      <c r="H453" s="2462"/>
      <c r="I453" s="2579"/>
      <c r="J453" s="2579"/>
      <c r="K453" s="2579"/>
      <c r="L453" s="2579"/>
      <c r="M453" s="2579"/>
      <c r="N453" s="2579"/>
      <c r="O453" s="2579"/>
    </row>
    <row r="454" spans="1:15" s="2463" customFormat="1">
      <c r="A454" s="2462"/>
      <c r="B454" s="2462"/>
      <c r="C454" s="2462"/>
      <c r="D454" s="2462"/>
      <c r="E454" s="2462"/>
      <c r="F454" s="2462"/>
      <c r="G454" s="2462"/>
      <c r="H454" s="2462"/>
      <c r="I454" s="2579"/>
      <c r="J454" s="2579"/>
      <c r="K454" s="2579"/>
      <c r="L454" s="2579"/>
      <c r="M454" s="2579"/>
      <c r="N454" s="2579"/>
      <c r="O454" s="2579"/>
    </row>
    <row r="455" spans="1:15" s="2463" customFormat="1">
      <c r="A455" s="2462"/>
      <c r="B455" s="2462"/>
      <c r="C455" s="2462"/>
      <c r="D455" s="2462"/>
      <c r="E455" s="2462"/>
      <c r="F455" s="2462"/>
      <c r="G455" s="2462"/>
      <c r="H455" s="2462"/>
      <c r="I455" s="2579"/>
      <c r="J455" s="2579"/>
      <c r="K455" s="2579"/>
      <c r="L455" s="2579"/>
      <c r="M455" s="2579"/>
      <c r="N455" s="2579"/>
      <c r="O455" s="2579"/>
    </row>
    <row r="456" spans="1:15" s="2463" customFormat="1">
      <c r="A456" s="2462"/>
      <c r="B456" s="2462"/>
      <c r="C456" s="2462"/>
      <c r="D456" s="2462"/>
      <c r="E456" s="2462"/>
      <c r="F456" s="2462"/>
      <c r="G456" s="2462"/>
      <c r="H456" s="2462"/>
      <c r="I456" s="2579"/>
      <c r="J456" s="2579"/>
      <c r="K456" s="2579"/>
      <c r="L456" s="2579"/>
      <c r="M456" s="2579"/>
      <c r="N456" s="2579"/>
      <c r="O456" s="2579"/>
    </row>
    <row r="461" spans="1:15" s="2463" customFormat="1">
      <c r="A461" s="2462"/>
      <c r="B461" s="2462"/>
      <c r="C461" s="2462"/>
      <c r="D461" s="2462"/>
      <c r="E461" s="2462"/>
      <c r="F461" s="2462"/>
      <c r="G461" s="2462"/>
      <c r="H461" s="2462"/>
      <c r="I461" s="2579"/>
      <c r="J461" s="2579"/>
      <c r="K461" s="2579"/>
      <c r="L461" s="2579"/>
      <c r="M461" s="2579"/>
      <c r="N461" s="2579"/>
      <c r="O461" s="2579"/>
    </row>
    <row r="462" spans="1:15" s="2463" customFormat="1">
      <c r="A462" s="2462"/>
      <c r="B462" s="2462"/>
      <c r="C462" s="2462"/>
      <c r="D462" s="2462"/>
      <c r="E462" s="2462"/>
      <c r="F462" s="2462"/>
      <c r="G462" s="2462"/>
      <c r="H462" s="2462"/>
      <c r="I462" s="2579"/>
      <c r="J462" s="2579"/>
      <c r="K462" s="2579"/>
      <c r="L462" s="2579"/>
      <c r="M462" s="2579"/>
      <c r="N462" s="2579"/>
      <c r="O462" s="2579"/>
    </row>
    <row r="463" spans="1:15" s="2463" customFormat="1">
      <c r="A463" s="2462"/>
      <c r="B463" s="2462"/>
      <c r="C463" s="2462"/>
      <c r="D463" s="2462"/>
      <c r="E463" s="2462"/>
      <c r="F463" s="2462"/>
      <c r="G463" s="2462"/>
      <c r="H463" s="2462"/>
      <c r="I463" s="2579"/>
      <c r="J463" s="2579"/>
      <c r="K463" s="2579"/>
      <c r="L463" s="2579"/>
      <c r="M463" s="2579"/>
      <c r="N463" s="2579"/>
      <c r="O463" s="2579"/>
    </row>
    <row r="464" spans="1:15" s="2463" customFormat="1">
      <c r="A464" s="2462"/>
      <c r="B464" s="2462"/>
      <c r="C464" s="2462"/>
      <c r="D464" s="2462"/>
      <c r="E464" s="2462"/>
      <c r="F464" s="2462"/>
      <c r="G464" s="2462"/>
      <c r="H464" s="2462"/>
      <c r="I464" s="2579"/>
      <c r="J464" s="2579"/>
      <c r="K464" s="2579"/>
      <c r="L464" s="2579"/>
      <c r="M464" s="2579"/>
      <c r="N464" s="2579"/>
      <c r="O464" s="2579"/>
    </row>
    <row r="465" spans="1:15" s="2463" customFormat="1">
      <c r="A465" s="2462"/>
      <c r="B465" s="2462"/>
      <c r="C465" s="2462"/>
      <c r="D465" s="2462"/>
      <c r="E465" s="2462"/>
      <c r="F465" s="2462"/>
      <c r="G465" s="2462"/>
      <c r="H465" s="2462"/>
      <c r="I465" s="2579"/>
      <c r="J465" s="2579"/>
      <c r="K465" s="2579"/>
      <c r="L465" s="2579"/>
      <c r="M465" s="2579"/>
      <c r="N465" s="2579"/>
      <c r="O465" s="2579"/>
    </row>
    <row r="466" spans="1:15" s="2463" customFormat="1">
      <c r="A466" s="2462"/>
      <c r="B466" s="2462"/>
      <c r="C466" s="2462"/>
      <c r="D466" s="2462"/>
      <c r="E466" s="2462"/>
      <c r="F466" s="2462"/>
      <c r="G466" s="2462"/>
      <c r="H466" s="2462"/>
      <c r="I466" s="2579"/>
      <c r="J466" s="2579"/>
      <c r="K466" s="2579"/>
      <c r="L466" s="2579"/>
      <c r="M466" s="2579"/>
      <c r="N466" s="2579"/>
      <c r="O466" s="2579"/>
    </row>
    <row r="467" spans="1:15" s="2463" customFormat="1">
      <c r="A467" s="2462"/>
      <c r="B467" s="2462"/>
      <c r="C467" s="2462"/>
      <c r="D467" s="2462"/>
      <c r="E467" s="2462"/>
      <c r="F467" s="2462"/>
      <c r="G467" s="2462"/>
      <c r="H467" s="2462"/>
      <c r="I467" s="2579"/>
      <c r="J467" s="2579"/>
      <c r="K467" s="2579"/>
      <c r="L467" s="2579"/>
      <c r="M467" s="2579"/>
      <c r="N467" s="2579"/>
      <c r="O467" s="2579"/>
    </row>
    <row r="468" spans="1:15" s="2463" customFormat="1">
      <c r="A468" s="2462"/>
      <c r="B468" s="2462"/>
      <c r="C468" s="2462"/>
      <c r="D468" s="2462"/>
      <c r="E468" s="2462"/>
      <c r="F468" s="2462"/>
      <c r="G468" s="2462"/>
      <c r="H468" s="2462"/>
      <c r="I468" s="2579"/>
      <c r="J468" s="2579"/>
      <c r="K468" s="2579"/>
      <c r="L468" s="2579"/>
      <c r="M468" s="2579"/>
      <c r="N468" s="2579"/>
      <c r="O468" s="2579"/>
    </row>
    <row r="469" spans="1:15" s="2463" customFormat="1">
      <c r="A469" s="2462"/>
      <c r="B469" s="2462"/>
      <c r="C469" s="2462"/>
      <c r="D469" s="2462"/>
      <c r="E469" s="2462"/>
      <c r="F469" s="2462"/>
      <c r="G469" s="2462"/>
      <c r="H469" s="2462"/>
      <c r="I469" s="2579"/>
      <c r="J469" s="2579"/>
      <c r="K469" s="2579"/>
      <c r="L469" s="2579"/>
      <c r="M469" s="2579"/>
      <c r="N469" s="2579"/>
      <c r="O469" s="2579"/>
    </row>
    <row r="470" spans="1:15" s="2463" customFormat="1">
      <c r="A470" s="2462"/>
      <c r="B470" s="2462"/>
      <c r="C470" s="2462"/>
      <c r="D470" s="2462"/>
      <c r="E470" s="2462"/>
      <c r="F470" s="2462"/>
      <c r="G470" s="2462"/>
      <c r="H470" s="2462"/>
      <c r="I470" s="2579"/>
      <c r="J470" s="2579"/>
      <c r="K470" s="2579"/>
      <c r="L470" s="2579"/>
      <c r="M470" s="2579"/>
      <c r="N470" s="2579"/>
      <c r="O470" s="2579"/>
    </row>
    <row r="471" spans="1:15" s="2463" customFormat="1">
      <c r="A471" s="2462"/>
      <c r="B471" s="2462"/>
      <c r="C471" s="2462"/>
      <c r="D471" s="2462"/>
      <c r="E471" s="2462"/>
      <c r="F471" s="2462"/>
      <c r="G471" s="2462"/>
      <c r="H471" s="2462"/>
      <c r="I471" s="2579"/>
      <c r="J471" s="2579"/>
      <c r="K471" s="2579"/>
      <c r="L471" s="2579"/>
      <c r="M471" s="2579"/>
      <c r="N471" s="2579"/>
      <c r="O471" s="2579"/>
    </row>
    <row r="472" spans="1:15" s="2463" customFormat="1">
      <c r="A472" s="2462"/>
      <c r="B472" s="2462"/>
      <c r="C472" s="2462"/>
      <c r="D472" s="2462"/>
      <c r="E472" s="2462"/>
      <c r="F472" s="2462"/>
      <c r="G472" s="2462"/>
      <c r="H472" s="2462"/>
      <c r="I472" s="2579"/>
      <c r="J472" s="2579"/>
      <c r="K472" s="2579"/>
      <c r="L472" s="2579"/>
      <c r="M472" s="2579"/>
      <c r="N472" s="2579"/>
      <c r="O472" s="2579"/>
    </row>
    <row r="473" spans="1:15" s="2463" customFormat="1">
      <c r="A473" s="2462"/>
      <c r="B473" s="2462"/>
      <c r="C473" s="2462"/>
      <c r="D473" s="2462"/>
      <c r="E473" s="2462"/>
      <c r="F473" s="2462"/>
      <c r="G473" s="2462"/>
      <c r="H473" s="2462"/>
      <c r="I473" s="2579"/>
      <c r="J473" s="2579"/>
      <c r="K473" s="2579"/>
      <c r="L473" s="2579"/>
      <c r="M473" s="2579"/>
      <c r="N473" s="2579"/>
      <c r="O473" s="2579"/>
    </row>
    <row r="474" spans="1:15" s="2463" customFormat="1">
      <c r="A474" s="2462"/>
      <c r="B474" s="2462"/>
      <c r="C474" s="2462"/>
      <c r="D474" s="2462"/>
      <c r="E474" s="2462"/>
      <c r="F474" s="2462"/>
      <c r="G474" s="2462"/>
      <c r="H474" s="2462"/>
      <c r="I474" s="2579"/>
      <c r="J474" s="2579"/>
      <c r="K474" s="2579"/>
      <c r="L474" s="2579"/>
      <c r="M474" s="2579"/>
      <c r="N474" s="2579"/>
      <c r="O474" s="2579"/>
    </row>
    <row r="475" spans="1:15" s="2463" customFormat="1">
      <c r="A475" s="2462"/>
      <c r="B475" s="2462"/>
      <c r="C475" s="2462"/>
      <c r="D475" s="2462"/>
      <c r="E475" s="2462"/>
      <c r="F475" s="2462"/>
      <c r="G475" s="2462"/>
      <c r="H475" s="2462"/>
      <c r="I475" s="2579"/>
      <c r="J475" s="2579"/>
      <c r="K475" s="2579"/>
      <c r="L475" s="2579"/>
      <c r="M475" s="2579"/>
      <c r="N475" s="2579"/>
      <c r="O475" s="2579"/>
    </row>
    <row r="476" spans="1:15" s="2463" customFormat="1">
      <c r="A476" s="2462"/>
      <c r="B476" s="2462"/>
      <c r="C476" s="2462"/>
      <c r="D476" s="2462"/>
      <c r="E476" s="2462"/>
      <c r="F476" s="2462"/>
      <c r="G476" s="2462"/>
      <c r="H476" s="2462"/>
      <c r="I476" s="2579"/>
      <c r="J476" s="2579"/>
      <c r="K476" s="2579"/>
      <c r="L476" s="2579"/>
      <c r="M476" s="2579"/>
      <c r="N476" s="2579"/>
      <c r="O476" s="2579"/>
    </row>
    <row r="477" spans="1:15" s="2463" customFormat="1">
      <c r="A477" s="2462"/>
      <c r="B477" s="2462"/>
      <c r="C477" s="2462"/>
      <c r="D477" s="2462"/>
      <c r="E477" s="2462"/>
      <c r="F477" s="2462"/>
      <c r="G477" s="2462"/>
      <c r="H477" s="2462"/>
      <c r="I477" s="2579"/>
      <c r="J477" s="2579"/>
      <c r="K477" s="2579"/>
      <c r="L477" s="2579"/>
      <c r="M477" s="2579"/>
      <c r="N477" s="2579"/>
      <c r="O477" s="2579"/>
    </row>
    <row r="478" spans="1:15" s="2463" customFormat="1">
      <c r="A478" s="2462"/>
      <c r="B478" s="2462"/>
      <c r="C478" s="2462"/>
      <c r="D478" s="2462"/>
      <c r="E478" s="2462"/>
      <c r="F478" s="2462"/>
      <c r="G478" s="2462"/>
      <c r="H478" s="2462"/>
      <c r="I478" s="2579"/>
      <c r="J478" s="2579"/>
      <c r="K478" s="2579"/>
      <c r="L478" s="2579"/>
      <c r="M478" s="2579"/>
      <c r="N478" s="2579"/>
      <c r="O478" s="2579"/>
    </row>
    <row r="479" spans="1:15" s="2463" customFormat="1">
      <c r="A479" s="2462"/>
      <c r="B479" s="2462"/>
      <c r="C479" s="2462"/>
      <c r="D479" s="2462"/>
      <c r="E479" s="2462"/>
      <c r="F479" s="2462"/>
      <c r="G479" s="2462"/>
      <c r="H479" s="2462"/>
      <c r="I479" s="2579"/>
      <c r="J479" s="2579"/>
      <c r="K479" s="2579"/>
      <c r="L479" s="2579"/>
      <c r="M479" s="2579"/>
      <c r="N479" s="2579"/>
      <c r="O479" s="2579"/>
    </row>
    <row r="480" spans="1:15" s="2463" customFormat="1">
      <c r="A480" s="2462"/>
      <c r="B480" s="2462"/>
      <c r="C480" s="2462"/>
      <c r="D480" s="2462"/>
      <c r="E480" s="2462"/>
      <c r="F480" s="2462"/>
      <c r="G480" s="2462"/>
      <c r="H480" s="2462"/>
      <c r="I480" s="2579"/>
      <c r="J480" s="2579"/>
      <c r="K480" s="2579"/>
      <c r="L480" s="2579"/>
      <c r="M480" s="2579"/>
      <c r="N480" s="2579"/>
      <c r="O480" s="2579"/>
    </row>
    <row r="481" spans="1:15" s="2463" customFormat="1">
      <c r="A481" s="2462"/>
      <c r="B481" s="2462"/>
      <c r="C481" s="2462"/>
      <c r="D481" s="2462"/>
      <c r="E481" s="2462"/>
      <c r="F481" s="2462"/>
      <c r="G481" s="2462"/>
      <c r="H481" s="2462"/>
      <c r="I481" s="2579"/>
      <c r="J481" s="2579"/>
      <c r="K481" s="2579"/>
      <c r="L481" s="2579"/>
      <c r="M481" s="2579"/>
      <c r="N481" s="2579"/>
      <c r="O481" s="2579"/>
    </row>
    <row r="482" spans="1:15" s="2463" customFormat="1">
      <c r="A482" s="2462"/>
      <c r="B482" s="2462"/>
      <c r="C482" s="2462"/>
      <c r="D482" s="2462"/>
      <c r="E482" s="2462"/>
      <c r="F482" s="2462"/>
      <c r="G482" s="2462"/>
      <c r="H482" s="2462"/>
      <c r="I482" s="2579"/>
      <c r="J482" s="2579"/>
      <c r="K482" s="2579"/>
      <c r="L482" s="2579"/>
      <c r="M482" s="2579"/>
      <c r="N482" s="2579"/>
      <c r="O482" s="2579"/>
    </row>
    <row r="483" spans="1:15" s="2463" customFormat="1">
      <c r="A483" s="2462"/>
      <c r="B483" s="2462"/>
      <c r="C483" s="2462"/>
      <c r="D483" s="2462"/>
      <c r="E483" s="2462"/>
      <c r="F483" s="2462"/>
      <c r="G483" s="2462"/>
      <c r="H483" s="2462"/>
      <c r="I483" s="2579"/>
      <c r="J483" s="2579"/>
      <c r="K483" s="2579"/>
      <c r="L483" s="2579"/>
      <c r="M483" s="2579"/>
      <c r="N483" s="2579"/>
      <c r="O483" s="2579"/>
    </row>
    <row r="484" spans="1:15" s="2463" customFormat="1">
      <c r="A484" s="2462"/>
      <c r="B484" s="2462"/>
      <c r="C484" s="2462"/>
      <c r="D484" s="2462"/>
      <c r="E484" s="2462"/>
      <c r="F484" s="2462"/>
      <c r="G484" s="2462"/>
      <c r="H484" s="2462"/>
      <c r="I484" s="2579"/>
      <c r="J484" s="2579"/>
      <c r="K484" s="2579"/>
      <c r="L484" s="2579"/>
      <c r="M484" s="2579"/>
      <c r="N484" s="2579"/>
      <c r="O484" s="2579"/>
    </row>
    <row r="485" spans="1:15" s="2463" customFormat="1">
      <c r="A485" s="2462"/>
      <c r="B485" s="2462"/>
      <c r="C485" s="2462"/>
      <c r="D485" s="2462"/>
      <c r="E485" s="2462"/>
      <c r="F485" s="2462"/>
      <c r="G485" s="2462"/>
      <c r="H485" s="2462"/>
      <c r="I485" s="2579"/>
      <c r="J485" s="2579"/>
      <c r="K485" s="2579"/>
      <c r="L485" s="2579"/>
      <c r="M485" s="2579"/>
      <c r="N485" s="2579"/>
      <c r="O485" s="2579"/>
    </row>
    <row r="486" spans="1:15" s="2463" customFormat="1">
      <c r="A486" s="2462"/>
      <c r="B486" s="2462"/>
      <c r="C486" s="2462"/>
      <c r="D486" s="2462"/>
      <c r="E486" s="2462"/>
      <c r="F486" s="2462"/>
      <c r="G486" s="2462"/>
      <c r="H486" s="2462"/>
      <c r="I486" s="2579"/>
      <c r="J486" s="2579"/>
      <c r="K486" s="2579"/>
      <c r="L486" s="2579"/>
      <c r="M486" s="2579"/>
      <c r="N486" s="2579"/>
      <c r="O486" s="2579"/>
    </row>
    <row r="487" spans="1:15" s="2463" customFormat="1">
      <c r="A487" s="2462"/>
      <c r="B487" s="2462"/>
      <c r="C487" s="2462"/>
      <c r="D487" s="2462"/>
      <c r="E487" s="2462"/>
      <c r="F487" s="2462"/>
      <c r="G487" s="2462"/>
      <c r="H487" s="2462"/>
      <c r="I487" s="2579"/>
      <c r="J487" s="2579"/>
      <c r="K487" s="2579"/>
      <c r="L487" s="2579"/>
      <c r="M487" s="2579"/>
      <c r="N487" s="2579"/>
      <c r="O487" s="2579"/>
    </row>
    <row r="488" spans="1:15" s="2463" customFormat="1">
      <c r="A488" s="2462"/>
      <c r="B488" s="2462"/>
      <c r="C488" s="2462"/>
      <c r="D488" s="2462"/>
      <c r="E488" s="2462"/>
      <c r="F488" s="2462"/>
      <c r="G488" s="2462"/>
      <c r="H488" s="2462"/>
      <c r="I488" s="2579"/>
      <c r="J488" s="2579"/>
      <c r="K488" s="2579"/>
      <c r="L488" s="2579"/>
      <c r="M488" s="2579"/>
      <c r="N488" s="2579"/>
      <c r="O488" s="2579"/>
    </row>
    <row r="489" spans="1:15" s="2463" customFormat="1">
      <c r="A489" s="2462"/>
      <c r="B489" s="2462"/>
      <c r="C489" s="2462"/>
      <c r="D489" s="2462"/>
      <c r="E489" s="2462"/>
      <c r="F489" s="2462"/>
      <c r="G489" s="2462"/>
      <c r="H489" s="2462"/>
      <c r="I489" s="2579"/>
      <c r="J489" s="2579"/>
      <c r="K489" s="2579"/>
      <c r="L489" s="2579"/>
      <c r="M489" s="2579"/>
      <c r="N489" s="2579"/>
      <c r="O489" s="2579"/>
    </row>
    <row r="490" spans="1:15" s="2463" customFormat="1">
      <c r="A490" s="2462"/>
      <c r="B490" s="2462"/>
      <c r="C490" s="2462"/>
      <c r="D490" s="2462"/>
      <c r="E490" s="2462"/>
      <c r="F490" s="2462"/>
      <c r="G490" s="2462"/>
      <c r="H490" s="2462"/>
      <c r="I490" s="2579"/>
      <c r="J490" s="2579"/>
      <c r="K490" s="2579"/>
      <c r="L490" s="2579"/>
      <c r="M490" s="2579"/>
      <c r="N490" s="2579"/>
      <c r="O490" s="2579"/>
    </row>
    <row r="491" spans="1:15" s="2463" customFormat="1">
      <c r="A491" s="2462"/>
      <c r="B491" s="2462"/>
      <c r="C491" s="2462"/>
      <c r="D491" s="2462"/>
      <c r="E491" s="2462"/>
      <c r="F491" s="2462"/>
      <c r="G491" s="2462"/>
      <c r="H491" s="2462"/>
      <c r="I491" s="2579"/>
      <c r="J491" s="2579"/>
      <c r="K491" s="2579"/>
      <c r="L491" s="2579"/>
      <c r="M491" s="2579"/>
      <c r="N491" s="2579"/>
      <c r="O491" s="2579"/>
    </row>
    <row r="492" spans="1:15" s="2463" customFormat="1">
      <c r="A492" s="2462"/>
      <c r="B492" s="2462"/>
      <c r="C492" s="2462"/>
      <c r="D492" s="2462"/>
      <c r="E492" s="2462"/>
      <c r="F492" s="2462"/>
      <c r="G492" s="2462"/>
      <c r="H492" s="2462"/>
      <c r="I492" s="2579"/>
      <c r="J492" s="2579"/>
      <c r="K492" s="2579"/>
      <c r="L492" s="2579"/>
      <c r="M492" s="2579"/>
      <c r="N492" s="2579"/>
      <c r="O492" s="2579"/>
    </row>
    <row r="493" spans="1:15" s="2463" customFormat="1">
      <c r="A493" s="2462"/>
      <c r="B493" s="2462"/>
      <c r="C493" s="2462"/>
      <c r="D493" s="2462"/>
      <c r="E493" s="2462"/>
      <c r="F493" s="2462"/>
      <c r="G493" s="2462"/>
      <c r="H493" s="2462"/>
      <c r="I493" s="2579"/>
      <c r="J493" s="2579"/>
      <c r="K493" s="2579"/>
      <c r="L493" s="2579"/>
      <c r="M493" s="2579"/>
      <c r="N493" s="2579"/>
      <c r="O493" s="2579"/>
    </row>
    <row r="494" spans="1:15" s="2463" customFormat="1">
      <c r="A494" s="2462"/>
      <c r="B494" s="2462"/>
      <c r="C494" s="2462"/>
      <c r="D494" s="2462"/>
      <c r="E494" s="2462"/>
      <c r="F494" s="2462"/>
      <c r="G494" s="2462"/>
      <c r="H494" s="2462"/>
      <c r="I494" s="2579"/>
      <c r="J494" s="2579"/>
      <c r="K494" s="2579"/>
      <c r="L494" s="2579"/>
      <c r="M494" s="2579"/>
      <c r="N494" s="2579"/>
      <c r="O494" s="2579"/>
    </row>
    <row r="495" spans="1:15" s="2463" customFormat="1">
      <c r="A495" s="2462"/>
      <c r="B495" s="2462"/>
      <c r="C495" s="2462"/>
      <c r="D495" s="2462"/>
      <c r="E495" s="2462"/>
      <c r="F495" s="2462"/>
      <c r="G495" s="2462"/>
      <c r="H495" s="2462"/>
      <c r="I495" s="2579"/>
      <c r="J495" s="2579"/>
      <c r="K495" s="2579"/>
      <c r="L495" s="2579"/>
      <c r="M495" s="2579"/>
      <c r="N495" s="2579"/>
      <c r="O495" s="2579"/>
    </row>
    <row r="496" spans="1:15" s="2463" customFormat="1">
      <c r="A496" s="2462"/>
      <c r="B496" s="2462"/>
      <c r="C496" s="2462"/>
      <c r="D496" s="2462"/>
      <c r="E496" s="2462"/>
      <c r="F496" s="2462"/>
      <c r="G496" s="2462"/>
      <c r="H496" s="2462"/>
      <c r="I496" s="2579"/>
      <c r="J496" s="2579"/>
      <c r="K496" s="2579"/>
      <c r="L496" s="2579"/>
      <c r="M496" s="2579"/>
      <c r="N496" s="2579"/>
      <c r="O496" s="2579"/>
    </row>
    <row r="497" spans="1:15" s="2463" customFormat="1">
      <c r="A497" s="2462"/>
      <c r="B497" s="2462"/>
      <c r="C497" s="2462"/>
      <c r="D497" s="2462"/>
      <c r="E497" s="2462"/>
      <c r="F497" s="2462"/>
      <c r="G497" s="2462"/>
      <c r="H497" s="2462"/>
      <c r="I497" s="2579"/>
      <c r="J497" s="2579"/>
      <c r="K497" s="2579"/>
      <c r="L497" s="2579"/>
      <c r="M497" s="2579"/>
      <c r="N497" s="2579"/>
      <c r="O497" s="2579"/>
    </row>
    <row r="503" spans="1:15" s="2463" customFormat="1">
      <c r="A503" s="2462"/>
      <c r="B503" s="2462"/>
      <c r="C503" s="2462"/>
      <c r="D503" s="2462"/>
      <c r="E503" s="2462"/>
      <c r="F503" s="2462"/>
      <c r="G503" s="2462"/>
      <c r="H503" s="2462"/>
      <c r="I503" s="2579"/>
      <c r="J503" s="2579"/>
      <c r="K503" s="2579"/>
      <c r="L503" s="2579"/>
      <c r="M503" s="2579"/>
      <c r="N503" s="2579"/>
      <c r="O503" s="2579"/>
    </row>
    <row r="504" spans="1:15" s="2463" customFormat="1">
      <c r="A504" s="2462"/>
      <c r="B504" s="2462"/>
      <c r="C504" s="2462"/>
      <c r="D504" s="2462"/>
      <c r="E504" s="2462"/>
      <c r="F504" s="2462"/>
      <c r="G504" s="2462"/>
      <c r="H504" s="2462"/>
      <c r="I504" s="2579"/>
      <c r="J504" s="2579"/>
      <c r="K504" s="2579"/>
      <c r="L504" s="2579"/>
      <c r="M504" s="2579"/>
      <c r="N504" s="2579"/>
      <c r="O504" s="2579"/>
    </row>
    <row r="505" spans="1:15" s="2463" customFormat="1">
      <c r="A505" s="2462"/>
      <c r="B505" s="2462"/>
      <c r="C505" s="2462"/>
      <c r="D505" s="2462"/>
      <c r="E505" s="2462"/>
      <c r="F505" s="2462"/>
      <c r="G505" s="2462"/>
      <c r="H505" s="2462"/>
      <c r="I505" s="2579"/>
      <c r="J505" s="2579"/>
      <c r="K505" s="2579"/>
      <c r="L505" s="2579"/>
      <c r="M505" s="2579"/>
      <c r="N505" s="2579"/>
      <c r="O505" s="2579"/>
    </row>
    <row r="506" spans="1:15" s="2463" customFormat="1">
      <c r="A506" s="2462"/>
      <c r="B506" s="2462"/>
      <c r="C506" s="2462"/>
      <c r="D506" s="2462"/>
      <c r="E506" s="2462"/>
      <c r="F506" s="2462"/>
      <c r="G506" s="2462"/>
      <c r="H506" s="2462"/>
      <c r="I506" s="2579"/>
      <c r="J506" s="2579"/>
      <c r="K506" s="2579"/>
      <c r="L506" s="2579"/>
      <c r="M506" s="2579"/>
      <c r="N506" s="2579"/>
      <c r="O506" s="2579"/>
    </row>
    <row r="507" spans="1:15" s="2463" customFormat="1">
      <c r="A507" s="2462"/>
      <c r="B507" s="2462"/>
      <c r="C507" s="2462"/>
      <c r="D507" s="2462"/>
      <c r="E507" s="2462"/>
      <c r="F507" s="2462"/>
      <c r="G507" s="2462"/>
      <c r="H507" s="2462"/>
      <c r="I507" s="2579"/>
      <c r="J507" s="2579"/>
      <c r="K507" s="2579"/>
      <c r="L507" s="2579"/>
      <c r="M507" s="2579"/>
      <c r="N507" s="2579"/>
      <c r="O507" s="2579"/>
    </row>
    <row r="508" spans="1:15" s="2463" customFormat="1">
      <c r="A508" s="2462"/>
      <c r="B508" s="2462"/>
      <c r="C508" s="2462"/>
      <c r="D508" s="2462"/>
      <c r="E508" s="2462"/>
      <c r="F508" s="2462"/>
      <c r="G508" s="2462"/>
      <c r="H508" s="2462"/>
      <c r="I508" s="2579"/>
      <c r="J508" s="2579"/>
      <c r="K508" s="2579"/>
      <c r="L508" s="2579"/>
      <c r="M508" s="2579"/>
      <c r="N508" s="2579"/>
      <c r="O508" s="2579"/>
    </row>
    <row r="509" spans="1:15" s="2463" customFormat="1">
      <c r="A509" s="2462"/>
      <c r="B509" s="2462"/>
      <c r="C509" s="2462"/>
      <c r="D509" s="2462"/>
      <c r="E509" s="2462"/>
      <c r="F509" s="2462"/>
      <c r="G509" s="2462"/>
      <c r="H509" s="2462"/>
      <c r="I509" s="2579"/>
      <c r="J509" s="2579"/>
      <c r="K509" s="2579"/>
      <c r="L509" s="2579"/>
      <c r="M509" s="2579"/>
      <c r="N509" s="2579"/>
      <c r="O509" s="2579"/>
    </row>
    <row r="510" spans="1:15" s="2463" customFormat="1">
      <c r="A510" s="2462"/>
      <c r="B510" s="2462"/>
      <c r="C510" s="2462"/>
      <c r="D510" s="2462"/>
      <c r="E510" s="2462"/>
      <c r="F510" s="2462"/>
      <c r="G510" s="2462"/>
      <c r="H510" s="2462"/>
      <c r="I510" s="2579"/>
      <c r="J510" s="2579"/>
      <c r="K510" s="2579"/>
      <c r="L510" s="2579"/>
      <c r="M510" s="2579"/>
      <c r="N510" s="2579"/>
      <c r="O510" s="2579"/>
    </row>
    <row r="511" spans="1:15" s="2463" customFormat="1">
      <c r="A511" s="2462"/>
      <c r="B511" s="2462"/>
      <c r="C511" s="2462"/>
      <c r="D511" s="2462"/>
      <c r="E511" s="2462"/>
      <c r="F511" s="2462"/>
      <c r="G511" s="2462"/>
      <c r="H511" s="2462"/>
      <c r="I511" s="2579"/>
      <c r="J511" s="2579"/>
      <c r="K511" s="2579"/>
      <c r="L511" s="2579"/>
      <c r="M511" s="2579"/>
      <c r="N511" s="2579"/>
      <c r="O511" s="2579"/>
    </row>
    <row r="512" spans="1:15" s="2463" customFormat="1">
      <c r="A512" s="2462"/>
      <c r="B512" s="2462"/>
      <c r="C512" s="2462"/>
      <c r="D512" s="2462"/>
      <c r="E512" s="2462"/>
      <c r="F512" s="2462"/>
      <c r="G512" s="2462"/>
      <c r="H512" s="2462"/>
      <c r="I512" s="2579"/>
      <c r="J512" s="2579"/>
      <c r="K512" s="2579"/>
      <c r="L512" s="2579"/>
      <c r="M512" s="2579"/>
      <c r="N512" s="2579"/>
      <c r="O512" s="2579"/>
    </row>
    <row r="513" spans="1:15" s="2463" customFormat="1">
      <c r="A513" s="2462"/>
      <c r="B513" s="2462"/>
      <c r="C513" s="2462"/>
      <c r="D513" s="2462"/>
      <c r="E513" s="2462"/>
      <c r="F513" s="2462"/>
      <c r="G513" s="2462"/>
      <c r="H513" s="2462"/>
      <c r="I513" s="2579"/>
      <c r="J513" s="2579"/>
      <c r="K513" s="2579"/>
      <c r="L513" s="2579"/>
      <c r="M513" s="2579"/>
      <c r="N513" s="2579"/>
      <c r="O513" s="2579"/>
    </row>
    <row r="514" spans="1:15" s="2463" customFormat="1">
      <c r="A514" s="2462"/>
      <c r="B514" s="2462"/>
      <c r="C514" s="2462"/>
      <c r="D514" s="2462"/>
      <c r="E514" s="2462"/>
      <c r="F514" s="2462"/>
      <c r="G514" s="2462"/>
      <c r="H514" s="2462"/>
      <c r="I514" s="2579"/>
      <c r="J514" s="2579"/>
      <c r="K514" s="2579"/>
      <c r="L514" s="2579"/>
      <c r="M514" s="2579"/>
      <c r="N514" s="2579"/>
      <c r="O514" s="2579"/>
    </row>
    <row r="515" spans="1:15" s="2463" customFormat="1">
      <c r="A515" s="2462"/>
      <c r="B515" s="2462"/>
      <c r="C515" s="2462"/>
      <c r="D515" s="2462"/>
      <c r="E515" s="2462"/>
      <c r="F515" s="2462"/>
      <c r="G515" s="2462"/>
      <c r="H515" s="2462"/>
      <c r="I515" s="2579"/>
      <c r="J515" s="2579"/>
      <c r="K515" s="2579"/>
      <c r="L515" s="2579"/>
      <c r="M515" s="2579"/>
      <c r="N515" s="2579"/>
      <c r="O515" s="2579"/>
    </row>
    <row r="516" spans="1:15" s="2463" customFormat="1">
      <c r="A516" s="2462"/>
      <c r="B516" s="2462"/>
      <c r="C516" s="2462"/>
      <c r="D516" s="2462"/>
      <c r="E516" s="2462"/>
      <c r="F516" s="2462"/>
      <c r="G516" s="2462"/>
      <c r="H516" s="2462"/>
      <c r="I516" s="2579"/>
      <c r="J516" s="2579"/>
      <c r="K516" s="2579"/>
      <c r="L516" s="2579"/>
      <c r="M516" s="2579"/>
      <c r="N516" s="2579"/>
      <c r="O516" s="2579"/>
    </row>
    <row r="517" spans="1:15" s="2463" customFormat="1">
      <c r="A517" s="2462"/>
      <c r="B517" s="2462"/>
      <c r="C517" s="2462"/>
      <c r="D517" s="2462"/>
      <c r="E517" s="2462"/>
      <c r="F517" s="2462"/>
      <c r="G517" s="2462"/>
      <c r="H517" s="2462"/>
      <c r="I517" s="2579"/>
      <c r="J517" s="2579"/>
      <c r="K517" s="2579"/>
      <c r="L517" s="2579"/>
      <c r="M517" s="2579"/>
      <c r="N517" s="2579"/>
      <c r="O517" s="2579"/>
    </row>
    <row r="518" spans="1:15" s="2463" customFormat="1">
      <c r="A518" s="2462"/>
      <c r="B518" s="2462"/>
      <c r="C518" s="2462"/>
      <c r="D518" s="2462"/>
      <c r="E518" s="2462"/>
      <c r="F518" s="2462"/>
      <c r="G518" s="2462"/>
      <c r="H518" s="2462"/>
      <c r="I518" s="2579"/>
      <c r="J518" s="2579"/>
      <c r="K518" s="2579"/>
      <c r="L518" s="2579"/>
      <c r="M518" s="2579"/>
      <c r="N518" s="2579"/>
      <c r="O518" s="2579"/>
    </row>
    <row r="519" spans="1:15" s="2463" customFormat="1">
      <c r="A519" s="2462"/>
      <c r="B519" s="2462"/>
      <c r="C519" s="2462"/>
      <c r="D519" s="2462"/>
      <c r="E519" s="2462"/>
      <c r="F519" s="2462"/>
      <c r="G519" s="2462"/>
      <c r="H519" s="2462"/>
      <c r="I519" s="2579"/>
      <c r="J519" s="2579"/>
      <c r="K519" s="2579"/>
      <c r="L519" s="2579"/>
      <c r="M519" s="2579"/>
      <c r="N519" s="2579"/>
      <c r="O519" s="2579"/>
    </row>
    <row r="520" spans="1:15" s="2463" customFormat="1">
      <c r="A520" s="2462"/>
      <c r="B520" s="2462"/>
      <c r="C520" s="2462"/>
      <c r="D520" s="2462"/>
      <c r="E520" s="2462"/>
      <c r="F520" s="2462"/>
      <c r="G520" s="2462"/>
      <c r="H520" s="2462"/>
      <c r="I520" s="2579"/>
      <c r="J520" s="2579"/>
      <c r="K520" s="2579"/>
      <c r="L520" s="2579"/>
      <c r="M520" s="2579"/>
      <c r="N520" s="2579"/>
      <c r="O520" s="2579"/>
    </row>
    <row r="521" spans="1:15" s="2463" customFormat="1">
      <c r="A521" s="2462"/>
      <c r="B521" s="2462"/>
      <c r="C521" s="2462"/>
      <c r="D521" s="2462"/>
      <c r="E521" s="2462"/>
      <c r="F521" s="2462"/>
      <c r="G521" s="2462"/>
      <c r="H521" s="2462"/>
      <c r="I521" s="2579"/>
      <c r="J521" s="2579"/>
      <c r="K521" s="2579"/>
      <c r="L521" s="2579"/>
      <c r="M521" s="2579"/>
      <c r="N521" s="2579"/>
      <c r="O521" s="2579"/>
    </row>
    <row r="522" spans="1:15" s="2463" customFormat="1">
      <c r="A522" s="2462"/>
      <c r="B522" s="2462"/>
      <c r="C522" s="2462"/>
      <c r="D522" s="2462"/>
      <c r="E522" s="2462"/>
      <c r="F522" s="2462"/>
      <c r="G522" s="2462"/>
      <c r="H522" s="2462"/>
      <c r="I522" s="2579"/>
      <c r="J522" s="2579"/>
      <c r="K522" s="2579"/>
      <c r="L522" s="2579"/>
      <c r="M522" s="2579"/>
      <c r="N522" s="2579"/>
      <c r="O522" s="2579"/>
    </row>
    <row r="523" spans="1:15" s="2463" customFormat="1">
      <c r="A523" s="2462"/>
      <c r="B523" s="2462"/>
      <c r="C523" s="2462"/>
      <c r="D523" s="2462"/>
      <c r="E523" s="2462"/>
      <c r="F523" s="2462"/>
      <c r="G523" s="2462"/>
      <c r="H523" s="2462"/>
      <c r="I523" s="2579"/>
      <c r="J523" s="2579"/>
      <c r="K523" s="2579"/>
      <c r="L523" s="2579"/>
      <c r="M523" s="2579"/>
      <c r="N523" s="2579"/>
      <c r="O523" s="2579"/>
    </row>
    <row r="524" spans="1:15" s="2463" customFormat="1">
      <c r="A524" s="2462"/>
      <c r="B524" s="2462"/>
      <c r="C524" s="2462"/>
      <c r="D524" s="2462"/>
      <c r="E524" s="2462"/>
      <c r="F524" s="2462"/>
      <c r="G524" s="2462"/>
      <c r="H524" s="2462"/>
      <c r="I524" s="2579"/>
      <c r="J524" s="2579"/>
      <c r="K524" s="2579"/>
      <c r="L524" s="2579"/>
      <c r="M524" s="2579"/>
      <c r="N524" s="2579"/>
      <c r="O524" s="2579"/>
    </row>
    <row r="525" spans="1:15" s="2463" customFormat="1">
      <c r="A525" s="2462"/>
      <c r="B525" s="2462"/>
      <c r="C525" s="2462"/>
      <c r="D525" s="2462"/>
      <c r="E525" s="2462"/>
      <c r="F525" s="2462"/>
      <c r="G525" s="2462"/>
      <c r="H525" s="2462"/>
      <c r="I525" s="2579"/>
      <c r="J525" s="2579"/>
      <c r="K525" s="2579"/>
      <c r="L525" s="2579"/>
      <c r="M525" s="2579"/>
      <c r="N525" s="2579"/>
      <c r="O525" s="2579"/>
    </row>
    <row r="526" spans="1:15" s="2463" customFormat="1">
      <c r="A526" s="2462"/>
      <c r="B526" s="2462"/>
      <c r="C526" s="2462"/>
      <c r="D526" s="2462"/>
      <c r="E526" s="2462"/>
      <c r="F526" s="2462"/>
      <c r="G526" s="2462"/>
      <c r="H526" s="2462"/>
      <c r="I526" s="2579"/>
      <c r="J526" s="2579"/>
      <c r="K526" s="2579"/>
      <c r="L526" s="2579"/>
      <c r="M526" s="2579"/>
      <c r="N526" s="2579"/>
      <c r="O526" s="2579"/>
    </row>
    <row r="527" spans="1:15" s="2463" customFormat="1">
      <c r="A527" s="2462"/>
      <c r="B527" s="2462"/>
      <c r="C527" s="2462"/>
      <c r="D527" s="2462"/>
      <c r="E527" s="2462"/>
      <c r="F527" s="2462"/>
      <c r="G527" s="2462"/>
      <c r="H527" s="2462"/>
      <c r="I527" s="2579"/>
      <c r="J527" s="2579"/>
      <c r="K527" s="2579"/>
      <c r="L527" s="2579"/>
      <c r="M527" s="2579"/>
      <c r="N527" s="2579"/>
      <c r="O527" s="2579"/>
    </row>
    <row r="528" spans="1:15" s="2463" customFormat="1">
      <c r="A528" s="2462"/>
      <c r="B528" s="2462"/>
      <c r="C528" s="2462"/>
      <c r="D528" s="2462"/>
      <c r="E528" s="2462"/>
      <c r="F528" s="2462"/>
      <c r="G528" s="2462"/>
      <c r="H528" s="2462"/>
      <c r="I528" s="2579"/>
      <c r="J528" s="2579"/>
      <c r="K528" s="2579"/>
      <c r="L528" s="2579"/>
      <c r="M528" s="2579"/>
      <c r="N528" s="2579"/>
      <c r="O528" s="2579"/>
    </row>
    <row r="529" spans="1:15" s="2463" customFormat="1">
      <c r="A529" s="2462"/>
      <c r="B529" s="2462"/>
      <c r="C529" s="2462"/>
      <c r="D529" s="2462"/>
      <c r="E529" s="2462"/>
      <c r="F529" s="2462"/>
      <c r="G529" s="2462"/>
      <c r="H529" s="2462"/>
      <c r="I529" s="2579"/>
      <c r="J529" s="2579"/>
      <c r="K529" s="2579"/>
      <c r="L529" s="2579"/>
      <c r="M529" s="2579"/>
      <c r="N529" s="2579"/>
      <c r="O529" s="2579"/>
    </row>
    <row r="530" spans="1:15" s="2463" customFormat="1">
      <c r="A530" s="2462"/>
      <c r="B530" s="2462"/>
      <c r="C530" s="2462"/>
      <c r="D530" s="2462"/>
      <c r="E530" s="2462"/>
      <c r="F530" s="2462"/>
      <c r="G530" s="2462"/>
      <c r="H530" s="2462"/>
      <c r="I530" s="2579"/>
      <c r="J530" s="2579"/>
      <c r="K530" s="2579"/>
      <c r="L530" s="2579"/>
      <c r="M530" s="2579"/>
      <c r="N530" s="2579"/>
      <c r="O530" s="2579"/>
    </row>
    <row r="531" spans="1:15" s="2463" customFormat="1">
      <c r="A531" s="2462"/>
      <c r="B531" s="2462"/>
      <c r="C531" s="2462"/>
      <c r="D531" s="2462"/>
      <c r="E531" s="2462"/>
      <c r="F531" s="2462"/>
      <c r="G531" s="2462"/>
      <c r="H531" s="2462"/>
      <c r="I531" s="2579"/>
      <c r="J531" s="2579"/>
      <c r="K531" s="2579"/>
      <c r="L531" s="2579"/>
      <c r="M531" s="2579"/>
      <c r="N531" s="2579"/>
      <c r="O531" s="2579"/>
    </row>
    <row r="532" spans="1:15" s="2463" customFormat="1">
      <c r="A532" s="2462"/>
      <c r="B532" s="2462"/>
      <c r="C532" s="2462"/>
      <c r="D532" s="2462"/>
      <c r="E532" s="2462"/>
      <c r="F532" s="2462"/>
      <c r="G532" s="2462"/>
      <c r="H532" s="2462"/>
      <c r="I532" s="2579"/>
      <c r="J532" s="2579"/>
      <c r="K532" s="2579"/>
      <c r="L532" s="2579"/>
      <c r="M532" s="2579"/>
      <c r="N532" s="2579"/>
      <c r="O532" s="2579"/>
    </row>
    <row r="533" spans="1:15" s="2463" customFormat="1">
      <c r="A533" s="2462"/>
      <c r="B533" s="2462"/>
      <c r="C533" s="2462"/>
      <c r="D533" s="2462"/>
      <c r="E533" s="2462"/>
      <c r="F533" s="2462"/>
      <c r="G533" s="2462"/>
      <c r="H533" s="2462"/>
      <c r="I533" s="2579"/>
      <c r="J533" s="2579"/>
      <c r="K533" s="2579"/>
      <c r="L533" s="2579"/>
      <c r="M533" s="2579"/>
      <c r="N533" s="2579"/>
      <c r="O533" s="2579"/>
    </row>
    <row r="534" spans="1:15" s="2463" customFormat="1">
      <c r="A534" s="2462"/>
      <c r="B534" s="2462"/>
      <c r="C534" s="2462"/>
      <c r="D534" s="2462"/>
      <c r="E534" s="2462"/>
      <c r="F534" s="2462"/>
      <c r="G534" s="2462"/>
      <c r="H534" s="2462"/>
      <c r="I534" s="2579"/>
      <c r="J534" s="2579"/>
      <c r="K534" s="2579"/>
      <c r="L534" s="2579"/>
      <c r="M534" s="2579"/>
      <c r="N534" s="2579"/>
      <c r="O534" s="2579"/>
    </row>
    <row r="535" spans="1:15" s="2463" customFormat="1">
      <c r="A535" s="2462"/>
      <c r="B535" s="2462"/>
      <c r="C535" s="2462"/>
      <c r="D535" s="2462"/>
      <c r="E535" s="2462"/>
      <c r="F535" s="2462"/>
      <c r="G535" s="2462"/>
      <c r="H535" s="2462"/>
      <c r="I535" s="2579"/>
      <c r="J535" s="2579"/>
      <c r="K535" s="2579"/>
      <c r="L535" s="2579"/>
      <c r="M535" s="2579"/>
      <c r="N535" s="2579"/>
      <c r="O535" s="2579"/>
    </row>
    <row r="536" spans="1:15" s="2463" customFormat="1">
      <c r="A536" s="2462"/>
      <c r="B536" s="2462"/>
      <c r="C536" s="2462"/>
      <c r="D536" s="2462"/>
      <c r="E536" s="2462"/>
      <c r="F536" s="2462"/>
      <c r="G536" s="2462"/>
      <c r="H536" s="2462"/>
      <c r="I536" s="2579"/>
      <c r="J536" s="2579"/>
      <c r="K536" s="2579"/>
      <c r="L536" s="2579"/>
      <c r="M536" s="2579"/>
      <c r="N536" s="2579"/>
      <c r="O536" s="2579"/>
    </row>
    <row r="537" spans="1:15" s="2463" customFormat="1">
      <c r="A537" s="2462"/>
      <c r="B537" s="2462"/>
      <c r="C537" s="2462"/>
      <c r="D537" s="2462"/>
      <c r="E537" s="2462"/>
      <c r="F537" s="2462"/>
      <c r="G537" s="2462"/>
      <c r="H537" s="2462"/>
      <c r="I537" s="2579"/>
      <c r="J537" s="2579"/>
      <c r="K537" s="2579"/>
      <c r="L537" s="2579"/>
      <c r="M537" s="2579"/>
      <c r="N537" s="2579"/>
      <c r="O537" s="2579"/>
    </row>
    <row r="538" spans="1:15" s="2463" customFormat="1">
      <c r="A538" s="2462"/>
      <c r="B538" s="2462"/>
      <c r="C538" s="2462"/>
      <c r="D538" s="2462"/>
      <c r="E538" s="2462"/>
      <c r="F538" s="2462"/>
      <c r="G538" s="2462"/>
      <c r="H538" s="2462"/>
      <c r="I538" s="2579"/>
      <c r="J538" s="2579"/>
      <c r="K538" s="2579"/>
      <c r="L538" s="2579"/>
      <c r="M538" s="2579"/>
      <c r="N538" s="2579"/>
      <c r="O538" s="2579"/>
    </row>
    <row r="539" spans="1:15" s="2463" customFormat="1">
      <c r="A539" s="2462"/>
      <c r="B539" s="2462"/>
      <c r="C539" s="2462"/>
      <c r="D539" s="2462"/>
      <c r="E539" s="2462"/>
      <c r="F539" s="2462"/>
      <c r="G539" s="2462"/>
      <c r="H539" s="2462"/>
      <c r="I539" s="2579"/>
      <c r="J539" s="2579"/>
      <c r="K539" s="2579"/>
      <c r="L539" s="2579"/>
      <c r="M539" s="2579"/>
      <c r="N539" s="2579"/>
      <c r="O539" s="2579"/>
    </row>
    <row r="540" spans="1:15" s="2463" customFormat="1">
      <c r="A540" s="2462"/>
      <c r="B540" s="2462"/>
      <c r="C540" s="2462"/>
      <c r="D540" s="2462"/>
      <c r="E540" s="2462"/>
      <c r="F540" s="2462"/>
      <c r="G540" s="2462"/>
      <c r="H540" s="2462"/>
      <c r="I540" s="2579"/>
      <c r="J540" s="2579"/>
      <c r="K540" s="2579"/>
      <c r="L540" s="2579"/>
      <c r="M540" s="2579"/>
      <c r="N540" s="2579"/>
      <c r="O540" s="2579"/>
    </row>
    <row r="541" spans="1:15" s="2463" customFormat="1">
      <c r="A541" s="2462"/>
      <c r="B541" s="2462"/>
      <c r="C541" s="2462"/>
      <c r="D541" s="2462"/>
      <c r="E541" s="2462"/>
      <c r="F541" s="2462"/>
      <c r="G541" s="2462"/>
      <c r="H541" s="2462"/>
      <c r="I541" s="2579"/>
      <c r="J541" s="2579"/>
      <c r="K541" s="2579"/>
      <c r="L541" s="2579"/>
      <c r="M541" s="2579"/>
      <c r="N541" s="2579"/>
      <c r="O541" s="2579"/>
    </row>
    <row r="548" spans="1:15" s="2463" customFormat="1">
      <c r="A548" s="2462"/>
      <c r="B548" s="2462"/>
      <c r="C548" s="2462"/>
      <c r="D548" s="2462"/>
      <c r="E548" s="2462"/>
      <c r="F548" s="2462"/>
      <c r="G548" s="2462"/>
      <c r="H548" s="2462"/>
      <c r="I548" s="2579"/>
      <c r="J548" s="2579"/>
      <c r="K548" s="2579"/>
      <c r="L548" s="2579"/>
      <c r="M548" s="2579"/>
      <c r="N548" s="2579"/>
      <c r="O548" s="2579"/>
    </row>
    <row r="549" spans="1:15" s="2463" customFormat="1">
      <c r="A549" s="2462"/>
      <c r="B549" s="2462"/>
      <c r="C549" s="2462"/>
      <c r="D549" s="2462"/>
      <c r="E549" s="2462"/>
      <c r="F549" s="2462"/>
      <c r="G549" s="2462"/>
      <c r="H549" s="2462"/>
      <c r="I549" s="2579"/>
      <c r="J549" s="2579"/>
      <c r="K549" s="2579"/>
      <c r="L549" s="2579"/>
      <c r="M549" s="2579"/>
      <c r="N549" s="2579"/>
      <c r="O549" s="2579"/>
    </row>
    <row r="550" spans="1:15" s="2463" customFormat="1">
      <c r="A550" s="2462"/>
      <c r="B550" s="2462"/>
      <c r="C550" s="2462"/>
      <c r="D550" s="2462"/>
      <c r="E550" s="2462"/>
      <c r="F550" s="2462"/>
      <c r="G550" s="2462"/>
      <c r="H550" s="2462"/>
      <c r="I550" s="2579"/>
      <c r="J550" s="2579"/>
      <c r="K550" s="2579"/>
      <c r="L550" s="2579"/>
      <c r="M550" s="2579"/>
      <c r="N550" s="2579"/>
      <c r="O550" s="2579"/>
    </row>
    <row r="551" spans="1:15" s="2463" customFormat="1">
      <c r="A551" s="2462"/>
      <c r="B551" s="2462"/>
      <c r="C551" s="2462"/>
      <c r="D551" s="2462"/>
      <c r="E551" s="2462"/>
      <c r="F551" s="2462"/>
      <c r="G551" s="2462"/>
      <c r="H551" s="2462"/>
      <c r="I551" s="2579"/>
      <c r="J551" s="2579"/>
      <c r="K551" s="2579"/>
      <c r="L551" s="2579"/>
      <c r="M551" s="2579"/>
      <c r="N551" s="2579"/>
      <c r="O551" s="2579"/>
    </row>
    <row r="552" spans="1:15" s="2463" customFormat="1">
      <c r="A552" s="2462"/>
      <c r="B552" s="2462"/>
      <c r="C552" s="2462"/>
      <c r="D552" s="2462"/>
      <c r="E552" s="2462"/>
      <c r="F552" s="2462"/>
      <c r="G552" s="2462"/>
      <c r="H552" s="2462"/>
      <c r="I552" s="2579"/>
      <c r="J552" s="2579"/>
      <c r="K552" s="2579"/>
      <c r="L552" s="2579"/>
      <c r="M552" s="2579"/>
      <c r="N552" s="2579"/>
      <c r="O552" s="2579"/>
    </row>
    <row r="553" spans="1:15" s="2463" customFormat="1">
      <c r="A553" s="2462"/>
      <c r="B553" s="2462"/>
      <c r="C553" s="2462"/>
      <c r="D553" s="2462"/>
      <c r="E553" s="2462"/>
      <c r="F553" s="2462"/>
      <c r="G553" s="2462"/>
      <c r="H553" s="2462"/>
      <c r="I553" s="2579"/>
      <c r="J553" s="2579"/>
      <c r="K553" s="2579"/>
      <c r="L553" s="2579"/>
      <c r="M553" s="2579"/>
      <c r="N553" s="2579"/>
      <c r="O553" s="2579"/>
    </row>
    <row r="554" spans="1:15" s="2463" customFormat="1">
      <c r="A554" s="2462"/>
      <c r="B554" s="2462"/>
      <c r="C554" s="2462"/>
      <c r="D554" s="2462"/>
      <c r="E554" s="2462"/>
      <c r="F554" s="2462"/>
      <c r="G554" s="2462"/>
      <c r="H554" s="2462"/>
      <c r="I554" s="2579"/>
      <c r="J554" s="2579"/>
      <c r="K554" s="2579"/>
      <c r="L554" s="2579"/>
      <c r="M554" s="2579"/>
      <c r="N554" s="2579"/>
      <c r="O554" s="2579"/>
    </row>
    <row r="555" spans="1:15" s="2463" customFormat="1">
      <c r="A555" s="2462"/>
      <c r="B555" s="2462"/>
      <c r="C555" s="2462"/>
      <c r="D555" s="2462"/>
      <c r="E555" s="2462"/>
      <c r="F555" s="2462"/>
      <c r="G555" s="2462"/>
      <c r="H555" s="2462"/>
      <c r="I555" s="2579"/>
      <c r="J555" s="2579"/>
      <c r="K555" s="2579"/>
      <c r="L555" s="2579"/>
      <c r="M555" s="2579"/>
      <c r="N555" s="2579"/>
      <c r="O555" s="2579"/>
    </row>
    <row r="556" spans="1:15" s="2463" customFormat="1">
      <c r="A556" s="2462"/>
      <c r="B556" s="2462"/>
      <c r="C556" s="2462"/>
      <c r="D556" s="2462"/>
      <c r="E556" s="2462"/>
      <c r="F556" s="2462"/>
      <c r="G556" s="2462"/>
      <c r="H556" s="2462"/>
      <c r="I556" s="2579"/>
      <c r="J556" s="2579"/>
      <c r="K556" s="2579"/>
      <c r="L556" s="2579"/>
      <c r="M556" s="2579"/>
      <c r="N556" s="2579"/>
      <c r="O556" s="2579"/>
    </row>
    <row r="557" spans="1:15" s="2463" customFormat="1">
      <c r="A557" s="2462"/>
      <c r="B557" s="2462"/>
      <c r="C557" s="2462"/>
      <c r="D557" s="2462"/>
      <c r="E557" s="2462"/>
      <c r="F557" s="2462"/>
      <c r="G557" s="2462"/>
      <c r="H557" s="2462"/>
      <c r="I557" s="2579"/>
      <c r="J557" s="2579"/>
      <c r="K557" s="2579"/>
      <c r="L557" s="2579"/>
      <c r="M557" s="2579"/>
      <c r="N557" s="2579"/>
      <c r="O557" s="2579"/>
    </row>
    <row r="558" spans="1:15" s="2463" customFormat="1">
      <c r="A558" s="2462"/>
      <c r="B558" s="2462"/>
      <c r="C558" s="2462"/>
      <c r="D558" s="2462"/>
      <c r="E558" s="2462"/>
      <c r="F558" s="2462"/>
      <c r="G558" s="2462"/>
      <c r="H558" s="2462"/>
      <c r="I558" s="2579"/>
      <c r="J558" s="2579"/>
      <c r="K558" s="2579"/>
      <c r="L558" s="2579"/>
      <c r="M558" s="2579"/>
      <c r="N558" s="2579"/>
      <c r="O558" s="2579"/>
    </row>
    <row r="559" spans="1:15" s="2463" customFormat="1">
      <c r="A559" s="2462"/>
      <c r="B559" s="2462"/>
      <c r="C559" s="2462"/>
      <c r="D559" s="2462"/>
      <c r="E559" s="2462"/>
      <c r="F559" s="2462"/>
      <c r="G559" s="2462"/>
      <c r="H559" s="2462"/>
      <c r="I559" s="2579"/>
      <c r="J559" s="2579"/>
      <c r="K559" s="2579"/>
      <c r="L559" s="2579"/>
      <c r="M559" s="2579"/>
      <c r="N559" s="2579"/>
      <c r="O559" s="2579"/>
    </row>
    <row r="560" spans="1:15" s="2463" customFormat="1">
      <c r="A560" s="2462"/>
      <c r="B560" s="2462"/>
      <c r="C560" s="2462"/>
      <c r="D560" s="2462"/>
      <c r="E560" s="2462"/>
      <c r="F560" s="2462"/>
      <c r="G560" s="2462"/>
      <c r="H560" s="2462"/>
      <c r="I560" s="2579"/>
      <c r="J560" s="2579"/>
      <c r="K560" s="2579"/>
      <c r="L560" s="2579"/>
      <c r="M560" s="2579"/>
      <c r="N560" s="2579"/>
      <c r="O560" s="2579"/>
    </row>
    <row r="561" spans="1:15" s="2463" customFormat="1">
      <c r="A561" s="2462"/>
      <c r="B561" s="2462"/>
      <c r="C561" s="2462"/>
      <c r="D561" s="2462"/>
      <c r="E561" s="2462"/>
      <c r="F561" s="2462"/>
      <c r="G561" s="2462"/>
      <c r="H561" s="2462"/>
      <c r="I561" s="2579"/>
      <c r="J561" s="2579"/>
      <c r="K561" s="2579"/>
      <c r="L561" s="2579"/>
      <c r="M561" s="2579"/>
      <c r="N561" s="2579"/>
      <c r="O561" s="2579"/>
    </row>
    <row r="562" spans="1:15" s="2463" customFormat="1">
      <c r="A562" s="2462"/>
      <c r="B562" s="2462"/>
      <c r="C562" s="2462"/>
      <c r="D562" s="2462"/>
      <c r="E562" s="2462"/>
      <c r="F562" s="2462"/>
      <c r="G562" s="2462"/>
      <c r="H562" s="2462"/>
      <c r="I562" s="2579"/>
      <c r="J562" s="2579"/>
      <c r="K562" s="2579"/>
      <c r="L562" s="2579"/>
      <c r="M562" s="2579"/>
      <c r="N562" s="2579"/>
      <c r="O562" s="2579"/>
    </row>
    <row r="563" spans="1:15" s="2463" customFormat="1">
      <c r="A563" s="2462"/>
      <c r="B563" s="2462"/>
      <c r="C563" s="2462"/>
      <c r="D563" s="2462"/>
      <c r="E563" s="2462"/>
      <c r="F563" s="2462"/>
      <c r="G563" s="2462"/>
      <c r="H563" s="2462"/>
      <c r="I563" s="2579"/>
      <c r="J563" s="2579"/>
      <c r="K563" s="2579"/>
      <c r="L563" s="2579"/>
      <c r="M563" s="2579"/>
      <c r="N563" s="2579"/>
      <c r="O563" s="2579"/>
    </row>
    <row r="564" spans="1:15" s="2463" customFormat="1">
      <c r="A564" s="2462"/>
      <c r="B564" s="2462"/>
      <c r="C564" s="2462"/>
      <c r="D564" s="2462"/>
      <c r="E564" s="2462"/>
      <c r="F564" s="2462"/>
      <c r="G564" s="2462"/>
      <c r="H564" s="2462"/>
      <c r="I564" s="2579"/>
      <c r="J564" s="2579"/>
      <c r="K564" s="2579"/>
      <c r="L564" s="2579"/>
      <c r="M564" s="2579"/>
      <c r="N564" s="2579"/>
      <c r="O564" s="2579"/>
    </row>
    <row r="565" spans="1:15" s="2463" customFormat="1" ht="7.5" customHeight="1">
      <c r="A565" s="2462"/>
      <c r="B565" s="2462"/>
      <c r="C565" s="2462"/>
      <c r="D565" s="2462"/>
      <c r="E565" s="2462"/>
      <c r="F565" s="2462"/>
      <c r="G565" s="2462"/>
      <c r="H565" s="2462"/>
      <c r="I565" s="2579"/>
      <c r="J565" s="2579"/>
      <c r="K565" s="2579"/>
      <c r="L565" s="2579"/>
      <c r="M565" s="2579"/>
      <c r="N565" s="2579"/>
      <c r="O565" s="2579"/>
    </row>
    <row r="566" spans="1:15" s="2463" customFormat="1" ht="7.5" customHeight="1">
      <c r="A566" s="2462"/>
      <c r="B566" s="2462"/>
      <c r="C566" s="2462"/>
      <c r="D566" s="2462"/>
      <c r="E566" s="2462"/>
      <c r="F566" s="2462"/>
      <c r="G566" s="2462"/>
      <c r="H566" s="2462"/>
      <c r="I566" s="2579"/>
      <c r="J566" s="2579"/>
      <c r="K566" s="2579"/>
      <c r="L566" s="2579"/>
      <c r="M566" s="2579"/>
      <c r="N566" s="2579"/>
      <c r="O566" s="2579"/>
    </row>
    <row r="567" spans="1:15" s="2463" customFormat="1" ht="7.5" customHeight="1">
      <c r="A567" s="2462"/>
      <c r="B567" s="2462"/>
      <c r="C567" s="2462"/>
      <c r="D567" s="2462"/>
      <c r="E567" s="2462"/>
      <c r="F567" s="2462"/>
      <c r="G567" s="2462"/>
      <c r="H567" s="2462"/>
      <c r="I567" s="2579"/>
      <c r="J567" s="2579"/>
      <c r="K567" s="2579"/>
      <c r="L567" s="2579"/>
      <c r="M567" s="2579"/>
      <c r="N567" s="2579"/>
      <c r="O567" s="2579"/>
    </row>
    <row r="568" spans="1:15" s="2463" customFormat="1" ht="7.5" customHeight="1">
      <c r="A568" s="2462"/>
      <c r="B568" s="2462"/>
      <c r="C568" s="2462"/>
      <c r="D568" s="2462"/>
      <c r="E568" s="2462"/>
      <c r="F568" s="2462"/>
      <c r="G568" s="2462"/>
      <c r="H568" s="2462"/>
      <c r="I568" s="2579"/>
      <c r="J568" s="2579"/>
      <c r="K568" s="2579"/>
      <c r="L568" s="2579"/>
      <c r="M568" s="2579"/>
      <c r="N568" s="2579"/>
      <c r="O568" s="2579"/>
    </row>
    <row r="569" spans="1:15" s="2463" customFormat="1" ht="7.5" customHeight="1">
      <c r="A569" s="2462"/>
      <c r="B569" s="2462"/>
      <c r="C569" s="2462"/>
      <c r="D569" s="2462"/>
      <c r="E569" s="2462"/>
      <c r="F569" s="2462"/>
      <c r="G569" s="2462"/>
      <c r="H569" s="2462"/>
      <c r="I569" s="2579"/>
      <c r="J569" s="2579"/>
      <c r="K569" s="2579"/>
      <c r="L569" s="2579"/>
      <c r="M569" s="2579"/>
      <c r="N569" s="2579"/>
      <c r="O569" s="2579"/>
    </row>
    <row r="570" spans="1:15" s="2463" customFormat="1" ht="7.5" customHeight="1">
      <c r="A570" s="2462"/>
      <c r="B570" s="2462"/>
      <c r="C570" s="2462"/>
      <c r="D570" s="2462"/>
      <c r="E570" s="2462"/>
      <c r="F570" s="2462"/>
      <c r="G570" s="2462"/>
      <c r="H570" s="2462"/>
      <c r="I570" s="2579"/>
      <c r="J570" s="2579"/>
      <c r="K570" s="2579"/>
      <c r="L570" s="2579"/>
      <c r="M570" s="2579"/>
      <c r="N570" s="2579"/>
      <c r="O570" s="2579"/>
    </row>
    <row r="571" spans="1:15" s="2463" customFormat="1" ht="7.5" customHeight="1">
      <c r="A571" s="2462"/>
      <c r="B571" s="2462"/>
      <c r="C571" s="2462"/>
      <c r="D571" s="2462"/>
      <c r="E571" s="2462"/>
      <c r="F571" s="2462"/>
      <c r="G571" s="2462"/>
      <c r="H571" s="2462"/>
      <c r="I571" s="2579"/>
      <c r="J571" s="2579"/>
      <c r="K571" s="2579"/>
      <c r="L571" s="2579"/>
      <c r="M571" s="2579"/>
      <c r="N571" s="2579"/>
      <c r="O571" s="2579"/>
    </row>
    <row r="572" spans="1:15" s="2463" customFormat="1" ht="7.5" customHeight="1">
      <c r="A572" s="2462"/>
      <c r="B572" s="2462"/>
      <c r="C572" s="2462"/>
      <c r="D572" s="2462"/>
      <c r="E572" s="2462"/>
      <c r="F572" s="2462"/>
      <c r="G572" s="2462"/>
      <c r="H572" s="2462"/>
      <c r="I572" s="2579"/>
      <c r="J572" s="2579"/>
      <c r="K572" s="2579"/>
      <c r="L572" s="2579"/>
      <c r="M572" s="2579"/>
      <c r="N572" s="2579"/>
      <c r="O572" s="2579"/>
    </row>
    <row r="573" spans="1:15" s="2463" customFormat="1" ht="7.5" customHeight="1">
      <c r="A573" s="2462"/>
      <c r="B573" s="2462"/>
      <c r="C573" s="2462"/>
      <c r="D573" s="2462"/>
      <c r="E573" s="2462"/>
      <c r="F573" s="2462"/>
      <c r="G573" s="2462"/>
      <c r="H573" s="2462"/>
      <c r="I573" s="2579"/>
      <c r="J573" s="2579"/>
      <c r="K573" s="2579"/>
      <c r="L573" s="2579"/>
      <c r="M573" s="2579"/>
      <c r="N573" s="2579"/>
      <c r="O573" s="2579"/>
    </row>
    <row r="574" spans="1:15" s="2463" customFormat="1" ht="7.5" customHeight="1">
      <c r="A574" s="2462"/>
      <c r="B574" s="2462"/>
      <c r="C574" s="2462"/>
      <c r="D574" s="2462"/>
      <c r="E574" s="2462"/>
      <c r="F574" s="2462"/>
      <c r="G574" s="2462"/>
      <c r="H574" s="2462"/>
      <c r="I574" s="2579"/>
      <c r="J574" s="2579"/>
      <c r="K574" s="2579"/>
      <c r="L574" s="2579"/>
      <c r="M574" s="2579"/>
      <c r="N574" s="2579"/>
      <c r="O574" s="2579"/>
    </row>
    <row r="575" spans="1:15" s="2463" customFormat="1" ht="7.5" customHeight="1">
      <c r="A575" s="2462"/>
      <c r="B575" s="2462"/>
      <c r="C575" s="2462"/>
      <c r="D575" s="2462"/>
      <c r="E575" s="2462"/>
      <c r="F575" s="2462"/>
      <c r="G575" s="2462"/>
      <c r="H575" s="2462"/>
      <c r="I575" s="2579"/>
      <c r="J575" s="2579"/>
      <c r="K575" s="2579"/>
      <c r="L575" s="2579"/>
      <c r="M575" s="2579"/>
      <c r="N575" s="2579"/>
      <c r="O575" s="2579"/>
    </row>
    <row r="576" spans="1:15" s="2463" customFormat="1" ht="7.5" customHeight="1">
      <c r="A576" s="2462"/>
      <c r="B576" s="2462"/>
      <c r="C576" s="2462"/>
      <c r="D576" s="2462"/>
      <c r="E576" s="2462"/>
      <c r="F576" s="2462"/>
      <c r="G576" s="2462"/>
      <c r="H576" s="2462"/>
      <c r="I576" s="2579"/>
      <c r="J576" s="2579"/>
      <c r="K576" s="2579"/>
      <c r="L576" s="2579"/>
      <c r="M576" s="2579"/>
      <c r="N576" s="2579"/>
      <c r="O576" s="2579"/>
    </row>
    <row r="577" spans="1:15" s="2463" customFormat="1" ht="7.5" customHeight="1">
      <c r="A577" s="2462"/>
      <c r="B577" s="2462"/>
      <c r="C577" s="2462"/>
      <c r="D577" s="2462"/>
      <c r="E577" s="2462"/>
      <c r="F577" s="2462"/>
      <c r="G577" s="2462"/>
      <c r="H577" s="2462"/>
      <c r="I577" s="2579"/>
      <c r="J577" s="2579"/>
      <c r="K577" s="2579"/>
      <c r="L577" s="2579"/>
      <c r="M577" s="2579"/>
      <c r="N577" s="2579"/>
      <c r="O577" s="2579"/>
    </row>
    <row r="578" spans="1:15" s="2463" customFormat="1" ht="7.5" customHeight="1">
      <c r="A578" s="2462"/>
      <c r="B578" s="2462"/>
      <c r="C578" s="2462"/>
      <c r="D578" s="2462"/>
      <c r="E578" s="2462"/>
      <c r="F578" s="2462"/>
      <c r="G578" s="2462"/>
      <c r="H578" s="2462"/>
      <c r="I578" s="2579"/>
      <c r="J578" s="2579"/>
      <c r="K578" s="2579"/>
      <c r="L578" s="2579"/>
      <c r="M578" s="2579"/>
      <c r="N578" s="2579"/>
      <c r="O578" s="2579"/>
    </row>
    <row r="579" spans="1:15" s="2463" customFormat="1" ht="7.5" customHeight="1">
      <c r="A579" s="2462"/>
      <c r="B579" s="2462"/>
      <c r="C579" s="2462"/>
      <c r="D579" s="2462"/>
      <c r="E579" s="2462"/>
      <c r="F579" s="2462"/>
      <c r="G579" s="2462"/>
      <c r="H579" s="2462"/>
      <c r="I579" s="2579"/>
      <c r="J579" s="2579"/>
      <c r="K579" s="2579"/>
      <c r="L579" s="2579"/>
      <c r="M579" s="2579"/>
      <c r="N579" s="2579"/>
      <c r="O579" s="2579"/>
    </row>
    <row r="580" spans="1:15" s="2463" customFormat="1" ht="7.5" customHeight="1">
      <c r="A580" s="2462"/>
      <c r="B580" s="2462"/>
      <c r="C580" s="2462"/>
      <c r="D580" s="2462"/>
      <c r="E580" s="2462"/>
      <c r="F580" s="2462"/>
      <c r="G580" s="2462"/>
      <c r="H580" s="2462"/>
      <c r="I580" s="2579"/>
      <c r="J580" s="2579"/>
      <c r="K580" s="2579"/>
      <c r="L580" s="2579"/>
      <c r="M580" s="2579"/>
      <c r="N580" s="2579"/>
      <c r="O580" s="2579"/>
    </row>
    <row r="581" spans="1:15" s="2463" customFormat="1" ht="7.5" customHeight="1">
      <c r="A581" s="2462"/>
      <c r="B581" s="2462"/>
      <c r="C581" s="2462"/>
      <c r="D581" s="2462"/>
      <c r="E581" s="2462"/>
      <c r="F581" s="2462"/>
      <c r="G581" s="2462"/>
      <c r="H581" s="2462"/>
      <c r="I581" s="2579"/>
      <c r="J581" s="2579"/>
      <c r="K581" s="2579"/>
      <c r="L581" s="2579"/>
      <c r="M581" s="2579"/>
      <c r="N581" s="2579"/>
      <c r="O581" s="2579"/>
    </row>
    <row r="582" spans="1:15" s="2463" customFormat="1" ht="7.5" customHeight="1">
      <c r="A582" s="2462"/>
      <c r="B582" s="2462"/>
      <c r="C582" s="2462"/>
      <c r="D582" s="2462"/>
      <c r="E582" s="2462"/>
      <c r="F582" s="2462"/>
      <c r="G582" s="2462"/>
      <c r="H582" s="2462"/>
      <c r="I582" s="2579"/>
      <c r="J582" s="2579"/>
      <c r="K582" s="2579"/>
      <c r="L582" s="2579"/>
      <c r="M582" s="2579"/>
      <c r="N582" s="2579"/>
      <c r="O582" s="2579"/>
    </row>
    <row r="583" spans="1:15" s="2463" customFormat="1" ht="7.5" customHeight="1">
      <c r="A583" s="2462"/>
      <c r="B583" s="2462"/>
      <c r="C583" s="2462"/>
      <c r="D583" s="2462"/>
      <c r="E583" s="2462"/>
      <c r="F583" s="2462"/>
      <c r="G583" s="2462"/>
      <c r="H583" s="2462"/>
      <c r="I583" s="2579"/>
      <c r="J583" s="2579"/>
      <c r="K583" s="2579"/>
      <c r="L583" s="2579"/>
      <c r="M583" s="2579"/>
      <c r="N583" s="2579"/>
      <c r="O583" s="2579"/>
    </row>
    <row r="584" spans="1:15" s="2463" customFormat="1" ht="7.5" customHeight="1">
      <c r="A584" s="2462"/>
      <c r="B584" s="2462"/>
      <c r="C584" s="2462"/>
      <c r="D584" s="2462"/>
      <c r="E584" s="2462"/>
      <c r="F584" s="2462"/>
      <c r="G584" s="2462"/>
      <c r="H584" s="2462"/>
      <c r="I584" s="2579"/>
      <c r="J584" s="2579"/>
      <c r="K584" s="2579"/>
      <c r="L584" s="2579"/>
      <c r="M584" s="2579"/>
      <c r="N584" s="2579"/>
      <c r="O584" s="2579"/>
    </row>
    <row r="585" spans="1:15" s="2463" customFormat="1" ht="7.5" customHeight="1">
      <c r="A585" s="2462"/>
      <c r="B585" s="2462"/>
      <c r="C585" s="2462"/>
      <c r="D585" s="2462"/>
      <c r="E585" s="2462"/>
      <c r="F585" s="2462"/>
      <c r="G585" s="2462"/>
      <c r="H585" s="2462"/>
      <c r="I585" s="2579"/>
      <c r="J585" s="2579"/>
      <c r="K585" s="2579"/>
      <c r="L585" s="2579"/>
      <c r="M585" s="2579"/>
      <c r="N585" s="2579"/>
      <c r="O585" s="2579"/>
    </row>
    <row r="586" spans="1:15" s="2463" customFormat="1" ht="7.5" customHeight="1">
      <c r="A586" s="2462"/>
      <c r="B586" s="2462"/>
      <c r="C586" s="2462"/>
      <c r="D586" s="2462"/>
      <c r="E586" s="2462"/>
      <c r="F586" s="2462"/>
      <c r="G586" s="2462"/>
      <c r="H586" s="2462"/>
      <c r="I586" s="2579"/>
      <c r="J586" s="2579"/>
      <c r="K586" s="2579"/>
      <c r="L586" s="2579"/>
      <c r="M586" s="2579"/>
      <c r="N586" s="2579"/>
      <c r="O586" s="2579"/>
    </row>
    <row r="587" spans="1:15" s="2463" customFormat="1" ht="7.5" customHeight="1">
      <c r="A587" s="2462"/>
      <c r="B587" s="2462"/>
      <c r="C587" s="2462"/>
      <c r="D587" s="2462"/>
      <c r="E587" s="2462"/>
      <c r="F587" s="2462"/>
      <c r="G587" s="2462"/>
      <c r="H587" s="2462"/>
      <c r="I587" s="2579"/>
      <c r="J587" s="2579"/>
      <c r="K587" s="2579"/>
      <c r="L587" s="2579"/>
      <c r="M587" s="2579"/>
      <c r="N587" s="2579"/>
      <c r="O587" s="2579"/>
    </row>
    <row r="588" spans="1:15" s="2463" customFormat="1" ht="7.5" customHeight="1">
      <c r="A588" s="2462"/>
      <c r="B588" s="2462"/>
      <c r="C588" s="2462"/>
      <c r="D588" s="2462"/>
      <c r="E588" s="2462"/>
      <c r="F588" s="2462"/>
      <c r="G588" s="2462"/>
      <c r="H588" s="2462"/>
      <c r="I588" s="2579"/>
      <c r="J588" s="2579"/>
      <c r="K588" s="2579"/>
      <c r="L588" s="2579"/>
      <c r="M588" s="2579"/>
      <c r="N588" s="2579"/>
      <c r="O588" s="2579"/>
    </row>
    <row r="589" spans="1:15" s="2463" customFormat="1" ht="7.5" customHeight="1">
      <c r="A589" s="2462"/>
      <c r="B589" s="2462"/>
      <c r="C589" s="2462"/>
      <c r="D589" s="2462"/>
      <c r="E589" s="2462"/>
      <c r="F589" s="2462"/>
      <c r="G589" s="2462"/>
      <c r="H589" s="2462"/>
      <c r="I589" s="2579"/>
      <c r="J589" s="2579"/>
      <c r="K589" s="2579"/>
      <c r="L589" s="2579"/>
      <c r="M589" s="2579"/>
      <c r="N589" s="2579"/>
      <c r="O589" s="2579"/>
    </row>
    <row r="590" spans="1:15" s="2463" customFormat="1" ht="7.5" customHeight="1">
      <c r="A590" s="2462"/>
      <c r="B590" s="2462"/>
      <c r="C590" s="2462"/>
      <c r="D590" s="2462"/>
      <c r="E590" s="2462"/>
      <c r="F590" s="2462"/>
      <c r="G590" s="2462"/>
      <c r="H590" s="2462"/>
      <c r="I590" s="2579"/>
      <c r="J590" s="2579"/>
      <c r="K590" s="2579"/>
      <c r="L590" s="2579"/>
      <c r="M590" s="2579"/>
      <c r="N590" s="2579"/>
      <c r="O590" s="2579"/>
    </row>
    <row r="591" spans="1:15" s="2463" customFormat="1" ht="7.5" customHeight="1">
      <c r="A591" s="2462"/>
      <c r="B591" s="2462"/>
      <c r="C591" s="2462"/>
      <c r="D591" s="2462"/>
      <c r="E591" s="2462"/>
      <c r="F591" s="2462"/>
      <c r="G591" s="2462"/>
      <c r="H591" s="2462"/>
      <c r="I591" s="2579"/>
      <c r="J591" s="2579"/>
      <c r="K591" s="2579"/>
      <c r="L591" s="2579"/>
      <c r="M591" s="2579"/>
      <c r="N591" s="2579"/>
      <c r="O591" s="2579"/>
    </row>
    <row r="592" spans="1:15" s="2463" customFormat="1" ht="7.5" customHeight="1">
      <c r="A592" s="2462"/>
      <c r="B592" s="2462"/>
      <c r="C592" s="2462"/>
      <c r="D592" s="2462"/>
      <c r="E592" s="2462"/>
      <c r="F592" s="2462"/>
      <c r="G592" s="2462"/>
      <c r="H592" s="2462"/>
      <c r="I592" s="2579"/>
      <c r="J592" s="2579"/>
      <c r="K592" s="2579"/>
      <c r="L592" s="2579"/>
      <c r="M592" s="2579"/>
      <c r="N592" s="2579"/>
      <c r="O592" s="2579"/>
    </row>
    <row r="593" spans="1:15" s="2463" customFormat="1" ht="7.5" customHeight="1">
      <c r="A593" s="2462"/>
      <c r="B593" s="2462"/>
      <c r="C593" s="2462"/>
      <c r="D593" s="2462"/>
      <c r="E593" s="2462"/>
      <c r="F593" s="2462"/>
      <c r="G593" s="2462"/>
      <c r="H593" s="2462"/>
      <c r="I593" s="2579"/>
      <c r="J593" s="2579"/>
      <c r="K593" s="2579"/>
      <c r="L593" s="2579"/>
      <c r="M593" s="2579"/>
      <c r="N593" s="2579"/>
      <c r="O593" s="2579"/>
    </row>
    <row r="594" spans="1:15" s="2463" customFormat="1" ht="7.5" customHeight="1">
      <c r="A594" s="2462"/>
      <c r="B594" s="2462"/>
      <c r="C594" s="2462"/>
      <c r="D594" s="2462"/>
      <c r="E594" s="2462"/>
      <c r="F594" s="2462"/>
      <c r="G594" s="2462"/>
      <c r="H594" s="2462"/>
      <c r="I594" s="2579"/>
      <c r="J594" s="2579"/>
      <c r="K594" s="2579"/>
      <c r="L594" s="2579"/>
      <c r="M594" s="2579"/>
      <c r="N594" s="2579"/>
      <c r="O594" s="2579"/>
    </row>
    <row r="595" spans="1:15" s="2463" customFormat="1" ht="7.5" customHeight="1">
      <c r="A595" s="2462"/>
      <c r="B595" s="2462"/>
      <c r="C595" s="2462"/>
      <c r="D595" s="2462"/>
      <c r="E595" s="2462"/>
      <c r="F595" s="2462"/>
      <c r="G595" s="2462"/>
      <c r="H595" s="2462"/>
      <c r="I595" s="2579"/>
      <c r="J595" s="2579"/>
      <c r="K595" s="2579"/>
      <c r="L595" s="2579"/>
      <c r="M595" s="2579"/>
      <c r="N595" s="2579"/>
      <c r="O595" s="2579"/>
    </row>
    <row r="596" spans="1:15" s="2463" customFormat="1" ht="7.5" customHeight="1">
      <c r="A596" s="2462"/>
      <c r="B596" s="2462"/>
      <c r="C596" s="2462"/>
      <c r="D596" s="2462"/>
      <c r="E596" s="2462"/>
      <c r="F596" s="2462"/>
      <c r="G596" s="2462"/>
      <c r="H596" s="2462"/>
      <c r="I596" s="2579"/>
      <c r="J596" s="2579"/>
      <c r="K596" s="2579"/>
      <c r="L596" s="2579"/>
      <c r="M596" s="2579"/>
      <c r="N596" s="2579"/>
      <c r="O596" s="2579"/>
    </row>
    <row r="597" spans="1:15" s="2463" customFormat="1" ht="7.5" customHeight="1">
      <c r="A597" s="2462"/>
      <c r="B597" s="2462"/>
      <c r="C597" s="2462"/>
      <c r="D597" s="2462"/>
      <c r="E597" s="2462"/>
      <c r="F597" s="2462"/>
      <c r="G597" s="2462"/>
      <c r="H597" s="2462"/>
      <c r="I597" s="2579"/>
      <c r="J597" s="2579"/>
      <c r="K597" s="2579"/>
      <c r="L597" s="2579"/>
      <c r="M597" s="2579"/>
      <c r="N597" s="2579"/>
      <c r="O597" s="2579"/>
    </row>
    <row r="598" spans="1:15" s="2463" customFormat="1" ht="7.5" customHeight="1">
      <c r="A598" s="2462"/>
      <c r="B598" s="2462"/>
      <c r="C598" s="2462"/>
      <c r="D598" s="2462"/>
      <c r="E598" s="2462"/>
      <c r="F598" s="2462"/>
      <c r="G598" s="2462"/>
      <c r="H598" s="2462"/>
      <c r="I598" s="2579"/>
      <c r="J598" s="2579"/>
      <c r="K598" s="2579"/>
      <c r="L598" s="2579"/>
      <c r="M598" s="2579"/>
      <c r="N598" s="2579"/>
      <c r="O598" s="2579"/>
    </row>
    <row r="599" spans="1:15" s="2463" customFormat="1" ht="7.5" customHeight="1">
      <c r="A599" s="2462"/>
      <c r="B599" s="2462"/>
      <c r="C599" s="2462"/>
      <c r="D599" s="2462"/>
      <c r="E599" s="2462"/>
      <c r="F599" s="2462"/>
      <c r="G599" s="2462"/>
      <c r="H599" s="2462"/>
      <c r="I599" s="2579"/>
      <c r="J599" s="2579"/>
      <c r="K599" s="2579"/>
      <c r="L599" s="2579"/>
      <c r="M599" s="2579"/>
      <c r="N599" s="2579"/>
      <c r="O599" s="2579"/>
    </row>
    <row r="600" spans="1:15" s="2463" customFormat="1" ht="7.5" customHeight="1">
      <c r="A600" s="2462"/>
      <c r="B600" s="2462"/>
      <c r="C600" s="2462"/>
      <c r="D600" s="2462"/>
      <c r="E600" s="2462"/>
      <c r="F600" s="2462"/>
      <c r="G600" s="2462"/>
      <c r="H600" s="2462"/>
      <c r="I600" s="2579"/>
      <c r="J600" s="2579"/>
      <c r="K600" s="2579"/>
      <c r="L600" s="2579"/>
      <c r="M600" s="2579"/>
      <c r="N600" s="2579"/>
      <c r="O600" s="2579"/>
    </row>
    <row r="604" spans="1:15" s="2463" customFormat="1">
      <c r="A604" s="2462"/>
      <c r="B604" s="2462"/>
      <c r="C604" s="2462"/>
      <c r="D604" s="2462"/>
      <c r="E604" s="2462"/>
      <c r="F604" s="2462"/>
      <c r="G604" s="2462"/>
      <c r="H604" s="2462"/>
      <c r="I604" s="2579"/>
      <c r="J604" s="2579"/>
      <c r="K604" s="2579"/>
      <c r="L604" s="2579"/>
      <c r="M604" s="2579"/>
      <c r="N604" s="2579"/>
      <c r="O604" s="2579"/>
    </row>
    <row r="605" spans="1:15" s="2463" customFormat="1">
      <c r="A605" s="2462"/>
      <c r="B605" s="2462"/>
      <c r="C605" s="2462"/>
      <c r="D605" s="2462"/>
      <c r="E605" s="2462"/>
      <c r="F605" s="2462"/>
      <c r="G605" s="2462"/>
      <c r="H605" s="2462"/>
      <c r="I605" s="2579"/>
      <c r="J605" s="2579"/>
      <c r="K605" s="2579"/>
      <c r="L605" s="2579"/>
      <c r="M605" s="2579"/>
      <c r="N605" s="2579"/>
      <c r="O605" s="2579"/>
    </row>
    <row r="606" spans="1:15" s="2463" customFormat="1">
      <c r="A606" s="2462"/>
      <c r="B606" s="2462"/>
      <c r="C606" s="2462"/>
      <c r="D606" s="2462"/>
      <c r="E606" s="2462"/>
      <c r="F606" s="2462"/>
      <c r="G606" s="2462"/>
      <c r="H606" s="2462"/>
      <c r="I606" s="2579"/>
      <c r="J606" s="2579"/>
      <c r="K606" s="2579"/>
      <c r="L606" s="2579"/>
      <c r="M606" s="2579"/>
      <c r="N606" s="2579"/>
      <c r="O606" s="2579"/>
    </row>
    <row r="607" spans="1:15" s="2463" customFormat="1">
      <c r="A607" s="2462"/>
      <c r="B607" s="2462"/>
      <c r="C607" s="2462"/>
      <c r="D607" s="2462"/>
      <c r="E607" s="2462"/>
      <c r="F607" s="2462"/>
      <c r="G607" s="2462"/>
      <c r="H607" s="2462"/>
      <c r="I607" s="2579"/>
      <c r="J607" s="2579"/>
      <c r="K607" s="2579"/>
      <c r="L607" s="2579"/>
      <c r="M607" s="2579"/>
      <c r="N607" s="2579"/>
      <c r="O607" s="2579"/>
    </row>
    <row r="608" spans="1:15" s="2463" customFormat="1">
      <c r="A608" s="2462"/>
      <c r="B608" s="2462"/>
      <c r="C608" s="2462"/>
      <c r="D608" s="2462"/>
      <c r="E608" s="2462"/>
      <c r="F608" s="2462"/>
      <c r="G608" s="2462"/>
      <c r="H608" s="2462"/>
      <c r="I608" s="2579"/>
      <c r="J608" s="2579"/>
      <c r="K608" s="2579"/>
      <c r="L608" s="2579"/>
      <c r="M608" s="2579"/>
      <c r="N608" s="2579"/>
      <c r="O608" s="2579"/>
    </row>
    <row r="609" spans="1:15" s="2463" customFormat="1">
      <c r="A609" s="2462"/>
      <c r="B609" s="2462"/>
      <c r="C609" s="2462"/>
      <c r="D609" s="2462"/>
      <c r="E609" s="2462"/>
      <c r="F609" s="2462"/>
      <c r="G609" s="2462"/>
      <c r="H609" s="2462"/>
      <c r="I609" s="2579"/>
      <c r="J609" s="2579"/>
      <c r="K609" s="2579"/>
      <c r="L609" s="2579"/>
      <c r="M609" s="2579"/>
      <c r="N609" s="2579"/>
      <c r="O609" s="2579"/>
    </row>
    <row r="610" spans="1:15" s="2463" customFormat="1">
      <c r="A610" s="2462"/>
      <c r="B610" s="2462"/>
      <c r="C610" s="2462"/>
      <c r="D610" s="2462"/>
      <c r="E610" s="2462"/>
      <c r="F610" s="2462"/>
      <c r="G610" s="2462"/>
      <c r="H610" s="2462"/>
      <c r="I610" s="2579"/>
      <c r="J610" s="2579"/>
      <c r="K610" s="2579"/>
      <c r="L610" s="2579"/>
      <c r="M610" s="2579"/>
      <c r="N610" s="2579"/>
      <c r="O610" s="2579"/>
    </row>
    <row r="611" spans="1:15" s="2463" customFormat="1">
      <c r="A611" s="2462"/>
      <c r="B611" s="2462"/>
      <c r="C611" s="2462"/>
      <c r="D611" s="2462"/>
      <c r="E611" s="2462"/>
      <c r="F611" s="2462"/>
      <c r="G611" s="2462"/>
      <c r="H611" s="2462"/>
      <c r="I611" s="2579"/>
      <c r="J611" s="2579"/>
      <c r="K611" s="2579"/>
      <c r="L611" s="2579"/>
      <c r="M611" s="2579"/>
      <c r="N611" s="2579"/>
      <c r="O611" s="2579"/>
    </row>
    <row r="612" spans="1:15" s="2463" customFormat="1">
      <c r="A612" s="2462"/>
      <c r="B612" s="2462"/>
      <c r="C612" s="2462"/>
      <c r="D612" s="2462"/>
      <c r="E612" s="2462"/>
      <c r="F612" s="2462"/>
      <c r="G612" s="2462"/>
      <c r="H612" s="2462"/>
      <c r="I612" s="2579"/>
      <c r="J612" s="2579"/>
      <c r="K612" s="2579"/>
      <c r="L612" s="2579"/>
      <c r="M612" s="2579"/>
      <c r="N612" s="2579"/>
      <c r="O612" s="2579"/>
    </row>
    <row r="613" spans="1:15" s="2463" customFormat="1">
      <c r="A613" s="2462"/>
      <c r="B613" s="2462"/>
      <c r="C613" s="2462"/>
      <c r="D613" s="2462"/>
      <c r="E613" s="2462"/>
      <c r="F613" s="2462"/>
      <c r="G613" s="2462"/>
      <c r="H613" s="2462"/>
      <c r="I613" s="2579"/>
      <c r="J613" s="2579"/>
      <c r="K613" s="2579"/>
      <c r="L613" s="2579"/>
      <c r="M613" s="2579"/>
      <c r="N613" s="2579"/>
      <c r="O613" s="2579"/>
    </row>
    <row r="614" spans="1:15" s="2463" customFormat="1">
      <c r="A614" s="2462"/>
      <c r="B614" s="2462"/>
      <c r="C614" s="2462"/>
      <c r="D614" s="2462"/>
      <c r="E614" s="2462"/>
      <c r="F614" s="2462"/>
      <c r="G614" s="2462"/>
      <c r="H614" s="2462"/>
      <c r="I614" s="2579"/>
      <c r="J614" s="2579"/>
      <c r="K614" s="2579"/>
      <c r="L614" s="2579"/>
      <c r="M614" s="2579"/>
      <c r="N614" s="2579"/>
      <c r="O614" s="2579"/>
    </row>
    <row r="615" spans="1:15" s="2463" customFormat="1">
      <c r="A615" s="2462"/>
      <c r="B615" s="2462"/>
      <c r="C615" s="2462"/>
      <c r="D615" s="2462"/>
      <c r="E615" s="2462"/>
      <c r="F615" s="2462"/>
      <c r="G615" s="2462"/>
      <c r="H615" s="2462"/>
      <c r="I615" s="2579"/>
      <c r="J615" s="2579"/>
      <c r="K615" s="2579"/>
      <c r="L615" s="2579"/>
      <c r="M615" s="2579"/>
      <c r="N615" s="2579"/>
      <c r="O615" s="2579"/>
    </row>
    <row r="616" spans="1:15" s="2463" customFormat="1">
      <c r="A616" s="2462"/>
      <c r="B616" s="2462"/>
      <c r="C616" s="2462"/>
      <c r="D616" s="2462"/>
      <c r="E616" s="2462"/>
      <c r="F616" s="2462"/>
      <c r="G616" s="2462"/>
      <c r="H616" s="2462"/>
      <c r="I616" s="2579"/>
      <c r="J616" s="2579"/>
      <c r="K616" s="2579"/>
      <c r="L616" s="2579"/>
      <c r="M616" s="2579"/>
      <c r="N616" s="2579"/>
      <c r="O616" s="2579"/>
    </row>
    <row r="617" spans="1:15" s="2463" customFormat="1">
      <c r="A617" s="2462"/>
      <c r="B617" s="2462"/>
      <c r="C617" s="2462"/>
      <c r="D617" s="2462"/>
      <c r="E617" s="2462"/>
      <c r="F617" s="2462"/>
      <c r="G617" s="2462"/>
      <c r="H617" s="2462"/>
      <c r="I617" s="2579"/>
      <c r="J617" s="2579"/>
      <c r="K617" s="2579"/>
      <c r="L617" s="2579"/>
      <c r="M617" s="2579"/>
      <c r="N617" s="2579"/>
      <c r="O617" s="2579"/>
    </row>
    <row r="618" spans="1:15" s="2463" customFormat="1">
      <c r="A618" s="2462"/>
      <c r="B618" s="2462"/>
      <c r="C618" s="2462"/>
      <c r="D618" s="2462"/>
      <c r="E618" s="2462"/>
      <c r="F618" s="2462"/>
      <c r="G618" s="2462"/>
      <c r="H618" s="2462"/>
      <c r="I618" s="2579"/>
      <c r="J618" s="2579"/>
      <c r="K618" s="2579"/>
      <c r="L618" s="2579"/>
      <c r="M618" s="2579"/>
      <c r="N618" s="2579"/>
      <c r="O618" s="2579"/>
    </row>
    <row r="619" spans="1:15" s="2463" customFormat="1">
      <c r="A619" s="2462"/>
      <c r="B619" s="2462"/>
      <c r="C619" s="2462"/>
      <c r="D619" s="2462"/>
      <c r="E619" s="2462"/>
      <c r="F619" s="2462"/>
      <c r="G619" s="2462"/>
      <c r="H619" s="2462"/>
      <c r="I619" s="2579"/>
      <c r="J619" s="2579"/>
      <c r="K619" s="2579"/>
      <c r="L619" s="2579"/>
      <c r="M619" s="2579"/>
      <c r="N619" s="2579"/>
      <c r="O619" s="2579"/>
    </row>
    <row r="620" spans="1:15" s="2463" customFormat="1">
      <c r="A620" s="2462"/>
      <c r="B620" s="2462"/>
      <c r="C620" s="2462"/>
      <c r="D620" s="2462"/>
      <c r="E620" s="2462"/>
      <c r="F620" s="2462"/>
      <c r="G620" s="2462"/>
      <c r="H620" s="2462"/>
      <c r="I620" s="2579"/>
      <c r="J620" s="2579"/>
      <c r="K620" s="2579"/>
      <c r="L620" s="2579"/>
      <c r="M620" s="2579"/>
      <c r="N620" s="2579"/>
      <c r="O620" s="2579"/>
    </row>
  </sheetData>
  <mergeCells count="29">
    <mergeCell ref="C35:E35"/>
    <mergeCell ref="A113:H113"/>
    <mergeCell ref="A57:H57"/>
    <mergeCell ref="A58:H58"/>
    <mergeCell ref="A63:B65"/>
    <mergeCell ref="E63:G63"/>
    <mergeCell ref="E73:F73"/>
    <mergeCell ref="C132:D132"/>
    <mergeCell ref="E132:H132"/>
    <mergeCell ref="A114:H114"/>
    <mergeCell ref="A119:B121"/>
    <mergeCell ref="E119:G119"/>
    <mergeCell ref="E129:F129"/>
    <mergeCell ref="C131:D131"/>
    <mergeCell ref="E131:H131"/>
    <mergeCell ref="A5:H5"/>
    <mergeCell ref="A6:H6"/>
    <mergeCell ref="A33:B33"/>
    <mergeCell ref="C33:E33"/>
    <mergeCell ref="F33:H33"/>
    <mergeCell ref="A11:B13"/>
    <mergeCell ref="E11:G11"/>
    <mergeCell ref="C75:D75"/>
    <mergeCell ref="E75:H75"/>
    <mergeCell ref="C76:D76"/>
    <mergeCell ref="E76:H76"/>
    <mergeCell ref="C34:E34"/>
    <mergeCell ref="F34:H34"/>
    <mergeCell ref="A35:B35"/>
  </mergeCells>
  <pageMargins left="0.5" right="0" top="0.25" bottom="0" header="0.5" footer="0"/>
  <pageSetup paperSize="5" orientation="portrait"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92D050"/>
    <outlinePr summaryBelow="0"/>
  </sheetPr>
  <dimension ref="A1:ER620"/>
  <sheetViews>
    <sheetView showGridLines="0" showOutlineSymbols="0" topLeftCell="A16" workbookViewId="0">
      <pane xSplit="18525" topLeftCell="ET1"/>
      <selection activeCell="K20" sqref="K20"/>
      <selection pane="topRight" activeCell="ET1" sqref="ET1"/>
    </sheetView>
  </sheetViews>
  <sheetFormatPr defaultColWidth="12.5703125" defaultRowHeight="15.75" outlineLevelRow="2" outlineLevelCol="2"/>
  <cols>
    <col min="1" max="1" width="1.85546875" style="2462" customWidth="1"/>
    <col min="2" max="2" width="28.5703125" style="2462" customWidth="1"/>
    <col min="3" max="3" width="10.7109375" style="2462" customWidth="1"/>
    <col min="4" max="4" width="11.140625" style="2462" customWidth="1"/>
    <col min="5" max="5" width="11.85546875" style="2462" customWidth="1"/>
    <col min="6" max="6" width="11.140625" style="2462" customWidth="1"/>
    <col min="7" max="7" width="10.28515625" style="2462" customWidth="1"/>
    <col min="8" max="8" width="12.42578125" style="2462" customWidth="1"/>
    <col min="9" max="11" width="12.5703125" style="2528"/>
    <col min="12" max="12" width="13.85546875" style="2528" bestFit="1" customWidth="1"/>
    <col min="13" max="15" width="12.5703125" style="2528"/>
    <col min="16" max="47" width="12.5703125" style="2462"/>
    <col min="48" max="52" width="12.5703125" style="2462" outlineLevel="1"/>
    <col min="53" max="58" width="12.5703125" style="2462" outlineLevel="2"/>
    <col min="59" max="61" width="12.5703125" style="2462" outlineLevel="1"/>
    <col min="62" max="81" width="12.5703125" style="2462"/>
    <col min="82" max="85" width="12.5703125" style="2462" outlineLevel="1"/>
    <col min="86" max="133" width="12.5703125" style="2462"/>
    <col min="134" max="139" width="12.5703125" style="2462" outlineLevel="1"/>
    <col min="140" max="145" width="12.5703125" style="2462" outlineLevel="2"/>
    <col min="146" max="148" width="12.5703125" style="2462" outlineLevel="1"/>
    <col min="149" max="16384" width="12.5703125" style="2462"/>
  </cols>
  <sheetData>
    <row r="1" spans="1:15" s="1390" customFormat="1" ht="19.5" customHeight="1">
      <c r="A1" s="2615" t="s">
        <v>473</v>
      </c>
      <c r="D1" s="1477"/>
      <c r="E1" s="1477"/>
      <c r="F1" s="1478"/>
      <c r="H1" s="1477"/>
    </row>
    <row r="2" spans="1:15" s="1390" customFormat="1" ht="14.25" customHeight="1">
      <c r="A2" s="2614" t="s">
        <v>584</v>
      </c>
      <c r="D2" s="1477"/>
      <c r="E2" s="1477"/>
      <c r="F2" s="1477"/>
      <c r="H2" s="1477"/>
    </row>
    <row r="3" spans="1:15" s="1390" customFormat="1" ht="14.25" customHeight="1">
      <c r="A3" s="1403"/>
      <c r="B3" s="1403"/>
      <c r="C3" s="2525"/>
      <c r="E3" s="1477"/>
      <c r="G3" s="1478"/>
      <c r="H3" s="1477"/>
    </row>
    <row r="4" spans="1:15" s="1390" customFormat="1" ht="14.25" customHeight="1">
      <c r="A4" s="1403"/>
      <c r="B4" s="1403"/>
      <c r="C4" s="2525"/>
      <c r="E4" s="1477"/>
      <c r="G4" s="1478"/>
      <c r="H4" s="1477"/>
    </row>
    <row r="5" spans="1:15" s="1390" customFormat="1" ht="14.25" customHeight="1">
      <c r="A5" s="4872" t="s">
        <v>471</v>
      </c>
      <c r="B5" s="4872"/>
      <c r="C5" s="4872"/>
      <c r="D5" s="4872"/>
      <c r="E5" s="4872"/>
      <c r="F5" s="4872"/>
      <c r="G5" s="4872"/>
      <c r="H5" s="4872"/>
    </row>
    <row r="6" spans="1:15" s="1390" customFormat="1" ht="14.25" customHeight="1">
      <c r="A6" s="4742" t="s">
        <v>470</v>
      </c>
      <c r="B6" s="4742"/>
      <c r="C6" s="4742"/>
      <c r="D6" s="4742"/>
      <c r="E6" s="4742"/>
      <c r="F6" s="4742"/>
      <c r="G6" s="4742"/>
      <c r="H6" s="4742"/>
    </row>
    <row r="8" spans="1:15" s="1390" customFormat="1" ht="14.25" customHeight="1">
      <c r="A8" s="1577" t="s">
        <v>2120</v>
      </c>
      <c r="C8" s="2525"/>
      <c r="D8" s="1403"/>
      <c r="E8" s="1403"/>
      <c r="F8" s="1403"/>
      <c r="G8" s="1403"/>
      <c r="H8" s="1403"/>
    </row>
    <row r="9" spans="1:15" s="1390" customFormat="1" ht="14.25" customHeight="1">
      <c r="B9" s="2612" t="s">
        <v>2157</v>
      </c>
      <c r="C9" s="2525"/>
      <c r="D9" s="1403"/>
      <c r="E9" s="1403"/>
      <c r="F9" s="1403"/>
      <c r="G9" s="1403"/>
      <c r="H9" s="1403"/>
    </row>
    <row r="10" spans="1:15" ht="18" customHeight="1" outlineLevel="1">
      <c r="A10" s="2564"/>
      <c r="B10" s="2564"/>
      <c r="C10" s="2563"/>
      <c r="D10" s="2570"/>
      <c r="E10" s="2569"/>
      <c r="F10" s="2540"/>
      <c r="G10" s="1388"/>
      <c r="H10" s="2561"/>
      <c r="I10" s="2666"/>
      <c r="J10" s="2530"/>
      <c r="K10" s="2530"/>
      <c r="L10" s="2530"/>
    </row>
    <row r="11" spans="1:15" ht="16.7" customHeight="1" outlineLevel="1">
      <c r="A11" s="4743" t="s">
        <v>468</v>
      </c>
      <c r="B11" s="4744"/>
      <c r="C11" s="2607" t="s">
        <v>467</v>
      </c>
      <c r="D11" s="2608" t="s">
        <v>466</v>
      </c>
      <c r="E11" s="4869" t="s">
        <v>465</v>
      </c>
      <c r="F11" s="4870"/>
      <c r="G11" s="4871"/>
      <c r="H11" s="2607" t="s">
        <v>464</v>
      </c>
      <c r="I11" s="2666"/>
      <c r="J11" s="2663"/>
      <c r="K11" s="2530"/>
      <c r="L11" s="2530"/>
    </row>
    <row r="12" spans="1:15" ht="16.7" customHeight="1" outlineLevel="1">
      <c r="A12" s="4745"/>
      <c r="B12" s="4746"/>
      <c r="C12" s="2606" t="s">
        <v>463</v>
      </c>
      <c r="D12" s="2517" t="s">
        <v>573</v>
      </c>
      <c r="E12" s="2517" t="s">
        <v>2118</v>
      </c>
      <c r="F12" s="2517" t="s">
        <v>2117</v>
      </c>
      <c r="G12" s="2517" t="s">
        <v>244</v>
      </c>
      <c r="H12" s="2517" t="s">
        <v>652</v>
      </c>
      <c r="I12" s="2681"/>
      <c r="J12" s="1302"/>
      <c r="K12" s="2659"/>
      <c r="L12" s="2530"/>
    </row>
    <row r="13" spans="1:15" ht="16.7" customHeight="1" outlineLevel="1">
      <c r="A13" s="4747"/>
      <c r="B13" s="4748"/>
      <c r="C13" s="2604"/>
      <c r="D13" s="2602" t="s">
        <v>460</v>
      </c>
      <c r="E13" s="2602" t="s">
        <v>460</v>
      </c>
      <c r="F13" s="2602" t="s">
        <v>459</v>
      </c>
      <c r="G13" s="2623"/>
      <c r="H13" s="2602" t="s">
        <v>458</v>
      </c>
      <c r="I13" s="2668"/>
      <c r="J13" s="1302"/>
      <c r="K13" s="2659"/>
      <c r="L13" s="2530"/>
    </row>
    <row r="14" spans="1:15" s="1404" customFormat="1" ht="15" customHeight="1">
      <c r="A14" s="2601" t="s">
        <v>2011</v>
      </c>
      <c r="B14" s="2605"/>
      <c r="C14" s="2515"/>
      <c r="D14" s="2513"/>
      <c r="E14" s="2513"/>
      <c r="F14" s="2513"/>
      <c r="G14" s="2603"/>
      <c r="H14" s="2513"/>
      <c r="I14" s="2616"/>
      <c r="J14" s="2616"/>
      <c r="K14" s="2616"/>
      <c r="L14" s="2616"/>
      <c r="M14" s="2616"/>
      <c r="N14" s="2616"/>
      <c r="O14" s="2616"/>
    </row>
    <row r="15" spans="1:15" ht="16.7" customHeight="1" outlineLevel="1">
      <c r="A15" s="2680" t="s">
        <v>407</v>
      </c>
      <c r="B15" s="2686"/>
      <c r="C15" s="2629"/>
      <c r="D15" s="1433">
        <f>SUM(D16:D28)</f>
        <v>1892862.94</v>
      </c>
      <c r="E15" s="1433">
        <f>SUM(E16:E28)</f>
        <v>906088.5</v>
      </c>
      <c r="F15" s="1512">
        <f>SUM(F16:F28)</f>
        <v>1490711.5</v>
      </c>
      <c r="G15" s="1512">
        <f>SUM(G16:G23)</f>
        <v>2276800</v>
      </c>
      <c r="H15" s="1512">
        <f>SUM(H16:H28)</f>
        <v>2152000</v>
      </c>
      <c r="I15" s="2681"/>
      <c r="J15" s="1302"/>
      <c r="K15" s="2530"/>
      <c r="L15" s="2530"/>
    </row>
    <row r="16" spans="1:15" ht="20.100000000000001" customHeight="1" outlineLevel="1">
      <c r="A16" s="1536" t="s">
        <v>674</v>
      </c>
      <c r="B16" s="2596"/>
      <c r="C16" s="2187" t="s">
        <v>396</v>
      </c>
      <c r="D16" s="2684">
        <v>28125.46</v>
      </c>
      <c r="E16" s="2683">
        <v>0</v>
      </c>
      <c r="F16" s="2683">
        <f>G16-E16</f>
        <v>45000</v>
      </c>
      <c r="G16" s="2683">
        <v>45000</v>
      </c>
      <c r="H16" s="2683">
        <v>45000</v>
      </c>
      <c r="I16" s="2676"/>
      <c r="J16" s="1302"/>
      <c r="K16" s="2530"/>
      <c r="L16" s="2530"/>
    </row>
    <row r="17" spans="1:16" ht="20.100000000000001" customHeight="1" outlineLevel="1">
      <c r="A17" s="2591" t="s">
        <v>878</v>
      </c>
      <c r="B17" s="1519"/>
      <c r="C17" s="978" t="s">
        <v>394</v>
      </c>
      <c r="D17" s="1428">
        <v>94943.2</v>
      </c>
      <c r="E17" s="1427">
        <v>94903.5</v>
      </c>
      <c r="F17" s="1454">
        <f>G17-E17</f>
        <v>35656.5</v>
      </c>
      <c r="G17" s="1427">
        <v>130560</v>
      </c>
      <c r="H17" s="1427">
        <v>130560</v>
      </c>
      <c r="I17" s="2668"/>
      <c r="J17" s="2663"/>
      <c r="K17" s="2530"/>
      <c r="L17" s="2530"/>
      <c r="M17" s="2682"/>
      <c r="N17" s="2682"/>
      <c r="O17" s="2530"/>
      <c r="P17" s="2529"/>
    </row>
    <row r="18" spans="1:16" ht="20.100000000000001" customHeight="1" outlineLevel="1">
      <c r="A18" s="2591" t="s">
        <v>389</v>
      </c>
      <c r="B18" s="1519"/>
      <c r="C18" s="978" t="s">
        <v>388</v>
      </c>
      <c r="D18" s="1428">
        <v>1769794.28</v>
      </c>
      <c r="E18" s="1427">
        <v>811185</v>
      </c>
      <c r="F18" s="1454">
        <f>G18-E18</f>
        <v>1120935</v>
      </c>
      <c r="G18" s="1427">
        <v>1932120</v>
      </c>
      <c r="H18" s="1427">
        <v>1932120</v>
      </c>
      <c r="I18" s="2666"/>
      <c r="J18" s="2656"/>
      <c r="K18" s="2530"/>
      <c r="L18" s="2530"/>
      <c r="M18" s="1302"/>
      <c r="N18" s="1302"/>
      <c r="O18" s="2530"/>
      <c r="P18" s="2529"/>
    </row>
    <row r="19" spans="1:16" ht="20.100000000000001" customHeight="1" outlineLevel="1">
      <c r="A19" s="2722" t="s">
        <v>2149</v>
      </c>
      <c r="B19" s="2697"/>
      <c r="C19" s="978"/>
      <c r="D19" s="1428"/>
      <c r="E19" s="1427"/>
      <c r="F19" s="1454"/>
      <c r="G19" s="1427"/>
      <c r="H19" s="1427"/>
      <c r="I19" s="2666"/>
      <c r="J19" s="2656"/>
      <c r="K19" s="2530"/>
      <c r="L19" s="2530"/>
      <c r="M19" s="1302"/>
      <c r="N19" s="1302"/>
      <c r="O19" s="2530"/>
      <c r="P19" s="2529"/>
    </row>
    <row r="20" spans="1:16" ht="20.100000000000001" customHeight="1" outlineLevel="1">
      <c r="A20" s="2698"/>
      <c r="B20" s="2697" t="s">
        <v>2123</v>
      </c>
      <c r="C20" s="531" t="s">
        <v>376</v>
      </c>
      <c r="D20" s="1428">
        <v>0</v>
      </c>
      <c r="E20" s="1427">
        <v>0</v>
      </c>
      <c r="F20" s="1454">
        <f>G20-E20</f>
        <v>41800</v>
      </c>
      <c r="G20" s="1427">
        <v>41800</v>
      </c>
      <c r="H20" s="1427">
        <v>25000</v>
      </c>
      <c r="I20" s="2666"/>
      <c r="J20" s="2656"/>
      <c r="K20" s="2530"/>
      <c r="L20" s="2530"/>
      <c r="M20" s="1302"/>
      <c r="N20" s="1302"/>
      <c r="O20" s="2530"/>
      <c r="P20" s="2529"/>
    </row>
    <row r="21" spans="1:16" ht="20.100000000000001" customHeight="1" outlineLevel="1">
      <c r="A21" s="1536" t="s">
        <v>368</v>
      </c>
      <c r="B21" s="2628"/>
      <c r="C21" s="978" t="s">
        <v>367</v>
      </c>
      <c r="D21" s="1428">
        <v>0</v>
      </c>
      <c r="E21" s="1427">
        <v>0</v>
      </c>
      <c r="F21" s="1454">
        <f>G21-E21</f>
        <v>115320</v>
      </c>
      <c r="G21" s="1427">
        <v>115320</v>
      </c>
      <c r="H21" s="1427">
        <v>7320</v>
      </c>
      <c r="I21" s="2666"/>
      <c r="J21" s="2656"/>
      <c r="K21" s="2530"/>
      <c r="L21" s="2530"/>
      <c r="M21" s="1302"/>
      <c r="N21" s="1302"/>
      <c r="O21" s="2530"/>
      <c r="P21" s="2529"/>
    </row>
    <row r="22" spans="1:16" ht="20.100000000000001" customHeight="1" outlineLevel="1">
      <c r="A22" s="2721" t="s">
        <v>368</v>
      </c>
      <c r="B22" s="2719"/>
      <c r="C22" s="530"/>
      <c r="D22" s="1457"/>
      <c r="E22" s="1424"/>
      <c r="F22" s="1431"/>
      <c r="G22" s="1424"/>
      <c r="H22" s="1424"/>
      <c r="I22" s="2666"/>
      <c r="J22" s="2656"/>
      <c r="K22" s="2530"/>
      <c r="L22" s="2530"/>
      <c r="M22" s="1302"/>
      <c r="N22" s="1302"/>
      <c r="O22" s="2530"/>
      <c r="P22" s="2529"/>
    </row>
    <row r="23" spans="1:16" ht="20.100000000000001" customHeight="1" outlineLevel="1">
      <c r="A23" s="2720"/>
      <c r="B23" s="2719" t="s">
        <v>2156</v>
      </c>
      <c r="C23" s="735" t="s">
        <v>2155</v>
      </c>
      <c r="D23" s="1457">
        <v>0</v>
      </c>
      <c r="E23" s="1424">
        <v>0</v>
      </c>
      <c r="F23" s="1431">
        <v>12000</v>
      </c>
      <c r="G23" s="1424">
        <v>12000</v>
      </c>
      <c r="H23" s="1424">
        <v>12000</v>
      </c>
      <c r="I23" s="2666"/>
      <c r="J23" s="2656"/>
      <c r="K23" s="2530"/>
      <c r="L23" s="2530"/>
      <c r="M23" s="1302"/>
      <c r="N23" s="1302"/>
      <c r="O23" s="2530"/>
      <c r="P23" s="2529"/>
    </row>
    <row r="24" spans="1:16" ht="20.100000000000001" customHeight="1" outlineLevel="1">
      <c r="A24" s="2674"/>
      <c r="B24" s="2673" t="s">
        <v>1241</v>
      </c>
      <c r="C24" s="2672"/>
      <c r="D24" s="2671">
        <f>SUM(D25)</f>
        <v>0</v>
      </c>
      <c r="E24" s="2671">
        <f>SUM(E25)</f>
        <v>0</v>
      </c>
      <c r="F24" s="2671">
        <f>SUM(F25)</f>
        <v>60000</v>
      </c>
      <c r="G24" s="2671">
        <f>SUM(G25)</f>
        <v>60000</v>
      </c>
      <c r="H24" s="2671">
        <f>SUM(H25)</f>
        <v>0</v>
      </c>
      <c r="I24" s="2666"/>
      <c r="J24" s="2656"/>
      <c r="K24" s="2530"/>
      <c r="L24" s="2530"/>
      <c r="M24" s="1302"/>
      <c r="N24" s="1302"/>
      <c r="O24" s="2530"/>
      <c r="P24" s="2529"/>
    </row>
    <row r="25" spans="1:16" ht="20.100000000000001" customHeight="1" outlineLevel="1">
      <c r="A25" s="2591" t="s">
        <v>2154</v>
      </c>
      <c r="B25" s="1519"/>
      <c r="C25" s="2620" t="s">
        <v>1386</v>
      </c>
      <c r="D25" s="1559">
        <v>0</v>
      </c>
      <c r="E25" s="2619">
        <v>0</v>
      </c>
      <c r="F25" s="1558">
        <v>60000</v>
      </c>
      <c r="G25" s="2619">
        <v>60000</v>
      </c>
      <c r="H25" s="2619">
        <v>0</v>
      </c>
      <c r="I25" s="2666"/>
      <c r="J25" s="2656"/>
      <c r="K25" s="2530"/>
      <c r="L25" s="2530"/>
      <c r="M25" s="1302"/>
      <c r="N25" s="1302"/>
      <c r="O25" s="2530"/>
      <c r="P25" s="2529"/>
    </row>
    <row r="26" spans="1:16" ht="20.100000000000001" customHeight="1" outlineLevel="1">
      <c r="A26" s="1553"/>
      <c r="B26" s="2628"/>
      <c r="C26" s="978"/>
      <c r="D26" s="1428"/>
      <c r="E26" s="1427"/>
      <c r="F26" s="1454"/>
      <c r="G26" s="1427"/>
      <c r="H26" s="1427"/>
      <c r="I26" s="2666"/>
      <c r="J26" s="2656"/>
      <c r="K26" s="2530"/>
      <c r="L26" s="2530"/>
      <c r="M26" s="1302"/>
      <c r="N26" s="1302"/>
      <c r="O26" s="2530"/>
      <c r="P26" s="2529"/>
    </row>
    <row r="27" spans="1:16" ht="20.100000000000001" customHeight="1" outlineLevel="1">
      <c r="A27" s="1553"/>
      <c r="B27" s="2628"/>
      <c r="C27" s="978"/>
      <c r="D27" s="1428"/>
      <c r="E27" s="1427"/>
      <c r="F27" s="1454"/>
      <c r="G27" s="1427"/>
      <c r="H27" s="1427"/>
      <c r="I27" s="2666"/>
      <c r="J27" s="2656"/>
      <c r="K27" s="2530"/>
      <c r="L27" s="2530"/>
      <c r="M27" s="1302"/>
      <c r="N27" s="1302"/>
      <c r="O27" s="2530"/>
      <c r="P27" s="2529"/>
    </row>
    <row r="28" spans="1:16" s="2529" customFormat="1" ht="20.100000000000001" customHeight="1" outlineLevel="1">
      <c r="A28" s="2587"/>
      <c r="B28" s="2586"/>
      <c r="C28" s="2585"/>
      <c r="D28" s="1428"/>
      <c r="E28" s="1424"/>
      <c r="F28" s="1454"/>
      <c r="G28" s="1424"/>
      <c r="H28" s="1424"/>
      <c r="I28" s="2528"/>
      <c r="J28" s="2656"/>
      <c r="K28" s="2530"/>
      <c r="L28" s="2530"/>
      <c r="M28" s="1302"/>
      <c r="N28" s="1302"/>
      <c r="O28" s="2530"/>
    </row>
    <row r="29" spans="1:16" s="2529" customFormat="1" ht="20.100000000000001" customHeight="1" outlineLevel="1" thickBot="1">
      <c r="A29" s="2617" t="s">
        <v>366</v>
      </c>
      <c r="B29" s="2584"/>
      <c r="C29" s="1419"/>
      <c r="D29" s="2480">
        <f>SUM(D16:D21)</f>
        <v>1892862.94</v>
      </c>
      <c r="E29" s="2480">
        <f>SUM(E16:E21)</f>
        <v>906088.5</v>
      </c>
      <c r="F29" s="2480">
        <f>F15+F24</f>
        <v>1550711.5</v>
      </c>
      <c r="G29" s="2480">
        <f>G15+G24</f>
        <v>2336800</v>
      </c>
      <c r="H29" s="2480">
        <f>H15+H24</f>
        <v>2152000</v>
      </c>
      <c r="I29" s="2670"/>
      <c r="J29" s="2656"/>
      <c r="K29" s="2530"/>
      <c r="L29" s="2530"/>
      <c r="M29" s="1302"/>
      <c r="N29" s="2659"/>
      <c r="O29" s="2530"/>
    </row>
    <row r="30" spans="1:16" s="2288" customFormat="1" ht="19.5" customHeight="1" outlineLevel="1" thickTop="1">
      <c r="A30" s="1403" t="s">
        <v>2112</v>
      </c>
      <c r="B30" s="1390"/>
      <c r="C30" s="1403" t="s">
        <v>2111</v>
      </c>
      <c r="D30" s="1390"/>
      <c r="F30" s="2582" t="s">
        <v>2110</v>
      </c>
      <c r="G30" s="1403"/>
      <c r="H30" s="1390"/>
    </row>
    <row r="31" spans="1:16" s="2288" customFormat="1" ht="15.95" customHeight="1" outlineLevel="1">
      <c r="A31" s="1403"/>
      <c r="B31" s="1390"/>
      <c r="C31" s="1403"/>
      <c r="D31" s="1390"/>
      <c r="E31" s="2471"/>
      <c r="F31" s="2471"/>
      <c r="G31" s="1403"/>
      <c r="H31" s="1390"/>
    </row>
    <row r="32" spans="1:16" s="2288" customFormat="1" ht="10.5" customHeight="1" outlineLevel="1">
      <c r="A32" s="1390"/>
      <c r="B32" s="1403"/>
      <c r="C32" s="2581"/>
      <c r="D32" s="1403"/>
      <c r="E32" s="1403"/>
      <c r="F32" s="1403"/>
      <c r="G32" s="1403"/>
      <c r="H32" s="1390"/>
    </row>
    <row r="33" spans="1:16" s="2288" customFormat="1" ht="15.95" customHeight="1" outlineLevel="1">
      <c r="A33" s="4873" t="s">
        <v>2109</v>
      </c>
      <c r="B33" s="4873"/>
      <c r="C33" s="4760" t="s">
        <v>360</v>
      </c>
      <c r="D33" s="4760"/>
      <c r="E33" s="4760"/>
      <c r="F33" s="4741" t="s">
        <v>359</v>
      </c>
      <c r="G33" s="4741"/>
      <c r="H33" s="4741"/>
    </row>
    <row r="34" spans="1:16" s="2288" customFormat="1" ht="15.75" customHeight="1" outlineLevel="1">
      <c r="A34" s="2580"/>
      <c r="B34" s="2464" t="s">
        <v>2108</v>
      </c>
      <c r="C34" s="4754" t="s">
        <v>357</v>
      </c>
      <c r="D34" s="4754"/>
      <c r="E34" s="4754"/>
      <c r="F34" s="4868" t="s">
        <v>356</v>
      </c>
      <c r="G34" s="4868"/>
      <c r="H34" s="4868"/>
    </row>
    <row r="35" spans="1:16" s="2288" customFormat="1" ht="12" customHeight="1" outlineLevel="1">
      <c r="A35" s="4878"/>
      <c r="B35" s="4878"/>
      <c r="C35" s="4754"/>
      <c r="D35" s="4754"/>
      <c r="E35" s="4754"/>
      <c r="F35" s="1406"/>
      <c r="G35" s="1406"/>
      <c r="H35" s="1406"/>
    </row>
    <row r="36" spans="1:16" s="2529" customFormat="1" ht="12" customHeight="1" outlineLevel="1">
      <c r="A36" s="2463"/>
      <c r="B36" s="2464"/>
      <c r="C36" s="2463"/>
      <c r="D36" s="2465"/>
      <c r="E36" s="2465"/>
      <c r="F36" s="2465"/>
      <c r="G36" s="2465"/>
      <c r="H36" s="2465"/>
      <c r="I36" s="2530"/>
      <c r="J36" s="2530"/>
      <c r="K36" s="2530"/>
      <c r="L36" s="2530"/>
      <c r="M36" s="2530"/>
      <c r="N36" s="2530"/>
      <c r="O36" s="2530"/>
    </row>
    <row r="37" spans="1:16" s="2529" customFormat="1" ht="12" customHeight="1" outlineLevel="1">
      <c r="A37" s="2463"/>
      <c r="B37" s="2464"/>
      <c r="C37" s="2463"/>
      <c r="D37" s="2465"/>
      <c r="E37" s="2465"/>
      <c r="F37" s="2465"/>
      <c r="G37" s="2465"/>
      <c r="H37" s="2465"/>
      <c r="I37" s="2530"/>
      <c r="J37" s="2530"/>
      <c r="K37" s="2530"/>
      <c r="L37" s="2530"/>
      <c r="M37" s="2530"/>
      <c r="N37" s="2530"/>
      <c r="O37" s="2530"/>
    </row>
    <row r="38" spans="1:16" s="2529" customFormat="1" ht="12" customHeight="1" outlineLevel="1">
      <c r="A38" s="2463"/>
      <c r="B38" s="2464"/>
      <c r="C38" s="2463"/>
      <c r="D38" s="2465"/>
      <c r="E38" s="2465"/>
      <c r="F38" s="2465"/>
      <c r="G38" s="2465"/>
      <c r="H38" s="2465"/>
      <c r="I38" s="2530"/>
      <c r="J38" s="2530"/>
      <c r="K38" s="2530"/>
      <c r="L38" s="2530"/>
      <c r="M38" s="2530"/>
      <c r="N38" s="2530"/>
      <c r="O38" s="2530"/>
    </row>
    <row r="39" spans="1:16" s="2529" customFormat="1" ht="12" customHeight="1" outlineLevel="1">
      <c r="A39" s="2463"/>
      <c r="B39" s="2464"/>
      <c r="C39" s="2463"/>
      <c r="D39" s="2465"/>
      <c r="E39" s="2465"/>
      <c r="F39" s="2465"/>
      <c r="G39" s="2465"/>
      <c r="H39" s="2465"/>
      <c r="I39" s="2530"/>
      <c r="J39" s="2530"/>
      <c r="K39" s="2530"/>
      <c r="L39" s="2530"/>
      <c r="M39" s="2530"/>
      <c r="N39" s="2530"/>
      <c r="O39" s="2530"/>
    </row>
    <row r="40" spans="1:16" s="2529" customFormat="1" ht="12" customHeight="1" outlineLevel="1">
      <c r="A40" s="2463"/>
      <c r="B40" s="2464"/>
      <c r="C40" s="2463"/>
      <c r="D40" s="2465"/>
      <c r="E40" s="2465"/>
      <c r="F40" s="2465"/>
      <c r="G40" s="2465"/>
      <c r="H40" s="2465"/>
      <c r="I40" s="2530"/>
      <c r="J40" s="2530"/>
      <c r="K40" s="2530"/>
      <c r="L40" s="2530"/>
      <c r="M40" s="2530"/>
      <c r="N40" s="2530"/>
      <c r="O40" s="2530"/>
    </row>
    <row r="41" spans="1:16" s="2529" customFormat="1" ht="12" customHeight="1" outlineLevel="1">
      <c r="A41" s="2463"/>
      <c r="B41" s="2464"/>
      <c r="C41" s="2463"/>
      <c r="D41" s="2465"/>
      <c r="E41" s="2465"/>
      <c r="F41" s="2465"/>
      <c r="G41" s="2465"/>
      <c r="H41" s="2465"/>
      <c r="I41" s="2530"/>
      <c r="J41" s="2530"/>
      <c r="K41" s="2530"/>
      <c r="L41" s="2530"/>
      <c r="M41" s="2530"/>
      <c r="N41" s="2530"/>
      <c r="O41" s="2530"/>
    </row>
    <row r="42" spans="1:16" s="2529" customFormat="1" ht="12" customHeight="1" outlineLevel="1">
      <c r="A42" s="2463"/>
      <c r="B42" s="2464"/>
      <c r="C42" s="2463"/>
      <c r="D42" s="2465"/>
      <c r="E42" s="2465"/>
      <c r="F42" s="2465"/>
      <c r="G42" s="2465"/>
      <c r="H42" s="2465"/>
      <c r="I42" s="2530"/>
      <c r="J42" s="2530"/>
      <c r="K42" s="2530"/>
      <c r="L42" s="2530"/>
      <c r="M42" s="2530"/>
      <c r="N42" s="2530"/>
      <c r="O42" s="2530"/>
    </row>
    <row r="43" spans="1:16" s="2529" customFormat="1" ht="12" customHeight="1" outlineLevel="1">
      <c r="A43" s="2463"/>
      <c r="B43" s="2464"/>
      <c r="C43" s="2463"/>
      <c r="D43" s="2465"/>
      <c r="E43" s="2465"/>
      <c r="F43" s="2465"/>
      <c r="G43" s="2465"/>
      <c r="H43" s="2465"/>
      <c r="I43" s="2530"/>
      <c r="J43" s="2530"/>
      <c r="K43" s="2530"/>
      <c r="L43" s="2530"/>
      <c r="M43" s="2530"/>
      <c r="N43" s="2530"/>
      <c r="O43" s="2530"/>
    </row>
    <row r="44" spans="1:16" ht="20.100000000000001" customHeight="1" outlineLevel="1">
      <c r="A44" s="2463"/>
      <c r="B44" s="2464"/>
      <c r="C44" s="2463"/>
      <c r="D44" s="2465"/>
      <c r="E44" s="2465"/>
      <c r="F44" s="2465"/>
      <c r="G44" s="2465"/>
      <c r="H44" s="2465"/>
      <c r="J44" s="2530"/>
      <c r="K44" s="2530"/>
      <c r="L44" s="2530"/>
      <c r="M44" s="2530"/>
      <c r="N44" s="2530"/>
      <c r="O44" s="2530"/>
      <c r="P44" s="2529"/>
    </row>
    <row r="45" spans="1:16" ht="20.100000000000001" customHeight="1" outlineLevel="1">
      <c r="A45" s="2463"/>
      <c r="B45" s="2464"/>
      <c r="C45" s="2463"/>
      <c r="D45" s="2465"/>
      <c r="E45" s="2465"/>
      <c r="F45" s="2465"/>
      <c r="G45" s="2465"/>
      <c r="H45" s="2465"/>
      <c r="J45" s="2530"/>
      <c r="K45" s="2530"/>
      <c r="L45" s="2530"/>
      <c r="M45" s="2530"/>
      <c r="N45" s="2530"/>
      <c r="O45" s="2530"/>
      <c r="P45" s="2529"/>
    </row>
    <row r="46" spans="1:16" s="2652" customFormat="1" ht="16.7" customHeight="1" outlineLevel="1">
      <c r="A46" s="2463"/>
      <c r="B46" s="2464"/>
      <c r="C46" s="2463"/>
      <c r="D46" s="2465"/>
      <c r="E46" s="2465"/>
      <c r="F46" s="2465"/>
      <c r="G46" s="2465"/>
      <c r="H46" s="2465"/>
      <c r="I46" s="2653"/>
      <c r="J46" s="2655"/>
      <c r="K46" s="2655"/>
      <c r="L46" s="2655"/>
      <c r="M46" s="2655"/>
      <c r="N46" s="2655"/>
      <c r="O46" s="2655"/>
      <c r="P46" s="2654"/>
    </row>
    <row r="47" spans="1:16" s="2652" customFormat="1" ht="16.7" customHeight="1" outlineLevel="1">
      <c r="A47" s="2531"/>
      <c r="B47" s="2533"/>
      <c r="C47" s="2531"/>
      <c r="D47" s="2566"/>
      <c r="E47" s="2566"/>
      <c r="F47" s="2566"/>
      <c r="G47" s="2566"/>
      <c r="H47" s="2566"/>
      <c r="I47" s="2653"/>
      <c r="J47" s="2655"/>
      <c r="K47" s="2655"/>
      <c r="L47" s="2655"/>
      <c r="M47" s="2655"/>
      <c r="N47" s="2655"/>
      <c r="O47" s="2655"/>
      <c r="P47" s="2654"/>
    </row>
    <row r="48" spans="1:16" s="2652" customFormat="1" ht="16.7" customHeight="1" outlineLevel="1">
      <c r="A48" s="2531"/>
      <c r="B48" s="2533"/>
      <c r="C48" s="2531"/>
      <c r="D48" s="2566"/>
      <c r="E48" s="2566"/>
      <c r="F48" s="2566"/>
      <c r="G48" s="2566"/>
      <c r="H48" s="2566"/>
      <c r="I48" s="2653"/>
      <c r="J48" s="2655"/>
      <c r="K48" s="2655"/>
      <c r="L48" s="2655"/>
      <c r="M48" s="2655"/>
      <c r="N48" s="2655"/>
      <c r="O48" s="2655"/>
      <c r="P48" s="2654"/>
    </row>
    <row r="49" spans="1:16" s="2652" customFormat="1" ht="16.7" customHeight="1" outlineLevel="1">
      <c r="A49" s="2531"/>
      <c r="B49" s="2533"/>
      <c r="C49" s="2531"/>
      <c r="D49" s="2566"/>
      <c r="E49" s="2566"/>
      <c r="F49" s="2566"/>
      <c r="G49" s="2566"/>
      <c r="H49" s="2566"/>
      <c r="I49" s="2653"/>
      <c r="J49" s="2655"/>
      <c r="K49" s="2655"/>
      <c r="L49" s="2655"/>
      <c r="M49" s="2655"/>
      <c r="N49" s="2655"/>
      <c r="O49" s="2655"/>
      <c r="P49" s="2654"/>
    </row>
    <row r="50" spans="1:16" s="2652" customFormat="1" ht="16.7" customHeight="1" outlineLevel="1">
      <c r="A50" s="2531"/>
      <c r="B50" s="2533"/>
      <c r="C50" s="2531"/>
      <c r="D50" s="2566"/>
      <c r="E50" s="2566"/>
      <c r="F50" s="2566"/>
      <c r="G50" s="2566"/>
      <c r="H50" s="2566"/>
      <c r="I50" s="2653"/>
      <c r="J50" s="2655"/>
      <c r="K50" s="2655"/>
      <c r="L50" s="2655"/>
      <c r="M50" s="2655"/>
      <c r="N50" s="2655"/>
      <c r="O50" s="2655"/>
      <c r="P50" s="2654"/>
    </row>
    <row r="51" spans="1:16" s="2652" customFormat="1" ht="16.7" customHeight="1" outlineLevel="1">
      <c r="A51" s="2531"/>
      <c r="B51" s="2533"/>
      <c r="C51" s="2531"/>
      <c r="D51" s="2566"/>
      <c r="E51" s="2566"/>
      <c r="F51" s="2566"/>
      <c r="G51" s="2566"/>
      <c r="H51" s="2566"/>
      <c r="I51" s="2653"/>
      <c r="J51" s="2655"/>
      <c r="K51" s="2655"/>
      <c r="L51" s="2655"/>
      <c r="M51" s="2655"/>
      <c r="N51" s="2655"/>
      <c r="O51" s="2655"/>
      <c r="P51" s="2654"/>
    </row>
    <row r="52" spans="1:16" s="2652" customFormat="1" ht="16.7" customHeight="1" outlineLevel="1">
      <c r="A52" s="2531"/>
      <c r="B52" s="2533"/>
      <c r="C52" s="2531"/>
      <c r="D52" s="2566"/>
      <c r="E52" s="2566"/>
      <c r="F52" s="2566"/>
      <c r="G52" s="2566"/>
      <c r="H52" s="2566"/>
      <c r="I52" s="2653"/>
      <c r="J52" s="2655"/>
      <c r="K52" s="2655"/>
      <c r="L52" s="2655"/>
      <c r="M52" s="2655"/>
      <c r="N52" s="2655"/>
      <c r="O52" s="2655"/>
      <c r="P52" s="2654"/>
    </row>
    <row r="53" spans="1:16" s="2652" customFormat="1" ht="16.7" customHeight="1" outlineLevel="1">
      <c r="A53" s="2531"/>
      <c r="B53" s="2533"/>
      <c r="C53" s="2531"/>
      <c r="D53" s="2566"/>
      <c r="E53" s="2566"/>
      <c r="F53" s="2566"/>
      <c r="G53" s="2566"/>
      <c r="H53" s="2566"/>
      <c r="I53" s="2653"/>
      <c r="J53" s="2655"/>
      <c r="K53" s="2655"/>
      <c r="L53" s="2655"/>
      <c r="M53" s="2655"/>
      <c r="N53" s="2655"/>
      <c r="O53" s="2655"/>
      <c r="P53" s="2654"/>
    </row>
    <row r="54" spans="1:16" s="2652" customFormat="1" ht="16.7" customHeight="1" outlineLevel="1">
      <c r="A54" s="2529"/>
      <c r="B54" s="2529"/>
      <c r="C54" s="2529"/>
      <c r="D54" s="2529"/>
      <c r="E54" s="2529"/>
      <c r="F54" s="2529"/>
      <c r="G54" s="2529"/>
      <c r="H54" s="2529"/>
      <c r="I54" s="2653"/>
      <c r="J54" s="2655"/>
      <c r="K54" s="2655"/>
      <c r="L54" s="2655"/>
      <c r="M54" s="2655"/>
      <c r="N54" s="2655"/>
      <c r="O54" s="2655"/>
      <c r="P54" s="2654"/>
    </row>
    <row r="55" spans="1:16" s="2652" customFormat="1" ht="16.7" customHeight="1" outlineLevel="1">
      <c r="A55" s="2529"/>
      <c r="B55" s="2529"/>
      <c r="C55" s="2529"/>
      <c r="D55" s="2529"/>
      <c r="E55" s="2529"/>
      <c r="F55" s="2529"/>
      <c r="G55" s="2529"/>
      <c r="H55" s="2529"/>
      <c r="I55" s="2653"/>
      <c r="J55" s="2655"/>
      <c r="K55" s="2655"/>
      <c r="L55" s="2655"/>
      <c r="M55" s="2655"/>
      <c r="N55" s="2655"/>
      <c r="O55" s="2655"/>
      <c r="P55" s="2654"/>
    </row>
    <row r="56" spans="1:16" s="2652" customFormat="1" ht="16.7" customHeight="1" outlineLevel="1">
      <c r="A56" s="2529"/>
      <c r="B56" s="2529"/>
      <c r="C56" s="2529"/>
      <c r="D56" s="2529"/>
      <c r="E56" s="2529"/>
      <c r="F56" s="2529"/>
      <c r="G56" s="2529"/>
      <c r="H56" s="2529"/>
      <c r="I56" s="2653"/>
      <c r="J56" s="2655"/>
      <c r="K56" s="2655"/>
      <c r="L56" s="2655"/>
      <c r="M56" s="2655"/>
      <c r="N56" s="2655"/>
      <c r="O56" s="2655"/>
      <c r="P56" s="2654"/>
    </row>
    <row r="57" spans="1:16" s="2652" customFormat="1" ht="16.7" customHeight="1" outlineLevel="1">
      <c r="A57" s="4876"/>
      <c r="B57" s="4876"/>
      <c r="C57" s="4876"/>
      <c r="D57" s="4876"/>
      <c r="E57" s="4876"/>
      <c r="F57" s="4876"/>
      <c r="G57" s="4876"/>
      <c r="H57" s="4876"/>
      <c r="I57" s="2653"/>
      <c r="J57" s="2655"/>
      <c r="K57" s="2655"/>
      <c r="L57" s="2655"/>
      <c r="M57" s="2655"/>
      <c r="N57" s="2655"/>
      <c r="O57" s="2655"/>
      <c r="P57" s="2654"/>
    </row>
    <row r="58" spans="1:16" s="2652" customFormat="1" ht="16.7" customHeight="1" outlineLevel="1">
      <c r="A58" s="4877"/>
      <c r="B58" s="4877"/>
      <c r="C58" s="4877"/>
      <c r="D58" s="4877"/>
      <c r="E58" s="4877"/>
      <c r="F58" s="4877"/>
      <c r="G58" s="4877"/>
      <c r="H58" s="4877"/>
      <c r="I58" s="2653"/>
      <c r="J58" s="2655"/>
      <c r="K58" s="2655"/>
      <c r="L58" s="2655"/>
      <c r="M58" s="2655"/>
      <c r="N58" s="2655"/>
      <c r="O58" s="2655"/>
      <c r="P58" s="2654"/>
    </row>
    <row r="59" spans="1:16" s="2652" customFormat="1" ht="16.7" customHeight="1" outlineLevel="1">
      <c r="A59" s="2529"/>
      <c r="B59" s="2529"/>
      <c r="C59" s="2529"/>
      <c r="D59" s="2529"/>
      <c r="E59" s="2529"/>
      <c r="F59" s="2529"/>
      <c r="G59" s="2529"/>
      <c r="H59" s="2529"/>
      <c r="I59" s="2653"/>
      <c r="J59" s="2655"/>
      <c r="K59" s="2655"/>
      <c r="L59" s="2655"/>
      <c r="M59" s="2655"/>
      <c r="N59" s="2655"/>
      <c r="O59" s="2655"/>
      <c r="P59" s="2654"/>
    </row>
    <row r="60" spans="1:16" s="2652" customFormat="1" ht="16.7" customHeight="1" outlineLevel="1">
      <c r="A60" s="2568"/>
      <c r="B60" s="2567"/>
      <c r="C60" s="2529"/>
      <c r="D60" s="2566"/>
      <c r="E60" s="2566"/>
      <c r="F60" s="2566"/>
      <c r="G60" s="2566"/>
      <c r="H60" s="2566"/>
      <c r="I60" s="2653"/>
      <c r="J60" s="2653"/>
      <c r="K60" s="2653"/>
      <c r="L60" s="2653"/>
      <c r="M60" s="2653"/>
      <c r="N60" s="2653"/>
      <c r="O60" s="2653"/>
    </row>
    <row r="61" spans="1:16" s="2652" customFormat="1" ht="16.7" customHeight="1" outlineLevel="1">
      <c r="A61" s="1269"/>
      <c r="B61" s="1269"/>
      <c r="C61" s="2542"/>
      <c r="D61" s="2541"/>
      <c r="E61" s="2561"/>
      <c r="F61" s="2540"/>
      <c r="G61" s="2565"/>
      <c r="H61" s="2561"/>
      <c r="I61" s="2653"/>
      <c r="J61" s="2653"/>
      <c r="K61" s="2653"/>
      <c r="L61" s="2653"/>
      <c r="M61" s="2653"/>
      <c r="N61" s="2653"/>
      <c r="O61" s="2653"/>
    </row>
    <row r="62" spans="1:16" s="2652" customFormat="1" ht="16.7" customHeight="1" outlineLevel="1">
      <c r="A62" s="2564"/>
      <c r="B62" s="2564"/>
      <c r="C62" s="2563"/>
      <c r="D62" s="2541"/>
      <c r="E62" s="2561"/>
      <c r="F62" s="2540"/>
      <c r="G62" s="2562"/>
      <c r="H62" s="2561"/>
      <c r="I62" s="2653"/>
      <c r="J62" s="2653"/>
      <c r="K62" s="2653"/>
      <c r="L62" s="2653"/>
      <c r="M62" s="2653"/>
      <c r="N62" s="2653"/>
      <c r="O62" s="2653"/>
    </row>
    <row r="63" spans="1:16" s="2652" customFormat="1" ht="16.7" customHeight="1" outlineLevel="1">
      <c r="A63" s="4879"/>
      <c r="B63" s="4879"/>
      <c r="C63" s="2559"/>
      <c r="D63" s="2560"/>
      <c r="E63" s="4880"/>
      <c r="F63" s="4880"/>
      <c r="G63" s="4880"/>
      <c r="H63" s="2557"/>
      <c r="I63" s="2653"/>
      <c r="J63" s="2653"/>
      <c r="K63" s="2653"/>
      <c r="L63" s="2653"/>
      <c r="M63" s="2653"/>
      <c r="N63" s="2653"/>
      <c r="O63" s="2653"/>
    </row>
    <row r="64" spans="1:16" ht="16.7" customHeight="1" outlineLevel="1">
      <c r="A64" s="4879"/>
      <c r="B64" s="4879"/>
      <c r="C64" s="2559"/>
      <c r="D64" s="2558"/>
      <c r="E64" s="2558"/>
      <c r="F64" s="2558"/>
      <c r="G64" s="2558"/>
      <c r="H64" s="2558"/>
    </row>
    <row r="65" spans="1:15" ht="20.100000000000001" customHeight="1" outlineLevel="2">
      <c r="A65" s="4879"/>
      <c r="B65" s="4879"/>
      <c r="C65" s="2557"/>
      <c r="D65" s="2555"/>
      <c r="E65" s="2555"/>
      <c r="F65" s="2555"/>
      <c r="G65" s="2556"/>
      <c r="H65" s="2555"/>
    </row>
    <row r="66" spans="1:15" ht="8.4499999999999993" customHeight="1" outlineLevel="2">
      <c r="A66" s="2554"/>
      <c r="B66" s="2553"/>
      <c r="C66" s="2552"/>
      <c r="D66" s="2551"/>
      <c r="E66" s="2551"/>
      <c r="F66" s="2551"/>
      <c r="G66" s="2551"/>
      <c r="H66" s="2551"/>
    </row>
    <row r="67" spans="1:15" ht="14.45" customHeight="1">
      <c r="A67" s="2549"/>
      <c r="B67" s="2549"/>
      <c r="C67" s="2542"/>
      <c r="D67" s="2548"/>
      <c r="E67" s="2548"/>
      <c r="F67" s="2540"/>
      <c r="G67" s="2548"/>
      <c r="H67" s="2548"/>
    </row>
    <row r="68" spans="1:15" ht="13.9" customHeight="1">
      <c r="A68" s="2549"/>
      <c r="B68" s="2549"/>
      <c r="C68" s="2545"/>
      <c r="D68" s="2548"/>
      <c r="E68" s="2548"/>
      <c r="F68" s="2540"/>
      <c r="G68" s="2548"/>
      <c r="H68" s="2548"/>
    </row>
    <row r="69" spans="1:15" s="1256" customFormat="1" ht="18" customHeight="1">
      <c r="A69" s="2547"/>
      <c r="B69" s="2546"/>
      <c r="C69" s="2545"/>
      <c r="D69" s="2541"/>
      <c r="E69" s="2544"/>
      <c r="F69" s="2540"/>
      <c r="G69" s="2544"/>
      <c r="H69" s="2544"/>
      <c r="I69" s="1257"/>
      <c r="J69" s="1257"/>
      <c r="K69" s="1257"/>
      <c r="L69" s="1257"/>
      <c r="M69" s="1257"/>
      <c r="N69" s="1257"/>
      <c r="O69" s="1257"/>
    </row>
    <row r="70" spans="1:15" s="2463" customFormat="1" ht="12.75">
      <c r="A70" s="2543"/>
      <c r="B70" s="2543"/>
      <c r="C70" s="2542"/>
      <c r="D70" s="2541"/>
      <c r="E70" s="2539"/>
      <c r="F70" s="2540"/>
      <c r="G70" s="2539"/>
      <c r="H70" s="2539"/>
      <c r="I70" s="2579"/>
      <c r="J70" s="2579"/>
      <c r="K70" s="2579"/>
      <c r="L70" s="2579"/>
      <c r="M70" s="2579"/>
      <c r="N70" s="2579"/>
      <c r="O70" s="2579"/>
    </row>
    <row r="71" spans="1:15" s="2463" customFormat="1" ht="12.75">
      <c r="A71" s="2538"/>
      <c r="B71" s="2538"/>
      <c r="C71" s="2537"/>
      <c r="D71" s="2536"/>
      <c r="E71" s="2536"/>
      <c r="F71" s="2536"/>
      <c r="G71" s="2536"/>
      <c r="H71" s="2536"/>
      <c r="I71" s="2579"/>
      <c r="J71" s="2579"/>
      <c r="K71" s="2579"/>
      <c r="L71" s="2579"/>
      <c r="M71" s="2579"/>
      <c r="N71" s="2579"/>
      <c r="O71" s="2579"/>
    </row>
    <row r="72" spans="1:15" s="2463" customFormat="1" ht="12.75">
      <c r="A72" s="2538"/>
      <c r="B72" s="2538"/>
      <c r="C72" s="2537"/>
      <c r="D72" s="2536"/>
      <c r="E72" s="2536"/>
      <c r="F72" s="2536"/>
      <c r="G72" s="2536"/>
      <c r="H72" s="2536"/>
      <c r="I72" s="2579"/>
      <c r="J72" s="2579"/>
      <c r="K72" s="2579"/>
      <c r="L72" s="2579"/>
      <c r="M72" s="2579"/>
      <c r="N72" s="2579"/>
      <c r="O72" s="2579"/>
    </row>
    <row r="73" spans="1:15" s="2463" customFormat="1">
      <c r="A73" s="1269"/>
      <c r="B73" s="2529"/>
      <c r="C73" s="2535"/>
      <c r="D73" s="2529"/>
      <c r="E73" s="4877"/>
      <c r="F73" s="4877"/>
      <c r="G73" s="1269"/>
      <c r="H73" s="2529"/>
      <c r="I73" s="2579"/>
      <c r="J73" s="2579"/>
      <c r="K73" s="2579"/>
      <c r="L73" s="2579"/>
      <c r="M73" s="2579"/>
      <c r="N73" s="2579"/>
      <c r="O73" s="2579"/>
    </row>
    <row r="74" spans="1:15" s="2463" customFormat="1">
      <c r="A74" s="2529"/>
      <c r="B74" s="1269"/>
      <c r="C74" s="2535"/>
      <c r="D74" s="1269"/>
      <c r="E74" s="1269"/>
      <c r="F74" s="1269"/>
      <c r="G74" s="1269"/>
      <c r="H74" s="2529"/>
      <c r="I74" s="2579"/>
      <c r="J74" s="2579"/>
      <c r="K74" s="2579"/>
      <c r="L74" s="2579"/>
      <c r="M74" s="2579"/>
      <c r="N74" s="2579"/>
      <c r="O74" s="2579"/>
    </row>
    <row r="75" spans="1:15" s="2463" customFormat="1" ht="12.75">
      <c r="A75" s="2534"/>
      <c r="B75" s="1269"/>
      <c r="C75" s="4881"/>
      <c r="D75" s="4881"/>
      <c r="E75" s="4876"/>
      <c r="F75" s="4876"/>
      <c r="G75" s="4876"/>
      <c r="H75" s="4876"/>
      <c r="I75" s="2579"/>
      <c r="J75" s="2579"/>
      <c r="K75" s="2579"/>
      <c r="L75" s="2579"/>
      <c r="M75" s="2579"/>
      <c r="N75" s="2579"/>
      <c r="O75" s="2579"/>
    </row>
    <row r="76" spans="1:15" s="2463" customFormat="1" ht="12.75">
      <c r="A76" s="2531"/>
      <c r="B76" s="2533"/>
      <c r="C76" s="4874"/>
      <c r="D76" s="4874"/>
      <c r="E76" s="4875"/>
      <c r="F76" s="4875"/>
      <c r="G76" s="4875"/>
      <c r="H76" s="4875"/>
      <c r="I76" s="2579"/>
      <c r="J76" s="2579"/>
      <c r="K76" s="2579"/>
      <c r="L76" s="2579"/>
      <c r="M76" s="2579"/>
      <c r="N76" s="2579"/>
      <c r="O76" s="2579"/>
    </row>
    <row r="77" spans="1:15" s="2463" customFormat="1" ht="12.75">
      <c r="A77" s="2531"/>
      <c r="B77" s="2533"/>
      <c r="C77" s="2531"/>
      <c r="D77" s="2566"/>
      <c r="E77" s="2566"/>
      <c r="F77" s="2566"/>
      <c r="G77" s="2566"/>
      <c r="H77" s="2566"/>
      <c r="I77" s="2579"/>
      <c r="J77" s="2579"/>
      <c r="K77" s="2579"/>
      <c r="L77" s="2579"/>
      <c r="M77" s="2579"/>
      <c r="N77" s="2579"/>
      <c r="O77" s="2579"/>
    </row>
    <row r="78" spans="1:15" s="2463" customFormat="1" ht="12.75">
      <c r="A78" s="2531"/>
      <c r="B78" s="2533"/>
      <c r="C78" s="2531"/>
      <c r="D78" s="2566"/>
      <c r="E78" s="2566"/>
      <c r="F78" s="2566"/>
      <c r="G78" s="2566"/>
      <c r="H78" s="2566"/>
      <c r="I78" s="2579"/>
      <c r="J78" s="2579"/>
      <c r="K78" s="2579"/>
      <c r="L78" s="2579"/>
      <c r="M78" s="2579"/>
      <c r="N78" s="2579"/>
      <c r="O78" s="2579"/>
    </row>
    <row r="79" spans="1:15" s="2463" customFormat="1" ht="12.75">
      <c r="A79" s="2531"/>
      <c r="B79" s="2533"/>
      <c r="C79" s="2531"/>
      <c r="D79" s="2566"/>
      <c r="E79" s="2566"/>
      <c r="F79" s="2566"/>
      <c r="G79" s="2566"/>
      <c r="H79" s="2566"/>
      <c r="I79" s="2579"/>
      <c r="J79" s="2579"/>
      <c r="K79" s="2579"/>
      <c r="L79" s="2579"/>
      <c r="M79" s="2579"/>
      <c r="N79" s="2579"/>
      <c r="O79" s="2579"/>
    </row>
    <row r="80" spans="1:15" s="2463" customFormat="1" ht="12.75">
      <c r="A80" s="2531"/>
      <c r="B80" s="2533"/>
      <c r="C80" s="2531"/>
      <c r="D80" s="2566"/>
      <c r="E80" s="2566"/>
      <c r="F80" s="2566"/>
      <c r="G80" s="2566"/>
      <c r="H80" s="2566"/>
      <c r="I80" s="2579"/>
      <c r="J80" s="2579"/>
      <c r="K80" s="2579"/>
      <c r="L80" s="2579"/>
      <c r="M80" s="2579"/>
      <c r="N80" s="2579"/>
      <c r="O80" s="2579"/>
    </row>
    <row r="81" spans="1:15" s="2463" customFormat="1" ht="12.75">
      <c r="A81" s="2531"/>
      <c r="B81" s="2533"/>
      <c r="C81" s="2531"/>
      <c r="D81" s="2566"/>
      <c r="E81" s="2566"/>
      <c r="F81" s="2566"/>
      <c r="G81" s="2566"/>
      <c r="H81" s="2566"/>
      <c r="I81" s="2579"/>
      <c r="J81" s="2579"/>
      <c r="K81" s="2579"/>
      <c r="L81" s="2579"/>
      <c r="M81" s="2579"/>
      <c r="N81" s="2579"/>
      <c r="O81" s="2579"/>
    </row>
    <row r="82" spans="1:15" s="2463" customFormat="1" ht="12.75">
      <c r="A82" s="2531"/>
      <c r="B82" s="2533"/>
      <c r="C82" s="2531"/>
      <c r="D82" s="2566"/>
      <c r="E82" s="2566"/>
      <c r="F82" s="2566"/>
      <c r="G82" s="2566"/>
      <c r="H82" s="2566"/>
      <c r="I82" s="2579"/>
      <c r="J82" s="2579"/>
      <c r="K82" s="2579"/>
      <c r="L82" s="2579"/>
      <c r="M82" s="2579"/>
      <c r="N82" s="2579"/>
      <c r="O82" s="2579"/>
    </row>
    <row r="83" spans="1:15" s="2463" customFormat="1" ht="12.75">
      <c r="A83" s="2531"/>
      <c r="B83" s="2533"/>
      <c r="C83" s="2531"/>
      <c r="D83" s="2566"/>
      <c r="E83" s="2566"/>
      <c r="F83" s="2566"/>
      <c r="G83" s="2566"/>
      <c r="H83" s="2566"/>
      <c r="I83" s="2579"/>
      <c r="J83" s="2579"/>
      <c r="K83" s="2579"/>
      <c r="L83" s="2579"/>
      <c r="M83" s="2579"/>
      <c r="N83" s="2579"/>
      <c r="O83" s="2579"/>
    </row>
    <row r="84" spans="1:15" s="2463" customFormat="1" ht="12.75">
      <c r="A84" s="2531"/>
      <c r="B84" s="2533"/>
      <c r="C84" s="2531"/>
      <c r="D84" s="2566"/>
      <c r="E84" s="2566"/>
      <c r="F84" s="2566"/>
      <c r="G84" s="2566"/>
      <c r="H84" s="2566"/>
      <c r="I84" s="2579"/>
      <c r="J84" s="2579"/>
      <c r="K84" s="2579"/>
      <c r="L84" s="2579"/>
      <c r="M84" s="2579"/>
      <c r="N84" s="2579"/>
      <c r="O84" s="2579"/>
    </row>
    <row r="85" spans="1:15" s="2463" customFormat="1" ht="12.75">
      <c r="A85" s="2531"/>
      <c r="B85" s="2533"/>
      <c r="C85" s="2531"/>
      <c r="D85" s="2566"/>
      <c r="E85" s="2566"/>
      <c r="F85" s="2566"/>
      <c r="G85" s="2566"/>
      <c r="H85" s="2566"/>
      <c r="I85" s="2579"/>
      <c r="J85" s="2579"/>
      <c r="K85" s="2579"/>
      <c r="L85" s="2579"/>
      <c r="M85" s="2579"/>
      <c r="N85" s="2579"/>
      <c r="O85" s="2579"/>
    </row>
    <row r="86" spans="1:15" s="2463" customFormat="1" ht="12.75">
      <c r="A86" s="2531"/>
      <c r="B86" s="2533"/>
      <c r="C86" s="2531"/>
      <c r="D86" s="2566"/>
      <c r="E86" s="2566"/>
      <c r="F86" s="2566"/>
      <c r="G86" s="2566"/>
      <c r="H86" s="2566"/>
      <c r="I86" s="2579"/>
      <c r="J86" s="2579"/>
      <c r="K86" s="2579"/>
      <c r="L86" s="2579"/>
      <c r="M86" s="2579"/>
      <c r="N86" s="2579"/>
      <c r="O86" s="2579"/>
    </row>
    <row r="87" spans="1:15" s="2463" customFormat="1" ht="12.75">
      <c r="A87" s="2531"/>
      <c r="B87" s="2533"/>
      <c r="C87" s="2531"/>
      <c r="D87" s="2566"/>
      <c r="E87" s="2566"/>
      <c r="F87" s="2566"/>
      <c r="G87" s="2566"/>
      <c r="H87" s="2566"/>
      <c r="I87" s="2579"/>
      <c r="J87" s="2579"/>
      <c r="K87" s="2579"/>
      <c r="L87" s="2579"/>
      <c r="M87" s="2579"/>
      <c r="N87" s="2579"/>
      <c r="O87" s="2579"/>
    </row>
    <row r="88" spans="1:15" s="2463" customFormat="1" ht="12.75">
      <c r="A88" s="2531"/>
      <c r="B88" s="2533"/>
      <c r="C88" s="2531"/>
      <c r="D88" s="2566"/>
      <c r="E88" s="2566"/>
      <c r="F88" s="2566"/>
      <c r="G88" s="2566"/>
      <c r="H88" s="2566"/>
      <c r="I88" s="2579"/>
      <c r="J88" s="2579"/>
      <c r="K88" s="2579"/>
      <c r="L88" s="2579"/>
      <c r="M88" s="2579"/>
      <c r="N88" s="2579"/>
      <c r="O88" s="2579"/>
    </row>
    <row r="89" spans="1:15" s="2463" customFormat="1" ht="12.75">
      <c r="A89" s="2531"/>
      <c r="B89" s="2533"/>
      <c r="C89" s="2531"/>
      <c r="D89" s="2566"/>
      <c r="E89" s="2566"/>
      <c r="F89" s="2566"/>
      <c r="G89" s="2566"/>
      <c r="H89" s="2566"/>
      <c r="I89" s="2579"/>
      <c r="J89" s="2579"/>
      <c r="K89" s="2579"/>
      <c r="L89" s="2579"/>
      <c r="M89" s="2579"/>
      <c r="N89" s="2579"/>
      <c r="O89" s="2579"/>
    </row>
    <row r="90" spans="1:15" s="2463" customFormat="1" ht="12.75">
      <c r="A90" s="2531"/>
      <c r="B90" s="2533"/>
      <c r="C90" s="2531"/>
      <c r="D90" s="2566"/>
      <c r="E90" s="2566"/>
      <c r="F90" s="2566"/>
      <c r="G90" s="2566"/>
      <c r="H90" s="2566"/>
      <c r="I90" s="2579"/>
      <c r="J90" s="2579"/>
      <c r="K90" s="2579"/>
      <c r="L90" s="2579"/>
      <c r="M90" s="2579"/>
      <c r="N90" s="2579"/>
      <c r="O90" s="2579"/>
    </row>
    <row r="91" spans="1:15" s="2463" customFormat="1" ht="12.75">
      <c r="A91" s="2531"/>
      <c r="B91" s="2533"/>
      <c r="C91" s="2531"/>
      <c r="D91" s="2566"/>
      <c r="E91" s="2566"/>
      <c r="F91" s="2566"/>
      <c r="G91" s="2566"/>
      <c r="H91" s="2566"/>
      <c r="I91" s="2579"/>
      <c r="J91" s="2579"/>
      <c r="K91" s="2579"/>
      <c r="L91" s="2579"/>
      <c r="M91" s="2579"/>
      <c r="N91" s="2579"/>
      <c r="O91" s="2579"/>
    </row>
    <row r="92" spans="1:15" s="2463" customFormat="1" ht="12.75">
      <c r="A92" s="2531"/>
      <c r="B92" s="2533"/>
      <c r="C92" s="2531"/>
      <c r="D92" s="2566"/>
      <c r="E92" s="2566"/>
      <c r="F92" s="2566"/>
      <c r="G92" s="2566"/>
      <c r="H92" s="2566"/>
      <c r="I92" s="2579"/>
      <c r="J92" s="2579"/>
      <c r="K92" s="2579"/>
      <c r="L92" s="2579"/>
      <c r="M92" s="2579"/>
      <c r="N92" s="2579"/>
      <c r="O92" s="2579"/>
    </row>
    <row r="93" spans="1:15" s="2463" customFormat="1" ht="12.75">
      <c r="A93" s="2531"/>
      <c r="B93" s="2533"/>
      <c r="C93" s="2531"/>
      <c r="D93" s="2566"/>
      <c r="E93" s="2566"/>
      <c r="F93" s="2566"/>
      <c r="G93" s="2566"/>
      <c r="H93" s="2566"/>
      <c r="I93" s="2579"/>
      <c r="J93" s="2579"/>
      <c r="K93" s="2579"/>
      <c r="L93" s="2579"/>
      <c r="M93" s="2579"/>
      <c r="N93" s="2579"/>
      <c r="O93" s="2579"/>
    </row>
    <row r="94" spans="1:15" s="2463" customFormat="1" ht="12.75">
      <c r="A94" s="2531"/>
      <c r="B94" s="2533"/>
      <c r="C94" s="2531"/>
      <c r="D94" s="2566"/>
      <c r="E94" s="2566"/>
      <c r="F94" s="2566"/>
      <c r="G94" s="2566"/>
      <c r="H94" s="2566"/>
      <c r="I94" s="2579"/>
      <c r="J94" s="2579"/>
      <c r="K94" s="2579"/>
      <c r="L94" s="2579"/>
      <c r="M94" s="2579"/>
      <c r="N94" s="2579"/>
      <c r="O94" s="2579"/>
    </row>
    <row r="95" spans="1:15" s="2463" customFormat="1" ht="12.75">
      <c r="A95" s="2531"/>
      <c r="B95" s="2533"/>
      <c r="C95" s="2531"/>
      <c r="D95" s="2566"/>
      <c r="E95" s="2566"/>
      <c r="F95" s="2566"/>
      <c r="G95" s="2566"/>
      <c r="H95" s="2566"/>
      <c r="I95" s="2579"/>
      <c r="J95" s="2579"/>
      <c r="K95" s="2579"/>
      <c r="L95" s="2579"/>
      <c r="M95" s="2579"/>
      <c r="N95" s="2579"/>
      <c r="O95" s="2579"/>
    </row>
    <row r="96" spans="1:15" s="2463" customFormat="1" ht="12.75">
      <c r="A96" s="2531"/>
      <c r="B96" s="2533"/>
      <c r="C96" s="2531"/>
      <c r="D96" s="2566"/>
      <c r="E96" s="2566"/>
      <c r="F96" s="2566"/>
      <c r="G96" s="2566"/>
      <c r="H96" s="2566"/>
      <c r="I96" s="2579"/>
      <c r="J96" s="2579"/>
      <c r="K96" s="2579"/>
      <c r="L96" s="2579"/>
      <c r="M96" s="2579"/>
      <c r="N96" s="2579"/>
      <c r="O96" s="2579"/>
    </row>
    <row r="97" spans="1:15" s="2463" customFormat="1" ht="12.75">
      <c r="A97" s="2531"/>
      <c r="B97" s="2533"/>
      <c r="C97" s="2531"/>
      <c r="D97" s="2566"/>
      <c r="E97" s="2566"/>
      <c r="F97" s="2566"/>
      <c r="G97" s="2566"/>
      <c r="H97" s="2566"/>
      <c r="I97" s="2579"/>
      <c r="J97" s="2579"/>
      <c r="K97" s="2579"/>
      <c r="L97" s="2579"/>
      <c r="M97" s="2579"/>
      <c r="N97" s="2579"/>
      <c r="O97" s="2579"/>
    </row>
    <row r="98" spans="1:15" s="2463" customFormat="1" ht="12.75">
      <c r="A98" s="2531"/>
      <c r="B98" s="2533"/>
      <c r="C98" s="2531"/>
      <c r="D98" s="2566"/>
      <c r="E98" s="2566"/>
      <c r="F98" s="2566"/>
      <c r="G98" s="2566"/>
      <c r="H98" s="2566"/>
      <c r="I98" s="2579"/>
      <c r="J98" s="2579"/>
      <c r="K98" s="2579"/>
      <c r="L98" s="2579"/>
      <c r="M98" s="2579"/>
      <c r="N98" s="2579"/>
      <c r="O98" s="2579"/>
    </row>
    <row r="99" spans="1:15" s="2463" customFormat="1" ht="12.75">
      <c r="A99" s="2531"/>
      <c r="B99" s="2533"/>
      <c r="C99" s="2531"/>
      <c r="D99" s="2566"/>
      <c r="E99" s="2566"/>
      <c r="F99" s="2566"/>
      <c r="G99" s="2566"/>
      <c r="H99" s="2566"/>
      <c r="I99" s="2579"/>
      <c r="J99" s="2579"/>
      <c r="K99" s="2579"/>
      <c r="L99" s="2579"/>
      <c r="M99" s="2579"/>
      <c r="N99" s="2579"/>
      <c r="O99" s="2579"/>
    </row>
    <row r="100" spans="1:15" s="2463" customFormat="1" ht="12.75">
      <c r="A100" s="2531"/>
      <c r="B100" s="2533"/>
      <c r="C100" s="2531"/>
      <c r="D100" s="2566"/>
      <c r="E100" s="2566"/>
      <c r="F100" s="2566"/>
      <c r="G100" s="2566"/>
      <c r="H100" s="2566"/>
      <c r="I100" s="2579"/>
      <c r="J100" s="2579"/>
      <c r="K100" s="2579"/>
      <c r="L100" s="2579"/>
      <c r="M100" s="2579"/>
      <c r="N100" s="2579"/>
      <c r="O100" s="2579"/>
    </row>
    <row r="101" spans="1:15" s="2463" customFormat="1" ht="12.75">
      <c r="A101" s="2531"/>
      <c r="B101" s="2533"/>
      <c r="C101" s="2531"/>
      <c r="D101" s="2566"/>
      <c r="E101" s="2566"/>
      <c r="F101" s="2566"/>
      <c r="G101" s="2566"/>
      <c r="H101" s="2566"/>
      <c r="I101" s="2579"/>
      <c r="J101" s="2579"/>
      <c r="K101" s="2579"/>
      <c r="L101" s="2579"/>
      <c r="M101" s="2579"/>
      <c r="N101" s="2579"/>
      <c r="O101" s="2579"/>
    </row>
    <row r="102" spans="1:15" s="2463" customFormat="1" ht="12.75">
      <c r="A102" s="2531"/>
      <c r="B102" s="2533"/>
      <c r="C102" s="2531"/>
      <c r="D102" s="2566"/>
      <c r="E102" s="2566"/>
      <c r="F102" s="2566"/>
      <c r="G102" s="2566"/>
      <c r="H102" s="2566"/>
      <c r="I102" s="2579"/>
      <c r="J102" s="2579"/>
      <c r="K102" s="2579"/>
      <c r="L102" s="2579"/>
      <c r="M102" s="2579"/>
      <c r="N102" s="2579"/>
      <c r="O102" s="2579"/>
    </row>
    <row r="103" spans="1:15" s="2463" customFormat="1" ht="12.75">
      <c r="A103" s="2531"/>
      <c r="B103" s="2533"/>
      <c r="C103" s="2531"/>
      <c r="D103" s="2566"/>
      <c r="E103" s="2566"/>
      <c r="F103" s="2566"/>
      <c r="G103" s="2566"/>
      <c r="H103" s="2566"/>
      <c r="I103" s="2579"/>
      <c r="J103" s="2579"/>
      <c r="K103" s="2579"/>
      <c r="L103" s="2579"/>
      <c r="M103" s="2579"/>
      <c r="N103" s="2579"/>
      <c r="O103" s="2579"/>
    </row>
    <row r="104" spans="1:15" s="2463" customFormat="1" ht="12.75">
      <c r="A104" s="2531"/>
      <c r="B104" s="2533"/>
      <c r="C104" s="2531"/>
      <c r="D104" s="2566"/>
      <c r="E104" s="2566"/>
      <c r="F104" s="2566"/>
      <c r="G104" s="2566"/>
      <c r="H104" s="2566"/>
      <c r="I104" s="2579"/>
      <c r="J104" s="2579"/>
      <c r="K104" s="2579"/>
      <c r="L104" s="2579"/>
      <c r="M104" s="2579"/>
      <c r="N104" s="2579"/>
      <c r="O104" s="2579"/>
    </row>
    <row r="105" spans="1:15" s="2463" customFormat="1" ht="12.75">
      <c r="A105" s="2531"/>
      <c r="B105" s="2533"/>
      <c r="C105" s="2531"/>
      <c r="D105" s="2566"/>
      <c r="E105" s="2566"/>
      <c r="F105" s="2566"/>
      <c r="G105" s="2566"/>
      <c r="H105" s="2566"/>
      <c r="I105" s="2579"/>
      <c r="J105" s="2579"/>
      <c r="K105" s="2579"/>
      <c r="L105" s="2579"/>
      <c r="M105" s="2579"/>
      <c r="N105" s="2579"/>
      <c r="O105" s="2579"/>
    </row>
    <row r="106" spans="1:15" s="2463" customFormat="1" ht="12.75">
      <c r="A106" s="2531"/>
      <c r="B106" s="2533"/>
      <c r="C106" s="2531"/>
      <c r="D106" s="2566"/>
      <c r="E106" s="2566"/>
      <c r="F106" s="2566"/>
      <c r="G106" s="2566"/>
      <c r="H106" s="2566"/>
      <c r="I106" s="2579"/>
      <c r="J106" s="2579"/>
      <c r="K106" s="2579"/>
      <c r="L106" s="2579"/>
      <c r="M106" s="2579"/>
      <c r="N106" s="2579"/>
      <c r="O106" s="2579"/>
    </row>
    <row r="107" spans="1:15" s="2463" customFormat="1" ht="12.75">
      <c r="A107" s="2531"/>
      <c r="B107" s="2533"/>
      <c r="C107" s="2531"/>
      <c r="D107" s="2566"/>
      <c r="E107" s="2566"/>
      <c r="F107" s="2566"/>
      <c r="G107" s="2566"/>
      <c r="H107" s="2566"/>
      <c r="I107" s="2579"/>
      <c r="J107" s="2579"/>
      <c r="K107" s="2579"/>
      <c r="L107" s="2579"/>
      <c r="M107" s="2579"/>
      <c r="N107" s="2579"/>
      <c r="O107" s="2579"/>
    </row>
    <row r="108" spans="1:15" s="2463" customFormat="1" ht="12.75">
      <c r="A108" s="2531"/>
      <c r="B108" s="2533"/>
      <c r="C108" s="2531"/>
      <c r="D108" s="2566"/>
      <c r="E108" s="2566"/>
      <c r="F108" s="2566"/>
      <c r="G108" s="2566"/>
      <c r="H108" s="2566"/>
      <c r="I108" s="2579"/>
      <c r="J108" s="2579"/>
      <c r="K108" s="2579"/>
      <c r="L108" s="2579"/>
      <c r="M108" s="2579"/>
      <c r="N108" s="2579"/>
      <c r="O108" s="2579"/>
    </row>
    <row r="109" spans="1:15" s="2463" customFormat="1" ht="12.75">
      <c r="A109" s="2531"/>
      <c r="B109" s="2533"/>
      <c r="C109" s="2531"/>
      <c r="D109" s="2566"/>
      <c r="E109" s="2566"/>
      <c r="F109" s="2566"/>
      <c r="G109" s="2566"/>
      <c r="H109" s="2566"/>
      <c r="I109" s="2579"/>
      <c r="J109" s="2579"/>
      <c r="K109" s="2579"/>
      <c r="L109" s="2579"/>
      <c r="M109" s="2579"/>
      <c r="N109" s="2579"/>
      <c r="O109" s="2579"/>
    </row>
    <row r="110" spans="1:15" s="2463" customFormat="1" ht="12.75">
      <c r="A110" s="2531"/>
      <c r="B110" s="2533"/>
      <c r="C110" s="2531"/>
      <c r="D110" s="2566"/>
      <c r="E110" s="2566"/>
      <c r="F110" s="2566"/>
      <c r="G110" s="2566"/>
      <c r="H110" s="2566"/>
      <c r="I110" s="2579"/>
      <c r="J110" s="2579"/>
      <c r="K110" s="2579"/>
      <c r="L110" s="2579"/>
      <c r="M110" s="2579"/>
      <c r="N110" s="2579"/>
      <c r="O110" s="2579"/>
    </row>
    <row r="111" spans="1:15" s="2463" customFormat="1" ht="12.75">
      <c r="A111" s="2531"/>
      <c r="B111" s="2533"/>
      <c r="C111" s="2531"/>
      <c r="D111" s="2566"/>
      <c r="E111" s="2566"/>
      <c r="F111" s="2566"/>
      <c r="G111" s="2566"/>
      <c r="H111" s="2566"/>
      <c r="I111" s="2579"/>
      <c r="J111" s="2579"/>
      <c r="K111" s="2579"/>
      <c r="L111" s="2579"/>
      <c r="M111" s="2579"/>
      <c r="N111" s="2579"/>
      <c r="O111" s="2579"/>
    </row>
    <row r="112" spans="1:15" s="2463" customFormat="1" ht="12.75">
      <c r="A112" s="2531"/>
      <c r="B112" s="2533"/>
      <c r="C112" s="2531"/>
      <c r="D112" s="2566"/>
      <c r="E112" s="2566"/>
      <c r="F112" s="2566"/>
      <c r="G112" s="2566"/>
      <c r="H112" s="2566"/>
      <c r="I112" s="2579"/>
      <c r="J112" s="2579"/>
      <c r="K112" s="2579"/>
      <c r="L112" s="2579"/>
      <c r="M112" s="2579"/>
      <c r="N112" s="2579"/>
      <c r="O112" s="2579"/>
    </row>
    <row r="113" spans="1:15" s="2463" customFormat="1" ht="12.75">
      <c r="A113" s="4876"/>
      <c r="B113" s="4876"/>
      <c r="C113" s="4876"/>
      <c r="D113" s="4876"/>
      <c r="E113" s="4876"/>
      <c r="F113" s="4876"/>
      <c r="G113" s="4876"/>
      <c r="H113" s="4876"/>
      <c r="I113" s="2579"/>
      <c r="J113" s="2579"/>
      <c r="K113" s="2579"/>
      <c r="L113" s="2579"/>
      <c r="M113" s="2579"/>
      <c r="N113" s="2579"/>
      <c r="O113" s="2579"/>
    </row>
    <row r="114" spans="1:15" s="2463" customFormat="1" ht="12.75">
      <c r="A114" s="4877"/>
      <c r="B114" s="4877"/>
      <c r="C114" s="4877"/>
      <c r="D114" s="4877"/>
      <c r="E114" s="4877"/>
      <c r="F114" s="4877"/>
      <c r="G114" s="4877"/>
      <c r="H114" s="4877"/>
      <c r="I114" s="2579"/>
      <c r="J114" s="2579"/>
      <c r="K114" s="2579"/>
      <c r="L114" s="2579"/>
      <c r="M114" s="2579"/>
      <c r="N114" s="2579"/>
      <c r="O114" s="2579"/>
    </row>
    <row r="115" spans="1:15" s="2463" customFormat="1">
      <c r="A115" s="2529"/>
      <c r="B115" s="2529"/>
      <c r="C115" s="2529"/>
      <c r="D115" s="2529"/>
      <c r="E115" s="2529"/>
      <c r="F115" s="2529"/>
      <c r="G115" s="2529"/>
      <c r="H115" s="2529"/>
      <c r="I115" s="2579"/>
      <c r="J115" s="2579"/>
      <c r="K115" s="2579"/>
      <c r="L115" s="2579"/>
      <c r="M115" s="2579"/>
      <c r="N115" s="2579"/>
      <c r="O115" s="2579"/>
    </row>
    <row r="116" spans="1:15" s="2463" customFormat="1">
      <c r="A116" s="2568"/>
      <c r="B116" s="2567"/>
      <c r="C116" s="2529"/>
      <c r="D116" s="2566"/>
      <c r="E116" s="2566"/>
      <c r="F116" s="2566"/>
      <c r="G116" s="2566"/>
      <c r="H116" s="2566"/>
      <c r="I116" s="2579"/>
      <c r="J116" s="2579"/>
      <c r="K116" s="2579"/>
      <c r="L116" s="2579"/>
      <c r="M116" s="2579"/>
      <c r="N116" s="2579"/>
      <c r="O116" s="2579"/>
    </row>
    <row r="117" spans="1:15" s="2463" customFormat="1" ht="12.75">
      <c r="A117" s="1269"/>
      <c r="B117" s="1269"/>
      <c r="C117" s="2542"/>
      <c r="D117" s="2541"/>
      <c r="E117" s="2561"/>
      <c r="F117" s="2540"/>
      <c r="G117" s="2565"/>
      <c r="H117" s="2561"/>
      <c r="I117" s="2579"/>
      <c r="J117" s="2579"/>
      <c r="K117" s="2579"/>
      <c r="L117" s="2579"/>
      <c r="M117" s="2579"/>
      <c r="N117" s="2579"/>
      <c r="O117" s="2579"/>
    </row>
    <row r="118" spans="1:15" s="2463" customFormat="1" ht="23.25">
      <c r="A118" s="2564"/>
      <c r="B118" s="2564"/>
      <c r="C118" s="2563"/>
      <c r="D118" s="2541"/>
      <c r="E118" s="2561"/>
      <c r="F118" s="2540"/>
      <c r="G118" s="2562"/>
      <c r="H118" s="2561"/>
      <c r="I118" s="2579"/>
      <c r="J118" s="2579"/>
      <c r="K118" s="2579"/>
      <c r="L118" s="2579"/>
      <c r="M118" s="2579"/>
      <c r="N118" s="2579"/>
      <c r="O118" s="2579"/>
    </row>
    <row r="119" spans="1:15" s="2463" customFormat="1" ht="12.75">
      <c r="A119" s="4879"/>
      <c r="B119" s="4879"/>
      <c r="C119" s="2559"/>
      <c r="D119" s="2560"/>
      <c r="E119" s="4880"/>
      <c r="F119" s="4880"/>
      <c r="G119" s="4880"/>
      <c r="H119" s="2557"/>
      <c r="I119" s="2579"/>
      <c r="J119" s="2579"/>
      <c r="K119" s="2579"/>
      <c r="L119" s="2579"/>
      <c r="M119" s="2579"/>
      <c r="N119" s="2579"/>
      <c r="O119" s="2579"/>
    </row>
    <row r="120" spans="1:15" s="2463" customFormat="1" ht="12.75">
      <c r="A120" s="4879"/>
      <c r="B120" s="4879"/>
      <c r="C120" s="2559"/>
      <c r="D120" s="2558"/>
      <c r="E120" s="2558"/>
      <c r="F120" s="2558"/>
      <c r="G120" s="2558"/>
      <c r="H120" s="2558"/>
      <c r="I120" s="2579"/>
      <c r="J120" s="2579"/>
      <c r="K120" s="2579"/>
      <c r="L120" s="2579"/>
      <c r="M120" s="2579"/>
      <c r="N120" s="2579"/>
      <c r="O120" s="2579"/>
    </row>
    <row r="121" spans="1:15" s="2463" customFormat="1" ht="12.75">
      <c r="A121" s="4879"/>
      <c r="B121" s="4879"/>
      <c r="C121" s="2557"/>
      <c r="D121" s="2555"/>
      <c r="E121" s="2555"/>
      <c r="F121" s="2555"/>
      <c r="G121" s="2556"/>
      <c r="H121" s="2555"/>
      <c r="I121" s="2579"/>
      <c r="J121" s="2579"/>
      <c r="K121" s="2579"/>
      <c r="L121" s="2579"/>
      <c r="M121" s="2579"/>
      <c r="N121" s="2579"/>
      <c r="O121" s="2579"/>
    </row>
    <row r="122" spans="1:15" s="2463" customFormat="1" ht="12.75">
      <c r="A122" s="2554"/>
      <c r="B122" s="2553"/>
      <c r="C122" s="2552"/>
      <c r="D122" s="2551"/>
      <c r="E122" s="2551"/>
      <c r="F122" s="2551"/>
      <c r="G122" s="2551"/>
      <c r="H122" s="2551"/>
      <c r="I122" s="2579"/>
      <c r="J122" s="2579"/>
      <c r="K122" s="2579"/>
      <c r="L122" s="2579"/>
      <c r="M122" s="2579"/>
      <c r="N122" s="2579"/>
      <c r="O122" s="2579"/>
    </row>
    <row r="123" spans="1:15" s="2463" customFormat="1" ht="12.75">
      <c r="A123" s="2549"/>
      <c r="B123" s="2549"/>
      <c r="C123" s="2550"/>
      <c r="D123" s="2548"/>
      <c r="E123" s="2548"/>
      <c r="F123" s="2540"/>
      <c r="G123" s="2548"/>
      <c r="H123" s="2548"/>
      <c r="I123" s="2579"/>
      <c r="J123" s="2579"/>
      <c r="K123" s="2579"/>
      <c r="L123" s="2579"/>
      <c r="M123" s="2579"/>
      <c r="N123" s="2579"/>
      <c r="O123" s="2579"/>
    </row>
    <row r="124" spans="1:15" s="2463" customFormat="1" ht="12.75">
      <c r="A124" s="2549"/>
      <c r="B124" s="2549"/>
      <c r="C124" s="2545"/>
      <c r="D124" s="2548"/>
      <c r="E124" s="2548"/>
      <c r="F124" s="2540"/>
      <c r="G124" s="2548"/>
      <c r="H124" s="2548"/>
      <c r="I124" s="2579"/>
      <c r="J124" s="2579"/>
      <c r="K124" s="2579"/>
      <c r="L124" s="2579"/>
      <c r="M124" s="2579"/>
      <c r="N124" s="2579"/>
      <c r="O124" s="2579"/>
    </row>
    <row r="125" spans="1:15" s="2463" customFormat="1" ht="12.75">
      <c r="A125" s="2547"/>
      <c r="B125" s="2546"/>
      <c r="C125" s="2545"/>
      <c r="D125" s="2541"/>
      <c r="E125" s="2544"/>
      <c r="F125" s="2540"/>
      <c r="G125" s="2544"/>
      <c r="H125" s="2544"/>
      <c r="I125" s="2579"/>
      <c r="J125" s="2579"/>
      <c r="K125" s="2579"/>
      <c r="L125" s="2579"/>
      <c r="M125" s="2579"/>
      <c r="N125" s="2579"/>
      <c r="O125" s="2579"/>
    </row>
    <row r="126" spans="1:15" s="2463" customFormat="1" ht="12.75">
      <c r="A126" s="2543"/>
      <c r="B126" s="2543"/>
      <c r="C126" s="2542"/>
      <c r="D126" s="2541"/>
      <c r="E126" s="2539"/>
      <c r="F126" s="2540"/>
      <c r="G126" s="2539"/>
      <c r="H126" s="2539"/>
      <c r="I126" s="2579"/>
      <c r="J126" s="2579"/>
      <c r="K126" s="2579"/>
      <c r="L126" s="2579"/>
      <c r="M126" s="2579"/>
      <c r="N126" s="2579"/>
      <c r="O126" s="2579"/>
    </row>
    <row r="127" spans="1:15" s="2463" customFormat="1" ht="12.75">
      <c r="A127" s="2538"/>
      <c r="B127" s="2538"/>
      <c r="C127" s="2537"/>
      <c r="D127" s="2536"/>
      <c r="E127" s="2536"/>
      <c r="F127" s="2536"/>
      <c r="G127" s="2536"/>
      <c r="H127" s="2536"/>
      <c r="I127" s="2579"/>
      <c r="J127" s="2579"/>
      <c r="K127" s="2579"/>
      <c r="L127" s="2579"/>
      <c r="M127" s="2579"/>
      <c r="N127" s="2579"/>
      <c r="O127" s="2579"/>
    </row>
    <row r="128" spans="1:15" s="2463" customFormat="1" ht="12.75">
      <c r="A128" s="2538"/>
      <c r="B128" s="2538"/>
      <c r="C128" s="2537"/>
      <c r="D128" s="2536"/>
      <c r="E128" s="2536"/>
      <c r="F128" s="2536"/>
      <c r="G128" s="2536"/>
      <c r="H128" s="2536"/>
      <c r="I128" s="2579"/>
      <c r="J128" s="2579"/>
      <c r="K128" s="2579"/>
      <c r="L128" s="2579"/>
      <c r="M128" s="2579"/>
      <c r="N128" s="2579"/>
      <c r="O128" s="2579"/>
    </row>
    <row r="129" spans="1:15" s="2463" customFormat="1">
      <c r="A129" s="1269"/>
      <c r="B129" s="2529"/>
      <c r="C129" s="2535"/>
      <c r="D129" s="2529"/>
      <c r="E129" s="4877"/>
      <c r="F129" s="4877"/>
      <c r="G129" s="1269"/>
      <c r="H129" s="2529"/>
      <c r="I129" s="2579"/>
      <c r="J129" s="2579"/>
      <c r="K129" s="2579"/>
      <c r="L129" s="2579"/>
      <c r="M129" s="2579"/>
      <c r="N129" s="2579"/>
      <c r="O129" s="2579"/>
    </row>
    <row r="130" spans="1:15" s="2463" customFormat="1">
      <c r="A130" s="2529"/>
      <c r="B130" s="1269"/>
      <c r="C130" s="2535"/>
      <c r="D130" s="1269"/>
      <c r="E130" s="1269"/>
      <c r="F130" s="1269"/>
      <c r="G130" s="1269"/>
      <c r="H130" s="2529"/>
      <c r="I130" s="2579"/>
      <c r="J130" s="2579"/>
      <c r="K130" s="2579"/>
      <c r="L130" s="2579"/>
      <c r="M130" s="2579"/>
      <c r="N130" s="2579"/>
      <c r="O130" s="2579"/>
    </row>
    <row r="131" spans="1:15" s="2463" customFormat="1" ht="12.75">
      <c r="A131" s="2534"/>
      <c r="B131" s="1269"/>
      <c r="C131" s="4881"/>
      <c r="D131" s="4881"/>
      <c r="E131" s="4876"/>
      <c r="F131" s="4876"/>
      <c r="G131" s="4876"/>
      <c r="H131" s="4876"/>
      <c r="I131" s="2579"/>
      <c r="J131" s="2579"/>
      <c r="K131" s="2579"/>
      <c r="L131" s="2579"/>
      <c r="M131" s="2579"/>
      <c r="N131" s="2579"/>
      <c r="O131" s="2579"/>
    </row>
    <row r="132" spans="1:15" s="2463" customFormat="1" ht="12.75">
      <c r="A132" s="2531"/>
      <c r="B132" s="2533"/>
      <c r="C132" s="4874"/>
      <c r="D132" s="4874"/>
      <c r="E132" s="4875"/>
      <c r="F132" s="4875"/>
      <c r="G132" s="4875"/>
      <c r="H132" s="4875"/>
      <c r="I132" s="2579"/>
      <c r="J132" s="2579"/>
      <c r="K132" s="2579"/>
      <c r="L132" s="2579"/>
      <c r="M132" s="2579"/>
      <c r="N132" s="2579"/>
      <c r="O132" s="2579"/>
    </row>
    <row r="133" spans="1:15" s="2463" customFormat="1">
      <c r="A133" s="2529"/>
      <c r="B133" s="2529"/>
      <c r="C133" s="2529"/>
      <c r="D133" s="2529"/>
      <c r="E133" s="2529"/>
      <c r="F133" s="2529"/>
      <c r="G133" s="2529"/>
      <c r="H133" s="2529"/>
      <c r="I133" s="2579"/>
      <c r="J133" s="2579"/>
      <c r="K133" s="2579"/>
      <c r="L133" s="2579"/>
      <c r="M133" s="2579"/>
      <c r="N133" s="2579"/>
      <c r="O133" s="2579"/>
    </row>
    <row r="134" spans="1:15" s="2463" customFormat="1">
      <c r="A134" s="2529"/>
      <c r="B134" s="2529"/>
      <c r="C134" s="2529"/>
      <c r="D134" s="2529"/>
      <c r="E134" s="2529"/>
      <c r="F134" s="2529"/>
      <c r="G134" s="2529"/>
      <c r="H134" s="2529"/>
      <c r="I134" s="2579"/>
      <c r="J134" s="2579"/>
      <c r="K134" s="2579"/>
      <c r="L134" s="2579"/>
      <c r="M134" s="2579"/>
      <c r="N134" s="2579"/>
      <c r="O134" s="2579"/>
    </row>
    <row r="135" spans="1:15" s="2463" customFormat="1">
      <c r="A135" s="2529"/>
      <c r="B135" s="2529"/>
      <c r="C135" s="2529"/>
      <c r="D135" s="2529"/>
      <c r="E135" s="2529"/>
      <c r="F135" s="2529"/>
      <c r="G135" s="2529"/>
      <c r="H135" s="2529"/>
      <c r="I135" s="2579"/>
      <c r="J135" s="2579"/>
      <c r="K135" s="2579"/>
      <c r="L135" s="2579"/>
      <c r="M135" s="2579"/>
      <c r="N135" s="2579"/>
      <c r="O135" s="2579"/>
    </row>
    <row r="136" spans="1:15" s="2463" customFormat="1">
      <c r="A136" s="2529"/>
      <c r="B136" s="2529"/>
      <c r="C136" s="2529"/>
      <c r="D136" s="2529"/>
      <c r="E136" s="2529"/>
      <c r="F136" s="2529"/>
      <c r="G136" s="2529"/>
      <c r="H136" s="2529"/>
      <c r="I136" s="2579"/>
      <c r="J136" s="2579"/>
      <c r="K136" s="2579"/>
      <c r="L136" s="2579"/>
      <c r="M136" s="2579"/>
      <c r="N136" s="2579"/>
      <c r="O136" s="2579"/>
    </row>
    <row r="137" spans="1:15" s="2463" customFormat="1">
      <c r="A137" s="2529"/>
      <c r="B137" s="2529"/>
      <c r="C137" s="2529"/>
      <c r="D137" s="2529"/>
      <c r="E137" s="2529"/>
      <c r="F137" s="2529"/>
      <c r="G137" s="2529"/>
      <c r="H137" s="2529"/>
      <c r="I137" s="2579"/>
      <c r="J137" s="2579"/>
      <c r="K137" s="2579"/>
      <c r="L137" s="2579"/>
      <c r="M137" s="2579"/>
      <c r="N137" s="2579"/>
      <c r="O137" s="2579"/>
    </row>
    <row r="138" spans="1:15" s="2463" customFormat="1">
      <c r="A138" s="2529"/>
      <c r="B138" s="2529"/>
      <c r="C138" s="2529"/>
      <c r="D138" s="2529"/>
      <c r="E138" s="2529"/>
      <c r="F138" s="2529"/>
      <c r="G138" s="2529"/>
      <c r="H138" s="2529"/>
      <c r="I138" s="2579"/>
      <c r="J138" s="2579"/>
      <c r="K138" s="2579"/>
      <c r="L138" s="2579"/>
      <c r="M138" s="2579"/>
      <c r="N138" s="2579"/>
      <c r="O138" s="2579"/>
    </row>
    <row r="139" spans="1:15" s="2463" customFormat="1">
      <c r="A139" s="2529"/>
      <c r="B139" s="2529"/>
      <c r="C139" s="2529"/>
      <c r="D139" s="2529"/>
      <c r="E139" s="2529"/>
      <c r="F139" s="2529"/>
      <c r="G139" s="2529"/>
      <c r="H139" s="2529"/>
      <c r="I139" s="2579"/>
      <c r="J139" s="2579"/>
      <c r="K139" s="2579"/>
      <c r="L139" s="2579"/>
      <c r="M139" s="2579"/>
      <c r="N139" s="2579"/>
      <c r="O139" s="2579"/>
    </row>
    <row r="140" spans="1:15" s="2463" customFormat="1">
      <c r="A140" s="2529"/>
      <c r="B140" s="2529"/>
      <c r="C140" s="2529"/>
      <c r="D140" s="2529"/>
      <c r="E140" s="2529"/>
      <c r="F140" s="2529"/>
      <c r="G140" s="2529"/>
      <c r="H140" s="2529"/>
      <c r="I140" s="2579"/>
      <c r="J140" s="2579"/>
      <c r="K140" s="2579"/>
      <c r="L140" s="2579"/>
      <c r="M140" s="2579"/>
      <c r="N140" s="2579"/>
      <c r="O140" s="2579"/>
    </row>
    <row r="141" spans="1:15" s="2463" customFormat="1">
      <c r="A141" s="2529"/>
      <c r="B141" s="2529"/>
      <c r="C141" s="2529"/>
      <c r="D141" s="2529"/>
      <c r="E141" s="2529"/>
      <c r="F141" s="2529"/>
      <c r="G141" s="2529"/>
      <c r="H141" s="2529"/>
      <c r="I141" s="2579"/>
      <c r="J141" s="2579"/>
      <c r="K141" s="2579"/>
      <c r="L141" s="2579"/>
      <c r="M141" s="2579"/>
      <c r="N141" s="2579"/>
      <c r="O141" s="2579"/>
    </row>
    <row r="142" spans="1:15" s="2463" customFormat="1">
      <c r="A142" s="2462"/>
      <c r="B142" s="2462"/>
      <c r="C142" s="2462"/>
      <c r="D142" s="2462"/>
      <c r="E142" s="2462"/>
      <c r="F142" s="2462"/>
      <c r="G142" s="2462"/>
      <c r="H142" s="2462"/>
      <c r="I142" s="2579"/>
      <c r="J142" s="2579"/>
      <c r="K142" s="2579"/>
      <c r="L142" s="2579"/>
      <c r="M142" s="2579"/>
      <c r="N142" s="2579"/>
      <c r="O142" s="2579"/>
    </row>
    <row r="143" spans="1:15" s="2463" customFormat="1">
      <c r="A143" s="2462"/>
      <c r="B143" s="2462"/>
      <c r="C143" s="2462"/>
      <c r="D143" s="2462"/>
      <c r="E143" s="2462"/>
      <c r="F143" s="2462"/>
      <c r="G143" s="2462"/>
      <c r="H143" s="2462"/>
      <c r="I143" s="2579"/>
      <c r="J143" s="2579"/>
      <c r="K143" s="2579"/>
      <c r="L143" s="2579"/>
      <c r="M143" s="2579"/>
      <c r="N143" s="2579"/>
      <c r="O143" s="2579"/>
    </row>
    <row r="144" spans="1:15" s="2463" customFormat="1">
      <c r="A144" s="2462"/>
      <c r="B144" s="2462"/>
      <c r="C144" s="2462"/>
      <c r="D144" s="2462"/>
      <c r="E144" s="2462"/>
      <c r="F144" s="2462"/>
      <c r="G144" s="2462"/>
      <c r="H144" s="2462"/>
      <c r="I144" s="2579"/>
      <c r="J144" s="2579"/>
      <c r="K144" s="2579"/>
      <c r="L144" s="2579"/>
      <c r="M144" s="2579"/>
      <c r="N144" s="2579"/>
      <c r="O144" s="2579"/>
    </row>
    <row r="145" spans="1:15" s="2463" customFormat="1">
      <c r="A145" s="2462"/>
      <c r="B145" s="2462"/>
      <c r="C145" s="2462"/>
      <c r="D145" s="2462"/>
      <c r="E145" s="2462"/>
      <c r="F145" s="2462"/>
      <c r="G145" s="2462"/>
      <c r="H145" s="2462"/>
      <c r="I145" s="2579"/>
      <c r="J145" s="2579"/>
      <c r="K145" s="2579"/>
      <c r="L145" s="2579"/>
      <c r="M145" s="2579"/>
      <c r="N145" s="2579"/>
      <c r="O145" s="2579"/>
    </row>
    <row r="146" spans="1:15" s="2463" customFormat="1">
      <c r="A146" s="2462"/>
      <c r="B146" s="2462"/>
      <c r="C146" s="2462"/>
      <c r="D146" s="2462"/>
      <c r="E146" s="2462"/>
      <c r="F146" s="2462"/>
      <c r="G146" s="2462"/>
      <c r="H146" s="2462"/>
      <c r="I146" s="2579"/>
      <c r="J146" s="2579"/>
      <c r="K146" s="2579"/>
      <c r="L146" s="2579"/>
      <c r="M146" s="2579"/>
      <c r="N146" s="2579"/>
      <c r="O146" s="2579"/>
    </row>
    <row r="147" spans="1:15" s="2463" customFormat="1">
      <c r="A147" s="2462"/>
      <c r="B147" s="2462"/>
      <c r="C147" s="2462"/>
      <c r="D147" s="2462"/>
      <c r="E147" s="2462"/>
      <c r="F147" s="2462"/>
      <c r="G147" s="2462"/>
      <c r="H147" s="2462"/>
      <c r="I147" s="2579"/>
      <c r="J147" s="2579"/>
      <c r="K147" s="2579"/>
      <c r="L147" s="2579"/>
      <c r="M147" s="2579"/>
      <c r="N147" s="2579"/>
      <c r="O147" s="2579"/>
    </row>
    <row r="148" spans="1:15" s="2463" customFormat="1">
      <c r="A148" s="2462"/>
      <c r="B148" s="2462"/>
      <c r="C148" s="2462"/>
      <c r="D148" s="2462"/>
      <c r="E148" s="2462"/>
      <c r="F148" s="2462"/>
      <c r="G148" s="2462"/>
      <c r="H148" s="2462"/>
      <c r="I148" s="2579"/>
      <c r="J148" s="2579"/>
      <c r="K148" s="2579"/>
      <c r="L148" s="2579"/>
      <c r="M148" s="2579"/>
      <c r="N148" s="2579"/>
      <c r="O148" s="2579"/>
    </row>
    <row r="149" spans="1:15" s="2463" customFormat="1">
      <c r="A149" s="2462"/>
      <c r="B149" s="2462"/>
      <c r="C149" s="2462"/>
      <c r="D149" s="2462"/>
      <c r="E149" s="2462"/>
      <c r="F149" s="2462"/>
      <c r="G149" s="2462"/>
      <c r="H149" s="2462"/>
      <c r="I149" s="2579"/>
      <c r="J149" s="2579"/>
      <c r="K149" s="2579"/>
      <c r="L149" s="2579"/>
      <c r="M149" s="2579"/>
      <c r="N149" s="2579"/>
      <c r="O149" s="2579"/>
    </row>
    <row r="150" spans="1:15" s="2463" customFormat="1">
      <c r="A150" s="2462"/>
      <c r="B150" s="2462"/>
      <c r="C150" s="2462"/>
      <c r="D150" s="2462"/>
      <c r="E150" s="2462"/>
      <c r="F150" s="2462"/>
      <c r="G150" s="2462"/>
      <c r="H150" s="2462"/>
      <c r="I150" s="2579"/>
      <c r="J150" s="2579"/>
      <c r="K150" s="2579"/>
      <c r="L150" s="2579"/>
      <c r="M150" s="2579"/>
      <c r="N150" s="2579"/>
      <c r="O150" s="2579"/>
    </row>
    <row r="151" spans="1:15" s="2463" customFormat="1">
      <c r="A151" s="2462"/>
      <c r="B151" s="2462"/>
      <c r="C151" s="2462"/>
      <c r="D151" s="2462"/>
      <c r="E151" s="2462"/>
      <c r="F151" s="2462"/>
      <c r="G151" s="2462"/>
      <c r="H151" s="2462"/>
      <c r="I151" s="2579"/>
      <c r="J151" s="2579"/>
      <c r="K151" s="2579"/>
      <c r="L151" s="2579"/>
      <c r="M151" s="2579"/>
      <c r="N151" s="2579"/>
      <c r="O151" s="2579"/>
    </row>
    <row r="152" spans="1:15" s="2463" customFormat="1">
      <c r="A152" s="2462"/>
      <c r="B152" s="2462"/>
      <c r="C152" s="2462"/>
      <c r="D152" s="2462"/>
      <c r="E152" s="2462"/>
      <c r="F152" s="2462"/>
      <c r="G152" s="2462"/>
      <c r="H152" s="2462"/>
      <c r="I152" s="2579"/>
      <c r="J152" s="2579"/>
      <c r="K152" s="2579"/>
      <c r="L152" s="2579"/>
      <c r="M152" s="2579"/>
      <c r="N152" s="2579"/>
      <c r="O152" s="2579"/>
    </row>
    <row r="153" spans="1:15" s="2463" customFormat="1">
      <c r="A153" s="2462"/>
      <c r="B153" s="2462"/>
      <c r="C153" s="2462"/>
      <c r="D153" s="2462"/>
      <c r="E153" s="2462"/>
      <c r="F153" s="2462"/>
      <c r="G153" s="2462"/>
      <c r="H153" s="2462"/>
      <c r="I153" s="2579"/>
      <c r="J153" s="2579"/>
      <c r="K153" s="2579"/>
      <c r="L153" s="2579"/>
      <c r="M153" s="2579"/>
      <c r="N153" s="2579"/>
      <c r="O153" s="2579"/>
    </row>
    <row r="154" spans="1:15" s="2463" customFormat="1">
      <c r="A154" s="2462"/>
      <c r="B154" s="2462"/>
      <c r="C154" s="2462"/>
      <c r="D154" s="2462"/>
      <c r="E154" s="2462"/>
      <c r="F154" s="2462"/>
      <c r="G154" s="2462"/>
      <c r="H154" s="2462"/>
      <c r="I154" s="2579"/>
      <c r="J154" s="2579"/>
      <c r="K154" s="2579"/>
      <c r="L154" s="2579"/>
      <c r="M154" s="2579"/>
      <c r="N154" s="2579"/>
      <c r="O154" s="2579"/>
    </row>
    <row r="155" spans="1:15" s="2532" customFormat="1">
      <c r="A155" s="2462"/>
      <c r="B155" s="2462"/>
      <c r="C155" s="2462"/>
      <c r="D155" s="2462"/>
      <c r="E155" s="2462"/>
      <c r="F155" s="2462"/>
      <c r="G155" s="2462"/>
      <c r="H155" s="2462"/>
    </row>
    <row r="156" spans="1:15" s="2532" customFormat="1">
      <c r="A156" s="2462"/>
      <c r="B156" s="2462"/>
      <c r="C156" s="2462"/>
      <c r="D156" s="2462"/>
      <c r="E156" s="2462"/>
      <c r="F156" s="2462"/>
      <c r="G156" s="2462"/>
      <c r="H156" s="2462"/>
    </row>
    <row r="157" spans="1:15" s="2532" customFormat="1">
      <c r="A157" s="2462"/>
      <c r="B157" s="2462"/>
      <c r="C157" s="2462"/>
      <c r="D157" s="2462"/>
      <c r="E157" s="2462"/>
      <c r="F157" s="2462"/>
      <c r="G157" s="2462"/>
      <c r="H157" s="2462"/>
    </row>
    <row r="158" spans="1:15" s="2532" customFormat="1">
      <c r="A158" s="2462"/>
      <c r="B158" s="2462"/>
      <c r="C158" s="2462"/>
      <c r="D158" s="2462"/>
      <c r="E158" s="2462"/>
      <c r="F158" s="2462"/>
      <c r="G158" s="2462"/>
      <c r="H158" s="2462"/>
    </row>
    <row r="159" spans="1:15" s="2532" customFormat="1">
      <c r="A159" s="2462"/>
      <c r="B159" s="2462"/>
      <c r="C159" s="2462"/>
      <c r="D159" s="2462"/>
      <c r="E159" s="2462"/>
      <c r="F159" s="2462"/>
      <c r="G159" s="2462"/>
      <c r="H159" s="2462"/>
    </row>
    <row r="160" spans="1:15" s="2532" customFormat="1">
      <c r="A160" s="2462"/>
      <c r="B160" s="2462"/>
      <c r="C160" s="2462"/>
      <c r="D160" s="2462"/>
      <c r="E160" s="2462"/>
      <c r="F160" s="2462"/>
      <c r="G160" s="2462"/>
      <c r="H160" s="2462"/>
    </row>
    <row r="161" spans="1:15" s="2532" customFormat="1">
      <c r="A161" s="2462"/>
      <c r="B161" s="2462"/>
      <c r="C161" s="2462"/>
      <c r="D161" s="2462"/>
      <c r="E161" s="2462"/>
      <c r="F161" s="2462"/>
      <c r="G161" s="2462"/>
      <c r="H161" s="2462"/>
    </row>
    <row r="162" spans="1:15" s="2532" customFormat="1">
      <c r="A162" s="2462"/>
      <c r="B162" s="2462"/>
      <c r="C162" s="2462"/>
      <c r="D162" s="2462"/>
      <c r="E162" s="2462"/>
      <c r="F162" s="2462"/>
      <c r="G162" s="2462"/>
      <c r="H162" s="2462"/>
    </row>
    <row r="163" spans="1:15" s="2463" customFormat="1">
      <c r="A163" s="2462"/>
      <c r="B163" s="2462"/>
      <c r="C163" s="2462"/>
      <c r="D163" s="2462"/>
      <c r="E163" s="2462"/>
      <c r="F163" s="2462"/>
      <c r="G163" s="2462"/>
      <c r="H163" s="2462"/>
      <c r="I163" s="2579"/>
      <c r="J163" s="2579"/>
      <c r="K163" s="2579"/>
      <c r="L163" s="2579"/>
      <c r="M163" s="2579"/>
      <c r="N163" s="2579"/>
      <c r="O163" s="2579"/>
    </row>
    <row r="164" spans="1:15" s="2463" customFormat="1">
      <c r="A164" s="2462"/>
      <c r="B164" s="2462"/>
      <c r="C164" s="2462"/>
      <c r="D164" s="2462"/>
      <c r="E164" s="2462"/>
      <c r="F164" s="2462"/>
      <c r="G164" s="2462"/>
      <c r="H164" s="2462"/>
      <c r="I164" s="2579"/>
      <c r="J164" s="2579"/>
      <c r="K164" s="2579"/>
      <c r="L164" s="2579"/>
      <c r="M164" s="2579"/>
      <c r="N164" s="2579"/>
      <c r="O164" s="2579"/>
    </row>
    <row r="165" spans="1:15" s="2463" customFormat="1">
      <c r="A165" s="2462"/>
      <c r="B165" s="2462"/>
      <c r="C165" s="2462"/>
      <c r="D165" s="2462"/>
      <c r="E165" s="2462"/>
      <c r="F165" s="2462"/>
      <c r="G165" s="2462"/>
      <c r="H165" s="2462"/>
      <c r="I165" s="2579"/>
      <c r="J165" s="2579"/>
      <c r="K165" s="2579"/>
      <c r="L165" s="2579"/>
      <c r="M165" s="2579"/>
      <c r="N165" s="2579"/>
      <c r="O165" s="2579"/>
    </row>
    <row r="166" spans="1:15" s="2463" customFormat="1">
      <c r="A166" s="2462"/>
      <c r="B166" s="2462"/>
      <c r="C166" s="2462"/>
      <c r="D166" s="2462"/>
      <c r="E166" s="2462"/>
      <c r="F166" s="2462"/>
      <c r="G166" s="2462"/>
      <c r="H166" s="2462"/>
      <c r="I166" s="2579"/>
      <c r="J166" s="2579"/>
      <c r="K166" s="2579"/>
      <c r="L166" s="2579"/>
      <c r="M166" s="2579"/>
      <c r="N166" s="2579"/>
      <c r="O166" s="2579"/>
    </row>
    <row r="167" spans="1:15" s="2463" customFormat="1">
      <c r="A167" s="2462"/>
      <c r="B167" s="2462"/>
      <c r="C167" s="2462"/>
      <c r="D167" s="2462"/>
      <c r="E167" s="2462"/>
      <c r="F167" s="2462"/>
      <c r="G167" s="2462"/>
      <c r="H167" s="2462"/>
      <c r="I167" s="2579"/>
      <c r="J167" s="2579"/>
      <c r="K167" s="2579"/>
      <c r="L167" s="2579"/>
      <c r="M167" s="2579"/>
      <c r="N167" s="2579"/>
      <c r="O167" s="2579"/>
    </row>
    <row r="168" spans="1:15" s="2463" customFormat="1">
      <c r="A168" s="2462"/>
      <c r="B168" s="2462"/>
      <c r="C168" s="2462"/>
      <c r="D168" s="2462"/>
      <c r="E168" s="2462"/>
      <c r="F168" s="2462"/>
      <c r="G168" s="2462"/>
      <c r="H168" s="2462"/>
      <c r="I168" s="2579"/>
      <c r="J168" s="2579"/>
      <c r="K168" s="2579"/>
      <c r="L168" s="2579"/>
      <c r="M168" s="2579"/>
      <c r="N168" s="2579"/>
      <c r="O168" s="2579"/>
    </row>
    <row r="169" spans="1:15" s="2463" customFormat="1">
      <c r="A169" s="2462"/>
      <c r="B169" s="2462"/>
      <c r="C169" s="2462"/>
      <c r="D169" s="2462"/>
      <c r="E169" s="2462"/>
      <c r="F169" s="2462"/>
      <c r="G169" s="2462"/>
      <c r="H169" s="2462"/>
      <c r="I169" s="2579"/>
      <c r="J169" s="2579"/>
      <c r="K169" s="2579"/>
      <c r="L169" s="2579"/>
      <c r="M169" s="2579"/>
      <c r="N169" s="2579"/>
      <c r="O169" s="2579"/>
    </row>
    <row r="170" spans="1:15" s="2463" customFormat="1">
      <c r="A170" s="2462"/>
      <c r="B170" s="2462"/>
      <c r="C170" s="2462"/>
      <c r="D170" s="2462"/>
      <c r="E170" s="2462"/>
      <c r="F170" s="2462"/>
      <c r="G170" s="2462"/>
      <c r="H170" s="2462"/>
      <c r="I170" s="2579"/>
      <c r="J170" s="2579"/>
      <c r="K170" s="2579"/>
      <c r="L170" s="2579"/>
      <c r="M170" s="2579"/>
      <c r="N170" s="2579"/>
      <c r="O170" s="2579"/>
    </row>
    <row r="171" spans="1:15" s="2463" customFormat="1">
      <c r="A171" s="2462"/>
      <c r="B171" s="2462"/>
      <c r="C171" s="2462"/>
      <c r="D171" s="2462"/>
      <c r="E171" s="2462"/>
      <c r="F171" s="2462"/>
      <c r="G171" s="2462"/>
      <c r="H171" s="2462"/>
      <c r="I171" s="2579"/>
      <c r="J171" s="2579"/>
      <c r="K171" s="2579"/>
      <c r="L171" s="2579"/>
      <c r="M171" s="2579"/>
      <c r="N171" s="2579"/>
      <c r="O171" s="2579"/>
    </row>
    <row r="172" spans="1:15" s="2463" customFormat="1">
      <c r="A172" s="2462"/>
      <c r="B172" s="2462"/>
      <c r="C172" s="2462"/>
      <c r="D172" s="2462"/>
      <c r="E172" s="2462"/>
      <c r="F172" s="2462"/>
      <c r="G172" s="2462"/>
      <c r="H172" s="2462"/>
      <c r="I172" s="2579"/>
      <c r="J172" s="2579"/>
      <c r="K172" s="2579"/>
      <c r="L172" s="2579"/>
      <c r="M172" s="2579"/>
      <c r="N172" s="2579"/>
      <c r="O172" s="2579"/>
    </row>
    <row r="173" spans="1:15" s="2463" customFormat="1">
      <c r="A173" s="2462"/>
      <c r="B173" s="2462"/>
      <c r="C173" s="2462"/>
      <c r="D173" s="2462"/>
      <c r="E173" s="2462"/>
      <c r="F173" s="2462"/>
      <c r="G173" s="2462"/>
      <c r="H173" s="2462"/>
      <c r="I173" s="2579"/>
      <c r="J173" s="2579"/>
      <c r="K173" s="2579"/>
      <c r="L173" s="2579"/>
      <c r="M173" s="2579"/>
      <c r="N173" s="2579"/>
      <c r="O173" s="2579"/>
    </row>
    <row r="174" spans="1:15" s="2463" customFormat="1">
      <c r="A174" s="2462"/>
      <c r="B174" s="2462"/>
      <c r="C174" s="2462"/>
      <c r="D174" s="2462"/>
      <c r="E174" s="2462"/>
      <c r="F174" s="2462"/>
      <c r="G174" s="2462"/>
      <c r="H174" s="2462"/>
      <c r="I174" s="2579"/>
      <c r="J174" s="2579"/>
      <c r="K174" s="2579"/>
      <c r="L174" s="2579"/>
      <c r="M174" s="2579"/>
      <c r="N174" s="2579"/>
      <c r="O174" s="2579"/>
    </row>
    <row r="175" spans="1:15" s="2463" customFormat="1">
      <c r="A175" s="2462"/>
      <c r="B175" s="2462"/>
      <c r="C175" s="2462"/>
      <c r="D175" s="2462"/>
      <c r="E175" s="2462"/>
      <c r="F175" s="2462"/>
      <c r="G175" s="2462"/>
      <c r="H175" s="2462"/>
      <c r="I175" s="2579"/>
      <c r="J175" s="2579"/>
      <c r="K175" s="2579"/>
      <c r="L175" s="2579"/>
      <c r="M175" s="2579"/>
      <c r="N175" s="2579"/>
      <c r="O175" s="2579"/>
    </row>
    <row r="176" spans="1:15" s="2463" customFormat="1">
      <c r="A176" s="2462"/>
      <c r="B176" s="2462"/>
      <c r="C176" s="2462"/>
      <c r="D176" s="2462"/>
      <c r="E176" s="2462"/>
      <c r="F176" s="2462"/>
      <c r="G176" s="2462"/>
      <c r="H176" s="2462"/>
      <c r="I176" s="2579"/>
      <c r="J176" s="2579"/>
      <c r="K176" s="2579"/>
      <c r="L176" s="2579"/>
      <c r="M176" s="2579"/>
      <c r="N176" s="2579"/>
      <c r="O176" s="2579"/>
    </row>
    <row r="177" spans="1:15" s="2463" customFormat="1">
      <c r="A177" s="2462"/>
      <c r="B177" s="2462"/>
      <c r="C177" s="2462"/>
      <c r="D177" s="2462"/>
      <c r="E177" s="2462"/>
      <c r="F177" s="2462"/>
      <c r="G177" s="2462"/>
      <c r="H177" s="2462"/>
      <c r="I177" s="2579"/>
      <c r="J177" s="2579"/>
      <c r="K177" s="2579"/>
      <c r="L177" s="2579"/>
      <c r="M177" s="2579"/>
      <c r="N177" s="2579"/>
      <c r="O177" s="2579"/>
    </row>
    <row r="178" spans="1:15" s="2463" customFormat="1">
      <c r="A178" s="2462"/>
      <c r="B178" s="2462"/>
      <c r="C178" s="2462"/>
      <c r="D178" s="2462"/>
      <c r="E178" s="2462"/>
      <c r="F178" s="2462"/>
      <c r="G178" s="2462"/>
      <c r="H178" s="2462"/>
      <c r="I178" s="2579"/>
      <c r="J178" s="2579"/>
      <c r="K178" s="2579"/>
      <c r="L178" s="2579"/>
      <c r="M178" s="2579"/>
      <c r="N178" s="2579"/>
      <c r="O178" s="2579"/>
    </row>
    <row r="179" spans="1:15" s="2463" customFormat="1">
      <c r="A179" s="2462"/>
      <c r="B179" s="2462"/>
      <c r="C179" s="2462"/>
      <c r="D179" s="2462"/>
      <c r="E179" s="2462"/>
      <c r="F179" s="2462"/>
      <c r="G179" s="2462"/>
      <c r="H179" s="2462"/>
      <c r="I179" s="2579"/>
      <c r="J179" s="2579"/>
      <c r="K179" s="2579"/>
      <c r="L179" s="2579"/>
      <c r="M179" s="2579"/>
      <c r="N179" s="2579"/>
      <c r="O179" s="2579"/>
    </row>
    <row r="180" spans="1:15" s="2463" customFormat="1">
      <c r="A180" s="2462"/>
      <c r="B180" s="2462"/>
      <c r="C180" s="2462"/>
      <c r="D180" s="2462"/>
      <c r="E180" s="2462"/>
      <c r="F180" s="2462"/>
      <c r="G180" s="2462"/>
      <c r="H180" s="2462"/>
      <c r="I180" s="2579"/>
      <c r="J180" s="2579"/>
      <c r="K180" s="2579"/>
      <c r="L180" s="2579"/>
      <c r="M180" s="2579"/>
      <c r="N180" s="2579"/>
      <c r="O180" s="2579"/>
    </row>
    <row r="181" spans="1:15" s="2463" customFormat="1">
      <c r="A181" s="2462"/>
      <c r="B181" s="2462"/>
      <c r="C181" s="2462"/>
      <c r="D181" s="2462"/>
      <c r="E181" s="2462"/>
      <c r="F181" s="2462"/>
      <c r="G181" s="2462"/>
      <c r="H181" s="2462"/>
      <c r="I181" s="2579"/>
      <c r="J181" s="2579"/>
      <c r="K181" s="2579"/>
      <c r="L181" s="2579"/>
      <c r="M181" s="2579"/>
      <c r="N181" s="2579"/>
      <c r="O181" s="2579"/>
    </row>
    <row r="182" spans="1:15" s="2463" customFormat="1">
      <c r="A182" s="2462"/>
      <c r="B182" s="2462"/>
      <c r="C182" s="2462"/>
      <c r="D182" s="2462"/>
      <c r="E182" s="2462"/>
      <c r="F182" s="2462"/>
      <c r="G182" s="2462"/>
      <c r="H182" s="2462"/>
      <c r="I182" s="2579"/>
      <c r="J182" s="2579"/>
      <c r="K182" s="2579"/>
      <c r="L182" s="2579"/>
      <c r="M182" s="2579"/>
      <c r="N182" s="2579"/>
      <c r="O182" s="2579"/>
    </row>
    <row r="183" spans="1:15" s="2463" customFormat="1">
      <c r="A183" s="2462"/>
      <c r="B183" s="2462"/>
      <c r="C183" s="2462"/>
      <c r="D183" s="2462"/>
      <c r="E183" s="2462"/>
      <c r="F183" s="2462"/>
      <c r="G183" s="2462"/>
      <c r="H183" s="2462"/>
      <c r="I183" s="2579"/>
      <c r="J183" s="2579"/>
      <c r="K183" s="2579"/>
      <c r="L183" s="2579"/>
      <c r="M183" s="2579"/>
      <c r="N183" s="2579"/>
      <c r="O183" s="2579"/>
    </row>
    <row r="184" spans="1:15" s="2463" customFormat="1">
      <c r="A184" s="2462"/>
      <c r="B184" s="2462"/>
      <c r="C184" s="2462"/>
      <c r="D184" s="2462"/>
      <c r="E184" s="2462"/>
      <c r="F184" s="2462"/>
      <c r="G184" s="2462"/>
      <c r="H184" s="2462"/>
      <c r="I184" s="2579"/>
      <c r="J184" s="2579"/>
      <c r="K184" s="2579"/>
      <c r="L184" s="2579"/>
      <c r="M184" s="2579"/>
      <c r="N184" s="2579"/>
      <c r="O184" s="2579"/>
    </row>
    <row r="185" spans="1:15" s="2463" customFormat="1">
      <c r="A185" s="2462"/>
      <c r="B185" s="2462"/>
      <c r="C185" s="2462"/>
      <c r="D185" s="2462"/>
      <c r="E185" s="2462"/>
      <c r="F185" s="2462"/>
      <c r="G185" s="2462"/>
      <c r="H185" s="2462"/>
      <c r="I185" s="2579"/>
      <c r="J185" s="2579"/>
      <c r="K185" s="2579"/>
      <c r="L185" s="2579"/>
      <c r="M185" s="2579"/>
      <c r="N185" s="2579"/>
      <c r="O185" s="2579"/>
    </row>
    <row r="186" spans="1:15" s="2463" customFormat="1">
      <c r="A186" s="2462"/>
      <c r="B186" s="2462"/>
      <c r="C186" s="2462"/>
      <c r="D186" s="2462"/>
      <c r="E186" s="2462"/>
      <c r="F186" s="2462"/>
      <c r="G186" s="2462"/>
      <c r="H186" s="2462"/>
      <c r="I186" s="2579"/>
      <c r="J186" s="2579"/>
      <c r="K186" s="2579"/>
      <c r="L186" s="2579"/>
      <c r="M186" s="2579"/>
      <c r="N186" s="2579"/>
      <c r="O186" s="2579"/>
    </row>
    <row r="187" spans="1:15" s="2463" customFormat="1">
      <c r="A187" s="2462"/>
      <c r="B187" s="2462"/>
      <c r="C187" s="2462"/>
      <c r="D187" s="2462"/>
      <c r="E187" s="2462"/>
      <c r="F187" s="2462"/>
      <c r="G187" s="2462"/>
      <c r="H187" s="2462"/>
      <c r="I187" s="2579"/>
      <c r="J187" s="2579"/>
      <c r="K187" s="2579"/>
      <c r="L187" s="2579"/>
      <c r="M187" s="2579"/>
      <c r="N187" s="2579"/>
      <c r="O187" s="2579"/>
    </row>
    <row r="188" spans="1:15" s="2463" customFormat="1">
      <c r="A188" s="2462"/>
      <c r="B188" s="2462"/>
      <c r="C188" s="2462"/>
      <c r="D188" s="2462"/>
      <c r="E188" s="2462"/>
      <c r="F188" s="2462"/>
      <c r="G188" s="2462"/>
      <c r="H188" s="2462"/>
      <c r="I188" s="2579"/>
      <c r="J188" s="2579"/>
      <c r="K188" s="2579"/>
      <c r="L188" s="2579"/>
      <c r="M188" s="2579"/>
      <c r="N188" s="2579"/>
      <c r="O188" s="2579"/>
    </row>
    <row r="189" spans="1:15" s="2463" customFormat="1">
      <c r="A189" s="2462"/>
      <c r="B189" s="2462"/>
      <c r="C189" s="2462"/>
      <c r="D189" s="2462"/>
      <c r="E189" s="2462"/>
      <c r="F189" s="2462"/>
      <c r="G189" s="2462"/>
      <c r="H189" s="2462"/>
      <c r="I189" s="2579"/>
      <c r="J189" s="2579"/>
      <c r="K189" s="2579"/>
      <c r="L189" s="2579"/>
      <c r="M189" s="2579"/>
      <c r="N189" s="2579"/>
      <c r="O189" s="2579"/>
    </row>
    <row r="190" spans="1:15" s="2463" customFormat="1">
      <c r="A190" s="2462"/>
      <c r="B190" s="2462"/>
      <c r="C190" s="2462"/>
      <c r="D190" s="2462"/>
      <c r="E190" s="2462"/>
      <c r="F190" s="2462"/>
      <c r="G190" s="2462"/>
      <c r="H190" s="2462"/>
      <c r="I190" s="2579"/>
      <c r="J190" s="2579"/>
      <c r="K190" s="2579"/>
      <c r="L190" s="2579"/>
      <c r="M190" s="2579"/>
      <c r="N190" s="2579"/>
      <c r="O190" s="2579"/>
    </row>
    <row r="191" spans="1:15" s="2463" customFormat="1">
      <c r="A191" s="2462"/>
      <c r="B191" s="2462"/>
      <c r="C191" s="2462"/>
      <c r="D191" s="2462"/>
      <c r="E191" s="2462"/>
      <c r="F191" s="2462"/>
      <c r="G191" s="2462"/>
      <c r="H191" s="2462"/>
      <c r="I191" s="2579"/>
      <c r="J191" s="2579"/>
      <c r="K191" s="2579"/>
      <c r="L191" s="2579"/>
      <c r="M191" s="2579"/>
      <c r="N191" s="2579"/>
      <c r="O191" s="2579"/>
    </row>
    <row r="192" spans="1:15" s="2463" customFormat="1">
      <c r="A192" s="2462"/>
      <c r="B192" s="2462"/>
      <c r="C192" s="2462"/>
      <c r="D192" s="2462"/>
      <c r="E192" s="2462"/>
      <c r="F192" s="2462"/>
      <c r="G192" s="2462"/>
      <c r="H192" s="2462"/>
      <c r="I192" s="2579"/>
      <c r="J192" s="2579"/>
      <c r="K192" s="2579"/>
      <c r="L192" s="2579"/>
      <c r="M192" s="2579"/>
      <c r="N192" s="2579"/>
      <c r="O192" s="2579"/>
    </row>
    <row r="193" spans="1:15" s="2463" customFormat="1">
      <c r="A193" s="2462"/>
      <c r="B193" s="2462"/>
      <c r="C193" s="2462"/>
      <c r="D193" s="2462"/>
      <c r="E193" s="2462"/>
      <c r="F193" s="2462"/>
      <c r="G193" s="2462"/>
      <c r="H193" s="2462"/>
      <c r="I193" s="2579"/>
      <c r="J193" s="2579"/>
      <c r="K193" s="2579"/>
      <c r="L193" s="2579"/>
      <c r="M193" s="2579"/>
      <c r="N193" s="2579"/>
      <c r="O193" s="2579"/>
    </row>
    <row r="194" spans="1:15" s="2463" customFormat="1">
      <c r="A194" s="2462"/>
      <c r="B194" s="2462"/>
      <c r="C194" s="2462"/>
      <c r="D194" s="2462"/>
      <c r="E194" s="2462"/>
      <c r="F194" s="2462"/>
      <c r="G194" s="2462"/>
      <c r="H194" s="2462"/>
      <c r="I194" s="2579"/>
      <c r="J194" s="2579"/>
      <c r="K194" s="2579"/>
      <c r="L194" s="2579"/>
      <c r="M194" s="2579"/>
      <c r="N194" s="2579"/>
      <c r="O194" s="2579"/>
    </row>
    <row r="195" spans="1:15" s="2463" customFormat="1">
      <c r="A195" s="2462"/>
      <c r="B195" s="2462"/>
      <c r="C195" s="2462"/>
      <c r="D195" s="2462"/>
      <c r="E195" s="2462"/>
      <c r="F195" s="2462"/>
      <c r="G195" s="2462"/>
      <c r="H195" s="2462"/>
      <c r="I195" s="2579"/>
      <c r="J195" s="2579"/>
      <c r="K195" s="2579"/>
      <c r="L195" s="2579"/>
      <c r="M195" s="2579"/>
      <c r="N195" s="2579"/>
      <c r="O195" s="2579"/>
    </row>
    <row r="196" spans="1:15" s="2463" customFormat="1">
      <c r="A196" s="2462"/>
      <c r="B196" s="2462"/>
      <c r="C196" s="2462"/>
      <c r="D196" s="2462"/>
      <c r="E196" s="2462"/>
      <c r="F196" s="2462"/>
      <c r="G196" s="2462"/>
      <c r="H196" s="2462"/>
      <c r="I196" s="2579"/>
      <c r="J196" s="2579"/>
      <c r="K196" s="2579"/>
      <c r="L196" s="2579"/>
      <c r="M196" s="2579"/>
      <c r="N196" s="2579"/>
      <c r="O196" s="2579"/>
    </row>
    <row r="197" spans="1:15" s="2463" customFormat="1">
      <c r="A197" s="2462"/>
      <c r="B197" s="2462"/>
      <c r="C197" s="2462"/>
      <c r="D197" s="2462"/>
      <c r="E197" s="2462"/>
      <c r="F197" s="2462"/>
      <c r="G197" s="2462"/>
      <c r="H197" s="2462"/>
      <c r="I197" s="2579"/>
      <c r="J197" s="2579"/>
      <c r="K197" s="2579"/>
      <c r="L197" s="2579"/>
      <c r="M197" s="2579"/>
      <c r="N197" s="2579"/>
      <c r="O197" s="2579"/>
    </row>
    <row r="198" spans="1:15" s="2463" customFormat="1">
      <c r="A198" s="2462"/>
      <c r="B198" s="2462"/>
      <c r="C198" s="2462"/>
      <c r="D198" s="2462"/>
      <c r="E198" s="2462"/>
      <c r="F198" s="2462"/>
      <c r="G198" s="2462"/>
      <c r="H198" s="2462"/>
      <c r="I198" s="2579"/>
      <c r="J198" s="2579"/>
      <c r="K198" s="2579"/>
      <c r="L198" s="2579"/>
      <c r="M198" s="2579"/>
      <c r="N198" s="2579"/>
      <c r="O198" s="2579"/>
    </row>
    <row r="199" spans="1:15" s="2463" customFormat="1">
      <c r="A199" s="2462"/>
      <c r="B199" s="2462"/>
      <c r="C199" s="2462"/>
      <c r="D199" s="2462"/>
      <c r="E199" s="2462"/>
      <c r="F199" s="2462"/>
      <c r="G199" s="2462"/>
      <c r="H199" s="2462"/>
      <c r="I199" s="2579"/>
      <c r="J199" s="2579"/>
      <c r="K199" s="2579"/>
      <c r="L199" s="2579"/>
      <c r="M199" s="2579"/>
      <c r="N199" s="2579"/>
      <c r="O199" s="2579"/>
    </row>
    <row r="200" spans="1:15" s="2463" customFormat="1">
      <c r="A200" s="2462"/>
      <c r="B200" s="2462"/>
      <c r="C200" s="2462"/>
      <c r="D200" s="2462"/>
      <c r="E200" s="2462"/>
      <c r="F200" s="2462"/>
      <c r="G200" s="2462"/>
      <c r="H200" s="2462"/>
      <c r="I200" s="2579"/>
      <c r="J200" s="2579"/>
      <c r="K200" s="2579"/>
      <c r="L200" s="2579"/>
      <c r="M200" s="2579"/>
      <c r="N200" s="2579"/>
      <c r="O200" s="2579"/>
    </row>
    <row r="201" spans="1:15" s="2463" customFormat="1">
      <c r="A201" s="2462"/>
      <c r="B201" s="2462"/>
      <c r="C201" s="2462"/>
      <c r="D201" s="2462"/>
      <c r="E201" s="2462"/>
      <c r="F201" s="2462"/>
      <c r="G201" s="2462"/>
      <c r="H201" s="2462"/>
      <c r="I201" s="2579"/>
      <c r="J201" s="2579"/>
      <c r="K201" s="2579"/>
      <c r="L201" s="2579"/>
      <c r="M201" s="2579"/>
      <c r="N201" s="2579"/>
      <c r="O201" s="2579"/>
    </row>
    <row r="202" spans="1:15" s="2463" customFormat="1">
      <c r="A202" s="2462"/>
      <c r="B202" s="2462"/>
      <c r="C202" s="2462"/>
      <c r="D202" s="2462"/>
      <c r="E202" s="2462"/>
      <c r="F202" s="2462"/>
      <c r="G202" s="2462"/>
      <c r="H202" s="2462"/>
      <c r="I202" s="2579"/>
      <c r="J202" s="2579"/>
      <c r="K202" s="2579"/>
      <c r="L202" s="2579"/>
      <c r="M202" s="2579"/>
      <c r="N202" s="2579"/>
      <c r="O202" s="2579"/>
    </row>
    <row r="203" spans="1:15" s="2463" customFormat="1">
      <c r="A203" s="2462"/>
      <c r="B203" s="2462"/>
      <c r="C203" s="2462"/>
      <c r="D203" s="2462"/>
      <c r="E203" s="2462"/>
      <c r="F203" s="2462"/>
      <c r="G203" s="2462"/>
      <c r="H203" s="2462"/>
      <c r="I203" s="2579"/>
      <c r="J203" s="2579"/>
      <c r="K203" s="2579"/>
      <c r="L203" s="2579"/>
      <c r="M203" s="2579"/>
      <c r="N203" s="2579"/>
      <c r="O203" s="2579"/>
    </row>
    <row r="207" spans="1:15" s="2463" customFormat="1">
      <c r="A207" s="2462"/>
      <c r="B207" s="2462"/>
      <c r="C207" s="2462"/>
      <c r="D207" s="2462"/>
      <c r="E207" s="2462"/>
      <c r="F207" s="2462"/>
      <c r="G207" s="2462"/>
      <c r="H207" s="2462"/>
      <c r="I207" s="2579"/>
      <c r="J207" s="2579"/>
      <c r="K207" s="2579"/>
      <c r="L207" s="2579"/>
      <c r="M207" s="2579"/>
      <c r="N207" s="2579"/>
      <c r="O207" s="2579"/>
    </row>
    <row r="208" spans="1:15" s="2463" customFormat="1">
      <c r="A208" s="2462"/>
      <c r="B208" s="2462"/>
      <c r="C208" s="2462"/>
      <c r="D208" s="2462"/>
      <c r="E208" s="2462"/>
      <c r="F208" s="2462"/>
      <c r="G208" s="2462"/>
      <c r="H208" s="2462"/>
      <c r="I208" s="2579"/>
      <c r="J208" s="2579"/>
      <c r="K208" s="2579"/>
      <c r="L208" s="2579"/>
      <c r="M208" s="2579"/>
      <c r="N208" s="2579"/>
      <c r="O208" s="2579"/>
    </row>
    <row r="209" spans="1:15" s="2463" customFormat="1">
      <c r="A209" s="2462"/>
      <c r="B209" s="2462"/>
      <c r="C209" s="2462"/>
      <c r="D209" s="2462"/>
      <c r="E209" s="2462"/>
      <c r="F209" s="2462"/>
      <c r="G209" s="2462"/>
      <c r="H209" s="2462"/>
      <c r="I209" s="2579"/>
      <c r="J209" s="2579"/>
      <c r="K209" s="2579"/>
      <c r="L209" s="2579"/>
      <c r="M209" s="2579"/>
      <c r="N209" s="2579"/>
      <c r="O209" s="2579"/>
    </row>
    <row r="210" spans="1:15" s="2463" customFormat="1">
      <c r="A210" s="2462"/>
      <c r="B210" s="2462"/>
      <c r="C210" s="2462"/>
      <c r="D210" s="2462"/>
      <c r="E210" s="2462"/>
      <c r="F210" s="2462"/>
      <c r="G210" s="2462"/>
      <c r="H210" s="2462"/>
      <c r="I210" s="2579"/>
      <c r="J210" s="2579"/>
      <c r="K210" s="2579"/>
      <c r="L210" s="2579"/>
      <c r="M210" s="2579"/>
      <c r="N210" s="2579"/>
      <c r="O210" s="2579"/>
    </row>
    <row r="211" spans="1:15" s="2463" customFormat="1">
      <c r="A211" s="2462"/>
      <c r="B211" s="2462"/>
      <c r="C211" s="2462"/>
      <c r="D211" s="2462"/>
      <c r="E211" s="2462"/>
      <c r="F211" s="2462"/>
      <c r="G211" s="2462"/>
      <c r="H211" s="2462"/>
      <c r="I211" s="2579"/>
      <c r="J211" s="2579"/>
      <c r="K211" s="2579"/>
      <c r="L211" s="2579"/>
      <c r="M211" s="2579"/>
      <c r="N211" s="2579"/>
      <c r="O211" s="2579"/>
    </row>
    <row r="212" spans="1:15" s="2463" customFormat="1">
      <c r="A212" s="2462"/>
      <c r="B212" s="2462"/>
      <c r="C212" s="2462"/>
      <c r="D212" s="2462"/>
      <c r="E212" s="2462"/>
      <c r="F212" s="2462"/>
      <c r="G212" s="2462"/>
      <c r="H212" s="2462"/>
      <c r="I212" s="2579"/>
      <c r="J212" s="2579"/>
      <c r="K212" s="2579"/>
      <c r="L212" s="2579"/>
      <c r="M212" s="2579"/>
      <c r="N212" s="2579"/>
      <c r="O212" s="2579"/>
    </row>
    <row r="213" spans="1:15" s="2463" customFormat="1">
      <c r="A213" s="2462"/>
      <c r="B213" s="2462"/>
      <c r="C213" s="2462"/>
      <c r="D213" s="2462"/>
      <c r="E213" s="2462"/>
      <c r="F213" s="2462"/>
      <c r="G213" s="2462"/>
      <c r="H213" s="2462"/>
      <c r="I213" s="2579"/>
      <c r="J213" s="2579"/>
      <c r="K213" s="2579"/>
      <c r="L213" s="2579"/>
      <c r="M213" s="2579"/>
      <c r="N213" s="2579"/>
      <c r="O213" s="2579"/>
    </row>
    <row r="214" spans="1:15" s="2463" customFormat="1">
      <c r="A214" s="2462"/>
      <c r="B214" s="2462"/>
      <c r="C214" s="2462"/>
      <c r="D214" s="2462"/>
      <c r="E214" s="2462"/>
      <c r="F214" s="2462"/>
      <c r="G214" s="2462"/>
      <c r="H214" s="2462"/>
      <c r="I214" s="2579"/>
      <c r="J214" s="2579"/>
      <c r="K214" s="2579"/>
      <c r="L214" s="2579"/>
      <c r="M214" s="2579"/>
      <c r="N214" s="2579"/>
      <c r="O214" s="2579"/>
    </row>
    <row r="215" spans="1:15" s="2463" customFormat="1">
      <c r="A215" s="2462"/>
      <c r="B215" s="2462"/>
      <c r="C215" s="2462"/>
      <c r="D215" s="2462"/>
      <c r="E215" s="2462"/>
      <c r="F215" s="2462"/>
      <c r="G215" s="2462"/>
      <c r="H215" s="2462"/>
      <c r="I215" s="2579"/>
      <c r="J215" s="2579"/>
      <c r="K215" s="2579"/>
      <c r="L215" s="2579"/>
      <c r="M215" s="2579"/>
      <c r="N215" s="2579"/>
      <c r="O215" s="2579"/>
    </row>
    <row r="216" spans="1:15" s="2463" customFormat="1">
      <c r="A216" s="2462"/>
      <c r="B216" s="2462"/>
      <c r="C216" s="2462"/>
      <c r="D216" s="2462"/>
      <c r="E216" s="2462"/>
      <c r="F216" s="2462"/>
      <c r="G216" s="2462"/>
      <c r="H216" s="2462"/>
      <c r="I216" s="2579"/>
      <c r="J216" s="2579"/>
      <c r="K216" s="2579"/>
      <c r="L216" s="2579"/>
      <c r="M216" s="2579"/>
      <c r="N216" s="2579"/>
      <c r="O216" s="2579"/>
    </row>
    <row r="217" spans="1:15" s="2463" customFormat="1">
      <c r="A217" s="2462"/>
      <c r="B217" s="2462"/>
      <c r="C217" s="2462"/>
      <c r="D217" s="2462"/>
      <c r="E217" s="2462"/>
      <c r="F217" s="2462"/>
      <c r="G217" s="2462"/>
      <c r="H217" s="2462"/>
      <c r="I217" s="2579"/>
      <c r="J217" s="2579"/>
      <c r="K217" s="2579"/>
      <c r="L217" s="2579"/>
      <c r="M217" s="2579"/>
      <c r="N217" s="2579"/>
      <c r="O217" s="2579"/>
    </row>
    <row r="218" spans="1:15" s="2463" customFormat="1">
      <c r="A218" s="2462"/>
      <c r="B218" s="2462"/>
      <c r="C218" s="2462"/>
      <c r="D218" s="2462"/>
      <c r="E218" s="2462"/>
      <c r="F218" s="2462"/>
      <c r="G218" s="2462"/>
      <c r="H218" s="2462"/>
      <c r="I218" s="2579"/>
      <c r="J218" s="2579"/>
      <c r="K218" s="2579"/>
      <c r="L218" s="2579"/>
      <c r="M218" s="2579"/>
      <c r="N218" s="2579"/>
      <c r="O218" s="2579"/>
    </row>
    <row r="219" spans="1:15" s="2463" customFormat="1">
      <c r="A219" s="2462"/>
      <c r="B219" s="2462"/>
      <c r="C219" s="2462"/>
      <c r="D219" s="2462"/>
      <c r="E219" s="2462"/>
      <c r="F219" s="2462"/>
      <c r="G219" s="2462"/>
      <c r="H219" s="2462"/>
      <c r="I219" s="2579"/>
      <c r="J219" s="2579"/>
      <c r="K219" s="2579"/>
      <c r="L219" s="2579"/>
      <c r="M219" s="2579"/>
      <c r="N219" s="2579"/>
      <c r="O219" s="2579"/>
    </row>
    <row r="220" spans="1:15" s="2463" customFormat="1">
      <c r="A220" s="2462"/>
      <c r="B220" s="2462"/>
      <c r="C220" s="2462"/>
      <c r="D220" s="2462"/>
      <c r="E220" s="2462"/>
      <c r="F220" s="2462"/>
      <c r="G220" s="2462"/>
      <c r="H220" s="2462"/>
      <c r="I220" s="2579"/>
      <c r="J220" s="2579"/>
      <c r="K220" s="2579"/>
      <c r="L220" s="2579"/>
      <c r="M220" s="2579"/>
      <c r="N220" s="2579"/>
      <c r="O220" s="2579"/>
    </row>
    <row r="221" spans="1:15" s="2463" customFormat="1">
      <c r="A221" s="2462"/>
      <c r="B221" s="2462"/>
      <c r="C221" s="2462"/>
      <c r="D221" s="2462"/>
      <c r="E221" s="2462"/>
      <c r="F221" s="2462"/>
      <c r="G221" s="2462"/>
      <c r="H221" s="2462"/>
      <c r="I221" s="2579"/>
      <c r="J221" s="2579"/>
      <c r="K221" s="2579"/>
      <c r="L221" s="2579"/>
      <c r="M221" s="2579"/>
      <c r="N221" s="2579"/>
      <c r="O221" s="2579"/>
    </row>
    <row r="222" spans="1:15" s="2463" customFormat="1">
      <c r="A222" s="2462"/>
      <c r="B222" s="2462"/>
      <c r="C222" s="2462"/>
      <c r="D222" s="2462"/>
      <c r="E222" s="2462"/>
      <c r="F222" s="2462"/>
      <c r="G222" s="2462"/>
      <c r="H222" s="2462"/>
      <c r="I222" s="2579"/>
      <c r="J222" s="2579"/>
      <c r="K222" s="2579"/>
      <c r="L222" s="2579"/>
      <c r="M222" s="2579"/>
      <c r="N222" s="2579"/>
      <c r="O222" s="2579"/>
    </row>
    <row r="223" spans="1:15" s="2463" customFormat="1">
      <c r="A223" s="2462"/>
      <c r="B223" s="2462"/>
      <c r="C223" s="2462"/>
      <c r="D223" s="2462"/>
      <c r="E223" s="2462"/>
      <c r="F223" s="2462"/>
      <c r="G223" s="2462"/>
      <c r="H223" s="2462"/>
      <c r="I223" s="2579"/>
      <c r="J223" s="2579"/>
      <c r="K223" s="2579"/>
      <c r="L223" s="2579"/>
      <c r="M223" s="2579"/>
      <c r="N223" s="2579"/>
      <c r="O223" s="2579"/>
    </row>
    <row r="224" spans="1:15" s="2463" customFormat="1">
      <c r="A224" s="2462"/>
      <c r="B224" s="2462"/>
      <c r="C224" s="2462"/>
      <c r="D224" s="2462"/>
      <c r="E224" s="2462"/>
      <c r="F224" s="2462"/>
      <c r="G224" s="2462"/>
      <c r="H224" s="2462"/>
      <c r="I224" s="2579"/>
      <c r="J224" s="2579"/>
      <c r="K224" s="2579"/>
      <c r="L224" s="2579"/>
      <c r="M224" s="2579"/>
      <c r="N224" s="2579"/>
      <c r="O224" s="2579"/>
    </row>
    <row r="225" spans="1:15" s="2463" customFormat="1">
      <c r="A225" s="2462"/>
      <c r="B225" s="2462"/>
      <c r="C225" s="2462"/>
      <c r="D225" s="2462"/>
      <c r="E225" s="2462"/>
      <c r="F225" s="2462"/>
      <c r="G225" s="2462"/>
      <c r="H225" s="2462"/>
      <c r="I225" s="2579"/>
      <c r="J225" s="2579"/>
      <c r="K225" s="2579"/>
      <c r="L225" s="2579"/>
      <c r="M225" s="2579"/>
      <c r="N225" s="2579"/>
      <c r="O225" s="2579"/>
    </row>
    <row r="226" spans="1:15" s="2463" customFormat="1">
      <c r="A226" s="2462"/>
      <c r="B226" s="2462"/>
      <c r="C226" s="2462"/>
      <c r="D226" s="2462"/>
      <c r="E226" s="2462"/>
      <c r="F226" s="2462"/>
      <c r="G226" s="2462"/>
      <c r="H226" s="2462"/>
      <c r="I226" s="2579"/>
      <c r="J226" s="2579"/>
      <c r="K226" s="2579"/>
      <c r="L226" s="2579"/>
      <c r="M226" s="2579"/>
      <c r="N226" s="2579"/>
      <c r="O226" s="2579"/>
    </row>
    <row r="227" spans="1:15" s="2463" customFormat="1">
      <c r="A227" s="2462"/>
      <c r="B227" s="2462"/>
      <c r="C227" s="2462"/>
      <c r="D227" s="2462"/>
      <c r="E227" s="2462"/>
      <c r="F227" s="2462"/>
      <c r="G227" s="2462"/>
      <c r="H227" s="2462"/>
      <c r="I227" s="2579"/>
      <c r="J227" s="2579"/>
      <c r="K227" s="2579"/>
      <c r="L227" s="2579"/>
      <c r="M227" s="2579"/>
      <c r="N227" s="2579"/>
      <c r="O227" s="2579"/>
    </row>
    <row r="228" spans="1:15" s="2463" customFormat="1">
      <c r="A228" s="2462"/>
      <c r="B228" s="2462"/>
      <c r="C228" s="2462"/>
      <c r="D228" s="2462"/>
      <c r="E228" s="2462"/>
      <c r="F228" s="2462"/>
      <c r="G228" s="2462"/>
      <c r="H228" s="2462"/>
      <c r="I228" s="2579"/>
      <c r="J228" s="2579"/>
      <c r="K228" s="2579"/>
      <c r="L228" s="2579"/>
      <c r="M228" s="2579"/>
      <c r="N228" s="2579"/>
      <c r="O228" s="2579"/>
    </row>
    <row r="229" spans="1:15" s="2463" customFormat="1">
      <c r="A229" s="2462"/>
      <c r="B229" s="2462"/>
      <c r="C229" s="2462"/>
      <c r="D229" s="2462"/>
      <c r="E229" s="2462"/>
      <c r="F229" s="2462"/>
      <c r="G229" s="2462"/>
      <c r="H229" s="2462"/>
      <c r="I229" s="2579"/>
      <c r="J229" s="2579"/>
      <c r="K229" s="2579"/>
      <c r="L229" s="2579"/>
      <c r="M229" s="2579"/>
      <c r="N229" s="2579"/>
      <c r="O229" s="2579"/>
    </row>
    <row r="230" spans="1:15" s="2463" customFormat="1">
      <c r="A230" s="2462"/>
      <c r="B230" s="2462"/>
      <c r="C230" s="2462"/>
      <c r="D230" s="2462"/>
      <c r="E230" s="2462"/>
      <c r="F230" s="2462"/>
      <c r="G230" s="2462"/>
      <c r="H230" s="2462"/>
      <c r="I230" s="2579"/>
      <c r="J230" s="2579"/>
      <c r="K230" s="2579"/>
      <c r="L230" s="2579"/>
      <c r="M230" s="2579"/>
      <c r="N230" s="2579"/>
      <c r="O230" s="2579"/>
    </row>
    <row r="231" spans="1:15" s="2463" customFormat="1">
      <c r="A231" s="2462"/>
      <c r="B231" s="2462"/>
      <c r="C231" s="2462"/>
      <c r="D231" s="2462"/>
      <c r="E231" s="2462"/>
      <c r="F231" s="2462"/>
      <c r="G231" s="2462"/>
      <c r="H231" s="2462"/>
      <c r="I231" s="2579"/>
      <c r="J231" s="2579"/>
      <c r="K231" s="2579"/>
      <c r="L231" s="2579"/>
      <c r="M231" s="2579"/>
      <c r="N231" s="2579"/>
      <c r="O231" s="2579"/>
    </row>
    <row r="232" spans="1:15" s="2463" customFormat="1">
      <c r="A232" s="2462"/>
      <c r="B232" s="2462"/>
      <c r="C232" s="2462"/>
      <c r="D232" s="2462"/>
      <c r="E232" s="2462"/>
      <c r="F232" s="2462"/>
      <c r="G232" s="2462"/>
      <c r="H232" s="2462"/>
      <c r="I232" s="2579"/>
      <c r="J232" s="2579"/>
      <c r="K232" s="2579"/>
      <c r="L232" s="2579"/>
      <c r="M232" s="2579"/>
      <c r="N232" s="2579"/>
      <c r="O232" s="2579"/>
    </row>
    <row r="233" spans="1:15" s="2463" customFormat="1">
      <c r="A233" s="2462"/>
      <c r="B233" s="2462"/>
      <c r="C233" s="2462"/>
      <c r="D233" s="2462"/>
      <c r="E233" s="2462"/>
      <c r="F233" s="2462"/>
      <c r="G233" s="2462"/>
      <c r="H233" s="2462"/>
      <c r="I233" s="2579"/>
      <c r="J233" s="2579"/>
      <c r="K233" s="2579"/>
      <c r="L233" s="2579"/>
      <c r="M233" s="2579"/>
      <c r="N233" s="2579"/>
      <c r="O233" s="2579"/>
    </row>
    <row r="234" spans="1:15" s="2463" customFormat="1">
      <c r="A234" s="2462"/>
      <c r="B234" s="2462"/>
      <c r="C234" s="2462"/>
      <c r="D234" s="2462"/>
      <c r="E234" s="2462"/>
      <c r="F234" s="2462"/>
      <c r="G234" s="2462"/>
      <c r="H234" s="2462"/>
      <c r="I234" s="2579"/>
      <c r="J234" s="2579"/>
      <c r="K234" s="2579"/>
      <c r="L234" s="2579"/>
      <c r="M234" s="2579"/>
      <c r="N234" s="2579"/>
      <c r="O234" s="2579"/>
    </row>
    <row r="235" spans="1:15" s="2463" customFormat="1">
      <c r="A235" s="2462"/>
      <c r="B235" s="2462"/>
      <c r="C235" s="2462"/>
      <c r="D235" s="2462"/>
      <c r="E235" s="2462"/>
      <c r="F235" s="2462"/>
      <c r="G235" s="2462"/>
      <c r="H235" s="2462"/>
      <c r="I235" s="2579"/>
      <c r="J235" s="2579"/>
      <c r="K235" s="2579"/>
      <c r="L235" s="2579"/>
      <c r="M235" s="2579"/>
      <c r="N235" s="2579"/>
      <c r="O235" s="2579"/>
    </row>
    <row r="236" spans="1:15" s="2463" customFormat="1">
      <c r="A236" s="2462"/>
      <c r="B236" s="2462"/>
      <c r="C236" s="2462"/>
      <c r="D236" s="2462"/>
      <c r="E236" s="2462"/>
      <c r="F236" s="2462"/>
      <c r="G236" s="2462"/>
      <c r="H236" s="2462"/>
      <c r="I236" s="2579"/>
      <c r="J236" s="2579"/>
      <c r="K236" s="2579"/>
      <c r="L236" s="2579"/>
      <c r="M236" s="2579"/>
      <c r="N236" s="2579"/>
      <c r="O236" s="2579"/>
    </row>
    <row r="237" spans="1:15" s="2463" customFormat="1">
      <c r="A237" s="2462"/>
      <c r="B237" s="2462"/>
      <c r="C237" s="2462"/>
      <c r="D237" s="2462"/>
      <c r="E237" s="2462"/>
      <c r="F237" s="2462"/>
      <c r="G237" s="2462"/>
      <c r="H237" s="2462"/>
      <c r="I237" s="2579"/>
      <c r="J237" s="2579"/>
      <c r="K237" s="2579"/>
      <c r="L237" s="2579"/>
      <c r="M237" s="2579"/>
      <c r="N237" s="2579"/>
      <c r="O237" s="2579"/>
    </row>
    <row r="238" spans="1:15" s="2463" customFormat="1">
      <c r="A238" s="2462"/>
      <c r="B238" s="2462"/>
      <c r="C238" s="2462"/>
      <c r="D238" s="2462"/>
      <c r="E238" s="2462"/>
      <c r="F238" s="2462"/>
      <c r="G238" s="2462"/>
      <c r="H238" s="2462"/>
      <c r="I238" s="2579"/>
      <c r="J238" s="2579"/>
      <c r="K238" s="2579"/>
      <c r="L238" s="2579"/>
      <c r="M238" s="2579"/>
      <c r="N238" s="2579"/>
      <c r="O238" s="2579"/>
    </row>
    <row r="239" spans="1:15" s="2463" customFormat="1">
      <c r="A239" s="2462"/>
      <c r="B239" s="2462"/>
      <c r="C239" s="2462"/>
      <c r="D239" s="2462"/>
      <c r="E239" s="2462"/>
      <c r="F239" s="2462"/>
      <c r="G239" s="2462"/>
      <c r="H239" s="2462"/>
      <c r="I239" s="2579"/>
      <c r="J239" s="2579"/>
      <c r="K239" s="2579"/>
      <c r="L239" s="2579"/>
      <c r="M239" s="2579"/>
      <c r="N239" s="2579"/>
      <c r="O239" s="2579"/>
    </row>
    <row r="240" spans="1:15" s="2463" customFormat="1">
      <c r="A240" s="2462"/>
      <c r="B240" s="2462"/>
      <c r="C240" s="2462"/>
      <c r="D240" s="2462"/>
      <c r="E240" s="2462"/>
      <c r="F240" s="2462"/>
      <c r="G240" s="2462"/>
      <c r="H240" s="2462"/>
      <c r="I240" s="2579"/>
      <c r="J240" s="2579"/>
      <c r="K240" s="2579"/>
      <c r="L240" s="2579"/>
      <c r="M240" s="2579"/>
      <c r="N240" s="2579"/>
      <c r="O240" s="2579"/>
    </row>
    <row r="241" spans="1:15" s="2463" customFormat="1">
      <c r="A241" s="2462"/>
      <c r="B241" s="2462"/>
      <c r="C241" s="2462"/>
      <c r="D241" s="2462"/>
      <c r="E241" s="2462"/>
      <c r="F241" s="2462"/>
      <c r="G241" s="2462"/>
      <c r="H241" s="2462"/>
      <c r="I241" s="2579"/>
      <c r="J241" s="2579"/>
      <c r="K241" s="2579"/>
      <c r="L241" s="2579"/>
      <c r="M241" s="2579"/>
      <c r="N241" s="2579"/>
      <c r="O241" s="2579"/>
    </row>
    <row r="242" spans="1:15" s="2463" customFormat="1">
      <c r="A242" s="2462"/>
      <c r="B242" s="2462"/>
      <c r="C242" s="2462"/>
      <c r="D242" s="2462"/>
      <c r="E242" s="2462"/>
      <c r="F242" s="2462"/>
      <c r="G242" s="2462"/>
      <c r="H242" s="2462"/>
      <c r="I242" s="2579"/>
      <c r="J242" s="2579"/>
      <c r="K242" s="2579"/>
      <c r="L242" s="2579"/>
      <c r="M242" s="2579"/>
      <c r="N242" s="2579"/>
      <c r="O242" s="2579"/>
    </row>
    <row r="243" spans="1:15" s="2463" customFormat="1">
      <c r="A243" s="2462"/>
      <c r="B243" s="2462"/>
      <c r="C243" s="2462"/>
      <c r="D243" s="2462"/>
      <c r="E243" s="2462"/>
      <c r="F243" s="2462"/>
      <c r="G243" s="2462"/>
      <c r="H243" s="2462"/>
      <c r="I243" s="2579"/>
      <c r="J243" s="2579"/>
      <c r="K243" s="2579"/>
      <c r="L243" s="2579"/>
      <c r="M243" s="2579"/>
      <c r="N243" s="2579"/>
      <c r="O243" s="2579"/>
    </row>
    <row r="244" spans="1:15" s="2463" customFormat="1">
      <c r="A244" s="2462"/>
      <c r="B244" s="2462"/>
      <c r="C244" s="2462"/>
      <c r="D244" s="2462"/>
      <c r="E244" s="2462"/>
      <c r="F244" s="2462"/>
      <c r="G244" s="2462"/>
      <c r="H244" s="2462"/>
      <c r="I244" s="2579"/>
      <c r="J244" s="2579"/>
      <c r="K244" s="2579"/>
      <c r="L244" s="2579"/>
      <c r="M244" s="2579"/>
      <c r="N244" s="2579"/>
      <c r="O244" s="2579"/>
    </row>
    <row r="250" spans="1:15" s="2463" customFormat="1">
      <c r="A250" s="2462"/>
      <c r="B250" s="2462"/>
      <c r="C250" s="2462"/>
      <c r="D250" s="2462"/>
      <c r="E250" s="2462"/>
      <c r="F250" s="2462"/>
      <c r="G250" s="2462"/>
      <c r="H250" s="2462"/>
      <c r="I250" s="2579"/>
      <c r="J250" s="2579"/>
      <c r="K250" s="2579"/>
      <c r="L250" s="2579"/>
      <c r="M250" s="2579"/>
      <c r="N250" s="2579"/>
      <c r="O250" s="2579"/>
    </row>
    <row r="251" spans="1:15" s="2463" customFormat="1">
      <c r="A251" s="2462"/>
      <c r="B251" s="2462"/>
      <c r="C251" s="2462"/>
      <c r="D251" s="2462"/>
      <c r="E251" s="2462"/>
      <c r="F251" s="2462"/>
      <c r="G251" s="2462"/>
      <c r="H251" s="2462"/>
      <c r="I251" s="2579"/>
      <c r="J251" s="2579"/>
      <c r="K251" s="2579"/>
      <c r="L251" s="2579"/>
      <c r="M251" s="2579"/>
      <c r="N251" s="2579"/>
      <c r="O251" s="2579"/>
    </row>
    <row r="252" spans="1:15" s="2463" customFormat="1">
      <c r="A252" s="2462"/>
      <c r="B252" s="2462"/>
      <c r="C252" s="2462"/>
      <c r="D252" s="2462"/>
      <c r="E252" s="2462"/>
      <c r="F252" s="2462"/>
      <c r="G252" s="2462"/>
      <c r="H252" s="2462"/>
      <c r="I252" s="2579"/>
      <c r="J252" s="2579"/>
      <c r="K252" s="2579"/>
      <c r="L252" s="2579"/>
      <c r="M252" s="2579"/>
      <c r="N252" s="2579"/>
      <c r="O252" s="2579"/>
    </row>
    <row r="253" spans="1:15" s="2463" customFormat="1">
      <c r="A253" s="2462"/>
      <c r="B253" s="2462"/>
      <c r="C253" s="2462"/>
      <c r="D253" s="2462"/>
      <c r="E253" s="2462"/>
      <c r="F253" s="2462"/>
      <c r="G253" s="2462"/>
      <c r="H253" s="2462"/>
      <c r="I253" s="2579"/>
      <c r="J253" s="2579"/>
      <c r="K253" s="2579"/>
      <c r="L253" s="2579"/>
      <c r="M253" s="2579"/>
      <c r="N253" s="2579"/>
      <c r="O253" s="2579"/>
    </row>
    <row r="254" spans="1:15" s="2463" customFormat="1">
      <c r="A254" s="2462"/>
      <c r="B254" s="2462"/>
      <c r="C254" s="2462"/>
      <c r="D254" s="2462"/>
      <c r="E254" s="2462"/>
      <c r="F254" s="2462"/>
      <c r="G254" s="2462"/>
      <c r="H254" s="2462"/>
      <c r="I254" s="2579"/>
      <c r="J254" s="2579"/>
      <c r="K254" s="2579"/>
      <c r="L254" s="2579"/>
      <c r="M254" s="2579"/>
      <c r="N254" s="2579"/>
      <c r="O254" s="2579"/>
    </row>
    <row r="255" spans="1:15" s="2463" customFormat="1">
      <c r="A255" s="2462"/>
      <c r="B255" s="2462"/>
      <c r="C255" s="2462"/>
      <c r="D255" s="2462"/>
      <c r="E255" s="2462"/>
      <c r="F255" s="2462"/>
      <c r="G255" s="2462"/>
      <c r="H255" s="2462"/>
      <c r="I255" s="2579"/>
      <c r="J255" s="2579"/>
      <c r="K255" s="2579"/>
      <c r="L255" s="2579"/>
      <c r="M255" s="2579"/>
      <c r="N255" s="2579"/>
      <c r="O255" s="2579"/>
    </row>
    <row r="256" spans="1:15" s="2463" customFormat="1">
      <c r="A256" s="2462"/>
      <c r="B256" s="2462"/>
      <c r="C256" s="2462"/>
      <c r="D256" s="2462"/>
      <c r="E256" s="2462"/>
      <c r="F256" s="2462"/>
      <c r="G256" s="2462"/>
      <c r="H256" s="2462"/>
      <c r="I256" s="2579"/>
      <c r="J256" s="2579"/>
      <c r="K256" s="2579"/>
      <c r="L256" s="2579"/>
      <c r="M256" s="2579"/>
      <c r="N256" s="2579"/>
      <c r="O256" s="2579"/>
    </row>
    <row r="257" spans="1:15" s="2463" customFormat="1">
      <c r="A257" s="2462"/>
      <c r="B257" s="2462"/>
      <c r="C257" s="2462"/>
      <c r="D257" s="2462"/>
      <c r="E257" s="2462"/>
      <c r="F257" s="2462"/>
      <c r="G257" s="2462"/>
      <c r="H257" s="2462"/>
      <c r="I257" s="2579"/>
      <c r="J257" s="2579"/>
      <c r="K257" s="2579"/>
      <c r="L257" s="2579"/>
      <c r="M257" s="2579"/>
      <c r="N257" s="2579"/>
      <c r="O257" s="2579"/>
    </row>
    <row r="258" spans="1:15" s="2463" customFormat="1">
      <c r="A258" s="2462"/>
      <c r="B258" s="2462"/>
      <c r="C258" s="2462"/>
      <c r="D258" s="2462"/>
      <c r="E258" s="2462"/>
      <c r="F258" s="2462"/>
      <c r="G258" s="2462"/>
      <c r="H258" s="2462"/>
      <c r="I258" s="2579"/>
      <c r="J258" s="2579"/>
      <c r="K258" s="2579"/>
      <c r="L258" s="2579"/>
      <c r="M258" s="2579"/>
      <c r="N258" s="2579"/>
      <c r="O258" s="2579"/>
    </row>
    <row r="259" spans="1:15" s="2463" customFormat="1">
      <c r="A259" s="2462"/>
      <c r="B259" s="2462"/>
      <c r="C259" s="2462"/>
      <c r="D259" s="2462"/>
      <c r="E259" s="2462"/>
      <c r="F259" s="2462"/>
      <c r="G259" s="2462"/>
      <c r="H259" s="2462"/>
      <c r="I259" s="2579"/>
      <c r="J259" s="2579"/>
      <c r="K259" s="2579"/>
      <c r="L259" s="2579"/>
      <c r="M259" s="2579"/>
      <c r="N259" s="2579"/>
      <c r="O259" s="2579"/>
    </row>
    <row r="260" spans="1:15" s="2463" customFormat="1">
      <c r="A260" s="2462"/>
      <c r="B260" s="2462"/>
      <c r="C260" s="2462"/>
      <c r="D260" s="2462"/>
      <c r="E260" s="2462"/>
      <c r="F260" s="2462"/>
      <c r="G260" s="2462"/>
      <c r="H260" s="2462"/>
      <c r="I260" s="2579"/>
      <c r="J260" s="2579"/>
      <c r="K260" s="2579"/>
      <c r="L260" s="2579"/>
      <c r="M260" s="2579"/>
      <c r="N260" s="2579"/>
      <c r="O260" s="2579"/>
    </row>
    <row r="261" spans="1:15" s="2463" customFormat="1">
      <c r="A261" s="2462"/>
      <c r="B261" s="2462"/>
      <c r="C261" s="2462"/>
      <c r="D261" s="2462"/>
      <c r="E261" s="2462"/>
      <c r="F261" s="2462"/>
      <c r="G261" s="2462"/>
      <c r="H261" s="2462"/>
      <c r="I261" s="2579"/>
      <c r="J261" s="2579"/>
      <c r="K261" s="2579"/>
      <c r="L261" s="2579"/>
      <c r="M261" s="2579"/>
      <c r="N261" s="2579"/>
      <c r="O261" s="2579"/>
    </row>
    <row r="262" spans="1:15" s="2463" customFormat="1">
      <c r="A262" s="2462"/>
      <c r="B262" s="2462"/>
      <c r="C262" s="2462"/>
      <c r="D262" s="2462"/>
      <c r="E262" s="2462"/>
      <c r="F262" s="2462"/>
      <c r="G262" s="2462"/>
      <c r="H262" s="2462"/>
      <c r="I262" s="2579"/>
      <c r="J262" s="2579"/>
      <c r="K262" s="2579"/>
      <c r="L262" s="2579"/>
      <c r="M262" s="2579"/>
      <c r="N262" s="2579"/>
      <c r="O262" s="2579"/>
    </row>
    <row r="263" spans="1:15" s="2463" customFormat="1">
      <c r="A263" s="2462"/>
      <c r="B263" s="2462"/>
      <c r="C263" s="2462"/>
      <c r="D263" s="2462"/>
      <c r="E263" s="2462"/>
      <c r="F263" s="2462"/>
      <c r="G263" s="2462"/>
      <c r="H263" s="2462"/>
      <c r="I263" s="2579"/>
      <c r="J263" s="2579"/>
      <c r="K263" s="2579"/>
      <c r="L263" s="2579"/>
      <c r="M263" s="2579"/>
      <c r="N263" s="2579"/>
      <c r="O263" s="2579"/>
    </row>
    <row r="264" spans="1:15" s="2463" customFormat="1">
      <c r="A264" s="2462"/>
      <c r="B264" s="2462"/>
      <c r="C264" s="2462"/>
      <c r="D264" s="2462"/>
      <c r="E264" s="2462"/>
      <c r="F264" s="2462"/>
      <c r="G264" s="2462"/>
      <c r="H264" s="2462"/>
      <c r="I264" s="2579"/>
      <c r="J264" s="2579"/>
      <c r="K264" s="2579"/>
      <c r="L264" s="2579"/>
      <c r="M264" s="2579"/>
      <c r="N264" s="2579"/>
      <c r="O264" s="2579"/>
    </row>
    <row r="265" spans="1:15" s="2463" customFormat="1">
      <c r="A265" s="2462"/>
      <c r="B265" s="2462"/>
      <c r="C265" s="2462"/>
      <c r="D265" s="2462"/>
      <c r="E265" s="2462"/>
      <c r="F265" s="2462"/>
      <c r="G265" s="2462"/>
      <c r="H265" s="2462"/>
      <c r="I265" s="2579"/>
      <c r="J265" s="2579"/>
      <c r="K265" s="2579"/>
      <c r="L265" s="2579"/>
      <c r="M265" s="2579"/>
      <c r="N265" s="2579"/>
      <c r="O265" s="2579"/>
    </row>
    <row r="266" spans="1:15" s="2463" customFormat="1">
      <c r="A266" s="2462"/>
      <c r="B266" s="2462"/>
      <c r="C266" s="2462"/>
      <c r="D266" s="2462"/>
      <c r="E266" s="2462"/>
      <c r="F266" s="2462"/>
      <c r="G266" s="2462"/>
      <c r="H266" s="2462"/>
      <c r="I266" s="2579"/>
      <c r="J266" s="2579"/>
      <c r="K266" s="2579"/>
      <c r="L266" s="2579"/>
      <c r="M266" s="2579"/>
      <c r="N266" s="2579"/>
      <c r="O266" s="2579"/>
    </row>
    <row r="267" spans="1:15" s="2463" customFormat="1">
      <c r="A267" s="2462"/>
      <c r="B267" s="2462"/>
      <c r="C267" s="2462"/>
      <c r="D267" s="2462"/>
      <c r="E267" s="2462"/>
      <c r="F267" s="2462"/>
      <c r="G267" s="2462"/>
      <c r="H267" s="2462"/>
      <c r="I267" s="2579"/>
      <c r="J267" s="2579"/>
      <c r="K267" s="2579"/>
      <c r="L267" s="2579"/>
      <c r="M267" s="2579"/>
      <c r="N267" s="2579"/>
      <c r="O267" s="2579"/>
    </row>
    <row r="268" spans="1:15" s="2463" customFormat="1">
      <c r="A268" s="2462"/>
      <c r="B268" s="2462"/>
      <c r="C268" s="2462"/>
      <c r="D268" s="2462"/>
      <c r="E268" s="2462"/>
      <c r="F268" s="2462"/>
      <c r="G268" s="2462"/>
      <c r="H268" s="2462"/>
      <c r="I268" s="2579"/>
      <c r="J268" s="2579"/>
      <c r="K268" s="2579"/>
      <c r="L268" s="2579"/>
      <c r="M268" s="2579"/>
      <c r="N268" s="2579"/>
      <c r="O268" s="2579"/>
    </row>
    <row r="269" spans="1:15" s="2463" customFormat="1">
      <c r="A269" s="2462"/>
      <c r="B269" s="2462"/>
      <c r="C269" s="2462"/>
      <c r="D269" s="2462"/>
      <c r="E269" s="2462"/>
      <c r="F269" s="2462"/>
      <c r="G269" s="2462"/>
      <c r="H269" s="2462"/>
      <c r="I269" s="2579"/>
      <c r="J269" s="2579"/>
      <c r="K269" s="2579"/>
      <c r="L269" s="2579"/>
      <c r="M269" s="2579"/>
      <c r="N269" s="2579"/>
      <c r="O269" s="2579"/>
    </row>
    <row r="270" spans="1:15" s="2463" customFormat="1">
      <c r="A270" s="2462"/>
      <c r="B270" s="2462"/>
      <c r="C270" s="2462"/>
      <c r="D270" s="2462"/>
      <c r="E270" s="2462"/>
      <c r="F270" s="2462"/>
      <c r="G270" s="2462"/>
      <c r="H270" s="2462"/>
      <c r="I270" s="2579"/>
      <c r="J270" s="2579"/>
      <c r="K270" s="2579"/>
      <c r="L270" s="2579"/>
      <c r="M270" s="2579"/>
      <c r="N270" s="2579"/>
      <c r="O270" s="2579"/>
    </row>
    <row r="271" spans="1:15" s="2463" customFormat="1">
      <c r="A271" s="2462"/>
      <c r="B271" s="2462"/>
      <c r="C271" s="2462"/>
      <c r="D271" s="2462"/>
      <c r="E271" s="2462"/>
      <c r="F271" s="2462"/>
      <c r="G271" s="2462"/>
      <c r="H271" s="2462"/>
      <c r="I271" s="2579"/>
      <c r="J271" s="2579"/>
      <c r="K271" s="2579"/>
      <c r="L271" s="2579"/>
      <c r="M271" s="2579"/>
      <c r="N271" s="2579"/>
      <c r="O271" s="2579"/>
    </row>
    <row r="272" spans="1:15" s="2463" customFormat="1">
      <c r="A272" s="2462"/>
      <c r="B272" s="2462"/>
      <c r="C272" s="2462"/>
      <c r="D272" s="2462"/>
      <c r="E272" s="2462"/>
      <c r="F272" s="2462"/>
      <c r="G272" s="2462"/>
      <c r="H272" s="2462"/>
      <c r="I272" s="2579"/>
      <c r="J272" s="2579"/>
      <c r="K272" s="2579"/>
      <c r="L272" s="2579"/>
      <c r="M272" s="2579"/>
      <c r="N272" s="2579"/>
      <c r="O272" s="2579"/>
    </row>
    <row r="273" spans="1:15" s="2463" customFormat="1">
      <c r="A273" s="2462"/>
      <c r="B273" s="2462"/>
      <c r="C273" s="2462"/>
      <c r="D273" s="2462"/>
      <c r="E273" s="2462"/>
      <c r="F273" s="2462"/>
      <c r="G273" s="2462"/>
      <c r="H273" s="2462"/>
      <c r="I273" s="2579"/>
      <c r="J273" s="2579"/>
      <c r="K273" s="2579"/>
      <c r="L273" s="2579"/>
      <c r="M273" s="2579"/>
      <c r="N273" s="2579"/>
      <c r="O273" s="2579"/>
    </row>
    <row r="274" spans="1:15" s="2463" customFormat="1">
      <c r="A274" s="2462"/>
      <c r="B274" s="2462"/>
      <c r="C274" s="2462"/>
      <c r="D274" s="2462"/>
      <c r="E274" s="2462"/>
      <c r="F274" s="2462"/>
      <c r="G274" s="2462"/>
      <c r="H274" s="2462"/>
      <c r="I274" s="2579"/>
      <c r="J274" s="2579"/>
      <c r="K274" s="2579"/>
      <c r="L274" s="2579"/>
      <c r="M274" s="2579"/>
      <c r="N274" s="2579"/>
      <c r="O274" s="2579"/>
    </row>
    <row r="275" spans="1:15" s="2463" customFormat="1">
      <c r="A275" s="2462"/>
      <c r="B275" s="2462"/>
      <c r="C275" s="2462"/>
      <c r="D275" s="2462"/>
      <c r="E275" s="2462"/>
      <c r="F275" s="2462"/>
      <c r="G275" s="2462"/>
      <c r="H275" s="2462"/>
      <c r="I275" s="2579"/>
      <c r="J275" s="2579"/>
      <c r="K275" s="2579"/>
      <c r="L275" s="2579"/>
      <c r="M275" s="2579"/>
      <c r="N275" s="2579"/>
      <c r="O275" s="2579"/>
    </row>
    <row r="276" spans="1:15" s="2463" customFormat="1">
      <c r="A276" s="2462"/>
      <c r="B276" s="2462"/>
      <c r="C276" s="2462"/>
      <c r="D276" s="2462"/>
      <c r="E276" s="2462"/>
      <c r="F276" s="2462"/>
      <c r="G276" s="2462"/>
      <c r="H276" s="2462"/>
      <c r="I276" s="2579"/>
      <c r="J276" s="2579"/>
      <c r="K276" s="2579"/>
      <c r="L276" s="2579"/>
      <c r="M276" s="2579"/>
      <c r="N276" s="2579"/>
      <c r="O276" s="2579"/>
    </row>
    <row r="277" spans="1:15" s="2463" customFormat="1">
      <c r="A277" s="2462"/>
      <c r="B277" s="2462"/>
      <c r="C277" s="2462"/>
      <c r="D277" s="2462"/>
      <c r="E277" s="2462"/>
      <c r="F277" s="2462"/>
      <c r="G277" s="2462"/>
      <c r="H277" s="2462"/>
      <c r="I277" s="2579"/>
      <c r="J277" s="2579"/>
      <c r="K277" s="2579"/>
      <c r="L277" s="2579"/>
      <c r="M277" s="2579"/>
      <c r="N277" s="2579"/>
      <c r="O277" s="2579"/>
    </row>
    <row r="278" spans="1:15" s="2463" customFormat="1">
      <c r="A278" s="2462"/>
      <c r="B278" s="2462"/>
      <c r="C278" s="2462"/>
      <c r="D278" s="2462"/>
      <c r="E278" s="2462"/>
      <c r="F278" s="2462"/>
      <c r="G278" s="2462"/>
      <c r="H278" s="2462"/>
      <c r="I278" s="2579"/>
      <c r="J278" s="2579"/>
      <c r="K278" s="2579"/>
      <c r="L278" s="2579"/>
      <c r="M278" s="2579"/>
      <c r="N278" s="2579"/>
      <c r="O278" s="2579"/>
    </row>
    <row r="279" spans="1:15" s="2463" customFormat="1">
      <c r="A279" s="2462"/>
      <c r="B279" s="2462"/>
      <c r="C279" s="2462"/>
      <c r="D279" s="2462"/>
      <c r="E279" s="2462"/>
      <c r="F279" s="2462"/>
      <c r="G279" s="2462"/>
      <c r="H279" s="2462"/>
      <c r="I279" s="2579"/>
      <c r="J279" s="2579"/>
      <c r="K279" s="2579"/>
      <c r="L279" s="2579"/>
      <c r="M279" s="2579"/>
      <c r="N279" s="2579"/>
      <c r="O279" s="2579"/>
    </row>
    <row r="280" spans="1:15" s="2463" customFormat="1">
      <c r="A280" s="2462"/>
      <c r="B280" s="2462"/>
      <c r="C280" s="2462"/>
      <c r="D280" s="2462"/>
      <c r="E280" s="2462"/>
      <c r="F280" s="2462"/>
      <c r="G280" s="2462"/>
      <c r="H280" s="2462"/>
      <c r="I280" s="2579"/>
      <c r="J280" s="2579"/>
      <c r="K280" s="2579"/>
      <c r="L280" s="2579"/>
      <c r="M280" s="2579"/>
      <c r="N280" s="2579"/>
      <c r="O280" s="2579"/>
    </row>
    <row r="281" spans="1:15" s="2463" customFormat="1">
      <c r="A281" s="2462"/>
      <c r="B281" s="2462"/>
      <c r="C281" s="2462"/>
      <c r="D281" s="2462"/>
      <c r="E281" s="2462"/>
      <c r="F281" s="2462"/>
      <c r="G281" s="2462"/>
      <c r="H281" s="2462"/>
      <c r="I281" s="2579"/>
      <c r="J281" s="2579"/>
      <c r="K281" s="2579"/>
      <c r="L281" s="2579"/>
      <c r="M281" s="2579"/>
      <c r="N281" s="2579"/>
      <c r="O281" s="2579"/>
    </row>
    <row r="282" spans="1:15" s="2463" customFormat="1">
      <c r="A282" s="2462"/>
      <c r="B282" s="2462"/>
      <c r="C282" s="2462"/>
      <c r="D282" s="2462"/>
      <c r="E282" s="2462"/>
      <c r="F282" s="2462"/>
      <c r="G282" s="2462"/>
      <c r="H282" s="2462"/>
      <c r="I282" s="2579"/>
      <c r="J282" s="2579"/>
      <c r="K282" s="2579"/>
      <c r="L282" s="2579"/>
      <c r="M282" s="2579"/>
      <c r="N282" s="2579"/>
      <c r="O282" s="2579"/>
    </row>
    <row r="283" spans="1:15" s="2463" customFormat="1">
      <c r="A283" s="2462"/>
      <c r="B283" s="2462"/>
      <c r="C283" s="2462"/>
      <c r="D283" s="2462"/>
      <c r="E283" s="2462"/>
      <c r="F283" s="2462"/>
      <c r="G283" s="2462"/>
      <c r="H283" s="2462"/>
      <c r="I283" s="2579"/>
      <c r="J283" s="2579"/>
      <c r="K283" s="2579"/>
      <c r="L283" s="2579"/>
      <c r="M283" s="2579"/>
      <c r="N283" s="2579"/>
      <c r="O283" s="2579"/>
    </row>
    <row r="284" spans="1:15" s="2463" customFormat="1">
      <c r="A284" s="2462"/>
      <c r="B284" s="2462"/>
      <c r="C284" s="2462"/>
      <c r="D284" s="2462"/>
      <c r="E284" s="2462"/>
      <c r="F284" s="2462"/>
      <c r="G284" s="2462"/>
      <c r="H284" s="2462"/>
      <c r="I284" s="2579"/>
      <c r="J284" s="2579"/>
      <c r="K284" s="2579"/>
      <c r="L284" s="2579"/>
      <c r="M284" s="2579"/>
      <c r="N284" s="2579"/>
      <c r="O284" s="2579"/>
    </row>
    <row r="285" spans="1:15" s="2463" customFormat="1">
      <c r="A285" s="2462"/>
      <c r="B285" s="2462"/>
      <c r="C285" s="2462"/>
      <c r="D285" s="2462"/>
      <c r="E285" s="2462"/>
      <c r="F285" s="2462"/>
      <c r="G285" s="2462"/>
      <c r="H285" s="2462"/>
      <c r="I285" s="2579"/>
      <c r="J285" s="2579"/>
      <c r="K285" s="2579"/>
      <c r="L285" s="2579"/>
      <c r="M285" s="2579"/>
      <c r="N285" s="2579"/>
      <c r="O285" s="2579"/>
    </row>
    <row r="286" spans="1:15" s="2463" customFormat="1">
      <c r="A286" s="2462"/>
      <c r="B286" s="2462"/>
      <c r="C286" s="2462"/>
      <c r="D286" s="2462"/>
      <c r="E286" s="2462"/>
      <c r="F286" s="2462"/>
      <c r="G286" s="2462"/>
      <c r="H286" s="2462"/>
      <c r="I286" s="2579"/>
      <c r="J286" s="2579"/>
      <c r="K286" s="2579"/>
      <c r="L286" s="2579"/>
      <c r="M286" s="2579"/>
      <c r="N286" s="2579"/>
      <c r="O286" s="2579"/>
    </row>
    <row r="287" spans="1:15" s="2463" customFormat="1">
      <c r="A287" s="2462"/>
      <c r="B287" s="2462"/>
      <c r="C287" s="2462"/>
      <c r="D287" s="2462"/>
      <c r="E287" s="2462"/>
      <c r="F287" s="2462"/>
      <c r="G287" s="2462"/>
      <c r="H287" s="2462"/>
      <c r="I287" s="2579"/>
      <c r="J287" s="2579"/>
      <c r="K287" s="2579"/>
      <c r="L287" s="2579"/>
      <c r="M287" s="2579"/>
      <c r="N287" s="2579"/>
      <c r="O287" s="2579"/>
    </row>
    <row r="288" spans="1:15" s="2463" customFormat="1">
      <c r="A288" s="2462"/>
      <c r="B288" s="2462"/>
      <c r="C288" s="2462"/>
      <c r="D288" s="2462"/>
      <c r="E288" s="2462"/>
      <c r="F288" s="2462"/>
      <c r="G288" s="2462"/>
      <c r="H288" s="2462"/>
      <c r="I288" s="2579"/>
      <c r="J288" s="2579"/>
      <c r="K288" s="2579"/>
      <c r="L288" s="2579"/>
      <c r="M288" s="2579"/>
      <c r="N288" s="2579"/>
      <c r="O288" s="2579"/>
    </row>
    <row r="293" spans="1:15" s="2463" customFormat="1">
      <c r="A293" s="2462"/>
      <c r="B293" s="2462"/>
      <c r="C293" s="2462"/>
      <c r="D293" s="2462"/>
      <c r="E293" s="2462"/>
      <c r="F293" s="2462"/>
      <c r="G293" s="2462"/>
      <c r="H293" s="2462"/>
      <c r="I293" s="2579"/>
      <c r="J293" s="2579"/>
      <c r="K293" s="2579"/>
      <c r="L293" s="2579"/>
      <c r="M293" s="2579"/>
      <c r="N293" s="2579"/>
      <c r="O293" s="2579"/>
    </row>
    <row r="294" spans="1:15" s="2463" customFormat="1">
      <c r="A294" s="2462"/>
      <c r="B294" s="2462"/>
      <c r="C294" s="2462"/>
      <c r="D294" s="2462"/>
      <c r="E294" s="2462"/>
      <c r="F294" s="2462"/>
      <c r="G294" s="2462"/>
      <c r="H294" s="2462"/>
      <c r="I294" s="2579"/>
      <c r="J294" s="2579"/>
      <c r="K294" s="2579"/>
      <c r="L294" s="2579"/>
      <c r="M294" s="2579"/>
      <c r="N294" s="2579"/>
      <c r="O294" s="2579"/>
    </row>
    <row r="295" spans="1:15" s="2463" customFormat="1">
      <c r="A295" s="2462"/>
      <c r="B295" s="2462"/>
      <c r="C295" s="2462"/>
      <c r="D295" s="2462"/>
      <c r="E295" s="2462"/>
      <c r="F295" s="2462"/>
      <c r="G295" s="2462"/>
      <c r="H295" s="2462"/>
      <c r="I295" s="2579"/>
      <c r="J295" s="2579"/>
      <c r="K295" s="2579"/>
      <c r="L295" s="2579"/>
      <c r="M295" s="2579"/>
      <c r="N295" s="2579"/>
      <c r="O295" s="2579"/>
    </row>
    <row r="296" spans="1:15" s="2463" customFormat="1">
      <c r="A296" s="2462"/>
      <c r="B296" s="2462"/>
      <c r="C296" s="2462"/>
      <c r="D296" s="2462"/>
      <c r="E296" s="2462"/>
      <c r="F296" s="2462"/>
      <c r="G296" s="2462"/>
      <c r="H296" s="2462"/>
      <c r="I296" s="2579"/>
      <c r="J296" s="2579"/>
      <c r="K296" s="2579"/>
      <c r="L296" s="2579"/>
      <c r="M296" s="2579"/>
      <c r="N296" s="2579"/>
      <c r="O296" s="2579"/>
    </row>
    <row r="297" spans="1:15" s="2463" customFormat="1">
      <c r="A297" s="2462"/>
      <c r="B297" s="2462"/>
      <c r="C297" s="2462"/>
      <c r="D297" s="2462"/>
      <c r="E297" s="2462"/>
      <c r="F297" s="2462"/>
      <c r="G297" s="2462"/>
      <c r="H297" s="2462"/>
      <c r="I297" s="2579"/>
      <c r="J297" s="2579"/>
      <c r="K297" s="2579"/>
      <c r="L297" s="2579"/>
      <c r="M297" s="2579"/>
      <c r="N297" s="2579"/>
      <c r="O297" s="2579"/>
    </row>
    <row r="298" spans="1:15" s="2463" customFormat="1">
      <c r="A298" s="2462"/>
      <c r="B298" s="2462"/>
      <c r="C298" s="2462"/>
      <c r="D298" s="2462"/>
      <c r="E298" s="2462"/>
      <c r="F298" s="2462"/>
      <c r="G298" s="2462"/>
      <c r="H298" s="2462"/>
      <c r="I298" s="2579"/>
      <c r="J298" s="2579"/>
      <c r="K298" s="2579"/>
      <c r="L298" s="2579"/>
      <c r="M298" s="2579"/>
      <c r="N298" s="2579"/>
      <c r="O298" s="2579"/>
    </row>
    <row r="299" spans="1:15" s="2463" customFormat="1">
      <c r="A299" s="2462"/>
      <c r="B299" s="2462"/>
      <c r="C299" s="2462"/>
      <c r="D299" s="2462"/>
      <c r="E299" s="2462"/>
      <c r="F299" s="2462"/>
      <c r="G299" s="2462"/>
      <c r="H299" s="2462"/>
      <c r="I299" s="2579"/>
      <c r="J299" s="2579"/>
      <c r="K299" s="2579"/>
      <c r="L299" s="2579"/>
      <c r="M299" s="2579"/>
      <c r="N299" s="2579"/>
      <c r="O299" s="2579"/>
    </row>
    <row r="300" spans="1:15" s="2463" customFormat="1">
      <c r="A300" s="2462"/>
      <c r="B300" s="2462"/>
      <c r="C300" s="2462"/>
      <c r="D300" s="2462"/>
      <c r="E300" s="2462"/>
      <c r="F300" s="2462"/>
      <c r="G300" s="2462"/>
      <c r="H300" s="2462"/>
      <c r="I300" s="2579"/>
      <c r="J300" s="2579"/>
      <c r="K300" s="2579"/>
      <c r="L300" s="2579"/>
      <c r="M300" s="2579"/>
      <c r="N300" s="2579"/>
      <c r="O300" s="2579"/>
    </row>
    <row r="301" spans="1:15" s="2463" customFormat="1">
      <c r="A301" s="2462"/>
      <c r="B301" s="2462"/>
      <c r="C301" s="2462"/>
      <c r="D301" s="2462"/>
      <c r="E301" s="2462"/>
      <c r="F301" s="2462"/>
      <c r="G301" s="2462"/>
      <c r="H301" s="2462"/>
      <c r="I301" s="2579"/>
      <c r="J301" s="2579"/>
      <c r="K301" s="2579"/>
      <c r="L301" s="2579"/>
      <c r="M301" s="2579"/>
      <c r="N301" s="2579"/>
      <c r="O301" s="2579"/>
    </row>
    <row r="302" spans="1:15" s="2463" customFormat="1">
      <c r="A302" s="2462"/>
      <c r="B302" s="2462"/>
      <c r="C302" s="2462"/>
      <c r="D302" s="2462"/>
      <c r="E302" s="2462"/>
      <c r="F302" s="2462"/>
      <c r="G302" s="2462"/>
      <c r="H302" s="2462"/>
      <c r="I302" s="2579"/>
      <c r="J302" s="2579"/>
      <c r="K302" s="2579"/>
      <c r="L302" s="2579"/>
      <c r="M302" s="2579"/>
      <c r="N302" s="2579"/>
      <c r="O302" s="2579"/>
    </row>
    <row r="303" spans="1:15" s="2463" customFormat="1">
      <c r="A303" s="2462"/>
      <c r="B303" s="2462"/>
      <c r="C303" s="2462"/>
      <c r="D303" s="2462"/>
      <c r="E303" s="2462"/>
      <c r="F303" s="2462"/>
      <c r="G303" s="2462"/>
      <c r="H303" s="2462"/>
      <c r="I303" s="2579"/>
      <c r="J303" s="2579"/>
      <c r="K303" s="2579"/>
      <c r="L303" s="2579"/>
      <c r="M303" s="2579"/>
      <c r="N303" s="2579"/>
      <c r="O303" s="2579"/>
    </row>
    <row r="304" spans="1:15" s="2463" customFormat="1">
      <c r="A304" s="2462"/>
      <c r="B304" s="2462"/>
      <c r="C304" s="2462"/>
      <c r="D304" s="2462"/>
      <c r="E304" s="2462"/>
      <c r="F304" s="2462"/>
      <c r="G304" s="2462"/>
      <c r="H304" s="2462"/>
      <c r="I304" s="2579"/>
      <c r="J304" s="2579"/>
      <c r="K304" s="2579"/>
      <c r="L304" s="2579"/>
      <c r="M304" s="2579"/>
      <c r="N304" s="2579"/>
      <c r="O304" s="2579"/>
    </row>
    <row r="305" spans="1:15" s="2463" customFormat="1">
      <c r="A305" s="2462"/>
      <c r="B305" s="2462"/>
      <c r="C305" s="2462"/>
      <c r="D305" s="2462"/>
      <c r="E305" s="2462"/>
      <c r="F305" s="2462"/>
      <c r="G305" s="2462"/>
      <c r="H305" s="2462"/>
      <c r="I305" s="2579"/>
      <c r="J305" s="2579"/>
      <c r="K305" s="2579"/>
      <c r="L305" s="2579"/>
      <c r="M305" s="2579"/>
      <c r="N305" s="2579"/>
      <c r="O305" s="2579"/>
    </row>
    <row r="306" spans="1:15" s="2463" customFormat="1">
      <c r="A306" s="2462"/>
      <c r="B306" s="2462"/>
      <c r="C306" s="2462"/>
      <c r="D306" s="2462"/>
      <c r="E306" s="2462"/>
      <c r="F306" s="2462"/>
      <c r="G306" s="2462"/>
      <c r="H306" s="2462"/>
      <c r="I306" s="2579"/>
      <c r="J306" s="2579"/>
      <c r="K306" s="2579"/>
      <c r="L306" s="2579"/>
      <c r="M306" s="2579"/>
      <c r="N306" s="2579"/>
      <c r="O306" s="2579"/>
    </row>
    <row r="307" spans="1:15" s="2463" customFormat="1">
      <c r="A307" s="2462"/>
      <c r="B307" s="2462"/>
      <c r="C307" s="2462"/>
      <c r="D307" s="2462"/>
      <c r="E307" s="2462"/>
      <c r="F307" s="2462"/>
      <c r="G307" s="2462"/>
      <c r="H307" s="2462"/>
      <c r="I307" s="2579"/>
      <c r="J307" s="2579"/>
      <c r="K307" s="2579"/>
      <c r="L307" s="2579"/>
      <c r="M307" s="2579"/>
      <c r="N307" s="2579"/>
      <c r="O307" s="2579"/>
    </row>
    <row r="308" spans="1:15" s="2463" customFormat="1">
      <c r="A308" s="2462"/>
      <c r="B308" s="2462"/>
      <c r="C308" s="2462"/>
      <c r="D308" s="2462"/>
      <c r="E308" s="2462"/>
      <c r="F308" s="2462"/>
      <c r="G308" s="2462"/>
      <c r="H308" s="2462"/>
      <c r="I308" s="2579"/>
      <c r="J308" s="2579"/>
      <c r="K308" s="2579"/>
      <c r="L308" s="2579"/>
      <c r="M308" s="2579"/>
      <c r="N308" s="2579"/>
      <c r="O308" s="2579"/>
    </row>
    <row r="309" spans="1:15" s="2463" customFormat="1">
      <c r="A309" s="2462"/>
      <c r="B309" s="2462"/>
      <c r="C309" s="2462"/>
      <c r="D309" s="2462"/>
      <c r="E309" s="2462"/>
      <c r="F309" s="2462"/>
      <c r="G309" s="2462"/>
      <c r="H309" s="2462"/>
      <c r="I309" s="2579"/>
      <c r="J309" s="2579"/>
      <c r="K309" s="2579"/>
      <c r="L309" s="2579"/>
      <c r="M309" s="2579"/>
      <c r="N309" s="2579"/>
      <c r="O309" s="2579"/>
    </row>
    <row r="310" spans="1:15" s="2463" customFormat="1">
      <c r="A310" s="2462"/>
      <c r="B310" s="2462"/>
      <c r="C310" s="2462"/>
      <c r="D310" s="2462"/>
      <c r="E310" s="2462"/>
      <c r="F310" s="2462"/>
      <c r="G310" s="2462"/>
      <c r="H310" s="2462"/>
      <c r="I310" s="2579"/>
      <c r="J310" s="2579"/>
      <c r="K310" s="2579"/>
      <c r="L310" s="2579"/>
      <c r="M310" s="2579"/>
      <c r="N310" s="2579"/>
      <c r="O310" s="2579"/>
    </row>
    <row r="311" spans="1:15" s="2463" customFormat="1">
      <c r="A311" s="2462"/>
      <c r="B311" s="2462"/>
      <c r="C311" s="2462"/>
      <c r="D311" s="2462"/>
      <c r="E311" s="2462"/>
      <c r="F311" s="2462"/>
      <c r="G311" s="2462"/>
      <c r="H311" s="2462"/>
      <c r="I311" s="2579"/>
      <c r="J311" s="2579"/>
      <c r="K311" s="2579"/>
      <c r="L311" s="2579"/>
      <c r="M311" s="2579"/>
      <c r="N311" s="2579"/>
      <c r="O311" s="2579"/>
    </row>
    <row r="312" spans="1:15" s="2463" customFormat="1">
      <c r="A312" s="2462"/>
      <c r="B312" s="2462"/>
      <c r="C312" s="2462"/>
      <c r="D312" s="2462"/>
      <c r="E312" s="2462"/>
      <c r="F312" s="2462"/>
      <c r="G312" s="2462"/>
      <c r="H312" s="2462"/>
      <c r="I312" s="2579"/>
      <c r="J312" s="2579"/>
      <c r="K312" s="2579"/>
      <c r="L312" s="2579"/>
      <c r="M312" s="2579"/>
      <c r="N312" s="2579"/>
      <c r="O312" s="2579"/>
    </row>
    <row r="313" spans="1:15" s="2463" customFormat="1">
      <c r="A313" s="2462"/>
      <c r="B313" s="2462"/>
      <c r="C313" s="2462"/>
      <c r="D313" s="2462"/>
      <c r="E313" s="2462"/>
      <c r="F313" s="2462"/>
      <c r="G313" s="2462"/>
      <c r="H313" s="2462"/>
      <c r="I313" s="2579"/>
      <c r="J313" s="2579"/>
      <c r="K313" s="2579"/>
      <c r="L313" s="2579"/>
      <c r="M313" s="2579"/>
      <c r="N313" s="2579"/>
      <c r="O313" s="2579"/>
    </row>
    <row r="314" spans="1:15" s="2463" customFormat="1">
      <c r="A314" s="2462"/>
      <c r="B314" s="2462"/>
      <c r="C314" s="2462"/>
      <c r="D314" s="2462"/>
      <c r="E314" s="2462"/>
      <c r="F314" s="2462"/>
      <c r="G314" s="2462"/>
      <c r="H314" s="2462"/>
      <c r="I314" s="2579"/>
      <c r="J314" s="2579"/>
      <c r="K314" s="2579"/>
      <c r="L314" s="2579"/>
      <c r="M314" s="2579"/>
      <c r="N314" s="2579"/>
      <c r="O314" s="2579"/>
    </row>
    <row r="315" spans="1:15" s="2463" customFormat="1">
      <c r="A315" s="2462"/>
      <c r="B315" s="2462"/>
      <c r="C315" s="2462"/>
      <c r="D315" s="2462"/>
      <c r="E315" s="2462"/>
      <c r="F315" s="2462"/>
      <c r="G315" s="2462"/>
      <c r="H315" s="2462"/>
      <c r="I315" s="2579"/>
      <c r="J315" s="2579"/>
      <c r="K315" s="2579"/>
      <c r="L315" s="2579"/>
      <c r="M315" s="2579"/>
      <c r="N315" s="2579"/>
      <c r="O315" s="2579"/>
    </row>
    <row r="316" spans="1:15" s="2463" customFormat="1">
      <c r="A316" s="2462"/>
      <c r="B316" s="2462"/>
      <c r="C316" s="2462"/>
      <c r="D316" s="2462"/>
      <c r="E316" s="2462"/>
      <c r="F316" s="2462"/>
      <c r="G316" s="2462"/>
      <c r="H316" s="2462"/>
      <c r="I316" s="2579"/>
      <c r="J316" s="2579"/>
      <c r="K316" s="2579"/>
      <c r="L316" s="2579"/>
      <c r="M316" s="2579"/>
      <c r="N316" s="2579"/>
      <c r="O316" s="2579"/>
    </row>
    <row r="317" spans="1:15" s="2463" customFormat="1">
      <c r="A317" s="2462"/>
      <c r="B317" s="2462"/>
      <c r="C317" s="2462"/>
      <c r="D317" s="2462"/>
      <c r="E317" s="2462"/>
      <c r="F317" s="2462"/>
      <c r="G317" s="2462"/>
      <c r="H317" s="2462"/>
      <c r="I317" s="2579"/>
      <c r="J317" s="2579"/>
      <c r="K317" s="2579"/>
      <c r="L317" s="2579"/>
      <c r="M317" s="2579"/>
      <c r="N317" s="2579"/>
      <c r="O317" s="2579"/>
    </row>
    <row r="318" spans="1:15" s="2463" customFormat="1">
      <c r="A318" s="2462"/>
      <c r="B318" s="2462"/>
      <c r="C318" s="2462"/>
      <c r="D318" s="2462"/>
      <c r="E318" s="2462"/>
      <c r="F318" s="2462"/>
      <c r="G318" s="2462"/>
      <c r="H318" s="2462"/>
      <c r="I318" s="2579"/>
      <c r="J318" s="2579"/>
      <c r="K318" s="2579"/>
      <c r="L318" s="2579"/>
      <c r="M318" s="2579"/>
      <c r="N318" s="2579"/>
      <c r="O318" s="2579"/>
    </row>
    <row r="319" spans="1:15" s="2463" customFormat="1">
      <c r="A319" s="2462"/>
      <c r="B319" s="2462"/>
      <c r="C319" s="2462"/>
      <c r="D319" s="2462"/>
      <c r="E319" s="2462"/>
      <c r="F319" s="2462"/>
      <c r="G319" s="2462"/>
      <c r="H319" s="2462"/>
      <c r="I319" s="2579"/>
      <c r="J319" s="2579"/>
      <c r="K319" s="2579"/>
      <c r="L319" s="2579"/>
      <c r="M319" s="2579"/>
      <c r="N319" s="2579"/>
      <c r="O319" s="2579"/>
    </row>
    <row r="320" spans="1:15" s="2463" customFormat="1">
      <c r="A320" s="2462"/>
      <c r="B320" s="2462"/>
      <c r="C320" s="2462"/>
      <c r="D320" s="2462"/>
      <c r="E320" s="2462"/>
      <c r="F320" s="2462"/>
      <c r="G320" s="2462"/>
      <c r="H320" s="2462"/>
      <c r="I320" s="2579"/>
      <c r="J320" s="2579"/>
      <c r="K320" s="2579"/>
      <c r="L320" s="2579"/>
      <c r="M320" s="2579"/>
      <c r="N320" s="2579"/>
      <c r="O320" s="2579"/>
    </row>
    <row r="321" spans="1:15" s="2463" customFormat="1">
      <c r="A321" s="2462"/>
      <c r="B321" s="2462"/>
      <c r="C321" s="2462"/>
      <c r="D321" s="2462"/>
      <c r="E321" s="2462"/>
      <c r="F321" s="2462"/>
      <c r="G321" s="2462"/>
      <c r="H321" s="2462"/>
      <c r="I321" s="2579"/>
      <c r="J321" s="2579"/>
      <c r="K321" s="2579"/>
      <c r="L321" s="2579"/>
      <c r="M321" s="2579"/>
      <c r="N321" s="2579"/>
      <c r="O321" s="2579"/>
    </row>
    <row r="322" spans="1:15" s="2463" customFormat="1">
      <c r="A322" s="2462"/>
      <c r="B322" s="2462"/>
      <c r="C322" s="2462"/>
      <c r="D322" s="2462"/>
      <c r="E322" s="2462"/>
      <c r="F322" s="2462"/>
      <c r="G322" s="2462"/>
      <c r="H322" s="2462"/>
      <c r="I322" s="2579"/>
      <c r="J322" s="2579"/>
      <c r="K322" s="2579"/>
      <c r="L322" s="2579"/>
      <c r="M322" s="2579"/>
      <c r="N322" s="2579"/>
      <c r="O322" s="2579"/>
    </row>
    <row r="323" spans="1:15" s="2463" customFormat="1">
      <c r="A323" s="2462"/>
      <c r="B323" s="2462"/>
      <c r="C323" s="2462"/>
      <c r="D323" s="2462"/>
      <c r="E323" s="2462"/>
      <c r="F323" s="2462"/>
      <c r="G323" s="2462"/>
      <c r="H323" s="2462"/>
      <c r="I323" s="2579"/>
      <c r="J323" s="2579"/>
      <c r="K323" s="2579"/>
      <c r="L323" s="2579"/>
      <c r="M323" s="2579"/>
      <c r="N323" s="2579"/>
      <c r="O323" s="2579"/>
    </row>
    <row r="324" spans="1:15" s="2463" customFormat="1">
      <c r="A324" s="2462"/>
      <c r="B324" s="2462"/>
      <c r="C324" s="2462"/>
      <c r="D324" s="2462"/>
      <c r="E324" s="2462"/>
      <c r="F324" s="2462"/>
      <c r="G324" s="2462"/>
      <c r="H324" s="2462"/>
      <c r="I324" s="2579"/>
      <c r="J324" s="2579"/>
      <c r="K324" s="2579"/>
      <c r="L324" s="2579"/>
      <c r="M324" s="2579"/>
      <c r="N324" s="2579"/>
      <c r="O324" s="2579"/>
    </row>
    <row r="325" spans="1:15" s="2463" customFormat="1">
      <c r="A325" s="2462"/>
      <c r="B325" s="2462"/>
      <c r="C325" s="2462"/>
      <c r="D325" s="2462"/>
      <c r="E325" s="2462"/>
      <c r="F325" s="2462"/>
      <c r="G325" s="2462"/>
      <c r="H325" s="2462"/>
      <c r="I325" s="2579"/>
      <c r="J325" s="2579"/>
      <c r="K325" s="2579"/>
      <c r="L325" s="2579"/>
      <c r="M325" s="2579"/>
      <c r="N325" s="2579"/>
      <c r="O325" s="2579"/>
    </row>
    <row r="326" spans="1:15" s="2463" customFormat="1">
      <c r="A326" s="2462"/>
      <c r="B326" s="2462"/>
      <c r="C326" s="2462"/>
      <c r="D326" s="2462"/>
      <c r="E326" s="2462"/>
      <c r="F326" s="2462"/>
      <c r="G326" s="2462"/>
      <c r="H326" s="2462"/>
      <c r="I326" s="2579"/>
      <c r="J326" s="2579"/>
      <c r="K326" s="2579"/>
      <c r="L326" s="2579"/>
      <c r="M326" s="2579"/>
      <c r="N326" s="2579"/>
      <c r="O326" s="2579"/>
    </row>
    <row r="327" spans="1:15" s="2463" customFormat="1">
      <c r="A327" s="2462"/>
      <c r="B327" s="2462"/>
      <c r="C327" s="2462"/>
      <c r="D327" s="2462"/>
      <c r="E327" s="2462"/>
      <c r="F327" s="2462"/>
      <c r="G327" s="2462"/>
      <c r="H327" s="2462"/>
      <c r="I327" s="2579"/>
      <c r="J327" s="2579"/>
      <c r="K327" s="2579"/>
      <c r="L327" s="2579"/>
      <c r="M327" s="2579"/>
      <c r="N327" s="2579"/>
      <c r="O327" s="2579"/>
    </row>
    <row r="328" spans="1:15" s="2463" customFormat="1">
      <c r="A328" s="2462"/>
      <c r="B328" s="2462"/>
      <c r="C328" s="2462"/>
      <c r="D328" s="2462"/>
      <c r="E328" s="2462"/>
      <c r="F328" s="2462"/>
      <c r="G328" s="2462"/>
      <c r="H328" s="2462"/>
      <c r="I328" s="2579"/>
      <c r="J328" s="2579"/>
      <c r="K328" s="2579"/>
      <c r="L328" s="2579"/>
      <c r="M328" s="2579"/>
      <c r="N328" s="2579"/>
      <c r="O328" s="2579"/>
    </row>
    <row r="329" spans="1:15" s="2463" customFormat="1">
      <c r="A329" s="2462"/>
      <c r="B329" s="2462"/>
      <c r="C329" s="2462"/>
      <c r="D329" s="2462"/>
      <c r="E329" s="2462"/>
      <c r="F329" s="2462"/>
      <c r="G329" s="2462"/>
      <c r="H329" s="2462"/>
      <c r="I329" s="2579"/>
      <c r="J329" s="2579"/>
      <c r="K329" s="2579"/>
      <c r="L329" s="2579"/>
      <c r="M329" s="2579"/>
      <c r="N329" s="2579"/>
      <c r="O329" s="2579"/>
    </row>
    <row r="330" spans="1:15" s="2463" customFormat="1">
      <c r="A330" s="2462"/>
      <c r="B330" s="2462"/>
      <c r="C330" s="2462"/>
      <c r="D330" s="2462"/>
      <c r="E330" s="2462"/>
      <c r="F330" s="2462"/>
      <c r="G330" s="2462"/>
      <c r="H330" s="2462"/>
      <c r="I330" s="2579"/>
      <c r="J330" s="2579"/>
      <c r="K330" s="2579"/>
      <c r="L330" s="2579"/>
      <c r="M330" s="2579"/>
      <c r="N330" s="2579"/>
      <c r="O330" s="2579"/>
    </row>
    <row r="331" spans="1:15" s="2463" customFormat="1">
      <c r="A331" s="2462"/>
      <c r="B331" s="2462"/>
      <c r="C331" s="2462"/>
      <c r="D331" s="2462"/>
      <c r="E331" s="2462"/>
      <c r="F331" s="2462"/>
      <c r="G331" s="2462"/>
      <c r="H331" s="2462"/>
      <c r="I331" s="2579"/>
      <c r="J331" s="2579"/>
      <c r="K331" s="2579"/>
      <c r="L331" s="2579"/>
      <c r="M331" s="2579"/>
      <c r="N331" s="2579"/>
      <c r="O331" s="2579"/>
    </row>
    <row r="332" spans="1:15" s="2463" customFormat="1">
      <c r="A332" s="2462"/>
      <c r="B332" s="2462"/>
      <c r="C332" s="2462"/>
      <c r="D332" s="2462"/>
      <c r="E332" s="2462"/>
      <c r="F332" s="2462"/>
      <c r="G332" s="2462"/>
      <c r="H332" s="2462"/>
      <c r="I332" s="2579"/>
      <c r="J332" s="2579"/>
      <c r="K332" s="2579"/>
      <c r="L332" s="2579"/>
      <c r="M332" s="2579"/>
      <c r="N332" s="2579"/>
      <c r="O332" s="2579"/>
    </row>
    <row r="337" spans="1:15" s="2463" customFormat="1">
      <c r="A337" s="2462"/>
      <c r="B337" s="2462"/>
      <c r="C337" s="2462"/>
      <c r="D337" s="2462"/>
      <c r="E337" s="2462"/>
      <c r="F337" s="2462"/>
      <c r="G337" s="2462"/>
      <c r="H337" s="2462"/>
      <c r="I337" s="2579"/>
      <c r="J337" s="2579"/>
      <c r="K337" s="2579"/>
      <c r="L337" s="2579"/>
      <c r="M337" s="2579"/>
      <c r="N337" s="2579"/>
      <c r="O337" s="2579"/>
    </row>
    <row r="338" spans="1:15" s="2463" customFormat="1">
      <c r="A338" s="2462"/>
      <c r="B338" s="2462"/>
      <c r="C338" s="2462"/>
      <c r="D338" s="2462"/>
      <c r="E338" s="2462"/>
      <c r="F338" s="2462"/>
      <c r="G338" s="2462"/>
      <c r="H338" s="2462"/>
      <c r="I338" s="2579"/>
      <c r="J338" s="2579"/>
      <c r="K338" s="2579"/>
      <c r="L338" s="2579"/>
      <c r="M338" s="2579"/>
      <c r="N338" s="2579"/>
      <c r="O338" s="2579"/>
    </row>
    <row r="339" spans="1:15" s="2463" customFormat="1">
      <c r="A339" s="2462"/>
      <c r="B339" s="2462"/>
      <c r="C339" s="2462"/>
      <c r="D339" s="2462"/>
      <c r="E339" s="2462"/>
      <c r="F339" s="2462"/>
      <c r="G339" s="2462"/>
      <c r="H339" s="2462"/>
      <c r="I339" s="2579"/>
      <c r="J339" s="2579"/>
      <c r="K339" s="2579"/>
      <c r="L339" s="2579"/>
      <c r="M339" s="2579"/>
      <c r="N339" s="2579"/>
      <c r="O339" s="2579"/>
    </row>
    <row r="340" spans="1:15" s="2463" customFormat="1">
      <c r="A340" s="2462"/>
      <c r="B340" s="2462"/>
      <c r="C340" s="2462"/>
      <c r="D340" s="2462"/>
      <c r="E340" s="2462"/>
      <c r="F340" s="2462"/>
      <c r="G340" s="2462"/>
      <c r="H340" s="2462"/>
      <c r="I340" s="2579"/>
      <c r="J340" s="2579"/>
      <c r="K340" s="2579"/>
      <c r="L340" s="2579"/>
      <c r="M340" s="2579"/>
      <c r="N340" s="2579"/>
      <c r="O340" s="2579"/>
    </row>
    <row r="341" spans="1:15" s="2463" customFormat="1">
      <c r="A341" s="2462"/>
      <c r="B341" s="2462"/>
      <c r="C341" s="2462"/>
      <c r="D341" s="2462"/>
      <c r="E341" s="2462"/>
      <c r="F341" s="2462"/>
      <c r="G341" s="2462"/>
      <c r="H341" s="2462"/>
      <c r="I341" s="2579"/>
      <c r="J341" s="2579"/>
      <c r="K341" s="2579"/>
      <c r="L341" s="2579"/>
      <c r="M341" s="2579"/>
      <c r="N341" s="2579"/>
      <c r="O341" s="2579"/>
    </row>
    <row r="342" spans="1:15" s="2463" customFormat="1">
      <c r="A342" s="2462"/>
      <c r="B342" s="2462"/>
      <c r="C342" s="2462"/>
      <c r="D342" s="2462"/>
      <c r="E342" s="2462"/>
      <c r="F342" s="2462"/>
      <c r="G342" s="2462"/>
      <c r="H342" s="2462"/>
      <c r="I342" s="2579"/>
      <c r="J342" s="2579"/>
      <c r="K342" s="2579"/>
      <c r="L342" s="2579"/>
      <c r="M342" s="2579"/>
      <c r="N342" s="2579"/>
      <c r="O342" s="2579"/>
    </row>
    <row r="343" spans="1:15" s="2463" customFormat="1">
      <c r="A343" s="2462"/>
      <c r="B343" s="2462"/>
      <c r="C343" s="2462"/>
      <c r="D343" s="2462"/>
      <c r="E343" s="2462"/>
      <c r="F343" s="2462"/>
      <c r="G343" s="2462"/>
      <c r="H343" s="2462"/>
      <c r="I343" s="2579"/>
      <c r="J343" s="2579"/>
      <c r="K343" s="2579"/>
      <c r="L343" s="2579"/>
      <c r="M343" s="2579"/>
      <c r="N343" s="2579"/>
      <c r="O343" s="2579"/>
    </row>
    <row r="344" spans="1:15" s="2463" customFormat="1">
      <c r="A344" s="2462"/>
      <c r="B344" s="2462"/>
      <c r="C344" s="2462"/>
      <c r="D344" s="2462"/>
      <c r="E344" s="2462"/>
      <c r="F344" s="2462"/>
      <c r="G344" s="2462"/>
      <c r="H344" s="2462"/>
      <c r="I344" s="2579"/>
      <c r="J344" s="2579"/>
      <c r="K344" s="2579"/>
      <c r="L344" s="2579"/>
      <c r="M344" s="2579"/>
      <c r="N344" s="2579"/>
      <c r="O344" s="2579"/>
    </row>
    <row r="345" spans="1:15" s="2463" customFormat="1">
      <c r="A345" s="2462"/>
      <c r="B345" s="2462"/>
      <c r="C345" s="2462"/>
      <c r="D345" s="2462"/>
      <c r="E345" s="2462"/>
      <c r="F345" s="2462"/>
      <c r="G345" s="2462"/>
      <c r="H345" s="2462"/>
      <c r="I345" s="2579"/>
      <c r="J345" s="2579"/>
      <c r="K345" s="2579"/>
      <c r="L345" s="2579"/>
      <c r="M345" s="2579"/>
      <c r="N345" s="2579"/>
      <c r="O345" s="2579"/>
    </row>
    <row r="346" spans="1:15" s="2463" customFormat="1">
      <c r="A346" s="2462"/>
      <c r="B346" s="2462"/>
      <c r="C346" s="2462"/>
      <c r="D346" s="2462"/>
      <c r="E346" s="2462"/>
      <c r="F346" s="2462"/>
      <c r="G346" s="2462"/>
      <c r="H346" s="2462"/>
      <c r="I346" s="2579"/>
      <c r="J346" s="2579"/>
      <c r="K346" s="2579"/>
      <c r="L346" s="2579"/>
      <c r="M346" s="2579"/>
      <c r="N346" s="2579"/>
      <c r="O346" s="2579"/>
    </row>
    <row r="347" spans="1:15" s="2463" customFormat="1">
      <c r="A347" s="2462"/>
      <c r="B347" s="2462"/>
      <c r="C347" s="2462"/>
      <c r="D347" s="2462"/>
      <c r="E347" s="2462"/>
      <c r="F347" s="2462"/>
      <c r="G347" s="2462"/>
      <c r="H347" s="2462"/>
      <c r="I347" s="2579"/>
      <c r="J347" s="2579"/>
      <c r="K347" s="2579"/>
      <c r="L347" s="2579"/>
      <c r="M347" s="2579"/>
      <c r="N347" s="2579"/>
      <c r="O347" s="2579"/>
    </row>
    <row r="348" spans="1:15" s="2463" customFormat="1">
      <c r="A348" s="2462"/>
      <c r="B348" s="2462"/>
      <c r="C348" s="2462"/>
      <c r="D348" s="2462"/>
      <c r="E348" s="2462"/>
      <c r="F348" s="2462"/>
      <c r="G348" s="2462"/>
      <c r="H348" s="2462"/>
      <c r="I348" s="2579"/>
      <c r="J348" s="2579"/>
      <c r="K348" s="2579"/>
      <c r="L348" s="2579"/>
      <c r="M348" s="2579"/>
      <c r="N348" s="2579"/>
      <c r="O348" s="2579"/>
    </row>
    <row r="349" spans="1:15" s="2463" customFormat="1">
      <c r="A349" s="2462"/>
      <c r="B349" s="2462"/>
      <c r="C349" s="2462"/>
      <c r="D349" s="2462"/>
      <c r="E349" s="2462"/>
      <c r="F349" s="2462"/>
      <c r="G349" s="2462"/>
      <c r="H349" s="2462"/>
      <c r="I349" s="2579"/>
      <c r="J349" s="2579"/>
      <c r="K349" s="2579"/>
      <c r="L349" s="2579"/>
      <c r="M349" s="2579"/>
      <c r="N349" s="2579"/>
      <c r="O349" s="2579"/>
    </row>
    <row r="350" spans="1:15" s="2463" customFormat="1">
      <c r="A350" s="2462"/>
      <c r="B350" s="2462"/>
      <c r="C350" s="2462"/>
      <c r="D350" s="2462"/>
      <c r="E350" s="2462"/>
      <c r="F350" s="2462"/>
      <c r="G350" s="2462"/>
      <c r="H350" s="2462"/>
      <c r="I350" s="2579"/>
      <c r="J350" s="2579"/>
      <c r="K350" s="2579"/>
      <c r="L350" s="2579"/>
      <c r="M350" s="2579"/>
      <c r="N350" s="2579"/>
      <c r="O350" s="2579"/>
    </row>
    <row r="351" spans="1:15" s="2463" customFormat="1">
      <c r="A351" s="2462"/>
      <c r="B351" s="2462"/>
      <c r="C351" s="2462"/>
      <c r="D351" s="2462"/>
      <c r="E351" s="2462"/>
      <c r="F351" s="2462"/>
      <c r="G351" s="2462"/>
      <c r="H351" s="2462"/>
      <c r="I351" s="2579"/>
      <c r="J351" s="2579"/>
      <c r="K351" s="2579"/>
      <c r="L351" s="2579"/>
      <c r="M351" s="2579"/>
      <c r="N351" s="2579"/>
      <c r="O351" s="2579"/>
    </row>
    <row r="352" spans="1:15" s="2463" customFormat="1">
      <c r="A352" s="2462"/>
      <c r="B352" s="2462"/>
      <c r="C352" s="2462"/>
      <c r="D352" s="2462"/>
      <c r="E352" s="2462"/>
      <c r="F352" s="2462"/>
      <c r="G352" s="2462"/>
      <c r="H352" s="2462"/>
      <c r="I352" s="2579"/>
      <c r="J352" s="2579"/>
      <c r="K352" s="2579"/>
      <c r="L352" s="2579"/>
      <c r="M352" s="2579"/>
      <c r="N352" s="2579"/>
      <c r="O352" s="2579"/>
    </row>
    <row r="353" spans="1:15" s="2463" customFormat="1">
      <c r="A353" s="2462"/>
      <c r="B353" s="2462"/>
      <c r="C353" s="2462"/>
      <c r="D353" s="2462"/>
      <c r="E353" s="2462"/>
      <c r="F353" s="2462"/>
      <c r="G353" s="2462"/>
      <c r="H353" s="2462"/>
      <c r="I353" s="2579"/>
      <c r="J353" s="2579"/>
      <c r="K353" s="2579"/>
      <c r="L353" s="2579"/>
      <c r="M353" s="2579"/>
      <c r="N353" s="2579"/>
      <c r="O353" s="2579"/>
    </row>
    <row r="354" spans="1:15" s="2463" customFormat="1">
      <c r="A354" s="2462"/>
      <c r="B354" s="2462"/>
      <c r="C354" s="2462"/>
      <c r="D354" s="2462"/>
      <c r="E354" s="2462"/>
      <c r="F354" s="2462"/>
      <c r="G354" s="2462"/>
      <c r="H354" s="2462"/>
      <c r="I354" s="2579"/>
      <c r="J354" s="2579"/>
      <c r="K354" s="2579"/>
      <c r="L354" s="2579"/>
      <c r="M354" s="2579"/>
      <c r="N354" s="2579"/>
      <c r="O354" s="2579"/>
    </row>
    <row r="355" spans="1:15" s="2463" customFormat="1">
      <c r="A355" s="2462"/>
      <c r="B355" s="2462"/>
      <c r="C355" s="2462"/>
      <c r="D355" s="2462"/>
      <c r="E355" s="2462"/>
      <c r="F355" s="2462"/>
      <c r="G355" s="2462"/>
      <c r="H355" s="2462"/>
      <c r="I355" s="2579"/>
      <c r="J355" s="2579"/>
      <c r="K355" s="2579"/>
      <c r="L355" s="2579"/>
      <c r="M355" s="2579"/>
      <c r="N355" s="2579"/>
      <c r="O355" s="2579"/>
    </row>
    <row r="356" spans="1:15" s="2463" customFormat="1">
      <c r="A356" s="2462"/>
      <c r="B356" s="2462"/>
      <c r="C356" s="2462"/>
      <c r="D356" s="2462"/>
      <c r="E356" s="2462"/>
      <c r="F356" s="2462"/>
      <c r="G356" s="2462"/>
      <c r="H356" s="2462"/>
      <c r="I356" s="2579"/>
      <c r="J356" s="2579"/>
      <c r="K356" s="2579"/>
      <c r="L356" s="2579"/>
      <c r="M356" s="2579"/>
      <c r="N356" s="2579"/>
      <c r="O356" s="2579"/>
    </row>
    <row r="357" spans="1:15" s="2463" customFormat="1">
      <c r="A357" s="2462"/>
      <c r="B357" s="2462"/>
      <c r="C357" s="2462"/>
      <c r="D357" s="2462"/>
      <c r="E357" s="2462"/>
      <c r="F357" s="2462"/>
      <c r="G357" s="2462"/>
      <c r="H357" s="2462"/>
      <c r="I357" s="2579"/>
      <c r="J357" s="2579"/>
      <c r="K357" s="2579"/>
      <c r="L357" s="2579"/>
      <c r="M357" s="2579"/>
      <c r="N357" s="2579"/>
      <c r="O357" s="2579"/>
    </row>
    <row r="358" spans="1:15" s="2463" customFormat="1">
      <c r="A358" s="2462"/>
      <c r="B358" s="2462"/>
      <c r="C358" s="2462"/>
      <c r="D358" s="2462"/>
      <c r="E358" s="2462"/>
      <c r="F358" s="2462"/>
      <c r="G358" s="2462"/>
      <c r="H358" s="2462"/>
      <c r="I358" s="2579"/>
      <c r="J358" s="2579"/>
      <c r="K358" s="2579"/>
      <c r="L358" s="2579"/>
      <c r="M358" s="2579"/>
      <c r="N358" s="2579"/>
      <c r="O358" s="2579"/>
    </row>
    <row r="359" spans="1:15" s="2463" customFormat="1">
      <c r="A359" s="2462"/>
      <c r="B359" s="2462"/>
      <c r="C359" s="2462"/>
      <c r="D359" s="2462"/>
      <c r="E359" s="2462"/>
      <c r="F359" s="2462"/>
      <c r="G359" s="2462"/>
      <c r="H359" s="2462"/>
      <c r="I359" s="2579"/>
      <c r="J359" s="2579"/>
      <c r="K359" s="2579"/>
      <c r="L359" s="2579"/>
      <c r="M359" s="2579"/>
      <c r="N359" s="2579"/>
      <c r="O359" s="2579"/>
    </row>
    <row r="360" spans="1:15" s="2463" customFormat="1">
      <c r="A360" s="2462"/>
      <c r="B360" s="2462"/>
      <c r="C360" s="2462"/>
      <c r="D360" s="2462"/>
      <c r="E360" s="2462"/>
      <c r="F360" s="2462"/>
      <c r="G360" s="2462"/>
      <c r="H360" s="2462"/>
      <c r="I360" s="2579"/>
      <c r="J360" s="2579"/>
      <c r="K360" s="2579"/>
      <c r="L360" s="2579"/>
      <c r="M360" s="2579"/>
      <c r="N360" s="2579"/>
      <c r="O360" s="2579"/>
    </row>
    <row r="361" spans="1:15" s="2463" customFormat="1">
      <c r="A361" s="2462"/>
      <c r="B361" s="2462"/>
      <c r="C361" s="2462"/>
      <c r="D361" s="2462"/>
      <c r="E361" s="2462"/>
      <c r="F361" s="2462"/>
      <c r="G361" s="2462"/>
      <c r="H361" s="2462"/>
      <c r="I361" s="2579"/>
      <c r="J361" s="2579"/>
      <c r="K361" s="2579"/>
      <c r="L361" s="2579"/>
      <c r="M361" s="2579"/>
      <c r="N361" s="2579"/>
      <c r="O361" s="2579"/>
    </row>
    <row r="362" spans="1:15" s="2463" customFormat="1">
      <c r="A362" s="2462"/>
      <c r="B362" s="2462"/>
      <c r="C362" s="2462"/>
      <c r="D362" s="2462"/>
      <c r="E362" s="2462"/>
      <c r="F362" s="2462"/>
      <c r="G362" s="2462"/>
      <c r="H362" s="2462"/>
      <c r="I362" s="2579"/>
      <c r="J362" s="2579"/>
      <c r="K362" s="2579"/>
      <c r="L362" s="2579"/>
      <c r="M362" s="2579"/>
      <c r="N362" s="2579"/>
      <c r="O362" s="2579"/>
    </row>
    <row r="363" spans="1:15" s="2463" customFormat="1">
      <c r="A363" s="2462"/>
      <c r="B363" s="2462"/>
      <c r="C363" s="2462"/>
      <c r="D363" s="2462"/>
      <c r="E363" s="2462"/>
      <c r="F363" s="2462"/>
      <c r="G363" s="2462"/>
      <c r="H363" s="2462"/>
      <c r="I363" s="2579"/>
      <c r="J363" s="2579"/>
      <c r="K363" s="2579"/>
      <c r="L363" s="2579"/>
      <c r="M363" s="2579"/>
      <c r="N363" s="2579"/>
      <c r="O363" s="2579"/>
    </row>
    <row r="364" spans="1:15" s="2463" customFormat="1">
      <c r="A364" s="2462"/>
      <c r="B364" s="2462"/>
      <c r="C364" s="2462"/>
      <c r="D364" s="2462"/>
      <c r="E364" s="2462"/>
      <c r="F364" s="2462"/>
      <c r="G364" s="2462"/>
      <c r="H364" s="2462"/>
      <c r="I364" s="2579"/>
      <c r="J364" s="2579"/>
      <c r="K364" s="2579"/>
      <c r="L364" s="2579"/>
      <c r="M364" s="2579"/>
      <c r="N364" s="2579"/>
      <c r="O364" s="2579"/>
    </row>
    <row r="365" spans="1:15" s="2463" customFormat="1">
      <c r="A365" s="2462"/>
      <c r="B365" s="2462"/>
      <c r="C365" s="2462"/>
      <c r="D365" s="2462"/>
      <c r="E365" s="2462"/>
      <c r="F365" s="2462"/>
      <c r="G365" s="2462"/>
      <c r="H365" s="2462"/>
      <c r="I365" s="2579"/>
      <c r="J365" s="2579"/>
      <c r="K365" s="2579"/>
      <c r="L365" s="2579"/>
      <c r="M365" s="2579"/>
      <c r="N365" s="2579"/>
      <c r="O365" s="2579"/>
    </row>
    <row r="366" spans="1:15" s="2463" customFormat="1">
      <c r="A366" s="2462"/>
      <c r="B366" s="2462"/>
      <c r="C366" s="2462"/>
      <c r="D366" s="2462"/>
      <c r="E366" s="2462"/>
      <c r="F366" s="2462"/>
      <c r="G366" s="2462"/>
      <c r="H366" s="2462"/>
      <c r="I366" s="2579"/>
      <c r="J366" s="2579"/>
      <c r="K366" s="2579"/>
      <c r="L366" s="2579"/>
      <c r="M366" s="2579"/>
      <c r="N366" s="2579"/>
      <c r="O366" s="2579"/>
    </row>
    <row r="367" spans="1:15" s="2463" customFormat="1">
      <c r="A367" s="2462"/>
      <c r="B367" s="2462"/>
      <c r="C367" s="2462"/>
      <c r="D367" s="2462"/>
      <c r="E367" s="2462"/>
      <c r="F367" s="2462"/>
      <c r="G367" s="2462"/>
      <c r="H367" s="2462"/>
      <c r="I367" s="2579"/>
      <c r="J367" s="2579"/>
      <c r="K367" s="2579"/>
      <c r="L367" s="2579"/>
      <c r="M367" s="2579"/>
      <c r="N367" s="2579"/>
      <c r="O367" s="2579"/>
    </row>
    <row r="368" spans="1:15" s="2463" customFormat="1">
      <c r="A368" s="2462"/>
      <c r="B368" s="2462"/>
      <c r="C368" s="2462"/>
      <c r="D368" s="2462"/>
      <c r="E368" s="2462"/>
      <c r="F368" s="2462"/>
      <c r="G368" s="2462"/>
      <c r="H368" s="2462"/>
      <c r="I368" s="2579"/>
      <c r="J368" s="2579"/>
      <c r="K368" s="2579"/>
      <c r="L368" s="2579"/>
      <c r="M368" s="2579"/>
      <c r="N368" s="2579"/>
      <c r="O368" s="2579"/>
    </row>
    <row r="369" spans="1:15" s="2463" customFormat="1">
      <c r="A369" s="2462"/>
      <c r="B369" s="2462"/>
      <c r="C369" s="2462"/>
      <c r="D369" s="2462"/>
      <c r="E369" s="2462"/>
      <c r="F369" s="2462"/>
      <c r="G369" s="2462"/>
      <c r="H369" s="2462"/>
      <c r="I369" s="2579"/>
      <c r="J369" s="2579"/>
      <c r="K369" s="2579"/>
      <c r="L369" s="2579"/>
      <c r="M369" s="2579"/>
      <c r="N369" s="2579"/>
      <c r="O369" s="2579"/>
    </row>
    <row r="370" spans="1:15" s="2463" customFormat="1">
      <c r="A370" s="2462"/>
      <c r="B370" s="2462"/>
      <c r="C370" s="2462"/>
      <c r="D370" s="2462"/>
      <c r="E370" s="2462"/>
      <c r="F370" s="2462"/>
      <c r="G370" s="2462"/>
      <c r="H370" s="2462"/>
      <c r="I370" s="2579"/>
      <c r="J370" s="2579"/>
      <c r="K370" s="2579"/>
      <c r="L370" s="2579"/>
      <c r="M370" s="2579"/>
      <c r="N370" s="2579"/>
      <c r="O370" s="2579"/>
    </row>
    <row r="371" spans="1:15" s="2463" customFormat="1">
      <c r="A371" s="2462"/>
      <c r="B371" s="2462"/>
      <c r="C371" s="2462"/>
      <c r="D371" s="2462"/>
      <c r="E371" s="2462"/>
      <c r="F371" s="2462"/>
      <c r="G371" s="2462"/>
      <c r="H371" s="2462"/>
      <c r="I371" s="2579"/>
      <c r="J371" s="2579"/>
      <c r="K371" s="2579"/>
      <c r="L371" s="2579"/>
      <c r="M371" s="2579"/>
      <c r="N371" s="2579"/>
      <c r="O371" s="2579"/>
    </row>
    <row r="372" spans="1:15" s="2463" customFormat="1">
      <c r="A372" s="2462"/>
      <c r="B372" s="2462"/>
      <c r="C372" s="2462"/>
      <c r="D372" s="2462"/>
      <c r="E372" s="2462"/>
      <c r="F372" s="2462"/>
      <c r="G372" s="2462"/>
      <c r="H372" s="2462"/>
      <c r="I372" s="2579"/>
      <c r="J372" s="2579"/>
      <c r="K372" s="2579"/>
      <c r="L372" s="2579"/>
      <c r="M372" s="2579"/>
      <c r="N372" s="2579"/>
      <c r="O372" s="2579"/>
    </row>
    <row r="373" spans="1:15" s="2463" customFormat="1">
      <c r="A373" s="2462"/>
      <c r="B373" s="2462"/>
      <c r="C373" s="2462"/>
      <c r="D373" s="2462"/>
      <c r="E373" s="2462"/>
      <c r="F373" s="2462"/>
      <c r="G373" s="2462"/>
      <c r="H373" s="2462"/>
      <c r="I373" s="2579"/>
      <c r="J373" s="2579"/>
      <c r="K373" s="2579"/>
      <c r="L373" s="2579"/>
      <c r="M373" s="2579"/>
      <c r="N373" s="2579"/>
      <c r="O373" s="2579"/>
    </row>
    <row r="378" spans="1:15" s="2463" customFormat="1">
      <c r="A378" s="2462"/>
      <c r="B378" s="2462"/>
      <c r="C378" s="2462"/>
      <c r="D378" s="2462"/>
      <c r="E378" s="2462"/>
      <c r="F378" s="2462"/>
      <c r="G378" s="2462"/>
      <c r="H378" s="2462"/>
      <c r="I378" s="2579"/>
      <c r="J378" s="2579"/>
      <c r="K378" s="2579"/>
      <c r="L378" s="2579"/>
      <c r="M378" s="2579"/>
      <c r="N378" s="2579"/>
      <c r="O378" s="2579"/>
    </row>
    <row r="379" spans="1:15" s="2463" customFormat="1">
      <c r="A379" s="2462"/>
      <c r="B379" s="2462"/>
      <c r="C379" s="2462"/>
      <c r="D379" s="2462"/>
      <c r="E379" s="2462"/>
      <c r="F379" s="2462"/>
      <c r="G379" s="2462"/>
      <c r="H379" s="2462"/>
      <c r="I379" s="2579"/>
      <c r="J379" s="2579"/>
      <c r="K379" s="2579"/>
      <c r="L379" s="2579"/>
      <c r="M379" s="2579"/>
      <c r="N379" s="2579"/>
      <c r="O379" s="2579"/>
    </row>
    <row r="380" spans="1:15" s="2463" customFormat="1">
      <c r="A380" s="2462"/>
      <c r="B380" s="2462"/>
      <c r="C380" s="2462"/>
      <c r="D380" s="2462"/>
      <c r="E380" s="2462"/>
      <c r="F380" s="2462"/>
      <c r="G380" s="2462"/>
      <c r="H380" s="2462"/>
      <c r="I380" s="2579"/>
      <c r="J380" s="2579"/>
      <c r="K380" s="2579"/>
      <c r="L380" s="2579"/>
      <c r="M380" s="2579"/>
      <c r="N380" s="2579"/>
      <c r="O380" s="2579"/>
    </row>
    <row r="381" spans="1:15" s="2463" customFormat="1">
      <c r="A381" s="2462"/>
      <c r="B381" s="2462"/>
      <c r="C381" s="2462"/>
      <c r="D381" s="2462"/>
      <c r="E381" s="2462"/>
      <c r="F381" s="2462"/>
      <c r="G381" s="2462"/>
      <c r="H381" s="2462"/>
      <c r="I381" s="2579"/>
      <c r="J381" s="2579"/>
      <c r="K381" s="2579"/>
      <c r="L381" s="2579"/>
      <c r="M381" s="2579"/>
      <c r="N381" s="2579"/>
      <c r="O381" s="2579"/>
    </row>
    <row r="382" spans="1:15" s="2463" customFormat="1">
      <c r="A382" s="2462"/>
      <c r="B382" s="2462"/>
      <c r="C382" s="2462"/>
      <c r="D382" s="2462"/>
      <c r="E382" s="2462"/>
      <c r="F382" s="2462"/>
      <c r="G382" s="2462"/>
      <c r="H382" s="2462"/>
      <c r="I382" s="2579"/>
      <c r="J382" s="2579"/>
      <c r="K382" s="2579"/>
      <c r="L382" s="2579"/>
      <c r="M382" s="2579"/>
      <c r="N382" s="2579"/>
      <c r="O382" s="2579"/>
    </row>
    <row r="383" spans="1:15" s="2463" customFormat="1">
      <c r="A383" s="2462"/>
      <c r="B383" s="2462"/>
      <c r="C383" s="2462"/>
      <c r="D383" s="2462"/>
      <c r="E383" s="2462"/>
      <c r="F383" s="2462"/>
      <c r="G383" s="2462"/>
      <c r="H383" s="2462"/>
      <c r="I383" s="2579"/>
      <c r="J383" s="2579"/>
      <c r="K383" s="2579"/>
      <c r="L383" s="2579"/>
      <c r="M383" s="2579"/>
      <c r="N383" s="2579"/>
      <c r="O383" s="2579"/>
    </row>
    <row r="384" spans="1:15" s="2463" customFormat="1">
      <c r="A384" s="2462"/>
      <c r="B384" s="2462"/>
      <c r="C384" s="2462"/>
      <c r="D384" s="2462"/>
      <c r="E384" s="2462"/>
      <c r="F384" s="2462"/>
      <c r="G384" s="2462"/>
      <c r="H384" s="2462"/>
      <c r="I384" s="2579"/>
      <c r="J384" s="2579"/>
      <c r="K384" s="2579"/>
      <c r="L384" s="2579"/>
      <c r="M384" s="2579"/>
      <c r="N384" s="2579"/>
      <c r="O384" s="2579"/>
    </row>
    <row r="385" spans="1:15" s="2463" customFormat="1">
      <c r="A385" s="2462"/>
      <c r="B385" s="2462"/>
      <c r="C385" s="2462"/>
      <c r="D385" s="2462"/>
      <c r="E385" s="2462"/>
      <c r="F385" s="2462"/>
      <c r="G385" s="2462"/>
      <c r="H385" s="2462"/>
      <c r="I385" s="2579"/>
      <c r="J385" s="2579"/>
      <c r="K385" s="2579"/>
      <c r="L385" s="2579"/>
      <c r="M385" s="2579"/>
      <c r="N385" s="2579"/>
      <c r="O385" s="2579"/>
    </row>
    <row r="386" spans="1:15" s="2463" customFormat="1">
      <c r="A386" s="2462"/>
      <c r="B386" s="2462"/>
      <c r="C386" s="2462"/>
      <c r="D386" s="2462"/>
      <c r="E386" s="2462"/>
      <c r="F386" s="2462"/>
      <c r="G386" s="2462"/>
      <c r="H386" s="2462"/>
      <c r="I386" s="2579"/>
      <c r="J386" s="2579"/>
      <c r="K386" s="2579"/>
      <c r="L386" s="2579"/>
      <c r="M386" s="2579"/>
      <c r="N386" s="2579"/>
      <c r="O386" s="2579"/>
    </row>
    <row r="387" spans="1:15" s="2463" customFormat="1">
      <c r="A387" s="2462"/>
      <c r="B387" s="2462"/>
      <c r="C387" s="2462"/>
      <c r="D387" s="2462"/>
      <c r="E387" s="2462"/>
      <c r="F387" s="2462"/>
      <c r="G387" s="2462"/>
      <c r="H387" s="2462"/>
      <c r="I387" s="2579"/>
      <c r="J387" s="2579"/>
      <c r="K387" s="2579"/>
      <c r="L387" s="2579"/>
      <c r="M387" s="2579"/>
      <c r="N387" s="2579"/>
      <c r="O387" s="2579"/>
    </row>
    <row r="388" spans="1:15" s="2463" customFormat="1">
      <c r="A388" s="2462"/>
      <c r="B388" s="2462"/>
      <c r="C388" s="2462"/>
      <c r="D388" s="2462"/>
      <c r="E388" s="2462"/>
      <c r="F388" s="2462"/>
      <c r="G388" s="2462"/>
      <c r="H388" s="2462"/>
      <c r="I388" s="2579"/>
      <c r="J388" s="2579"/>
      <c r="K388" s="2579"/>
      <c r="L388" s="2579"/>
      <c r="M388" s="2579"/>
      <c r="N388" s="2579"/>
      <c r="O388" s="2579"/>
    </row>
    <row r="389" spans="1:15" s="2463" customFormat="1">
      <c r="A389" s="2462"/>
      <c r="B389" s="2462"/>
      <c r="C389" s="2462"/>
      <c r="D389" s="2462"/>
      <c r="E389" s="2462"/>
      <c r="F389" s="2462"/>
      <c r="G389" s="2462"/>
      <c r="H389" s="2462"/>
      <c r="I389" s="2579"/>
      <c r="J389" s="2579"/>
      <c r="K389" s="2579"/>
      <c r="L389" s="2579"/>
      <c r="M389" s="2579"/>
      <c r="N389" s="2579"/>
      <c r="O389" s="2579"/>
    </row>
    <row r="390" spans="1:15" s="2463" customFormat="1">
      <c r="A390" s="2462"/>
      <c r="B390" s="2462"/>
      <c r="C390" s="2462"/>
      <c r="D390" s="2462"/>
      <c r="E390" s="2462"/>
      <c r="F390" s="2462"/>
      <c r="G390" s="2462"/>
      <c r="H390" s="2462"/>
      <c r="I390" s="2579"/>
      <c r="J390" s="2579"/>
      <c r="K390" s="2579"/>
      <c r="L390" s="2579"/>
      <c r="M390" s="2579"/>
      <c r="N390" s="2579"/>
      <c r="O390" s="2579"/>
    </row>
    <row r="391" spans="1:15" s="2463" customFormat="1">
      <c r="A391" s="2462"/>
      <c r="B391" s="2462"/>
      <c r="C391" s="2462"/>
      <c r="D391" s="2462"/>
      <c r="E391" s="2462"/>
      <c r="F391" s="2462"/>
      <c r="G391" s="2462"/>
      <c r="H391" s="2462"/>
      <c r="I391" s="2579"/>
      <c r="J391" s="2579"/>
      <c r="K391" s="2579"/>
      <c r="L391" s="2579"/>
      <c r="M391" s="2579"/>
      <c r="N391" s="2579"/>
      <c r="O391" s="2579"/>
    </row>
    <row r="392" spans="1:15" s="2463" customFormat="1">
      <c r="A392" s="2462"/>
      <c r="B392" s="2462"/>
      <c r="C392" s="2462"/>
      <c r="D392" s="2462"/>
      <c r="E392" s="2462"/>
      <c r="F392" s="2462"/>
      <c r="G392" s="2462"/>
      <c r="H392" s="2462"/>
      <c r="I392" s="2579"/>
      <c r="J392" s="2579"/>
      <c r="K392" s="2579"/>
      <c r="L392" s="2579"/>
      <c r="M392" s="2579"/>
      <c r="N392" s="2579"/>
      <c r="O392" s="2579"/>
    </row>
    <row r="393" spans="1:15" s="2463" customFormat="1">
      <c r="A393" s="2462"/>
      <c r="B393" s="2462"/>
      <c r="C393" s="2462"/>
      <c r="D393" s="2462"/>
      <c r="E393" s="2462"/>
      <c r="F393" s="2462"/>
      <c r="G393" s="2462"/>
      <c r="H393" s="2462"/>
      <c r="I393" s="2579"/>
      <c r="J393" s="2579"/>
      <c r="K393" s="2579"/>
      <c r="L393" s="2579"/>
      <c r="M393" s="2579"/>
      <c r="N393" s="2579"/>
      <c r="O393" s="2579"/>
    </row>
    <row r="394" spans="1:15" s="2463" customFormat="1">
      <c r="A394" s="2462"/>
      <c r="B394" s="2462"/>
      <c r="C394" s="2462"/>
      <c r="D394" s="2462"/>
      <c r="E394" s="2462"/>
      <c r="F394" s="2462"/>
      <c r="G394" s="2462"/>
      <c r="H394" s="2462"/>
      <c r="I394" s="2579"/>
      <c r="J394" s="2579"/>
      <c r="K394" s="2579"/>
      <c r="L394" s="2579"/>
      <c r="M394" s="2579"/>
      <c r="N394" s="2579"/>
      <c r="O394" s="2579"/>
    </row>
    <row r="395" spans="1:15" s="2463" customFormat="1">
      <c r="A395" s="2462"/>
      <c r="B395" s="2462"/>
      <c r="C395" s="2462"/>
      <c r="D395" s="2462"/>
      <c r="E395" s="2462"/>
      <c r="F395" s="2462"/>
      <c r="G395" s="2462"/>
      <c r="H395" s="2462"/>
      <c r="I395" s="2579"/>
      <c r="J395" s="2579"/>
      <c r="K395" s="2579"/>
      <c r="L395" s="2579"/>
      <c r="M395" s="2579"/>
      <c r="N395" s="2579"/>
      <c r="O395" s="2579"/>
    </row>
    <row r="396" spans="1:15" s="2463" customFormat="1">
      <c r="A396" s="2462"/>
      <c r="B396" s="2462"/>
      <c r="C396" s="2462"/>
      <c r="D396" s="2462"/>
      <c r="E396" s="2462"/>
      <c r="F396" s="2462"/>
      <c r="G396" s="2462"/>
      <c r="H396" s="2462"/>
      <c r="I396" s="2579"/>
      <c r="J396" s="2579"/>
      <c r="K396" s="2579"/>
      <c r="L396" s="2579"/>
      <c r="M396" s="2579"/>
      <c r="N396" s="2579"/>
      <c r="O396" s="2579"/>
    </row>
    <row r="397" spans="1:15" s="2463" customFormat="1">
      <c r="A397" s="2462"/>
      <c r="B397" s="2462"/>
      <c r="C397" s="2462"/>
      <c r="D397" s="2462"/>
      <c r="E397" s="2462"/>
      <c r="F397" s="2462"/>
      <c r="G397" s="2462"/>
      <c r="H397" s="2462"/>
      <c r="I397" s="2579"/>
      <c r="J397" s="2579"/>
      <c r="K397" s="2579"/>
      <c r="L397" s="2579"/>
      <c r="M397" s="2579"/>
      <c r="N397" s="2579"/>
      <c r="O397" s="2579"/>
    </row>
    <row r="398" spans="1:15" s="2463" customFormat="1">
      <c r="A398" s="2462"/>
      <c r="B398" s="2462"/>
      <c r="C398" s="2462"/>
      <c r="D398" s="2462"/>
      <c r="E398" s="2462"/>
      <c r="F398" s="2462"/>
      <c r="G398" s="2462"/>
      <c r="H398" s="2462"/>
      <c r="I398" s="2579"/>
      <c r="J398" s="2579"/>
      <c r="K398" s="2579"/>
      <c r="L398" s="2579"/>
      <c r="M398" s="2579"/>
      <c r="N398" s="2579"/>
      <c r="O398" s="2579"/>
    </row>
    <row r="399" spans="1:15" s="2463" customFormat="1">
      <c r="A399" s="2462"/>
      <c r="B399" s="2462"/>
      <c r="C399" s="2462"/>
      <c r="D399" s="2462"/>
      <c r="E399" s="2462"/>
      <c r="F399" s="2462"/>
      <c r="G399" s="2462"/>
      <c r="H399" s="2462"/>
      <c r="I399" s="2579"/>
      <c r="J399" s="2579"/>
      <c r="K399" s="2579"/>
      <c r="L399" s="2579"/>
      <c r="M399" s="2579"/>
      <c r="N399" s="2579"/>
      <c r="O399" s="2579"/>
    </row>
    <row r="400" spans="1:15" s="2463" customFormat="1">
      <c r="A400" s="2462"/>
      <c r="B400" s="2462"/>
      <c r="C400" s="2462"/>
      <c r="D400" s="2462"/>
      <c r="E400" s="2462"/>
      <c r="F400" s="2462"/>
      <c r="G400" s="2462"/>
      <c r="H400" s="2462"/>
      <c r="I400" s="2579"/>
      <c r="J400" s="2579"/>
      <c r="K400" s="2579"/>
      <c r="L400" s="2579"/>
      <c r="M400" s="2579"/>
      <c r="N400" s="2579"/>
      <c r="O400" s="2579"/>
    </row>
    <row r="401" spans="1:15" s="2463" customFormat="1">
      <c r="A401" s="2462"/>
      <c r="B401" s="2462"/>
      <c r="C401" s="2462"/>
      <c r="D401" s="2462"/>
      <c r="E401" s="2462"/>
      <c r="F401" s="2462"/>
      <c r="G401" s="2462"/>
      <c r="H401" s="2462"/>
      <c r="I401" s="2579"/>
      <c r="J401" s="2579"/>
      <c r="K401" s="2579"/>
      <c r="L401" s="2579"/>
      <c r="M401" s="2579"/>
      <c r="N401" s="2579"/>
      <c r="O401" s="2579"/>
    </row>
    <row r="402" spans="1:15" s="2463" customFormat="1">
      <c r="A402" s="2462"/>
      <c r="B402" s="2462"/>
      <c r="C402" s="2462"/>
      <c r="D402" s="2462"/>
      <c r="E402" s="2462"/>
      <c r="F402" s="2462"/>
      <c r="G402" s="2462"/>
      <c r="H402" s="2462"/>
      <c r="I402" s="2579"/>
      <c r="J402" s="2579"/>
      <c r="K402" s="2579"/>
      <c r="L402" s="2579"/>
      <c r="M402" s="2579"/>
      <c r="N402" s="2579"/>
      <c r="O402" s="2579"/>
    </row>
    <row r="403" spans="1:15" s="2463" customFormat="1">
      <c r="A403" s="2462"/>
      <c r="B403" s="2462"/>
      <c r="C403" s="2462"/>
      <c r="D403" s="2462"/>
      <c r="E403" s="2462"/>
      <c r="F403" s="2462"/>
      <c r="G403" s="2462"/>
      <c r="H403" s="2462"/>
      <c r="I403" s="2579"/>
      <c r="J403" s="2579"/>
      <c r="K403" s="2579"/>
      <c r="L403" s="2579"/>
      <c r="M403" s="2579"/>
      <c r="N403" s="2579"/>
      <c r="O403" s="2579"/>
    </row>
    <row r="404" spans="1:15" s="2463" customFormat="1">
      <c r="A404" s="2462"/>
      <c r="B404" s="2462"/>
      <c r="C404" s="2462"/>
      <c r="D404" s="2462"/>
      <c r="E404" s="2462"/>
      <c r="F404" s="2462"/>
      <c r="G404" s="2462"/>
      <c r="H404" s="2462"/>
      <c r="I404" s="2579"/>
      <c r="J404" s="2579"/>
      <c r="K404" s="2579"/>
      <c r="L404" s="2579"/>
      <c r="M404" s="2579"/>
      <c r="N404" s="2579"/>
      <c r="O404" s="2579"/>
    </row>
    <row r="405" spans="1:15" s="2463" customFormat="1">
      <c r="A405" s="2462"/>
      <c r="B405" s="2462"/>
      <c r="C405" s="2462"/>
      <c r="D405" s="2462"/>
      <c r="E405" s="2462"/>
      <c r="F405" s="2462"/>
      <c r="G405" s="2462"/>
      <c r="H405" s="2462"/>
      <c r="I405" s="2579"/>
      <c r="J405" s="2579"/>
      <c r="K405" s="2579"/>
      <c r="L405" s="2579"/>
      <c r="M405" s="2579"/>
      <c r="N405" s="2579"/>
      <c r="O405" s="2579"/>
    </row>
    <row r="406" spans="1:15" s="2463" customFormat="1">
      <c r="A406" s="2462"/>
      <c r="B406" s="2462"/>
      <c r="C406" s="2462"/>
      <c r="D406" s="2462"/>
      <c r="E406" s="2462"/>
      <c r="F406" s="2462"/>
      <c r="G406" s="2462"/>
      <c r="H406" s="2462"/>
      <c r="I406" s="2579"/>
      <c r="J406" s="2579"/>
      <c r="K406" s="2579"/>
      <c r="L406" s="2579"/>
      <c r="M406" s="2579"/>
      <c r="N406" s="2579"/>
      <c r="O406" s="2579"/>
    </row>
    <row r="407" spans="1:15" s="2463" customFormat="1">
      <c r="A407" s="2462"/>
      <c r="B407" s="2462"/>
      <c r="C407" s="2462"/>
      <c r="D407" s="2462"/>
      <c r="E407" s="2462"/>
      <c r="F407" s="2462"/>
      <c r="G407" s="2462"/>
      <c r="H407" s="2462"/>
      <c r="I407" s="2579"/>
      <c r="J407" s="2579"/>
      <c r="K407" s="2579"/>
      <c r="L407" s="2579"/>
      <c r="M407" s="2579"/>
      <c r="N407" s="2579"/>
      <c r="O407" s="2579"/>
    </row>
    <row r="408" spans="1:15" s="2463" customFormat="1">
      <c r="A408" s="2462"/>
      <c r="B408" s="2462"/>
      <c r="C408" s="2462"/>
      <c r="D408" s="2462"/>
      <c r="E408" s="2462"/>
      <c r="F408" s="2462"/>
      <c r="G408" s="2462"/>
      <c r="H408" s="2462"/>
      <c r="I408" s="2579"/>
      <c r="J408" s="2579"/>
      <c r="K408" s="2579"/>
      <c r="L408" s="2579"/>
      <c r="M408" s="2579"/>
      <c r="N408" s="2579"/>
      <c r="O408" s="2579"/>
    </row>
    <row r="409" spans="1:15" s="2463" customFormat="1">
      <c r="A409" s="2462"/>
      <c r="B409" s="2462"/>
      <c r="C409" s="2462"/>
      <c r="D409" s="2462"/>
      <c r="E409" s="2462"/>
      <c r="F409" s="2462"/>
      <c r="G409" s="2462"/>
      <c r="H409" s="2462"/>
      <c r="I409" s="2579"/>
      <c r="J409" s="2579"/>
      <c r="K409" s="2579"/>
      <c r="L409" s="2579"/>
      <c r="M409" s="2579"/>
      <c r="N409" s="2579"/>
      <c r="O409" s="2579"/>
    </row>
    <row r="410" spans="1:15" s="2463" customFormat="1">
      <c r="A410" s="2462"/>
      <c r="B410" s="2462"/>
      <c r="C410" s="2462"/>
      <c r="D410" s="2462"/>
      <c r="E410" s="2462"/>
      <c r="F410" s="2462"/>
      <c r="G410" s="2462"/>
      <c r="H410" s="2462"/>
      <c r="I410" s="2579"/>
      <c r="J410" s="2579"/>
      <c r="K410" s="2579"/>
      <c r="L410" s="2579"/>
      <c r="M410" s="2579"/>
      <c r="N410" s="2579"/>
      <c r="O410" s="2579"/>
    </row>
    <row r="411" spans="1:15" s="2463" customFormat="1">
      <c r="A411" s="2462"/>
      <c r="B411" s="2462"/>
      <c r="C411" s="2462"/>
      <c r="D411" s="2462"/>
      <c r="E411" s="2462"/>
      <c r="F411" s="2462"/>
      <c r="G411" s="2462"/>
      <c r="H411" s="2462"/>
      <c r="I411" s="2579"/>
      <c r="J411" s="2579"/>
      <c r="K411" s="2579"/>
      <c r="L411" s="2579"/>
      <c r="M411" s="2579"/>
      <c r="N411" s="2579"/>
      <c r="O411" s="2579"/>
    </row>
    <row r="412" spans="1:15" s="2463" customFormat="1">
      <c r="A412" s="2462"/>
      <c r="B412" s="2462"/>
      <c r="C412" s="2462"/>
      <c r="D412" s="2462"/>
      <c r="E412" s="2462"/>
      <c r="F412" s="2462"/>
      <c r="G412" s="2462"/>
      <c r="H412" s="2462"/>
      <c r="I412" s="2579"/>
      <c r="J412" s="2579"/>
      <c r="K412" s="2579"/>
      <c r="L412" s="2579"/>
      <c r="M412" s="2579"/>
      <c r="N412" s="2579"/>
      <c r="O412" s="2579"/>
    </row>
    <row r="413" spans="1:15" s="2463" customFormat="1">
      <c r="A413" s="2462"/>
      <c r="B413" s="2462"/>
      <c r="C413" s="2462"/>
      <c r="D413" s="2462"/>
      <c r="E413" s="2462"/>
      <c r="F413" s="2462"/>
      <c r="G413" s="2462"/>
      <c r="H413" s="2462"/>
      <c r="I413" s="2579"/>
      <c r="J413" s="2579"/>
      <c r="K413" s="2579"/>
      <c r="L413" s="2579"/>
      <c r="M413" s="2579"/>
      <c r="N413" s="2579"/>
      <c r="O413" s="2579"/>
    </row>
    <row r="419" spans="1:15" s="2463" customFormat="1">
      <c r="A419" s="2462"/>
      <c r="B419" s="2462"/>
      <c r="C419" s="2462"/>
      <c r="D419" s="2462"/>
      <c r="E419" s="2462"/>
      <c r="F419" s="2462"/>
      <c r="G419" s="2462"/>
      <c r="H419" s="2462"/>
      <c r="I419" s="2579"/>
      <c r="J419" s="2579"/>
      <c r="K419" s="2579"/>
      <c r="L419" s="2579"/>
      <c r="M419" s="2579"/>
      <c r="N419" s="2579"/>
      <c r="O419" s="2579"/>
    </row>
    <row r="420" spans="1:15" s="2463" customFormat="1">
      <c r="A420" s="2462"/>
      <c r="B420" s="2462"/>
      <c r="C420" s="2462"/>
      <c r="D420" s="2462"/>
      <c r="E420" s="2462"/>
      <c r="F420" s="2462"/>
      <c r="G420" s="2462"/>
      <c r="H420" s="2462"/>
      <c r="I420" s="2579"/>
      <c r="J420" s="2579"/>
      <c r="K420" s="2579"/>
      <c r="L420" s="2579"/>
      <c r="M420" s="2579"/>
      <c r="N420" s="2579"/>
      <c r="O420" s="2579"/>
    </row>
    <row r="421" spans="1:15" s="2463" customFormat="1">
      <c r="A421" s="2462"/>
      <c r="B421" s="2462"/>
      <c r="C421" s="2462"/>
      <c r="D421" s="2462"/>
      <c r="E421" s="2462"/>
      <c r="F421" s="2462"/>
      <c r="G421" s="2462"/>
      <c r="H421" s="2462"/>
      <c r="I421" s="2579"/>
      <c r="J421" s="2579"/>
      <c r="K421" s="2579"/>
      <c r="L421" s="2579"/>
      <c r="M421" s="2579"/>
      <c r="N421" s="2579"/>
      <c r="O421" s="2579"/>
    </row>
    <row r="422" spans="1:15" s="2463" customFormat="1">
      <c r="A422" s="2462"/>
      <c r="B422" s="2462"/>
      <c r="C422" s="2462"/>
      <c r="D422" s="2462"/>
      <c r="E422" s="2462"/>
      <c r="F422" s="2462"/>
      <c r="G422" s="2462"/>
      <c r="H422" s="2462"/>
      <c r="I422" s="2579"/>
      <c r="J422" s="2579"/>
      <c r="K422" s="2579"/>
      <c r="L422" s="2579"/>
      <c r="M422" s="2579"/>
      <c r="N422" s="2579"/>
      <c r="O422" s="2579"/>
    </row>
    <row r="423" spans="1:15" s="2463" customFormat="1">
      <c r="A423" s="2462"/>
      <c r="B423" s="2462"/>
      <c r="C423" s="2462"/>
      <c r="D423" s="2462"/>
      <c r="E423" s="2462"/>
      <c r="F423" s="2462"/>
      <c r="G423" s="2462"/>
      <c r="H423" s="2462"/>
      <c r="I423" s="2579"/>
      <c r="J423" s="2579"/>
      <c r="K423" s="2579"/>
      <c r="L423" s="2579"/>
      <c r="M423" s="2579"/>
      <c r="N423" s="2579"/>
      <c r="O423" s="2579"/>
    </row>
    <row r="424" spans="1:15" s="2463" customFormat="1">
      <c r="A424" s="2462"/>
      <c r="B424" s="2462"/>
      <c r="C424" s="2462"/>
      <c r="D424" s="2462"/>
      <c r="E424" s="2462"/>
      <c r="F424" s="2462"/>
      <c r="G424" s="2462"/>
      <c r="H424" s="2462"/>
      <c r="I424" s="2579"/>
      <c r="J424" s="2579"/>
      <c r="K424" s="2579"/>
      <c r="L424" s="2579"/>
      <c r="M424" s="2579"/>
      <c r="N424" s="2579"/>
      <c r="O424" s="2579"/>
    </row>
    <row r="425" spans="1:15" s="2463" customFormat="1">
      <c r="A425" s="2462"/>
      <c r="B425" s="2462"/>
      <c r="C425" s="2462"/>
      <c r="D425" s="2462"/>
      <c r="E425" s="2462"/>
      <c r="F425" s="2462"/>
      <c r="G425" s="2462"/>
      <c r="H425" s="2462"/>
      <c r="I425" s="2579"/>
      <c r="J425" s="2579"/>
      <c r="K425" s="2579"/>
      <c r="L425" s="2579"/>
      <c r="M425" s="2579"/>
      <c r="N425" s="2579"/>
      <c r="O425" s="2579"/>
    </row>
    <row r="426" spans="1:15" s="2463" customFormat="1">
      <c r="A426" s="2462"/>
      <c r="B426" s="2462"/>
      <c r="C426" s="2462"/>
      <c r="D426" s="2462"/>
      <c r="E426" s="2462"/>
      <c r="F426" s="2462"/>
      <c r="G426" s="2462"/>
      <c r="H426" s="2462"/>
      <c r="I426" s="2579"/>
      <c r="J426" s="2579"/>
      <c r="K426" s="2579"/>
      <c r="L426" s="2579"/>
      <c r="M426" s="2579"/>
      <c r="N426" s="2579"/>
      <c r="O426" s="2579"/>
    </row>
    <row r="427" spans="1:15" s="2463" customFormat="1">
      <c r="A427" s="2462"/>
      <c r="B427" s="2462"/>
      <c r="C427" s="2462"/>
      <c r="D427" s="2462"/>
      <c r="E427" s="2462"/>
      <c r="F427" s="2462"/>
      <c r="G427" s="2462"/>
      <c r="H427" s="2462"/>
      <c r="I427" s="2579"/>
      <c r="J427" s="2579"/>
      <c r="K427" s="2579"/>
      <c r="L427" s="2579"/>
      <c r="M427" s="2579"/>
      <c r="N427" s="2579"/>
      <c r="O427" s="2579"/>
    </row>
    <row r="428" spans="1:15" s="2463" customFormat="1">
      <c r="A428" s="2462"/>
      <c r="B428" s="2462"/>
      <c r="C428" s="2462"/>
      <c r="D428" s="2462"/>
      <c r="E428" s="2462"/>
      <c r="F428" s="2462"/>
      <c r="G428" s="2462"/>
      <c r="H428" s="2462"/>
      <c r="I428" s="2579"/>
      <c r="J428" s="2579"/>
      <c r="K428" s="2579"/>
      <c r="L428" s="2579"/>
      <c r="M428" s="2579"/>
      <c r="N428" s="2579"/>
      <c r="O428" s="2579"/>
    </row>
    <row r="429" spans="1:15" s="2463" customFormat="1">
      <c r="A429" s="2462"/>
      <c r="B429" s="2462"/>
      <c r="C429" s="2462"/>
      <c r="D429" s="2462"/>
      <c r="E429" s="2462"/>
      <c r="F429" s="2462"/>
      <c r="G429" s="2462"/>
      <c r="H429" s="2462"/>
      <c r="I429" s="2579"/>
      <c r="J429" s="2579"/>
      <c r="K429" s="2579"/>
      <c r="L429" s="2579"/>
      <c r="M429" s="2579"/>
      <c r="N429" s="2579"/>
      <c r="O429" s="2579"/>
    </row>
    <row r="430" spans="1:15" s="2463" customFormat="1">
      <c r="A430" s="2462"/>
      <c r="B430" s="2462"/>
      <c r="C430" s="2462"/>
      <c r="D430" s="2462"/>
      <c r="E430" s="2462"/>
      <c r="F430" s="2462"/>
      <c r="G430" s="2462"/>
      <c r="H430" s="2462"/>
      <c r="I430" s="2579"/>
      <c r="J430" s="2579"/>
      <c r="K430" s="2579"/>
      <c r="L430" s="2579"/>
      <c r="M430" s="2579"/>
      <c r="N430" s="2579"/>
      <c r="O430" s="2579"/>
    </row>
    <row r="431" spans="1:15" s="2463" customFormat="1">
      <c r="A431" s="2462"/>
      <c r="B431" s="2462"/>
      <c r="C431" s="2462"/>
      <c r="D431" s="2462"/>
      <c r="E431" s="2462"/>
      <c r="F431" s="2462"/>
      <c r="G431" s="2462"/>
      <c r="H431" s="2462"/>
      <c r="I431" s="2579"/>
      <c r="J431" s="2579"/>
      <c r="K431" s="2579"/>
      <c r="L431" s="2579"/>
      <c r="M431" s="2579"/>
      <c r="N431" s="2579"/>
      <c r="O431" s="2579"/>
    </row>
    <row r="432" spans="1:15" s="2463" customFormat="1">
      <c r="A432" s="2462"/>
      <c r="B432" s="2462"/>
      <c r="C432" s="2462"/>
      <c r="D432" s="2462"/>
      <c r="E432" s="2462"/>
      <c r="F432" s="2462"/>
      <c r="G432" s="2462"/>
      <c r="H432" s="2462"/>
      <c r="I432" s="2579"/>
      <c r="J432" s="2579"/>
      <c r="K432" s="2579"/>
      <c r="L432" s="2579"/>
      <c r="M432" s="2579"/>
      <c r="N432" s="2579"/>
      <c r="O432" s="2579"/>
    </row>
    <row r="433" spans="1:15" s="2463" customFormat="1">
      <c r="A433" s="2462"/>
      <c r="B433" s="2462"/>
      <c r="C433" s="2462"/>
      <c r="D433" s="2462"/>
      <c r="E433" s="2462"/>
      <c r="F433" s="2462"/>
      <c r="G433" s="2462"/>
      <c r="H433" s="2462"/>
      <c r="I433" s="2579"/>
      <c r="J433" s="2579"/>
      <c r="K433" s="2579"/>
      <c r="L433" s="2579"/>
      <c r="M433" s="2579"/>
      <c r="N433" s="2579"/>
      <c r="O433" s="2579"/>
    </row>
    <row r="434" spans="1:15" s="2463" customFormat="1">
      <c r="A434" s="2462"/>
      <c r="B434" s="2462"/>
      <c r="C434" s="2462"/>
      <c r="D434" s="2462"/>
      <c r="E434" s="2462"/>
      <c r="F434" s="2462"/>
      <c r="G434" s="2462"/>
      <c r="H434" s="2462"/>
      <c r="I434" s="2579"/>
      <c r="J434" s="2579"/>
      <c r="K434" s="2579"/>
      <c r="L434" s="2579"/>
      <c r="M434" s="2579"/>
      <c r="N434" s="2579"/>
      <c r="O434" s="2579"/>
    </row>
    <row r="435" spans="1:15" s="2463" customFormat="1">
      <c r="A435" s="2462"/>
      <c r="B435" s="2462"/>
      <c r="C435" s="2462"/>
      <c r="D435" s="2462"/>
      <c r="E435" s="2462"/>
      <c r="F435" s="2462"/>
      <c r="G435" s="2462"/>
      <c r="H435" s="2462"/>
      <c r="I435" s="2579"/>
      <c r="J435" s="2579"/>
      <c r="K435" s="2579"/>
      <c r="L435" s="2579"/>
      <c r="M435" s="2579"/>
      <c r="N435" s="2579"/>
      <c r="O435" s="2579"/>
    </row>
    <row r="436" spans="1:15" s="2463" customFormat="1">
      <c r="A436" s="2462"/>
      <c r="B436" s="2462"/>
      <c r="C436" s="2462"/>
      <c r="D436" s="2462"/>
      <c r="E436" s="2462"/>
      <c r="F436" s="2462"/>
      <c r="G436" s="2462"/>
      <c r="H436" s="2462"/>
      <c r="I436" s="2579"/>
      <c r="J436" s="2579"/>
      <c r="K436" s="2579"/>
      <c r="L436" s="2579"/>
      <c r="M436" s="2579"/>
      <c r="N436" s="2579"/>
      <c r="O436" s="2579"/>
    </row>
    <row r="437" spans="1:15" s="2463" customFormat="1">
      <c r="A437" s="2462"/>
      <c r="B437" s="2462"/>
      <c r="C437" s="2462"/>
      <c r="D437" s="2462"/>
      <c r="E437" s="2462"/>
      <c r="F437" s="2462"/>
      <c r="G437" s="2462"/>
      <c r="H437" s="2462"/>
      <c r="I437" s="2579"/>
      <c r="J437" s="2579"/>
      <c r="K437" s="2579"/>
      <c r="L437" s="2579"/>
      <c r="M437" s="2579"/>
      <c r="N437" s="2579"/>
      <c r="O437" s="2579"/>
    </row>
    <row r="438" spans="1:15" s="2463" customFormat="1">
      <c r="A438" s="2462"/>
      <c r="B438" s="2462"/>
      <c r="C438" s="2462"/>
      <c r="D438" s="2462"/>
      <c r="E438" s="2462"/>
      <c r="F438" s="2462"/>
      <c r="G438" s="2462"/>
      <c r="H438" s="2462"/>
      <c r="I438" s="2579"/>
      <c r="J438" s="2579"/>
      <c r="K438" s="2579"/>
      <c r="L438" s="2579"/>
      <c r="M438" s="2579"/>
      <c r="N438" s="2579"/>
      <c r="O438" s="2579"/>
    </row>
    <row r="439" spans="1:15" s="2463" customFormat="1">
      <c r="A439" s="2462"/>
      <c r="B439" s="2462"/>
      <c r="C439" s="2462"/>
      <c r="D439" s="2462"/>
      <c r="E439" s="2462"/>
      <c r="F439" s="2462"/>
      <c r="G439" s="2462"/>
      <c r="H439" s="2462"/>
      <c r="I439" s="2579"/>
      <c r="J439" s="2579"/>
      <c r="K439" s="2579"/>
      <c r="L439" s="2579"/>
      <c r="M439" s="2579"/>
      <c r="N439" s="2579"/>
      <c r="O439" s="2579"/>
    </row>
    <row r="440" spans="1:15" s="2463" customFormat="1">
      <c r="A440" s="2462"/>
      <c r="B440" s="2462"/>
      <c r="C440" s="2462"/>
      <c r="D440" s="2462"/>
      <c r="E440" s="2462"/>
      <c r="F440" s="2462"/>
      <c r="G440" s="2462"/>
      <c r="H440" s="2462"/>
      <c r="I440" s="2579"/>
      <c r="J440" s="2579"/>
      <c r="K440" s="2579"/>
      <c r="L440" s="2579"/>
      <c r="M440" s="2579"/>
      <c r="N440" s="2579"/>
      <c r="O440" s="2579"/>
    </row>
    <row r="441" spans="1:15" s="2463" customFormat="1">
      <c r="A441" s="2462"/>
      <c r="B441" s="2462"/>
      <c r="C441" s="2462"/>
      <c r="D441" s="2462"/>
      <c r="E441" s="2462"/>
      <c r="F441" s="2462"/>
      <c r="G441" s="2462"/>
      <c r="H441" s="2462"/>
      <c r="I441" s="2579"/>
      <c r="J441" s="2579"/>
      <c r="K441" s="2579"/>
      <c r="L441" s="2579"/>
      <c r="M441" s="2579"/>
      <c r="N441" s="2579"/>
      <c r="O441" s="2579"/>
    </row>
    <row r="442" spans="1:15" s="2463" customFormat="1">
      <c r="A442" s="2462"/>
      <c r="B442" s="2462"/>
      <c r="C442" s="2462"/>
      <c r="D442" s="2462"/>
      <c r="E442" s="2462"/>
      <c r="F442" s="2462"/>
      <c r="G442" s="2462"/>
      <c r="H442" s="2462"/>
      <c r="I442" s="2579"/>
      <c r="J442" s="2579"/>
      <c r="K442" s="2579"/>
      <c r="L442" s="2579"/>
      <c r="M442" s="2579"/>
      <c r="N442" s="2579"/>
      <c r="O442" s="2579"/>
    </row>
    <row r="443" spans="1:15" s="2463" customFormat="1">
      <c r="A443" s="2462"/>
      <c r="B443" s="2462"/>
      <c r="C443" s="2462"/>
      <c r="D443" s="2462"/>
      <c r="E443" s="2462"/>
      <c r="F443" s="2462"/>
      <c r="G443" s="2462"/>
      <c r="H443" s="2462"/>
      <c r="I443" s="2579"/>
      <c r="J443" s="2579"/>
      <c r="K443" s="2579"/>
      <c r="L443" s="2579"/>
      <c r="M443" s="2579"/>
      <c r="N443" s="2579"/>
      <c r="O443" s="2579"/>
    </row>
    <row r="444" spans="1:15" s="2463" customFormat="1">
      <c r="A444" s="2462"/>
      <c r="B444" s="2462"/>
      <c r="C444" s="2462"/>
      <c r="D444" s="2462"/>
      <c r="E444" s="2462"/>
      <c r="F444" s="2462"/>
      <c r="G444" s="2462"/>
      <c r="H444" s="2462"/>
      <c r="I444" s="2579"/>
      <c r="J444" s="2579"/>
      <c r="K444" s="2579"/>
      <c r="L444" s="2579"/>
      <c r="M444" s="2579"/>
      <c r="N444" s="2579"/>
      <c r="O444" s="2579"/>
    </row>
    <row r="445" spans="1:15" s="2463" customFormat="1">
      <c r="A445" s="2462"/>
      <c r="B445" s="2462"/>
      <c r="C445" s="2462"/>
      <c r="D445" s="2462"/>
      <c r="E445" s="2462"/>
      <c r="F445" s="2462"/>
      <c r="G445" s="2462"/>
      <c r="H445" s="2462"/>
      <c r="I445" s="2579"/>
      <c r="J445" s="2579"/>
      <c r="K445" s="2579"/>
      <c r="L445" s="2579"/>
      <c r="M445" s="2579"/>
      <c r="N445" s="2579"/>
      <c r="O445" s="2579"/>
    </row>
    <row r="446" spans="1:15" s="2463" customFormat="1">
      <c r="A446" s="2462"/>
      <c r="B446" s="2462"/>
      <c r="C446" s="2462"/>
      <c r="D446" s="2462"/>
      <c r="E446" s="2462"/>
      <c r="F446" s="2462"/>
      <c r="G446" s="2462"/>
      <c r="H446" s="2462"/>
      <c r="I446" s="2579"/>
      <c r="J446" s="2579"/>
      <c r="K446" s="2579"/>
      <c r="L446" s="2579"/>
      <c r="M446" s="2579"/>
      <c r="N446" s="2579"/>
      <c r="O446" s="2579"/>
    </row>
    <row r="447" spans="1:15" s="2463" customFormat="1">
      <c r="A447" s="2462"/>
      <c r="B447" s="2462"/>
      <c r="C447" s="2462"/>
      <c r="D447" s="2462"/>
      <c r="E447" s="2462"/>
      <c r="F447" s="2462"/>
      <c r="G447" s="2462"/>
      <c r="H447" s="2462"/>
      <c r="I447" s="2579"/>
      <c r="J447" s="2579"/>
      <c r="K447" s="2579"/>
      <c r="L447" s="2579"/>
      <c r="M447" s="2579"/>
      <c r="N447" s="2579"/>
      <c r="O447" s="2579"/>
    </row>
    <row r="448" spans="1:15" s="2463" customFormat="1">
      <c r="A448" s="2462"/>
      <c r="B448" s="2462"/>
      <c r="C448" s="2462"/>
      <c r="D448" s="2462"/>
      <c r="E448" s="2462"/>
      <c r="F448" s="2462"/>
      <c r="G448" s="2462"/>
      <c r="H448" s="2462"/>
      <c r="I448" s="2579"/>
      <c r="J448" s="2579"/>
      <c r="K448" s="2579"/>
      <c r="L448" s="2579"/>
      <c r="M448" s="2579"/>
      <c r="N448" s="2579"/>
      <c r="O448" s="2579"/>
    </row>
    <row r="449" spans="1:15" s="2463" customFormat="1">
      <c r="A449" s="2462"/>
      <c r="B449" s="2462"/>
      <c r="C449" s="2462"/>
      <c r="D449" s="2462"/>
      <c r="E449" s="2462"/>
      <c r="F449" s="2462"/>
      <c r="G449" s="2462"/>
      <c r="H449" s="2462"/>
      <c r="I449" s="2579"/>
      <c r="J449" s="2579"/>
      <c r="K449" s="2579"/>
      <c r="L449" s="2579"/>
      <c r="M449" s="2579"/>
      <c r="N449" s="2579"/>
      <c r="O449" s="2579"/>
    </row>
    <row r="450" spans="1:15" s="2463" customFormat="1">
      <c r="A450" s="2462"/>
      <c r="B450" s="2462"/>
      <c r="C450" s="2462"/>
      <c r="D450" s="2462"/>
      <c r="E450" s="2462"/>
      <c r="F450" s="2462"/>
      <c r="G450" s="2462"/>
      <c r="H450" s="2462"/>
      <c r="I450" s="2579"/>
      <c r="J450" s="2579"/>
      <c r="K450" s="2579"/>
      <c r="L450" s="2579"/>
      <c r="M450" s="2579"/>
      <c r="N450" s="2579"/>
      <c r="O450" s="2579"/>
    </row>
    <row r="451" spans="1:15" s="2463" customFormat="1">
      <c r="A451" s="2462"/>
      <c r="B451" s="2462"/>
      <c r="C451" s="2462"/>
      <c r="D451" s="2462"/>
      <c r="E451" s="2462"/>
      <c r="F451" s="2462"/>
      <c r="G451" s="2462"/>
      <c r="H451" s="2462"/>
      <c r="I451" s="2579"/>
      <c r="J451" s="2579"/>
      <c r="K451" s="2579"/>
      <c r="L451" s="2579"/>
      <c r="M451" s="2579"/>
      <c r="N451" s="2579"/>
      <c r="O451" s="2579"/>
    </row>
    <row r="452" spans="1:15" s="2463" customFormat="1">
      <c r="A452" s="2462"/>
      <c r="B452" s="2462"/>
      <c r="C452" s="2462"/>
      <c r="D452" s="2462"/>
      <c r="E452" s="2462"/>
      <c r="F452" s="2462"/>
      <c r="G452" s="2462"/>
      <c r="H452" s="2462"/>
      <c r="I452" s="2579"/>
      <c r="J452" s="2579"/>
      <c r="K452" s="2579"/>
      <c r="L452" s="2579"/>
      <c r="M452" s="2579"/>
      <c r="N452" s="2579"/>
      <c r="O452" s="2579"/>
    </row>
    <row r="453" spans="1:15" s="2463" customFormat="1">
      <c r="A453" s="2462"/>
      <c r="B453" s="2462"/>
      <c r="C453" s="2462"/>
      <c r="D453" s="2462"/>
      <c r="E453" s="2462"/>
      <c r="F453" s="2462"/>
      <c r="G453" s="2462"/>
      <c r="H453" s="2462"/>
      <c r="I453" s="2579"/>
      <c r="J453" s="2579"/>
      <c r="K453" s="2579"/>
      <c r="L453" s="2579"/>
      <c r="M453" s="2579"/>
      <c r="N453" s="2579"/>
      <c r="O453" s="2579"/>
    </row>
    <row r="454" spans="1:15" s="2463" customFormat="1">
      <c r="A454" s="2462"/>
      <c r="B454" s="2462"/>
      <c r="C454" s="2462"/>
      <c r="D454" s="2462"/>
      <c r="E454" s="2462"/>
      <c r="F454" s="2462"/>
      <c r="G454" s="2462"/>
      <c r="H454" s="2462"/>
      <c r="I454" s="2579"/>
      <c r="J454" s="2579"/>
      <c r="K454" s="2579"/>
      <c r="L454" s="2579"/>
      <c r="M454" s="2579"/>
      <c r="N454" s="2579"/>
      <c r="O454" s="2579"/>
    </row>
    <row r="455" spans="1:15" s="2463" customFormat="1">
      <c r="A455" s="2462"/>
      <c r="B455" s="2462"/>
      <c r="C455" s="2462"/>
      <c r="D455" s="2462"/>
      <c r="E455" s="2462"/>
      <c r="F455" s="2462"/>
      <c r="G455" s="2462"/>
      <c r="H455" s="2462"/>
      <c r="I455" s="2579"/>
      <c r="J455" s="2579"/>
      <c r="K455" s="2579"/>
      <c r="L455" s="2579"/>
      <c r="M455" s="2579"/>
      <c r="N455" s="2579"/>
      <c r="O455" s="2579"/>
    </row>
    <row r="456" spans="1:15" s="2463" customFormat="1">
      <c r="A456" s="2462"/>
      <c r="B456" s="2462"/>
      <c r="C456" s="2462"/>
      <c r="D456" s="2462"/>
      <c r="E456" s="2462"/>
      <c r="F456" s="2462"/>
      <c r="G456" s="2462"/>
      <c r="H456" s="2462"/>
      <c r="I456" s="2579"/>
      <c r="J456" s="2579"/>
      <c r="K456" s="2579"/>
      <c r="L456" s="2579"/>
      <c r="M456" s="2579"/>
      <c r="N456" s="2579"/>
      <c r="O456" s="2579"/>
    </row>
    <row r="461" spans="1:15" s="2463" customFormat="1">
      <c r="A461" s="2462"/>
      <c r="B461" s="2462"/>
      <c r="C461" s="2462"/>
      <c r="D461" s="2462"/>
      <c r="E461" s="2462"/>
      <c r="F461" s="2462"/>
      <c r="G461" s="2462"/>
      <c r="H461" s="2462"/>
      <c r="I461" s="2579"/>
      <c r="J461" s="2579"/>
      <c r="K461" s="2579"/>
      <c r="L461" s="2579"/>
      <c r="M461" s="2579"/>
      <c r="N461" s="2579"/>
      <c r="O461" s="2579"/>
    </row>
    <row r="462" spans="1:15" s="2463" customFormat="1">
      <c r="A462" s="2462"/>
      <c r="B462" s="2462"/>
      <c r="C462" s="2462"/>
      <c r="D462" s="2462"/>
      <c r="E462" s="2462"/>
      <c r="F462" s="2462"/>
      <c r="G462" s="2462"/>
      <c r="H462" s="2462"/>
      <c r="I462" s="2579"/>
      <c r="J462" s="2579"/>
      <c r="K462" s="2579"/>
      <c r="L462" s="2579"/>
      <c r="M462" s="2579"/>
      <c r="N462" s="2579"/>
      <c r="O462" s="2579"/>
    </row>
    <row r="463" spans="1:15" s="2463" customFormat="1">
      <c r="A463" s="2462"/>
      <c r="B463" s="2462"/>
      <c r="C463" s="2462"/>
      <c r="D463" s="2462"/>
      <c r="E463" s="2462"/>
      <c r="F463" s="2462"/>
      <c r="G463" s="2462"/>
      <c r="H463" s="2462"/>
      <c r="I463" s="2579"/>
      <c r="J463" s="2579"/>
      <c r="K463" s="2579"/>
      <c r="L463" s="2579"/>
      <c r="M463" s="2579"/>
      <c r="N463" s="2579"/>
      <c r="O463" s="2579"/>
    </row>
    <row r="464" spans="1:15" s="2463" customFormat="1">
      <c r="A464" s="2462"/>
      <c r="B464" s="2462"/>
      <c r="C464" s="2462"/>
      <c r="D464" s="2462"/>
      <c r="E464" s="2462"/>
      <c r="F464" s="2462"/>
      <c r="G464" s="2462"/>
      <c r="H464" s="2462"/>
      <c r="I464" s="2579"/>
      <c r="J464" s="2579"/>
      <c r="K464" s="2579"/>
      <c r="L464" s="2579"/>
      <c r="M464" s="2579"/>
      <c r="N464" s="2579"/>
      <c r="O464" s="2579"/>
    </row>
    <row r="465" spans="1:15" s="2463" customFormat="1">
      <c r="A465" s="2462"/>
      <c r="B465" s="2462"/>
      <c r="C465" s="2462"/>
      <c r="D465" s="2462"/>
      <c r="E465" s="2462"/>
      <c r="F465" s="2462"/>
      <c r="G465" s="2462"/>
      <c r="H465" s="2462"/>
      <c r="I465" s="2579"/>
      <c r="J465" s="2579"/>
      <c r="K465" s="2579"/>
      <c r="L465" s="2579"/>
      <c r="M465" s="2579"/>
      <c r="N465" s="2579"/>
      <c r="O465" s="2579"/>
    </row>
    <row r="466" spans="1:15" s="2463" customFormat="1">
      <c r="A466" s="2462"/>
      <c r="B466" s="2462"/>
      <c r="C466" s="2462"/>
      <c r="D466" s="2462"/>
      <c r="E466" s="2462"/>
      <c r="F466" s="2462"/>
      <c r="G466" s="2462"/>
      <c r="H466" s="2462"/>
      <c r="I466" s="2579"/>
      <c r="J466" s="2579"/>
      <c r="K466" s="2579"/>
      <c r="L466" s="2579"/>
      <c r="M466" s="2579"/>
      <c r="N466" s="2579"/>
      <c r="O466" s="2579"/>
    </row>
    <row r="467" spans="1:15" s="2463" customFormat="1">
      <c r="A467" s="2462"/>
      <c r="B467" s="2462"/>
      <c r="C467" s="2462"/>
      <c r="D467" s="2462"/>
      <c r="E467" s="2462"/>
      <c r="F467" s="2462"/>
      <c r="G467" s="2462"/>
      <c r="H467" s="2462"/>
      <c r="I467" s="2579"/>
      <c r="J467" s="2579"/>
      <c r="K467" s="2579"/>
      <c r="L467" s="2579"/>
      <c r="M467" s="2579"/>
      <c r="N467" s="2579"/>
      <c r="O467" s="2579"/>
    </row>
    <row r="468" spans="1:15" s="2463" customFormat="1">
      <c r="A468" s="2462"/>
      <c r="B468" s="2462"/>
      <c r="C468" s="2462"/>
      <c r="D468" s="2462"/>
      <c r="E468" s="2462"/>
      <c r="F468" s="2462"/>
      <c r="G468" s="2462"/>
      <c r="H468" s="2462"/>
      <c r="I468" s="2579"/>
      <c r="J468" s="2579"/>
      <c r="K468" s="2579"/>
      <c r="L468" s="2579"/>
      <c r="M468" s="2579"/>
      <c r="N468" s="2579"/>
      <c r="O468" s="2579"/>
    </row>
    <row r="469" spans="1:15" s="2463" customFormat="1">
      <c r="A469" s="2462"/>
      <c r="B469" s="2462"/>
      <c r="C469" s="2462"/>
      <c r="D469" s="2462"/>
      <c r="E469" s="2462"/>
      <c r="F469" s="2462"/>
      <c r="G469" s="2462"/>
      <c r="H469" s="2462"/>
      <c r="I469" s="2579"/>
      <c r="J469" s="2579"/>
      <c r="K469" s="2579"/>
      <c r="L469" s="2579"/>
      <c r="M469" s="2579"/>
      <c r="N469" s="2579"/>
      <c r="O469" s="2579"/>
    </row>
    <row r="470" spans="1:15" s="2463" customFormat="1">
      <c r="A470" s="2462"/>
      <c r="B470" s="2462"/>
      <c r="C470" s="2462"/>
      <c r="D470" s="2462"/>
      <c r="E470" s="2462"/>
      <c r="F470" s="2462"/>
      <c r="G470" s="2462"/>
      <c r="H470" s="2462"/>
      <c r="I470" s="2579"/>
      <c r="J470" s="2579"/>
      <c r="K470" s="2579"/>
      <c r="L470" s="2579"/>
      <c r="M470" s="2579"/>
      <c r="N470" s="2579"/>
      <c r="O470" s="2579"/>
    </row>
    <row r="471" spans="1:15" s="2463" customFormat="1">
      <c r="A471" s="2462"/>
      <c r="B471" s="2462"/>
      <c r="C471" s="2462"/>
      <c r="D471" s="2462"/>
      <c r="E471" s="2462"/>
      <c r="F471" s="2462"/>
      <c r="G471" s="2462"/>
      <c r="H471" s="2462"/>
      <c r="I471" s="2579"/>
      <c r="J471" s="2579"/>
      <c r="K471" s="2579"/>
      <c r="L471" s="2579"/>
      <c r="M471" s="2579"/>
      <c r="N471" s="2579"/>
      <c r="O471" s="2579"/>
    </row>
    <row r="472" spans="1:15" s="2463" customFormat="1">
      <c r="A472" s="2462"/>
      <c r="B472" s="2462"/>
      <c r="C472" s="2462"/>
      <c r="D472" s="2462"/>
      <c r="E472" s="2462"/>
      <c r="F472" s="2462"/>
      <c r="G472" s="2462"/>
      <c r="H472" s="2462"/>
      <c r="I472" s="2579"/>
      <c r="J472" s="2579"/>
      <c r="K472" s="2579"/>
      <c r="L472" s="2579"/>
      <c r="M472" s="2579"/>
      <c r="N472" s="2579"/>
      <c r="O472" s="2579"/>
    </row>
    <row r="473" spans="1:15" s="2463" customFormat="1">
      <c r="A473" s="2462"/>
      <c r="B473" s="2462"/>
      <c r="C473" s="2462"/>
      <c r="D473" s="2462"/>
      <c r="E473" s="2462"/>
      <c r="F473" s="2462"/>
      <c r="G473" s="2462"/>
      <c r="H473" s="2462"/>
      <c r="I473" s="2579"/>
      <c r="J473" s="2579"/>
      <c r="K473" s="2579"/>
      <c r="L473" s="2579"/>
      <c r="M473" s="2579"/>
      <c r="N473" s="2579"/>
      <c r="O473" s="2579"/>
    </row>
    <row r="474" spans="1:15" s="2463" customFormat="1">
      <c r="A474" s="2462"/>
      <c r="B474" s="2462"/>
      <c r="C474" s="2462"/>
      <c r="D474" s="2462"/>
      <c r="E474" s="2462"/>
      <c r="F474" s="2462"/>
      <c r="G474" s="2462"/>
      <c r="H474" s="2462"/>
      <c r="I474" s="2579"/>
      <c r="J474" s="2579"/>
      <c r="K474" s="2579"/>
      <c r="L474" s="2579"/>
      <c r="M474" s="2579"/>
      <c r="N474" s="2579"/>
      <c r="O474" s="2579"/>
    </row>
    <row r="475" spans="1:15" s="2463" customFormat="1">
      <c r="A475" s="2462"/>
      <c r="B475" s="2462"/>
      <c r="C475" s="2462"/>
      <c r="D475" s="2462"/>
      <c r="E475" s="2462"/>
      <c r="F475" s="2462"/>
      <c r="G475" s="2462"/>
      <c r="H475" s="2462"/>
      <c r="I475" s="2579"/>
      <c r="J475" s="2579"/>
      <c r="K475" s="2579"/>
      <c r="L475" s="2579"/>
      <c r="M475" s="2579"/>
      <c r="N475" s="2579"/>
      <c r="O475" s="2579"/>
    </row>
    <row r="476" spans="1:15" s="2463" customFormat="1">
      <c r="A476" s="2462"/>
      <c r="B476" s="2462"/>
      <c r="C476" s="2462"/>
      <c r="D476" s="2462"/>
      <c r="E476" s="2462"/>
      <c r="F476" s="2462"/>
      <c r="G476" s="2462"/>
      <c r="H476" s="2462"/>
      <c r="I476" s="2579"/>
      <c r="J476" s="2579"/>
      <c r="K476" s="2579"/>
      <c r="L476" s="2579"/>
      <c r="M476" s="2579"/>
      <c r="N476" s="2579"/>
      <c r="O476" s="2579"/>
    </row>
    <row r="477" spans="1:15" s="2463" customFormat="1">
      <c r="A477" s="2462"/>
      <c r="B477" s="2462"/>
      <c r="C477" s="2462"/>
      <c r="D477" s="2462"/>
      <c r="E477" s="2462"/>
      <c r="F477" s="2462"/>
      <c r="G477" s="2462"/>
      <c r="H477" s="2462"/>
      <c r="I477" s="2579"/>
      <c r="J477" s="2579"/>
      <c r="K477" s="2579"/>
      <c r="L477" s="2579"/>
      <c r="M477" s="2579"/>
      <c r="N477" s="2579"/>
      <c r="O477" s="2579"/>
    </row>
    <row r="478" spans="1:15" s="2463" customFormat="1">
      <c r="A478" s="2462"/>
      <c r="B478" s="2462"/>
      <c r="C478" s="2462"/>
      <c r="D478" s="2462"/>
      <c r="E478" s="2462"/>
      <c r="F478" s="2462"/>
      <c r="G478" s="2462"/>
      <c r="H478" s="2462"/>
      <c r="I478" s="2579"/>
      <c r="J478" s="2579"/>
      <c r="K478" s="2579"/>
      <c r="L478" s="2579"/>
      <c r="M478" s="2579"/>
      <c r="N478" s="2579"/>
      <c r="O478" s="2579"/>
    </row>
    <row r="479" spans="1:15" s="2463" customFormat="1">
      <c r="A479" s="2462"/>
      <c r="B479" s="2462"/>
      <c r="C479" s="2462"/>
      <c r="D479" s="2462"/>
      <c r="E479" s="2462"/>
      <c r="F479" s="2462"/>
      <c r="G479" s="2462"/>
      <c r="H479" s="2462"/>
      <c r="I479" s="2579"/>
      <c r="J479" s="2579"/>
      <c r="K479" s="2579"/>
      <c r="L479" s="2579"/>
      <c r="M479" s="2579"/>
      <c r="N479" s="2579"/>
      <c r="O479" s="2579"/>
    </row>
    <row r="480" spans="1:15" s="2463" customFormat="1">
      <c r="A480" s="2462"/>
      <c r="B480" s="2462"/>
      <c r="C480" s="2462"/>
      <c r="D480" s="2462"/>
      <c r="E480" s="2462"/>
      <c r="F480" s="2462"/>
      <c r="G480" s="2462"/>
      <c r="H480" s="2462"/>
      <c r="I480" s="2579"/>
      <c r="J480" s="2579"/>
      <c r="K480" s="2579"/>
      <c r="L480" s="2579"/>
      <c r="M480" s="2579"/>
      <c r="N480" s="2579"/>
      <c r="O480" s="2579"/>
    </row>
    <row r="481" spans="1:15" s="2463" customFormat="1">
      <c r="A481" s="2462"/>
      <c r="B481" s="2462"/>
      <c r="C481" s="2462"/>
      <c r="D481" s="2462"/>
      <c r="E481" s="2462"/>
      <c r="F481" s="2462"/>
      <c r="G481" s="2462"/>
      <c r="H481" s="2462"/>
      <c r="I481" s="2579"/>
      <c r="J481" s="2579"/>
      <c r="K481" s="2579"/>
      <c r="L481" s="2579"/>
      <c r="M481" s="2579"/>
      <c r="N481" s="2579"/>
      <c r="O481" s="2579"/>
    </row>
    <row r="482" spans="1:15" s="2463" customFormat="1">
      <c r="A482" s="2462"/>
      <c r="B482" s="2462"/>
      <c r="C482" s="2462"/>
      <c r="D482" s="2462"/>
      <c r="E482" s="2462"/>
      <c r="F482" s="2462"/>
      <c r="G482" s="2462"/>
      <c r="H482" s="2462"/>
      <c r="I482" s="2579"/>
      <c r="J482" s="2579"/>
      <c r="K482" s="2579"/>
      <c r="L482" s="2579"/>
      <c r="M482" s="2579"/>
      <c r="N482" s="2579"/>
      <c r="O482" s="2579"/>
    </row>
    <row r="483" spans="1:15" s="2463" customFormat="1">
      <c r="A483" s="2462"/>
      <c r="B483" s="2462"/>
      <c r="C483" s="2462"/>
      <c r="D483" s="2462"/>
      <c r="E483" s="2462"/>
      <c r="F483" s="2462"/>
      <c r="G483" s="2462"/>
      <c r="H483" s="2462"/>
      <c r="I483" s="2579"/>
      <c r="J483" s="2579"/>
      <c r="K483" s="2579"/>
      <c r="L483" s="2579"/>
      <c r="M483" s="2579"/>
      <c r="N483" s="2579"/>
      <c r="O483" s="2579"/>
    </row>
    <row r="484" spans="1:15" s="2463" customFormat="1">
      <c r="A484" s="2462"/>
      <c r="B484" s="2462"/>
      <c r="C484" s="2462"/>
      <c r="D484" s="2462"/>
      <c r="E484" s="2462"/>
      <c r="F484" s="2462"/>
      <c r="G484" s="2462"/>
      <c r="H484" s="2462"/>
      <c r="I484" s="2579"/>
      <c r="J484" s="2579"/>
      <c r="K484" s="2579"/>
      <c r="L484" s="2579"/>
      <c r="M484" s="2579"/>
      <c r="N484" s="2579"/>
      <c r="O484" s="2579"/>
    </row>
    <row r="485" spans="1:15" s="2463" customFormat="1">
      <c r="A485" s="2462"/>
      <c r="B485" s="2462"/>
      <c r="C485" s="2462"/>
      <c r="D485" s="2462"/>
      <c r="E485" s="2462"/>
      <c r="F485" s="2462"/>
      <c r="G485" s="2462"/>
      <c r="H485" s="2462"/>
      <c r="I485" s="2579"/>
      <c r="J485" s="2579"/>
      <c r="K485" s="2579"/>
      <c r="L485" s="2579"/>
      <c r="M485" s="2579"/>
      <c r="N485" s="2579"/>
      <c r="O485" s="2579"/>
    </row>
    <row r="486" spans="1:15" s="2463" customFormat="1">
      <c r="A486" s="2462"/>
      <c r="B486" s="2462"/>
      <c r="C486" s="2462"/>
      <c r="D486" s="2462"/>
      <c r="E486" s="2462"/>
      <c r="F486" s="2462"/>
      <c r="G486" s="2462"/>
      <c r="H486" s="2462"/>
      <c r="I486" s="2579"/>
      <c r="J486" s="2579"/>
      <c r="K486" s="2579"/>
      <c r="L486" s="2579"/>
      <c r="M486" s="2579"/>
      <c r="N486" s="2579"/>
      <c r="O486" s="2579"/>
    </row>
    <row r="487" spans="1:15" s="2463" customFormat="1">
      <c r="A487" s="2462"/>
      <c r="B487" s="2462"/>
      <c r="C487" s="2462"/>
      <c r="D487" s="2462"/>
      <c r="E487" s="2462"/>
      <c r="F487" s="2462"/>
      <c r="G487" s="2462"/>
      <c r="H487" s="2462"/>
      <c r="I487" s="2579"/>
      <c r="J487" s="2579"/>
      <c r="K487" s="2579"/>
      <c r="L487" s="2579"/>
      <c r="M487" s="2579"/>
      <c r="N487" s="2579"/>
      <c r="O487" s="2579"/>
    </row>
    <row r="488" spans="1:15" s="2463" customFormat="1">
      <c r="A488" s="2462"/>
      <c r="B488" s="2462"/>
      <c r="C488" s="2462"/>
      <c r="D488" s="2462"/>
      <c r="E488" s="2462"/>
      <c r="F488" s="2462"/>
      <c r="G488" s="2462"/>
      <c r="H488" s="2462"/>
      <c r="I488" s="2579"/>
      <c r="J488" s="2579"/>
      <c r="K488" s="2579"/>
      <c r="L488" s="2579"/>
      <c r="M488" s="2579"/>
      <c r="N488" s="2579"/>
      <c r="O488" s="2579"/>
    </row>
    <row r="489" spans="1:15" s="2463" customFormat="1">
      <c r="A489" s="2462"/>
      <c r="B489" s="2462"/>
      <c r="C489" s="2462"/>
      <c r="D489" s="2462"/>
      <c r="E489" s="2462"/>
      <c r="F489" s="2462"/>
      <c r="G489" s="2462"/>
      <c r="H489" s="2462"/>
      <c r="I489" s="2579"/>
      <c r="J489" s="2579"/>
      <c r="K489" s="2579"/>
      <c r="L489" s="2579"/>
      <c r="M489" s="2579"/>
      <c r="N489" s="2579"/>
      <c r="O489" s="2579"/>
    </row>
    <row r="490" spans="1:15" s="2463" customFormat="1">
      <c r="A490" s="2462"/>
      <c r="B490" s="2462"/>
      <c r="C490" s="2462"/>
      <c r="D490" s="2462"/>
      <c r="E490" s="2462"/>
      <c r="F490" s="2462"/>
      <c r="G490" s="2462"/>
      <c r="H490" s="2462"/>
      <c r="I490" s="2579"/>
      <c r="J490" s="2579"/>
      <c r="K490" s="2579"/>
      <c r="L490" s="2579"/>
      <c r="M490" s="2579"/>
      <c r="N490" s="2579"/>
      <c r="O490" s="2579"/>
    </row>
    <row r="491" spans="1:15" s="2463" customFormat="1">
      <c r="A491" s="2462"/>
      <c r="B491" s="2462"/>
      <c r="C491" s="2462"/>
      <c r="D491" s="2462"/>
      <c r="E491" s="2462"/>
      <c r="F491" s="2462"/>
      <c r="G491" s="2462"/>
      <c r="H491" s="2462"/>
      <c r="I491" s="2579"/>
      <c r="J491" s="2579"/>
      <c r="K491" s="2579"/>
      <c r="L491" s="2579"/>
      <c r="M491" s="2579"/>
      <c r="N491" s="2579"/>
      <c r="O491" s="2579"/>
    </row>
    <row r="492" spans="1:15" s="2463" customFormat="1">
      <c r="A492" s="2462"/>
      <c r="B492" s="2462"/>
      <c r="C492" s="2462"/>
      <c r="D492" s="2462"/>
      <c r="E492" s="2462"/>
      <c r="F492" s="2462"/>
      <c r="G492" s="2462"/>
      <c r="H492" s="2462"/>
      <c r="I492" s="2579"/>
      <c r="J492" s="2579"/>
      <c r="K492" s="2579"/>
      <c r="L492" s="2579"/>
      <c r="M492" s="2579"/>
      <c r="N492" s="2579"/>
      <c r="O492" s="2579"/>
    </row>
    <row r="493" spans="1:15" s="2463" customFormat="1">
      <c r="A493" s="2462"/>
      <c r="B493" s="2462"/>
      <c r="C493" s="2462"/>
      <c r="D493" s="2462"/>
      <c r="E493" s="2462"/>
      <c r="F493" s="2462"/>
      <c r="G493" s="2462"/>
      <c r="H493" s="2462"/>
      <c r="I493" s="2579"/>
      <c r="J493" s="2579"/>
      <c r="K493" s="2579"/>
      <c r="L493" s="2579"/>
      <c r="M493" s="2579"/>
      <c r="N493" s="2579"/>
      <c r="O493" s="2579"/>
    </row>
    <row r="494" spans="1:15" s="2463" customFormat="1">
      <c r="A494" s="2462"/>
      <c r="B494" s="2462"/>
      <c r="C494" s="2462"/>
      <c r="D494" s="2462"/>
      <c r="E494" s="2462"/>
      <c r="F494" s="2462"/>
      <c r="G494" s="2462"/>
      <c r="H494" s="2462"/>
      <c r="I494" s="2579"/>
      <c r="J494" s="2579"/>
      <c r="K494" s="2579"/>
      <c r="L494" s="2579"/>
      <c r="M494" s="2579"/>
      <c r="N494" s="2579"/>
      <c r="O494" s="2579"/>
    </row>
    <row r="495" spans="1:15" s="2463" customFormat="1">
      <c r="A495" s="2462"/>
      <c r="B495" s="2462"/>
      <c r="C495" s="2462"/>
      <c r="D495" s="2462"/>
      <c r="E495" s="2462"/>
      <c r="F495" s="2462"/>
      <c r="G495" s="2462"/>
      <c r="H495" s="2462"/>
      <c r="I495" s="2579"/>
      <c r="J495" s="2579"/>
      <c r="K495" s="2579"/>
      <c r="L495" s="2579"/>
      <c r="M495" s="2579"/>
      <c r="N495" s="2579"/>
      <c r="O495" s="2579"/>
    </row>
    <row r="496" spans="1:15" s="2463" customFormat="1">
      <c r="A496" s="2462"/>
      <c r="B496" s="2462"/>
      <c r="C496" s="2462"/>
      <c r="D496" s="2462"/>
      <c r="E496" s="2462"/>
      <c r="F496" s="2462"/>
      <c r="G496" s="2462"/>
      <c r="H496" s="2462"/>
      <c r="I496" s="2579"/>
      <c r="J496" s="2579"/>
      <c r="K496" s="2579"/>
      <c r="L496" s="2579"/>
      <c r="M496" s="2579"/>
      <c r="N496" s="2579"/>
      <c r="O496" s="2579"/>
    </row>
    <row r="497" spans="1:15" s="2463" customFormat="1">
      <c r="A497" s="2462"/>
      <c r="B497" s="2462"/>
      <c r="C497" s="2462"/>
      <c r="D497" s="2462"/>
      <c r="E497" s="2462"/>
      <c r="F497" s="2462"/>
      <c r="G497" s="2462"/>
      <c r="H497" s="2462"/>
      <c r="I497" s="2579"/>
      <c r="J497" s="2579"/>
      <c r="K497" s="2579"/>
      <c r="L497" s="2579"/>
      <c r="M497" s="2579"/>
      <c r="N497" s="2579"/>
      <c r="O497" s="2579"/>
    </row>
    <row r="503" spans="1:15" s="2463" customFormat="1">
      <c r="A503" s="2462"/>
      <c r="B503" s="2462"/>
      <c r="C503" s="2462"/>
      <c r="D503" s="2462"/>
      <c r="E503" s="2462"/>
      <c r="F503" s="2462"/>
      <c r="G503" s="2462"/>
      <c r="H503" s="2462"/>
      <c r="I503" s="2579"/>
      <c r="J503" s="2579"/>
      <c r="K503" s="2579"/>
      <c r="L503" s="2579"/>
      <c r="M503" s="2579"/>
      <c r="N503" s="2579"/>
      <c r="O503" s="2579"/>
    </row>
    <row r="504" spans="1:15" s="2463" customFormat="1">
      <c r="A504" s="2462"/>
      <c r="B504" s="2462"/>
      <c r="C504" s="2462"/>
      <c r="D504" s="2462"/>
      <c r="E504" s="2462"/>
      <c r="F504" s="2462"/>
      <c r="G504" s="2462"/>
      <c r="H504" s="2462"/>
      <c r="I504" s="2579"/>
      <c r="J504" s="2579"/>
      <c r="K504" s="2579"/>
      <c r="L504" s="2579"/>
      <c r="M504" s="2579"/>
      <c r="N504" s="2579"/>
      <c r="O504" s="2579"/>
    </row>
    <row r="505" spans="1:15" s="2463" customFormat="1">
      <c r="A505" s="2462"/>
      <c r="B505" s="2462"/>
      <c r="C505" s="2462"/>
      <c r="D505" s="2462"/>
      <c r="E505" s="2462"/>
      <c r="F505" s="2462"/>
      <c r="G505" s="2462"/>
      <c r="H505" s="2462"/>
      <c r="I505" s="2579"/>
      <c r="J505" s="2579"/>
      <c r="K505" s="2579"/>
      <c r="L505" s="2579"/>
      <c r="M505" s="2579"/>
      <c r="N505" s="2579"/>
      <c r="O505" s="2579"/>
    </row>
    <row r="506" spans="1:15" s="2463" customFormat="1">
      <c r="A506" s="2462"/>
      <c r="B506" s="2462"/>
      <c r="C506" s="2462"/>
      <c r="D506" s="2462"/>
      <c r="E506" s="2462"/>
      <c r="F506" s="2462"/>
      <c r="G506" s="2462"/>
      <c r="H506" s="2462"/>
      <c r="I506" s="2579"/>
      <c r="J506" s="2579"/>
      <c r="K506" s="2579"/>
      <c r="L506" s="2579"/>
      <c r="M506" s="2579"/>
      <c r="N506" s="2579"/>
      <c r="O506" s="2579"/>
    </row>
    <row r="507" spans="1:15" s="2463" customFormat="1">
      <c r="A507" s="2462"/>
      <c r="B507" s="2462"/>
      <c r="C507" s="2462"/>
      <c r="D507" s="2462"/>
      <c r="E507" s="2462"/>
      <c r="F507" s="2462"/>
      <c r="G507" s="2462"/>
      <c r="H507" s="2462"/>
      <c r="I507" s="2579"/>
      <c r="J507" s="2579"/>
      <c r="K507" s="2579"/>
      <c r="L507" s="2579"/>
      <c r="M507" s="2579"/>
      <c r="N507" s="2579"/>
      <c r="O507" s="2579"/>
    </row>
    <row r="508" spans="1:15" s="2463" customFormat="1">
      <c r="A508" s="2462"/>
      <c r="B508" s="2462"/>
      <c r="C508" s="2462"/>
      <c r="D508" s="2462"/>
      <c r="E508" s="2462"/>
      <c r="F508" s="2462"/>
      <c r="G508" s="2462"/>
      <c r="H508" s="2462"/>
      <c r="I508" s="2579"/>
      <c r="J508" s="2579"/>
      <c r="K508" s="2579"/>
      <c r="L508" s="2579"/>
      <c r="M508" s="2579"/>
      <c r="N508" s="2579"/>
      <c r="O508" s="2579"/>
    </row>
    <row r="509" spans="1:15" s="2463" customFormat="1">
      <c r="A509" s="2462"/>
      <c r="B509" s="2462"/>
      <c r="C509" s="2462"/>
      <c r="D509" s="2462"/>
      <c r="E509" s="2462"/>
      <c r="F509" s="2462"/>
      <c r="G509" s="2462"/>
      <c r="H509" s="2462"/>
      <c r="I509" s="2579"/>
      <c r="J509" s="2579"/>
      <c r="K509" s="2579"/>
      <c r="L509" s="2579"/>
      <c r="M509" s="2579"/>
      <c r="N509" s="2579"/>
      <c r="O509" s="2579"/>
    </row>
    <row r="510" spans="1:15" s="2463" customFormat="1">
      <c r="A510" s="2462"/>
      <c r="B510" s="2462"/>
      <c r="C510" s="2462"/>
      <c r="D510" s="2462"/>
      <c r="E510" s="2462"/>
      <c r="F510" s="2462"/>
      <c r="G510" s="2462"/>
      <c r="H510" s="2462"/>
      <c r="I510" s="2579"/>
      <c r="J510" s="2579"/>
      <c r="K510" s="2579"/>
      <c r="L510" s="2579"/>
      <c r="M510" s="2579"/>
      <c r="N510" s="2579"/>
      <c r="O510" s="2579"/>
    </row>
    <row r="511" spans="1:15" s="2463" customFormat="1">
      <c r="A511" s="2462"/>
      <c r="B511" s="2462"/>
      <c r="C511" s="2462"/>
      <c r="D511" s="2462"/>
      <c r="E511" s="2462"/>
      <c r="F511" s="2462"/>
      <c r="G511" s="2462"/>
      <c r="H511" s="2462"/>
      <c r="I511" s="2579"/>
      <c r="J511" s="2579"/>
      <c r="K511" s="2579"/>
      <c r="L511" s="2579"/>
      <c r="M511" s="2579"/>
      <c r="N511" s="2579"/>
      <c r="O511" s="2579"/>
    </row>
    <row r="512" spans="1:15" s="2463" customFormat="1">
      <c r="A512" s="2462"/>
      <c r="B512" s="2462"/>
      <c r="C512" s="2462"/>
      <c r="D512" s="2462"/>
      <c r="E512" s="2462"/>
      <c r="F512" s="2462"/>
      <c r="G512" s="2462"/>
      <c r="H512" s="2462"/>
      <c r="I512" s="2579"/>
      <c r="J512" s="2579"/>
      <c r="K512" s="2579"/>
      <c r="L512" s="2579"/>
      <c r="M512" s="2579"/>
      <c r="N512" s="2579"/>
      <c r="O512" s="2579"/>
    </row>
    <row r="513" spans="1:15" s="2463" customFormat="1">
      <c r="A513" s="2462"/>
      <c r="B513" s="2462"/>
      <c r="C513" s="2462"/>
      <c r="D513" s="2462"/>
      <c r="E513" s="2462"/>
      <c r="F513" s="2462"/>
      <c r="G513" s="2462"/>
      <c r="H513" s="2462"/>
      <c r="I513" s="2579"/>
      <c r="J513" s="2579"/>
      <c r="K513" s="2579"/>
      <c r="L513" s="2579"/>
      <c r="M513" s="2579"/>
      <c r="N513" s="2579"/>
      <c r="O513" s="2579"/>
    </row>
    <row r="514" spans="1:15" s="2463" customFormat="1">
      <c r="A514" s="2462"/>
      <c r="B514" s="2462"/>
      <c r="C514" s="2462"/>
      <c r="D514" s="2462"/>
      <c r="E514" s="2462"/>
      <c r="F514" s="2462"/>
      <c r="G514" s="2462"/>
      <c r="H514" s="2462"/>
      <c r="I514" s="2579"/>
      <c r="J514" s="2579"/>
      <c r="K514" s="2579"/>
      <c r="L514" s="2579"/>
      <c r="M514" s="2579"/>
      <c r="N514" s="2579"/>
      <c r="O514" s="2579"/>
    </row>
    <row r="515" spans="1:15" s="2463" customFormat="1">
      <c r="A515" s="2462"/>
      <c r="B515" s="2462"/>
      <c r="C515" s="2462"/>
      <c r="D515" s="2462"/>
      <c r="E515" s="2462"/>
      <c r="F515" s="2462"/>
      <c r="G515" s="2462"/>
      <c r="H515" s="2462"/>
      <c r="I515" s="2579"/>
      <c r="J515" s="2579"/>
      <c r="K515" s="2579"/>
      <c r="L515" s="2579"/>
      <c r="M515" s="2579"/>
      <c r="N515" s="2579"/>
      <c r="O515" s="2579"/>
    </row>
    <row r="516" spans="1:15" s="2463" customFormat="1">
      <c r="A516" s="2462"/>
      <c r="B516" s="2462"/>
      <c r="C516" s="2462"/>
      <c r="D516" s="2462"/>
      <c r="E516" s="2462"/>
      <c r="F516" s="2462"/>
      <c r="G516" s="2462"/>
      <c r="H516" s="2462"/>
      <c r="I516" s="2579"/>
      <c r="J516" s="2579"/>
      <c r="K516" s="2579"/>
      <c r="L516" s="2579"/>
      <c r="M516" s="2579"/>
      <c r="N516" s="2579"/>
      <c r="O516" s="2579"/>
    </row>
    <row r="517" spans="1:15" s="2463" customFormat="1">
      <c r="A517" s="2462"/>
      <c r="B517" s="2462"/>
      <c r="C517" s="2462"/>
      <c r="D517" s="2462"/>
      <c r="E517" s="2462"/>
      <c r="F517" s="2462"/>
      <c r="G517" s="2462"/>
      <c r="H517" s="2462"/>
      <c r="I517" s="2579"/>
      <c r="J517" s="2579"/>
      <c r="K517" s="2579"/>
      <c r="L517" s="2579"/>
      <c r="M517" s="2579"/>
      <c r="N517" s="2579"/>
      <c r="O517" s="2579"/>
    </row>
    <row r="518" spans="1:15" s="2463" customFormat="1">
      <c r="A518" s="2462"/>
      <c r="B518" s="2462"/>
      <c r="C518" s="2462"/>
      <c r="D518" s="2462"/>
      <c r="E518" s="2462"/>
      <c r="F518" s="2462"/>
      <c r="G518" s="2462"/>
      <c r="H518" s="2462"/>
      <c r="I518" s="2579"/>
      <c r="J518" s="2579"/>
      <c r="K518" s="2579"/>
      <c r="L518" s="2579"/>
      <c r="M518" s="2579"/>
      <c r="N518" s="2579"/>
      <c r="O518" s="2579"/>
    </row>
    <row r="519" spans="1:15" s="2463" customFormat="1">
      <c r="A519" s="2462"/>
      <c r="B519" s="2462"/>
      <c r="C519" s="2462"/>
      <c r="D519" s="2462"/>
      <c r="E519" s="2462"/>
      <c r="F519" s="2462"/>
      <c r="G519" s="2462"/>
      <c r="H519" s="2462"/>
      <c r="I519" s="2579"/>
      <c r="J519" s="2579"/>
      <c r="K519" s="2579"/>
      <c r="L519" s="2579"/>
      <c r="M519" s="2579"/>
      <c r="N519" s="2579"/>
      <c r="O519" s="2579"/>
    </row>
    <row r="520" spans="1:15" s="2463" customFormat="1">
      <c r="A520" s="2462"/>
      <c r="B520" s="2462"/>
      <c r="C520" s="2462"/>
      <c r="D520" s="2462"/>
      <c r="E520" s="2462"/>
      <c r="F520" s="2462"/>
      <c r="G520" s="2462"/>
      <c r="H520" s="2462"/>
      <c r="I520" s="2579"/>
      <c r="J520" s="2579"/>
      <c r="K520" s="2579"/>
      <c r="L520" s="2579"/>
      <c r="M520" s="2579"/>
      <c r="N520" s="2579"/>
      <c r="O520" s="2579"/>
    </row>
    <row r="521" spans="1:15" s="2463" customFormat="1">
      <c r="A521" s="2462"/>
      <c r="B521" s="2462"/>
      <c r="C521" s="2462"/>
      <c r="D521" s="2462"/>
      <c r="E521" s="2462"/>
      <c r="F521" s="2462"/>
      <c r="G521" s="2462"/>
      <c r="H521" s="2462"/>
      <c r="I521" s="2579"/>
      <c r="J521" s="2579"/>
      <c r="K521" s="2579"/>
      <c r="L521" s="2579"/>
      <c r="M521" s="2579"/>
      <c r="N521" s="2579"/>
      <c r="O521" s="2579"/>
    </row>
    <row r="522" spans="1:15" s="2463" customFormat="1">
      <c r="A522" s="2462"/>
      <c r="B522" s="2462"/>
      <c r="C522" s="2462"/>
      <c r="D522" s="2462"/>
      <c r="E522" s="2462"/>
      <c r="F522" s="2462"/>
      <c r="G522" s="2462"/>
      <c r="H522" s="2462"/>
      <c r="I522" s="2579"/>
      <c r="J522" s="2579"/>
      <c r="K522" s="2579"/>
      <c r="L522" s="2579"/>
      <c r="M522" s="2579"/>
      <c r="N522" s="2579"/>
      <c r="O522" s="2579"/>
    </row>
    <row r="523" spans="1:15" s="2463" customFormat="1">
      <c r="A523" s="2462"/>
      <c r="B523" s="2462"/>
      <c r="C523" s="2462"/>
      <c r="D523" s="2462"/>
      <c r="E523" s="2462"/>
      <c r="F523" s="2462"/>
      <c r="G523" s="2462"/>
      <c r="H523" s="2462"/>
      <c r="I523" s="2579"/>
      <c r="J523" s="2579"/>
      <c r="K523" s="2579"/>
      <c r="L523" s="2579"/>
      <c r="M523" s="2579"/>
      <c r="N523" s="2579"/>
      <c r="O523" s="2579"/>
    </row>
    <row r="524" spans="1:15" s="2463" customFormat="1">
      <c r="A524" s="2462"/>
      <c r="B524" s="2462"/>
      <c r="C524" s="2462"/>
      <c r="D524" s="2462"/>
      <c r="E524" s="2462"/>
      <c r="F524" s="2462"/>
      <c r="G524" s="2462"/>
      <c r="H524" s="2462"/>
      <c r="I524" s="2579"/>
      <c r="J524" s="2579"/>
      <c r="K524" s="2579"/>
      <c r="L524" s="2579"/>
      <c r="M524" s="2579"/>
      <c r="N524" s="2579"/>
      <c r="O524" s="2579"/>
    </row>
    <row r="525" spans="1:15" s="2463" customFormat="1">
      <c r="A525" s="2462"/>
      <c r="B525" s="2462"/>
      <c r="C525" s="2462"/>
      <c r="D525" s="2462"/>
      <c r="E525" s="2462"/>
      <c r="F525" s="2462"/>
      <c r="G525" s="2462"/>
      <c r="H525" s="2462"/>
      <c r="I525" s="2579"/>
      <c r="J525" s="2579"/>
      <c r="K525" s="2579"/>
      <c r="L525" s="2579"/>
      <c r="M525" s="2579"/>
      <c r="N525" s="2579"/>
      <c r="O525" s="2579"/>
    </row>
    <row r="526" spans="1:15" s="2463" customFormat="1">
      <c r="A526" s="2462"/>
      <c r="B526" s="2462"/>
      <c r="C526" s="2462"/>
      <c r="D526" s="2462"/>
      <c r="E526" s="2462"/>
      <c r="F526" s="2462"/>
      <c r="G526" s="2462"/>
      <c r="H526" s="2462"/>
      <c r="I526" s="2579"/>
      <c r="J526" s="2579"/>
      <c r="K526" s="2579"/>
      <c r="L526" s="2579"/>
      <c r="M526" s="2579"/>
      <c r="N526" s="2579"/>
      <c r="O526" s="2579"/>
    </row>
    <row r="527" spans="1:15" s="2463" customFormat="1">
      <c r="A527" s="2462"/>
      <c r="B527" s="2462"/>
      <c r="C527" s="2462"/>
      <c r="D527" s="2462"/>
      <c r="E527" s="2462"/>
      <c r="F527" s="2462"/>
      <c r="G527" s="2462"/>
      <c r="H527" s="2462"/>
      <c r="I527" s="2579"/>
      <c r="J527" s="2579"/>
      <c r="K527" s="2579"/>
      <c r="L527" s="2579"/>
      <c r="M527" s="2579"/>
      <c r="N527" s="2579"/>
      <c r="O527" s="2579"/>
    </row>
    <row r="528" spans="1:15" s="2463" customFormat="1">
      <c r="A528" s="2462"/>
      <c r="B528" s="2462"/>
      <c r="C528" s="2462"/>
      <c r="D528" s="2462"/>
      <c r="E528" s="2462"/>
      <c r="F528" s="2462"/>
      <c r="G528" s="2462"/>
      <c r="H528" s="2462"/>
      <c r="I528" s="2579"/>
      <c r="J528" s="2579"/>
      <c r="K528" s="2579"/>
      <c r="L528" s="2579"/>
      <c r="M528" s="2579"/>
      <c r="N528" s="2579"/>
      <c r="O528" s="2579"/>
    </row>
    <row r="529" spans="1:15" s="2463" customFormat="1">
      <c r="A529" s="2462"/>
      <c r="B529" s="2462"/>
      <c r="C529" s="2462"/>
      <c r="D529" s="2462"/>
      <c r="E529" s="2462"/>
      <c r="F529" s="2462"/>
      <c r="G529" s="2462"/>
      <c r="H529" s="2462"/>
      <c r="I529" s="2579"/>
      <c r="J529" s="2579"/>
      <c r="K529" s="2579"/>
      <c r="L529" s="2579"/>
      <c r="M529" s="2579"/>
      <c r="N529" s="2579"/>
      <c r="O529" s="2579"/>
    </row>
    <row r="530" spans="1:15" s="2463" customFormat="1">
      <c r="A530" s="2462"/>
      <c r="B530" s="2462"/>
      <c r="C530" s="2462"/>
      <c r="D530" s="2462"/>
      <c r="E530" s="2462"/>
      <c r="F530" s="2462"/>
      <c r="G530" s="2462"/>
      <c r="H530" s="2462"/>
      <c r="I530" s="2579"/>
      <c r="J530" s="2579"/>
      <c r="K530" s="2579"/>
      <c r="L530" s="2579"/>
      <c r="M530" s="2579"/>
      <c r="N530" s="2579"/>
      <c r="O530" s="2579"/>
    </row>
    <row r="531" spans="1:15" s="2463" customFormat="1">
      <c r="A531" s="2462"/>
      <c r="B531" s="2462"/>
      <c r="C531" s="2462"/>
      <c r="D531" s="2462"/>
      <c r="E531" s="2462"/>
      <c r="F531" s="2462"/>
      <c r="G531" s="2462"/>
      <c r="H531" s="2462"/>
      <c r="I531" s="2579"/>
      <c r="J531" s="2579"/>
      <c r="K531" s="2579"/>
      <c r="L531" s="2579"/>
      <c r="M531" s="2579"/>
      <c r="N531" s="2579"/>
      <c r="O531" s="2579"/>
    </row>
    <row r="532" spans="1:15" s="2463" customFormat="1">
      <c r="A532" s="2462"/>
      <c r="B532" s="2462"/>
      <c r="C532" s="2462"/>
      <c r="D532" s="2462"/>
      <c r="E532" s="2462"/>
      <c r="F532" s="2462"/>
      <c r="G532" s="2462"/>
      <c r="H532" s="2462"/>
      <c r="I532" s="2579"/>
      <c r="J532" s="2579"/>
      <c r="K532" s="2579"/>
      <c r="L532" s="2579"/>
      <c r="M532" s="2579"/>
      <c r="N532" s="2579"/>
      <c r="O532" s="2579"/>
    </row>
    <row r="533" spans="1:15" s="2463" customFormat="1">
      <c r="A533" s="2462"/>
      <c r="B533" s="2462"/>
      <c r="C533" s="2462"/>
      <c r="D533" s="2462"/>
      <c r="E533" s="2462"/>
      <c r="F533" s="2462"/>
      <c r="G533" s="2462"/>
      <c r="H533" s="2462"/>
      <c r="I533" s="2579"/>
      <c r="J533" s="2579"/>
      <c r="K533" s="2579"/>
      <c r="L533" s="2579"/>
      <c r="M533" s="2579"/>
      <c r="N533" s="2579"/>
      <c r="O533" s="2579"/>
    </row>
    <row r="534" spans="1:15" s="2463" customFormat="1">
      <c r="A534" s="2462"/>
      <c r="B534" s="2462"/>
      <c r="C534" s="2462"/>
      <c r="D534" s="2462"/>
      <c r="E534" s="2462"/>
      <c r="F534" s="2462"/>
      <c r="G534" s="2462"/>
      <c r="H534" s="2462"/>
      <c r="I534" s="2579"/>
      <c r="J534" s="2579"/>
      <c r="K534" s="2579"/>
      <c r="L534" s="2579"/>
      <c r="M534" s="2579"/>
      <c r="N534" s="2579"/>
      <c r="O534" s="2579"/>
    </row>
    <row r="535" spans="1:15" s="2463" customFormat="1">
      <c r="A535" s="2462"/>
      <c r="B535" s="2462"/>
      <c r="C535" s="2462"/>
      <c r="D535" s="2462"/>
      <c r="E535" s="2462"/>
      <c r="F535" s="2462"/>
      <c r="G535" s="2462"/>
      <c r="H535" s="2462"/>
      <c r="I535" s="2579"/>
      <c r="J535" s="2579"/>
      <c r="K535" s="2579"/>
      <c r="L535" s="2579"/>
      <c r="M535" s="2579"/>
      <c r="N535" s="2579"/>
      <c r="O535" s="2579"/>
    </row>
    <row r="536" spans="1:15" s="2463" customFormat="1">
      <c r="A536" s="2462"/>
      <c r="B536" s="2462"/>
      <c r="C536" s="2462"/>
      <c r="D536" s="2462"/>
      <c r="E536" s="2462"/>
      <c r="F536" s="2462"/>
      <c r="G536" s="2462"/>
      <c r="H536" s="2462"/>
      <c r="I536" s="2579"/>
      <c r="J536" s="2579"/>
      <c r="K536" s="2579"/>
      <c r="L536" s="2579"/>
      <c r="M536" s="2579"/>
      <c r="N536" s="2579"/>
      <c r="O536" s="2579"/>
    </row>
    <row r="537" spans="1:15" s="2463" customFormat="1">
      <c r="A537" s="2462"/>
      <c r="B537" s="2462"/>
      <c r="C537" s="2462"/>
      <c r="D537" s="2462"/>
      <c r="E537" s="2462"/>
      <c r="F537" s="2462"/>
      <c r="G537" s="2462"/>
      <c r="H537" s="2462"/>
      <c r="I537" s="2579"/>
      <c r="J537" s="2579"/>
      <c r="K537" s="2579"/>
      <c r="L537" s="2579"/>
      <c r="M537" s="2579"/>
      <c r="N537" s="2579"/>
      <c r="O537" s="2579"/>
    </row>
    <row r="538" spans="1:15" s="2463" customFormat="1">
      <c r="A538" s="2462"/>
      <c r="B538" s="2462"/>
      <c r="C538" s="2462"/>
      <c r="D538" s="2462"/>
      <c r="E538" s="2462"/>
      <c r="F538" s="2462"/>
      <c r="G538" s="2462"/>
      <c r="H538" s="2462"/>
      <c r="I538" s="2579"/>
      <c r="J538" s="2579"/>
      <c r="K538" s="2579"/>
      <c r="L538" s="2579"/>
      <c r="M538" s="2579"/>
      <c r="N538" s="2579"/>
      <c r="O538" s="2579"/>
    </row>
    <row r="539" spans="1:15" s="2463" customFormat="1">
      <c r="A539" s="2462"/>
      <c r="B539" s="2462"/>
      <c r="C539" s="2462"/>
      <c r="D539" s="2462"/>
      <c r="E539" s="2462"/>
      <c r="F539" s="2462"/>
      <c r="G539" s="2462"/>
      <c r="H539" s="2462"/>
      <c r="I539" s="2579"/>
      <c r="J539" s="2579"/>
      <c r="K539" s="2579"/>
      <c r="L539" s="2579"/>
      <c r="M539" s="2579"/>
      <c r="N539" s="2579"/>
      <c r="O539" s="2579"/>
    </row>
    <row r="540" spans="1:15" s="2463" customFormat="1">
      <c r="A540" s="2462"/>
      <c r="B540" s="2462"/>
      <c r="C540" s="2462"/>
      <c r="D540" s="2462"/>
      <c r="E540" s="2462"/>
      <c r="F540" s="2462"/>
      <c r="G540" s="2462"/>
      <c r="H540" s="2462"/>
      <c r="I540" s="2579"/>
      <c r="J540" s="2579"/>
      <c r="K540" s="2579"/>
      <c r="L540" s="2579"/>
      <c r="M540" s="2579"/>
      <c r="N540" s="2579"/>
      <c r="O540" s="2579"/>
    </row>
    <row r="541" spans="1:15" s="2463" customFormat="1">
      <c r="A541" s="2462"/>
      <c r="B541" s="2462"/>
      <c r="C541" s="2462"/>
      <c r="D541" s="2462"/>
      <c r="E541" s="2462"/>
      <c r="F541" s="2462"/>
      <c r="G541" s="2462"/>
      <c r="H541" s="2462"/>
      <c r="I541" s="2579"/>
      <c r="J541" s="2579"/>
      <c r="K541" s="2579"/>
      <c r="L541" s="2579"/>
      <c r="M541" s="2579"/>
      <c r="N541" s="2579"/>
      <c r="O541" s="2579"/>
    </row>
    <row r="548" spans="1:15" s="2463" customFormat="1">
      <c r="A548" s="2462"/>
      <c r="B548" s="2462"/>
      <c r="C548" s="2462"/>
      <c r="D548" s="2462"/>
      <c r="E548" s="2462"/>
      <c r="F548" s="2462"/>
      <c r="G548" s="2462"/>
      <c r="H548" s="2462"/>
      <c r="I548" s="2579"/>
      <c r="J548" s="2579"/>
      <c r="K548" s="2579"/>
      <c r="L548" s="2579"/>
      <c r="M548" s="2579"/>
      <c r="N548" s="2579"/>
      <c r="O548" s="2579"/>
    </row>
    <row r="549" spans="1:15" s="2463" customFormat="1">
      <c r="A549" s="2462"/>
      <c r="B549" s="2462"/>
      <c r="C549" s="2462"/>
      <c r="D549" s="2462"/>
      <c r="E549" s="2462"/>
      <c r="F549" s="2462"/>
      <c r="G549" s="2462"/>
      <c r="H549" s="2462"/>
      <c r="I549" s="2579"/>
      <c r="J549" s="2579"/>
      <c r="K549" s="2579"/>
      <c r="L549" s="2579"/>
      <c r="M549" s="2579"/>
      <c r="N549" s="2579"/>
      <c r="O549" s="2579"/>
    </row>
    <row r="550" spans="1:15" s="2463" customFormat="1">
      <c r="A550" s="2462"/>
      <c r="B550" s="2462"/>
      <c r="C550" s="2462"/>
      <c r="D550" s="2462"/>
      <c r="E550" s="2462"/>
      <c r="F550" s="2462"/>
      <c r="G550" s="2462"/>
      <c r="H550" s="2462"/>
      <c r="I550" s="2579"/>
      <c r="J550" s="2579"/>
      <c r="K550" s="2579"/>
      <c r="L550" s="2579"/>
      <c r="M550" s="2579"/>
      <c r="N550" s="2579"/>
      <c r="O550" s="2579"/>
    </row>
    <row r="551" spans="1:15" s="2463" customFormat="1">
      <c r="A551" s="2462"/>
      <c r="B551" s="2462"/>
      <c r="C551" s="2462"/>
      <c r="D551" s="2462"/>
      <c r="E551" s="2462"/>
      <c r="F551" s="2462"/>
      <c r="G551" s="2462"/>
      <c r="H551" s="2462"/>
      <c r="I551" s="2579"/>
      <c r="J551" s="2579"/>
      <c r="K551" s="2579"/>
      <c r="L551" s="2579"/>
      <c r="M551" s="2579"/>
      <c r="N551" s="2579"/>
      <c r="O551" s="2579"/>
    </row>
    <row r="552" spans="1:15" s="2463" customFormat="1">
      <c r="A552" s="2462"/>
      <c r="B552" s="2462"/>
      <c r="C552" s="2462"/>
      <c r="D552" s="2462"/>
      <c r="E552" s="2462"/>
      <c r="F552" s="2462"/>
      <c r="G552" s="2462"/>
      <c r="H552" s="2462"/>
      <c r="I552" s="2579"/>
      <c r="J552" s="2579"/>
      <c r="K552" s="2579"/>
      <c r="L552" s="2579"/>
      <c r="M552" s="2579"/>
      <c r="N552" s="2579"/>
      <c r="O552" s="2579"/>
    </row>
    <row r="553" spans="1:15" s="2463" customFormat="1">
      <c r="A553" s="2462"/>
      <c r="B553" s="2462"/>
      <c r="C553" s="2462"/>
      <c r="D553" s="2462"/>
      <c r="E553" s="2462"/>
      <c r="F553" s="2462"/>
      <c r="G553" s="2462"/>
      <c r="H553" s="2462"/>
      <c r="I553" s="2579"/>
      <c r="J553" s="2579"/>
      <c r="K553" s="2579"/>
      <c r="L553" s="2579"/>
      <c r="M553" s="2579"/>
      <c r="N553" s="2579"/>
      <c r="O553" s="2579"/>
    </row>
    <row r="554" spans="1:15" s="2463" customFormat="1">
      <c r="A554" s="2462"/>
      <c r="B554" s="2462"/>
      <c r="C554" s="2462"/>
      <c r="D554" s="2462"/>
      <c r="E554" s="2462"/>
      <c r="F554" s="2462"/>
      <c r="G554" s="2462"/>
      <c r="H554" s="2462"/>
      <c r="I554" s="2579"/>
      <c r="J554" s="2579"/>
      <c r="K554" s="2579"/>
      <c r="L554" s="2579"/>
      <c r="M554" s="2579"/>
      <c r="N554" s="2579"/>
      <c r="O554" s="2579"/>
    </row>
    <row r="555" spans="1:15" s="2463" customFormat="1">
      <c r="A555" s="2462"/>
      <c r="B555" s="2462"/>
      <c r="C555" s="2462"/>
      <c r="D555" s="2462"/>
      <c r="E555" s="2462"/>
      <c r="F555" s="2462"/>
      <c r="G555" s="2462"/>
      <c r="H555" s="2462"/>
      <c r="I555" s="2579"/>
      <c r="J555" s="2579"/>
      <c r="K555" s="2579"/>
      <c r="L555" s="2579"/>
      <c r="M555" s="2579"/>
      <c r="N555" s="2579"/>
      <c r="O555" s="2579"/>
    </row>
    <row r="556" spans="1:15" s="2463" customFormat="1">
      <c r="A556" s="2462"/>
      <c r="B556" s="2462"/>
      <c r="C556" s="2462"/>
      <c r="D556" s="2462"/>
      <c r="E556" s="2462"/>
      <c r="F556" s="2462"/>
      <c r="G556" s="2462"/>
      <c r="H556" s="2462"/>
      <c r="I556" s="2579"/>
      <c r="J556" s="2579"/>
      <c r="K556" s="2579"/>
      <c r="L556" s="2579"/>
      <c r="M556" s="2579"/>
      <c r="N556" s="2579"/>
      <c r="O556" s="2579"/>
    </row>
    <row r="557" spans="1:15" s="2463" customFormat="1">
      <c r="A557" s="2462"/>
      <c r="B557" s="2462"/>
      <c r="C557" s="2462"/>
      <c r="D557" s="2462"/>
      <c r="E557" s="2462"/>
      <c r="F557" s="2462"/>
      <c r="G557" s="2462"/>
      <c r="H557" s="2462"/>
      <c r="I557" s="2579"/>
      <c r="J557" s="2579"/>
      <c r="K557" s="2579"/>
      <c r="L557" s="2579"/>
      <c r="M557" s="2579"/>
      <c r="N557" s="2579"/>
      <c r="O557" s="2579"/>
    </row>
    <row r="558" spans="1:15" s="2463" customFormat="1">
      <c r="A558" s="2462"/>
      <c r="B558" s="2462"/>
      <c r="C558" s="2462"/>
      <c r="D558" s="2462"/>
      <c r="E558" s="2462"/>
      <c r="F558" s="2462"/>
      <c r="G558" s="2462"/>
      <c r="H558" s="2462"/>
      <c r="I558" s="2579"/>
      <c r="J558" s="2579"/>
      <c r="K558" s="2579"/>
      <c r="L558" s="2579"/>
      <c r="M558" s="2579"/>
      <c r="N558" s="2579"/>
      <c r="O558" s="2579"/>
    </row>
    <row r="559" spans="1:15" s="2463" customFormat="1">
      <c r="A559" s="2462"/>
      <c r="B559" s="2462"/>
      <c r="C559" s="2462"/>
      <c r="D559" s="2462"/>
      <c r="E559" s="2462"/>
      <c r="F559" s="2462"/>
      <c r="G559" s="2462"/>
      <c r="H559" s="2462"/>
      <c r="I559" s="2579"/>
      <c r="J559" s="2579"/>
      <c r="K559" s="2579"/>
      <c r="L559" s="2579"/>
      <c r="M559" s="2579"/>
      <c r="N559" s="2579"/>
      <c r="O559" s="2579"/>
    </row>
    <row r="560" spans="1:15" s="2463" customFormat="1">
      <c r="A560" s="2462"/>
      <c r="B560" s="2462"/>
      <c r="C560" s="2462"/>
      <c r="D560" s="2462"/>
      <c r="E560" s="2462"/>
      <c r="F560" s="2462"/>
      <c r="G560" s="2462"/>
      <c r="H560" s="2462"/>
      <c r="I560" s="2579"/>
      <c r="J560" s="2579"/>
      <c r="K560" s="2579"/>
      <c r="L560" s="2579"/>
      <c r="M560" s="2579"/>
      <c r="N560" s="2579"/>
      <c r="O560" s="2579"/>
    </row>
    <row r="561" spans="1:15" s="2463" customFormat="1">
      <c r="A561" s="2462"/>
      <c r="B561" s="2462"/>
      <c r="C561" s="2462"/>
      <c r="D561" s="2462"/>
      <c r="E561" s="2462"/>
      <c r="F561" s="2462"/>
      <c r="G561" s="2462"/>
      <c r="H561" s="2462"/>
      <c r="I561" s="2579"/>
      <c r="J561" s="2579"/>
      <c r="K561" s="2579"/>
      <c r="L561" s="2579"/>
      <c r="M561" s="2579"/>
      <c r="N561" s="2579"/>
      <c r="O561" s="2579"/>
    </row>
    <row r="562" spans="1:15" s="2463" customFormat="1">
      <c r="A562" s="2462"/>
      <c r="B562" s="2462"/>
      <c r="C562" s="2462"/>
      <c r="D562" s="2462"/>
      <c r="E562" s="2462"/>
      <c r="F562" s="2462"/>
      <c r="G562" s="2462"/>
      <c r="H562" s="2462"/>
      <c r="I562" s="2579"/>
      <c r="J562" s="2579"/>
      <c r="K562" s="2579"/>
      <c r="L562" s="2579"/>
      <c r="M562" s="2579"/>
      <c r="N562" s="2579"/>
      <c r="O562" s="2579"/>
    </row>
    <row r="563" spans="1:15" s="2463" customFormat="1">
      <c r="A563" s="2462"/>
      <c r="B563" s="2462"/>
      <c r="C563" s="2462"/>
      <c r="D563" s="2462"/>
      <c r="E563" s="2462"/>
      <c r="F563" s="2462"/>
      <c r="G563" s="2462"/>
      <c r="H563" s="2462"/>
      <c r="I563" s="2579"/>
      <c r="J563" s="2579"/>
      <c r="K563" s="2579"/>
      <c r="L563" s="2579"/>
      <c r="M563" s="2579"/>
      <c r="N563" s="2579"/>
      <c r="O563" s="2579"/>
    </row>
    <row r="564" spans="1:15" s="2463" customFormat="1">
      <c r="A564" s="2462"/>
      <c r="B564" s="2462"/>
      <c r="C564" s="2462"/>
      <c r="D564" s="2462"/>
      <c r="E564" s="2462"/>
      <c r="F564" s="2462"/>
      <c r="G564" s="2462"/>
      <c r="H564" s="2462"/>
      <c r="I564" s="2579"/>
      <c r="J564" s="2579"/>
      <c r="K564" s="2579"/>
      <c r="L564" s="2579"/>
      <c r="M564" s="2579"/>
      <c r="N564" s="2579"/>
      <c r="O564" s="2579"/>
    </row>
    <row r="565" spans="1:15" s="2463" customFormat="1" ht="7.5" customHeight="1">
      <c r="A565" s="2462"/>
      <c r="B565" s="2462"/>
      <c r="C565" s="2462"/>
      <c r="D565" s="2462"/>
      <c r="E565" s="2462"/>
      <c r="F565" s="2462"/>
      <c r="G565" s="2462"/>
      <c r="H565" s="2462"/>
      <c r="I565" s="2579"/>
      <c r="J565" s="2579"/>
      <c r="K565" s="2579"/>
      <c r="L565" s="2579"/>
      <c r="M565" s="2579"/>
      <c r="N565" s="2579"/>
      <c r="O565" s="2579"/>
    </row>
    <row r="566" spans="1:15" s="2463" customFormat="1" ht="7.5" customHeight="1">
      <c r="A566" s="2462"/>
      <c r="B566" s="2462"/>
      <c r="C566" s="2462"/>
      <c r="D566" s="2462"/>
      <c r="E566" s="2462"/>
      <c r="F566" s="2462"/>
      <c r="G566" s="2462"/>
      <c r="H566" s="2462"/>
      <c r="I566" s="2579"/>
      <c r="J566" s="2579"/>
      <c r="K566" s="2579"/>
      <c r="L566" s="2579"/>
      <c r="M566" s="2579"/>
      <c r="N566" s="2579"/>
      <c r="O566" s="2579"/>
    </row>
    <row r="567" spans="1:15" s="2463" customFormat="1" ht="7.5" customHeight="1">
      <c r="A567" s="2462"/>
      <c r="B567" s="2462"/>
      <c r="C567" s="2462"/>
      <c r="D567" s="2462"/>
      <c r="E567" s="2462"/>
      <c r="F567" s="2462"/>
      <c r="G567" s="2462"/>
      <c r="H567" s="2462"/>
      <c r="I567" s="2579"/>
      <c r="J567" s="2579"/>
      <c r="K567" s="2579"/>
      <c r="L567" s="2579"/>
      <c r="M567" s="2579"/>
      <c r="N567" s="2579"/>
      <c r="O567" s="2579"/>
    </row>
    <row r="568" spans="1:15" s="2463" customFormat="1" ht="7.5" customHeight="1">
      <c r="A568" s="2462"/>
      <c r="B568" s="2462"/>
      <c r="C568" s="2462"/>
      <c r="D568" s="2462"/>
      <c r="E568" s="2462"/>
      <c r="F568" s="2462"/>
      <c r="G568" s="2462"/>
      <c r="H568" s="2462"/>
      <c r="I568" s="2579"/>
      <c r="J568" s="2579"/>
      <c r="K568" s="2579"/>
      <c r="L568" s="2579"/>
      <c r="M568" s="2579"/>
      <c r="N568" s="2579"/>
      <c r="O568" s="2579"/>
    </row>
    <row r="569" spans="1:15" s="2463" customFormat="1" ht="7.5" customHeight="1">
      <c r="A569" s="2462"/>
      <c r="B569" s="2462"/>
      <c r="C569" s="2462"/>
      <c r="D569" s="2462"/>
      <c r="E569" s="2462"/>
      <c r="F569" s="2462"/>
      <c r="G569" s="2462"/>
      <c r="H569" s="2462"/>
      <c r="I569" s="2579"/>
      <c r="J569" s="2579"/>
      <c r="K569" s="2579"/>
      <c r="L569" s="2579"/>
      <c r="M569" s="2579"/>
      <c r="N569" s="2579"/>
      <c r="O569" s="2579"/>
    </row>
    <row r="570" spans="1:15" s="2463" customFormat="1" ht="7.5" customHeight="1">
      <c r="A570" s="2462"/>
      <c r="B570" s="2462"/>
      <c r="C570" s="2462"/>
      <c r="D570" s="2462"/>
      <c r="E570" s="2462"/>
      <c r="F570" s="2462"/>
      <c r="G570" s="2462"/>
      <c r="H570" s="2462"/>
      <c r="I570" s="2579"/>
      <c r="J570" s="2579"/>
      <c r="K570" s="2579"/>
      <c r="L570" s="2579"/>
      <c r="M570" s="2579"/>
      <c r="N570" s="2579"/>
      <c r="O570" s="2579"/>
    </row>
    <row r="571" spans="1:15" s="2463" customFormat="1" ht="7.5" customHeight="1">
      <c r="A571" s="2462"/>
      <c r="B571" s="2462"/>
      <c r="C571" s="2462"/>
      <c r="D571" s="2462"/>
      <c r="E571" s="2462"/>
      <c r="F571" s="2462"/>
      <c r="G571" s="2462"/>
      <c r="H571" s="2462"/>
      <c r="I571" s="2579"/>
      <c r="J571" s="2579"/>
      <c r="K571" s="2579"/>
      <c r="L571" s="2579"/>
      <c r="M571" s="2579"/>
      <c r="N571" s="2579"/>
      <c r="O571" s="2579"/>
    </row>
    <row r="572" spans="1:15" s="2463" customFormat="1" ht="7.5" customHeight="1">
      <c r="A572" s="2462"/>
      <c r="B572" s="2462"/>
      <c r="C572" s="2462"/>
      <c r="D572" s="2462"/>
      <c r="E572" s="2462"/>
      <c r="F572" s="2462"/>
      <c r="G572" s="2462"/>
      <c r="H572" s="2462"/>
      <c r="I572" s="2579"/>
      <c r="J572" s="2579"/>
      <c r="K572" s="2579"/>
      <c r="L572" s="2579"/>
      <c r="M572" s="2579"/>
      <c r="N572" s="2579"/>
      <c r="O572" s="2579"/>
    </row>
    <row r="573" spans="1:15" s="2463" customFormat="1" ht="7.5" customHeight="1">
      <c r="A573" s="2462"/>
      <c r="B573" s="2462"/>
      <c r="C573" s="2462"/>
      <c r="D573" s="2462"/>
      <c r="E573" s="2462"/>
      <c r="F573" s="2462"/>
      <c r="G573" s="2462"/>
      <c r="H573" s="2462"/>
      <c r="I573" s="2579"/>
      <c r="J573" s="2579"/>
      <c r="K573" s="2579"/>
      <c r="L573" s="2579"/>
      <c r="M573" s="2579"/>
      <c r="N573" s="2579"/>
      <c r="O573" s="2579"/>
    </row>
    <row r="574" spans="1:15" s="2463" customFormat="1" ht="7.5" customHeight="1">
      <c r="A574" s="2462"/>
      <c r="B574" s="2462"/>
      <c r="C574" s="2462"/>
      <c r="D574" s="2462"/>
      <c r="E574" s="2462"/>
      <c r="F574" s="2462"/>
      <c r="G574" s="2462"/>
      <c r="H574" s="2462"/>
      <c r="I574" s="2579"/>
      <c r="J574" s="2579"/>
      <c r="K574" s="2579"/>
      <c r="L574" s="2579"/>
      <c r="M574" s="2579"/>
      <c r="N574" s="2579"/>
      <c r="O574" s="2579"/>
    </row>
    <row r="575" spans="1:15" s="2463" customFormat="1" ht="7.5" customHeight="1">
      <c r="A575" s="2462"/>
      <c r="B575" s="2462"/>
      <c r="C575" s="2462"/>
      <c r="D575" s="2462"/>
      <c r="E575" s="2462"/>
      <c r="F575" s="2462"/>
      <c r="G575" s="2462"/>
      <c r="H575" s="2462"/>
      <c r="I575" s="2579"/>
      <c r="J575" s="2579"/>
      <c r="K575" s="2579"/>
      <c r="L575" s="2579"/>
      <c r="M575" s="2579"/>
      <c r="N575" s="2579"/>
      <c r="O575" s="2579"/>
    </row>
    <row r="576" spans="1:15" s="2463" customFormat="1" ht="7.5" customHeight="1">
      <c r="A576" s="2462"/>
      <c r="B576" s="2462"/>
      <c r="C576" s="2462"/>
      <c r="D576" s="2462"/>
      <c r="E576" s="2462"/>
      <c r="F576" s="2462"/>
      <c r="G576" s="2462"/>
      <c r="H576" s="2462"/>
      <c r="I576" s="2579"/>
      <c r="J576" s="2579"/>
      <c r="K576" s="2579"/>
      <c r="L576" s="2579"/>
      <c r="M576" s="2579"/>
      <c r="N576" s="2579"/>
      <c r="O576" s="2579"/>
    </row>
    <row r="577" spans="1:15" s="2463" customFormat="1" ht="7.5" customHeight="1">
      <c r="A577" s="2462"/>
      <c r="B577" s="2462"/>
      <c r="C577" s="2462"/>
      <c r="D577" s="2462"/>
      <c r="E577" s="2462"/>
      <c r="F577" s="2462"/>
      <c r="G577" s="2462"/>
      <c r="H577" s="2462"/>
      <c r="I577" s="2579"/>
      <c r="J577" s="2579"/>
      <c r="K577" s="2579"/>
      <c r="L577" s="2579"/>
      <c r="M577" s="2579"/>
      <c r="N577" s="2579"/>
      <c r="O577" s="2579"/>
    </row>
    <row r="578" spans="1:15" s="2463" customFormat="1" ht="7.5" customHeight="1">
      <c r="A578" s="2462"/>
      <c r="B578" s="2462"/>
      <c r="C578" s="2462"/>
      <c r="D578" s="2462"/>
      <c r="E578" s="2462"/>
      <c r="F578" s="2462"/>
      <c r="G578" s="2462"/>
      <c r="H578" s="2462"/>
      <c r="I578" s="2579"/>
      <c r="J578" s="2579"/>
      <c r="K578" s="2579"/>
      <c r="L578" s="2579"/>
      <c r="M578" s="2579"/>
      <c r="N578" s="2579"/>
      <c r="O578" s="2579"/>
    </row>
    <row r="579" spans="1:15" s="2463" customFormat="1" ht="7.5" customHeight="1">
      <c r="A579" s="2462"/>
      <c r="B579" s="2462"/>
      <c r="C579" s="2462"/>
      <c r="D579" s="2462"/>
      <c r="E579" s="2462"/>
      <c r="F579" s="2462"/>
      <c r="G579" s="2462"/>
      <c r="H579" s="2462"/>
      <c r="I579" s="2579"/>
      <c r="J579" s="2579"/>
      <c r="K579" s="2579"/>
      <c r="L579" s="2579"/>
      <c r="M579" s="2579"/>
      <c r="N579" s="2579"/>
      <c r="O579" s="2579"/>
    </row>
    <row r="580" spans="1:15" s="2463" customFormat="1" ht="7.5" customHeight="1">
      <c r="A580" s="2462"/>
      <c r="B580" s="2462"/>
      <c r="C580" s="2462"/>
      <c r="D580" s="2462"/>
      <c r="E580" s="2462"/>
      <c r="F580" s="2462"/>
      <c r="G580" s="2462"/>
      <c r="H580" s="2462"/>
      <c r="I580" s="2579"/>
      <c r="J580" s="2579"/>
      <c r="K580" s="2579"/>
      <c r="L580" s="2579"/>
      <c r="M580" s="2579"/>
      <c r="N580" s="2579"/>
      <c r="O580" s="2579"/>
    </row>
    <row r="581" spans="1:15" s="2463" customFormat="1" ht="7.5" customHeight="1">
      <c r="A581" s="2462"/>
      <c r="B581" s="2462"/>
      <c r="C581" s="2462"/>
      <c r="D581" s="2462"/>
      <c r="E581" s="2462"/>
      <c r="F581" s="2462"/>
      <c r="G581" s="2462"/>
      <c r="H581" s="2462"/>
      <c r="I581" s="2579"/>
      <c r="J581" s="2579"/>
      <c r="K581" s="2579"/>
      <c r="L581" s="2579"/>
      <c r="M581" s="2579"/>
      <c r="N581" s="2579"/>
      <c r="O581" s="2579"/>
    </row>
    <row r="582" spans="1:15" s="2463" customFormat="1" ht="7.5" customHeight="1">
      <c r="A582" s="2462"/>
      <c r="B582" s="2462"/>
      <c r="C582" s="2462"/>
      <c r="D582" s="2462"/>
      <c r="E582" s="2462"/>
      <c r="F582" s="2462"/>
      <c r="G582" s="2462"/>
      <c r="H582" s="2462"/>
      <c r="I582" s="2579"/>
      <c r="J582" s="2579"/>
      <c r="K582" s="2579"/>
      <c r="L582" s="2579"/>
      <c r="M582" s="2579"/>
      <c r="N582" s="2579"/>
      <c r="O582" s="2579"/>
    </row>
    <row r="583" spans="1:15" s="2463" customFormat="1" ht="7.5" customHeight="1">
      <c r="A583" s="2462"/>
      <c r="B583" s="2462"/>
      <c r="C583" s="2462"/>
      <c r="D583" s="2462"/>
      <c r="E583" s="2462"/>
      <c r="F583" s="2462"/>
      <c r="G583" s="2462"/>
      <c r="H583" s="2462"/>
      <c r="I583" s="2579"/>
      <c r="J583" s="2579"/>
      <c r="K583" s="2579"/>
      <c r="L583" s="2579"/>
      <c r="M583" s="2579"/>
      <c r="N583" s="2579"/>
      <c r="O583" s="2579"/>
    </row>
    <row r="584" spans="1:15" s="2463" customFormat="1" ht="7.5" customHeight="1">
      <c r="A584" s="2462"/>
      <c r="B584" s="2462"/>
      <c r="C584" s="2462"/>
      <c r="D584" s="2462"/>
      <c r="E584" s="2462"/>
      <c r="F584" s="2462"/>
      <c r="G584" s="2462"/>
      <c r="H584" s="2462"/>
      <c r="I584" s="2579"/>
      <c r="J584" s="2579"/>
      <c r="K584" s="2579"/>
      <c r="L584" s="2579"/>
      <c r="M584" s="2579"/>
      <c r="N584" s="2579"/>
      <c r="O584" s="2579"/>
    </row>
    <row r="585" spans="1:15" s="2463" customFormat="1" ht="7.5" customHeight="1">
      <c r="A585" s="2462"/>
      <c r="B585" s="2462"/>
      <c r="C585" s="2462"/>
      <c r="D585" s="2462"/>
      <c r="E585" s="2462"/>
      <c r="F585" s="2462"/>
      <c r="G585" s="2462"/>
      <c r="H585" s="2462"/>
      <c r="I585" s="2579"/>
      <c r="J585" s="2579"/>
      <c r="K585" s="2579"/>
      <c r="L585" s="2579"/>
      <c r="M585" s="2579"/>
      <c r="N585" s="2579"/>
      <c r="O585" s="2579"/>
    </row>
    <row r="586" spans="1:15" s="2463" customFormat="1" ht="7.5" customHeight="1">
      <c r="A586" s="2462"/>
      <c r="B586" s="2462"/>
      <c r="C586" s="2462"/>
      <c r="D586" s="2462"/>
      <c r="E586" s="2462"/>
      <c r="F586" s="2462"/>
      <c r="G586" s="2462"/>
      <c r="H586" s="2462"/>
      <c r="I586" s="2579"/>
      <c r="J586" s="2579"/>
      <c r="K586" s="2579"/>
      <c r="L586" s="2579"/>
      <c r="M586" s="2579"/>
      <c r="N586" s="2579"/>
      <c r="O586" s="2579"/>
    </row>
    <row r="587" spans="1:15" s="2463" customFormat="1" ht="7.5" customHeight="1">
      <c r="A587" s="2462"/>
      <c r="B587" s="2462"/>
      <c r="C587" s="2462"/>
      <c r="D587" s="2462"/>
      <c r="E587" s="2462"/>
      <c r="F587" s="2462"/>
      <c r="G587" s="2462"/>
      <c r="H587" s="2462"/>
      <c r="I587" s="2579"/>
      <c r="J587" s="2579"/>
      <c r="K587" s="2579"/>
      <c r="L587" s="2579"/>
      <c r="M587" s="2579"/>
      <c r="N587" s="2579"/>
      <c r="O587" s="2579"/>
    </row>
    <row r="588" spans="1:15" s="2463" customFormat="1" ht="7.5" customHeight="1">
      <c r="A588" s="2462"/>
      <c r="B588" s="2462"/>
      <c r="C588" s="2462"/>
      <c r="D588" s="2462"/>
      <c r="E588" s="2462"/>
      <c r="F588" s="2462"/>
      <c r="G588" s="2462"/>
      <c r="H588" s="2462"/>
      <c r="I588" s="2579"/>
      <c r="J588" s="2579"/>
      <c r="K588" s="2579"/>
      <c r="L588" s="2579"/>
      <c r="M588" s="2579"/>
      <c r="N588" s="2579"/>
      <c r="O588" s="2579"/>
    </row>
    <row r="589" spans="1:15" s="2463" customFormat="1" ht="7.5" customHeight="1">
      <c r="A589" s="2462"/>
      <c r="B589" s="2462"/>
      <c r="C589" s="2462"/>
      <c r="D589" s="2462"/>
      <c r="E589" s="2462"/>
      <c r="F589" s="2462"/>
      <c r="G589" s="2462"/>
      <c r="H589" s="2462"/>
      <c r="I589" s="2579"/>
      <c r="J589" s="2579"/>
      <c r="K589" s="2579"/>
      <c r="L589" s="2579"/>
      <c r="M589" s="2579"/>
      <c r="N589" s="2579"/>
      <c r="O589" s="2579"/>
    </row>
    <row r="590" spans="1:15" s="2463" customFormat="1" ht="7.5" customHeight="1">
      <c r="A590" s="2462"/>
      <c r="B590" s="2462"/>
      <c r="C590" s="2462"/>
      <c r="D590" s="2462"/>
      <c r="E590" s="2462"/>
      <c r="F590" s="2462"/>
      <c r="G590" s="2462"/>
      <c r="H590" s="2462"/>
      <c r="I590" s="2579"/>
      <c r="J590" s="2579"/>
      <c r="K590" s="2579"/>
      <c r="L590" s="2579"/>
      <c r="M590" s="2579"/>
      <c r="N590" s="2579"/>
      <c r="O590" s="2579"/>
    </row>
    <row r="591" spans="1:15" s="2463" customFormat="1" ht="7.5" customHeight="1">
      <c r="A591" s="2462"/>
      <c r="B591" s="2462"/>
      <c r="C591" s="2462"/>
      <c r="D591" s="2462"/>
      <c r="E591" s="2462"/>
      <c r="F591" s="2462"/>
      <c r="G591" s="2462"/>
      <c r="H591" s="2462"/>
      <c r="I591" s="2579"/>
      <c r="J591" s="2579"/>
      <c r="K591" s="2579"/>
      <c r="L591" s="2579"/>
      <c r="M591" s="2579"/>
      <c r="N591" s="2579"/>
      <c r="O591" s="2579"/>
    </row>
    <row r="592" spans="1:15" s="2463" customFormat="1" ht="7.5" customHeight="1">
      <c r="A592" s="2462"/>
      <c r="B592" s="2462"/>
      <c r="C592" s="2462"/>
      <c r="D592" s="2462"/>
      <c r="E592" s="2462"/>
      <c r="F592" s="2462"/>
      <c r="G592" s="2462"/>
      <c r="H592" s="2462"/>
      <c r="I592" s="2579"/>
      <c r="J592" s="2579"/>
      <c r="K592" s="2579"/>
      <c r="L592" s="2579"/>
      <c r="M592" s="2579"/>
      <c r="N592" s="2579"/>
      <c r="O592" s="2579"/>
    </row>
    <row r="593" spans="1:15" s="2463" customFormat="1" ht="7.5" customHeight="1">
      <c r="A593" s="2462"/>
      <c r="B593" s="2462"/>
      <c r="C593" s="2462"/>
      <c r="D593" s="2462"/>
      <c r="E593" s="2462"/>
      <c r="F593" s="2462"/>
      <c r="G593" s="2462"/>
      <c r="H593" s="2462"/>
      <c r="I593" s="2579"/>
      <c r="J593" s="2579"/>
      <c r="K593" s="2579"/>
      <c r="L593" s="2579"/>
      <c r="M593" s="2579"/>
      <c r="N593" s="2579"/>
      <c r="O593" s="2579"/>
    </row>
    <row r="594" spans="1:15" s="2463" customFormat="1" ht="7.5" customHeight="1">
      <c r="A594" s="2462"/>
      <c r="B594" s="2462"/>
      <c r="C594" s="2462"/>
      <c r="D594" s="2462"/>
      <c r="E594" s="2462"/>
      <c r="F594" s="2462"/>
      <c r="G594" s="2462"/>
      <c r="H594" s="2462"/>
      <c r="I594" s="2579"/>
      <c r="J594" s="2579"/>
      <c r="K594" s="2579"/>
      <c r="L594" s="2579"/>
      <c r="M594" s="2579"/>
      <c r="N594" s="2579"/>
      <c r="O594" s="2579"/>
    </row>
    <row r="595" spans="1:15" s="2463" customFormat="1" ht="7.5" customHeight="1">
      <c r="A595" s="2462"/>
      <c r="B595" s="2462"/>
      <c r="C595" s="2462"/>
      <c r="D595" s="2462"/>
      <c r="E595" s="2462"/>
      <c r="F595" s="2462"/>
      <c r="G595" s="2462"/>
      <c r="H595" s="2462"/>
      <c r="I595" s="2579"/>
      <c r="J595" s="2579"/>
      <c r="K595" s="2579"/>
      <c r="L595" s="2579"/>
      <c r="M595" s="2579"/>
      <c r="N595" s="2579"/>
      <c r="O595" s="2579"/>
    </row>
    <row r="596" spans="1:15" s="2463" customFormat="1" ht="7.5" customHeight="1">
      <c r="A596" s="2462"/>
      <c r="B596" s="2462"/>
      <c r="C596" s="2462"/>
      <c r="D596" s="2462"/>
      <c r="E596" s="2462"/>
      <c r="F596" s="2462"/>
      <c r="G596" s="2462"/>
      <c r="H596" s="2462"/>
      <c r="I596" s="2579"/>
      <c r="J596" s="2579"/>
      <c r="K596" s="2579"/>
      <c r="L596" s="2579"/>
      <c r="M596" s="2579"/>
      <c r="N596" s="2579"/>
      <c r="O596" s="2579"/>
    </row>
    <row r="597" spans="1:15" s="2463" customFormat="1" ht="7.5" customHeight="1">
      <c r="A597" s="2462"/>
      <c r="B597" s="2462"/>
      <c r="C597" s="2462"/>
      <c r="D597" s="2462"/>
      <c r="E597" s="2462"/>
      <c r="F597" s="2462"/>
      <c r="G597" s="2462"/>
      <c r="H597" s="2462"/>
      <c r="I597" s="2579"/>
      <c r="J597" s="2579"/>
      <c r="K597" s="2579"/>
      <c r="L597" s="2579"/>
      <c r="M597" s="2579"/>
      <c r="N597" s="2579"/>
      <c r="O597" s="2579"/>
    </row>
    <row r="598" spans="1:15" s="2463" customFormat="1" ht="7.5" customHeight="1">
      <c r="A598" s="2462"/>
      <c r="B598" s="2462"/>
      <c r="C598" s="2462"/>
      <c r="D598" s="2462"/>
      <c r="E598" s="2462"/>
      <c r="F598" s="2462"/>
      <c r="G598" s="2462"/>
      <c r="H598" s="2462"/>
      <c r="I598" s="2579"/>
      <c r="J598" s="2579"/>
      <c r="K598" s="2579"/>
      <c r="L598" s="2579"/>
      <c r="M598" s="2579"/>
      <c r="N598" s="2579"/>
      <c r="O598" s="2579"/>
    </row>
    <row r="599" spans="1:15" s="2463" customFormat="1" ht="7.5" customHeight="1">
      <c r="A599" s="2462"/>
      <c r="B599" s="2462"/>
      <c r="C599" s="2462"/>
      <c r="D599" s="2462"/>
      <c r="E599" s="2462"/>
      <c r="F599" s="2462"/>
      <c r="G599" s="2462"/>
      <c r="H599" s="2462"/>
      <c r="I599" s="2579"/>
      <c r="J599" s="2579"/>
      <c r="K599" s="2579"/>
      <c r="L599" s="2579"/>
      <c r="M599" s="2579"/>
      <c r="N599" s="2579"/>
      <c r="O599" s="2579"/>
    </row>
    <row r="600" spans="1:15" s="2463" customFormat="1" ht="7.5" customHeight="1">
      <c r="A600" s="2462"/>
      <c r="B600" s="2462"/>
      <c r="C600" s="2462"/>
      <c r="D600" s="2462"/>
      <c r="E600" s="2462"/>
      <c r="F600" s="2462"/>
      <c r="G600" s="2462"/>
      <c r="H600" s="2462"/>
      <c r="I600" s="2579"/>
      <c r="J600" s="2579"/>
      <c r="K600" s="2579"/>
      <c r="L600" s="2579"/>
      <c r="M600" s="2579"/>
      <c r="N600" s="2579"/>
      <c r="O600" s="2579"/>
    </row>
    <row r="604" spans="1:15" s="2463" customFormat="1">
      <c r="A604" s="2462"/>
      <c r="B604" s="2462"/>
      <c r="C604" s="2462"/>
      <c r="D604" s="2462"/>
      <c r="E604" s="2462"/>
      <c r="F604" s="2462"/>
      <c r="G604" s="2462"/>
      <c r="H604" s="2462"/>
      <c r="I604" s="2579"/>
      <c r="J604" s="2579"/>
      <c r="K604" s="2579"/>
      <c r="L604" s="2579"/>
      <c r="M604" s="2579"/>
      <c r="N604" s="2579"/>
      <c r="O604" s="2579"/>
    </row>
    <row r="605" spans="1:15" s="2463" customFormat="1">
      <c r="A605" s="2462"/>
      <c r="B605" s="2462"/>
      <c r="C605" s="2462"/>
      <c r="D605" s="2462"/>
      <c r="E605" s="2462"/>
      <c r="F605" s="2462"/>
      <c r="G605" s="2462"/>
      <c r="H605" s="2462"/>
      <c r="I605" s="2579"/>
      <c r="J605" s="2579"/>
      <c r="K605" s="2579"/>
      <c r="L605" s="2579"/>
      <c r="M605" s="2579"/>
      <c r="N605" s="2579"/>
      <c r="O605" s="2579"/>
    </row>
    <row r="606" spans="1:15" s="2463" customFormat="1">
      <c r="A606" s="2462"/>
      <c r="B606" s="2462"/>
      <c r="C606" s="2462"/>
      <c r="D606" s="2462"/>
      <c r="E606" s="2462"/>
      <c r="F606" s="2462"/>
      <c r="G606" s="2462"/>
      <c r="H606" s="2462"/>
      <c r="I606" s="2579"/>
      <c r="J606" s="2579"/>
      <c r="K606" s="2579"/>
      <c r="L606" s="2579"/>
      <c r="M606" s="2579"/>
      <c r="N606" s="2579"/>
      <c r="O606" s="2579"/>
    </row>
    <row r="607" spans="1:15" s="2463" customFormat="1">
      <c r="A607" s="2462"/>
      <c r="B607" s="2462"/>
      <c r="C607" s="2462"/>
      <c r="D607" s="2462"/>
      <c r="E607" s="2462"/>
      <c r="F607" s="2462"/>
      <c r="G607" s="2462"/>
      <c r="H607" s="2462"/>
      <c r="I607" s="2579"/>
      <c r="J607" s="2579"/>
      <c r="K607" s="2579"/>
      <c r="L607" s="2579"/>
      <c r="M607" s="2579"/>
      <c r="N607" s="2579"/>
      <c r="O607" s="2579"/>
    </row>
    <row r="608" spans="1:15" s="2463" customFormat="1">
      <c r="A608" s="2462"/>
      <c r="B608" s="2462"/>
      <c r="C608" s="2462"/>
      <c r="D608" s="2462"/>
      <c r="E608" s="2462"/>
      <c r="F608" s="2462"/>
      <c r="G608" s="2462"/>
      <c r="H608" s="2462"/>
      <c r="I608" s="2579"/>
      <c r="J608" s="2579"/>
      <c r="K608" s="2579"/>
      <c r="L608" s="2579"/>
      <c r="M608" s="2579"/>
      <c r="N608" s="2579"/>
      <c r="O608" s="2579"/>
    </row>
    <row r="609" spans="1:15" s="2463" customFormat="1">
      <c r="A609" s="2462"/>
      <c r="B609" s="2462"/>
      <c r="C609" s="2462"/>
      <c r="D609" s="2462"/>
      <c r="E609" s="2462"/>
      <c r="F609" s="2462"/>
      <c r="G609" s="2462"/>
      <c r="H609" s="2462"/>
      <c r="I609" s="2579"/>
      <c r="J609" s="2579"/>
      <c r="K609" s="2579"/>
      <c r="L609" s="2579"/>
      <c r="M609" s="2579"/>
      <c r="N609" s="2579"/>
      <c r="O609" s="2579"/>
    </row>
    <row r="610" spans="1:15" s="2463" customFormat="1">
      <c r="A610" s="2462"/>
      <c r="B610" s="2462"/>
      <c r="C610" s="2462"/>
      <c r="D610" s="2462"/>
      <c r="E610" s="2462"/>
      <c r="F610" s="2462"/>
      <c r="G610" s="2462"/>
      <c r="H610" s="2462"/>
      <c r="I610" s="2579"/>
      <c r="J610" s="2579"/>
      <c r="K610" s="2579"/>
      <c r="L610" s="2579"/>
      <c r="M610" s="2579"/>
      <c r="N610" s="2579"/>
      <c r="O610" s="2579"/>
    </row>
    <row r="611" spans="1:15" s="2463" customFormat="1">
      <c r="A611" s="2462"/>
      <c r="B611" s="2462"/>
      <c r="C611" s="2462"/>
      <c r="D611" s="2462"/>
      <c r="E611" s="2462"/>
      <c r="F611" s="2462"/>
      <c r="G611" s="2462"/>
      <c r="H611" s="2462"/>
      <c r="I611" s="2579"/>
      <c r="J611" s="2579"/>
      <c r="K611" s="2579"/>
      <c r="L611" s="2579"/>
      <c r="M611" s="2579"/>
      <c r="N611" s="2579"/>
      <c r="O611" s="2579"/>
    </row>
    <row r="612" spans="1:15" s="2463" customFormat="1">
      <c r="A612" s="2462"/>
      <c r="B612" s="2462"/>
      <c r="C612" s="2462"/>
      <c r="D612" s="2462"/>
      <c r="E612" s="2462"/>
      <c r="F612" s="2462"/>
      <c r="G612" s="2462"/>
      <c r="H612" s="2462"/>
      <c r="I612" s="2579"/>
      <c r="J612" s="2579"/>
      <c r="K612" s="2579"/>
      <c r="L612" s="2579"/>
      <c r="M612" s="2579"/>
      <c r="N612" s="2579"/>
      <c r="O612" s="2579"/>
    </row>
    <row r="613" spans="1:15" s="2463" customFormat="1">
      <c r="A613" s="2462"/>
      <c r="B613" s="2462"/>
      <c r="C613" s="2462"/>
      <c r="D613" s="2462"/>
      <c r="E613" s="2462"/>
      <c r="F613" s="2462"/>
      <c r="G613" s="2462"/>
      <c r="H613" s="2462"/>
      <c r="I613" s="2579"/>
      <c r="J613" s="2579"/>
      <c r="K613" s="2579"/>
      <c r="L613" s="2579"/>
      <c r="M613" s="2579"/>
      <c r="N613" s="2579"/>
      <c r="O613" s="2579"/>
    </row>
    <row r="614" spans="1:15" s="2463" customFormat="1">
      <c r="A614" s="2462"/>
      <c r="B614" s="2462"/>
      <c r="C614" s="2462"/>
      <c r="D614" s="2462"/>
      <c r="E614" s="2462"/>
      <c r="F614" s="2462"/>
      <c r="G614" s="2462"/>
      <c r="H614" s="2462"/>
      <c r="I614" s="2579"/>
      <c r="J614" s="2579"/>
      <c r="K614" s="2579"/>
      <c r="L614" s="2579"/>
      <c r="M614" s="2579"/>
      <c r="N614" s="2579"/>
      <c r="O614" s="2579"/>
    </row>
    <row r="615" spans="1:15" s="2463" customFormat="1">
      <c r="A615" s="2462"/>
      <c r="B615" s="2462"/>
      <c r="C615" s="2462"/>
      <c r="D615" s="2462"/>
      <c r="E615" s="2462"/>
      <c r="F615" s="2462"/>
      <c r="G615" s="2462"/>
      <c r="H615" s="2462"/>
      <c r="I615" s="2579"/>
      <c r="J615" s="2579"/>
      <c r="K615" s="2579"/>
      <c r="L615" s="2579"/>
      <c r="M615" s="2579"/>
      <c r="N615" s="2579"/>
      <c r="O615" s="2579"/>
    </row>
    <row r="616" spans="1:15" s="2463" customFormat="1">
      <c r="A616" s="2462"/>
      <c r="B616" s="2462"/>
      <c r="C616" s="2462"/>
      <c r="D616" s="2462"/>
      <c r="E616" s="2462"/>
      <c r="F616" s="2462"/>
      <c r="G616" s="2462"/>
      <c r="H616" s="2462"/>
      <c r="I616" s="2579"/>
      <c r="J616" s="2579"/>
      <c r="K616" s="2579"/>
      <c r="L616" s="2579"/>
      <c r="M616" s="2579"/>
      <c r="N616" s="2579"/>
      <c r="O616" s="2579"/>
    </row>
    <row r="617" spans="1:15" s="2463" customFormat="1">
      <c r="A617" s="2462"/>
      <c r="B617" s="2462"/>
      <c r="C617" s="2462"/>
      <c r="D617" s="2462"/>
      <c r="E617" s="2462"/>
      <c r="F617" s="2462"/>
      <c r="G617" s="2462"/>
      <c r="H617" s="2462"/>
      <c r="I617" s="2579"/>
      <c r="J617" s="2579"/>
      <c r="K617" s="2579"/>
      <c r="L617" s="2579"/>
      <c r="M617" s="2579"/>
      <c r="N617" s="2579"/>
      <c r="O617" s="2579"/>
    </row>
    <row r="618" spans="1:15" s="2463" customFormat="1">
      <c r="A618" s="2462"/>
      <c r="B618" s="2462"/>
      <c r="C618" s="2462"/>
      <c r="D618" s="2462"/>
      <c r="E618" s="2462"/>
      <c r="F618" s="2462"/>
      <c r="G618" s="2462"/>
      <c r="H618" s="2462"/>
      <c r="I618" s="2579"/>
      <c r="J618" s="2579"/>
      <c r="K618" s="2579"/>
      <c r="L618" s="2579"/>
      <c r="M618" s="2579"/>
      <c r="N618" s="2579"/>
      <c r="O618" s="2579"/>
    </row>
    <row r="619" spans="1:15" s="2463" customFormat="1">
      <c r="A619" s="2462"/>
      <c r="B619" s="2462"/>
      <c r="C619" s="2462"/>
      <c r="D619" s="2462"/>
      <c r="E619" s="2462"/>
      <c r="F619" s="2462"/>
      <c r="G619" s="2462"/>
      <c r="H619" s="2462"/>
      <c r="I619" s="2579"/>
      <c r="J619" s="2579"/>
      <c r="K619" s="2579"/>
      <c r="L619" s="2579"/>
      <c r="M619" s="2579"/>
      <c r="N619" s="2579"/>
      <c r="O619" s="2579"/>
    </row>
    <row r="620" spans="1:15" s="2463" customFormat="1">
      <c r="A620" s="2462"/>
      <c r="B620" s="2462"/>
      <c r="C620" s="2462"/>
      <c r="D620" s="2462"/>
      <c r="E620" s="2462"/>
      <c r="F620" s="2462"/>
      <c r="G620" s="2462"/>
      <c r="H620" s="2462"/>
      <c r="I620" s="2579"/>
      <c r="J620" s="2579"/>
      <c r="K620" s="2579"/>
      <c r="L620" s="2579"/>
      <c r="M620" s="2579"/>
      <c r="N620" s="2579"/>
      <c r="O620" s="2579"/>
    </row>
  </sheetData>
  <mergeCells count="29">
    <mergeCell ref="C132:D132"/>
    <mergeCell ref="E132:H132"/>
    <mergeCell ref="A113:H113"/>
    <mergeCell ref="A114:H114"/>
    <mergeCell ref="A119:B121"/>
    <mergeCell ref="E119:G119"/>
    <mergeCell ref="E129:F129"/>
    <mergeCell ref="C131:D131"/>
    <mergeCell ref="E131:H131"/>
    <mergeCell ref="C76:D76"/>
    <mergeCell ref="E76:H76"/>
    <mergeCell ref="C34:E34"/>
    <mergeCell ref="F34:H34"/>
    <mergeCell ref="A35:B35"/>
    <mergeCell ref="C35:E35"/>
    <mergeCell ref="A57:H57"/>
    <mergeCell ref="A58:H58"/>
    <mergeCell ref="A63:B65"/>
    <mergeCell ref="E63:G63"/>
    <mergeCell ref="E73:F73"/>
    <mergeCell ref="C75:D75"/>
    <mergeCell ref="E75:H75"/>
    <mergeCell ref="A5:H5"/>
    <mergeCell ref="A6:H6"/>
    <mergeCell ref="A11:B13"/>
    <mergeCell ref="E11:G11"/>
    <mergeCell ref="A33:B33"/>
    <mergeCell ref="C33:E33"/>
    <mergeCell ref="F33:H33"/>
  </mergeCells>
  <pageMargins left="0.5" right="0" top="0.25" bottom="0" header="0.5" footer="0"/>
  <pageSetup paperSize="5" orientation="portrait"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5" sqref="F35"/>
    </sheetView>
  </sheetViews>
  <sheetFormatPr defaultRowHeight="12.75"/>
  <cols>
    <col min="1" max="16384" width="9.140625" style="2723"/>
  </cols>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2:EP140"/>
  <sheetViews>
    <sheetView showGridLines="0" showOutlineSymbols="0" zoomScale="90" zoomScaleNormal="90" workbookViewId="0">
      <selection activeCell="K74" sqref="K74"/>
    </sheetView>
  </sheetViews>
  <sheetFormatPr defaultColWidth="12.5703125" defaultRowHeight="15.75" outlineLevelRow="2" outlineLevelCol="2"/>
  <cols>
    <col min="1" max="1" width="1.85546875" style="1390" customWidth="1"/>
    <col min="2" max="2" width="31.85546875" style="1390" customWidth="1"/>
    <col min="3" max="3" width="10.7109375" style="2525" customWidth="1"/>
    <col min="4" max="5" width="11.28515625" style="1390" customWidth="1"/>
    <col min="6" max="7" width="11.140625" style="1390" customWidth="1"/>
    <col min="8" max="8" width="11.5703125" style="1390" customWidth="1"/>
    <col min="9" max="9" width="13.42578125" style="1390" bestFit="1" customWidth="1"/>
    <col min="10" max="13" width="12.5703125" style="1390"/>
    <col min="14" max="14" width="15.5703125" style="1390" customWidth="1"/>
    <col min="15" max="45" width="12.5703125" style="1390"/>
    <col min="46" max="50" width="12.5703125" style="1390" outlineLevel="1"/>
    <col min="51" max="56" width="12.5703125" style="1390" outlineLevel="2"/>
    <col min="57" max="59" width="12.5703125" style="1390" outlineLevel="1"/>
    <col min="60" max="79" width="12.5703125" style="1390"/>
    <col min="80" max="83" width="12.5703125" style="1390" outlineLevel="1"/>
    <col min="84" max="131" width="12.5703125" style="1390"/>
    <col min="132" max="137" width="12.5703125" style="1390" outlineLevel="1"/>
    <col min="138" max="143" width="12.5703125" style="1390" outlineLevel="2"/>
    <col min="144" max="146" width="12.5703125" style="1390" outlineLevel="1"/>
    <col min="147" max="16384" width="12.5703125" style="1390"/>
  </cols>
  <sheetData>
    <row r="2" spans="1:10" ht="14.25" customHeight="1">
      <c r="A2" s="1403"/>
      <c r="B2" s="1478" t="s">
        <v>473</v>
      </c>
      <c r="C2" s="1390"/>
      <c r="D2" s="1477"/>
      <c r="E2" s="1477"/>
      <c r="F2" s="1478"/>
      <c r="H2" s="1477"/>
    </row>
    <row r="3" spans="1:10" ht="14.25" customHeight="1">
      <c r="A3" s="1403"/>
      <c r="B3" s="1477" t="s">
        <v>1291</v>
      </c>
      <c r="C3" s="1390"/>
      <c r="D3" s="1477"/>
      <c r="E3" s="1477"/>
      <c r="F3" s="1477"/>
      <c r="H3" s="1477"/>
    </row>
    <row r="4" spans="1:10" ht="14.25" customHeight="1">
      <c r="A4" s="1403"/>
      <c r="B4" s="1403"/>
      <c r="E4" s="1477"/>
      <c r="G4" s="1478"/>
      <c r="H4" s="1477"/>
    </row>
    <row r="5" spans="1:10" ht="14.25" customHeight="1">
      <c r="A5" s="1403"/>
      <c r="B5" s="1403"/>
      <c r="E5" s="1477"/>
      <c r="G5" s="1478"/>
      <c r="H5" s="1477"/>
    </row>
    <row r="6" spans="1:10" ht="14.25" customHeight="1">
      <c r="A6" s="4872" t="s">
        <v>471</v>
      </c>
      <c r="B6" s="4872"/>
      <c r="C6" s="4872"/>
      <c r="D6" s="4872"/>
      <c r="E6" s="4872"/>
      <c r="F6" s="4872"/>
      <c r="G6" s="4872"/>
      <c r="H6" s="4872"/>
    </row>
    <row r="7" spans="1:10" ht="14.25" customHeight="1">
      <c r="A7" s="4742" t="s">
        <v>470</v>
      </c>
      <c r="B7" s="4742"/>
      <c r="C7" s="4742"/>
      <c r="D7" s="4742"/>
      <c r="E7" s="4742"/>
      <c r="F7" s="4742"/>
      <c r="G7" s="4742"/>
      <c r="H7" s="4742"/>
    </row>
    <row r="8" spans="1:10" ht="14.25" customHeight="1">
      <c r="A8" s="2836"/>
      <c r="B8" s="2836"/>
      <c r="C8" s="2837"/>
      <c r="D8" s="2836"/>
      <c r="E8" s="2836"/>
      <c r="F8" s="2836"/>
      <c r="G8" s="2836"/>
      <c r="H8" s="2836"/>
    </row>
    <row r="9" spans="1:10" ht="14.25" customHeight="1">
      <c r="A9" s="1577" t="s">
        <v>2120</v>
      </c>
      <c r="D9" s="1403"/>
      <c r="E9" s="1403"/>
      <c r="F9" s="1403"/>
      <c r="G9" s="1403"/>
      <c r="H9" s="1403"/>
    </row>
    <row r="10" spans="1:10" ht="14.25" customHeight="1">
      <c r="A10" s="4743" t="s">
        <v>468</v>
      </c>
      <c r="B10" s="4744"/>
      <c r="C10" s="2779" t="s">
        <v>467</v>
      </c>
      <c r="D10" s="2608" t="s">
        <v>466</v>
      </c>
      <c r="E10" s="4869" t="s">
        <v>465</v>
      </c>
      <c r="F10" s="4870"/>
      <c r="G10" s="4871"/>
      <c r="H10" s="2779" t="s">
        <v>464</v>
      </c>
    </row>
    <row r="11" spans="1:10" ht="14.25" customHeight="1">
      <c r="A11" s="4745"/>
      <c r="B11" s="4746"/>
      <c r="C11" s="2778" t="s">
        <v>463</v>
      </c>
      <c r="D11" s="2517">
        <v>2020</v>
      </c>
      <c r="E11" s="2777" t="s">
        <v>462</v>
      </c>
      <c r="F11" s="2776" t="s">
        <v>461</v>
      </c>
      <c r="G11" s="2517" t="s">
        <v>244</v>
      </c>
      <c r="H11" s="2517">
        <v>2022</v>
      </c>
    </row>
    <row r="12" spans="1:10" ht="14.25" customHeight="1">
      <c r="A12" s="4747"/>
      <c r="B12" s="4748"/>
      <c r="C12" s="2775"/>
      <c r="D12" s="2602" t="s">
        <v>460</v>
      </c>
      <c r="E12" s="2602" t="s">
        <v>460</v>
      </c>
      <c r="F12" s="2602" t="s">
        <v>459</v>
      </c>
      <c r="G12" s="2623"/>
      <c r="H12" s="2602" t="s">
        <v>458</v>
      </c>
      <c r="I12" s="1395"/>
      <c r="J12" s="1395"/>
    </row>
    <row r="13" spans="1:10" ht="18" customHeight="1">
      <c r="A13" s="1574" t="s">
        <v>456</v>
      </c>
      <c r="B13" s="1569"/>
      <c r="C13" s="2835"/>
      <c r="D13" s="1573"/>
      <c r="E13" s="1573"/>
      <c r="F13" s="1572"/>
      <c r="G13" s="1572"/>
      <c r="H13" s="2834"/>
      <c r="I13" s="1395"/>
      <c r="J13" s="1395"/>
    </row>
    <row r="14" spans="1:10" ht="12.75" customHeight="1">
      <c r="A14" s="1574" t="s">
        <v>455</v>
      </c>
      <c r="B14" s="1569"/>
      <c r="C14" s="2833"/>
      <c r="D14" s="2832">
        <f>SUM(D15:D37)</f>
        <v>13074468.199999999</v>
      </c>
      <c r="E14" s="2832">
        <f>SUM(E16:E37)</f>
        <v>6520641.0800000001</v>
      </c>
      <c r="F14" s="2832">
        <f>SUM(F16:F37)</f>
        <v>8614537.9199999999</v>
      </c>
      <c r="G14" s="2832">
        <f>SUM(G16:G37)</f>
        <v>15135179</v>
      </c>
      <c r="H14" s="2832">
        <f>SUM(H16:H37)</f>
        <v>16502922</v>
      </c>
      <c r="I14" s="1395"/>
      <c r="J14" s="1395"/>
    </row>
    <row r="15" spans="1:10" ht="15.95" customHeight="1" outlineLevel="1">
      <c r="A15" s="2068" t="s">
        <v>454</v>
      </c>
      <c r="B15" s="2067"/>
      <c r="C15" s="2831"/>
      <c r="D15" s="2065"/>
      <c r="E15" s="2065"/>
      <c r="F15" s="2065"/>
      <c r="G15" s="2065"/>
      <c r="H15" s="2830"/>
      <c r="I15" s="1395"/>
      <c r="J15" s="1395"/>
    </row>
    <row r="16" spans="1:10" ht="15.95" customHeight="1" outlineLevel="1">
      <c r="A16" s="2039" t="s">
        <v>1700</v>
      </c>
      <c r="B16" s="2818"/>
      <c r="C16" s="2822" t="s">
        <v>453</v>
      </c>
      <c r="D16" s="2829">
        <v>7430785.0800000001</v>
      </c>
      <c r="E16" s="2825">
        <v>4361498.22</v>
      </c>
      <c r="F16" s="2816">
        <f>G16-E16</f>
        <v>5221413.78</v>
      </c>
      <c r="G16" s="2828">
        <v>9582912</v>
      </c>
      <c r="H16" s="465">
        <v>10150224</v>
      </c>
      <c r="I16" s="1395"/>
      <c r="J16" s="1395"/>
    </row>
    <row r="17" spans="1:12" ht="15.95" customHeight="1" outlineLevel="1">
      <c r="A17" s="2052" t="s">
        <v>452</v>
      </c>
      <c r="B17" s="2049"/>
      <c r="C17" s="2822"/>
      <c r="D17" s="2036"/>
      <c r="E17" s="2825"/>
      <c r="F17" s="2816"/>
      <c r="G17" s="2816"/>
      <c r="H17" s="2827"/>
      <c r="I17" s="1395"/>
      <c r="J17" s="1395"/>
    </row>
    <row r="18" spans="1:12" ht="15.95" customHeight="1" outlineLevel="1">
      <c r="A18" s="2039" t="s">
        <v>451</v>
      </c>
      <c r="B18" s="2818"/>
      <c r="C18" s="2822" t="s">
        <v>450</v>
      </c>
      <c r="D18" s="2036">
        <v>735412.92</v>
      </c>
      <c r="E18" s="2825">
        <v>519146.33</v>
      </c>
      <c r="F18" s="2816">
        <f>G18-E18</f>
        <v>440853.67</v>
      </c>
      <c r="G18" s="2816">
        <v>960000</v>
      </c>
      <c r="H18" s="465">
        <v>1008000</v>
      </c>
      <c r="I18" s="1395"/>
      <c r="J18" s="1395"/>
    </row>
    <row r="19" spans="1:12" ht="15.95" customHeight="1" outlineLevel="1">
      <c r="A19" s="2039" t="s">
        <v>449</v>
      </c>
      <c r="B19" s="2818"/>
      <c r="C19" s="2822" t="s">
        <v>448</v>
      </c>
      <c r="D19" s="2036">
        <v>85500</v>
      </c>
      <c r="E19" s="2825">
        <v>35625</v>
      </c>
      <c r="F19" s="2816">
        <f>SUM(G19-E19)</f>
        <v>49875</v>
      </c>
      <c r="G19" s="2816">
        <v>85500</v>
      </c>
      <c r="H19" s="2826">
        <f>7125*12</f>
        <v>85500</v>
      </c>
      <c r="I19" s="1395"/>
      <c r="J19" s="1395"/>
    </row>
    <row r="20" spans="1:12" ht="15.95" customHeight="1" outlineLevel="1">
      <c r="A20" s="2039" t="s">
        <v>1699</v>
      </c>
      <c r="B20" s="2818"/>
      <c r="C20" s="2822" t="s">
        <v>446</v>
      </c>
      <c r="D20" s="2036">
        <v>85500</v>
      </c>
      <c r="E20" s="2825">
        <v>35625</v>
      </c>
      <c r="F20" s="2816">
        <f>SUM(G20-E20)</f>
        <v>49875</v>
      </c>
      <c r="G20" s="2816">
        <v>85500</v>
      </c>
      <c r="H20" s="2826">
        <f>7125*12</f>
        <v>85500</v>
      </c>
      <c r="I20" s="1395"/>
      <c r="J20" s="1395"/>
    </row>
    <row r="21" spans="1:12" ht="15.95" customHeight="1" outlineLevel="1">
      <c r="A21" s="2039" t="s">
        <v>445</v>
      </c>
      <c r="B21" s="2818"/>
      <c r="C21" s="2822" t="s">
        <v>444</v>
      </c>
      <c r="D21" s="2036">
        <v>174000</v>
      </c>
      <c r="E21" s="2825">
        <v>204000</v>
      </c>
      <c r="F21" s="2816">
        <f>G21-E21</f>
        <v>36000</v>
      </c>
      <c r="G21" s="2816">
        <v>240000</v>
      </c>
      <c r="H21" s="465">
        <v>252000</v>
      </c>
      <c r="I21" s="1395"/>
      <c r="J21" s="1395"/>
    </row>
    <row r="22" spans="1:12" ht="15.95" customHeight="1" outlineLevel="1">
      <c r="A22" s="2039" t="s">
        <v>1506</v>
      </c>
      <c r="B22" s="2818"/>
      <c r="C22" s="2822" t="s">
        <v>444</v>
      </c>
      <c r="D22" s="2036">
        <v>608329</v>
      </c>
      <c r="E22" s="2817">
        <v>0</v>
      </c>
      <c r="F22" s="2816">
        <f>G22</f>
        <v>798137</v>
      </c>
      <c r="G22" s="2816">
        <v>798137</v>
      </c>
      <c r="H22" s="1547">
        <f>H16/12</f>
        <v>845852</v>
      </c>
      <c r="I22" s="1530"/>
      <c r="J22" s="1395"/>
      <c r="K22" s="1533"/>
      <c r="L22" s="1533"/>
    </row>
    <row r="23" spans="1:12" ht="15.95" customHeight="1" outlineLevel="1">
      <c r="A23" s="2039" t="s">
        <v>438</v>
      </c>
      <c r="B23" s="2818"/>
      <c r="C23" s="2822" t="s">
        <v>437</v>
      </c>
      <c r="D23" s="2036">
        <v>151000</v>
      </c>
      <c r="E23" s="2817">
        <v>0</v>
      </c>
      <c r="F23" s="2816">
        <v>200000</v>
      </c>
      <c r="G23" s="2816">
        <v>200000</v>
      </c>
      <c r="H23" s="1547">
        <v>210000</v>
      </c>
      <c r="I23" s="1533"/>
      <c r="J23" s="1533"/>
      <c r="K23" s="1533"/>
      <c r="L23" s="1533"/>
    </row>
    <row r="24" spans="1:12" ht="15.95" customHeight="1" outlineLevel="1">
      <c r="A24" s="2039" t="s">
        <v>436</v>
      </c>
      <c r="B24" s="2818"/>
      <c r="C24" s="2820" t="s">
        <v>435</v>
      </c>
      <c r="D24" s="2036">
        <v>595001</v>
      </c>
      <c r="E24" s="2817">
        <v>717042</v>
      </c>
      <c r="F24" s="2816">
        <f>G24-E24</f>
        <v>81095</v>
      </c>
      <c r="G24" s="2816">
        <v>798137</v>
      </c>
      <c r="H24" s="1547">
        <f>H16/12</f>
        <v>845852</v>
      </c>
      <c r="I24" s="1530"/>
      <c r="J24" s="1395"/>
      <c r="K24" s="1533"/>
      <c r="L24" s="1533"/>
    </row>
    <row r="25" spans="1:12" ht="15.95" customHeight="1" outlineLevel="1">
      <c r="A25" s="2052" t="s">
        <v>434</v>
      </c>
      <c r="B25" s="2049"/>
      <c r="C25" s="2822"/>
      <c r="D25" s="2036"/>
      <c r="E25" s="2817"/>
      <c r="F25" s="2816"/>
      <c r="G25" s="2816"/>
      <c r="H25" s="1547"/>
      <c r="I25" s="1533"/>
      <c r="J25" s="1533"/>
      <c r="K25" s="1533"/>
      <c r="L25" s="1533"/>
    </row>
    <row r="26" spans="1:12" ht="15.95" customHeight="1" outlineLevel="1">
      <c r="A26" s="2824" t="s">
        <v>1288</v>
      </c>
      <c r="B26" s="2818"/>
      <c r="C26" s="2822" t="s">
        <v>433</v>
      </c>
      <c r="D26" s="2036">
        <v>891694.59</v>
      </c>
      <c r="E26" s="2816">
        <v>526197.79</v>
      </c>
      <c r="F26" s="2816">
        <f>G26-E26</f>
        <v>621632.21</v>
      </c>
      <c r="G26" s="2816">
        <v>1147830</v>
      </c>
      <c r="H26" s="1547">
        <v>1218027</v>
      </c>
      <c r="I26" s="1533"/>
      <c r="J26" s="1533"/>
      <c r="K26" s="1533"/>
      <c r="L26" s="1533"/>
    </row>
    <row r="27" spans="1:12" ht="15.95" customHeight="1" outlineLevel="1">
      <c r="A27" s="2039" t="s">
        <v>432</v>
      </c>
      <c r="B27" s="2818"/>
      <c r="C27" s="2822" t="s">
        <v>431</v>
      </c>
      <c r="D27" s="2036">
        <v>37000</v>
      </c>
      <c r="E27" s="2817">
        <v>22300</v>
      </c>
      <c r="F27" s="2816">
        <f>G27-E27</f>
        <v>25700</v>
      </c>
      <c r="G27" s="2816">
        <v>48000</v>
      </c>
      <c r="H27" s="1547">
        <v>50400</v>
      </c>
      <c r="I27" s="1533"/>
      <c r="J27" s="1533"/>
      <c r="K27" s="1546"/>
      <c r="L27" s="1546"/>
    </row>
    <row r="28" spans="1:12" ht="15.95" customHeight="1" outlineLevel="1">
      <c r="A28" s="2039" t="s">
        <v>418</v>
      </c>
      <c r="B28" s="2818"/>
      <c r="C28" s="2822" t="s">
        <v>430</v>
      </c>
      <c r="D28" s="2036">
        <v>104543.11</v>
      </c>
      <c r="E28" s="2817">
        <v>61906.74</v>
      </c>
      <c r="F28" s="2816">
        <f>G28-E28</f>
        <v>100353.26000000001</v>
      </c>
      <c r="G28" s="2816">
        <v>162260</v>
      </c>
      <c r="H28" s="1547">
        <v>156479</v>
      </c>
      <c r="I28" s="1533"/>
      <c r="J28" s="1533"/>
      <c r="K28" s="1543"/>
      <c r="L28" s="1533"/>
    </row>
    <row r="29" spans="1:12" ht="15.95" customHeight="1" outlineLevel="1">
      <c r="A29" s="2039" t="s">
        <v>428</v>
      </c>
      <c r="B29" s="2818"/>
      <c r="C29" s="2822" t="s">
        <v>427</v>
      </c>
      <c r="D29" s="2036">
        <v>37000</v>
      </c>
      <c r="E29" s="2817">
        <v>22300</v>
      </c>
      <c r="F29" s="2816">
        <f>G29-E29</f>
        <v>25700</v>
      </c>
      <c r="G29" s="2816">
        <v>48000</v>
      </c>
      <c r="H29" s="1547">
        <v>50400</v>
      </c>
      <c r="I29" s="1533"/>
      <c r="J29" s="1533"/>
      <c r="K29" s="1543"/>
      <c r="L29" s="1533"/>
    </row>
    <row r="30" spans="1:12" ht="15.95" customHeight="1" outlineLevel="1">
      <c r="A30" s="2052" t="s">
        <v>425</v>
      </c>
      <c r="B30" s="2049"/>
      <c r="C30" s="2823"/>
      <c r="D30" s="2036"/>
      <c r="E30" s="2817"/>
      <c r="F30" s="2816"/>
      <c r="G30" s="2816"/>
      <c r="H30" s="1547"/>
      <c r="I30" s="1533"/>
      <c r="J30" s="1533"/>
      <c r="K30" s="1543"/>
      <c r="L30" s="1533"/>
    </row>
    <row r="31" spans="1:12" ht="15.95" customHeight="1" outlineLevel="1">
      <c r="A31" s="2039" t="s">
        <v>423</v>
      </c>
      <c r="B31" s="2818"/>
      <c r="C31" s="2822" t="s">
        <v>422</v>
      </c>
      <c r="D31" s="2036">
        <v>0</v>
      </c>
      <c r="E31" s="2817">
        <v>0</v>
      </c>
      <c r="F31" s="2816">
        <v>1000</v>
      </c>
      <c r="G31" s="2816">
        <f>E31+F31</f>
        <v>1000</v>
      </c>
      <c r="H31" s="2821">
        <v>1000</v>
      </c>
      <c r="I31" s="1533"/>
      <c r="J31" s="1533"/>
      <c r="K31" s="1543"/>
      <c r="L31" s="1533"/>
    </row>
    <row r="32" spans="1:12" ht="15.95" customHeight="1" outlineLevel="1">
      <c r="A32" s="2039" t="s">
        <v>420</v>
      </c>
      <c r="B32" s="2818"/>
      <c r="C32" s="2820" t="s">
        <v>419</v>
      </c>
      <c r="D32" s="2036">
        <v>1869702.5</v>
      </c>
      <c r="E32" s="2817">
        <v>0</v>
      </c>
      <c r="F32" s="2816">
        <f>G32-E32</f>
        <v>761903</v>
      </c>
      <c r="G32" s="2816">
        <v>761903</v>
      </c>
      <c r="H32" s="1547">
        <v>1332688</v>
      </c>
      <c r="I32" s="1533"/>
      <c r="J32" s="1533"/>
      <c r="K32" s="1543"/>
      <c r="L32" s="1533"/>
    </row>
    <row r="33" spans="1:12" ht="15.95" customHeight="1" outlineLevel="1">
      <c r="A33" s="2039" t="s">
        <v>417</v>
      </c>
      <c r="B33" s="2818"/>
      <c r="C33" s="2794" t="s">
        <v>416</v>
      </c>
      <c r="D33" s="2036">
        <v>20000</v>
      </c>
      <c r="E33" s="2817">
        <v>15000</v>
      </c>
      <c r="F33" s="2816">
        <f>G33-E33</f>
        <v>0</v>
      </c>
      <c r="G33" s="2816">
        <v>15000</v>
      </c>
      <c r="H33" s="1547">
        <v>5000</v>
      </c>
      <c r="I33" s="1533"/>
      <c r="J33" s="1533"/>
      <c r="K33" s="1543"/>
      <c r="L33" s="1533"/>
    </row>
    <row r="34" spans="1:12" ht="15.95" customHeight="1" outlineLevel="1">
      <c r="A34" s="2800" t="s">
        <v>414</v>
      </c>
      <c r="B34" s="2819"/>
      <c r="C34" s="2794" t="s">
        <v>2167</v>
      </c>
      <c r="D34" s="2036">
        <v>0</v>
      </c>
      <c r="E34" s="2817">
        <v>0</v>
      </c>
      <c r="F34" s="2816">
        <f>SUM(G34-E34)</f>
        <v>1000</v>
      </c>
      <c r="G34" s="2816">
        <v>1000</v>
      </c>
      <c r="H34" s="2814">
        <v>1000</v>
      </c>
      <c r="I34" s="1533"/>
      <c r="J34" s="1533"/>
      <c r="K34" s="1543"/>
      <c r="L34" s="1530"/>
    </row>
    <row r="35" spans="1:12" ht="15.95" customHeight="1" outlineLevel="1">
      <c r="A35" s="2039" t="s">
        <v>1689</v>
      </c>
      <c r="B35" s="2818"/>
      <c r="C35" s="1993"/>
      <c r="D35" s="2036"/>
      <c r="E35" s="2817"/>
      <c r="F35" s="2816"/>
      <c r="G35" s="2815"/>
      <c r="H35" s="2814"/>
      <c r="I35" s="1533"/>
      <c r="J35" s="1533"/>
      <c r="K35" s="1543"/>
      <c r="L35" s="1530"/>
    </row>
    <row r="36" spans="1:12" ht="15.95" customHeight="1" outlineLevel="1">
      <c r="A36" s="2039"/>
      <c r="B36" s="2818" t="s">
        <v>1688</v>
      </c>
      <c r="C36" s="2794" t="s">
        <v>2166</v>
      </c>
      <c r="D36" s="2036">
        <v>165000</v>
      </c>
      <c r="E36" s="2817">
        <v>0</v>
      </c>
      <c r="F36" s="2816">
        <f>G36</f>
        <v>200000</v>
      </c>
      <c r="G36" s="2815">
        <v>200000</v>
      </c>
      <c r="H36" s="2814">
        <v>205000</v>
      </c>
      <c r="I36" s="1533"/>
      <c r="J36" s="1533"/>
      <c r="K36" s="1543"/>
      <c r="L36" s="1530"/>
    </row>
    <row r="37" spans="1:12" ht="15.95" customHeight="1" outlineLevel="1">
      <c r="A37" s="2813" t="s">
        <v>409</v>
      </c>
      <c r="B37" s="2812"/>
      <c r="C37" s="2811" t="s">
        <v>408</v>
      </c>
      <c r="D37" s="2029">
        <v>84000</v>
      </c>
      <c r="E37" s="2810">
        <v>0</v>
      </c>
      <c r="F37" s="2809">
        <v>0</v>
      </c>
      <c r="G37" s="2808">
        <f>E37+F37</f>
        <v>0</v>
      </c>
      <c r="H37" s="2807">
        <v>0</v>
      </c>
      <c r="I37" s="1528"/>
      <c r="J37" s="1528"/>
      <c r="K37" s="1528"/>
      <c r="L37" s="1528"/>
    </row>
    <row r="38" spans="1:12" ht="20.100000000000001" customHeight="1" outlineLevel="1">
      <c r="A38" s="2806" t="s">
        <v>407</v>
      </c>
      <c r="B38" s="2805"/>
      <c r="C38" s="2804"/>
      <c r="D38" s="2803">
        <f>SUM(D39:D57)+D75+D77</f>
        <v>609216.99</v>
      </c>
      <c r="E38" s="2803">
        <f>SUM(E39:E57)+E75+E77</f>
        <v>311356.23</v>
      </c>
      <c r="F38" s="2803">
        <f>SUM(F39:F57)+F75+F77</f>
        <v>1240133.77</v>
      </c>
      <c r="G38" s="2803">
        <f>SUM(G39:G57)+G75+G77</f>
        <v>1551490</v>
      </c>
      <c r="H38" s="2803">
        <f>SUM(H39:H57)+H75+H77</f>
        <v>1293490</v>
      </c>
    </row>
    <row r="39" spans="1:12" s="2248" customFormat="1" ht="15.95" customHeight="1" outlineLevel="1">
      <c r="A39" s="2802" t="s">
        <v>646</v>
      </c>
      <c r="B39" s="2801"/>
      <c r="C39" s="463" t="s">
        <v>405</v>
      </c>
      <c r="D39" s="2750">
        <v>86930</v>
      </c>
      <c r="E39" s="2744">
        <v>62932</v>
      </c>
      <c r="F39" s="248">
        <f t="shared" ref="F39:F51" si="0">G39-E39</f>
        <v>87068</v>
      </c>
      <c r="G39" s="2744">
        <v>150000</v>
      </c>
      <c r="H39" s="2618">
        <v>150000</v>
      </c>
    </row>
    <row r="40" spans="1:12" s="2248" customFormat="1" ht="15.95" customHeight="1" outlineLevel="1">
      <c r="A40" s="2039" t="s">
        <v>1683</v>
      </c>
      <c r="B40" s="2040"/>
      <c r="C40" s="463" t="s">
        <v>403</v>
      </c>
      <c r="D40" s="2750">
        <v>18225</v>
      </c>
      <c r="E40" s="2744">
        <v>0</v>
      </c>
      <c r="F40" s="248">
        <f t="shared" si="0"/>
        <v>310000</v>
      </c>
      <c r="G40" s="2743">
        <v>310000</v>
      </c>
      <c r="H40" s="2618">
        <v>100000</v>
      </c>
    </row>
    <row r="41" spans="1:12" s="2248" customFormat="1" ht="15.95" customHeight="1" outlineLevel="1">
      <c r="A41" s="2039" t="s">
        <v>402</v>
      </c>
      <c r="B41" s="2040"/>
      <c r="C41" s="463" t="s">
        <v>401</v>
      </c>
      <c r="D41" s="2750">
        <v>56834.25</v>
      </c>
      <c r="E41" s="2744">
        <v>49607.75</v>
      </c>
      <c r="F41" s="248">
        <f t="shared" si="0"/>
        <v>40392.25</v>
      </c>
      <c r="G41" s="2743">
        <v>90000</v>
      </c>
      <c r="H41" s="2618">
        <v>90000</v>
      </c>
    </row>
    <row r="42" spans="1:12" s="2248" customFormat="1" ht="15.95" customHeight="1" outlineLevel="1">
      <c r="A42" s="2039" t="s">
        <v>2165</v>
      </c>
      <c r="B42" s="2040"/>
      <c r="C42" s="461" t="s">
        <v>2164</v>
      </c>
      <c r="D42" s="2750">
        <v>22008</v>
      </c>
      <c r="E42" s="2744">
        <v>10720</v>
      </c>
      <c r="F42" s="248">
        <f t="shared" si="0"/>
        <v>39280</v>
      </c>
      <c r="G42" s="2743">
        <v>50000</v>
      </c>
      <c r="H42" s="2618">
        <v>50000</v>
      </c>
    </row>
    <row r="43" spans="1:12" s="2248" customFormat="1" ht="15.95" customHeight="1" outlineLevel="1">
      <c r="A43" s="1990" t="s">
        <v>674</v>
      </c>
      <c r="B43" s="2040"/>
      <c r="C43" s="463" t="s">
        <v>396</v>
      </c>
      <c r="D43" s="2750">
        <v>28289.22</v>
      </c>
      <c r="E43" s="2744">
        <v>12996.78</v>
      </c>
      <c r="F43" s="248">
        <f t="shared" si="0"/>
        <v>107003.22</v>
      </c>
      <c r="G43" s="2743">
        <v>120000</v>
      </c>
      <c r="H43" s="2799">
        <v>120000</v>
      </c>
    </row>
    <row r="44" spans="1:12" s="2248" customFormat="1" ht="15.95" customHeight="1" outlineLevel="1">
      <c r="A44" s="1990" t="s">
        <v>878</v>
      </c>
      <c r="B44" s="2040"/>
      <c r="C44" s="461" t="s">
        <v>394</v>
      </c>
      <c r="D44" s="2750">
        <v>62016.55</v>
      </c>
      <c r="E44" s="2744">
        <v>34065</v>
      </c>
      <c r="F44" s="248">
        <f t="shared" si="0"/>
        <v>55935</v>
      </c>
      <c r="G44" s="2743">
        <v>90000</v>
      </c>
      <c r="H44" s="2799">
        <v>90000</v>
      </c>
    </row>
    <row r="45" spans="1:12" s="2248" customFormat="1" ht="15.95" customHeight="1" outlineLevel="1">
      <c r="A45" s="2800" t="s">
        <v>673</v>
      </c>
      <c r="B45" s="2040"/>
      <c r="C45" s="463" t="s">
        <v>1269</v>
      </c>
      <c r="D45" s="2750">
        <v>8864.5</v>
      </c>
      <c r="E45" s="2744">
        <v>2998.4</v>
      </c>
      <c r="F45" s="248">
        <f t="shared" si="0"/>
        <v>51001.599999999999</v>
      </c>
      <c r="G45" s="2743">
        <v>54000</v>
      </c>
      <c r="H45" s="2799">
        <v>30000</v>
      </c>
    </row>
    <row r="46" spans="1:12" s="2248" customFormat="1" ht="15.95" customHeight="1" outlineLevel="1">
      <c r="A46" s="2039" t="s">
        <v>1266</v>
      </c>
      <c r="B46" s="2040"/>
      <c r="C46" s="461" t="s">
        <v>1265</v>
      </c>
      <c r="D46" s="2750">
        <v>19567.759999999998</v>
      </c>
      <c r="E46" s="2744">
        <v>13102</v>
      </c>
      <c r="F46" s="248">
        <f t="shared" si="0"/>
        <v>60898</v>
      </c>
      <c r="G46" s="2743">
        <v>74000</v>
      </c>
      <c r="H46" s="2799">
        <v>50000</v>
      </c>
    </row>
    <row r="47" spans="1:12" s="2248" customFormat="1" ht="15.95" customHeight="1" outlineLevel="1">
      <c r="A47" s="2039" t="s">
        <v>1964</v>
      </c>
      <c r="B47" s="2040"/>
      <c r="C47" s="461" t="s">
        <v>392</v>
      </c>
      <c r="D47" s="2750">
        <v>0</v>
      </c>
      <c r="E47" s="2744">
        <v>205</v>
      </c>
      <c r="F47" s="248">
        <f t="shared" si="0"/>
        <v>4795</v>
      </c>
      <c r="G47" s="2743">
        <v>5000</v>
      </c>
      <c r="H47" s="2618">
        <v>5000</v>
      </c>
    </row>
    <row r="48" spans="1:12" s="2248" customFormat="1" ht="15.95" customHeight="1" outlineLevel="1">
      <c r="A48" s="2039" t="s">
        <v>391</v>
      </c>
      <c r="B48" s="2040"/>
      <c r="C48" s="461" t="s">
        <v>390</v>
      </c>
      <c r="D48" s="2750">
        <v>49920.71</v>
      </c>
      <c r="E48" s="2744">
        <v>28631.5</v>
      </c>
      <c r="F48" s="248">
        <f t="shared" si="0"/>
        <v>59368.5</v>
      </c>
      <c r="G48" s="2743">
        <v>88000</v>
      </c>
      <c r="H48" s="2618">
        <v>88000</v>
      </c>
    </row>
    <row r="49" spans="1:8" s="2248" customFormat="1" ht="15.95" customHeight="1" outlineLevel="1">
      <c r="A49" s="2017" t="s">
        <v>1264</v>
      </c>
      <c r="B49" s="2765"/>
      <c r="C49" s="461" t="s">
        <v>1263</v>
      </c>
      <c r="D49" s="802">
        <v>0</v>
      </c>
      <c r="E49" s="2011">
        <v>0</v>
      </c>
      <c r="F49" s="2012">
        <f t="shared" si="0"/>
        <v>22000</v>
      </c>
      <c r="G49" s="2011">
        <v>22000</v>
      </c>
      <c r="H49" s="2618">
        <v>22000</v>
      </c>
    </row>
    <row r="50" spans="1:8" s="2248" customFormat="1" ht="15.95" customHeight="1" outlineLevel="1">
      <c r="A50" s="1990" t="s">
        <v>2163</v>
      </c>
      <c r="B50" s="1997"/>
      <c r="C50" s="461" t="s">
        <v>1962</v>
      </c>
      <c r="D50" s="2745">
        <v>4700</v>
      </c>
      <c r="E50" s="2792">
        <v>3290</v>
      </c>
      <c r="F50" s="248">
        <f t="shared" si="0"/>
        <v>2350</v>
      </c>
      <c r="G50" s="2798">
        <v>5640</v>
      </c>
      <c r="H50" s="2618">
        <v>5640</v>
      </c>
    </row>
    <row r="51" spans="1:8" s="2248" customFormat="1" ht="15.95" customHeight="1" outlineLevel="1">
      <c r="A51" s="1990" t="s">
        <v>389</v>
      </c>
      <c r="B51" s="1997"/>
      <c r="C51" s="461" t="s">
        <v>388</v>
      </c>
      <c r="D51" s="2745">
        <v>87000</v>
      </c>
      <c r="E51" s="2792">
        <v>40500</v>
      </c>
      <c r="F51" s="248">
        <f t="shared" si="0"/>
        <v>61800</v>
      </c>
      <c r="G51" s="2798">
        <v>102300</v>
      </c>
      <c r="H51" s="2618">
        <v>102300</v>
      </c>
    </row>
    <row r="52" spans="1:8" s="2306" customFormat="1" ht="15.95" customHeight="1" outlineLevel="1">
      <c r="A52" s="2797" t="s">
        <v>1247</v>
      </c>
      <c r="B52" s="2796"/>
      <c r="C52" s="2795"/>
      <c r="D52" s="802"/>
      <c r="E52" s="2011"/>
      <c r="F52" s="2012"/>
      <c r="G52" s="2011"/>
      <c r="H52" s="2618"/>
    </row>
    <row r="53" spans="1:8" s="2306" customFormat="1" ht="15.95" customHeight="1" outlineLevel="1">
      <c r="A53" s="1990"/>
      <c r="B53" s="1997" t="s">
        <v>381</v>
      </c>
      <c r="C53" s="2794" t="s">
        <v>380</v>
      </c>
      <c r="D53" s="2745">
        <v>7890</v>
      </c>
      <c r="E53" s="2792">
        <v>3990</v>
      </c>
      <c r="F53" s="248">
        <f>G53-E53</f>
        <v>11010</v>
      </c>
      <c r="G53" s="2743">
        <v>15000</v>
      </c>
      <c r="H53" s="2618">
        <v>15000</v>
      </c>
    </row>
    <row r="54" spans="1:8" s="2248" customFormat="1" ht="15.95" customHeight="1" outlineLevel="1">
      <c r="A54" s="1990" t="s">
        <v>2161</v>
      </c>
      <c r="B54" s="2040"/>
      <c r="C54" s="463"/>
      <c r="D54" s="2750"/>
      <c r="E54" s="2744"/>
      <c r="F54" s="248"/>
      <c r="G54" s="2743"/>
      <c r="H54" s="2618"/>
    </row>
    <row r="55" spans="1:8" s="2248" customFormat="1" ht="15.95" customHeight="1" outlineLevel="1">
      <c r="A55" s="1990"/>
      <c r="B55" s="2793" t="s">
        <v>2162</v>
      </c>
      <c r="C55" s="461" t="s">
        <v>376</v>
      </c>
      <c r="D55" s="2750">
        <v>0</v>
      </c>
      <c r="E55" s="2792">
        <v>16810</v>
      </c>
      <c r="F55" s="248">
        <f>G55-E55</f>
        <v>33190</v>
      </c>
      <c r="G55" s="2743">
        <v>50000</v>
      </c>
      <c r="H55" s="2618">
        <v>50000</v>
      </c>
    </row>
    <row r="56" spans="1:8" s="2248" customFormat="1" ht="15.95" customHeight="1" outlineLevel="1">
      <c r="A56" s="1990" t="s">
        <v>2161</v>
      </c>
      <c r="B56" s="2040"/>
      <c r="C56" s="463"/>
      <c r="D56" s="2750"/>
      <c r="E56" s="2744"/>
      <c r="F56" s="248"/>
      <c r="G56" s="2743"/>
      <c r="H56" s="2618"/>
    </row>
    <row r="57" spans="1:8" s="2248" customFormat="1" ht="15.95" customHeight="1" outlineLevel="1">
      <c r="A57" s="2791"/>
      <c r="B57" s="2790" t="s">
        <v>1663</v>
      </c>
      <c r="C57" s="2789" t="s">
        <v>371</v>
      </c>
      <c r="D57" s="2788">
        <v>0</v>
      </c>
      <c r="E57" s="2787">
        <v>2700</v>
      </c>
      <c r="F57" s="2786">
        <f>G57-E57</f>
        <v>47300</v>
      </c>
      <c r="G57" s="2785">
        <v>50000</v>
      </c>
      <c r="H57" s="2784">
        <v>50000</v>
      </c>
    </row>
    <row r="58" spans="1:8" s="2288" customFormat="1" ht="15.95" customHeight="1" outlineLevel="1">
      <c r="A58" s="2783"/>
      <c r="B58" s="2782"/>
      <c r="C58" s="461"/>
      <c r="D58" s="2781"/>
      <c r="E58" s="744"/>
      <c r="F58" s="1779"/>
      <c r="G58" s="1779"/>
      <c r="H58" s="2780"/>
    </row>
    <row r="59" spans="1:8" s="2288" customFormat="1" ht="15.95" customHeight="1" outlineLevel="1">
      <c r="A59" s="2783"/>
      <c r="B59" s="2782"/>
      <c r="C59" s="461"/>
      <c r="D59" s="2781"/>
      <c r="E59" s="744"/>
      <c r="F59" s="1779"/>
      <c r="G59" s="1779"/>
      <c r="H59" s="2780"/>
    </row>
    <row r="60" spans="1:8" s="2288" customFormat="1" ht="15.95" customHeight="1" outlineLevel="1">
      <c r="A60" s="2783"/>
      <c r="B60" s="2782"/>
      <c r="C60" s="461"/>
      <c r="D60" s="2781"/>
      <c r="E60" s="744"/>
      <c r="F60" s="1779"/>
      <c r="G60" s="1779"/>
      <c r="H60" s="2780"/>
    </row>
    <row r="61" spans="1:8" s="2288" customFormat="1" ht="15.95" customHeight="1" outlineLevel="1">
      <c r="A61" s="2783"/>
      <c r="B61" s="2782"/>
      <c r="C61" s="461"/>
      <c r="D61" s="2781"/>
      <c r="E61" s="744"/>
      <c r="F61" s="1779"/>
      <c r="G61" s="1779"/>
      <c r="H61" s="2780"/>
    </row>
    <row r="62" spans="1:8" s="2288" customFormat="1" ht="15.95" customHeight="1" outlineLevel="1">
      <c r="A62" s="2783"/>
      <c r="B62" s="2782"/>
      <c r="C62" s="461"/>
      <c r="D62" s="2781"/>
      <c r="E62" s="744"/>
      <c r="F62" s="1779"/>
      <c r="G62" s="1779"/>
      <c r="H62" s="2780"/>
    </row>
    <row r="63" spans="1:8" s="2288" customFormat="1" ht="15.95" customHeight="1" outlineLevel="1">
      <c r="A63" s="2783"/>
      <c r="B63" s="2782"/>
      <c r="C63" s="461"/>
      <c r="D63" s="2781"/>
      <c r="E63" s="744"/>
      <c r="F63" s="1779"/>
      <c r="G63" s="1779"/>
      <c r="H63" s="2780"/>
    </row>
    <row r="64" spans="1:8" s="2288" customFormat="1" ht="15.95" customHeight="1" outlineLevel="1">
      <c r="A64" s="2783"/>
      <c r="B64" s="2782"/>
      <c r="C64" s="461"/>
      <c r="D64" s="2781"/>
      <c r="E64" s="744"/>
      <c r="F64" s="1779"/>
      <c r="G64" s="1779"/>
      <c r="H64" s="2780"/>
    </row>
    <row r="65" spans="1:8" s="2288" customFormat="1" ht="15.95" customHeight="1" outlineLevel="1">
      <c r="A65" s="2783"/>
      <c r="B65" s="2782"/>
      <c r="C65" s="461"/>
      <c r="D65" s="2781"/>
      <c r="E65" s="744"/>
      <c r="F65" s="1478"/>
      <c r="G65" s="1779"/>
      <c r="H65" s="2780"/>
    </row>
    <row r="66" spans="1:8" s="2288" customFormat="1" ht="15.95" customHeight="1" outlineLevel="1">
      <c r="A66" s="2783"/>
      <c r="B66" s="2782"/>
      <c r="C66" s="461"/>
      <c r="D66" s="2781"/>
      <c r="E66" s="744"/>
      <c r="F66" s="1477"/>
      <c r="G66" s="1779"/>
      <c r="H66" s="2780"/>
    </row>
    <row r="67" spans="1:8" s="2288" customFormat="1" ht="15.95" customHeight="1" outlineLevel="1">
      <c r="A67" s="2783"/>
      <c r="B67" s="2782"/>
      <c r="C67" s="461"/>
      <c r="D67" s="2781"/>
      <c r="E67" s="744"/>
      <c r="F67" s="1779"/>
      <c r="G67" s="1779"/>
      <c r="H67" s="2780"/>
    </row>
    <row r="68" spans="1:8" s="2288" customFormat="1" ht="15.95" customHeight="1" outlineLevel="1">
      <c r="A68" s="2783"/>
      <c r="B68" s="1478" t="s">
        <v>473</v>
      </c>
      <c r="C68" s="1779"/>
      <c r="D68" s="2780"/>
      <c r="E68" s="744"/>
      <c r="F68" s="1478"/>
      <c r="G68" s="1779"/>
      <c r="H68" s="2780"/>
    </row>
    <row r="69" spans="1:8" s="2288" customFormat="1" ht="15.95" customHeight="1" outlineLevel="1">
      <c r="A69" s="2783"/>
      <c r="B69" s="1477" t="s">
        <v>1253</v>
      </c>
      <c r="C69" s="1779"/>
      <c r="D69" s="2780"/>
      <c r="E69" s="744"/>
      <c r="F69" s="1477"/>
      <c r="G69" s="1779"/>
      <c r="H69" s="2780"/>
    </row>
    <row r="70" spans="1:8" s="2288" customFormat="1" ht="15.95" customHeight="1" outlineLevel="1">
      <c r="A70" s="2783"/>
      <c r="B70" s="2782"/>
      <c r="C70" s="461"/>
      <c r="D70" s="2781"/>
      <c r="E70" s="744"/>
      <c r="F70" s="1779"/>
      <c r="G70" s="1779"/>
      <c r="H70" s="2780"/>
    </row>
    <row r="71" spans="1:8" s="2288" customFormat="1" ht="15.95" customHeight="1" outlineLevel="1">
      <c r="A71" s="2783"/>
      <c r="B71" s="2782"/>
      <c r="C71" s="461"/>
      <c r="D71" s="2781"/>
      <c r="E71" s="744"/>
      <c r="F71" s="1779"/>
      <c r="G71" s="1779"/>
      <c r="H71" s="2780"/>
    </row>
    <row r="72" spans="1:8" s="2288" customFormat="1" ht="15.95" customHeight="1" outlineLevel="1">
      <c r="A72" s="4743" t="s">
        <v>468</v>
      </c>
      <c r="B72" s="4744"/>
      <c r="C72" s="2779" t="s">
        <v>467</v>
      </c>
      <c r="D72" s="2608" t="s">
        <v>466</v>
      </c>
      <c r="E72" s="4869" t="s">
        <v>465</v>
      </c>
      <c r="F72" s="4870"/>
      <c r="G72" s="4871"/>
      <c r="H72" s="2779" t="s">
        <v>464</v>
      </c>
    </row>
    <row r="73" spans="1:8" s="2288" customFormat="1" ht="15.95" customHeight="1" outlineLevel="1">
      <c r="A73" s="4745"/>
      <c r="B73" s="4746"/>
      <c r="C73" s="2778" t="s">
        <v>463</v>
      </c>
      <c r="D73" s="2517">
        <v>2020</v>
      </c>
      <c r="E73" s="2777" t="s">
        <v>462</v>
      </c>
      <c r="F73" s="2776" t="s">
        <v>461</v>
      </c>
      <c r="G73" s="2517" t="s">
        <v>244</v>
      </c>
      <c r="H73" s="2517">
        <v>2022</v>
      </c>
    </row>
    <row r="74" spans="1:8" s="2288" customFormat="1" ht="15.95" customHeight="1" outlineLevel="1">
      <c r="A74" s="4747"/>
      <c r="B74" s="4748"/>
      <c r="C74" s="2775"/>
      <c r="D74" s="2602" t="s">
        <v>460</v>
      </c>
      <c r="E74" s="2602" t="s">
        <v>460</v>
      </c>
      <c r="F74" s="2602" t="s">
        <v>459</v>
      </c>
      <c r="G74" s="2623"/>
      <c r="H74" s="2602" t="s">
        <v>458</v>
      </c>
    </row>
    <row r="75" spans="1:8" s="2248" customFormat="1" ht="15.95" customHeight="1" outlineLevel="1">
      <c r="A75" s="2774" t="s">
        <v>368</v>
      </c>
      <c r="B75" s="2773"/>
      <c r="C75" s="2772" t="s">
        <v>367</v>
      </c>
      <c r="D75" s="2771">
        <v>22600</v>
      </c>
      <c r="E75" s="2770">
        <v>5152.8</v>
      </c>
      <c r="F75" s="2769">
        <f>SUM(G75-E75)</f>
        <v>138147.20000000001</v>
      </c>
      <c r="G75" s="2768">
        <v>143300</v>
      </c>
      <c r="H75" s="2767">
        <v>143300</v>
      </c>
    </row>
    <row r="76" spans="1:8" s="2248" customFormat="1" ht="15.95" customHeight="1" outlineLevel="1">
      <c r="A76" s="2017" t="s">
        <v>1660</v>
      </c>
      <c r="B76" s="2765"/>
      <c r="C76" s="2766"/>
      <c r="D76" s="2750"/>
      <c r="E76" s="2744"/>
      <c r="F76" s="248"/>
      <c r="G76" s="2743"/>
      <c r="H76" s="2618"/>
    </row>
    <row r="77" spans="1:8" s="2248" customFormat="1" ht="15.95" customHeight="1" outlineLevel="1">
      <c r="A77" s="2017"/>
      <c r="B77" s="2765" t="s">
        <v>2160</v>
      </c>
      <c r="C77" s="2749" t="s">
        <v>2155</v>
      </c>
      <c r="D77" s="2750">
        <v>134371</v>
      </c>
      <c r="E77" s="2744">
        <v>23655</v>
      </c>
      <c r="F77" s="248">
        <f>SUM(G77-E77)</f>
        <v>108595</v>
      </c>
      <c r="G77" s="2743">
        <v>132250</v>
      </c>
      <c r="H77" s="2618">
        <v>132250</v>
      </c>
    </row>
    <row r="78" spans="1:8" s="2248" customFormat="1" ht="15.95" customHeight="1" outlineLevel="1" thickBot="1">
      <c r="A78" s="2764"/>
      <c r="B78" s="2763"/>
      <c r="C78" s="2762"/>
      <c r="D78" s="2761"/>
      <c r="E78" s="2760"/>
      <c r="F78" s="2759"/>
      <c r="G78" s="2758"/>
      <c r="H78" s="2757"/>
    </row>
    <row r="79" spans="1:8" s="2248" customFormat="1" ht="15.95" customHeight="1" outlineLevel="1" thickBot="1">
      <c r="A79" s="2756"/>
      <c r="B79" s="2755" t="s">
        <v>1241</v>
      </c>
      <c r="C79" s="2754"/>
      <c r="D79" s="2752">
        <f>SUM(D80:D82)</f>
        <v>46120</v>
      </c>
      <c r="E79" s="2752">
        <f>SUM(E80:E82)</f>
        <v>0</v>
      </c>
      <c r="F79" s="2752">
        <f>SUM(F80:F82)</f>
        <v>1872000</v>
      </c>
      <c r="G79" s="2753">
        <f>SUM(G80:G82)</f>
        <v>1872000</v>
      </c>
      <c r="H79" s="2752">
        <f>SUM(H80:H81)</f>
        <v>0</v>
      </c>
    </row>
    <row r="80" spans="1:8" s="2248" customFormat="1" ht="15.95" customHeight="1" outlineLevel="1">
      <c r="A80" s="2748"/>
      <c r="B80" s="2747" t="s">
        <v>950</v>
      </c>
      <c r="C80" s="2751" t="s">
        <v>949</v>
      </c>
      <c r="D80" s="2750">
        <v>0</v>
      </c>
      <c r="E80" s="2744">
        <v>0</v>
      </c>
      <c r="F80" s="248">
        <v>292000</v>
      </c>
      <c r="G80" s="2743">
        <f>F80</f>
        <v>292000</v>
      </c>
      <c r="H80" s="2618">
        <v>0</v>
      </c>
    </row>
    <row r="81" spans="1:8" s="2248" customFormat="1" ht="15.95" customHeight="1" outlineLevel="1">
      <c r="A81" s="2748"/>
      <c r="B81" s="2747" t="s">
        <v>2154</v>
      </c>
      <c r="C81" s="2749" t="s">
        <v>1386</v>
      </c>
      <c r="D81" s="2745">
        <v>46120</v>
      </c>
      <c r="E81" s="2744">
        <v>0</v>
      </c>
      <c r="F81" s="248">
        <v>80000</v>
      </c>
      <c r="G81" s="2743">
        <f>F81</f>
        <v>80000</v>
      </c>
      <c r="H81" s="2618">
        <v>0</v>
      </c>
    </row>
    <row r="82" spans="1:8" s="2248" customFormat="1" ht="15.95" customHeight="1" outlineLevel="1">
      <c r="A82" s="2748"/>
      <c r="B82" s="2747" t="s">
        <v>1802</v>
      </c>
      <c r="C82" s="2746" t="s">
        <v>1801</v>
      </c>
      <c r="D82" s="2745">
        <v>0</v>
      </c>
      <c r="E82" s="2744">
        <v>0</v>
      </c>
      <c r="F82" s="248">
        <v>1500000</v>
      </c>
      <c r="G82" s="2743">
        <f>F82</f>
        <v>1500000</v>
      </c>
      <c r="H82" s="2618">
        <v>0</v>
      </c>
    </row>
    <row r="83" spans="1:8" s="2288" customFormat="1" ht="15.95" customHeight="1" outlineLevel="1" thickBot="1">
      <c r="A83" s="2439" t="s">
        <v>366</v>
      </c>
      <c r="B83" s="2439"/>
      <c r="C83" s="2742"/>
      <c r="D83" s="2741">
        <f>SUM(D14+D38+D79)</f>
        <v>13729805.189999999</v>
      </c>
      <c r="E83" s="2741">
        <f>SUM(E14+E38)+E79</f>
        <v>6831997.3100000005</v>
      </c>
      <c r="F83" s="2741">
        <f>SUM(F14+F38)+F79</f>
        <v>11726671.689999999</v>
      </c>
      <c r="G83" s="2741">
        <f>G14+G38+G79</f>
        <v>18558669</v>
      </c>
      <c r="H83" s="2741">
        <f>SUM(H14+H38)+H79</f>
        <v>17796412</v>
      </c>
    </row>
    <row r="84" spans="1:8" s="2288" customFormat="1" ht="15.95" customHeight="1" outlineLevel="1" thickTop="1">
      <c r="A84" s="1413"/>
      <c r="B84" s="1413"/>
      <c r="C84" s="2730"/>
      <c r="D84" s="2740"/>
      <c r="E84" s="2740"/>
      <c r="F84" s="2740"/>
      <c r="G84" s="2740"/>
      <c r="H84" s="2740"/>
    </row>
    <row r="85" spans="1:8" s="2288" customFormat="1" ht="15.95" customHeight="1" outlineLevel="1">
      <c r="A85" s="1403" t="s">
        <v>364</v>
      </c>
      <c r="B85" s="1390"/>
      <c r="C85" s="1403" t="s">
        <v>363</v>
      </c>
      <c r="D85" s="1390"/>
      <c r="E85" s="4902" t="s">
        <v>2110</v>
      </c>
      <c r="F85" s="4902"/>
      <c r="G85" s="1403"/>
      <c r="H85" s="1390"/>
    </row>
    <row r="86" spans="1:8" s="2288" customFormat="1" ht="15.95" customHeight="1" outlineLevel="1">
      <c r="A86" s="1403"/>
      <c r="B86" s="1390"/>
      <c r="C86" s="1403"/>
      <c r="D86" s="1390"/>
      <c r="E86" s="2471"/>
      <c r="F86" s="2471"/>
      <c r="G86" s="1403"/>
      <c r="H86" s="1390"/>
    </row>
    <row r="87" spans="1:8" s="2288" customFormat="1" ht="15.95" customHeight="1" outlineLevel="1">
      <c r="A87" s="1390"/>
      <c r="B87" s="1403"/>
      <c r="C87" s="2581"/>
      <c r="D87" s="1403"/>
      <c r="E87" s="1403"/>
      <c r="F87" s="1403"/>
      <c r="G87" s="1403"/>
      <c r="H87" s="1390"/>
    </row>
    <row r="88" spans="1:8" s="2288" customFormat="1" ht="15.95" customHeight="1" outlineLevel="1">
      <c r="A88" s="2726" t="s">
        <v>2159</v>
      </c>
      <c r="B88" s="1403"/>
      <c r="C88" s="4760" t="s">
        <v>360</v>
      </c>
      <c r="D88" s="4760"/>
      <c r="E88" s="4741" t="s">
        <v>359</v>
      </c>
      <c r="F88" s="4741"/>
      <c r="G88" s="4741"/>
      <c r="H88" s="4741"/>
    </row>
    <row r="89" spans="1:8" s="2288" customFormat="1" ht="15.95" customHeight="1" outlineLevel="1">
      <c r="A89" s="2739" t="s">
        <v>2158</v>
      </c>
      <c r="B89" s="2464"/>
      <c r="C89" s="4754" t="s">
        <v>357</v>
      </c>
      <c r="D89" s="4754"/>
      <c r="E89" s="4755" t="s">
        <v>356</v>
      </c>
      <c r="F89" s="4755"/>
      <c r="G89" s="4755"/>
      <c r="H89" s="4755"/>
    </row>
    <row r="90" spans="1:8" s="2288" customFormat="1" ht="15.95" customHeight="1" outlineLevel="1">
      <c r="A90" s="1404"/>
      <c r="B90" s="2236"/>
      <c r="C90" s="2738"/>
      <c r="D90" s="1406"/>
      <c r="E90" s="1406"/>
      <c r="F90" s="1406"/>
      <c r="G90" s="1406"/>
      <c r="H90" s="1406"/>
    </row>
    <row r="91" spans="1:8" s="2288" customFormat="1" ht="15.95" customHeight="1" outlineLevel="1">
      <c r="A91" s="2044"/>
      <c r="B91" s="2044"/>
      <c r="C91" s="2736"/>
      <c r="D91" s="1474"/>
      <c r="E91" s="1473"/>
      <c r="F91" s="1472"/>
      <c r="G91" s="1471"/>
      <c r="H91" s="1470"/>
    </row>
    <row r="92" spans="1:8" s="2288" customFormat="1" ht="15.95" customHeight="1" outlineLevel="1">
      <c r="A92" s="2044"/>
      <c r="B92" s="2044"/>
      <c r="C92" s="2736"/>
      <c r="D92" s="1474"/>
      <c r="E92" s="1473"/>
      <c r="G92" s="1471"/>
      <c r="H92" s="1470"/>
    </row>
    <row r="93" spans="1:8" s="2288" customFormat="1" ht="15.95" customHeight="1" outlineLevel="1">
      <c r="A93" s="2044"/>
      <c r="B93" s="2044"/>
      <c r="C93" s="2736"/>
      <c r="D93" s="1474"/>
      <c r="E93" s="1473"/>
      <c r="F93" s="2737"/>
      <c r="G93" s="1471"/>
      <c r="H93" s="1470"/>
    </row>
    <row r="94" spans="1:8" s="2288" customFormat="1" ht="15.95" customHeight="1" outlineLevel="1">
      <c r="A94" s="2044"/>
      <c r="B94" s="2044"/>
      <c r="C94" s="2736"/>
      <c r="D94" s="1474"/>
      <c r="E94" s="1473"/>
      <c r="F94" s="2735"/>
      <c r="G94" s="1471"/>
      <c r="H94" s="1470"/>
    </row>
    <row r="95" spans="1:8" s="2288" customFormat="1" ht="15.95" customHeight="1" outlineLevel="1">
      <c r="A95" s="2044"/>
      <c r="B95" s="2044"/>
      <c r="C95" s="2736"/>
      <c r="D95" s="1474"/>
      <c r="E95" s="1473"/>
      <c r="F95" s="2735"/>
      <c r="G95" s="1471"/>
      <c r="H95" s="1470"/>
    </row>
    <row r="96" spans="1:8" s="2288" customFormat="1" ht="15.95" customHeight="1" outlineLevel="1">
      <c r="A96" s="2044"/>
      <c r="B96" s="2044"/>
      <c r="C96" s="2736"/>
      <c r="D96" s="1474"/>
      <c r="E96" s="1473"/>
      <c r="F96" s="2735"/>
      <c r="G96" s="1471"/>
      <c r="H96" s="1470"/>
    </row>
    <row r="97" spans="1:9" s="2248" customFormat="1" ht="15.95" customHeight="1" outlineLevel="1">
      <c r="A97" s="2044"/>
      <c r="B97" s="2044"/>
      <c r="C97" s="2732"/>
      <c r="D97" s="1474"/>
      <c r="E97" s="1473"/>
      <c r="F97" s="1472"/>
      <c r="G97" s="1471"/>
      <c r="H97" s="1470"/>
    </row>
    <row r="98" spans="1:9" s="2248" customFormat="1" ht="15.95" customHeight="1" outlineLevel="1">
      <c r="A98" s="2044"/>
      <c r="B98" s="2044"/>
      <c r="C98" s="2731"/>
      <c r="D98" s="1474"/>
      <c r="E98" s="1473"/>
      <c r="F98" s="1472"/>
      <c r="G98" s="1471"/>
      <c r="H98" s="1470"/>
    </row>
    <row r="99" spans="1:9" s="2248" customFormat="1" ht="15.95" customHeight="1" outlineLevel="1">
      <c r="A99" s="2044"/>
      <c r="B99" s="2044"/>
      <c r="C99" s="2732"/>
      <c r="D99" s="1474"/>
      <c r="E99" s="1473"/>
      <c r="F99" s="1472"/>
      <c r="G99" s="1471"/>
      <c r="H99" s="1470"/>
    </row>
    <row r="100" spans="1:9" s="2248" customFormat="1" ht="15.95" customHeight="1" outlineLevel="1">
      <c r="A100" s="2044"/>
      <c r="B100" s="2044"/>
      <c r="C100" s="2731"/>
      <c r="D100" s="1474"/>
      <c r="E100" s="1473"/>
      <c r="F100" s="1472"/>
      <c r="G100" s="1471"/>
      <c r="H100" s="1470"/>
    </row>
    <row r="101" spans="1:9" s="2248" customFormat="1" ht="15.95" customHeight="1" outlineLevel="1">
      <c r="A101" s="2044"/>
      <c r="B101" s="2044"/>
      <c r="C101" s="2732"/>
      <c r="D101" s="1474"/>
      <c r="E101" s="1473"/>
      <c r="F101" s="1472"/>
      <c r="G101" s="1471"/>
      <c r="H101" s="1470"/>
    </row>
    <row r="102" spans="1:9" s="2248" customFormat="1" ht="15.95" customHeight="1" outlineLevel="1">
      <c r="A102" s="2044"/>
      <c r="B102" s="2044"/>
      <c r="C102" s="2731"/>
      <c r="D102" s="1474"/>
      <c r="E102" s="1473"/>
      <c r="F102" s="1472"/>
      <c r="G102" s="1471"/>
      <c r="H102" s="1470"/>
    </row>
    <row r="103" spans="1:9" s="2248" customFormat="1" ht="15.95" customHeight="1" outlineLevel="1">
      <c r="A103" s="2044"/>
      <c r="B103" s="2044"/>
      <c r="C103" s="2732"/>
      <c r="D103" s="1474"/>
      <c r="E103" s="1473"/>
      <c r="F103" s="1472"/>
      <c r="G103" s="1471"/>
      <c r="H103" s="1470"/>
    </row>
    <row r="104" spans="1:9" s="2248" customFormat="1" ht="15.95" customHeight="1" outlineLevel="1">
      <c r="A104" s="2044"/>
      <c r="B104" s="2044"/>
      <c r="C104" s="2731"/>
      <c r="D104" s="1474"/>
      <c r="E104" s="1473"/>
      <c r="F104" s="1472"/>
      <c r="G104" s="1471"/>
      <c r="H104" s="1470"/>
      <c r="I104" s="2288"/>
    </row>
    <row r="105" spans="1:9" s="2248" customFormat="1" ht="15.95" customHeight="1" outlineLevel="1">
      <c r="A105" s="2044"/>
      <c r="B105" s="2044"/>
      <c r="C105" s="2732"/>
      <c r="D105" s="1474"/>
      <c r="E105" s="1473"/>
      <c r="F105" s="1472"/>
      <c r="G105" s="1471"/>
      <c r="H105" s="1470"/>
      <c r="I105" s="1395"/>
    </row>
    <row r="106" spans="1:9" s="2248" customFormat="1" ht="15.95" customHeight="1" outlineLevel="1">
      <c r="A106" s="2044"/>
      <c r="B106" s="2044"/>
      <c r="C106" s="2731"/>
      <c r="D106" s="1474"/>
      <c r="E106" s="1473"/>
      <c r="F106" s="1472"/>
      <c r="G106" s="1471"/>
      <c r="H106" s="1470"/>
      <c r="I106" s="1395"/>
    </row>
    <row r="107" spans="1:9" s="2248" customFormat="1" ht="15.95" customHeight="1" outlineLevel="1">
      <c r="A107" s="2044"/>
      <c r="B107" s="2044"/>
      <c r="C107" s="2732"/>
      <c r="D107" s="1474"/>
      <c r="E107" s="1473"/>
      <c r="F107" s="1472"/>
      <c r="G107" s="1471"/>
      <c r="H107" s="1470"/>
      <c r="I107" s="1395"/>
    </row>
    <row r="108" spans="1:9" s="2248" customFormat="1" ht="15.95" customHeight="1" outlineLevel="1">
      <c r="A108" s="2044"/>
      <c r="B108" s="2044"/>
      <c r="C108" s="2732"/>
      <c r="D108" s="1474"/>
      <c r="E108" s="1473"/>
      <c r="F108" s="1472"/>
      <c r="G108" s="1471"/>
      <c r="H108" s="1470"/>
      <c r="I108" s="2734"/>
    </row>
    <row r="109" spans="1:9" s="2248" customFormat="1" ht="15.95" customHeight="1" outlineLevel="1">
      <c r="A109" s="2044"/>
      <c r="B109" s="2044"/>
      <c r="C109" s="2731"/>
      <c r="D109" s="1474"/>
      <c r="E109" s="1473"/>
      <c r="F109" s="1472"/>
      <c r="G109" s="1471"/>
      <c r="H109" s="1470"/>
      <c r="I109" s="1395"/>
    </row>
    <row r="110" spans="1:9" s="2248" customFormat="1" ht="15.95" customHeight="1" outlineLevel="1">
      <c r="A110" s="2044"/>
      <c r="B110" s="2044"/>
      <c r="C110" s="2732"/>
      <c r="D110" s="1474"/>
      <c r="E110" s="1473"/>
      <c r="F110" s="1472"/>
      <c r="G110" s="1471"/>
      <c r="H110" s="1470"/>
      <c r="I110" s="2288"/>
    </row>
    <row r="111" spans="1:9" s="2248" customFormat="1" ht="15.95" customHeight="1" outlineLevel="1">
      <c r="A111" s="2044"/>
      <c r="B111" s="2044"/>
      <c r="C111" s="2731"/>
      <c r="D111" s="1474"/>
      <c r="E111" s="1473"/>
      <c r="F111" s="1472"/>
      <c r="G111" s="1863"/>
      <c r="H111" s="1470"/>
      <c r="I111" s="2288"/>
    </row>
    <row r="112" spans="1:9" s="2248" customFormat="1" ht="15.95" customHeight="1" outlineLevel="1">
      <c r="A112" s="2044"/>
      <c r="B112" s="2044"/>
      <c r="C112" s="2732"/>
      <c r="D112" s="1474"/>
      <c r="E112" s="1473"/>
      <c r="F112" s="1472"/>
      <c r="G112" s="1471"/>
      <c r="H112" s="1470"/>
    </row>
    <row r="113" spans="1:8" s="2248" customFormat="1" ht="15.95" customHeight="1" outlineLevel="1">
      <c r="A113" s="2044"/>
      <c r="B113" s="2044"/>
      <c r="C113" s="2733"/>
      <c r="D113" s="1474"/>
      <c r="E113" s="1473"/>
      <c r="F113" s="1472"/>
      <c r="G113" s="1863"/>
      <c r="H113" s="1470"/>
    </row>
    <row r="114" spans="1:8" s="2248" customFormat="1" ht="15.95" customHeight="1" outlineLevel="1">
      <c r="A114" s="2044"/>
      <c r="B114" s="2044"/>
      <c r="C114" s="2732"/>
      <c r="D114" s="1474"/>
      <c r="E114" s="1473"/>
      <c r="F114" s="1472"/>
      <c r="G114" s="1863"/>
      <c r="H114" s="1470"/>
    </row>
    <row r="115" spans="1:8" s="2248" customFormat="1" ht="15.95" customHeight="1" outlineLevel="1">
      <c r="A115" s="2044"/>
      <c r="B115" s="2044"/>
      <c r="C115" s="2731"/>
      <c r="D115" s="1474"/>
      <c r="E115" s="1473"/>
      <c r="F115" s="1472"/>
      <c r="G115" s="1863"/>
      <c r="H115" s="1470"/>
    </row>
    <row r="116" spans="1:8" s="2473" customFormat="1" ht="15.95" customHeight="1" outlineLevel="2">
      <c r="A116" s="1413"/>
      <c r="B116" s="1413"/>
      <c r="C116" s="2730"/>
      <c r="D116" s="2729"/>
      <c r="E116" s="2729"/>
      <c r="F116" s="2729"/>
      <c r="G116" s="2729"/>
      <c r="H116" s="2729"/>
    </row>
    <row r="117" spans="1:8" ht="13.9" customHeight="1" outlineLevel="2">
      <c r="A117" s="1414"/>
      <c r="B117" s="1413"/>
      <c r="C117" s="2728"/>
      <c r="D117" s="2727"/>
      <c r="E117" s="2727"/>
      <c r="F117" s="2727"/>
      <c r="G117" s="2727"/>
      <c r="H117" s="2727"/>
    </row>
    <row r="118" spans="1:8" ht="15.95" customHeight="1">
      <c r="A118" s="1403"/>
      <c r="C118" s="1403"/>
      <c r="E118" s="4902"/>
      <c r="F118" s="4902"/>
      <c r="G118" s="1403"/>
    </row>
    <row r="119" spans="1:8" ht="15.75" customHeight="1">
      <c r="B119" s="1403"/>
      <c r="C119" s="2581"/>
      <c r="D119" s="1403"/>
      <c r="E119" s="1403"/>
      <c r="F119" s="1403"/>
      <c r="G119" s="1403"/>
    </row>
    <row r="120" spans="1:8" s="1403" customFormat="1" ht="15.95" customHeight="1">
      <c r="A120" s="2726"/>
      <c r="C120" s="4760"/>
      <c r="D120" s="4760"/>
      <c r="E120" s="4741"/>
      <c r="F120" s="4741"/>
      <c r="G120" s="4741"/>
      <c r="H120" s="4741"/>
    </row>
    <row r="121" spans="1:8" s="1404" customFormat="1" ht="15.95" customHeight="1">
      <c r="A121" s="2725"/>
      <c r="B121" s="2236"/>
      <c r="C121" s="4754"/>
      <c r="D121" s="4754"/>
      <c r="E121" s="4755"/>
      <c r="F121" s="4755"/>
      <c r="G121" s="4755"/>
      <c r="H121" s="4755"/>
    </row>
    <row r="122" spans="1:8" s="1404" customFormat="1" ht="12.75">
      <c r="B122" s="2236"/>
      <c r="C122" s="2724"/>
      <c r="D122" s="1406"/>
      <c r="E122" s="1406"/>
      <c r="F122" s="1406"/>
      <c r="G122" s="1406"/>
      <c r="H122" s="1406"/>
    </row>
    <row r="123" spans="1:8" s="1404" customFormat="1" ht="12.75">
      <c r="B123" s="2236"/>
      <c r="C123" s="2724"/>
      <c r="D123" s="1406"/>
      <c r="E123" s="1406"/>
      <c r="F123" s="1406"/>
      <c r="G123" s="1406"/>
      <c r="H123" s="1406"/>
    </row>
    <row r="124" spans="1:8" s="1404" customFormat="1" ht="12.75">
      <c r="C124" s="2724"/>
      <c r="E124" s="1406"/>
      <c r="F124" s="1406"/>
      <c r="G124" s="1406"/>
      <c r="H124" s="1406"/>
    </row>
    <row r="125" spans="1:8" s="1404" customFormat="1" ht="12.75">
      <c r="C125" s="2724"/>
      <c r="E125" s="1406"/>
      <c r="F125" s="1406"/>
      <c r="G125" s="1406"/>
      <c r="H125" s="1406"/>
    </row>
    <row r="126" spans="1:8" s="1404" customFormat="1" ht="12.75">
      <c r="C126" s="2724"/>
      <c r="E126" s="1406"/>
      <c r="F126" s="1406"/>
      <c r="G126" s="1406"/>
      <c r="H126" s="1406"/>
    </row>
    <row r="127" spans="1:8" s="1404" customFormat="1" ht="12.75">
      <c r="C127" s="2724"/>
      <c r="E127" s="1406"/>
      <c r="F127" s="1406"/>
      <c r="G127" s="1406"/>
      <c r="H127" s="1406"/>
    </row>
    <row r="128" spans="1:8" s="1404" customFormat="1" ht="12.75">
      <c r="C128" s="2724"/>
      <c r="E128" s="1406"/>
      <c r="F128" s="1406"/>
      <c r="G128" s="1406"/>
      <c r="H128" s="1406"/>
    </row>
    <row r="129" spans="2:8" s="1404" customFormat="1" ht="12.75">
      <c r="B129" s="2236"/>
      <c r="C129" s="2724"/>
      <c r="D129" s="1406"/>
      <c r="E129" s="1406"/>
      <c r="F129" s="1406"/>
      <c r="G129" s="1406"/>
      <c r="H129" s="1406"/>
    </row>
    <row r="130" spans="2:8" s="1404" customFormat="1" ht="12.75">
      <c r="B130" s="2236"/>
      <c r="C130" s="2724"/>
      <c r="D130" s="1406"/>
      <c r="E130" s="1406"/>
      <c r="F130" s="1406"/>
      <c r="G130" s="1406"/>
      <c r="H130" s="1406"/>
    </row>
    <row r="131" spans="2:8" s="1404" customFormat="1" ht="12.75">
      <c r="B131" s="2236"/>
      <c r="C131" s="2724"/>
      <c r="D131" s="1406"/>
      <c r="E131" s="1406"/>
      <c r="F131" s="1406"/>
      <c r="G131" s="1406"/>
      <c r="H131" s="1406"/>
    </row>
    <row r="132" spans="2:8" s="1404" customFormat="1" ht="12.75">
      <c r="B132" s="2236"/>
      <c r="C132" s="2724"/>
      <c r="D132" s="1406"/>
      <c r="E132" s="1406"/>
      <c r="F132" s="1406"/>
      <c r="G132" s="1406"/>
      <c r="H132" s="1406"/>
    </row>
    <row r="133" spans="2:8" s="1404" customFormat="1" ht="12.75">
      <c r="B133" s="2236"/>
      <c r="C133" s="2724"/>
      <c r="D133" s="1406"/>
      <c r="E133" s="1406"/>
      <c r="F133" s="1406"/>
      <c r="G133" s="1406"/>
      <c r="H133" s="1406"/>
    </row>
    <row r="134" spans="2:8" s="1404" customFormat="1" ht="12.75">
      <c r="B134" s="2236"/>
      <c r="C134" s="2724"/>
      <c r="D134" s="1406"/>
      <c r="E134" s="1406"/>
      <c r="F134" s="1406"/>
      <c r="G134" s="1406"/>
      <c r="H134" s="1406"/>
    </row>
    <row r="135" spans="2:8" s="2234" customFormat="1" ht="9" customHeight="1">
      <c r="C135" s="2525"/>
    </row>
    <row r="136" spans="2:8" s="2234" customFormat="1" ht="9" customHeight="1">
      <c r="C136" s="2525"/>
    </row>
    <row r="137" spans="2:8" s="2234" customFormat="1" ht="9" customHeight="1">
      <c r="C137" s="2525"/>
    </row>
    <row r="138" spans="2:8" s="2234" customFormat="1" ht="9" customHeight="1">
      <c r="C138" s="2525"/>
    </row>
    <row r="139" spans="2:8" s="2234" customFormat="1" ht="9" customHeight="1">
      <c r="C139" s="2525"/>
    </row>
    <row r="140" spans="2:8" s="2234" customFormat="1" ht="9.9499999999999993" customHeight="1">
      <c r="C140" s="2525"/>
    </row>
  </sheetData>
  <mergeCells count="16">
    <mergeCell ref="C121:D121"/>
    <mergeCell ref="E121:H121"/>
    <mergeCell ref="A6:H6"/>
    <mergeCell ref="A7:H7"/>
    <mergeCell ref="A10:B12"/>
    <mergeCell ref="E10:G10"/>
    <mergeCell ref="E85:F85"/>
    <mergeCell ref="C88:D88"/>
    <mergeCell ref="E88:H88"/>
    <mergeCell ref="A72:B74"/>
    <mergeCell ref="E72:G72"/>
    <mergeCell ref="C89:D89"/>
    <mergeCell ref="E89:H89"/>
    <mergeCell ref="E118:F118"/>
    <mergeCell ref="C120:D120"/>
    <mergeCell ref="E120:H120"/>
  </mergeCells>
  <pageMargins left="0.5" right="0" top="0" bottom="0" header="0.5" footer="0"/>
  <pageSetup paperSize="5" orientation="portrait"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9"/>
  <sheetViews>
    <sheetView topLeftCell="A4" workbookViewId="0">
      <selection activeCell="G22" sqref="G22"/>
    </sheetView>
  </sheetViews>
  <sheetFormatPr defaultRowHeight="12.75"/>
  <cols>
    <col min="1" max="1" width="1.28515625" style="2838" customWidth="1"/>
    <col min="2" max="2" width="45.42578125" style="2838" customWidth="1"/>
    <col min="3" max="3" width="18.7109375" style="2838" customWidth="1"/>
    <col min="4" max="5" width="11.5703125" style="2838" customWidth="1"/>
    <col min="6" max="6" width="10" style="2838" customWidth="1"/>
    <col min="7" max="7" width="9.5703125" style="2839" customWidth="1"/>
    <col min="8" max="8" width="11.7109375" style="2838" customWidth="1"/>
    <col min="9" max="10" width="12" style="2838" customWidth="1"/>
    <col min="11"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889"/>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c r="D8" s="4913" t="s">
        <v>2182</v>
      </c>
      <c r="E8" s="2887"/>
      <c r="F8" s="2887"/>
      <c r="G8" s="2886"/>
      <c r="H8" s="4916" t="s">
        <v>244</v>
      </c>
      <c r="I8" s="2883" t="s">
        <v>2186</v>
      </c>
      <c r="J8" s="4904"/>
      <c r="K8" s="4904"/>
    </row>
    <row r="9" spans="1:11">
      <c r="D9" s="4914"/>
      <c r="E9" s="2885" t="s">
        <v>2185</v>
      </c>
      <c r="F9" s="2885" t="s">
        <v>2184</v>
      </c>
      <c r="G9" s="2884" t="s">
        <v>2183</v>
      </c>
      <c r="H9" s="4917"/>
      <c r="I9" s="2883" t="s">
        <v>2182</v>
      </c>
      <c r="J9" s="4904"/>
      <c r="K9" s="4904"/>
    </row>
    <row r="10" spans="1:11">
      <c r="D10" s="4915"/>
      <c r="E10" s="2882"/>
      <c r="F10" s="2882"/>
      <c r="G10" s="2881" t="s">
        <v>2181</v>
      </c>
      <c r="H10" s="4918"/>
      <c r="I10" s="2880" t="s">
        <v>2180</v>
      </c>
      <c r="J10" s="4905"/>
      <c r="K10" s="4905"/>
    </row>
    <row r="11" spans="1:11">
      <c r="A11" s="2879" t="s">
        <v>2179</v>
      </c>
      <c r="D11" s="2876"/>
      <c r="E11" s="2878"/>
      <c r="F11" s="2878"/>
      <c r="G11" s="2877"/>
      <c r="H11" s="2876"/>
      <c r="I11" s="2876"/>
      <c r="J11" s="2876"/>
      <c r="K11" s="2876"/>
    </row>
    <row r="12" spans="1:11" s="2868" customFormat="1">
      <c r="A12" s="2874"/>
      <c r="B12" s="2874" t="s">
        <v>646</v>
      </c>
      <c r="C12" s="2875" t="s">
        <v>405</v>
      </c>
      <c r="D12" s="2869">
        <v>150000</v>
      </c>
      <c r="E12" s="2869"/>
      <c r="F12" s="2869"/>
      <c r="G12" s="2871">
        <v>0</v>
      </c>
      <c r="H12" s="2870">
        <f t="shared" ref="H12:H24" si="0">D12+E12</f>
        <v>150000</v>
      </c>
      <c r="I12" s="2869">
        <f t="shared" ref="I12:I20" si="1">D12</f>
        <v>150000</v>
      </c>
      <c r="J12" s="2869">
        <f t="shared" ref="J12:J20" si="2">H12-I12</f>
        <v>0</v>
      </c>
      <c r="K12" s="2869"/>
    </row>
    <row r="13" spans="1:11" s="2868" customFormat="1">
      <c r="A13" s="2874"/>
      <c r="B13" s="2874" t="s">
        <v>704</v>
      </c>
      <c r="C13" s="2875" t="s">
        <v>403</v>
      </c>
      <c r="D13" s="2869">
        <v>100000</v>
      </c>
      <c r="E13" s="2869">
        <v>210000</v>
      </c>
      <c r="F13" s="2869"/>
      <c r="G13" s="2871">
        <v>0</v>
      </c>
      <c r="H13" s="2870">
        <f t="shared" si="0"/>
        <v>310000</v>
      </c>
      <c r="I13" s="2869">
        <f t="shared" si="1"/>
        <v>100000</v>
      </c>
      <c r="J13" s="2869">
        <f t="shared" si="2"/>
        <v>210000</v>
      </c>
      <c r="K13" s="2869"/>
    </row>
    <row r="14" spans="1:11" s="2868" customFormat="1">
      <c r="A14" s="2874"/>
      <c r="B14" s="2874" t="s">
        <v>1284</v>
      </c>
      <c r="C14" s="2875" t="s">
        <v>401</v>
      </c>
      <c r="D14" s="2869">
        <v>90000</v>
      </c>
      <c r="E14" s="2869"/>
      <c r="F14" s="2869"/>
      <c r="G14" s="2871">
        <v>0</v>
      </c>
      <c r="H14" s="2870">
        <f t="shared" si="0"/>
        <v>90000</v>
      </c>
      <c r="I14" s="2869">
        <f t="shared" si="1"/>
        <v>90000</v>
      </c>
      <c r="J14" s="2869">
        <f t="shared" si="2"/>
        <v>0</v>
      </c>
      <c r="K14" s="2869"/>
    </row>
    <row r="15" spans="1:11" s="2868" customFormat="1">
      <c r="A15" s="2874"/>
      <c r="B15" s="2873" t="s">
        <v>2178</v>
      </c>
      <c r="C15" s="2875" t="s">
        <v>398</v>
      </c>
      <c r="D15" s="2869">
        <v>50000</v>
      </c>
      <c r="E15" s="2869"/>
      <c r="F15" s="2869"/>
      <c r="G15" s="2871">
        <v>0</v>
      </c>
      <c r="H15" s="2870">
        <f t="shared" si="0"/>
        <v>50000</v>
      </c>
      <c r="I15" s="2869">
        <f t="shared" si="1"/>
        <v>50000</v>
      </c>
      <c r="J15" s="2869">
        <f t="shared" si="2"/>
        <v>0</v>
      </c>
      <c r="K15" s="2869"/>
    </row>
    <row r="16" spans="1:11" s="2868" customFormat="1">
      <c r="A16" s="2874"/>
      <c r="B16" s="2873" t="s">
        <v>2177</v>
      </c>
      <c r="C16" s="2875" t="s">
        <v>396</v>
      </c>
      <c r="D16" s="2869">
        <v>120000</v>
      </c>
      <c r="E16" s="2869"/>
      <c r="F16" s="2869"/>
      <c r="G16" s="2871">
        <v>0</v>
      </c>
      <c r="H16" s="2870">
        <f t="shared" si="0"/>
        <v>120000</v>
      </c>
      <c r="I16" s="2869">
        <f t="shared" si="1"/>
        <v>120000</v>
      </c>
      <c r="J16" s="2869">
        <f t="shared" si="2"/>
        <v>0</v>
      </c>
      <c r="K16" s="2869"/>
    </row>
    <row r="17" spans="1:11" s="2868" customFormat="1">
      <c r="A17" s="2874"/>
      <c r="B17" s="2873" t="s">
        <v>878</v>
      </c>
      <c r="C17" s="2875" t="s">
        <v>394</v>
      </c>
      <c r="D17" s="2869">
        <v>90000</v>
      </c>
      <c r="E17" s="2869"/>
      <c r="F17" s="2869"/>
      <c r="G17" s="2871">
        <v>0</v>
      </c>
      <c r="H17" s="2870">
        <f t="shared" si="0"/>
        <v>90000</v>
      </c>
      <c r="I17" s="2869">
        <f t="shared" si="1"/>
        <v>90000</v>
      </c>
      <c r="J17" s="2869">
        <f t="shared" si="2"/>
        <v>0</v>
      </c>
      <c r="K17" s="2869"/>
    </row>
    <row r="18" spans="1:11" s="2868" customFormat="1">
      <c r="A18" s="2874"/>
      <c r="B18" s="2873" t="s">
        <v>1676</v>
      </c>
      <c r="C18" s="2875" t="s">
        <v>1269</v>
      </c>
      <c r="D18" s="2869">
        <v>30000</v>
      </c>
      <c r="E18" s="2869">
        <v>24000</v>
      </c>
      <c r="F18" s="2869"/>
      <c r="G18" s="2871">
        <v>0</v>
      </c>
      <c r="H18" s="2870">
        <f t="shared" si="0"/>
        <v>54000</v>
      </c>
      <c r="I18" s="2869">
        <f t="shared" si="1"/>
        <v>30000</v>
      </c>
      <c r="J18" s="2869">
        <f t="shared" si="2"/>
        <v>24000</v>
      </c>
      <c r="K18" s="2869"/>
    </row>
    <row r="19" spans="1:11" s="2868" customFormat="1">
      <c r="A19" s="2874"/>
      <c r="B19" s="2874" t="s">
        <v>700</v>
      </c>
      <c r="C19" s="2875" t="s">
        <v>392</v>
      </c>
      <c r="D19" s="2869">
        <v>5000</v>
      </c>
      <c r="E19" s="2869"/>
      <c r="F19" s="2869"/>
      <c r="G19" s="2871">
        <v>0</v>
      </c>
      <c r="H19" s="2870">
        <f t="shared" si="0"/>
        <v>5000</v>
      </c>
      <c r="I19" s="2869">
        <f t="shared" si="1"/>
        <v>5000</v>
      </c>
      <c r="J19" s="2869">
        <f t="shared" si="2"/>
        <v>0</v>
      </c>
      <c r="K19" s="2869"/>
    </row>
    <row r="20" spans="1:11" s="2868" customFormat="1">
      <c r="A20" s="2874"/>
      <c r="B20" s="2874" t="s">
        <v>2176</v>
      </c>
      <c r="C20" s="2875" t="s">
        <v>390</v>
      </c>
      <c r="D20" s="2869">
        <v>88000</v>
      </c>
      <c r="E20" s="2869"/>
      <c r="F20" s="2869"/>
      <c r="G20" s="2871">
        <v>0</v>
      </c>
      <c r="H20" s="2870">
        <f t="shared" si="0"/>
        <v>88000</v>
      </c>
      <c r="I20" s="2869">
        <f t="shared" si="1"/>
        <v>88000</v>
      </c>
      <c r="J20" s="2869">
        <f t="shared" si="2"/>
        <v>0</v>
      </c>
      <c r="K20" s="2869"/>
    </row>
    <row r="21" spans="1:11" s="2868" customFormat="1">
      <c r="A21" s="2874"/>
      <c r="B21" s="2874" t="s">
        <v>1264</v>
      </c>
      <c r="C21" s="2875" t="s">
        <v>1263</v>
      </c>
      <c r="D21" s="2869">
        <v>0</v>
      </c>
      <c r="E21" s="2869">
        <v>22000</v>
      </c>
      <c r="F21" s="2869"/>
      <c r="G21" s="2871">
        <v>0</v>
      </c>
      <c r="H21" s="2870">
        <f t="shared" si="0"/>
        <v>22000</v>
      </c>
      <c r="I21" s="2869">
        <v>22000</v>
      </c>
      <c r="J21" s="2869">
        <v>22000</v>
      </c>
      <c r="K21" s="2869"/>
    </row>
    <row r="22" spans="1:11" s="2868" customFormat="1">
      <c r="A22" s="2874"/>
      <c r="B22" s="2873" t="s">
        <v>2175</v>
      </c>
      <c r="C22" s="2875" t="s">
        <v>1265</v>
      </c>
      <c r="D22" s="2869">
        <v>50000</v>
      </c>
      <c r="E22" s="2869">
        <v>24000</v>
      </c>
      <c r="F22" s="2869"/>
      <c r="G22" s="2871">
        <v>0</v>
      </c>
      <c r="H22" s="2870">
        <f t="shared" si="0"/>
        <v>74000</v>
      </c>
      <c r="I22" s="2869">
        <f>D22</f>
        <v>50000</v>
      </c>
      <c r="J22" s="2869">
        <f>H22-I22</f>
        <v>24000</v>
      </c>
      <c r="K22" s="2869"/>
    </row>
    <row r="23" spans="1:11" s="2868" customFormat="1">
      <c r="A23" s="2874"/>
      <c r="B23" s="2874" t="s">
        <v>2163</v>
      </c>
      <c r="C23" s="2875" t="s">
        <v>1962</v>
      </c>
      <c r="D23" s="2869">
        <v>5640</v>
      </c>
      <c r="E23" s="2869"/>
      <c r="F23" s="2869"/>
      <c r="G23" s="2871">
        <v>0</v>
      </c>
      <c r="H23" s="2870">
        <f t="shared" si="0"/>
        <v>5640</v>
      </c>
      <c r="I23" s="2869">
        <f>D23</f>
        <v>5640</v>
      </c>
      <c r="J23" s="2869">
        <f>H23-I23</f>
        <v>0</v>
      </c>
      <c r="K23" s="2869"/>
    </row>
    <row r="24" spans="1:11" s="2868" customFormat="1">
      <c r="A24" s="2874"/>
      <c r="B24" s="2874" t="s">
        <v>389</v>
      </c>
      <c r="C24" s="2875" t="s">
        <v>388</v>
      </c>
      <c r="D24" s="2869">
        <v>102300</v>
      </c>
      <c r="E24" s="2869"/>
      <c r="F24" s="2869"/>
      <c r="G24" s="2871">
        <v>0</v>
      </c>
      <c r="H24" s="2870">
        <f t="shared" si="0"/>
        <v>102300</v>
      </c>
      <c r="I24" s="2869">
        <f>D24</f>
        <v>102300</v>
      </c>
      <c r="J24" s="2869">
        <f>H24-I24</f>
        <v>0</v>
      </c>
      <c r="K24" s="2869"/>
    </row>
    <row r="25" spans="1:11" s="2868" customFormat="1">
      <c r="A25" s="2874"/>
      <c r="B25" s="2874" t="s">
        <v>2174</v>
      </c>
      <c r="C25" s="2875"/>
      <c r="D25" s="2869"/>
      <c r="E25" s="2869"/>
      <c r="F25" s="2869"/>
      <c r="G25" s="2871"/>
      <c r="H25" s="2870"/>
      <c r="I25" s="2869"/>
      <c r="J25" s="2869">
        <f>I25-H25</f>
        <v>0</v>
      </c>
      <c r="K25" s="2869"/>
    </row>
    <row r="26" spans="1:11" s="2868" customFormat="1">
      <c r="A26" s="2874"/>
      <c r="B26" s="2874" t="s">
        <v>2173</v>
      </c>
      <c r="C26" s="2875" t="s">
        <v>380</v>
      </c>
      <c r="D26" s="2869">
        <v>15000</v>
      </c>
      <c r="E26" s="2869"/>
      <c r="F26" s="2869"/>
      <c r="G26" s="2871">
        <v>0</v>
      </c>
      <c r="H26" s="2870">
        <f>D26+E26</f>
        <v>15000</v>
      </c>
      <c r="I26" s="2869">
        <f>D26</f>
        <v>15000</v>
      </c>
      <c r="J26" s="2869">
        <f>H26-I26</f>
        <v>0</v>
      </c>
      <c r="K26" s="2869"/>
    </row>
    <row r="27" spans="1:11" s="2868" customFormat="1">
      <c r="A27" s="2874"/>
      <c r="B27" s="2874" t="s">
        <v>2172</v>
      </c>
      <c r="C27" s="2872" t="s">
        <v>376</v>
      </c>
      <c r="D27" s="2869">
        <v>50000</v>
      </c>
      <c r="E27" s="2869"/>
      <c r="F27" s="2869"/>
      <c r="G27" s="2871">
        <v>0</v>
      </c>
      <c r="H27" s="2870">
        <f>D27+E27</f>
        <v>50000</v>
      </c>
      <c r="I27" s="2869">
        <f>D27</f>
        <v>50000</v>
      </c>
      <c r="J27" s="2869">
        <f>H27-I27</f>
        <v>0</v>
      </c>
      <c r="K27" s="2869"/>
    </row>
    <row r="28" spans="1:11" s="2868" customFormat="1">
      <c r="A28" s="2874"/>
      <c r="B28" s="2874" t="s">
        <v>2171</v>
      </c>
      <c r="C28" s="2875"/>
      <c r="D28" s="2869"/>
      <c r="E28" s="2869"/>
      <c r="F28" s="2869"/>
      <c r="G28" s="2871"/>
      <c r="H28" s="2870"/>
      <c r="I28" s="2869"/>
      <c r="J28" s="2869">
        <f>I28-H28</f>
        <v>0</v>
      </c>
      <c r="K28" s="2869"/>
    </row>
    <row r="29" spans="1:11" s="2868" customFormat="1">
      <c r="A29" s="2874"/>
      <c r="B29" s="2874" t="s">
        <v>2170</v>
      </c>
      <c r="C29" s="2875" t="s">
        <v>1906</v>
      </c>
      <c r="D29" s="2869">
        <v>50000</v>
      </c>
      <c r="E29" s="2869"/>
      <c r="F29" s="2869"/>
      <c r="G29" s="2871">
        <v>0</v>
      </c>
      <c r="H29" s="2870">
        <f>D29+E29</f>
        <v>50000</v>
      </c>
      <c r="I29" s="2869">
        <f>D29</f>
        <v>50000</v>
      </c>
      <c r="J29" s="2869">
        <f>H29-I29</f>
        <v>0</v>
      </c>
      <c r="K29" s="2869"/>
    </row>
    <row r="30" spans="1:11" s="2868" customFormat="1">
      <c r="A30" s="2874"/>
      <c r="B30" s="2873" t="s">
        <v>776</v>
      </c>
      <c r="C30" s="2875" t="s">
        <v>367</v>
      </c>
      <c r="D30" s="2869">
        <v>143300</v>
      </c>
      <c r="E30" s="2869"/>
      <c r="F30" s="2869"/>
      <c r="G30" s="2871">
        <v>0</v>
      </c>
      <c r="H30" s="2870">
        <f>E30+D30</f>
        <v>143300</v>
      </c>
      <c r="I30" s="2869">
        <f>D30</f>
        <v>143300</v>
      </c>
      <c r="J30" s="2869">
        <f>H30-I30</f>
        <v>0</v>
      </c>
      <c r="K30" s="2869"/>
    </row>
    <row r="31" spans="1:11" s="2868" customFormat="1">
      <c r="A31" s="2874"/>
      <c r="B31" s="2873" t="s">
        <v>2169</v>
      </c>
      <c r="C31" s="2872" t="s">
        <v>2155</v>
      </c>
      <c r="D31" s="2869">
        <v>132250</v>
      </c>
      <c r="E31" s="2869"/>
      <c r="F31" s="2869"/>
      <c r="G31" s="2871">
        <v>0</v>
      </c>
      <c r="H31" s="2870">
        <f>D31+E31</f>
        <v>132250</v>
      </c>
      <c r="I31" s="2869">
        <f>D31</f>
        <v>132250</v>
      </c>
      <c r="J31" s="2869">
        <f>H31-I31</f>
        <v>0</v>
      </c>
      <c r="K31" s="2869"/>
    </row>
    <row r="32" spans="1:11" s="2858" customFormat="1">
      <c r="A32" s="2864"/>
      <c r="B32" s="2863" t="s">
        <v>244</v>
      </c>
      <c r="C32" s="2862"/>
      <c r="D32" s="2865">
        <f>SUM(D12:D31)</f>
        <v>1271490</v>
      </c>
      <c r="E32" s="2866">
        <f>SUM(E12:E31)</f>
        <v>280000</v>
      </c>
      <c r="F32" s="2866"/>
      <c r="G32" s="2867">
        <f>SUM(G12:G31)</f>
        <v>0</v>
      </c>
      <c r="H32" s="2866">
        <f>SUM(H12:H31)</f>
        <v>1551490</v>
      </c>
      <c r="I32" s="2865">
        <f>SUM(I12:I31)</f>
        <v>1293490</v>
      </c>
      <c r="J32" s="2865">
        <f>SUM(J12:J31)</f>
        <v>280000</v>
      </c>
      <c r="K32" s="2865"/>
    </row>
    <row r="33" spans="1:10" s="2858" customFormat="1">
      <c r="A33" s="2864"/>
      <c r="B33" s="2863"/>
      <c r="C33" s="2862"/>
      <c r="D33" s="2859"/>
      <c r="E33" s="2860"/>
      <c r="F33" s="2860"/>
      <c r="G33" s="2861"/>
      <c r="H33" s="2860"/>
      <c r="I33" s="2859"/>
      <c r="J33" s="2859"/>
    </row>
    <row r="34" spans="1:10" s="2851" customFormat="1">
      <c r="A34" s="2857"/>
      <c r="B34" s="2856"/>
      <c r="C34" s="2855"/>
      <c r="D34" s="2852"/>
      <c r="E34" s="2854"/>
      <c r="F34" s="2854"/>
      <c r="G34" s="2853"/>
      <c r="H34" s="2853"/>
      <c r="I34" s="2852"/>
      <c r="J34" s="2852"/>
    </row>
    <row r="35" spans="1:10" s="2846" customFormat="1">
      <c r="B35" s="2846" t="s">
        <v>715</v>
      </c>
      <c r="E35" s="2846" t="s">
        <v>2168</v>
      </c>
    </row>
    <row r="36" spans="1:10" s="2846" customFormat="1">
      <c r="C36" s="2850"/>
      <c r="G36" s="2849"/>
    </row>
    <row r="37" spans="1:10" s="2846" customFormat="1">
      <c r="C37" s="2850"/>
      <c r="G37" s="2849"/>
    </row>
    <row r="38" spans="1:10" s="2846" customFormat="1">
      <c r="B38" s="2848" t="s">
        <v>739</v>
      </c>
      <c r="C38" s="2848"/>
      <c r="D38" s="2848"/>
      <c r="E38" s="2848"/>
      <c r="F38" s="2848"/>
      <c r="G38" s="2848"/>
      <c r="H38" s="2848"/>
      <c r="I38" s="2848" t="s">
        <v>360</v>
      </c>
      <c r="J38" s="2848"/>
    </row>
    <row r="39" spans="1:10" s="2846" customFormat="1">
      <c r="B39" s="2847" t="s">
        <v>740</v>
      </c>
      <c r="C39" s="2847"/>
      <c r="D39" s="2847"/>
      <c r="E39" s="2847"/>
      <c r="F39" s="2847"/>
      <c r="G39" s="2847"/>
      <c r="H39" s="2847"/>
      <c r="I39" s="2847" t="s">
        <v>357</v>
      </c>
      <c r="J39" s="2847"/>
    </row>
    <row r="40" spans="1:10" s="2841" customFormat="1" ht="15">
      <c r="C40" s="2843"/>
      <c r="G40" s="2842"/>
      <c r="H40" s="2845"/>
      <c r="I40" s="2844"/>
      <c r="J40" s="2844"/>
    </row>
    <row r="41" spans="1:10" s="2841" customFormat="1" ht="8.25">
      <c r="C41" s="2843"/>
      <c r="G41" s="2842"/>
    </row>
    <row r="42" spans="1:10" s="2841" customFormat="1" ht="8.25">
      <c r="C42" s="2843"/>
      <c r="G42" s="2842"/>
    </row>
    <row r="43" spans="1:10" s="2841" customFormat="1" ht="8.25">
      <c r="C43" s="2843"/>
      <c r="G43" s="2842"/>
    </row>
    <row r="44" spans="1:10" s="2841" customFormat="1" ht="8.25">
      <c r="C44" s="2843"/>
      <c r="G44" s="2842"/>
    </row>
    <row r="45" spans="1:10">
      <c r="C45" s="2840"/>
    </row>
    <row r="46" spans="1:10">
      <c r="C46" s="2840"/>
    </row>
    <row r="47" spans="1:10">
      <c r="C47" s="2840"/>
    </row>
    <row r="48" spans="1:10">
      <c r="C48" s="2840"/>
    </row>
    <row r="49" spans="3:3">
      <c r="C49" s="2840"/>
    </row>
  </sheetData>
  <mergeCells count="9">
    <mergeCell ref="K7:K10"/>
    <mergeCell ref="A1:J1"/>
    <mergeCell ref="A2:J2"/>
    <mergeCell ref="A3:J3"/>
    <mergeCell ref="A5:J5"/>
    <mergeCell ref="J7:J10"/>
    <mergeCell ref="D7:H7"/>
    <mergeCell ref="D8:D10"/>
    <mergeCell ref="H8:H10"/>
  </mergeCells>
  <printOptions horizontalCentered="1"/>
  <pageMargins left="0" right="0" top="0.5" bottom="0.5" header="0.5" footer="0.5"/>
  <pageSetup paperSize="5"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6"/>
  <sheetViews>
    <sheetView workbookViewId="0">
      <selection activeCell="A2" sqref="A2:J2"/>
    </sheetView>
  </sheetViews>
  <sheetFormatPr defaultRowHeight="12.75"/>
  <cols>
    <col min="1" max="1" width="1.28515625" style="2838" customWidth="1"/>
    <col min="2" max="2" width="47.42578125" style="2838" customWidth="1"/>
    <col min="3" max="3" width="19.7109375" style="2838" customWidth="1"/>
    <col min="4" max="6" width="11.5703125" style="2838" customWidth="1"/>
    <col min="7" max="7" width="9.5703125" style="2839" customWidth="1"/>
    <col min="8" max="8" width="11.7109375" style="2838" customWidth="1"/>
    <col min="9" max="10" width="12" style="2838" customWidth="1"/>
    <col min="11"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889"/>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c r="D8" s="4913" t="s">
        <v>2182</v>
      </c>
      <c r="E8" s="2887"/>
      <c r="F8" s="2887"/>
      <c r="G8" s="2886"/>
      <c r="H8" s="4916" t="s">
        <v>244</v>
      </c>
      <c r="I8" s="2883" t="s">
        <v>2186</v>
      </c>
      <c r="J8" s="4904"/>
      <c r="K8" s="4904"/>
    </row>
    <row r="9" spans="1:11">
      <c r="D9" s="4914"/>
      <c r="E9" s="2885" t="s">
        <v>2185</v>
      </c>
      <c r="F9" s="2885" t="s">
        <v>2196</v>
      </c>
      <c r="G9" s="2884" t="s">
        <v>2183</v>
      </c>
      <c r="H9" s="4917"/>
      <c r="I9" s="2883" t="s">
        <v>2182</v>
      </c>
      <c r="J9" s="4904"/>
      <c r="K9" s="4904"/>
    </row>
    <row r="10" spans="1:11">
      <c r="B10" s="2879" t="s">
        <v>2179</v>
      </c>
      <c r="D10" s="4915"/>
      <c r="E10" s="2882"/>
      <c r="F10" s="2882"/>
      <c r="G10" s="2881" t="s">
        <v>2181</v>
      </c>
      <c r="H10" s="4918"/>
      <c r="I10" s="2880" t="s">
        <v>2180</v>
      </c>
      <c r="J10" s="4905"/>
      <c r="K10" s="4905"/>
    </row>
    <row r="11" spans="1:11">
      <c r="A11" s="2879"/>
      <c r="B11" s="2879" t="s">
        <v>2195</v>
      </c>
      <c r="D11" s="2876"/>
      <c r="E11" s="2878"/>
      <c r="F11" s="2878"/>
      <c r="G11" s="2877"/>
      <c r="H11" s="2876"/>
      <c r="I11" s="2876"/>
      <c r="J11" s="2876"/>
      <c r="K11" s="2876"/>
    </row>
    <row r="12" spans="1:11" s="2868" customFormat="1">
      <c r="A12" s="2874"/>
      <c r="B12" s="2874" t="s">
        <v>704</v>
      </c>
      <c r="C12" s="2875" t="s">
        <v>403</v>
      </c>
      <c r="D12" s="2869">
        <v>50000</v>
      </c>
      <c r="E12" s="2869">
        <v>0</v>
      </c>
      <c r="F12" s="2869">
        <v>0</v>
      </c>
      <c r="G12" s="2871">
        <v>0</v>
      </c>
      <c r="H12" s="2870">
        <f t="shared" ref="H12:H18" si="0">D12+E12+F12</f>
        <v>50000</v>
      </c>
      <c r="I12" s="2869">
        <v>50000</v>
      </c>
      <c r="J12" s="2869">
        <f t="shared" ref="J12:J18" si="1">H12-I12</f>
        <v>0</v>
      </c>
      <c r="K12" s="2869"/>
    </row>
    <row r="13" spans="1:11" s="2868" customFormat="1">
      <c r="A13" s="2874"/>
      <c r="B13" s="2874" t="s">
        <v>877</v>
      </c>
      <c r="C13" s="2875" t="s">
        <v>396</v>
      </c>
      <c r="D13" s="2869">
        <v>4000</v>
      </c>
      <c r="E13" s="2869">
        <v>0</v>
      </c>
      <c r="F13" s="2869">
        <v>0</v>
      </c>
      <c r="G13" s="2871">
        <v>0</v>
      </c>
      <c r="H13" s="2870">
        <f t="shared" si="0"/>
        <v>4000</v>
      </c>
      <c r="I13" s="2869">
        <v>4000</v>
      </c>
      <c r="J13" s="2869">
        <f t="shared" si="1"/>
        <v>0</v>
      </c>
      <c r="K13" s="2869"/>
    </row>
    <row r="14" spans="1:11" s="2868" customFormat="1">
      <c r="A14" s="2874"/>
      <c r="B14" s="2874" t="s">
        <v>878</v>
      </c>
      <c r="C14" s="2875" t="s">
        <v>394</v>
      </c>
      <c r="D14" s="2869">
        <v>25000</v>
      </c>
      <c r="E14" s="2869">
        <v>0</v>
      </c>
      <c r="F14" s="2869">
        <v>0</v>
      </c>
      <c r="G14" s="2871">
        <v>0</v>
      </c>
      <c r="H14" s="2870">
        <f t="shared" si="0"/>
        <v>25000</v>
      </c>
      <c r="I14" s="2869">
        <v>25000</v>
      </c>
      <c r="J14" s="2869">
        <f t="shared" si="1"/>
        <v>0</v>
      </c>
      <c r="K14" s="2869"/>
    </row>
    <row r="15" spans="1:11" s="2868" customFormat="1">
      <c r="A15" s="2874"/>
      <c r="B15" s="2874" t="s">
        <v>2194</v>
      </c>
      <c r="C15" s="2875" t="s">
        <v>392</v>
      </c>
      <c r="D15" s="2869">
        <v>1200</v>
      </c>
      <c r="E15" s="2869">
        <v>0</v>
      </c>
      <c r="F15" s="2869">
        <v>0</v>
      </c>
      <c r="G15" s="2871">
        <v>0</v>
      </c>
      <c r="H15" s="2870">
        <f t="shared" si="0"/>
        <v>1200</v>
      </c>
      <c r="I15" s="2869">
        <v>1200</v>
      </c>
      <c r="J15" s="2869">
        <f t="shared" si="1"/>
        <v>0</v>
      </c>
      <c r="K15" s="2869"/>
    </row>
    <row r="16" spans="1:11" s="2868" customFormat="1">
      <c r="A16" s="2874"/>
      <c r="B16" s="2874" t="s">
        <v>2113</v>
      </c>
      <c r="C16" s="2875" t="s">
        <v>1898</v>
      </c>
      <c r="D16" s="2869">
        <v>5000</v>
      </c>
      <c r="E16" s="2869">
        <v>0</v>
      </c>
      <c r="F16" s="2869">
        <v>0</v>
      </c>
      <c r="G16" s="2871">
        <v>0</v>
      </c>
      <c r="H16" s="2870">
        <f t="shared" si="0"/>
        <v>5000</v>
      </c>
      <c r="I16" s="2869">
        <v>5000</v>
      </c>
      <c r="J16" s="2869">
        <f t="shared" si="1"/>
        <v>0</v>
      </c>
      <c r="K16" s="2869"/>
    </row>
    <row r="17" spans="1:11" s="2868" customFormat="1">
      <c r="A17" s="2874"/>
      <c r="B17" s="2874" t="s">
        <v>1888</v>
      </c>
      <c r="C17" s="2875" t="s">
        <v>1887</v>
      </c>
      <c r="D17" s="2869">
        <v>12000</v>
      </c>
      <c r="E17" s="2869">
        <v>0</v>
      </c>
      <c r="F17" s="2869">
        <v>0</v>
      </c>
      <c r="G17" s="2871">
        <v>0</v>
      </c>
      <c r="H17" s="2870">
        <f t="shared" si="0"/>
        <v>12000</v>
      </c>
      <c r="I17" s="2869">
        <v>12000</v>
      </c>
      <c r="J17" s="2869">
        <f t="shared" si="1"/>
        <v>0</v>
      </c>
      <c r="K17" s="2869"/>
    </row>
    <row r="18" spans="1:11" s="2868" customFormat="1">
      <c r="A18" s="2874"/>
      <c r="B18" s="2873" t="s">
        <v>368</v>
      </c>
      <c r="C18" s="2875" t="s">
        <v>367</v>
      </c>
      <c r="D18" s="2869">
        <v>152800</v>
      </c>
      <c r="E18" s="2869">
        <v>0</v>
      </c>
      <c r="F18" s="2869">
        <v>0</v>
      </c>
      <c r="G18" s="2871">
        <v>0</v>
      </c>
      <c r="H18" s="2870">
        <f t="shared" si="0"/>
        <v>152800</v>
      </c>
      <c r="I18" s="2869">
        <v>152800</v>
      </c>
      <c r="J18" s="2869">
        <f t="shared" si="1"/>
        <v>0</v>
      </c>
      <c r="K18" s="2869"/>
    </row>
    <row r="19" spans="1:11" s="2858" customFormat="1">
      <c r="A19" s="2864"/>
      <c r="B19" s="2863" t="s">
        <v>244</v>
      </c>
      <c r="C19" s="2862"/>
      <c r="D19" s="2865">
        <f t="shared" ref="D19:J19" si="2">SUM(D12:D18)</f>
        <v>250000</v>
      </c>
      <c r="E19" s="2866">
        <f t="shared" si="2"/>
        <v>0</v>
      </c>
      <c r="F19" s="2866">
        <f t="shared" si="2"/>
        <v>0</v>
      </c>
      <c r="G19" s="2867">
        <f t="shared" si="2"/>
        <v>0</v>
      </c>
      <c r="H19" s="2866">
        <f t="shared" si="2"/>
        <v>250000</v>
      </c>
      <c r="I19" s="2865">
        <f t="shared" si="2"/>
        <v>250000</v>
      </c>
      <c r="J19" s="2865">
        <f t="shared" si="2"/>
        <v>0</v>
      </c>
      <c r="K19" s="2865"/>
    </row>
    <row r="20" spans="1:11" s="2858" customFormat="1">
      <c r="A20" s="2864"/>
      <c r="B20" s="2863"/>
      <c r="C20" s="2862"/>
      <c r="D20" s="2859"/>
      <c r="E20" s="2860"/>
      <c r="F20" s="2860"/>
      <c r="G20" s="2861"/>
      <c r="H20" s="2860"/>
      <c r="I20" s="2859"/>
      <c r="J20" s="2859"/>
    </row>
    <row r="21" spans="1:11" s="2851" customFormat="1">
      <c r="A21" s="2857"/>
      <c r="B21" s="2856"/>
      <c r="C21" s="2855"/>
      <c r="D21" s="2852"/>
      <c r="E21" s="2854"/>
      <c r="F21" s="2854"/>
      <c r="G21" s="2853"/>
      <c r="H21" s="2853"/>
      <c r="I21" s="2852"/>
      <c r="J21" s="2852"/>
    </row>
    <row r="22" spans="1:11" s="2846" customFormat="1">
      <c r="B22" s="2846" t="s">
        <v>715</v>
      </c>
      <c r="E22" s="2846" t="s">
        <v>2168</v>
      </c>
    </row>
    <row r="23" spans="1:11" s="2846" customFormat="1">
      <c r="C23" s="2850"/>
      <c r="G23" s="2849"/>
    </row>
    <row r="24" spans="1:11" s="2846" customFormat="1">
      <c r="C24" s="2850"/>
      <c r="G24" s="2849"/>
    </row>
    <row r="25" spans="1:11" s="2846" customFormat="1">
      <c r="B25" s="2848" t="s">
        <v>739</v>
      </c>
      <c r="C25" s="2848"/>
      <c r="D25" s="2848"/>
      <c r="E25" s="2848"/>
      <c r="F25" s="2848"/>
      <c r="G25" s="2848"/>
      <c r="H25" s="2848" t="s">
        <v>360</v>
      </c>
      <c r="I25" s="2848"/>
      <c r="J25" s="2848"/>
    </row>
    <row r="26" spans="1:11" s="2846" customFormat="1">
      <c r="B26" s="2847" t="s">
        <v>740</v>
      </c>
      <c r="C26" s="2847"/>
      <c r="D26" s="2847"/>
      <c r="E26" s="2847"/>
      <c r="F26" s="2847"/>
      <c r="G26" s="2847"/>
      <c r="H26" s="2847" t="s">
        <v>357</v>
      </c>
      <c r="I26" s="2847"/>
      <c r="J26" s="2847"/>
    </row>
    <row r="27" spans="1:11" s="2841" customFormat="1" ht="15">
      <c r="C27" s="2843"/>
      <c r="G27" s="2845"/>
      <c r="H27" s="2844"/>
      <c r="I27" s="2844"/>
    </row>
    <row r="28" spans="1:11" s="2841" customFormat="1" ht="8.25">
      <c r="C28" s="2843"/>
      <c r="G28" s="2842"/>
    </row>
    <row r="29" spans="1:11" s="2841" customFormat="1" ht="8.25">
      <c r="C29" s="2843"/>
      <c r="G29" s="2842"/>
    </row>
    <row r="30" spans="1:11" s="2841" customFormat="1" ht="8.25">
      <c r="C30" s="2843"/>
      <c r="G30" s="2842"/>
    </row>
    <row r="31" spans="1:11" s="2841" customFormat="1" ht="8.25">
      <c r="C31" s="2843"/>
      <c r="G31" s="2842"/>
    </row>
    <row r="32" spans="1:11">
      <c r="C32" s="2840"/>
    </row>
    <row r="33" spans="3:3">
      <c r="C33" s="2840"/>
    </row>
    <row r="34" spans="3:3">
      <c r="C34" s="2840"/>
    </row>
    <row r="35" spans="3:3">
      <c r="C35" s="2840"/>
    </row>
    <row r="36" spans="3:3">
      <c r="C36" s="2840"/>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verticalDpi="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5"/>
  <sheetViews>
    <sheetView workbookViewId="0">
      <selection activeCell="A20" sqref="A20"/>
    </sheetView>
  </sheetViews>
  <sheetFormatPr defaultRowHeight="12.75"/>
  <cols>
    <col min="1" max="1" width="47.42578125" style="2838" customWidth="1"/>
    <col min="2" max="2" width="19.7109375" style="2838" customWidth="1"/>
    <col min="3" max="4" width="11.5703125" style="2838" customWidth="1"/>
    <col min="5" max="5" width="9.42578125" style="2838" customWidth="1"/>
    <col min="6" max="6" width="9.5703125" style="2839" customWidth="1"/>
    <col min="7" max="7" width="11.7109375" style="2838" customWidth="1"/>
    <col min="8" max="9" width="12" style="2838" customWidth="1"/>
    <col min="10" max="16384" width="9.140625" style="2838"/>
  </cols>
  <sheetData>
    <row r="1" spans="1:10" ht="18">
      <c r="A1" s="4906"/>
      <c r="B1" s="4906"/>
      <c r="C1" s="4906"/>
      <c r="D1" s="4906"/>
      <c r="E1" s="4906"/>
      <c r="F1" s="4906"/>
      <c r="G1" s="4906"/>
      <c r="H1" s="4906"/>
      <c r="I1" s="4906"/>
    </row>
    <row r="2" spans="1:10" ht="20.25">
      <c r="A2" s="4907"/>
      <c r="B2" s="4907"/>
      <c r="C2" s="4907"/>
      <c r="D2" s="4907"/>
      <c r="E2" s="4907"/>
      <c r="F2" s="4907"/>
      <c r="G2" s="4907"/>
      <c r="H2" s="4907"/>
      <c r="I2" s="4907"/>
    </row>
    <row r="3" spans="1:10" ht="20.25">
      <c r="A3" s="4907"/>
      <c r="B3" s="4907"/>
      <c r="C3" s="4907"/>
      <c r="D3" s="4907"/>
      <c r="E3" s="4907"/>
      <c r="F3" s="4907"/>
      <c r="G3" s="4907"/>
      <c r="H3" s="4907"/>
      <c r="I3" s="4907"/>
    </row>
    <row r="4" spans="1:10" ht="11.25" customHeight="1">
      <c r="A4" s="2889"/>
      <c r="B4" s="2889"/>
      <c r="C4" s="2889"/>
      <c r="D4" s="2889"/>
      <c r="E4" s="2889"/>
      <c r="F4" s="2890"/>
      <c r="G4" s="2889"/>
      <c r="H4" s="2889"/>
      <c r="I4" s="2889"/>
    </row>
    <row r="5" spans="1:10" ht="20.25">
      <c r="A5" s="4908"/>
      <c r="B5" s="4908"/>
      <c r="C5" s="4908"/>
      <c r="D5" s="4908"/>
      <c r="E5" s="4908"/>
      <c r="F5" s="4908"/>
      <c r="G5" s="4908"/>
      <c r="H5" s="4908"/>
      <c r="I5" s="4908"/>
    </row>
    <row r="6" spans="1:10" ht="10.5" customHeight="1"/>
    <row r="7" spans="1:10" ht="18.75">
      <c r="C7" s="4909" t="s">
        <v>2189</v>
      </c>
      <c r="D7" s="4910"/>
      <c r="E7" s="4910"/>
      <c r="F7" s="4911"/>
      <c r="G7" s="4912"/>
      <c r="H7" s="2888" t="s">
        <v>2188</v>
      </c>
      <c r="I7" s="4903" t="s">
        <v>1516</v>
      </c>
      <c r="J7" s="4903" t="s">
        <v>2187</v>
      </c>
    </row>
    <row r="8" spans="1:10">
      <c r="C8" s="4913" t="s">
        <v>2182</v>
      </c>
      <c r="D8" s="2887"/>
      <c r="E8" s="2887"/>
      <c r="F8" s="2886"/>
      <c r="G8" s="4916" t="s">
        <v>244</v>
      </c>
      <c r="H8" s="2883" t="s">
        <v>2186</v>
      </c>
      <c r="I8" s="4904"/>
      <c r="J8" s="4904"/>
    </row>
    <row r="9" spans="1:10">
      <c r="C9" s="4914"/>
      <c r="D9" s="2885" t="s">
        <v>2185</v>
      </c>
      <c r="E9" s="2885" t="s">
        <v>2196</v>
      </c>
      <c r="F9" s="2884" t="s">
        <v>2183</v>
      </c>
      <c r="G9" s="4917"/>
      <c r="H9" s="2883" t="s">
        <v>2182</v>
      </c>
      <c r="I9" s="4904"/>
      <c r="J9" s="4904"/>
    </row>
    <row r="10" spans="1:10">
      <c r="A10" s="2879" t="s">
        <v>2179</v>
      </c>
      <c r="C10" s="4915"/>
      <c r="D10" s="2882"/>
      <c r="E10" s="2882"/>
      <c r="F10" s="2881" t="s">
        <v>2181</v>
      </c>
      <c r="G10" s="4918"/>
      <c r="H10" s="2880" t="s">
        <v>2180</v>
      </c>
      <c r="I10" s="4905"/>
      <c r="J10" s="4905"/>
    </row>
    <row r="11" spans="1:10">
      <c r="A11" s="2879" t="s">
        <v>2199</v>
      </c>
      <c r="C11" s="2876"/>
      <c r="D11" s="2878"/>
      <c r="E11" s="2878"/>
      <c r="F11" s="2877"/>
      <c r="G11" s="2876"/>
      <c r="H11" s="2876"/>
      <c r="I11" s="2876"/>
      <c r="J11" s="2876"/>
    </row>
    <row r="12" spans="1:10" s="2868" customFormat="1">
      <c r="A12" s="2874" t="s">
        <v>877</v>
      </c>
      <c r="B12" s="2875" t="s">
        <v>396</v>
      </c>
      <c r="C12" s="2869">
        <v>2122750</v>
      </c>
      <c r="D12" s="2869">
        <v>2077808</v>
      </c>
      <c r="E12" s="2869"/>
      <c r="F12" s="2871">
        <v>0</v>
      </c>
      <c r="G12" s="2870">
        <f>C12+D12+E12</f>
        <v>4200558</v>
      </c>
      <c r="H12" s="2869">
        <f>C12</f>
        <v>2122750</v>
      </c>
      <c r="I12" s="2869">
        <f>G12-H12</f>
        <v>2077808</v>
      </c>
      <c r="J12" s="2869"/>
    </row>
    <row r="13" spans="1:10" s="2868" customFormat="1">
      <c r="A13" s="2874" t="s">
        <v>1950</v>
      </c>
      <c r="B13" s="2875" t="s">
        <v>1949</v>
      </c>
      <c r="C13" s="2869">
        <v>3749100</v>
      </c>
      <c r="D13" s="2869">
        <v>1636800</v>
      </c>
      <c r="E13" s="2869"/>
      <c r="F13" s="2871">
        <v>0</v>
      </c>
      <c r="G13" s="2870">
        <f>C13+D13+E13</f>
        <v>5385900</v>
      </c>
      <c r="H13" s="2869">
        <f>C13</f>
        <v>3749100</v>
      </c>
      <c r="I13" s="2869">
        <f>G13-H13</f>
        <v>1636800</v>
      </c>
      <c r="J13" s="2869"/>
    </row>
    <row r="14" spans="1:10" s="2868" customFormat="1">
      <c r="A14" s="2874" t="s">
        <v>2198</v>
      </c>
      <c r="B14" s="2875" t="s">
        <v>376</v>
      </c>
      <c r="C14" s="2869">
        <v>350000</v>
      </c>
      <c r="D14" s="2869">
        <v>100000</v>
      </c>
      <c r="E14" s="2869"/>
      <c r="F14" s="2871">
        <v>0</v>
      </c>
      <c r="G14" s="2870">
        <f>C14+D14+E14</f>
        <v>450000</v>
      </c>
      <c r="H14" s="2869">
        <f>C14</f>
        <v>350000</v>
      </c>
      <c r="I14" s="2869">
        <f>G14-H14</f>
        <v>100000</v>
      </c>
      <c r="J14" s="2869"/>
    </row>
    <row r="15" spans="1:10" s="2868" customFormat="1">
      <c r="A15" s="2874" t="s">
        <v>2198</v>
      </c>
      <c r="B15" s="2875"/>
      <c r="C15" s="2869"/>
      <c r="D15" s="2869"/>
      <c r="E15" s="2869"/>
      <c r="F15" s="2871"/>
      <c r="G15" s="2870"/>
      <c r="H15" s="2869"/>
      <c r="I15" s="2869"/>
      <c r="J15" s="2869"/>
    </row>
    <row r="16" spans="1:10" s="2868" customFormat="1">
      <c r="A16" s="2874" t="s">
        <v>2197</v>
      </c>
      <c r="B16" s="2875" t="s">
        <v>371</v>
      </c>
      <c r="C16" s="2869">
        <v>400000</v>
      </c>
      <c r="D16" s="2869">
        <v>624000</v>
      </c>
      <c r="E16" s="2869"/>
      <c r="F16" s="2871">
        <v>0</v>
      </c>
      <c r="G16" s="2870">
        <f>C16+D16+E16</f>
        <v>1024000</v>
      </c>
      <c r="H16" s="2869">
        <f>C16</f>
        <v>400000</v>
      </c>
      <c r="I16" s="2869">
        <f>G16-H16</f>
        <v>624000</v>
      </c>
      <c r="J16" s="2869"/>
    </row>
    <row r="17" spans="1:10" s="2868" customFormat="1">
      <c r="A17" s="2873" t="s">
        <v>368</v>
      </c>
      <c r="B17" s="2875" t="s">
        <v>367</v>
      </c>
      <c r="C17" s="2869">
        <v>28150</v>
      </c>
      <c r="D17" s="2869">
        <v>0</v>
      </c>
      <c r="E17" s="2869"/>
      <c r="F17" s="2871">
        <v>0</v>
      </c>
      <c r="G17" s="2870">
        <v>28150</v>
      </c>
      <c r="H17" s="2869">
        <f>C17</f>
        <v>28150</v>
      </c>
      <c r="I17" s="2869">
        <f>G17-H17</f>
        <v>0</v>
      </c>
      <c r="J17" s="2869"/>
    </row>
    <row r="18" spans="1:10" s="2858" customFormat="1">
      <c r="A18" s="2863" t="s">
        <v>244</v>
      </c>
      <c r="B18" s="2862"/>
      <c r="C18" s="2865">
        <f t="shared" ref="C18:I18" si="0">SUM(C12:C17)</f>
        <v>6650000</v>
      </c>
      <c r="D18" s="2866">
        <f t="shared" si="0"/>
        <v>4438608</v>
      </c>
      <c r="E18" s="2866">
        <f t="shared" si="0"/>
        <v>0</v>
      </c>
      <c r="F18" s="2867">
        <f t="shared" si="0"/>
        <v>0</v>
      </c>
      <c r="G18" s="2866">
        <f t="shared" si="0"/>
        <v>11088608</v>
      </c>
      <c r="H18" s="2865">
        <f t="shared" si="0"/>
        <v>6650000</v>
      </c>
      <c r="I18" s="2865">
        <f t="shared" si="0"/>
        <v>4438608</v>
      </c>
      <c r="J18" s="2865"/>
    </row>
    <row r="19" spans="1:10" s="2858" customFormat="1">
      <c r="A19" s="2863"/>
      <c r="B19" s="2862"/>
      <c r="C19" s="2859"/>
      <c r="D19" s="2860"/>
      <c r="E19" s="2860"/>
      <c r="F19" s="2861"/>
      <c r="G19" s="2860"/>
      <c r="H19" s="2859"/>
      <c r="I19" s="2859"/>
    </row>
    <row r="20" spans="1:10" s="2851" customFormat="1">
      <c r="A20" s="2856"/>
      <c r="B20" s="2855"/>
      <c r="C20" s="2852"/>
      <c r="D20" s="2854"/>
      <c r="E20" s="2854"/>
      <c r="F20" s="2853"/>
      <c r="G20" s="2853"/>
      <c r="H20" s="2852"/>
      <c r="I20" s="2852"/>
    </row>
    <row r="21" spans="1:10" s="2846" customFormat="1">
      <c r="A21" s="2846" t="s">
        <v>715</v>
      </c>
      <c r="D21" s="2846" t="s">
        <v>2168</v>
      </c>
    </row>
    <row r="22" spans="1:10" s="2846" customFormat="1">
      <c r="B22" s="2850"/>
      <c r="F22" s="2849"/>
    </row>
    <row r="23" spans="1:10" s="2846" customFormat="1">
      <c r="B23" s="2850"/>
      <c r="F23" s="2849"/>
    </row>
    <row r="24" spans="1:10" s="2846" customFormat="1">
      <c r="A24" s="2848" t="s">
        <v>739</v>
      </c>
      <c r="B24" s="2848"/>
      <c r="C24" s="2848"/>
      <c r="D24" s="2848"/>
      <c r="E24" s="2848"/>
      <c r="F24" s="2848"/>
      <c r="G24" s="2848" t="s">
        <v>360</v>
      </c>
      <c r="H24" s="2848"/>
      <c r="I24" s="2848"/>
    </row>
    <row r="25" spans="1:10" s="2846" customFormat="1">
      <c r="A25" s="2847" t="s">
        <v>740</v>
      </c>
      <c r="B25" s="2847"/>
      <c r="C25" s="2847"/>
      <c r="D25" s="2847"/>
      <c r="E25" s="2847"/>
      <c r="F25" s="2847"/>
      <c r="G25" s="2847" t="s">
        <v>357</v>
      </c>
      <c r="H25" s="2847"/>
      <c r="I25" s="2847"/>
    </row>
    <row r="26" spans="1:10" s="2841" customFormat="1" ht="15">
      <c r="B26" s="2843"/>
      <c r="F26" s="2845"/>
      <c r="G26" s="2844"/>
      <c r="H26" s="2844"/>
    </row>
    <row r="27" spans="1:10" s="2841" customFormat="1" ht="8.25">
      <c r="B27" s="2843"/>
      <c r="F27" s="2842"/>
    </row>
    <row r="28" spans="1:10" s="2841" customFormat="1" ht="8.25">
      <c r="B28" s="2843"/>
      <c r="F28" s="2842"/>
    </row>
    <row r="29" spans="1:10" s="2841" customFormat="1" ht="8.25">
      <c r="B29" s="2843"/>
      <c r="F29" s="2842"/>
    </row>
    <row r="30" spans="1:10" s="2841" customFormat="1" ht="8.25">
      <c r="B30" s="2843"/>
      <c r="F30" s="2842"/>
    </row>
    <row r="31" spans="1:10">
      <c r="B31" s="2840"/>
    </row>
    <row r="32" spans="1:10">
      <c r="B32" s="2840"/>
    </row>
    <row r="33" spans="2:2">
      <c r="B33" s="2840"/>
    </row>
    <row r="34" spans="2:2">
      <c r="B34" s="2840"/>
    </row>
    <row r="35" spans="2:2">
      <c r="B35" s="2840"/>
    </row>
  </sheetData>
  <mergeCells count="9">
    <mergeCell ref="J7:J10"/>
    <mergeCell ref="A1:I1"/>
    <mergeCell ref="A2:I2"/>
    <mergeCell ref="A3:I3"/>
    <mergeCell ref="A5:I5"/>
    <mergeCell ref="C7:G7"/>
    <mergeCell ref="I7:I10"/>
    <mergeCell ref="C8:C10"/>
    <mergeCell ref="G8:G10"/>
  </mergeCells>
  <printOptions horizontalCentered="1"/>
  <pageMargins left="0" right="0" top="0.5" bottom="0.5" header="0.5" footer="0.5"/>
  <pageSetup paperSize="5" orientation="landscape" verticalDpi="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2"/>
  <sheetViews>
    <sheetView workbookViewId="0">
      <selection activeCell="C20" sqref="C20"/>
    </sheetView>
  </sheetViews>
  <sheetFormatPr defaultRowHeight="12.75"/>
  <cols>
    <col min="1" max="1" width="1.28515625" style="2838" customWidth="1"/>
    <col min="2" max="2" width="47.42578125" style="2838" customWidth="1"/>
    <col min="3" max="3" width="19.7109375" style="2838" customWidth="1"/>
    <col min="4" max="5" width="11.5703125" style="2838" customWidth="1"/>
    <col min="6" max="6" width="8.28515625" style="2838" customWidth="1"/>
    <col min="7" max="7" width="9.5703125" style="2839" customWidth="1"/>
    <col min="8" max="8" width="11.7109375" style="2838" customWidth="1"/>
    <col min="9" max="10" width="12" style="2838" customWidth="1"/>
    <col min="11"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889"/>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c r="D8" s="4913" t="s">
        <v>2182</v>
      </c>
      <c r="E8" s="2887"/>
      <c r="F8" s="2887"/>
      <c r="G8" s="2886"/>
      <c r="H8" s="4916" t="s">
        <v>244</v>
      </c>
      <c r="I8" s="2883" t="s">
        <v>2186</v>
      </c>
      <c r="J8" s="4904"/>
      <c r="K8" s="4904"/>
    </row>
    <row r="9" spans="1:11">
      <c r="D9" s="4914"/>
      <c r="E9" s="2885" t="s">
        <v>2185</v>
      </c>
      <c r="F9" s="2885" t="s">
        <v>2196</v>
      </c>
      <c r="G9" s="2884" t="s">
        <v>2183</v>
      </c>
      <c r="H9" s="4917"/>
      <c r="I9" s="2883" t="s">
        <v>2182</v>
      </c>
      <c r="J9" s="4904"/>
      <c r="K9" s="4904"/>
    </row>
    <row r="10" spans="1:11">
      <c r="B10" s="2879" t="s">
        <v>2179</v>
      </c>
      <c r="D10" s="4915"/>
      <c r="E10" s="2882"/>
      <c r="F10" s="2882"/>
      <c r="G10" s="2881" t="s">
        <v>2181</v>
      </c>
      <c r="H10" s="4918"/>
      <c r="I10" s="2880" t="s">
        <v>2180</v>
      </c>
      <c r="J10" s="4905"/>
      <c r="K10" s="4905"/>
    </row>
    <row r="11" spans="1:11">
      <c r="A11" s="2879"/>
      <c r="B11" s="2879" t="s">
        <v>2200</v>
      </c>
      <c r="D11" s="2876"/>
      <c r="E11" s="2878"/>
      <c r="F11" s="2878"/>
      <c r="G11" s="2877"/>
      <c r="H11" s="2876"/>
      <c r="I11" s="2876"/>
      <c r="J11" s="2876"/>
      <c r="K11" s="2876"/>
    </row>
    <row r="12" spans="1:11" s="2868" customFormat="1">
      <c r="A12" s="2874"/>
      <c r="B12" s="2874" t="s">
        <v>877</v>
      </c>
      <c r="C12" s="2875" t="s">
        <v>396</v>
      </c>
      <c r="D12" s="2869">
        <v>60000</v>
      </c>
      <c r="E12" s="2869">
        <v>0</v>
      </c>
      <c r="F12" s="2869">
        <v>0</v>
      </c>
      <c r="G12" s="2871">
        <v>0</v>
      </c>
      <c r="H12" s="2870">
        <f>D12+E12+F12</f>
        <v>60000</v>
      </c>
      <c r="I12" s="2869">
        <v>60000</v>
      </c>
      <c r="J12" s="2869">
        <f>H12-I12</f>
        <v>0</v>
      </c>
      <c r="K12" s="2869"/>
    </row>
    <row r="13" spans="1:11" s="2868" customFormat="1">
      <c r="A13" s="2874"/>
      <c r="B13" s="2874" t="s">
        <v>1950</v>
      </c>
      <c r="C13" s="2875" t="s">
        <v>1949</v>
      </c>
      <c r="D13" s="2869">
        <v>5819155</v>
      </c>
      <c r="E13" s="2869">
        <v>3595650</v>
      </c>
      <c r="F13" s="2869">
        <v>0</v>
      </c>
      <c r="G13" s="2871">
        <v>0</v>
      </c>
      <c r="H13" s="2870">
        <f>D13+E13</f>
        <v>9414805</v>
      </c>
      <c r="I13" s="2869">
        <f>D13</f>
        <v>5819155</v>
      </c>
      <c r="J13" s="2869">
        <f>H13-I13</f>
        <v>3595650</v>
      </c>
      <c r="K13" s="2869"/>
    </row>
    <row r="14" spans="1:11" s="2868" customFormat="1">
      <c r="A14" s="2874"/>
      <c r="B14" s="2873" t="s">
        <v>368</v>
      </c>
      <c r="C14" s="2875" t="s">
        <v>367</v>
      </c>
      <c r="D14" s="2869">
        <v>5845</v>
      </c>
      <c r="E14" s="2869">
        <v>0</v>
      </c>
      <c r="F14" s="2869">
        <v>0</v>
      </c>
      <c r="G14" s="2871">
        <v>0</v>
      </c>
      <c r="H14" s="2870">
        <f>D14+E14+F14</f>
        <v>5845</v>
      </c>
      <c r="I14" s="2869">
        <v>5845</v>
      </c>
      <c r="J14" s="2869">
        <f>H14-I14</f>
        <v>0</v>
      </c>
      <c r="K14" s="2869"/>
    </row>
    <row r="15" spans="1:11" s="2858" customFormat="1">
      <c r="A15" s="2864"/>
      <c r="B15" s="2863" t="s">
        <v>244</v>
      </c>
      <c r="C15" s="2862"/>
      <c r="D15" s="2865">
        <f t="shared" ref="D15:J15" si="0">SUM(D12:D14)</f>
        <v>5885000</v>
      </c>
      <c r="E15" s="2866">
        <f t="shared" si="0"/>
        <v>3595650</v>
      </c>
      <c r="F15" s="2866">
        <f t="shared" si="0"/>
        <v>0</v>
      </c>
      <c r="G15" s="2867">
        <f t="shared" si="0"/>
        <v>0</v>
      </c>
      <c r="H15" s="2866">
        <f t="shared" si="0"/>
        <v>9480650</v>
      </c>
      <c r="I15" s="2865">
        <f t="shared" si="0"/>
        <v>5885000</v>
      </c>
      <c r="J15" s="2865">
        <f t="shared" si="0"/>
        <v>3595650</v>
      </c>
      <c r="K15" s="2865"/>
    </row>
    <row r="16" spans="1:11" s="2858" customFormat="1">
      <c r="A16" s="2864"/>
      <c r="B16" s="2863"/>
      <c r="C16" s="2862"/>
      <c r="D16" s="2859"/>
      <c r="E16" s="2860"/>
      <c r="F16" s="2860"/>
      <c r="G16" s="2861"/>
      <c r="H16" s="2860"/>
      <c r="I16" s="2859"/>
      <c r="J16" s="2859"/>
    </row>
    <row r="17" spans="1:10" s="2851" customFormat="1">
      <c r="A17" s="2857"/>
      <c r="B17" s="2856"/>
      <c r="C17" s="2855"/>
      <c r="D17" s="2852"/>
      <c r="E17" s="2854"/>
      <c r="F17" s="2854"/>
      <c r="G17" s="2853"/>
      <c r="H17" s="2853"/>
      <c r="I17" s="2852"/>
      <c r="J17" s="2852"/>
    </row>
    <row r="18" spans="1:10" s="2846" customFormat="1">
      <c r="B18" s="2846" t="s">
        <v>715</v>
      </c>
      <c r="E18" s="2846" t="s">
        <v>2168</v>
      </c>
    </row>
    <row r="19" spans="1:10" s="2846" customFormat="1">
      <c r="C19" s="2850"/>
      <c r="G19" s="2849"/>
    </row>
    <row r="20" spans="1:10" s="2846" customFormat="1">
      <c r="C20" s="2850"/>
      <c r="G20" s="2849"/>
    </row>
    <row r="21" spans="1:10" s="2846" customFormat="1">
      <c r="B21" s="2848" t="s">
        <v>739</v>
      </c>
      <c r="C21" s="2848"/>
      <c r="D21" s="2848"/>
      <c r="E21" s="2848"/>
      <c r="F21" s="2848"/>
      <c r="G21" s="2848"/>
      <c r="H21" s="2848" t="s">
        <v>360</v>
      </c>
      <c r="I21" s="2848"/>
      <c r="J21" s="2848"/>
    </row>
    <row r="22" spans="1:10" s="2846" customFormat="1">
      <c r="B22" s="2847" t="s">
        <v>740</v>
      </c>
      <c r="C22" s="2847"/>
      <c r="D22" s="2847"/>
      <c r="E22" s="2847"/>
      <c r="F22" s="2847"/>
      <c r="G22" s="2847"/>
      <c r="H22" s="2847" t="s">
        <v>357</v>
      </c>
      <c r="I22" s="2847"/>
      <c r="J22" s="2847"/>
    </row>
    <row r="23" spans="1:10" s="2841" customFormat="1" ht="15">
      <c r="C23" s="2843"/>
      <c r="G23" s="2845"/>
      <c r="H23" s="2844"/>
      <c r="I23" s="2844"/>
    </row>
    <row r="24" spans="1:10" s="2841" customFormat="1" ht="8.25">
      <c r="C24" s="2843"/>
      <c r="G24" s="2842"/>
    </row>
    <row r="25" spans="1:10" s="2841" customFormat="1" ht="8.25">
      <c r="C25" s="2843"/>
      <c r="G25" s="2842"/>
    </row>
    <row r="26" spans="1:10" s="2841" customFormat="1" ht="8.25">
      <c r="C26" s="2843"/>
      <c r="G26" s="2842"/>
    </row>
    <row r="27" spans="1:10" s="2841" customFormat="1" ht="8.25">
      <c r="C27" s="2843"/>
      <c r="G27" s="2842"/>
    </row>
    <row r="28" spans="1:10">
      <c r="C28" s="2840"/>
    </row>
    <row r="29" spans="1:10">
      <c r="C29" s="2840"/>
    </row>
    <row r="30" spans="1:10">
      <c r="C30" s="2840"/>
    </row>
    <row r="31" spans="1:10">
      <c r="C31" s="2840"/>
    </row>
    <row r="32" spans="1:10">
      <c r="C32" s="2840"/>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verticalDpi="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4"/>
  <sheetViews>
    <sheetView workbookViewId="0">
      <selection sqref="A1:A65536"/>
    </sheetView>
  </sheetViews>
  <sheetFormatPr defaultRowHeight="12.75"/>
  <cols>
    <col min="1" max="1" width="1.28515625" style="2838" customWidth="1"/>
    <col min="2" max="2" width="47.42578125" style="2838" customWidth="1"/>
    <col min="3" max="3" width="14.85546875" style="2838" customWidth="1"/>
    <col min="4" max="5" width="11.5703125" style="2838" customWidth="1"/>
    <col min="6" max="6" width="7.85546875" style="2838" customWidth="1"/>
    <col min="7" max="7" width="9.5703125" style="2839" customWidth="1"/>
    <col min="8" max="8" width="11.7109375" style="2838" customWidth="1"/>
    <col min="9" max="10" width="12" style="2838" customWidth="1"/>
    <col min="11"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889"/>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c r="D8" s="4913" t="s">
        <v>2182</v>
      </c>
      <c r="E8" s="2887"/>
      <c r="F8" s="2887"/>
      <c r="G8" s="2886"/>
      <c r="H8" s="4916" t="s">
        <v>244</v>
      </c>
      <c r="I8" s="2883" t="s">
        <v>2186</v>
      </c>
      <c r="J8" s="4904"/>
      <c r="K8" s="4904"/>
    </row>
    <row r="9" spans="1:11">
      <c r="D9" s="4914"/>
      <c r="E9" s="2885" t="s">
        <v>2185</v>
      </c>
      <c r="F9" s="2885" t="s">
        <v>2196</v>
      </c>
      <c r="G9" s="2884" t="s">
        <v>2183</v>
      </c>
      <c r="H9" s="4917"/>
      <c r="I9" s="2883" t="s">
        <v>2182</v>
      </c>
      <c r="J9" s="4904"/>
      <c r="K9" s="4904"/>
    </row>
    <row r="10" spans="1:11">
      <c r="B10" s="2879" t="s">
        <v>2179</v>
      </c>
      <c r="D10" s="4915"/>
      <c r="E10" s="2882"/>
      <c r="F10" s="2882"/>
      <c r="G10" s="2881" t="s">
        <v>2181</v>
      </c>
      <c r="H10" s="4918"/>
      <c r="I10" s="2880" t="s">
        <v>2180</v>
      </c>
      <c r="J10" s="4905"/>
      <c r="K10" s="4905"/>
    </row>
    <row r="11" spans="1:11">
      <c r="A11" s="2879"/>
      <c r="B11" s="2879" t="s">
        <v>2202</v>
      </c>
      <c r="D11" s="2876"/>
      <c r="E11" s="2878"/>
      <c r="F11" s="2878"/>
      <c r="G11" s="2877"/>
      <c r="H11" s="2876"/>
      <c r="I11" s="2876"/>
      <c r="J11" s="2876"/>
      <c r="K11" s="2876"/>
    </row>
    <row r="12" spans="1:11" s="2868" customFormat="1">
      <c r="A12" s="2874"/>
      <c r="B12" s="2874" t="s">
        <v>877</v>
      </c>
      <c r="C12" s="2875" t="s">
        <v>396</v>
      </c>
      <c r="D12" s="2869">
        <v>364270</v>
      </c>
      <c r="E12" s="2869">
        <v>0</v>
      </c>
      <c r="F12" s="2869">
        <v>0</v>
      </c>
      <c r="G12" s="2871">
        <v>0</v>
      </c>
      <c r="H12" s="2870">
        <f>D12+E12+F12</f>
        <v>364270</v>
      </c>
      <c r="I12" s="2869">
        <v>369120</v>
      </c>
      <c r="J12" s="2869">
        <f>H12-I12</f>
        <v>-4850</v>
      </c>
      <c r="K12" s="2869"/>
    </row>
    <row r="13" spans="1:11" s="2868" customFormat="1">
      <c r="A13" s="2874"/>
      <c r="B13" s="2874" t="s">
        <v>1950</v>
      </c>
      <c r="C13" s="2875" t="s">
        <v>1949</v>
      </c>
      <c r="D13" s="2869">
        <v>3270600</v>
      </c>
      <c r="E13" s="2869">
        <v>0</v>
      </c>
      <c r="F13" s="2869">
        <v>0</v>
      </c>
      <c r="G13" s="2871">
        <v>0</v>
      </c>
      <c r="H13" s="2870">
        <f>D13+E13+F13</f>
        <v>3270600</v>
      </c>
      <c r="I13" s="2869">
        <f>H13</f>
        <v>3270600</v>
      </c>
      <c r="J13" s="2869">
        <f>H13-I13</f>
        <v>0</v>
      </c>
      <c r="K13" s="2869"/>
    </row>
    <row r="14" spans="1:11" s="2868" customFormat="1">
      <c r="A14" s="2874"/>
      <c r="B14" s="2874" t="s">
        <v>2201</v>
      </c>
      <c r="C14" s="2875" t="s">
        <v>1917</v>
      </c>
      <c r="D14" s="2869">
        <v>160130</v>
      </c>
      <c r="E14" s="2869">
        <v>0</v>
      </c>
      <c r="F14" s="2869">
        <v>0</v>
      </c>
      <c r="G14" s="2871">
        <v>0</v>
      </c>
      <c r="H14" s="2870">
        <f>D14+E14+F14</f>
        <v>160130</v>
      </c>
      <c r="I14" s="2869">
        <v>160130</v>
      </c>
      <c r="J14" s="2869">
        <f>H14-I14</f>
        <v>0</v>
      </c>
      <c r="K14" s="2869"/>
    </row>
    <row r="15" spans="1:11" s="2868" customFormat="1">
      <c r="A15" s="2874"/>
      <c r="B15" s="2874" t="s">
        <v>1888</v>
      </c>
      <c r="C15" s="2875" t="s">
        <v>1887</v>
      </c>
      <c r="D15" s="2869">
        <v>50000</v>
      </c>
      <c r="E15" s="2869">
        <v>0</v>
      </c>
      <c r="F15" s="2869">
        <v>0</v>
      </c>
      <c r="G15" s="2871">
        <v>0</v>
      </c>
      <c r="H15" s="2870">
        <f>D15+E15+F15</f>
        <v>50000</v>
      </c>
      <c r="I15" s="2869">
        <v>150000</v>
      </c>
      <c r="J15" s="2869">
        <f>H15-I15</f>
        <v>-100000</v>
      </c>
      <c r="K15" s="2869"/>
    </row>
    <row r="16" spans="1:11" s="2868" customFormat="1">
      <c r="A16" s="2874"/>
      <c r="B16" s="2873" t="s">
        <v>368</v>
      </c>
      <c r="C16" s="2875" t="s">
        <v>367</v>
      </c>
      <c r="D16" s="2869">
        <v>5000</v>
      </c>
      <c r="E16" s="2869">
        <v>0</v>
      </c>
      <c r="F16" s="2869">
        <v>0</v>
      </c>
      <c r="G16" s="2871">
        <v>0</v>
      </c>
      <c r="H16" s="2870">
        <f>D16+E16+F16</f>
        <v>5000</v>
      </c>
      <c r="I16" s="2869">
        <v>10000</v>
      </c>
      <c r="J16" s="2869">
        <f>H16-I16</f>
        <v>-5000</v>
      </c>
      <c r="K16" s="2869"/>
    </row>
    <row r="17" spans="1:11" s="2858" customFormat="1">
      <c r="A17" s="2864"/>
      <c r="B17" s="2863" t="s">
        <v>244</v>
      </c>
      <c r="C17" s="2862"/>
      <c r="D17" s="2865">
        <f t="shared" ref="D17:J17" si="0">SUM(D12:D16)</f>
        <v>3850000</v>
      </c>
      <c r="E17" s="2866">
        <f t="shared" si="0"/>
        <v>0</v>
      </c>
      <c r="F17" s="2866">
        <f t="shared" si="0"/>
        <v>0</v>
      </c>
      <c r="G17" s="2867">
        <f t="shared" si="0"/>
        <v>0</v>
      </c>
      <c r="H17" s="2866">
        <f t="shared" si="0"/>
        <v>3850000</v>
      </c>
      <c r="I17" s="2865">
        <f t="shared" si="0"/>
        <v>3959850</v>
      </c>
      <c r="J17" s="2865">
        <f t="shared" si="0"/>
        <v>-109850</v>
      </c>
      <c r="K17" s="2865"/>
    </row>
    <row r="18" spans="1:11" s="2858" customFormat="1">
      <c r="A18" s="2864"/>
      <c r="B18" s="2863"/>
      <c r="C18" s="2862"/>
      <c r="D18" s="2859"/>
      <c r="E18" s="2860"/>
      <c r="F18" s="2860"/>
      <c r="G18" s="2861"/>
      <c r="H18" s="2860"/>
      <c r="I18" s="2859"/>
      <c r="J18" s="2859"/>
    </row>
    <row r="19" spans="1:11" s="2851" customFormat="1">
      <c r="A19" s="2857"/>
      <c r="B19" s="2856"/>
      <c r="C19" s="2855"/>
      <c r="D19" s="2852"/>
      <c r="E19" s="2854"/>
      <c r="F19" s="2854"/>
      <c r="G19" s="2853"/>
      <c r="H19" s="2853"/>
      <c r="I19" s="2852"/>
      <c r="J19" s="2852"/>
    </row>
    <row r="20" spans="1:11" s="2846" customFormat="1">
      <c r="B20" s="2846" t="s">
        <v>715</v>
      </c>
      <c r="E20" s="2846" t="s">
        <v>2168</v>
      </c>
    </row>
    <row r="21" spans="1:11" s="2846" customFormat="1">
      <c r="C21" s="2850"/>
      <c r="G21" s="2849"/>
    </row>
    <row r="22" spans="1:11" s="2846" customFormat="1">
      <c r="C22" s="2850"/>
      <c r="G22" s="2849"/>
    </row>
    <row r="23" spans="1:11" s="2846" customFormat="1">
      <c r="B23" s="2848" t="s">
        <v>739</v>
      </c>
      <c r="C23" s="2848"/>
      <c r="D23" s="2848"/>
      <c r="E23" s="2848"/>
      <c r="F23" s="2848"/>
      <c r="G23" s="2848"/>
      <c r="H23" s="2848" t="s">
        <v>360</v>
      </c>
      <c r="I23" s="2848"/>
      <c r="J23" s="2848"/>
    </row>
    <row r="24" spans="1:11" s="2846" customFormat="1">
      <c r="B24" s="2847" t="s">
        <v>740</v>
      </c>
      <c r="C24" s="2847"/>
      <c r="D24" s="2847"/>
      <c r="E24" s="2847"/>
      <c r="F24" s="2847"/>
      <c r="G24" s="2847"/>
      <c r="H24" s="2847" t="s">
        <v>357</v>
      </c>
      <c r="I24" s="2847"/>
      <c r="J24" s="2847"/>
    </row>
    <row r="25" spans="1:11" s="2841" customFormat="1" ht="15">
      <c r="C25" s="2843"/>
      <c r="G25" s="2845"/>
      <c r="H25" s="2844"/>
      <c r="I25" s="2844"/>
    </row>
    <row r="26" spans="1:11" s="2841" customFormat="1" ht="8.25">
      <c r="C26" s="2843"/>
      <c r="G26" s="2842"/>
    </row>
    <row r="27" spans="1:11" s="2841" customFormat="1" ht="8.25">
      <c r="C27" s="2843"/>
      <c r="G27" s="2842"/>
    </row>
    <row r="28" spans="1:11" s="2841" customFormat="1" ht="8.25">
      <c r="C28" s="2843"/>
      <c r="G28" s="2842"/>
    </row>
    <row r="29" spans="1:11" s="2841" customFormat="1" ht="8.25">
      <c r="C29" s="2843"/>
      <c r="G29" s="2842"/>
    </row>
    <row r="30" spans="1:11">
      <c r="C30" s="2840"/>
    </row>
    <row r="31" spans="1:11">
      <c r="C31" s="2840"/>
    </row>
    <row r="32" spans="1:11">
      <c r="C32" s="2840"/>
    </row>
    <row r="33" spans="3:3">
      <c r="C33" s="2840"/>
    </row>
    <row r="34" spans="3:3">
      <c r="C34" s="2840"/>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6"/>
  <sheetViews>
    <sheetView workbookViewId="0">
      <selection activeCell="D24" sqref="D24"/>
    </sheetView>
  </sheetViews>
  <sheetFormatPr defaultRowHeight="12.75"/>
  <cols>
    <col min="1" max="1" width="1.28515625" style="2838" customWidth="1"/>
    <col min="2" max="2" width="47.42578125" style="2838" customWidth="1"/>
    <col min="3" max="3" width="13.85546875" style="2838" customWidth="1"/>
    <col min="4" max="5" width="11.5703125" style="2838" customWidth="1"/>
    <col min="6" max="6" width="8.28515625" style="2838" customWidth="1"/>
    <col min="7" max="7" width="9.5703125" style="2839" customWidth="1"/>
    <col min="8" max="8" width="11.7109375" style="2838" customWidth="1"/>
    <col min="9" max="10" width="12" style="2838" customWidth="1"/>
    <col min="11" max="11" width="10.140625" style="2838" customWidth="1"/>
    <col min="12" max="16384" width="9.140625" style="2838"/>
  </cols>
  <sheetData>
    <row r="1" spans="1:11" ht="18">
      <c r="A1" s="4906" t="s">
        <v>2193</v>
      </c>
      <c r="B1" s="4906"/>
      <c r="C1" s="4906"/>
      <c r="D1" s="4906"/>
      <c r="E1" s="4906"/>
      <c r="F1" s="4906"/>
      <c r="G1" s="4906"/>
      <c r="H1" s="4906"/>
      <c r="I1" s="4906"/>
      <c r="J1" s="4906"/>
    </row>
    <row r="2" spans="1:11" ht="20.25">
      <c r="A2" s="4907" t="s">
        <v>2192</v>
      </c>
      <c r="B2" s="4907"/>
      <c r="C2" s="4907"/>
      <c r="D2" s="4907"/>
      <c r="E2" s="4907"/>
      <c r="F2" s="4907"/>
      <c r="G2" s="4907"/>
      <c r="H2" s="4907"/>
      <c r="I2" s="4907"/>
      <c r="J2" s="4907"/>
    </row>
    <row r="3" spans="1:11" ht="20.25">
      <c r="A3" s="4907" t="s">
        <v>2191</v>
      </c>
      <c r="B3" s="4907"/>
      <c r="C3" s="4907"/>
      <c r="D3" s="4907"/>
      <c r="E3" s="4907"/>
      <c r="F3" s="4907"/>
      <c r="G3" s="4907"/>
      <c r="H3" s="4907"/>
      <c r="I3" s="4907"/>
      <c r="J3" s="4907"/>
    </row>
    <row r="4" spans="1:11" ht="11.25" customHeight="1">
      <c r="A4" s="2889"/>
      <c r="B4" s="2889"/>
      <c r="C4" s="2889"/>
      <c r="D4" s="2889"/>
      <c r="E4" s="2889"/>
      <c r="F4" s="2889"/>
      <c r="G4" s="2890"/>
      <c r="H4" s="2889"/>
      <c r="I4" s="2889"/>
      <c r="J4" s="2889"/>
    </row>
    <row r="5" spans="1:11" ht="20.25">
      <c r="A5" s="4908" t="s">
        <v>2190</v>
      </c>
      <c r="B5" s="4908"/>
      <c r="C5" s="4908"/>
      <c r="D5" s="4908"/>
      <c r="E5" s="4908"/>
      <c r="F5" s="4908"/>
      <c r="G5" s="4908"/>
      <c r="H5" s="4908"/>
      <c r="I5" s="4908"/>
      <c r="J5" s="4908"/>
    </row>
    <row r="6" spans="1:11" ht="10.5" customHeight="1"/>
    <row r="7" spans="1:11" ht="18.75">
      <c r="D7" s="4909" t="s">
        <v>2189</v>
      </c>
      <c r="E7" s="4910"/>
      <c r="F7" s="4910"/>
      <c r="G7" s="4911"/>
      <c r="H7" s="4912"/>
      <c r="I7" s="2888" t="s">
        <v>2188</v>
      </c>
      <c r="J7" s="4903" t="s">
        <v>1516</v>
      </c>
      <c r="K7" s="4903" t="s">
        <v>2187</v>
      </c>
    </row>
    <row r="8" spans="1:11">
      <c r="D8" s="4913" t="s">
        <v>2182</v>
      </c>
      <c r="E8" s="2887"/>
      <c r="F8" s="2887"/>
      <c r="G8" s="2886"/>
      <c r="H8" s="4916" t="s">
        <v>244</v>
      </c>
      <c r="I8" s="2883" t="s">
        <v>2186</v>
      </c>
      <c r="J8" s="4904"/>
      <c r="K8" s="4904"/>
    </row>
    <row r="9" spans="1:11">
      <c r="D9" s="4914"/>
      <c r="E9" s="2885" t="s">
        <v>2185</v>
      </c>
      <c r="F9" s="2885" t="s">
        <v>2196</v>
      </c>
      <c r="G9" s="2884" t="s">
        <v>2183</v>
      </c>
      <c r="H9" s="4917"/>
      <c r="I9" s="2883" t="s">
        <v>2182</v>
      </c>
      <c r="J9" s="4904"/>
      <c r="K9" s="4904"/>
    </row>
    <row r="10" spans="1:11">
      <c r="B10" s="2879" t="s">
        <v>2179</v>
      </c>
      <c r="D10" s="4915"/>
      <c r="E10" s="2882"/>
      <c r="F10" s="2882"/>
      <c r="G10" s="2881" t="s">
        <v>2181</v>
      </c>
      <c r="H10" s="4918"/>
      <c r="I10" s="2880" t="s">
        <v>2180</v>
      </c>
      <c r="J10" s="4905"/>
      <c r="K10" s="4905"/>
    </row>
    <row r="11" spans="1:11">
      <c r="A11" s="2879"/>
      <c r="B11" s="2879" t="s">
        <v>2206</v>
      </c>
      <c r="D11" s="2876"/>
      <c r="E11" s="2878"/>
      <c r="F11" s="2878"/>
      <c r="G11" s="2877"/>
      <c r="H11" s="2876"/>
      <c r="I11" s="2876"/>
      <c r="J11" s="2876"/>
      <c r="K11" s="2876"/>
    </row>
    <row r="12" spans="1:11" s="2868" customFormat="1">
      <c r="A12" s="2874"/>
      <c r="B12" s="2874" t="s">
        <v>877</v>
      </c>
      <c r="C12" s="2875" t="s">
        <v>396</v>
      </c>
      <c r="D12" s="2869">
        <v>200000</v>
      </c>
      <c r="E12" s="2869"/>
      <c r="F12" s="2869">
        <v>0</v>
      </c>
      <c r="G12" s="2871">
        <v>0</v>
      </c>
      <c r="H12" s="2870">
        <f>D12+E12+F12+G12</f>
        <v>200000</v>
      </c>
      <c r="I12" s="2869">
        <v>200000</v>
      </c>
      <c r="J12" s="2869">
        <f>H12-I12</f>
        <v>0</v>
      </c>
      <c r="K12" s="2869"/>
    </row>
    <row r="13" spans="1:11" s="2868" customFormat="1">
      <c r="A13" s="2874"/>
      <c r="B13" s="2874" t="s">
        <v>2205</v>
      </c>
      <c r="C13" s="2875" t="s">
        <v>394</v>
      </c>
      <c r="D13" s="2869">
        <v>9000</v>
      </c>
      <c r="E13" s="2869"/>
      <c r="F13" s="2869">
        <v>0</v>
      </c>
      <c r="G13" s="2871">
        <v>0</v>
      </c>
      <c r="H13" s="2870">
        <f>D13+E13+F13+G13</f>
        <v>9000</v>
      </c>
      <c r="I13" s="2869">
        <v>9000</v>
      </c>
      <c r="J13" s="2869">
        <f>H13-I13</f>
        <v>0</v>
      </c>
      <c r="K13" s="2869"/>
    </row>
    <row r="14" spans="1:11" s="2868" customFormat="1">
      <c r="A14" s="2874"/>
      <c r="B14" s="2874" t="s">
        <v>1950</v>
      </c>
      <c r="C14" s="2875" t="s">
        <v>1949</v>
      </c>
      <c r="D14" s="2869">
        <v>554400</v>
      </c>
      <c r="E14" s="2869"/>
      <c r="F14" s="2869">
        <v>0</v>
      </c>
      <c r="G14" s="2871">
        <v>0</v>
      </c>
      <c r="H14" s="2870">
        <f>D14+E14+F14+G14</f>
        <v>554400</v>
      </c>
      <c r="I14" s="2869">
        <f>D14</f>
        <v>554400</v>
      </c>
      <c r="J14" s="2869">
        <f>H14-I14</f>
        <v>0</v>
      </c>
      <c r="K14" s="2869"/>
    </row>
    <row r="15" spans="1:11" s="2868" customFormat="1">
      <c r="A15" s="2874"/>
      <c r="B15" s="2874" t="s">
        <v>2204</v>
      </c>
      <c r="C15" s="2875" t="s">
        <v>376</v>
      </c>
      <c r="D15" s="2869">
        <v>100000</v>
      </c>
      <c r="E15" s="2869"/>
      <c r="F15" s="2869">
        <v>0</v>
      </c>
      <c r="G15" s="2871">
        <v>0</v>
      </c>
      <c r="H15" s="2870">
        <f>D15+E15+F15+G15</f>
        <v>100000</v>
      </c>
      <c r="I15" s="2869">
        <v>100000</v>
      </c>
      <c r="J15" s="2869">
        <f>H15-I15</f>
        <v>0</v>
      </c>
      <c r="K15" s="2869"/>
    </row>
    <row r="16" spans="1:11" s="2868" customFormat="1">
      <c r="A16" s="2874"/>
      <c r="B16" s="2874" t="s">
        <v>2204</v>
      </c>
      <c r="C16" s="2875"/>
      <c r="D16" s="2869"/>
      <c r="E16" s="2869"/>
      <c r="F16" s="2869"/>
      <c r="G16" s="2871"/>
      <c r="H16" s="2870"/>
      <c r="I16" s="2869"/>
      <c r="J16" s="2869"/>
      <c r="K16" s="2869"/>
    </row>
    <row r="17" spans="1:11" s="2868" customFormat="1">
      <c r="A17" s="2874"/>
      <c r="B17" s="2874" t="s">
        <v>2197</v>
      </c>
      <c r="C17" s="2875" t="s">
        <v>371</v>
      </c>
      <c r="D17" s="2869">
        <v>70000</v>
      </c>
      <c r="E17" s="2869"/>
      <c r="F17" s="2869">
        <v>0</v>
      </c>
      <c r="G17" s="2871">
        <v>0</v>
      </c>
      <c r="H17" s="2870">
        <f>D17+E17+F17+G17</f>
        <v>70000</v>
      </c>
      <c r="I17" s="2869">
        <v>70000</v>
      </c>
      <c r="J17" s="2869">
        <f>H17-I17</f>
        <v>0</v>
      </c>
      <c r="K17" s="2869"/>
    </row>
    <row r="18" spans="1:11" s="2868" customFormat="1">
      <c r="A18" s="2874"/>
      <c r="B18" s="2873" t="s">
        <v>368</v>
      </c>
      <c r="C18" s="2875" t="s">
        <v>367</v>
      </c>
      <c r="D18" s="2869">
        <v>1286600</v>
      </c>
      <c r="E18" s="2869"/>
      <c r="F18" s="2869">
        <v>0</v>
      </c>
      <c r="G18" s="2871">
        <v>0</v>
      </c>
      <c r="H18" s="2870">
        <f>D18+E18+F18+G18</f>
        <v>1286600</v>
      </c>
      <c r="I18" s="2869">
        <f>H18</f>
        <v>1286600</v>
      </c>
      <c r="J18" s="2869">
        <f>H18-I18</f>
        <v>0</v>
      </c>
      <c r="K18" s="2869"/>
    </row>
    <row r="19" spans="1:11" s="2858" customFormat="1">
      <c r="A19" s="2864"/>
      <c r="B19" s="2863" t="s">
        <v>244</v>
      </c>
      <c r="C19" s="2862"/>
      <c r="D19" s="2865">
        <f t="shared" ref="D19:J19" si="0">SUM(D12:D18)</f>
        <v>2220000</v>
      </c>
      <c r="E19" s="2866">
        <f t="shared" si="0"/>
        <v>0</v>
      </c>
      <c r="F19" s="2866">
        <f t="shared" si="0"/>
        <v>0</v>
      </c>
      <c r="G19" s="2867">
        <f t="shared" si="0"/>
        <v>0</v>
      </c>
      <c r="H19" s="2866">
        <f t="shared" si="0"/>
        <v>2220000</v>
      </c>
      <c r="I19" s="2865">
        <f t="shared" si="0"/>
        <v>2220000</v>
      </c>
      <c r="J19" s="2865">
        <f t="shared" si="0"/>
        <v>0</v>
      </c>
      <c r="K19" s="2865"/>
    </row>
    <row r="20" spans="1:11" s="2858" customFormat="1">
      <c r="A20" s="2864"/>
      <c r="B20" s="2863"/>
      <c r="C20" s="2862"/>
      <c r="D20" s="2859"/>
      <c r="E20" s="2860"/>
      <c r="F20" s="2860"/>
      <c r="G20" s="2861"/>
      <c r="H20" s="2860"/>
      <c r="I20" s="2859"/>
      <c r="J20" s="2859"/>
    </row>
    <row r="21" spans="1:11" s="2851" customFormat="1">
      <c r="A21" s="2857"/>
      <c r="B21" s="2856"/>
      <c r="C21" s="2855"/>
      <c r="D21" s="2852"/>
      <c r="E21" s="2854"/>
      <c r="F21" s="2854"/>
      <c r="G21" s="2853"/>
      <c r="H21" s="2853"/>
      <c r="I21" s="2852"/>
      <c r="J21" s="2852"/>
    </row>
    <row r="22" spans="1:11" s="2846" customFormat="1">
      <c r="B22" s="2846" t="s">
        <v>715</v>
      </c>
      <c r="E22" s="2846" t="s">
        <v>2168</v>
      </c>
    </row>
    <row r="23" spans="1:11" s="2846" customFormat="1">
      <c r="C23" s="2850"/>
      <c r="G23" s="2849"/>
    </row>
    <row r="24" spans="1:11" s="2846" customFormat="1">
      <c r="C24" s="2850"/>
      <c r="D24" s="2846" t="s">
        <v>2203</v>
      </c>
      <c r="G24" s="2849"/>
    </row>
    <row r="25" spans="1:11" s="2846" customFormat="1">
      <c r="B25" s="2848" t="s">
        <v>739</v>
      </c>
      <c r="C25" s="2848"/>
      <c r="D25" s="2848"/>
      <c r="E25" s="2848"/>
      <c r="F25" s="2848"/>
      <c r="G25" s="2848"/>
      <c r="H25" s="2848" t="s">
        <v>360</v>
      </c>
      <c r="I25" s="2848"/>
      <c r="J25" s="2848"/>
    </row>
    <row r="26" spans="1:11" s="2846" customFormat="1">
      <c r="B26" s="2847" t="s">
        <v>740</v>
      </c>
      <c r="C26" s="2847"/>
      <c r="D26" s="2847"/>
      <c r="E26" s="2847"/>
      <c r="F26" s="2847"/>
      <c r="G26" s="2847"/>
      <c r="H26" s="2847" t="s">
        <v>357</v>
      </c>
      <c r="I26" s="2847"/>
      <c r="J26" s="2847"/>
    </row>
    <row r="27" spans="1:11" s="2841" customFormat="1" ht="15">
      <c r="C27" s="2843"/>
      <c r="G27" s="2845"/>
      <c r="H27" s="2844"/>
      <c r="I27" s="2844"/>
    </row>
    <row r="28" spans="1:11" s="2841" customFormat="1" ht="8.25">
      <c r="C28" s="2843"/>
      <c r="G28" s="2842"/>
    </row>
    <row r="29" spans="1:11" s="2841" customFormat="1" ht="8.25">
      <c r="C29" s="2843"/>
      <c r="G29" s="2842"/>
    </row>
    <row r="30" spans="1:11" s="2841" customFormat="1" ht="8.25">
      <c r="C30" s="2843"/>
      <c r="G30" s="2842"/>
    </row>
    <row r="31" spans="1:11" s="2841" customFormat="1" ht="8.25">
      <c r="C31" s="2843"/>
      <c r="G31" s="2842"/>
    </row>
    <row r="32" spans="1:11">
      <c r="C32" s="2840"/>
    </row>
    <row r="33" spans="3:3">
      <c r="C33" s="2840"/>
    </row>
    <row r="34" spans="3:3">
      <c r="C34" s="2840"/>
    </row>
    <row r="35" spans="3:3">
      <c r="C35" s="2840"/>
    </row>
    <row r="36" spans="3:3">
      <c r="C36" s="2840"/>
    </row>
  </sheetData>
  <mergeCells count="9">
    <mergeCell ref="K7:K10"/>
    <mergeCell ref="A1:J1"/>
    <mergeCell ref="A2:J2"/>
    <mergeCell ref="A3:J3"/>
    <mergeCell ref="A5:J5"/>
    <mergeCell ref="D7:H7"/>
    <mergeCell ref="J7:J10"/>
    <mergeCell ref="D8:D10"/>
    <mergeCell ref="H8:H10"/>
  </mergeCells>
  <printOptions horizontalCentered="1"/>
  <pageMargins left="0" right="0" top="0.5" bottom="0.5" header="0.5" footer="0.5"/>
  <pageSetup paperSize="5" orientation="landscape"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188</vt:i4>
      </vt:variant>
      <vt:variant>
        <vt:lpstr>Named Ranges</vt:lpstr>
      </vt:variant>
      <vt:variant>
        <vt:i4>21</vt:i4>
      </vt:variant>
    </vt:vector>
  </HeadingPairs>
  <TitlesOfParts>
    <vt:vector size="209" baseType="lpstr">
      <vt:lpstr>MESSAGE</vt:lpstr>
      <vt:lpstr>plantilla new</vt:lpstr>
      <vt:lpstr>paao admin</vt:lpstr>
      <vt:lpstr>plantilla</vt:lpstr>
      <vt:lpstr>LBPF No. 2</vt:lpstr>
      <vt:lpstr>assessor plantilla</vt:lpstr>
      <vt:lpstr>LBPF No. 2 (2)</vt:lpstr>
      <vt:lpstr>gen revision</vt:lpstr>
      <vt:lpstr>LBPF No. 2 (3)</vt:lpstr>
      <vt:lpstr>LBPF No. 2 (4)</vt:lpstr>
      <vt:lpstr>plantilla (2)</vt:lpstr>
      <vt:lpstr>paao</vt:lpstr>
      <vt:lpstr>LBPF No. 4</vt:lpstr>
      <vt:lpstr>LBPF No. 2 (5)</vt:lpstr>
      <vt:lpstr>PLANTILLA (3)</vt:lpstr>
      <vt:lpstr>PAAO (2)</vt:lpstr>
      <vt:lpstr>PROJECT MONITORING</vt:lpstr>
      <vt:lpstr>PAMANA, RCSP &amp; OTHERS</vt:lpstr>
      <vt:lpstr>SIPA </vt:lpstr>
      <vt:lpstr>Heritage</vt:lpstr>
      <vt:lpstr>Mainstreaming CBMS in Brgy. Dev</vt:lpstr>
      <vt:lpstr>INDIGENOUS</vt:lpstr>
      <vt:lpstr>BUB ,PAMANA, ETC.</vt:lpstr>
      <vt:lpstr>Compre Data Collection &amp; Update</vt:lpstr>
      <vt:lpstr>SCIHA</vt:lpstr>
      <vt:lpstr>HOUSEHOLD PROFILING</vt:lpstr>
      <vt:lpstr>CBMS</vt:lpstr>
      <vt:lpstr>BUB </vt:lpstr>
      <vt:lpstr>PAMANA PROGRAM</vt:lpstr>
      <vt:lpstr>plantilla (4)</vt:lpstr>
      <vt:lpstr>paao (3)</vt:lpstr>
      <vt:lpstr>plantilla (5)</vt:lpstr>
      <vt:lpstr>LBPF No. 2 </vt:lpstr>
      <vt:lpstr>PLANTILLA NEW (2)</vt:lpstr>
      <vt:lpstr>PAAO NEW</vt:lpstr>
      <vt:lpstr>LBPF No. 2 (6)</vt:lpstr>
      <vt:lpstr>PLANTILLA (6)</vt:lpstr>
      <vt:lpstr>PAAO (4)</vt:lpstr>
      <vt:lpstr>arta</vt:lpstr>
      <vt:lpstr>sacapraise</vt:lpstr>
      <vt:lpstr>plantilla (7)</vt:lpstr>
      <vt:lpstr>LBPF No. 2 (7)</vt:lpstr>
      <vt:lpstr>LBPF No. 2 (8)</vt:lpstr>
      <vt:lpstr>LBPF No. 2 (9)</vt:lpstr>
      <vt:lpstr>LBPF No.3</vt:lpstr>
      <vt:lpstr>LBPF No. 2 (10)</vt:lpstr>
      <vt:lpstr>LBPF No. 2 (11)</vt:lpstr>
      <vt:lpstr>plantilla (8)</vt:lpstr>
      <vt:lpstr>PAAOE NEW HAZARD</vt:lpstr>
      <vt:lpstr>summary </vt:lpstr>
      <vt:lpstr>Adolescent</vt:lpstr>
      <vt:lpstr>ANTI-HUMAN RABIES</vt:lpstr>
      <vt:lpstr>ANTI-TB Program</vt:lpstr>
      <vt:lpstr>CBHS</vt:lpstr>
      <vt:lpstr>CBR</vt:lpstr>
      <vt:lpstr>ANTI-SMOKING</vt:lpstr>
      <vt:lpstr>Contraceptive Self Reliance</vt:lpstr>
      <vt:lpstr>DENGUE</vt:lpstr>
      <vt:lpstr>DENTAL HEALTH</vt:lpstr>
      <vt:lpstr>FAMILY PLANNING</vt:lpstr>
      <vt:lpstr>HIS</vt:lpstr>
      <vt:lpstr>LEPROSY </vt:lpstr>
      <vt:lpstr>MATERNAL &amp; CHILD HEALTH CARE</vt:lpstr>
      <vt:lpstr>Mental Health</vt:lpstr>
      <vt:lpstr>IMMUNIZATION</vt:lpstr>
      <vt:lpstr>NEWBORN SCREENING</vt:lpstr>
      <vt:lpstr>NUTRITION PROGRAM</vt:lpstr>
      <vt:lpstr>Rep&amp;Maint-Investment Property</vt:lpstr>
      <vt:lpstr>STD-HIV</vt:lpstr>
      <vt:lpstr>LIFESTYLE DISEASES</vt:lpstr>
      <vt:lpstr>VOLUNTARY BLOOD DONATION</vt:lpstr>
      <vt:lpstr>ZOD</vt:lpstr>
      <vt:lpstr>GENFUND 2022 FINAL</vt:lpstr>
      <vt:lpstr>hosp2022</vt:lpstr>
      <vt:lpstr>cwd2022</vt:lpstr>
      <vt:lpstr>pmsd2022</vt:lpstr>
      <vt:lpstr>pttd2022</vt:lpstr>
      <vt:lpstr>LBPF No. 2(3312)</vt:lpstr>
      <vt:lpstr>MMT</vt:lpstr>
      <vt:lpstr>GARBAGE COLLECTION</vt:lpstr>
      <vt:lpstr>ECO CENTER</vt:lpstr>
      <vt:lpstr>IEC</vt:lpstr>
      <vt:lpstr>CITY LANES</vt:lpstr>
      <vt:lpstr>BANTAY DAGAT</vt:lpstr>
      <vt:lpstr>CRM</vt:lpstr>
      <vt:lpstr>MARINE PROTECTED</vt:lpstr>
      <vt:lpstr>MKNP</vt:lpstr>
      <vt:lpstr>NNNP</vt:lpstr>
      <vt:lpstr>BAGO RIVER</vt:lpstr>
      <vt:lpstr>law enforcement</vt:lpstr>
      <vt:lpstr>beautification</vt:lpstr>
      <vt:lpstr>Sheet3</vt:lpstr>
      <vt:lpstr>PAAOE (2021)</vt:lpstr>
      <vt:lpstr>CEMO</vt:lpstr>
      <vt:lpstr>MMT (2)</vt:lpstr>
      <vt:lpstr>garbage collection (2)</vt:lpstr>
      <vt:lpstr>CITY LANES (2)</vt:lpstr>
      <vt:lpstr>eco - center</vt:lpstr>
      <vt:lpstr>IEC (2)</vt:lpstr>
      <vt:lpstr>bantay dagat (2)</vt:lpstr>
      <vt:lpstr>MPA</vt:lpstr>
      <vt:lpstr>CRM </vt:lpstr>
      <vt:lpstr>nnnp (2)</vt:lpstr>
      <vt:lpstr>mknp (2)</vt:lpstr>
      <vt:lpstr>BAGO RIVER (2)</vt:lpstr>
      <vt:lpstr>ENVT'L. LAW ENFORCEMENT</vt:lpstr>
      <vt:lpstr>Beautification (2)</vt:lpstr>
      <vt:lpstr>DEVFUND2022</vt:lpstr>
      <vt:lpstr>BY SECTOR</vt:lpstr>
      <vt:lpstr>LBPF No. 2 (12)</vt:lpstr>
      <vt:lpstr>animal disease</vt:lpstr>
      <vt:lpstr>artificial insemination</vt:lpstr>
      <vt:lpstr>dispersal of large animals</vt:lpstr>
      <vt:lpstr>dispersal &amp; upg of small animal</vt:lpstr>
      <vt:lpstr>technical&amp;market support </vt:lpstr>
      <vt:lpstr>high value commcl crops fruits</vt:lpstr>
      <vt:lpstr>vegetable production</vt:lpstr>
      <vt:lpstr>organic agri devt</vt:lpstr>
      <vt:lpstr>agri center &amp; demo area</vt:lpstr>
      <vt:lpstr>abaca industry devt</vt:lpstr>
      <vt:lpstr>bamboo production</vt:lpstr>
      <vt:lpstr>cutflower industry</vt:lpstr>
      <vt:lpstr>hvcc cacao coffee peanut</vt:lpstr>
      <vt:lpstr>rabies eradication </vt:lpstr>
      <vt:lpstr>RICE PRODUCTION</vt:lpstr>
      <vt:lpstr>free range chicken</vt:lpstr>
      <vt:lpstr>mushroom</vt:lpstr>
      <vt:lpstr>duck &amp; turkey</vt:lpstr>
      <vt:lpstr>CDRRMO - FINAL 2022 - 9-28-21</vt:lpstr>
      <vt:lpstr>CEO - FINAL</vt:lpstr>
      <vt:lpstr>CMO-plantilla</vt:lpstr>
      <vt:lpstr>CMO-PAAO - FINAL 9-22-21</vt:lpstr>
      <vt:lpstr>CSWDO-EDITED FINAL</vt:lpstr>
      <vt:lpstr>CEO-STREETLIGHTING - FINAL 9-3</vt:lpstr>
      <vt:lpstr>GSD-plantilla </vt:lpstr>
      <vt:lpstr>PAAOE</vt:lpstr>
      <vt:lpstr>COMPARATIVE </vt:lpstr>
      <vt:lpstr>HOS-plantilla - 9-1-21</vt:lpstr>
      <vt:lpstr>HOSPITAL-PAAOE- FINAL</vt:lpstr>
      <vt:lpstr>HOSPITAL - COMPARATIVE</vt:lpstr>
      <vt:lpstr>CEO-OBO-FINAL</vt:lpstr>
      <vt:lpstr>CAWA</vt:lpstr>
      <vt:lpstr>SCCCADAC</vt:lpstr>
      <vt:lpstr>SCCYA</vt:lpstr>
      <vt:lpstr>PESO</vt:lpstr>
      <vt:lpstr>SPORTS</vt:lpstr>
      <vt:lpstr>TOURISM</vt:lpstr>
      <vt:lpstr>SCHOLARSHIP PROG. FOR STUDENTS</vt:lpstr>
      <vt:lpstr>SCHOLARSHIP PROG. FOR teachers</vt:lpstr>
      <vt:lpstr>FIN. ASSIST. GRADUATE SCHOLAR</vt:lpstr>
      <vt:lpstr>SCIHA (2)</vt:lpstr>
      <vt:lpstr>PIO</vt:lpstr>
      <vt:lpstr>CLDO</vt:lpstr>
      <vt:lpstr>ABC FEDERATION</vt:lpstr>
      <vt:lpstr>ABC FEDERATION - brgy. TANOD</vt:lpstr>
      <vt:lpstr>ABC- KATARUNGANG PAMBARANGAY</vt:lpstr>
      <vt:lpstr>CCC - ALGERS</vt:lpstr>
      <vt:lpstr>INTERNAL AUDIT SERVICE</vt:lpstr>
      <vt:lpstr>SCC APPRAISAL COMMITTEE</vt:lpstr>
      <vt:lpstr>BPLO</vt:lpstr>
      <vt:lpstr>PLEB</vt:lpstr>
      <vt:lpstr>BAC</vt:lpstr>
      <vt:lpstr>ADHOC</vt:lpstr>
      <vt:lpstr>CODI</vt:lpstr>
      <vt:lpstr>PEACE AND ORDER FUND</vt:lpstr>
      <vt:lpstr>ICTC</vt:lpstr>
      <vt:lpstr>TASK FORCE RIGHT OF WAY</vt:lpstr>
      <vt:lpstr>LET</vt:lpstr>
      <vt:lpstr>PPMO</vt:lpstr>
      <vt:lpstr>TRAFFIC MANAGEMENT AUTHORITY</vt:lpstr>
      <vt:lpstr>I 4 J - 2022</vt:lpstr>
      <vt:lpstr>NEGOSYO CENTER - SCCIPC</vt:lpstr>
      <vt:lpstr>ANTI-COVID19 PROGRAM</vt:lpstr>
      <vt:lpstr>Sheet1 (2)</vt:lpstr>
      <vt:lpstr>OSCA - PST </vt:lpstr>
      <vt:lpstr>OPERATION OF GUIDANCE CENTER </vt:lpstr>
      <vt:lpstr>IMPLEMENTATION OF MDG FACES</vt:lpstr>
      <vt:lpstr> 4 P'S - FINAL</vt:lpstr>
      <vt:lpstr>CIACAT - VAWC - FINAL</vt:lpstr>
      <vt:lpstr>OPERATION OF THE CURFEW CENTER</vt:lpstr>
      <vt:lpstr>NUTRITION COUNCIL</vt:lpstr>
      <vt:lpstr>COUNTRY PROGRAM FOR CHILDREN </vt:lpstr>
      <vt:lpstr>OFFICE OF PWD</vt:lpstr>
      <vt:lpstr>OPERATION OF GAD COUNCIL</vt:lpstr>
      <vt:lpstr>OPERATION OF LCPC - SSS</vt:lpstr>
      <vt:lpstr>mandana's - garcia</vt:lpstr>
      <vt:lpstr>PLAza - FINAL-8-31-21</vt:lpstr>
      <vt:lpstr>SPECIAL PURPOSE - FINAL 2022</vt:lpstr>
      <vt:lpstr>'assessor plantilla'!PAGE_1</vt:lpstr>
      <vt:lpstr>'LBPF No. 4'!PAGE_1</vt:lpstr>
      <vt:lpstr>'LBPF No.3'!PAGE_1</vt:lpstr>
      <vt:lpstr>plantilla!PAGE_1</vt:lpstr>
      <vt:lpstr>'plantilla (2)'!PAGE_1</vt:lpstr>
      <vt:lpstr>'PLANTILLA (3)'!PAGE_1</vt:lpstr>
      <vt:lpstr>'plantilla (4)'!PAGE_1</vt:lpstr>
      <vt:lpstr>'plantilla (5)'!PAGE_1</vt:lpstr>
      <vt:lpstr>'PLANTILLA (6)'!PAGE_1</vt:lpstr>
      <vt:lpstr>'plantilla (7)'!PAGE_1</vt:lpstr>
      <vt:lpstr>'plantilla (8)'!PAGE_1</vt:lpstr>
      <vt:lpstr>'plantilla new'!PAGE_1</vt:lpstr>
      <vt:lpstr>'PLANTILLA NEW (2)'!PAGE_1</vt:lpstr>
      <vt:lpstr>'GENFUND 2022 FINAL'!Print_Area</vt:lpstr>
      <vt:lpstr>'LBPF No.3'!Print_Area</vt:lpstr>
      <vt:lpstr>'plantilla (2)'!Print_Area</vt:lpstr>
      <vt:lpstr>'PLANTILLA (3)'!Print_Area</vt:lpstr>
      <vt:lpstr>'plantilla (7)'!Print_Area</vt:lpstr>
      <vt:lpstr>'plantilla (8)'!Print_Area</vt:lpstr>
      <vt:lpstr>'plantilla new'!Print_Area</vt:lpstr>
      <vt:lpstr>pttd2022!Print_Area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2022-03-02T06:32:22Z</dcterms:modified>
</cp:coreProperties>
</file>